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840" windowWidth="11010" windowHeight="7305" tabRatio="907"/>
  </bookViews>
  <sheets>
    <sheet name="notice" sheetId="1" r:id="rId1"/>
    <sheet name="éleveurs" sheetId="2" r:id="rId2"/>
    <sheet name="cultivateurs" sheetId="3" r:id="rId3"/>
    <sheet name="animaux" sheetId="48" r:id="rId4"/>
    <sheet name="bâtiments d'élevage" sheetId="49" r:id="rId5"/>
    <sheet name="pâtures et foin" sheetId="54" r:id="rId6"/>
    <sheet name="coût alimentation" sheetId="51" r:id="rId7"/>
    <sheet name="gains" sheetId="58" state="hidden" r:id="rId8"/>
    <sheet name="parcelles" sheetId="55" r:id="rId9"/>
    <sheet name="vergers" sheetId="56" r:id="rId10"/>
    <sheet name="semences, engrais et traitement" sheetId="57" r:id="rId11"/>
    <sheet name="entrepôts et local phyto" sheetId="53" r:id="rId12"/>
    <sheet name="silos" sheetId="52" r:id="rId13"/>
    <sheet name="memo" sheetId="25" r:id="rId14"/>
    <sheet name="BDD" sheetId="27" r:id="rId15"/>
  </sheets>
  <externalReferences>
    <externalReference r:id="rId16"/>
    <externalReference r:id="rId17"/>
  </externalReferences>
  <definedNames>
    <definedName name="_xlnm._FilterDatabase" localSheetId="3" hidden="1">animaux!$Z$2:$Z$4</definedName>
    <definedName name="AlimentsBisons">BDD!$BM$114:$BP$152</definedName>
    <definedName name="AlimentsBovins">BDD!$BB$341:$BE$380</definedName>
    <definedName name="AlimentsCanards">BDD!$EN$149:$EQ$187</definedName>
    <definedName name="AlimentsCaprins">BDD!$BX$196:$CA$234</definedName>
    <definedName name="AlimentsChevauxSelle">BDD!$EU$203:$EX$241</definedName>
    <definedName name="AlimentsChevauxTrait">BDD!$FD$198:$FG$236</definedName>
    <definedName name="AlimentsDaims">BDD!$DV$78:$DY$116</definedName>
    <definedName name="AlimentsGavageOiesEtCanards">BDD!$FW$136:$FZ$174</definedName>
    <definedName name="AlimentsLapins">BDD!$CS$155:$CV$193</definedName>
    <definedName name="AlimentsOies">BDD!$EG$150:$EJ$188</definedName>
    <definedName name="AlimentsOvins">BDD!$DN$293:$DQ$331</definedName>
    <definedName name="AlimentsPintades">BDD!$DG$144:$DJ$182</definedName>
    <definedName name="AlimentsPoneys">BDD!$FN$197:$FQ$235</definedName>
    <definedName name="AlimentsPorcins">BDD!$CJ$139:$CM$177</definedName>
    <definedName name="AlimentsRationBovinsFemelles">BDD!$BB$236:$BJ$274</definedName>
    <definedName name="AlimentsRationBovinsMâles">BDD!$BB$194:$BJ$232</definedName>
    <definedName name="AlimentsRationCanardsFemelles">Ration_canards_Femelles[]</definedName>
    <definedName name="AlimentsRationCanardsMâles">Ration_canards_Mâles[]</definedName>
    <definedName name="AlimentsRationCaprinsFemelles">BDD!$BX$144:$CC$178</definedName>
    <definedName name="AlimentsRationCaprinsMâles">BDD!$BX$106:$CC$140</definedName>
    <definedName name="AlimentsRationEcurieChevauxFemellesSelle">BDD!$EU$102:$EZ$140</definedName>
    <definedName name="AlimentsRationEcurieChevauxFemellesTrait">BDD!$FD$96:$FI$134</definedName>
    <definedName name="AlimentsRationEcurieChevauxMâlesSelle">BDD!$EU$60:$EZ$98</definedName>
    <definedName name="AlimentsRationEcurieChevauxMâlesTrait">BDD!$FD$54:$FI$92</definedName>
    <definedName name="AlimentsRationEcuriePoneysFemelles">BDD!$FN$95:$FS$133</definedName>
    <definedName name="AlimentsRationEcuriePoneysMâles">BDD!$FN$53:$FS$91</definedName>
    <definedName name="AlimentsRationHivernaleBisonsFemelles">BDD!$BM$73:$BU$106</definedName>
    <definedName name="AlimentsRationHivernaleBisonsMâles">BDD!$BM$36:$BU$69</definedName>
    <definedName name="AlimentsRationHivernaleBovins">BDD!$BB$284:$BJ$323</definedName>
    <definedName name="AlimentsRationHivernaleDaims">BDD!$DV$32:$ED$70</definedName>
    <definedName name="AlimentsRationHivernaleOvins">BDD!$DN$238:$DS$276</definedName>
    <definedName name="AlimentsRationOvinsFemelles">BDD!$DN$192:$DS$230</definedName>
    <definedName name="AlimentsRationOvinsMâles">BDD!$DN$150:$DS$188</definedName>
    <definedName name="AlimentsVolailles">BDD!$CZ$154:$DC$192</definedName>
    <definedName name="Avoine">'coût alimentation'!$B$9</definedName>
    <definedName name="AvoineNécessaireBQ">'coût alimentation'!$C$9</definedName>
    <definedName name="AvoineNécessaireMaQ">'coût alimentation'!$E$9</definedName>
    <definedName name="AvoineNécessaireMoQ">'coût alimentation'!$D$9</definedName>
    <definedName name="Belgique">BDD!$M$7</definedName>
    <definedName name="Bergerie">'bâtiments d''élevage'!$B$35</definedName>
    <definedName name="Betterave">'coût alimentation'!$B$10</definedName>
    <definedName name="BetteraveNécessaireBQ">'coût alimentation'!$C$10</definedName>
    <definedName name="BetteraveNécessaireMaQ">'coût alimentation'!$E$10</definedName>
    <definedName name="BetteraveNécessaireMoQ">'coût alimentation'!$D$10</definedName>
    <definedName name="BilanBergerie">'bâtiments d''élevage'!$E$35</definedName>
    <definedName name="BilanChèvreries">'bâtiments d''élevage'!$E$32</definedName>
    <definedName name="BilanClapiers">'bâtiments d''élevage'!$E$36</definedName>
    <definedName name="BilanEcuriesPoneys">'bâtiments d''élevage'!$E$48</definedName>
    <definedName name="BilanEcuriesSelle">'bâtiments d''élevage'!$E$46</definedName>
    <definedName name="BilanEcuriesTrait">'bâtiments d''élevage'!$E$47</definedName>
    <definedName name="BilanParcsCanards">'bâtiments d''élevage'!$E$45</definedName>
    <definedName name="BilanParcsLapins">'bâtiments d''élevage'!$E$37</definedName>
    <definedName name="BilanParcsOies">'bâtiments d''élevage'!$E$44</definedName>
    <definedName name="BilanParcsPintades">'bâtiments d''élevage'!$E$43</definedName>
    <definedName name="BilanParcsPorcins">'bâtiments d''élevage'!$E$34</definedName>
    <definedName name="BilanParcsVolailles">'bâtiments d''élevage'!$E$42</definedName>
    <definedName name="BilanPorcheries">'bâtiments d''élevage'!$E$33</definedName>
    <definedName name="BilanPoulaillersCanards">'bâtiments d''élevage'!$E$41</definedName>
    <definedName name="BilanPoulaillersOies">'bâtiments d''élevage'!$E$40</definedName>
    <definedName name="BilanPoulaillersPintades">'bâtiments d''élevage'!$E$39</definedName>
    <definedName name="BilanPoulaillersVolailles">'bâtiments d''élevage'!$E$38</definedName>
    <definedName name="BilanStabu">'bâtiments d''élevage'!$E$31</definedName>
    <definedName name="bio">BDD!$M$28</definedName>
    <definedName name="Bisons">'pâtures et foin'!$B$15</definedName>
    <definedName name="Blé">'coût alimentation'!$B$11</definedName>
    <definedName name="BléNécessaireBQ">'coût alimentation'!$C$11</definedName>
    <definedName name="BléNécessaireMaQ">'coût alimentation'!$E$11</definedName>
    <definedName name="BléNécessaireMoQ">'coût alimentation'!$D$11</definedName>
    <definedName name="BONNE">BDD!$J$2</definedName>
    <definedName name="BouchonsLuzerne">'coût alimentation'!$B$12</definedName>
    <definedName name="BouchonsLuzerneNécessaireBQ">'coût alimentation'!$C$12</definedName>
    <definedName name="BouchonsLuzerneNécessaireMaQ">'coût alimentation'!$E$12</definedName>
    <definedName name="BouchonsLuzerneNécessaireMoQ">'coût alimentation'!$D$12</definedName>
    <definedName name="Bovins">'pâtures et foin'!$B$12</definedName>
    <definedName name="BovinsAuPré">AnimauxAuPré[bovins]</definedName>
    <definedName name="CalculGainLaitBovins">BDD!$I$128:$Q$137</definedName>
    <definedName name="CalculGainLaitCaprins">BDD!$I$140:$Q$149</definedName>
    <definedName name="CalculGainLaitOvins">BDD!$I$152:$Q$161</definedName>
    <definedName name="CalculGainOeufsPoules">BDD!$I$165:$Q$165</definedName>
    <definedName name="CANADA">BDD!$M$9</definedName>
    <definedName name="caneton_femelle_0_3_mois">animaux!$C$155</definedName>
    <definedName name="caneton_mâle_0_3_mois">animaux!$C$154</definedName>
    <definedName name="Canola">'coût alimentation'!$B$13</definedName>
    <definedName name="CanolaNécessaireBQ">'coût alimentation'!$C$13</definedName>
    <definedName name="CanolaNécessaireMaQ">'coût alimentation'!$E$13</definedName>
    <definedName name="CanolaNécessaireMoQ">'coût alimentation'!$D$13</definedName>
    <definedName name="Caprins">'pâtures et foin'!$B$14</definedName>
    <definedName name="ChanvreIndustriel">BDD!$HK$7</definedName>
    <definedName name="ChevauxSelle">'pâtures et foin'!$B$17</definedName>
    <definedName name="ChevauxTrait">'pâtures et foin'!$B$18</definedName>
    <definedName name="chevreau_0_3_mois">animaux!$C$45</definedName>
    <definedName name="chevreau_3_6_mois">animaux!$C$47</definedName>
    <definedName name="Chèvrerie">'bâtiments d''élevage'!$B$32</definedName>
    <definedName name="chevrette_0_3_mois">animaux!$C$46</definedName>
    <definedName name="chevrette_3_6_mois">animaux!$C$48</definedName>
    <definedName name="ChoixBovinsPréEté">animaux!$M$8</definedName>
    <definedName name="ChoixBovinsPréHiver">animaux!$M$11</definedName>
    <definedName name="ChoixCaprinsPréEté">animaux!$M$45</definedName>
    <definedName name="ChoixChevauxSellePréEté">animaux!$J$235</definedName>
    <definedName name="ChoixChevauxSellePréHiver">animaux!$M$235</definedName>
    <definedName name="ChoixChevauxTraitPréEté">animaux!$J$249</definedName>
    <definedName name="ChoixChevauxTraitPréHiver">animaux!$M$249</definedName>
    <definedName name="ChoixElevageBovins">animaux!$J$8</definedName>
    <definedName name="ChoixElevageLapins">animaux!$J$121</definedName>
    <definedName name="ChoixElevagePintades">animaux!$J$102</definedName>
    <definedName name="ChoixElevagePorcins">animaux!$J$64</definedName>
    <definedName name="ChoixElevageVolailles">animaux!$J$83</definedName>
    <definedName name="ChoixEspèceAuPré">'pâtures et foin'!$D$24:$BA$24</definedName>
    <definedName name="ChoixExpèceAuPré">'pâtures et foin'!$D$24:$BA$24</definedName>
    <definedName name="ChoixOvinsPréEté">animaux!$M$199</definedName>
    <definedName name="ChoixOvinsPréHiver">animaux!$M$202</definedName>
    <definedName name="ChoixPaillageBovins">animaux!$K$23</definedName>
    <definedName name="ChoixPaillageCanards">animaux!$K$165</definedName>
    <definedName name="ChoixPaillageCaprins">animaux!$K$56</definedName>
    <definedName name="ChoixPaillageChevauxSelle">animaux!$K$243</definedName>
    <definedName name="ChoixPaillageChevauxTrait">animaux!$K$257</definedName>
    <definedName name="ChoixPaillageLapins">animaux!$K$133</definedName>
    <definedName name="ChoixPaillageOies">animaux!$K$149</definedName>
    <definedName name="ChoixPaillageOiesFoieGras">animaux!$K$181</definedName>
    <definedName name="ChoixPaillageOvins">animaux!$K$210</definedName>
    <definedName name="ChoixPaillagePintades">animaux!$K$113</definedName>
    <definedName name="ChoixPaillagePoneys">animaux!$K$271</definedName>
    <definedName name="ChoixPaillagePorcins">animaux!$K$75</definedName>
    <definedName name="ChoixPaillageVolailles">animaux!$K$94</definedName>
    <definedName name="ChoixPaysPartie">animaux!$D$4</definedName>
    <definedName name="ChoixPoneysPréEté">animaux!$J$263</definedName>
    <definedName name="ChoixPoneysPréHiver">animaux!$M$263</definedName>
    <definedName name="ChoixRationBisons">animaux!$J$28</definedName>
    <definedName name="ChoixRationBovins">animaux!$J$11</definedName>
    <definedName name="ChoixRationCanards">animaux!$J$154</definedName>
    <definedName name="ChoixRationCaprins">animaux!$J$45</definedName>
    <definedName name="ChoixRationComplèteBisons">animaux!$J$31</definedName>
    <definedName name="ChoixRationComplèteBovins">animaux!$J$14</definedName>
    <definedName name="ChoixRationComplèteCanards">animaux!$J$157</definedName>
    <definedName name="ChoixRationComplèteCaprins">animaux!$J$48</definedName>
    <definedName name="ChoixRationComplèteDaims">animaux!$J$218</definedName>
    <definedName name="ChoixRationComplèteEtéChevauxSelle">animaux!$J$238</definedName>
    <definedName name="ChoixRationComplèteEtéChevauxTrait">animaux!$J$252</definedName>
    <definedName name="ChoixRationComplèteEtéPoneys">animaux!$J$266</definedName>
    <definedName name="ChoixRationComplèteFoieGrasCanards">animaux!$J$189</definedName>
    <definedName name="ChoixRationComplèteFoieGrasOies">animaux!$J$173</definedName>
    <definedName name="ChoixRationComplèteLapins">animaux!$J$124</definedName>
    <definedName name="ChoixRationComplèteOies">animaux!$J$141</definedName>
    <definedName name="ChoixRationComplèteOvins">animaux!$J$202</definedName>
    <definedName name="ChoixRationComplètePintades">animaux!$J$105</definedName>
    <definedName name="ChoixRationComplètePorcins">animaux!$J$67</definedName>
    <definedName name="ChoixRationComplètePoules">animaux!$J$86</definedName>
    <definedName name="ChoixRationDaims">animaux!$J$215</definedName>
    <definedName name="ChoixRationFoieGrasCanards">animaux!$J$186</definedName>
    <definedName name="ChoixRationFoieGrasOies">animaux!$J$170</definedName>
    <definedName name="ChoixRationHivernaleComplèteBovins">animaux!$M$14</definedName>
    <definedName name="ChoixRationHivernaleComplèteChevauxSelle">animaux!$M$238</definedName>
    <definedName name="ChoixRationHivernaleComplèteChevauxTrait">animaux!$M$252</definedName>
    <definedName name="ChoixRationHivernaleComplètePoneys">animaux!$M$266</definedName>
    <definedName name="ChoixRationHivernaleOvinsComplète">animaux!$M$205</definedName>
    <definedName name="ChoixRationLapins">animaux!$J$118</definedName>
    <definedName name="ChoixRationOies">animaux!$J$138</definedName>
    <definedName name="ChoixRationOvins">animaux!$J$199</definedName>
    <definedName name="ChoixRationPintades">animaux!$J$99</definedName>
    <definedName name="ChoixRationPorcins">animaux!$J$61</definedName>
    <definedName name="ChoixRationVolailles">animaux!$J$80</definedName>
    <definedName name="ChoixSéparationEcuries">'bâtiments d''élevage'!$N$21</definedName>
    <definedName name="ChoixSéparationParcsVolailles">'bâtiments d''élevage'!$N$15</definedName>
    <definedName name="ChoixSéparationPoulaillers">'bâtiments d''élevage'!$N$14</definedName>
    <definedName name="ChoixSpécificité1Bisons">animaux!$J$37</definedName>
    <definedName name="ChoixSpécificité1FoieGrasCanards">animaux!$J$195</definedName>
    <definedName name="ChoixSpécificité1FoieGrasOies">animaux!$J$179</definedName>
    <definedName name="ChoixSpécificité2Bisons">animaux!$J$38</definedName>
    <definedName name="ChoixSpécificité2FoieGrasCanards">animaux!$J$196</definedName>
    <definedName name="ChoixSpécificité2FoieGrasOies">animaux!$J$180</definedName>
    <definedName name="ChoixVaccinBisons">animaux!$K$40</definedName>
    <definedName name="ChoixVaccinBovins">animaux!$K$24</definedName>
    <definedName name="ChoixVaccinCanards">animaux!$K$166</definedName>
    <definedName name="ChoixVaccinCaprins">animaux!$K$57</definedName>
    <definedName name="ChoixVaccinChevauxSelle">animaux!$K$244</definedName>
    <definedName name="ChoixVaccinChevauxTrait">animaux!$K$258</definedName>
    <definedName name="ChoixVaccinDaims">animaux!$K$227</definedName>
    <definedName name="ChoixVaccinLapins">animaux!$K$134</definedName>
    <definedName name="ChoixVaccinOies">animaux!$K$150</definedName>
    <definedName name="ChoixVaccinOiesFoieGras">animaux!$K$182</definedName>
    <definedName name="ChoixVaccinOvins">animaux!$K$211</definedName>
    <definedName name="ChoixVaccinPintades">animaux!$K$114</definedName>
    <definedName name="ChoixVaccinPoneys">animaux!$K$272</definedName>
    <definedName name="ChoixVaccinPorcins">animaux!$K$76</definedName>
    <definedName name="ChoixVaccinVolailles">animaux!$K$95</definedName>
    <definedName name="Clapiers">'bâtiments d''élevage'!$B$36</definedName>
    <definedName name="CliquesIci">animaux!$C$1</definedName>
    <definedName name="Colza">'coût alimentation'!$B$14</definedName>
    <definedName name="ColzaNécessaireBQ">'coût alimentation'!$C$14</definedName>
    <definedName name="ColzaNécessaireMaQ">'coût alimentation'!$E$14</definedName>
    <definedName name="ColzaNécessaireMoQ">'coût alimentation'!$D$14</definedName>
    <definedName name="CommandeAvoineBQ">'coût alimentation'!$F$9</definedName>
    <definedName name="CommandeAvoineMaQ">'coût alimentation'!$H$9</definedName>
    <definedName name="CommandeAvoineMoQ">'coût alimentation'!$G$9</definedName>
    <definedName name="CommandeBetteraveBQ">'coût alimentation'!$F$10</definedName>
    <definedName name="CommandeBetteraveMaQ">'coût alimentation'!$H$10</definedName>
    <definedName name="CommandeBetteraveMoQ">'coût alimentation'!$G$10</definedName>
    <definedName name="CommandeBléBQ">'coût alimentation'!$F$11</definedName>
    <definedName name="CommandeBléMaQ">'coût alimentation'!$H$11</definedName>
    <definedName name="CommandeBléMoQ">'coût alimentation'!$G$11</definedName>
    <definedName name="CommandeBouchonLuzerneBQ">'coût alimentation'!$F$12</definedName>
    <definedName name="CommandeBouchonLuzerneMaQ">'coût alimentation'!$H$12</definedName>
    <definedName name="CommandeBouchonLuzerneMoQ">'coût alimentation'!$G$12</definedName>
    <definedName name="CommandeCanolaBQ">'coût alimentation'!$F$13</definedName>
    <definedName name="CommandeCanolaMaQ">'coût alimentation'!$H$13</definedName>
    <definedName name="CommandeCanolaMoQ">'coût alimentation'!$G$13</definedName>
    <definedName name="CommandeColzaBQ">'coût alimentation'!$F$14</definedName>
    <definedName name="CommandeColzaMaQ">'coût alimentation'!$H$14</definedName>
    <definedName name="CommandeColzaMoQ">'coût alimentation'!$G$14</definedName>
    <definedName name="CommandeConcentréBovinsBQ">'coût alimentation'!$F$15</definedName>
    <definedName name="CommandeConcentréBovinsMaQ">'coût alimentation'!$H$15</definedName>
    <definedName name="CommandeConcentréBovinsMoQ">'coût alimentation'!$G$15</definedName>
    <definedName name="CommandeConcentréLapinsBQ">'coût alimentation'!$F$16</definedName>
    <definedName name="CommandeConcentréLapinsMaQ">'coût alimentation'!$H$16</definedName>
    <definedName name="CommandeConcentréLapinsMoQ">'coût alimentation'!$G$16</definedName>
    <definedName name="CommandeConcentréPorcinsBQ">'coût alimentation'!$F$17</definedName>
    <definedName name="CommandeConcentréPorcinsMaQ">'coût alimentation'!$H$17</definedName>
    <definedName name="CommandeConcentréPorcinsMoQ">'coût alimentation'!$G$17</definedName>
    <definedName name="CommandeEau">'coût alimentation'!$F$19</definedName>
    <definedName name="CommandeEnsilageHerbeBQ">'coût alimentation'!$F$18</definedName>
    <definedName name="CommandeEnsilageHerbeMaQ">'coût alimentation'!$H$18</definedName>
    <definedName name="CommandeEnsilageHerbeMoQ">'coût alimentation'!$G$18</definedName>
    <definedName name="CommandeFeveroleBQ">'coût alimentation'!$F$20</definedName>
    <definedName name="CommandeFeveroleMaQ">'coût alimentation'!$H$20</definedName>
    <definedName name="CommandeFeveroleMoQ">'coût alimentation'!$G$20</definedName>
    <definedName name="CommandeFoinBQ">'coût alimentation'!$F$21</definedName>
    <definedName name="CommandeFoinMaQ">'coût alimentation'!$H$21</definedName>
    <definedName name="CommandeFoinMoQ">'coût alimentation'!$G$21</definedName>
    <definedName name="CommandeMaïsEnsiléBQ">'coût alimentation'!$F$22</definedName>
    <definedName name="CommandeMaïsEnsiléMaQ">'coût alimentation'!$H$22</definedName>
    <definedName name="CommandeMaïsEnsiléMoQ">'coût alimentation'!$G$22</definedName>
    <definedName name="CommandeMaïsGrainBQ">'coût alimentation'!$F$23</definedName>
    <definedName name="CommandeMaïsGrainMaQ">'coût alimentation'!$H$23</definedName>
    <definedName name="CommandeMaïsGrainMoQ">'coût alimentation'!$G$23</definedName>
    <definedName name="CommandeMinérauxBQ">'coût alimentation'!$F$24</definedName>
    <definedName name="CommandeMinérauxMaQ">'coût alimentation'!$H$24</definedName>
    <definedName name="CommandeMinérauxMoQ">'coût alimentation'!$G$24</definedName>
    <definedName name="CommandeOrgeBQ">'coût alimentation'!$F$25</definedName>
    <definedName name="CommandeOrgeMaQ">'coût alimentation'!$H$25</definedName>
    <definedName name="CommandeOrgeMoQ">'coût alimentation'!$G$25</definedName>
    <definedName name="CommandePailleBQ">'coût alimentation'!$F$26</definedName>
    <definedName name="CommandePailleMaQ">'coût alimentation'!$H$26</definedName>
    <definedName name="CommandePailleMoQ">'coût alimentation'!$G$26</definedName>
    <definedName name="CommandePoisBQ">'coût alimentation'!$F$27</definedName>
    <definedName name="CommandePoisMaQ">'coût alimentation'!$H$27</definedName>
    <definedName name="CommandePoisMoQ">'coût alimentation'!$G$27</definedName>
    <definedName name="CommandeRationBisonsBQ">'coût alimentation'!$F$37</definedName>
    <definedName name="CommandeRationBisonsMaQ">'coût alimentation'!$H$37</definedName>
    <definedName name="CommandeRationBisonsMoQ">'coût alimentation'!$G$37</definedName>
    <definedName name="CommandeRationBovinBQ">'coût alimentation'!$F$35</definedName>
    <definedName name="CommandeRationBovinMaQ">'coût alimentation'!$H$35</definedName>
    <definedName name="CommandeRationBovinMoQ">'coût alimentation'!$G$35</definedName>
    <definedName name="CommandeRationCanardBQ">'coût alimentation'!$F$44</definedName>
    <definedName name="CommandeRationCanardMaQ">'coût alimentation'!$H$44</definedName>
    <definedName name="CommandeRationCanardMoQ">'coût alimentation'!$G$44</definedName>
    <definedName name="CommandeRationCaprinsBQ">'coût alimentation'!$F$38</definedName>
    <definedName name="CommandeRationCaprinsMaQ">'coût alimentation'!$H$38</definedName>
    <definedName name="CommandeRationCaprinsMoQ">'coût alimentation'!$G$38</definedName>
    <definedName name="CommandeRationChevauxSelleBQ">'coût alimentation'!$F$48</definedName>
    <definedName name="CommandeRationChevauxSelleMaQ">'coût alimentation'!$H$48</definedName>
    <definedName name="CommandeRationChevauxSelleMoQ">'coût alimentation'!$G$48</definedName>
    <definedName name="CommandeRationChevauxTraitBQ">'coût alimentation'!$F$49</definedName>
    <definedName name="CommandeRationChevauxTraitMaQ">'coût alimentation'!$H$49</definedName>
    <definedName name="CommandeRationChevauxTraitMoQ">'coût alimentation'!$G$49</definedName>
    <definedName name="CommandeRationDaimsBQ">'coût alimentation'!$F$47</definedName>
    <definedName name="CommandeRationDaimsMaQ">'coût alimentation'!$H$47</definedName>
    <definedName name="CommandeRationDaimsMoQ">'coût alimentation'!$G$47</definedName>
    <definedName name="CommandeRationHiverBovinBQ">'coût alimentation'!$F$36</definedName>
    <definedName name="CommandeRationHiverBovinMaQ">'coût alimentation'!$H$36</definedName>
    <definedName name="CommandeRationHiverBovinMoQ">'coût alimentation'!$G$36</definedName>
    <definedName name="CommandeRationHiverOvinBQ">'coût alimentation'!$F$46</definedName>
    <definedName name="CommandeRationHiverOvinMaQ">'coût alimentation'!$H$46</definedName>
    <definedName name="CommandeRationHiverOvinMoQ">'coût alimentation'!$G$46</definedName>
    <definedName name="CommandeRationLapinBQ">'coût alimentation'!$F$42</definedName>
    <definedName name="CommandeRationLapinMaQ">'coût alimentation'!$H$42</definedName>
    <definedName name="CommandeRationLapinMoQ">'coût alimentation'!$G$42</definedName>
    <definedName name="CommandeRationOieBQ">'coût alimentation'!$F$43</definedName>
    <definedName name="CommandeRationOieMaQ">'coût alimentation'!$H$43</definedName>
    <definedName name="CommandeRationOieMoQ">'coût alimentation'!$G$43</definedName>
    <definedName name="CommandeRationOvinBQ">'coût alimentation'!$F$45</definedName>
    <definedName name="CommandeRationOvinMaQ">'coût alimentation'!$H$45</definedName>
    <definedName name="CommandeRationOvinMoQ">'coût alimentation'!$G$45</definedName>
    <definedName name="CommandeRationPintadesBQ">'coût alimentation'!$F$41</definedName>
    <definedName name="CommandeRationPintadesMaQ">'coût alimentation'!$H$41</definedName>
    <definedName name="CommandeRationPintadesMoQ">'coût alimentation'!$G$41</definedName>
    <definedName name="CommandeRationPoneysBQ">'coût alimentation'!$F$50</definedName>
    <definedName name="CommandeRationPoneysMaQ">'coût alimentation'!$H$50</definedName>
    <definedName name="CommandeRationPoneysMoQ">'coût alimentation'!$G$50</definedName>
    <definedName name="CommandeRationPorcinsBQ">'coût alimentation'!$F$39</definedName>
    <definedName name="CommandeRationPorcinsMaQ">'coût alimentation'!$H$39</definedName>
    <definedName name="CommandeRationPorcinsMoQ">'coût alimentation'!$G$39</definedName>
    <definedName name="CommandeRationVolaillesBQ">'coût alimentation'!$F$40</definedName>
    <definedName name="CommandeRationVolaillesMaQ">'coût alimentation'!$H$40</definedName>
    <definedName name="CommandeRationVolaillesMoQ">'coût alimentation'!$G$40</definedName>
    <definedName name="CommandeSeigleBQ">'coût alimentation'!$F$28</definedName>
    <definedName name="CommandeSeigleMaQ">'coût alimentation'!$H$28</definedName>
    <definedName name="CommandeSeigleMoQ">'coût alimentation'!$G$28</definedName>
    <definedName name="CommandeSojaBQ">'coût alimentation'!$F$29</definedName>
    <definedName name="CommandeSojaMaQ">'coût alimentation'!$H$29</definedName>
    <definedName name="CommandeSojaMoQ">'coût alimentation'!$G$29</definedName>
    <definedName name="CommandeSorghoEnsiléBQ">'coût alimentation'!$F$30</definedName>
    <definedName name="CommandeSorghoEnsiléMaQ">'coût alimentation'!$H$30</definedName>
    <definedName name="CommandeSorghoEnsiléMoQ">'coût alimentation'!$G$30</definedName>
    <definedName name="CommandeTournesolBQ">'coût alimentation'!$F$31</definedName>
    <definedName name="CommandeTournesolMaQ">'coût alimentation'!$H$31</definedName>
    <definedName name="CommandeTournesolMoQ">'coût alimentation'!$G$31</definedName>
    <definedName name="CommandeTourteauColzaBQ">'coût alimentation'!$F$32</definedName>
    <definedName name="CommandeTourteauColzaMaQ">'coût alimentation'!$H$32</definedName>
    <definedName name="CommandeTourteauColzaMoQ">'coût alimentation'!$G$32</definedName>
    <definedName name="CommandeTourteauTournesolBQ">'coût alimentation'!$F$33</definedName>
    <definedName name="CommandeTourteauTournesolMaQ">'coût alimentation'!$H$33</definedName>
    <definedName name="CommandeTourteauTournesolMoQ">'coût alimentation'!$G$33</definedName>
    <definedName name="CommandeTriticaleBQ">'coût alimentation'!$F$34</definedName>
    <definedName name="CommandeTriticaleMaQ">'coût alimentation'!$H$34</definedName>
    <definedName name="CommandeTriticaleMoQ">'coût alimentation'!$G$34</definedName>
    <definedName name="ConcentréBovins">'coût alimentation'!$B$15</definedName>
    <definedName name="ConcentréBovinsNécessaireBQ">'coût alimentation'!$C$15</definedName>
    <definedName name="ConcentréBovinsNécessaireMaQ">'coût alimentation'!$E$15</definedName>
    <definedName name="ConcentréBovinsNécessaireMoQ">'coût alimentation'!$D$15</definedName>
    <definedName name="ConcentréLapins">'coût alimentation'!$B$16</definedName>
    <definedName name="ConcentréLapinsNécessaireBQ">'coût alimentation'!$C$16</definedName>
    <definedName name="ConcentréLapinsNécessaireMaQ">'coût alimentation'!$E$16</definedName>
    <definedName name="ConcentréLapinsNécessaireMoQ">'coût alimentation'!$D$16</definedName>
    <definedName name="ConcentréPorcins">'coût alimentation'!$B$17</definedName>
    <definedName name="ConcentréPorcinsNécessaireBQ">'coût alimentation'!$C$17</definedName>
    <definedName name="ConcentréPorcinsNécessaireMaQ">'coût alimentation'!$E$17</definedName>
    <definedName name="ConcentréPorcinsNécessaireMoQ">'coût alimentation'!$D$17</definedName>
    <definedName name="conventionnel">BDD!$M$27</definedName>
    <definedName name="CoutBatiments">cout_et_consommation_batiments[[Batiments]:[Coût/unité]]</definedName>
    <definedName name="CoutEcurie">BDD!$C$10</definedName>
    <definedName name="CoutPaillageAnnuelBovins">animaux!$L$23</definedName>
    <definedName name="CoutPaillageAnnuelCanards">animaux!$L$165</definedName>
    <definedName name="CoutPaillageAnnuelCaprins">animaux!$L$56</definedName>
    <definedName name="CoutPaillageAnnuelChevauxSelle">animaux!$L$243</definedName>
    <definedName name="CoutPaillageAnnuelChevauxTrait">animaux!$L$257</definedName>
    <definedName name="CoutPaillageAnnuelLapins">animaux!$L$133</definedName>
    <definedName name="CoutPaillageAnnuelOies">animaux!$L$149</definedName>
    <definedName name="CoutPaillageAnnuelOvins">animaux!$L$210</definedName>
    <definedName name="CoutPaillageAnnuelPintades">animaux!$L$113</definedName>
    <definedName name="CoutPaillageAnnuelPoneys">animaux!$L$271</definedName>
    <definedName name="CoutPaillageAnnuelPorcins">animaux!$L$75</definedName>
    <definedName name="CoutPaillageAnnuelVolailles">animaux!$L$94</definedName>
    <definedName name="CoutParcVolailles">BDD!$C$44</definedName>
    <definedName name="CoutPoulailler">BDD!$C$17</definedName>
    <definedName name="Cultures">BDD!$L$3</definedName>
    <definedName name="Daims">'pâtures et foin'!$B$16</definedName>
    <definedName name="DuréeDeStockage">'coût alimentation'!$B$6</definedName>
    <definedName name="DuréePhaseElevage0_1">BDD!$FY$11</definedName>
    <definedName name="DuréePhaseElevage1_2">BDD!$FY$12</definedName>
    <definedName name="DuréePhaseElevage2_3">BDD!$FY$13</definedName>
    <definedName name="DuréePhaseGavageCanards">BDD!$FY$18</definedName>
    <definedName name="DuréePhaseGavageOie">BDD!$FY$17</definedName>
    <definedName name="Eau">'coût alimentation'!$B$19</definedName>
    <definedName name="EauNécessaire">'coût alimentation'!$C$19</definedName>
    <definedName name="EcuriesPoneys">'bâtiments d''élevage'!$B$48</definedName>
    <definedName name="EcuriesSelle">'bâtiments d''élevage'!$B$46</definedName>
    <definedName name="EcuriesTrait">'bâtiments d''élevage'!$B$47</definedName>
    <definedName name="Elevage">BDD!$L$2</definedName>
    <definedName name="ElevageLapinsConventionnel">BDD!$CW$13</definedName>
    <definedName name="ElevagePintadesIntensif">BDD!$DG$4</definedName>
    <definedName name="ElevagePorcinsCaillebottis">BDD!$CJ$5</definedName>
    <definedName name="ElevagePorcinsLitière">BDD!$CJ$4</definedName>
    <definedName name="ElevagePorcinsPleinAir">BDD!$CJ$6</definedName>
    <definedName name="ElevageVolaillesIntensif">BDD!$CZ$4</definedName>
    <definedName name="EnsilageHerbe">'coût alimentation'!$B$18</definedName>
    <definedName name="EnsilageHerbeNécessaireBQ">'coût alimentation'!$C$18</definedName>
    <definedName name="EnsilageHerbeNécessaireMaQ">'coût alimentation'!$E$18</definedName>
    <definedName name="EnsilageHerbeNécessaireMoQ">'coût alimentation'!$D$18</definedName>
    <definedName name="faon_mâle_0_3_mois">animaux!$C$215</definedName>
    <definedName name="faon_mâle_3_6_mois">animaux!$C$217</definedName>
    <definedName name="faon_mâle_6_12_mois">animaux!$C$219</definedName>
    <definedName name="FaonFemelle_0_3_mois">animaux!$C$216</definedName>
    <definedName name="FaonFemelle_3_6_mois">animaux!$C$218</definedName>
    <definedName name="FaonFemelle_6_12_mois">animaux!$C$220</definedName>
    <definedName name="Féverole">'coût alimentation'!$B$20</definedName>
    <definedName name="FéveroleNécessaireBQ">'coût alimentation'!$C$20</definedName>
    <definedName name="FéveroleNécessaireMaQ">'coût alimentation'!$E$20</definedName>
    <definedName name="FéveroleNécessaireMoQ">'coût alimentation'!$D$20</definedName>
    <definedName name="FoieGrasCanetons_0_1mois">animaux!$C$187</definedName>
    <definedName name="FoieGrasCanetons_1_2mois">animaux!$C$188</definedName>
    <definedName name="FoieGrasCanetons_2_3mois">animaux!$C$189</definedName>
    <definedName name="FoieGrasJeunesOies_3moisEtPlus">animaux!$G$171</definedName>
    <definedName name="FoieGrasOison_0_1mois">animaux!$C$171</definedName>
    <definedName name="FoieGrasOison_1_2mois">animaux!$C$172</definedName>
    <definedName name="FoieGrasOison_2_3mois">animaux!$C$173</definedName>
    <definedName name="FoieGrasTotalOisons">animaux!$C$171:$C$173</definedName>
    <definedName name="Foin">'coût alimentation'!$B$21</definedName>
    <definedName name="FoinNécessaireBQ">'coût alimentation'!$C$21</definedName>
    <definedName name="FoinNécessaireMaQ">'coût alimentation'!$E$21</definedName>
    <definedName name="FoinNécessaireMoQ">'coût alimentation'!$D$21</definedName>
    <definedName name="France">BDD!$M$6</definedName>
    <definedName name="HerbeMangéeParAgneauParJour">BDD!$DO$40</definedName>
    <definedName name="HerbeMangéeParBélierParJour">BDD!$DO$36</definedName>
    <definedName name="HerbeMangéeParBoucParJour">BDD!$BZ$17</definedName>
    <definedName name="HerbeMangéeParBrebisParJour">BDD!$DO$37</definedName>
    <definedName name="HerbeMangéeParChevauxSelleAdultesParJour">BDD!$EV$34</definedName>
    <definedName name="HerbeMangéeParChevauxTraitAdultesParJour">BDD!$FE$28</definedName>
    <definedName name="HerbeMangéeParChevreauParJour">BDD!$BZ$21</definedName>
    <definedName name="HerbeMangéeParChèvreParJour">BDD!$BZ$18</definedName>
    <definedName name="HerbeMangéeParDaimParJour">BDD!$ED$4</definedName>
    <definedName name="HerbeMangéeParFaonParJour">BDD!$ED$8</definedName>
    <definedName name="HerbeMangéeParGenisseParJour">BDD!$BG$40</definedName>
    <definedName name="HerbeMangéeParJeuneBélierEtJeuneBrebisParJour">BDD!$DO$38</definedName>
    <definedName name="HerbeMangéeParJeuneBoucEtJeuneChèvreParJour">BDD!$BZ$20</definedName>
    <definedName name="HerbeMangéeParJeuneChevauxTraitParJour">BDD!$FE$26</definedName>
    <definedName name="HerbeMangéeParJeuneDaimParJour">BDD!$ED$6</definedName>
    <definedName name="HerbeMangéeParJeunePoneyParJour">BDD!$FO$25</definedName>
    <definedName name="HerbeMangéeParJeunesChevauxSelleParJour">BDD!$EV$33</definedName>
    <definedName name="HerbeMangéeParPoneyAdulteParJour">BDD!$FO$27</definedName>
    <definedName name="HerbeMangéeParPoulainPoneyParJour">BDD!$FO$24</definedName>
    <definedName name="HerbeMangéeParPoulainSelleParJour">BDD!$EV$31</definedName>
    <definedName name="HerbeMangéeParPoulainTraitParJour">BDD!$FE$25</definedName>
    <definedName name="HerbeMangéeParTaureauParJour">BDD!$BG$37</definedName>
    <definedName name="HerbeMangéeParTaurillonParJour">BDD!$BG$39</definedName>
    <definedName name="HerbeMangéeParVacheParJour">BDD!$BG$38</definedName>
    <definedName name="HerbeMangéeParVeauParJour">BDD!$BG$41</definedName>
    <definedName name="jars">animaux!$C$142</definedName>
    <definedName name="jeune_bouc_6_12_mois">animaux!$C$49</definedName>
    <definedName name="jeune_canard_3_6_mois">animaux!$C$156</definedName>
    <definedName name="jeune_cane_3_6_mois">animaux!$C$157</definedName>
    <definedName name="jeune_chèvre_6_12_mois">animaux!$C$50</definedName>
    <definedName name="jeune_jars_3_6_mois">animaux!$C$140</definedName>
    <definedName name="jeune_oie_3_6_mois">animaux!$C$141</definedName>
    <definedName name="jeune_truie_3_6_mois">animaux!$C$66</definedName>
    <definedName name="jeune_truie_6_12_mois">animaux!$C$68</definedName>
    <definedName name="jeune_verrat_3_6_mois">animaux!$C$65</definedName>
    <definedName name="jeune_verrat_6_12_mois">animaux!$C$67</definedName>
    <definedName name="JeuneCoq_1_6_mois">animaux!$C$82</definedName>
    <definedName name="JeuneDaim_12_18_mois">animaux!$C$221</definedName>
    <definedName name="JeuneDaim_18_24_mois">animaux!$C$223</definedName>
    <definedName name="JeuneDaim_24_36_mois">animaux!$C$225</definedName>
    <definedName name="JeuneDaine_12_18_mois">animaux!$C$222</definedName>
    <definedName name="JeuneDaine_18_24_mois">animaux!$C$224</definedName>
    <definedName name="JeuneDaine_24_36_mois">animaux!$C$226</definedName>
    <definedName name="JeunePintadeFemelle_1_9_mois">animaux!$C$102</definedName>
    <definedName name="JeunePintadeMâle_1_9_mois">animaux!$C$101</definedName>
    <definedName name="JeunePoule_1_6_mois">animaux!$C$83</definedName>
    <definedName name="ListeBovins" localSheetId="3">animaux!$AC:$AC</definedName>
    <definedName name="ListeCatégorie" localSheetId="7">[1]hangars!$W$1:$X$1</definedName>
    <definedName name="ListeCatégorie">BDD!$GE$1:$GF$1</definedName>
    <definedName name="ListeChevauxSelle" localSheetId="7">'[1]chevaux de selle'!$AC:$AC</definedName>
    <definedName name="ListeChevauxSelle">'[2]chevaux de selle'!$AC:$AC</definedName>
    <definedName name="ListeChevauxTrait" localSheetId="7">'[1]chevaux de trait'!$AC:$AC</definedName>
    <definedName name="ListeChevauxTrait">'[2]chevaux de trait'!$AC:$AC</definedName>
    <definedName name="ListeCultures">parcelles!$X:$X</definedName>
    <definedName name="ListeCulturesBDD">BDD!$HK$3:$HK$30</definedName>
    <definedName name="ListeDivers" localSheetId="7">[1]hangars!$X:$X</definedName>
    <definedName name="ListeDivers">BDD!$GF:$GF</definedName>
    <definedName name="ListeMatériels" localSheetId="7">[1]hangars!$W:$W</definedName>
    <definedName name="ListeMatériels">BDD!$GE:$GE</definedName>
    <definedName name="ListeModèles" localSheetId="7">[1]hangars!$Z:$Z</definedName>
    <definedName name="ListeModèles">BDD!$GG:$GG</definedName>
    <definedName name="ListePays" localSheetId="7">[1]bovins!$AB$3:$AF$3</definedName>
    <definedName name="ListePays">BDD!$HE$1:$HI$1</definedName>
    <definedName name="ListePoneys" localSheetId="7">[1]poneys!$AC:$AC</definedName>
    <definedName name="ListePoneys">[2]poneys!$AC:$AC</definedName>
    <definedName name="ListeRegions" localSheetId="7">'[1]semences, engrais et traitement'!$AD:$AD</definedName>
    <definedName name="ListeRegions" localSheetId="10">BDD!$HE:$HE</definedName>
    <definedName name="ListeRegions">BDD!$HE:$HE</definedName>
    <definedName name="ListeVergersBDD">BDD!$HK$32:$HK$42</definedName>
    <definedName name="Luzerne">BDD!$HK$15</definedName>
    <definedName name="MaïsEnsilé">'coût alimentation'!$B$22</definedName>
    <definedName name="MaïsEnsiléNécessaireBQ">'coût alimentation'!$C$22</definedName>
    <definedName name="MaïsEnsiléNécessaireMaQ">'coût alimentation'!$E$22</definedName>
    <definedName name="MaïsEnsiléNécessaireMoQ">'coût alimentation'!$D$22</definedName>
    <definedName name="MaïsGrain">'coût alimentation'!$B$23</definedName>
    <definedName name="MaïsGrainNécessaireBQ">'coût alimentation'!$C$23</definedName>
    <definedName name="MaïsGrainNécessaireMaQ">'coût alimentation'!$E$23</definedName>
    <definedName name="MaïsGrainNécessaireMoQ">'coût alimentation'!$D$23</definedName>
    <definedName name="MAUVAISE">BDD!$J$4</definedName>
    <definedName name="Minéraux">'coût alimentation'!$B$24</definedName>
    <definedName name="MinérauxNécessaireBQ">'coût alimentation'!$C$24</definedName>
    <definedName name="MinérauxNécessaireMaQ">'coût alimentation'!$E$24</definedName>
    <definedName name="MinérauxNécessaireMoQ">'coût alimentation'!$D$24</definedName>
    <definedName name="Miscanthus">BDD!$HK$18</definedName>
    <definedName name="Moutarde">BDD!$HK$19</definedName>
    <definedName name="MOYENNE">BDD!$J$3</definedName>
    <definedName name="NbreBisonsFemellesAuPré_0_3Mois">BDD!$S$92</definedName>
    <definedName name="NbreBisonsFemellesAuPré_12_18Mois">BDD!$S$98</definedName>
    <definedName name="NbreBisonsFemellesAuPré_18_24Mois">BDD!$S$100</definedName>
    <definedName name="NbreBisonsFemellesAuPré_24_36Mois">BDD!$S$102</definedName>
    <definedName name="NbreBisonsFemellesAuPré_3_6Mois">BDD!$S$94</definedName>
    <definedName name="NbreBisonsFemellesAuPré_3AnsEtPlus">BDD!$S$104</definedName>
    <definedName name="NbreBisonsFemellesAuPré_6_12Mois">BDD!$S$96</definedName>
    <definedName name="NbreBisonsMâlesAuPré_0_3Mois">BDD!$S$91</definedName>
    <definedName name="NbreBisonsMâlesAuPré_12_18Mois">BDD!$S$97</definedName>
    <definedName name="NbreBisonsMâlesAuPré_18_24Mois">BDD!$S$99</definedName>
    <definedName name="NbreBisonsMâlesAuPré_24_36Mois">BDD!$S$101</definedName>
    <definedName name="NbreBisonsMâlesAuPré_3_6Mois">BDD!$S$93</definedName>
    <definedName name="NbreBisonsMâlesAuPré_3AnsEtPlus">BDD!$S$103</definedName>
    <definedName name="NbreBisonsMâlesAuPré_6_12Mois">BDD!$S$95</definedName>
    <definedName name="NbreBovinsAuPré">AnimauxAuPré[bovins]</definedName>
    <definedName name="NbreBovinsFemellesAuPré_0_3Mois">BDD!$P$92</definedName>
    <definedName name="NbreBovinsFemellesAuPré_12_18Mois">BDD!$P$98</definedName>
    <definedName name="NbreBovinsFemellesAuPré_18_24Mois">BDD!$P$100</definedName>
    <definedName name="NbreBovinsFemellesAuPré_24_36Mois">BDD!$P$102</definedName>
    <definedName name="NbreBovinsFemellesAuPré_3_6Mois">BDD!$P$94</definedName>
    <definedName name="NbreBovinsFemellesAuPré_3AnsEtPlus">BDD!$P$104</definedName>
    <definedName name="NbreBovinsFemellesAuPré_6_12Mois">BDD!$P$96</definedName>
    <definedName name="NbreBovinsMâlesAuPré_0_3Mois">BDD!$P$91</definedName>
    <definedName name="NbreBovinsMâlesAuPré_12_18Mois">BDD!$P$97</definedName>
    <definedName name="NbreBovinsMâlesAuPré_18_24Mois">BDD!$P$99</definedName>
    <definedName name="NbreBovinsMâlesAuPré_24_36Mois">BDD!$P$101</definedName>
    <definedName name="NbreBovinsMâlesAuPré_3_6Mois">BDD!$P$93</definedName>
    <definedName name="NbreBovinsMâlesAuPré_3AnsEtPlus">BDD!$P$103</definedName>
    <definedName name="NbreBovinsMâlesAuPré_6_12Mois">BDD!$P$95</definedName>
    <definedName name="NbreCaprinsFemellesAuPré_0_3Mois">BDD!$R$92</definedName>
    <definedName name="NbreCaprinsFemellesAuPré_12_18Mois">BDD!$R$98</definedName>
    <definedName name="NbreCaprinsFemellesAuPré_18_24Mois">BDD!$R$100</definedName>
    <definedName name="NbreCaprinsFemellesAuPré_24_36Mois">BDD!$R$102</definedName>
    <definedName name="NbreCaprinsFemellesAuPré_3_6Mois">BDD!$R$94</definedName>
    <definedName name="NbreCaprinsFemellesAuPré_3AnsEtPlus">BDD!$R$104</definedName>
    <definedName name="NbreCaprinsFemellesAuPré_6_12Mois">BDD!$R$96</definedName>
    <definedName name="NbreCaprinsMâlesAuPré_0_3Mois">BDD!$R$91</definedName>
    <definedName name="NbreCaprinsMâlesAuPré_12_18Mois">BDD!$R$97</definedName>
    <definedName name="NbreCaprinsMâlesAuPré_18_24Mois">BDD!$R$99</definedName>
    <definedName name="NbreCaprinsMâlesAuPré_24_36Mois">BDD!$R$101</definedName>
    <definedName name="NbreCaprinsMâlesAuPré_3_6Mois">BDD!$R$93</definedName>
    <definedName name="NbreCaprinsMâlesAuPré_3AnsEtPlus">BDD!$R$103</definedName>
    <definedName name="NbreCaprinsMâlesAuPré_6_12Mois">BDD!$R$95</definedName>
    <definedName name="NbreChevauxSelleFemellesAuPré_0_3Mois">BDD!$U$92</definedName>
    <definedName name="NbreChevauxSelleFemellesAuPré_12_18Mois">BDD!$U$98</definedName>
    <definedName name="NbreChevauxSelleFemellesAuPré_18_24Mois">BDD!$U$100</definedName>
    <definedName name="NbreChevauxSelleFemellesAuPré_24_36Mois">BDD!$U$102</definedName>
    <definedName name="NbreChevauxSelleFemellesAuPré_3_6Mois">BDD!$U$94</definedName>
    <definedName name="NbreChevauxSelleFemellesAuPré_3AnsEtPlus">BDD!$U$104</definedName>
    <definedName name="NbreChevauxSelleFemellesAuPré_6_12Mois">BDD!$U$96</definedName>
    <definedName name="NbreChevauxSelleMâlesAuPré_0_3Mois">BDD!$U$91</definedName>
    <definedName name="NbreChevauxSelleMâlesAuPré_12_18Mois">BDD!$U$97</definedName>
    <definedName name="NbreChevauxSelleMâlesAuPré_18_24Mois">BDD!$U$99</definedName>
    <definedName name="NbreChevauxSelleMâlesAuPré_24_36Mois">BDD!$U$101</definedName>
    <definedName name="NbreChevauxSelleMâlesAuPré_3_6Mois">BDD!$U$93</definedName>
    <definedName name="NbreChevauxSelleMâlesAuPré_3AnsEtPlus">BDD!$U$103</definedName>
    <definedName name="NbreChevauxSelleMâlesAuPré_6_12Mois">BDD!$U$95</definedName>
    <definedName name="NbreChevauxTraitFemellesAuPré_0_3Mois">BDD!$V$92</definedName>
    <definedName name="NbreChevauxTraitFemellesAuPré_12_18Mois">BDD!$V$98</definedName>
    <definedName name="NbreChevauxTraitFemellesAuPré_18_24Mois">BDD!$V$100</definedName>
    <definedName name="NbreChevauxTraitFemellesAuPré_24_36Mois">BDD!$V$102</definedName>
    <definedName name="NbreChevauxTraitFemellesAuPré_3_6Mois">BDD!$V$94</definedName>
    <definedName name="NbreChevauxTraitFemellesAuPré_3AnsEtPlus">BDD!$V$104</definedName>
    <definedName name="NbreChevauxTraitFemellesAuPré_6_12Mois">BDD!$V$96</definedName>
    <definedName name="NbreChevauxTraitMâlesAuPré_0_3Mois">BDD!$V$91</definedName>
    <definedName name="NbreChevauxTraitMâlesAuPré_12_18Mois">BDD!$V$97</definedName>
    <definedName name="NbreChevauxTraitMâlesAuPré_18_24Mois">BDD!$V$99</definedName>
    <definedName name="NbreChevauxTraitMâlesAuPré_24_36Mois">BDD!$V$101</definedName>
    <definedName name="NbreChevauxTraitMâlesAuPré_3_6Mois">BDD!$V$93</definedName>
    <definedName name="NbreChevauxTraitMâlesAuPré_3AnsEtPlus">BDD!$V$103</definedName>
    <definedName name="NbreChevauxTraitMâlesAuPré_6_12Mois">BDD!$V$95</definedName>
    <definedName name="NbreDaimsFemellesAuPré_0_3Mois">BDD!$T$92</definedName>
    <definedName name="NbreDaimsFemellesAuPré_12_18Mois">BDD!$T$98</definedName>
    <definedName name="NbreDaimsFemellesAuPré_18_24Mois">BDD!$T$100</definedName>
    <definedName name="NbreDaimsFemellesAuPré_24_36Mois">BDD!$T$102</definedName>
    <definedName name="NbreDaimsFemellesAuPré_3_6Mois">BDD!$T$94</definedName>
    <definedName name="NbreDaimsFemellesAuPré_3AnsEtPlus">BDD!$T$104</definedName>
    <definedName name="NbreDaimsFemellesAuPré_6_12Mois">BDD!$T$96</definedName>
    <definedName name="NbreDaimsMâlesAuPré_0_3Mois">BDD!$T$91</definedName>
    <definedName name="NbreDaimsMâlesAuPré_12_18Mois">BDD!$T$97</definedName>
    <definedName name="NbreDaimsMâlesAuPré_18_24Mois">BDD!$T$99</definedName>
    <definedName name="NbreDaimsMâlesAuPré_24_36Mois">BDD!$T$101</definedName>
    <definedName name="NbreDaimsMâlesAuPré_3_6Mois">BDD!$T$93</definedName>
    <definedName name="NbreDaimsMâlesAuPré_3AnsEtPlus">BDD!$T$103</definedName>
    <definedName name="NbreDaimsMâlesAuPré_6_12Mois">BDD!$T$95</definedName>
    <definedName name="NbreFemelles_0_3MoisAuPréEté">'pâtures et foin'!$D$33:$BA$33</definedName>
    <definedName name="NbreFemelles_12_18MoisAuPréEté">'pâtures et foin'!$D$39:$BA$39</definedName>
    <definedName name="NbreFemelles_18_24MoisAuPréEté">'pâtures et foin'!$D$41:$BA$41</definedName>
    <definedName name="NbreFemelles_24_36MoisAuPréEté">'pâtures et foin'!$D$43:$BA$43</definedName>
    <definedName name="NbreFemelles_3_6MoisAuPréEté">'pâtures et foin'!$D$35:$BA$35</definedName>
    <definedName name="NbreFemelles_3_AnsEtPlusAuPréEté">'pâtures et foin'!$D$45:$BA$45</definedName>
    <definedName name="NbreFemelles_6_12MoisAuPréEté">'pâtures et foin'!$D$37:$BA$37</definedName>
    <definedName name="NbreJoursMaxBovinsAuPré">BDD!$V$109</definedName>
    <definedName name="NbreJoursMaxCaprinsAuPré">BDD!$V$112</definedName>
    <definedName name="NbreJoursMaxChevauxSelleAuPré">BDD!$V$114</definedName>
    <definedName name="NbreJoursMaxChevauxTraitAuPré">BDD!$V$115</definedName>
    <definedName name="NbreJoursMaxOvinsAuPré">BDD!$V$113</definedName>
    <definedName name="NbreJoursMaxPoneysAuPré">BDD!$V$116</definedName>
    <definedName name="NbreJoursNourrirAutres">BDD!$Z$76:$Z$100</definedName>
    <definedName name="NbreJoursNourrirBisonsDaims">BDD!$AB$76:$AB$100</definedName>
    <definedName name="NbreJoursNourrirBovins">BDD!$AA$76:$AA$100</definedName>
    <definedName name="NbreJoursNourrirCaprins">BDD!$AC$76:$AC$100</definedName>
    <definedName name="NbreJoursNourrirChevauxSelle">BDD!$AE$76:$AE$100</definedName>
    <definedName name="NbreJoursNourrirChevauxTrait">BDD!$AF$76:$AF$100</definedName>
    <definedName name="NbreJoursNourrirOvins">BDD!$AD$76:$AD$100</definedName>
    <definedName name="NbreJoursNourrirPoneys">BDD!$AG$76:$AG$100</definedName>
    <definedName name="NbreMâles_0_3MoisAuPréEté">'pâtures et foin'!$D$32:$BA$32</definedName>
    <definedName name="NbreMâles_12_18MoisAuPréEté">'pâtures et foin'!$D$38:$BA$38</definedName>
    <definedName name="NbreMâles_18_24MoisAuPréEté">'pâtures et foin'!$D$40:$BA$40</definedName>
    <definedName name="NbreMâles_24_36MoisAuPréEté">'pâtures et foin'!$D$42:$BA$42</definedName>
    <definedName name="NbreMâles_3_6MoisAuPréEté">'pâtures et foin'!$D$34:$BA$34</definedName>
    <definedName name="NbreMâles_3_AnsEtPlusAuPréEté">'pâtures et foin'!$D$44:$BA$44</definedName>
    <definedName name="NbreMâles_6_12MoisAuPréEté">'pâtures et foin'!$D$36:$BA$36</definedName>
    <definedName name="NbreOvinsFemellesAuPré_0_3Mois">BDD!$Q$92</definedName>
    <definedName name="NbreOvinsFemellesAuPré_12_18Mois">BDD!$Q$98</definedName>
    <definedName name="NbreOvinsFemellesAuPré_18_24Mois">BDD!$Q$100</definedName>
    <definedName name="NbreOvinsFemellesAuPré_24_36Mois">BDD!$Q$102</definedName>
    <definedName name="NbreOvinsFemellesAuPré_3_6Mois">BDD!$Q$94</definedName>
    <definedName name="NbreOvinsFemellesAuPré_3AnsEtPlus">BDD!$Q$104</definedName>
    <definedName name="NbreOvinsFemellesAuPré_6_12Mois">BDD!$Q$96</definedName>
    <definedName name="NbreOvinsMâlesAuPré_0_3Mois">BDD!$Q$91</definedName>
    <definedName name="NbreOvinsMâlesAuPré_12_18Mois">BDD!$Q$97</definedName>
    <definedName name="NbreOvinsMâlesAuPré_18_24Mois">BDD!$Q$99</definedName>
    <definedName name="NbreOvinsMâlesAuPré_24_36Mois">BDD!$Q$101</definedName>
    <definedName name="NbreOvinsMâlesAuPré_3_6Mois">BDD!$Q$93</definedName>
    <definedName name="NbreOvinsMâlesAuPré_3AnsEtPlus">BDD!$Q$103</definedName>
    <definedName name="NbreOvinsMâlesAuPré_6_12Mois">BDD!$Q$95</definedName>
    <definedName name="NbrePoneysFemellesAuPré_0_3Mois">BDD!$W$92</definedName>
    <definedName name="NbrePoneysFemellesAuPré_12_18Mois">BDD!$W$98</definedName>
    <definedName name="NbrePoneysFemellesAuPré_18_24Mois">BDD!$W$100</definedName>
    <definedName name="NbrePoneysFemellesAuPré_24_36Mois">BDD!$W$102</definedName>
    <definedName name="NbrePoneysFemellesAuPré_3_6Mois">BDD!$W$94</definedName>
    <definedName name="NbrePoneysFemellesAuPré_3AnsEtPlus">BDD!$W$104</definedName>
    <definedName name="NbrePoneysFemellesAuPré_6_12Mois">BDD!$W$96</definedName>
    <definedName name="NbrePoneysMâlesAuPré_0_3Mois">BDD!$W$91</definedName>
    <definedName name="NbrePoneysMâlesAuPré_12_18Mois">BDD!$W$97</definedName>
    <definedName name="NbrePoneysMâlesAuPré_18_24Mois">BDD!$W$99</definedName>
    <definedName name="NbrePoneysMâlesAuPré_24_36Mois">BDD!$W$101</definedName>
    <definedName name="NbrePoneysMâlesAuPré_3_6Mois">BDD!$W$93</definedName>
    <definedName name="NbrePoneysMâlesAuPré_3AnsEtPlus">BDD!$W$103</definedName>
    <definedName name="NbrePoneysMâlesAuPré_6_12Mois">BDD!$W$95</definedName>
    <definedName name="NON">BDD!$M$3</definedName>
    <definedName name="oie">animaux!$C$143</definedName>
    <definedName name="oison_femelle_0_3_mois">animaux!$C$139</definedName>
    <definedName name="oison_mâle_0_3_mois">animaux!$C$138</definedName>
    <definedName name="Orge">'coût alimentation'!$B$25</definedName>
    <definedName name="OrgeNécessaireBQ">'coût alimentation'!$C$25</definedName>
    <definedName name="OrgeNécessaireMaQ">'coût alimentation'!$E$25</definedName>
    <definedName name="OrgeNécessaireMoQ">'coût alimentation'!$D$25</definedName>
    <definedName name="OUI">BDD!$M$2</definedName>
    <definedName name="Ovins">'pâtures et foin'!$B$13</definedName>
    <definedName name="Paille">'coût alimentation'!$B$26</definedName>
    <definedName name="PailleNécessaireBQ">'coût alimentation'!$C$26</definedName>
    <definedName name="PailleNécessaireMaQ">'coût alimentation'!$E$26</definedName>
    <definedName name="PailleNécessaireMoQ">'coût alimentation'!$D$26</definedName>
    <definedName name="ParcsCanards">'bâtiments d''élevage'!$B$45</definedName>
    <definedName name="ParcsLapins">'bâtiments d''élevage'!$B$37</definedName>
    <definedName name="ParcsOies">'bâtiments d''élevage'!$B$44</definedName>
    <definedName name="ParcsPintades">'bâtiments d''élevage'!$B$43</definedName>
    <definedName name="ParcsPorcins">'bâtiments d''élevage'!$B$34</definedName>
    <definedName name="ParcsVolailles">'bâtiments d''élevage'!$B$42</definedName>
    <definedName name="Phacélie">BDD!$HK$22</definedName>
    <definedName name="pintadeau_mâle_0_1_mois">animaux!$C$99</definedName>
    <definedName name="PintadeauFemelle_0_1_mois">animaux!$C$100</definedName>
    <definedName name="PlaceRestanteDansEntrepôtsAprèsCommande">'entrepôts et local phyto'!$C$17</definedName>
    <definedName name="Pois">'coût alimentation'!$B$27</definedName>
    <definedName name="PoisNécessaireBQ">'coût alimentation'!$C$27</definedName>
    <definedName name="PoisNécessaireMaQ">'coût alimentation'!$E$27</definedName>
    <definedName name="PoisNécessaireMoQ">'coût alimentation'!$D$27</definedName>
    <definedName name="Poneys">'pâtures et foin'!$B$19</definedName>
    <definedName name="porcelet_femelle_0_1_mois">animaux!$C$62</definedName>
    <definedName name="porcelet_femelle_1_3_mois">animaux!$C$64</definedName>
    <definedName name="porcelet_mâle_0_1_mois">animaux!$C$61</definedName>
    <definedName name="porcelet_mâle_1_3_mois">animaux!$C$63</definedName>
    <definedName name="Porcherie">'bâtiments d''élevage'!$B$33</definedName>
    <definedName name="PoulaillerCanards">'bâtiments d''élevage'!$B$41</definedName>
    <definedName name="PoulaillerOies">'bâtiments d''élevage'!$B$40</definedName>
    <definedName name="PoulaillerPintades">'bâtiments d''élevage'!$B$39</definedName>
    <definedName name="PoulaillersVolailles">'bâtiments d''élevage'!$B$38</definedName>
    <definedName name="poussin_femelle_0_1_mois">animaux!$C$81</definedName>
    <definedName name="PrixAvoine">'coût alimentation'!$J$9</definedName>
    <definedName name="PrixAzote">BDD!$G$126</definedName>
    <definedName name="PrixBetterave">'coût alimentation'!$J$10</definedName>
    <definedName name="PrixBlé">'coût alimentation'!$J$11</definedName>
    <definedName name="PrixBouchonsLuzerne">'coût alimentation'!$J$12</definedName>
    <definedName name="PrixCalcium">BDD!$G$129</definedName>
    <definedName name="PrixCanola">'coût alimentation'!$J$13</definedName>
    <definedName name="PrixColza">'coût alimentation'!$J$14</definedName>
    <definedName name="PrixConcentréBovin">'coût alimentation'!$J$15</definedName>
    <definedName name="PrixConcentréLapin">'coût alimentation'!$J$16</definedName>
    <definedName name="PrixConcentréPorcin">'coût alimentation'!$J$17</definedName>
    <definedName name="PrixDéfanageChimique">BDD!$G$152</definedName>
    <definedName name="PrixEau">'coût alimentation'!$J$19</definedName>
    <definedName name="PrixEngraisCerisier">BDD!$G$132</definedName>
    <definedName name="PrixEngraisFramboisier">BDD!$G$133</definedName>
    <definedName name="PrixEngraisGroseiller">BDD!$G$134</definedName>
    <definedName name="PrixEngraisMirabellier">BDD!$G$135</definedName>
    <definedName name="PrixEngraisMyrtillers">BDD!$G$136</definedName>
    <definedName name="PrixEngraisNoyers">BDD!$G$137</definedName>
    <definedName name="PrixEngraisOliviers">BDD!$G$138</definedName>
    <definedName name="PrixEngraisPêchers">BDD!$G$139</definedName>
    <definedName name="PrixEngraisPoiriers">BDD!$G$140</definedName>
    <definedName name="PrixEngraisPommiers">BDD!$G$141</definedName>
    <definedName name="PrixEngraisPruniers">BDD!$G$142</definedName>
    <definedName name="PrixEnsilageHerbe">'coût alimentation'!$J$18</definedName>
    <definedName name="PrixFeverole">'coût alimentation'!$J$20</definedName>
    <definedName name="PrixFoin">'coût alimentation'!$J$21</definedName>
    <definedName name="PrixFongicide">BDD!$G$149</definedName>
    <definedName name="PrixHerbicide">BDD!$G$151</definedName>
    <definedName name="PrixInsecticide">BDD!$G$150</definedName>
    <definedName name="PrixMagnésium">BDD!$G$130</definedName>
    <definedName name="PrixMaïsEnsilé">'coût alimentation'!$J$22</definedName>
    <definedName name="PrixMaïsGrain">'coût alimentation'!$J$23</definedName>
    <definedName name="PrixMinéraux">'coût alimentation'!$J$24</definedName>
    <definedName name="PrixOrge">'coût alimentation'!$J$25</definedName>
    <definedName name="PrixPaille">'coût alimentation'!$J$26</definedName>
    <definedName name="PrixPhosphore">BDD!$G$127</definedName>
    <definedName name="PrixPois">'coût alimentation'!$J$27</definedName>
    <definedName name="PrixPotassium">BDD!$G$128</definedName>
    <definedName name="PrixRationBisons">'coût alimentation'!$J$37</definedName>
    <definedName name="PrixRationBovins">'coût alimentation'!$J$35</definedName>
    <definedName name="PrixRationCanards">'coût alimentation'!$J$44</definedName>
    <definedName name="PrixRationCaprins">'coût alimentation'!$J$38</definedName>
    <definedName name="PrixRationChevauxSelle">'coût alimentation'!$J$48</definedName>
    <definedName name="PrixRationChevauxTrait">'coût alimentation'!$J$49</definedName>
    <definedName name="PrixRationDaims">'coût alimentation'!$J$47</definedName>
    <definedName name="PrixRationHiverBovins">'coût alimentation'!$J$36</definedName>
    <definedName name="PrixRationHiverOvins">'coût alimentation'!$J$46</definedName>
    <definedName name="PrixRationLapins">'coût alimentation'!$J$42</definedName>
    <definedName name="PrixRationOies">'coût alimentation'!$J$43</definedName>
    <definedName name="PrixRationOvins">'coût alimentation'!$J$45</definedName>
    <definedName name="PrixRationPintades">'coût alimentation'!$J$41</definedName>
    <definedName name="PrixRationPoneys">'coût alimentation'!$J$50</definedName>
    <definedName name="PrixRationPorcins">'coût alimentation'!$J$39</definedName>
    <definedName name="PrixRationVolailles">'coût alimentation'!$J$40</definedName>
    <definedName name="PrixSeigle">'coût alimentation'!$J$28</definedName>
    <definedName name="PrixSoja">'coût alimentation'!$J$29</definedName>
    <definedName name="PrixSorghoEnsilé">'coût alimentation'!$J$30</definedName>
    <definedName name="PrixSoufre">BDD!$G$131</definedName>
    <definedName name="PrixTournesol">'coût alimentation'!$J$31</definedName>
    <definedName name="PrixTourteauColza">'coût alimentation'!$J$32</definedName>
    <definedName name="PrixTourteauTournesol">'coût alimentation'!$J$33</definedName>
    <definedName name="PrixTraitementCerisiers">BDD!$G$153</definedName>
    <definedName name="PrixTraitementFramboisiers">BDD!$G$154</definedName>
    <definedName name="PrixTraitementGroseillers">BDD!$G$155</definedName>
    <definedName name="PrixTraitementMirabelliers">BDD!$G$156</definedName>
    <definedName name="PrixTraitementMyrtillers">BDD!$G$157</definedName>
    <definedName name="PrixTraitementNoyers">BDD!$G$158</definedName>
    <definedName name="PrixTraitementOliviers">BDD!$G$159</definedName>
    <definedName name="PrixTraitementPêchers">BDD!$G$160</definedName>
    <definedName name="PrixTraitementPoiriers">BDD!$G$161</definedName>
    <definedName name="PrixTraitementPommiers">BDD!$G$162</definedName>
    <definedName name="PrixTraitementPruniers">BDD!$G$163</definedName>
    <definedName name="PrixTriticale">'coût alimentation'!$J$34</definedName>
    <definedName name="PrixVaccinBison">BDD!$BT$6</definedName>
    <definedName name="PrixVaccinBovin">BDD!$BH$22</definedName>
    <definedName name="PrixVaccinCanard">BDD!$ER$18</definedName>
    <definedName name="PrixVaccinCaprin">BDD!$CA$5</definedName>
    <definedName name="PrixVaccinChevauxSelle">BDD!$EZ$25</definedName>
    <definedName name="PrixVaccinChevauxTrait">BDD!$FI$19</definedName>
    <definedName name="PrixVaccinDaim">BDD!$EB$8</definedName>
    <definedName name="PrixVaccinLapin">BDD!$CU$4</definedName>
    <definedName name="PrixVaccinOie">BDD!$EK$8</definedName>
    <definedName name="PrixVaccinOvin">BDD!$DR$8</definedName>
    <definedName name="PrixVaccinPintade">BDD!$DK$13</definedName>
    <definedName name="prixVaccinPoney">BDD!$FS$19</definedName>
    <definedName name="PrixVaccinPorcin">BDD!$CO$4</definedName>
    <definedName name="PrixVaccinVolaille">BDD!$DC$27</definedName>
    <definedName name="PrixVenteCulturesConventionnel">BDD!$HL$3:$HL$30</definedName>
    <definedName name="PrixVenteLaitBioBovins">BDD!$BF$46:$BG$55</definedName>
    <definedName name="PrixVenteLaitBioCaprins">BDD!$CB$34:$CC$44</definedName>
    <definedName name="PrixVenteLaitBioOvins">BDD!$DQ$53:$DR$62</definedName>
    <definedName name="PrixVenteLaitConventionnelBovins">BDD!$BC$46:$BD$55</definedName>
    <definedName name="PrixVenteLaitConventionnelCaprins">BDD!$BY$35:$BZ$44</definedName>
    <definedName name="PrixVenteLaitConventionnelOvins">BDD!$DN$53:$DO$62</definedName>
    <definedName name="ProductionLaitBovins">BDD!$BF$9:$BF$26</definedName>
    <definedName name="ProductionLaitCaprins">BDD!$CB$7:$CB$14</definedName>
    <definedName name="ProductionLaitOvins">BDD!$DQ$20:$DQ$33</definedName>
    <definedName name="QL_bovins">gains!$F$7</definedName>
    <definedName name="QL_caprins">gains!$F$8</definedName>
    <definedName name="QL_ovins">gains!$F$9</definedName>
    <definedName name="QtéArticleDansEntrepôt">'entrepôts et local phyto'!$I$6:$I$105</definedName>
    <definedName name="QtéRationComplèteHivernaleBison_0_3Mois">BDD!$BV$11</definedName>
    <definedName name="QtéRationComplèteHivernaleBison_12_18Mois">BDD!$BS$11</definedName>
    <definedName name="QtéRationComplèteHivernaleBison_18_24Mois">BDD!$BR$11</definedName>
    <definedName name="QtéRationComplèteHivernaleBison_24_36Mois">BDD!$BQ$11</definedName>
    <definedName name="QtéRationComplèteHivernaleBison_3_6Mois">BDD!$BU$11</definedName>
    <definedName name="QtéRationComplèteHivernaleBison_3AnsEtPlus">BDD!$BP$11</definedName>
    <definedName name="QtéRationComplèteHivernaleBison_6_12Mois">BDD!$BT$11</definedName>
    <definedName name="QtéRationComplèteHivernaleBovin_0_3Mois">BDD!$BK$173</definedName>
    <definedName name="QtéRationComplèteHivernaleBovin_12_18Mois">BDD!$BH$173</definedName>
    <definedName name="QtéRationComplèteHivernaleBovin_18_24Mois">BDD!$BG$173</definedName>
    <definedName name="QtéRationComplèteHivernaleBovin_24_36Mois">BDD!$BF$173</definedName>
    <definedName name="QtéRationComplèteHivernaleBovin_3_6Mois">BDD!$BJ$173</definedName>
    <definedName name="QtéRationComplèteHivernaleBovin_3AnsEtPlus">BDD!$BE$173</definedName>
    <definedName name="QtéRationComplèteHivernaleBovin_6_12Mois">BDD!$BI$173</definedName>
    <definedName name="QtéRationComplèteHivernaleChevauxSelle0_12Mois">BDD!$FA$46</definedName>
    <definedName name="QtéRationComplèteHivernaleChevauxSelle12_14Mois">BDD!$EZ$46</definedName>
    <definedName name="QtéRationComplèteHivernaleChevauxSelle24_36Mois">BDD!$EY$46</definedName>
    <definedName name="QtéRationComplèteHivernaleChevauxSelle3AnsEtPlus">BDD!$EX$46</definedName>
    <definedName name="QtéRationComplèteHivernaleChevauxTrait_0_12Mois">BDD!$FJ$40</definedName>
    <definedName name="QtéRationComplèteHivernaleChevauxTrait_12_24Mois">BDD!$FI$40</definedName>
    <definedName name="QtéRationComplèteHivernaleChevauxTrait_24_36Mois">BDD!$FH$40</definedName>
    <definedName name="QtéRationComplèteHivernaleChevauxTrait_3AnsEtPlus">BDD!$FG$39</definedName>
    <definedName name="QtéRationComplèteHivernaleDaim_0_3Mois">BDD!$EE$12</definedName>
    <definedName name="QtéRationComplèteHivernaleDaim_12_18Mois">BDD!$EB$12</definedName>
    <definedName name="QtéRationComplèteHivernaleDaim_18_24Mois">BDD!$EA$12</definedName>
    <definedName name="QtéRationComplèteHivernaleDaim_24_36Mois">BDD!$DZ$12</definedName>
    <definedName name="QtéRationComplèteHivernaleDaim_3_6Mois">BDD!$ED$12</definedName>
    <definedName name="QtéRationComplèteHivernaleDaim_3AnsEtPlus">BDD!$DY$12</definedName>
    <definedName name="QtéRationComplèteHivernaleDaim_6_12Mois">BDD!$EC$12</definedName>
    <definedName name="QtéRationComplèteHivernaleOvin_0_3Mois">BDD!$DT$138</definedName>
    <definedName name="QtéRationComplèteHivernaleOvin_1AnEtPlus">BDD!$DQ$138</definedName>
    <definedName name="QtéRationComplèteHivernaleOvin_3_6Mois">BDD!$DS$138</definedName>
    <definedName name="QtéRationComplèteHivernaleOvin_6_12Mois">BDD!$DR$138</definedName>
    <definedName name="QtéRationComplèteHivernalePoneys_0_12Mois">BDD!$FT$39</definedName>
    <definedName name="QtéRationComplèteHivernalePoneys_12_24Mois">BDD!$FS$39</definedName>
    <definedName name="QtéRationComplèteHivernalePoneys_24_36Mois">BDD!$FR$39</definedName>
    <definedName name="QtéRationComplèteHivernalePoneys_3AnsEtPlus">BDD!$FQ$39</definedName>
    <definedName name="QualitéAlimentsAgneauFemelle_0_3_mois">animaux!$E$200</definedName>
    <definedName name="QualitéAlimentsAgneauFemelle_3_6_mois">animaux!$E$202</definedName>
    <definedName name="QualitéAlimentsAgneauMâle_0_3_mois">animaux!$E$199</definedName>
    <definedName name="QualitéAlimentsAgneauMâle_3_6_mois">animaux!$E$201</definedName>
    <definedName name="QualitéAlimentsBélier">animaux!$E$205</definedName>
    <definedName name="QualitéAlimentsBisonneauxFemelles_0_3_mois">animaux!$D$29</definedName>
    <definedName name="QualitéAlimentsBisonneauxFemelles_3_6_mois">animaux!$D$31</definedName>
    <definedName name="QualitéAlimentsBisonneauxFemelles_6_12_mois">animaux!$D$33</definedName>
    <definedName name="QualitéAlimentsBisonneauxMâles_0_3_mois">animaux!$D$28</definedName>
    <definedName name="QualitéAlimentsBisonneauxMâles_3_6_mois">animaux!$D$30</definedName>
    <definedName name="QualitéAlimentsBisonneauxMâles_6_12_mois">animaux!$D$32</definedName>
    <definedName name="QualitéAlimentsBisonnes">animaux!$D$41</definedName>
    <definedName name="QualitéAlimentsBisons">animaux!$D$40</definedName>
    <definedName name="QualitéAlimentsBouc">animaux!$D$51</definedName>
    <definedName name="QualitéAlimentsBovins">BDD!$BB$342:$BE$380</definedName>
    <definedName name="QualitéAlimentsBrebis">animaux!$E$206</definedName>
    <definedName name="QualitéAlimentsCanard">animaux!$D$158</definedName>
    <definedName name="QualitéAlimentsCane">animaux!$D$159</definedName>
    <definedName name="QualitéAlimentsCanetonFemelle">animaux!$D$155</definedName>
    <definedName name="QualitéAlimentsCanetonMâle">animaux!$D$154</definedName>
    <definedName name="QualitéAlimentsCaprins">BDD!$BX$196:$CA$234</definedName>
    <definedName name="QualitéAlimentsChèvre">animaux!$D$52</definedName>
    <definedName name="QualitéAlimentsChevreau_0_3_mois">animaux!$D$45</definedName>
    <definedName name="QualitéAlimentsChevreau_3_6_mois">animaux!$D$47</definedName>
    <definedName name="QualitéAlimentsChevrette_0_3_mois">animaux!$D$46</definedName>
    <definedName name="QualitéAlimentsChevrette_3_6_mois">animaux!$D$48</definedName>
    <definedName name="QualitéAlimentsCoq">animaux!$D$84</definedName>
    <definedName name="QualitéAlimentsDaim">animaux!$D$227</definedName>
    <definedName name="QualitéAlimentsDaine">animaux!$D$228</definedName>
    <definedName name="QualitéAlimentsEtalonPoney">animaux!$D$269</definedName>
    <definedName name="QualitéAlimentsEtalonSelle">animaux!$D$241</definedName>
    <definedName name="QualitéAlimentsEtalonTrait">animaux!$D$255</definedName>
    <definedName name="QualitéAlimentsFaonFemelle_0_3_mois">animaux!$D$216</definedName>
    <definedName name="QualitéAlimentsFaonFemelle_3_6_mois">animaux!$D$218</definedName>
    <definedName name="QualitéAlimentsFaonFemelle_6_12_mois">animaux!$D$220</definedName>
    <definedName name="QualitéAlimentsFaonMâle_0_3_mois">animaux!$D$215</definedName>
    <definedName name="QualitéAlimentsFaonMâle_3_6_mois">animaux!$D$217</definedName>
    <definedName name="QualitéAlimentsFaonMâle_6_12_mois">animaux!$D$219</definedName>
    <definedName name="QualitéAlimentsGavageCaneton_0_1_mois">animaux!$D$187</definedName>
    <definedName name="QualitéAlimentsGavageCaneton_1_2_mois">animaux!$D$188</definedName>
    <definedName name="QualitéAlimentsGavageCaneton_2_3_mois">animaux!$D$189</definedName>
    <definedName name="QualitéAlimentsGavageJeuneCanard">animaux!$H$187</definedName>
    <definedName name="QualitéAlimentsGavageJeunesOies">animaux!$H$171</definedName>
    <definedName name="QualitéAlimentsGavageOison_0_1_mois">animaux!$D$171</definedName>
    <definedName name="QualitéAlimentsGavageOison_1_2_mois">animaux!$D$172</definedName>
    <definedName name="QualitéAlimentsGavageOison_2_3_mois">animaux!$D$173</definedName>
    <definedName name="QualitéAlimentsGénisses_12_18_mois">animaux!$E$15</definedName>
    <definedName name="QualitéAlimentsGénisses_18_24_mois">animaux!$E$17</definedName>
    <definedName name="QualitéAlimentsGénisses_24_36_mois">animaux!$E$19</definedName>
    <definedName name="QualitéAlimentsJars">animaux!$D$142</definedName>
    <definedName name="QualitéAlimentsJeuneBélier">animaux!$E$203</definedName>
    <definedName name="QualitéAlimentsJeuneBouc">animaux!$D$49</definedName>
    <definedName name="QualitéAlimentsJeuneBrebis">animaux!$E$204</definedName>
    <definedName name="QualitéAlimentsJeuneCanard">animaux!$D$156</definedName>
    <definedName name="QualitéAlimentsJeuneCane">animaux!$D$157</definedName>
    <definedName name="QualitéAlimentsJeuneChèvre">animaux!$D$50</definedName>
    <definedName name="QualitéAlimentsJeuneCoq">animaux!$D$82</definedName>
    <definedName name="QualitéAlimentsJeuneDaim_12_18_mois">animaux!$D$221</definedName>
    <definedName name="QualitéAlimentsJeuneDaim_18_24_mois">animaux!$D$223</definedName>
    <definedName name="QualitéAlimentsJeuneDaim_24_36_mois">animaux!$D$225</definedName>
    <definedName name="QualitéAlimentsJeuneDaine_12_18_mois">animaux!$D$222</definedName>
    <definedName name="QualitéAlimentsJeuneDaine_18_24_mois">animaux!$D$224</definedName>
    <definedName name="QualitéAlimentsJeuneDaine_24_36_mois">animaux!$D$226</definedName>
    <definedName name="QualitéAlimentsJeuneEtalon_12_24_moisPoney">animaux!$D$265</definedName>
    <definedName name="QualitéAlimentsJeuneEtalon_12_24_moisSelle">animaux!$D$237</definedName>
    <definedName name="QualitéAlimentsJeuneEtalon_12_24_moisTrait">animaux!$D$251</definedName>
    <definedName name="QualitéAlimentsJeuneEtalon_24_36_moisPoney">animaux!$D$267</definedName>
    <definedName name="QualitéAlimentsJeuneEtalon_24_36_moisSelle">animaux!$D$239</definedName>
    <definedName name="QualitéAlimentsJeuneEtalon_24_36_moisTrait">animaux!$D$253</definedName>
    <definedName name="QualitéAlimentsJeuneJars">animaux!$D$140</definedName>
    <definedName name="QualitéAlimentsJeuneJument_12_24_moisPoney">animaux!$D$266</definedName>
    <definedName name="QualitéAlimentsJeuneJument_12_24_moisSelle">animaux!$D$238</definedName>
    <definedName name="QualitéAlimentsJeuneJument_12_24_moisTrait">animaux!$D$252</definedName>
    <definedName name="QualitéAlimentsJeuneJument_24_36_moisPoney">animaux!$D$268</definedName>
    <definedName name="QualitéAlimentsJeuneJument_24_36_moisSelle">animaux!$D$240</definedName>
    <definedName name="QualitéAlimentsJeuneJument_24_36_moisTrait">animaux!$D$254</definedName>
    <definedName name="QualitéAlimentsJeuneLapin">animaux!$D$120</definedName>
    <definedName name="QualitéAlimentsJeuneLapine">animaux!$D$121</definedName>
    <definedName name="QualitéAlimentsJeuneOie">animaux!$D$141</definedName>
    <definedName name="QualitéAlimentsJeunePintadeFemelle">animaux!$D$102</definedName>
    <definedName name="QualitéAlimentsJeunePintadeMâle">animaux!$D$101</definedName>
    <definedName name="QualitéAlimentsJeunePoule">animaux!$D$83</definedName>
    <definedName name="QualitéAlimentsJeunesBisonnes_12_18_mois">animaux!$D$35</definedName>
    <definedName name="QualitéAlimentsJeunesBisonnes_18_24_mois">animaux!$D$37</definedName>
    <definedName name="QualitéAlimentsJeunesBisonnes_24_36_mois">animaux!$D$39</definedName>
    <definedName name="QualitéAlimentsJeunesBisons_12_18_mois">animaux!$D$34</definedName>
    <definedName name="QualitéAlimentsJeunesBisons_18_24_mois">animaux!$D$36</definedName>
    <definedName name="QualitéAlimentsJeunesBisons_24_36_mois">animaux!$D$38</definedName>
    <definedName name="QualitéAlimentsJeuneTruie_3_6_mois">animaux!$D$66</definedName>
    <definedName name="QualitéAlimentsJeuneTruie_6_12_mois">animaux!$D$68</definedName>
    <definedName name="QualitéAlimentsJeuneVerrat_3_6_mois">animaux!$D$65</definedName>
    <definedName name="QualitéAlimentsJeuneVerrat_6_12_mois">animaux!$D$67</definedName>
    <definedName name="QualitéAlimentsJumentPoney">animaux!$D$270</definedName>
    <definedName name="QualitéAlimentsJumentSelle">animaux!$D$242</definedName>
    <definedName name="QualitéAlimentsJumentTrait">animaux!$D$256</definedName>
    <definedName name="QualitéAlimentsLapereauFemelle_0_1_mois">animaux!$D$119</definedName>
    <definedName name="QualitéAlimentsLapereauMâle_0_1_mois">animaux!$D$118</definedName>
    <definedName name="QualitéAlimentsLapin">animaux!$D$122</definedName>
    <definedName name="QualitéAlimentsLapine">animaux!$D$123</definedName>
    <definedName name="QualitéAlimentsOie">animaux!$D$143</definedName>
    <definedName name="QualitéAlimentsOisonFemelle_0_3_mois">animaux!$D$139</definedName>
    <definedName name="QualitéAlimentsOisonMâle_0_3_mois">animaux!$D$138</definedName>
    <definedName name="QualitéAlimentsPintadeauFemelle_0_1_mois">animaux!$D$100</definedName>
    <definedName name="QualitéAlimentsPintadeauMâle_0_1_mois">animaux!$D$99</definedName>
    <definedName name="QualitéAlimentsPintadeFemelle">animaux!$D$104</definedName>
    <definedName name="QualitéAlimentsPintadeMâle">animaux!$D$103</definedName>
    <definedName name="QualitéAlimentsPorceletFemelle_0_1_mois">animaux!$D$62</definedName>
    <definedName name="QualitéAlimentsPorceletFemelle_1_3_mois">animaux!$D$64</definedName>
    <definedName name="QualitéAlimentsPorceletMâle_0_1_mois">animaux!$D$61</definedName>
    <definedName name="QualitéAlimentsPorceletMâle_1_3_mois">animaux!$D$63</definedName>
    <definedName name="QualitéAlimentsPoulainFemellePoney">animaux!$D$264</definedName>
    <definedName name="QualitéAlimentsPoulainFemelleTrait">animaux!$D$250</definedName>
    <definedName name="QualitéAlimentsPoulainMâlePoney">animaux!$D$263</definedName>
    <definedName name="QualitéAlimentsPoulainMâleTrait">animaux!$D$249</definedName>
    <definedName name="QualitéAlimentsPoulainSelleFemelle">animaux!$D$236</definedName>
    <definedName name="QualitéAlimentsPoulainSelleMâle">animaux!$D$235</definedName>
    <definedName name="QualitéAlimentsPoule">animaux!$D$85</definedName>
    <definedName name="QualitéAlimentsPoussinFemelle_0_1_mois">animaux!$D$81</definedName>
    <definedName name="QualitéAlimentsPoussinMâle_0_1_mois">animaux!$D$80</definedName>
    <definedName name="QualitéAlimentsTaureaux">animaux!$E$20</definedName>
    <definedName name="QualitéAlimentsTaurillons_12_18_mois">animaux!$E$14</definedName>
    <definedName name="QualitéAlimentsTaurillons_18_24_mois">animaux!$E$16</definedName>
    <definedName name="QualitéAlimentsTaurillons_24_36_mois">animaux!$E$18</definedName>
    <definedName name="QualitéAlimentsTruie">animaux!$D$70</definedName>
    <definedName name="QualitéAlimentsVaches">animaux!$E$21</definedName>
    <definedName name="QualitéAlimentsVeauxFemelles_0_3_mois">animaux!$E$9</definedName>
    <definedName name="QualitéAlimentsVeauxFemelles_3_6_mois">animaux!$E$11</definedName>
    <definedName name="QualitéAlimentsVeauxFemelles_6_12_mois">animaux!$E$13</definedName>
    <definedName name="QualitéAlimentsVeauxMâles_0_3_mois">animaux!$E$8</definedName>
    <definedName name="QualitéAlimentsVeauxMâles_3_6_mois">animaux!$E$10</definedName>
    <definedName name="QualitéAlimentsVeauxMâles_6_12_mois">animaux!$E$12</definedName>
    <definedName name="QualitéAlimentsVerrat">animaux!$D$69</definedName>
    <definedName name="QualitéRationComplèteBisons">animaux!$J$34</definedName>
    <definedName name="QualitéRationComplèteBovins">animaux!$J$17</definedName>
    <definedName name="QualitéRationComplèteCanards">animaux!$J$160</definedName>
    <definedName name="QualitéRationComplèteCaprins">animaux!$J$51</definedName>
    <definedName name="QualitéRationComplèteChevauxSelle">animaux!$J$241</definedName>
    <definedName name="QualitéRationComplèteChevauxTrait">animaux!$J$255</definedName>
    <definedName name="QualitéRationComplèteDaims">animaux!$J$221</definedName>
    <definedName name="QualitéRationComplèteGavageCanards">animaux!$J$192</definedName>
    <definedName name="QualitéRationComplèteGavageOies">animaux!$J$176</definedName>
    <definedName name="QualitéRationComplètelapins">animaux!$J$127</definedName>
    <definedName name="QualitéRationComplèteOies">animaux!$J$144</definedName>
    <definedName name="QualitéRationComplèteOvins">animaux!$J$205</definedName>
    <definedName name="QualitéRationComplètePintades">animaux!$J$108</definedName>
    <definedName name="QualitéRationComplètePoneys">animaux!$J$269</definedName>
    <definedName name="QualitéRationComplètePorcins">animaux!$J$70</definedName>
    <definedName name="QualitéRationComplèteVolailles">animaux!$J$89</definedName>
    <definedName name="RationBisonNécessaireBQ">'coût alimentation'!$C$37</definedName>
    <definedName name="RationBisonNécessaireMaQ">'coût alimentation'!$E$37</definedName>
    <definedName name="RationBisonNécessaireMoQ">'coût alimentation'!$D$37</definedName>
    <definedName name="RationBisons">'coût alimentation'!$B$37</definedName>
    <definedName name="RationBovins">'coût alimentation'!$B$35</definedName>
    <definedName name="RationBovinsNécessaireBQ">'coût alimentation'!$C$35</definedName>
    <definedName name="RationBovinsNécessaireMaQ">'coût alimentation'!$E$35</definedName>
    <definedName name="RationBovinsNécessaireMoQ">'coût alimentation'!$D$35</definedName>
    <definedName name="RationCanards">'coût alimentation'!$B$44</definedName>
    <definedName name="RationCanardsNécessaireBQ">'coût alimentation'!$C$44</definedName>
    <definedName name="RationCanardsNécessaireMaQ">'coût alimentation'!$E$44</definedName>
    <definedName name="RationCanardsNécessaireMoQ">'coût alimentation'!$D$44</definedName>
    <definedName name="RationCaprins">'coût alimentation'!$B$38</definedName>
    <definedName name="RationCaprinsNécessaireBQ">'coût alimentation'!$C$38</definedName>
    <definedName name="RationCaprinsNécessaireMaQ">'coût alimentation'!$E$38</definedName>
    <definedName name="RationCaprinsNécessaireMoQ">'coût alimentation'!$D$38</definedName>
    <definedName name="RationChevauxSelle">'coût alimentation'!$B$48</definedName>
    <definedName name="RationChevauxSelleNécessaireBQ">'coût alimentation'!$C$48</definedName>
    <definedName name="RationChevauxSelleNécessaireMaQ">'coût alimentation'!$E$48</definedName>
    <definedName name="RationChevauxSelleNécessaireMoQ">'coût alimentation'!$D$48</definedName>
    <definedName name="RationChevauxTrait">'coût alimentation'!$B$49</definedName>
    <definedName name="RationChevauxTraitNécessaireBQ">'coût alimentation'!$C$49</definedName>
    <definedName name="RationChevauxTraitNécessaireMaQ">'coût alimentation'!$E$49</definedName>
    <definedName name="RationChevauxTraitNécessaireMoQ">'coût alimentation'!$D$49</definedName>
    <definedName name="RationDaims">'coût alimentation'!$B$47</definedName>
    <definedName name="RationDaimsNécessaireBQ">'coût alimentation'!$C$47</definedName>
    <definedName name="RationDaimsNécessaireMaQ">'coût alimentation'!$E$47</definedName>
    <definedName name="RationDaimsNécessaireMoQ">'coût alimentation'!$D$47</definedName>
    <definedName name="RationDansEcurieChevauxSelle">BDD!$EX$4</definedName>
    <definedName name="RationDansEcurieChevauxTrait">BDD!$FG$4</definedName>
    <definedName name="RationDansEcuriePoneys">BDD!$FQ$4</definedName>
    <definedName name="RationDansPréChevauxSelle">BDD!$EX$5</definedName>
    <definedName name="RationDansPréChevauxTrait">BDD!$FG$5</definedName>
    <definedName name="RationDansPréPoneys">BDD!$FQ$5</definedName>
    <definedName name="RationEtéChevauxSelle">animaux!$J$236</definedName>
    <definedName name="RationEtéChevauxTrait">animaux!$J$250</definedName>
    <definedName name="RationEtéPoneys">animaux!$J$264</definedName>
    <definedName name="RationHiverBovins">'coût alimentation'!$B$36</definedName>
    <definedName name="RationHiverBovinsNécessaireBQ">'coût alimentation'!$C$36</definedName>
    <definedName name="RationHiverBovinsNécessaireMaQ">'coût alimentation'!$E$36</definedName>
    <definedName name="RationHiverBovinsNécessaireMoQ">'coût alimentation'!$D$36</definedName>
    <definedName name="RationHivernaleAuPréChevauxSelle">animaux!$M$236</definedName>
    <definedName name="RationHivernaleAuPréChevauxTrait">animaux!$M$250</definedName>
    <definedName name="RationHivernaleAuPréPoneys">animaux!$M$264</definedName>
    <definedName name="RationHivernaleBovinsAuPré">animaux!$M$12</definedName>
    <definedName name="RationHivernaleOvinsAuPré">animaux!$M$203</definedName>
    <definedName name="RationHiverOvins">'coût alimentation'!$B$46</definedName>
    <definedName name="RationHiverOvinsNécessaireBQ">'coût alimentation'!$C$46</definedName>
    <definedName name="RationHiverOvinsNécessaireMaQ">'coût alimentation'!$E$46</definedName>
    <definedName name="RationHiverOvinsNécessaireMoQ">'coût alimentation'!$D$46</definedName>
    <definedName name="RationLapins">'coût alimentation'!$B$42</definedName>
    <definedName name="RationLapinsNécessaireBQ">'coût alimentation'!$C$42</definedName>
    <definedName name="RationLapinsNécessaireMaQ">'coût alimentation'!$E$42</definedName>
    <definedName name="RationLapinsNécessaireMoQ">'coût alimentation'!$D$42</definedName>
    <definedName name="RationOies">'coût alimentation'!$B$43</definedName>
    <definedName name="RationOiesNécessaireBQ">'coût alimentation'!$C$43</definedName>
    <definedName name="RationOiesNécessaireMaQ">'coût alimentation'!$E$43</definedName>
    <definedName name="RationOiesNécessaireMoQ">'coût alimentation'!$D$43</definedName>
    <definedName name="RationOvins">'coût alimentation'!$B$45</definedName>
    <definedName name="RationOvinsNécessaireBQ">'coût alimentation'!$C$45</definedName>
    <definedName name="RationOvinsNécessaireMaQ">'coût alimentation'!$E$45</definedName>
    <definedName name="RationOvinsNécessaireMoQ">'coût alimentation'!$D$45</definedName>
    <definedName name="RationPintades">'coût alimentation'!$B$41</definedName>
    <definedName name="RationPintadesNécessaireBQ">'coût alimentation'!$C$41</definedName>
    <definedName name="RationPintadesNécessaireMaQ">'coût alimentation'!$E$41</definedName>
    <definedName name="RationPintadesNécessaireMoQ">'coût alimentation'!$D$41</definedName>
    <definedName name="RationPoneys">'coût alimentation'!$B$50</definedName>
    <definedName name="RationPoneysNécessaireBQ">'coût alimentation'!$C$50</definedName>
    <definedName name="RationPoneysNécessaireMaQ">'coût alimentation'!$E$50</definedName>
    <definedName name="RationPoneysNécessaireMoQ">'coût alimentation'!$D$50</definedName>
    <definedName name="RationPorcins">'coût alimentation'!$B$39</definedName>
    <definedName name="RationPorcinsNécessaireBQ">'coût alimentation'!$C$39</definedName>
    <definedName name="RationPorcinsNécessaireMaQ">'coût alimentation'!$E$39</definedName>
    <definedName name="RationPorcinsNécessaireMoQ">'coût alimentation'!$D$39</definedName>
    <definedName name="RationVolailles">'coût alimentation'!$B$40</definedName>
    <definedName name="RationVolaillesNécessaireBQ">'coût alimentation'!$C$40</definedName>
    <definedName name="RationVolaillesNécessaireMaQ">'coût alimentation'!$E$40</definedName>
    <definedName name="RationVolaillesNécessaireMoQ">'coût alimentation'!$D$40</definedName>
    <definedName name="RésultatTotalEcuries">'bâtiments d''élevage'!$M$23</definedName>
    <definedName name="RésultatTotalParcsVolailles">'bâtiments d''élevage'!$M$19</definedName>
    <definedName name="RésultatTotalPoulaillers">'bâtiments d''élevage'!$M$18</definedName>
    <definedName name="Seigle">'coût alimentation'!$B$28</definedName>
    <definedName name="SeigleNécessaireBQ">'coût alimentation'!$C$28</definedName>
    <definedName name="SeigleNécessaireMaQ">'coût alimentation'!$E$28</definedName>
    <definedName name="SeigleNécessaireMoQ">'coût alimentation'!$D$28</definedName>
    <definedName name="Soja">'coût alimentation'!$B$29</definedName>
    <definedName name="SojaNécessaireBQ">'coût alimentation'!$C$29</definedName>
    <definedName name="SojaNécessaireMaQ">'coût alimentation'!$E$29</definedName>
    <definedName name="SojaNécessaireMoQ">'coût alimentation'!$D$29</definedName>
    <definedName name="SorghoEnsilé">'coût alimentation'!$B$30</definedName>
    <definedName name="SorghoEnsiléNécessaireBQ">'coût alimentation'!$C$30</definedName>
    <definedName name="SorghoEnsiléNécessaireMaQ">'coût alimentation'!$E$30</definedName>
    <definedName name="SorghoEnsiléNécessaireMoQ">'coût alimentation'!$D$30</definedName>
    <definedName name="Spécificité1Bovins">animaux!$J$20</definedName>
    <definedName name="Spécificité1Canards">animaux!$J$163</definedName>
    <definedName name="Spécificité1Caprins">animaux!$J$54</definedName>
    <definedName name="Spécificité1ChevauxSelle">animaux!$I$234</definedName>
    <definedName name="Spécificité1ChevauxTrait">animaux!$K$250</definedName>
    <definedName name="Spécificité1Daims">animaux!$J$224</definedName>
    <definedName name="Spécificité1Lapins">animaux!$J$130</definedName>
    <definedName name="Spécificité1Oies">animaux!$J$147</definedName>
    <definedName name="Spécificité1Ovins">animaux!$J$208</definedName>
    <definedName name="Spécificité1Pintades">animaux!$J$111</definedName>
    <definedName name="Spécificité1Poneys">animaux!$K$264</definedName>
    <definedName name="Spécificité1Porcins">animaux!$J$73</definedName>
    <definedName name="Spécificité1Volailles">animaux!$J$92</definedName>
    <definedName name="Spécificité2Bovins">animaux!$J$21</definedName>
    <definedName name="Spécificité2Canards">animaux!$J$164</definedName>
    <definedName name="Spécificité2Caprins">animaux!$J$55</definedName>
    <definedName name="Spécificité2ChevauxSelle">animaux!$I$235</definedName>
    <definedName name="Spécificité2ChevauxTrait">animaux!$I$251</definedName>
    <definedName name="Spécificité2Daims">animaux!$J$225</definedName>
    <definedName name="Spécificité2Lapins">animaux!$J$131</definedName>
    <definedName name="Spécificité2Oies">animaux!$J$148</definedName>
    <definedName name="Spécificité2Ovins">animaux!$J$209</definedName>
    <definedName name="Spécificité2Pintades">animaux!$J$112</definedName>
    <definedName name="Spécificité2Poneys">animaux!$I$265</definedName>
    <definedName name="Spécificité2Porcins">animaux!$J$74</definedName>
    <definedName name="Spécificité2Volailles">animaux!$J$93</definedName>
    <definedName name="Stabu">'bâtiments d''élevage'!$B$31</definedName>
    <definedName name="StockDansEntrepots">'entrepôts et local phyto'!$H$6:$I$105</definedName>
    <definedName name="StockDansSilos">silos!$B$5:$F$40</definedName>
    <definedName name="StockFoinBQDansEntrepôt">BDD!$HA$3:$HA$6</definedName>
    <definedName name="StockFoinDansEntrepôt">BDD!$HA$3:$HA$12</definedName>
    <definedName name="StockFoinMaQDansEntrepôt">BDD!$HA$11:$HA$14</definedName>
    <definedName name="StockFoinMoQDansEntrepôt">BDD!$HA$7:$HA$10</definedName>
    <definedName name="StockMinérauxBQDansEntrepôt">BDD!$HA$29</definedName>
    <definedName name="StockMinérauxMaQDansEntrepôt">BDD!$HA$31</definedName>
    <definedName name="StockMinérauxMoQDansEntrepôt">BDD!$HA$30</definedName>
    <definedName name="StockPailleBQDansEntrepôt">BDD!$HA$15:$HA$17</definedName>
    <definedName name="StockPailleDansEntrepôt">BDD!$HA$15:$HA$21</definedName>
    <definedName name="StockPailleMaQDansEntrepôt">BDD!$HA$21:$HA$23</definedName>
    <definedName name="StockPailleMoQDansEntrepôt">BDD!$HA$18:$HA$20</definedName>
    <definedName name="Suisse">BDD!$M$8</definedName>
    <definedName name="SurfaceAgneauBergerie">BDD!$DO$47</definedName>
    <definedName name="SurfaceBalleFoin_500kg">BDD!$B$133</definedName>
    <definedName name="SurfaceBallePaille_500kg">BDD!$B$136</definedName>
    <definedName name="SurfaceBélierBergerie">BDD!$DO$43</definedName>
    <definedName name="SurfaceBoucChèvrerie">BDD!$CC$25</definedName>
    <definedName name="SurfaceBrebisBergerie">BDD!$DO$44</definedName>
    <definedName name="SurfaceCanardAdultePoulailler">BDD!$ER$24</definedName>
    <definedName name="SurfaceCanardParc">BDD!$EP$16</definedName>
    <definedName name="SurfaceCanetonPoulailler">BDD!$ER$27</definedName>
    <definedName name="SurfaceChevauxSelleAdulteEcurie">BDD!$FB$34</definedName>
    <definedName name="SurfaceChevauxTraitAdultesEcurie">BDD!$FK$28</definedName>
    <definedName name="SurfaceChevreauChèvrerie">BDD!$CC$29</definedName>
    <definedName name="SurfaceChèvreChèvrerie">BDD!$CC$26</definedName>
    <definedName name="SurfaceExistanteBergeries">'bâtiments d''élevage'!$C$11:$G$11</definedName>
    <definedName name="SurfaceExistanteChèvreries">'bâtiments d''élevage'!$C$8:$G$8</definedName>
    <definedName name="SurfaceExistanteClapiers">'bâtiments d''élevage'!$C$12:$G$12</definedName>
    <definedName name="SurfaceExistanteEcuriesPoneys">'bâtiments d''élevage'!$C$24:$G$24</definedName>
    <definedName name="SurfaceExistanteEcuriesSelle">'bâtiments d''élevage'!$C$22:$G$22</definedName>
    <definedName name="SurfaceExistanteEcuriesTrait">'bâtiments d''élevage'!$C$23:$G$23</definedName>
    <definedName name="SurfaceExistanteParcsCanards">'bâtiments d''élevage'!$C$21</definedName>
    <definedName name="SurfaceExistanteParcsLapins">'bâtiments d''élevage'!$C$13</definedName>
    <definedName name="SurfaceExistanteParcsOies">'bâtiments d''élevage'!$C$20</definedName>
    <definedName name="SurfaceExistanteParcsPintades">'bâtiments d''élevage'!$C$19</definedName>
    <definedName name="SurfaceExistanteParcsPorcins">'bâtiments d''élevage'!$C$10</definedName>
    <definedName name="SurfaceExistanteParcsVolailles">'bâtiments d''élevage'!$C$18</definedName>
    <definedName name="SurfaceExistantePorcheries">'bâtiments d''élevage'!$C$9:$G$9</definedName>
    <definedName name="SurfaceExistantePoulaillersCanards">'bâtiments d''élevage'!$C$17:$G$17</definedName>
    <definedName name="SurfaceExistantePoulaillersOies">'bâtiments d''élevage'!$C$16:$G$16</definedName>
    <definedName name="SurfaceExistantePoulaillersPintades">'bâtiments d''élevage'!$C$15:$G$15</definedName>
    <definedName name="SurfaceExistantePoulaillersVolailles">'bâtiments d''élevage'!$C$14:$G$14</definedName>
    <definedName name="SurfaceExistanteStabu">'bâtiments d''élevage'!$C$7:$G$7</definedName>
    <definedName name="SurfaceJeuneBovinStabu">BDD!$BD$40</definedName>
    <definedName name="SurfaceJeuneCanardPoulailler">BDD!$ER$26</definedName>
    <definedName name="SurfaceJeuneCaprinChèvrerie">BDD!$CC$28</definedName>
    <definedName name="SurfaceJeuneChevalSelleEcurie">BDD!$FB$32</definedName>
    <definedName name="SurfaceJeuneChevauxTraitEcurie">BDD!$FK$26</definedName>
    <definedName name="SurfaceJeuneLapinClapier">BDD!$CW$25</definedName>
    <definedName name="SurfaceJeuneLapinParc">BDD!$CT$32</definedName>
    <definedName name="SurfaceJeuneOiePoulailler">BDD!$EK$27</definedName>
    <definedName name="SurfaceJeuneOvinBergerie">BDD!$DO$46</definedName>
    <definedName name="SurfaceJeunePintadePoulailler">BDD!$DH$18</definedName>
    <definedName name="SurfaceJeunePoneysEcurie">BDD!$FU$25</definedName>
    <definedName name="SurfaceJeunePorcinPorcherie">BDD!$CO$11</definedName>
    <definedName name="SurfaceJeuneVolaillePoulailler">BDD!$DA$28</definedName>
    <definedName name="SurfaceJumentSelleEcurie">BDD!$FB$35</definedName>
    <definedName name="SurfaceLapereauClapier">BDD!$CW$26</definedName>
    <definedName name="SurfaceLapereauParc">BDD!$CT$33</definedName>
    <definedName name="SurfaceLapinAdulteClapier">BDD!$CW$23</definedName>
    <definedName name="SurfaceLapinAdulteParc">BDD!$CT$30</definedName>
    <definedName name="SurfaceNécessaireBergerie">'bâtiments d''élevage'!$C$35</definedName>
    <definedName name="SurfaceNécessaireChèvrerie">'bâtiments d''élevage'!$C$32</definedName>
    <definedName name="SurfaceNécessaireClapiers">'bâtiments d''élevage'!$C$36</definedName>
    <definedName name="SurfaceNécessaireConcentréBovins">BDD!$B$180</definedName>
    <definedName name="SurfaceNécessaireConcentréLapins">BDD!$B$182</definedName>
    <definedName name="SurfaceNécessaireConcentréPorcins">BDD!$B$181</definedName>
    <definedName name="SurfaceNécessaireEcuriesPoneys">'bâtiments d''élevage'!$C$48</definedName>
    <definedName name="SurfaceNécessaireEcuriesSelle">'bâtiments d''élevage'!$C$46</definedName>
    <definedName name="SurfaceNécessaireEcuriesTrait">'bâtiments d''élevage'!$C$47</definedName>
    <definedName name="SurfaceNécessaireMinéraux">BDD!$B$183</definedName>
    <definedName name="SurfaceNécessaireParcsCanards">'bâtiments d''élevage'!$C$45</definedName>
    <definedName name="SurfaceNécessaireParcsLapins">'bâtiments d''élevage'!$C$37</definedName>
    <definedName name="SurfaceNécessaireParcsOies">'bâtiments d''élevage'!$C$44</definedName>
    <definedName name="SurfaceNécessaireParcsPintades">'bâtiments d''élevage'!$C$43</definedName>
    <definedName name="SurfaceNécessaireParcsPorcins">'bâtiments d''élevage'!$C$34</definedName>
    <definedName name="SurfaceNécessaireParcsVolailles">'bâtiments d''élevage'!$C$42</definedName>
    <definedName name="SurfaceNécessairePorcherie">'bâtiments d''élevage'!$C$33</definedName>
    <definedName name="SurfaceNécessairePoulaillersCanards">'bâtiments d''élevage'!$C$41</definedName>
    <definedName name="SurfaceNécessairePoulaillersOies">'bâtiments d''élevage'!$C$40</definedName>
    <definedName name="SurfaceNécessairePoulaillersPintades">'bâtiments d''élevage'!$C$39</definedName>
    <definedName name="SurfaceNécessairePoulaillersVolailles">'bâtiments d''élevage'!$C$38</definedName>
    <definedName name="SurfaceNécessaireStabu">'bâtiments d''élevage'!$C$31</definedName>
    <definedName name="SurfaceOieAdultePoulailler">BDD!$EK$25</definedName>
    <definedName name="SurfaceOieParc">BDD!$EI$18</definedName>
    <definedName name="SurfaceOisonPoulailler">BDD!$EK$28</definedName>
    <definedName name="SurfacePintadeAdultePoulailler">BDD!$DH$17</definedName>
    <definedName name="SurfacePintadeauPoulailler">BDD!$DH$19</definedName>
    <definedName name="SurfacePintadeParc">BDD!$DG$22</definedName>
    <definedName name="SurfacePoneysAdultesEcuries">BDD!$FU$27</definedName>
    <definedName name="SurfacePorceletPorcherie">BDD!$CO$12</definedName>
    <definedName name="SurfacePorcinsAbrisEtParcs">BDD!$CP$16</definedName>
    <definedName name="SurfacePoulainPoneysEcuries">BDD!$FU$24</definedName>
    <definedName name="SurfacePoulainSelleEcurie">BDD!$FB$31</definedName>
    <definedName name="SurfacePoulainTraitEcurie">BDD!$FK$25</definedName>
    <definedName name="SurfacePoussinPoulailler">BDD!$DA$29</definedName>
    <definedName name="SurfaceTaureauStabu">BDD!$BD$37</definedName>
    <definedName name="SurfaceTotaleEcuries">'bâtiments d''élevage'!$M$22</definedName>
    <definedName name="SurfaceTotaleParcsVolailles">'bâtiments d''élevage'!$M$17</definedName>
    <definedName name="SurfaceTotalePoulaillers">'bâtiments d''élevage'!$M$16</definedName>
    <definedName name="SurfaceTruiePorcherie">BDD!$CO$9</definedName>
    <definedName name="SurfaceUtiliséeParFoinDansEntrepôt">BDD!$HB$3:$HB$12</definedName>
    <definedName name="SurfaceUtiliséeParPailleDansEntrepôt">BDD!$HB$15:$HB$21</definedName>
    <definedName name="SurfaceVacheStabu">BDD!$BD$38</definedName>
    <definedName name="SurfaceVeauxStabu">BDD!$BD$41</definedName>
    <definedName name="SurfaceVerratPorcherie">BDD!$CO$8</definedName>
    <definedName name="SurfaceVolailleAdultePoulaille">BDD!$DA$26</definedName>
    <definedName name="SurfaceVolailleParc">BDD!$CZ$32</definedName>
    <definedName name="TarifsCoopCultures">BDD!$HK$3:$HL$42</definedName>
    <definedName name="TêteListe" localSheetId="7">[1]hangars!$Z$1:$IV$1</definedName>
    <definedName name="TêteListe">BDD!$GG$1:$GV$1</definedName>
    <definedName name="Total_PintadeMâle">animaux!$C$103</definedName>
    <definedName name="Total_poussin_mâle_0_1_mois">animaux!$C$80</definedName>
    <definedName name="TotalAgneau_0_3_mois">animaux!$C$199</definedName>
    <definedName name="TotalAgneau_3_6_mois">animaux!$C$201</definedName>
    <definedName name="TotalAgneaux">animaux!$C$199:$C$202</definedName>
    <definedName name="TotalAgneauxRacesLaitières">animaux!$D$199:$D$202</definedName>
    <definedName name="TotalAgnelle_0_3_mois">animaux!$C$200</definedName>
    <definedName name="TotalAgnelle_3_6_mois">animaux!$C$202</definedName>
    <definedName name="TotalBéliers">animaux!$C$205</definedName>
    <definedName name="TotalBéliersRacesLaitières">animaux!$D$205</definedName>
    <definedName name="TotalBisonneaux">animaux!$C$28:$C$33</definedName>
    <definedName name="TotalBisonnes">animaux!$C$41</definedName>
    <definedName name="TotalBisons">animaux!$C$28:$C$41</definedName>
    <definedName name="TotalBisons0_3">animaux!$C$28:$C$29</definedName>
    <definedName name="TotalBisons12_18">animaux!$C$34:$C$35</definedName>
    <definedName name="TotalBisons18_24">animaux!$C$36:$C$37</definedName>
    <definedName name="TotalBisons24_36">animaux!$C$38:$C$39</definedName>
    <definedName name="TotalBisons3_6">animaux!$C$30:$C$31</definedName>
    <definedName name="TotalBisons6_12">animaux!$C$32:$C$33</definedName>
    <definedName name="TotalBisonsAdultes">animaux!$C$40:$C$41</definedName>
    <definedName name="TotalBisonsFemelles_0_3_mois">animaux!$C$29</definedName>
    <definedName name="TotalBisonsFemelles_12_18_mois">animaux!$C$35</definedName>
    <definedName name="TotalBisonsFemelles_18_24_mois">animaux!$C$37</definedName>
    <definedName name="TotalBisonsFemelles_24_36_mois">animaux!$C$39</definedName>
    <definedName name="TotalBisonsFemelles_3_6_mois">animaux!$C$31</definedName>
    <definedName name="TotalBisonsFemelles_6_12_mois">animaux!$C$33</definedName>
    <definedName name="TotalBisonsMales_0_3_mois">animaux!$C$28</definedName>
    <definedName name="TotalBisonsMales_12_18_mois">animaux!$C$34</definedName>
    <definedName name="TotalBisonsMales_18_24_mois">animaux!$C$36</definedName>
    <definedName name="TotalBisonsMales_24_36_mois">animaux!$C$38</definedName>
    <definedName name="TotalBisonsMales_3_6_mois">animaux!$C$30</definedName>
    <definedName name="TotalBisonsMales_6_12_mois">animaux!$C$32</definedName>
    <definedName name="TotalBisonsMalesAdultes">animaux!$C$40</definedName>
    <definedName name="TotalBoucs">animaux!$C$51</definedName>
    <definedName name="TotalBovins">animaux!$C$8:$C$21</definedName>
    <definedName name="TotalBovins_0_3mois">animaux!$C$8:$C$9</definedName>
    <definedName name="TotalBovins_0_3moisAuPré">animaux!$F$8:$F$9</definedName>
    <definedName name="TotalBovins_0_3moisRacesLaitières">animaux!$D$8:$D$9</definedName>
    <definedName name="TotalBovins_12_18mois">animaux!$C$14:$C$15</definedName>
    <definedName name="TotalBovins_12_18moisAuPré">animaux!$F$14:$F$15</definedName>
    <definedName name="TotalBovins_12_18moisRacesLaitières">animaux!$D$14:$D$15</definedName>
    <definedName name="TotalBovins_18_24mois">animaux!$C$16:$C$17</definedName>
    <definedName name="TotalBovins_18_24moisAuPré">animaux!$F$16:$F$17</definedName>
    <definedName name="TotalBovins_18_24moisRacesLaitières">animaux!$D$16:$D$17</definedName>
    <definedName name="TotalBovins_24_36mois">animaux!$C$18:$C$19</definedName>
    <definedName name="TotalBovins_24_36moisAuPré">animaux!$F$18:$F$19</definedName>
    <definedName name="TotalBovins_24_36moisRacesLaitières">animaux!$D$18:$D$19</definedName>
    <definedName name="TotalBovins_3_6mois">animaux!$C$10:$C$11</definedName>
    <definedName name="TotalBovins_3_6moisAuPré">animaux!$F$10:$F$11</definedName>
    <definedName name="TotalBovins_3_6moisRacesLaitières">animaux!$D$10:$D$11</definedName>
    <definedName name="TotalBovins_6_12mois">animaux!$C$12:$C$13</definedName>
    <definedName name="TotalBovins_6_12moisAuPré">animaux!$F$12:$F$13</definedName>
    <definedName name="TotalBovins_6_12moisRacesLaitières">animaux!$D$12:$D$13</definedName>
    <definedName name="TotalBovinsAdultes">animaux!$C$20:$C$21</definedName>
    <definedName name="TotalBovinsAdultesAuPré">animaux!$F$20:$F$21</definedName>
    <definedName name="TotalBovinsAdultesRacesLaitières">animaux!$D$20:$D$21</definedName>
    <definedName name="TotalBovinsFemelles_0_3mois">animaux!$C$9</definedName>
    <definedName name="TotalBovinsFemelles_12_18mois">animaux!$C$15</definedName>
    <definedName name="TotalBovinsFemelles_18_24mois">animaux!$C$17</definedName>
    <definedName name="TotalBovinsFemelles_24_36mois">animaux!$C$19</definedName>
    <definedName name="TotalBovinsFemelles_3_6mois">animaux!$C$11</definedName>
    <definedName name="TotalBovinsFemelles_6_12mois">animaux!$C$13</definedName>
    <definedName name="TotalBovinsLaitièresEtAlalaitantes">animaux!$D$8:$F$21</definedName>
    <definedName name="TotalBovinsMâles_0_3mois">animaux!$C$8</definedName>
    <definedName name="TotalBovinsMâles_12_18mois">animaux!$C$14</definedName>
    <definedName name="TotalBovinsMâles_18_24mois">animaux!$C$16</definedName>
    <definedName name="TotalBovinsMâles_24_36mois">animaux!$C$18</definedName>
    <definedName name="TotalBovinsMâles_3_6mois">animaux!$C$10</definedName>
    <definedName name="TotalBovinsMâles_6_12mois">animaux!$C$12</definedName>
    <definedName name="TotalBovinsRacesLaitières">animaux!$D$8:$D$21</definedName>
    <definedName name="TotalBrebis">animaux!$C$206</definedName>
    <definedName name="TotalBrebisRacesLaitières">animaux!$D$206</definedName>
    <definedName name="TotalCanards">animaux!$C$154:$C$159</definedName>
    <definedName name="TotalCanardsAdultes">animaux!$C$158:$C$159</definedName>
    <definedName name="TotalCanardsMalesAdultes">animaux!$C$158</definedName>
    <definedName name="TotalCanes">animaux!$C$159</definedName>
    <definedName name="TotalCanetons">animaux!$C$154:$C$155</definedName>
    <definedName name="TotalCaprins">animaux!$C$45:$C$52</definedName>
    <definedName name="TotalCaprins_0_3mois">animaux!$C$45:$C$46</definedName>
    <definedName name="TotalCaprins_3_6mois">animaux!$C$47:$C$48</definedName>
    <definedName name="TotalCaprinsAdultes">animaux!$C$51:$C$52</definedName>
    <definedName name="TotalChevauxSelle">animaux!$C$235:$C$242</definedName>
    <definedName name="TotalChevauxSelle_12_24mois">animaux!$C$237:$C$238</definedName>
    <definedName name="TotalChevauxSelle_24_36mois">animaux!$C$239:$C$240</definedName>
    <definedName name="TotalChevauxSelleAdultes">animaux!$C$241:$C$242</definedName>
    <definedName name="TotalChevauxTrait">animaux!$C$249:$C$256</definedName>
    <definedName name="TotalChevauxTrait_12_24mois">animaux!$C$251:$C$252</definedName>
    <definedName name="TotalChevauxTrait_24_36mois">animaux!$C$253:$C$254</definedName>
    <definedName name="TotalChevauxTraitAdultes">animaux!$C$255:$C$256</definedName>
    <definedName name="TotalChevreaux">animaux!$C$45:$C$48</definedName>
    <definedName name="TotalChèvres">animaux!$C$52</definedName>
    <definedName name="TotalCoqs">animaux!$C$84</definedName>
    <definedName name="TotalDaim">animaux!$C$227</definedName>
    <definedName name="TotalDaims">animaux!$C$215:$C$228</definedName>
    <definedName name="TotalDaims0_3">animaux!$C$215:$C$216</definedName>
    <definedName name="TotalDaims12_18">animaux!$C$221:$C$222</definedName>
    <definedName name="TotalDaims18_24">animaux!$C$223:$C$224</definedName>
    <definedName name="TotalDaims24_36">animaux!$C$225:$C$226</definedName>
    <definedName name="TotalDaims3_6">animaux!$C$217:$C$218</definedName>
    <definedName name="TotalDaims6_12">animaux!$C$219:$C$220</definedName>
    <definedName name="TotalDaimsAdultes">animaux!$C$227:$C$228</definedName>
    <definedName name="TotalDaine">animaux!$C$228</definedName>
    <definedName name="TotalEtalonPoney">animaux!$C$269</definedName>
    <definedName name="TotalEtalonSelle">animaux!$C$241</definedName>
    <definedName name="TotalEtalonTrait">animaux!$C$255</definedName>
    <definedName name="TotalFaons">animaux!$C$215:$C$220</definedName>
    <definedName name="TotalGénisse_12_18_RacesLaitières">animaux!$D$15</definedName>
    <definedName name="TotalGénisse_18_24_RacesLaitières">animaux!$D$17</definedName>
    <definedName name="TotalGénisse_24_36_RacesLaitières">animaux!$D$19</definedName>
    <definedName name="TotalJars">animaux!$C$142</definedName>
    <definedName name="TotalJeune_bélier_6_12_mois">animaux!$C$203</definedName>
    <definedName name="TotalJeune_brebis_6_12_mois">animaux!$C$204</definedName>
    <definedName name="TotalJeuneBovin">animaux!$C$14:$C$19</definedName>
    <definedName name="TotalJeuneEtalonPoney_12_24_mois">animaux!$C$265</definedName>
    <definedName name="TotalJeuneEtalonPoney_24_36_mois">animaux!$C$267</definedName>
    <definedName name="TotalJeuneEtalonSelle_12_24_mois">animaux!$C$237</definedName>
    <definedName name="TotalJeuneEtalonSelle_24_36_mois">animaux!$C$239</definedName>
    <definedName name="TotalJeuneEtalonTrait_12_24_mois">animaux!$C$251</definedName>
    <definedName name="TotalJeuneEtalonTrait_24_36_mois">animaux!$C$253</definedName>
    <definedName name="TotalJeuneJumentPoney_12_24_mois">animaux!$C$266</definedName>
    <definedName name="TotalJeuneJumentPoney_24_36_mois">animaux!$C$268</definedName>
    <definedName name="TotalJeuneJumentSelle_12_24_mois">animaux!$C$238</definedName>
    <definedName name="TotalJeuneJumentSelle_24_36_mois">animaux!$C$240</definedName>
    <definedName name="TotalJeuneJumentTrait_12_24_mois">animaux!$C$252</definedName>
    <definedName name="TotalJeuneJumentTrait_24_36_mois">animaux!$C$254</definedName>
    <definedName name="TotalJeuneLapin_1_3_mois">animaux!$C$120</definedName>
    <definedName name="TotalJeuneLapine_1_3_mois">animaux!$C$121</definedName>
    <definedName name="TotalJeunesBisons">animaux!$C$34:$C$39</definedName>
    <definedName name="TotalJeunesBovinsAllaitants">animaux!$F$14:$F$19</definedName>
    <definedName name="TotalJeunesBovinsRacesLaitières">animaux!$D$14:$D$19</definedName>
    <definedName name="TotalJeunesCanards">animaux!$C$156:$C$157</definedName>
    <definedName name="TotalJeunesCanards_3moisEtPlus">animaux!$G$187</definedName>
    <definedName name="TotalJeunesCaprins">animaux!$C$49:$C$50</definedName>
    <definedName name="TotalJeunesChevauxSelle">animaux!$C$237:$C$240</definedName>
    <definedName name="TotalJeunesChevauxTrait">animaux!$C$251:$C$254</definedName>
    <definedName name="TotalJeunesDaims">animaux!$C$221:$C$226</definedName>
    <definedName name="TotalJeunesLapins">animaux!$C$120:$C$121</definedName>
    <definedName name="TotalJeunesOies">animaux!$C$140:$C$141</definedName>
    <definedName name="TotalJeunesOvins">animaux!$C$203:$C$204</definedName>
    <definedName name="TotalJeunesOvinsRacesLaitières">animaux!$D$203:$D$204</definedName>
    <definedName name="TotalJeunesPintades">animaux!$C$101:$C$102</definedName>
    <definedName name="TotalJeunesPoneys">animaux!$C$265:$C$268</definedName>
    <definedName name="TotalJeunesPorcins">animaux!$C$65:$C$68</definedName>
    <definedName name="TotalJeuneVolaille">animaux!$C$82:$C$83</definedName>
    <definedName name="TotalJumentPoney">animaux!$C$270</definedName>
    <definedName name="TotalJumentSelle">animaux!$C$242</definedName>
    <definedName name="TotalJumentTrait">animaux!$C$256</definedName>
    <definedName name="TotalLapereauFemelle_0_1_mois">animaux!$C$119</definedName>
    <definedName name="TotalLapereauMale_0_1_mois">animaux!$C$118</definedName>
    <definedName name="TotalLapereaux">animaux!$C$118:$C$119</definedName>
    <definedName name="TotalLapines">animaux!$C$123</definedName>
    <definedName name="TotalLapins">animaux!$C$122</definedName>
    <definedName name="TotalLapinsAdultes">animaux!$C$122:$C$123</definedName>
    <definedName name="TotalOies">animaux!$C$138:$C$143</definedName>
    <definedName name="TotalOiesAdultes">animaux!$C$142:$C$143</definedName>
    <definedName name="TotalOiesFemellesAdultes">animaux!$C$143</definedName>
    <definedName name="TotalOisons">animaux!$C$138:$C$139</definedName>
    <definedName name="TotalOvins">animaux!$C$199:$C$206</definedName>
    <definedName name="TotalOvins_0_3mois">animaux!$C$199:$C$200</definedName>
    <definedName name="TotalOvins_0_3moisAuPré">animaux!$F$199:$F$200</definedName>
    <definedName name="TotalOvins_0_3moisRacesLaitières">animaux!$D$199:$D$200</definedName>
    <definedName name="TotalOvins_3_6mois">animaux!$C$201:$C$202</definedName>
    <definedName name="TotalOvins_3_6moisAuPré">animaux!$F$201:$F$202</definedName>
    <definedName name="TotalOvins_3_6moisRacesLaitières">animaux!$D$201:$D$202</definedName>
    <definedName name="TotalOvins_6_12moisAuPré">animaux!$F$203:$F$204</definedName>
    <definedName name="TotalOvinsAdultes">animaux!$C$205:$C$206</definedName>
    <definedName name="TotalOvinsAdultesAuPré">animaux!$F$205:$F$206</definedName>
    <definedName name="TotalOvinsAdultesRacesLaitières">animaux!$D$205:$D$206</definedName>
    <definedName name="TotalOvinsRacesLaitières">animaux!$D$199:$D$206</definedName>
    <definedName name="TotalPintadeaux">animaux!$C$99:$C$100</definedName>
    <definedName name="TotalPintadeFemelle">animaux!$C$104</definedName>
    <definedName name="TotalPintades">animaux!$C$99:$C$104</definedName>
    <definedName name="TotalPintadesAdultes">animaux!$C$103:$C$104</definedName>
    <definedName name="TotalPoneys">animaux!$C$263:$C$270</definedName>
    <definedName name="TotalPoneys_12_24mois">animaux!$C$265:$C$266</definedName>
    <definedName name="TotalPoneys_24_36mois">animaux!$C$267:$C$268</definedName>
    <definedName name="TotalPoneysAdultes">animaux!$C$269:$C$270</definedName>
    <definedName name="TotalPorcelets">animaux!$C$61:$C$64</definedName>
    <definedName name="TotalPorcins">animaux!$C$61:$C$70</definedName>
    <definedName name="TotalPorcins_0_1Mois">animaux!$C$61:$C$62</definedName>
    <definedName name="TotalPorcins_1_3Mois">animaux!$C$63:$C$64</definedName>
    <definedName name="TotalPorcins_3_6Mois">animaux!$C$65:$C$66</definedName>
    <definedName name="TotalPorcins_6_12Mois">animaux!$C$67:$C$68</definedName>
    <definedName name="TotalPorcinsAdultes">animaux!$C$69:$C$70</definedName>
    <definedName name="TotalPoulainPoney_0_12_mois">animaux!$C$263</definedName>
    <definedName name="TotalPoulainSelle_0_12_mois">animaux!$C$235</definedName>
    <definedName name="TotalPoulainsPoneys">animaux!$C$263:$C$264</definedName>
    <definedName name="TotalPoulainsSelle">animaux!$C$235:$C$236</definedName>
    <definedName name="TotalPoulainsTrait">animaux!$C$249:$C$250</definedName>
    <definedName name="TotalPoulainTrait_0_12_mois">animaux!$C$249</definedName>
    <definedName name="TotalPoules">animaux!$C$85</definedName>
    <definedName name="TotalPoulichePoney_0_12_mois">animaux!$C$264</definedName>
    <definedName name="TotalPoulicheSelle_0_12_mois">animaux!$C$236</definedName>
    <definedName name="TotalPoulicheTrait_0_12_mois">animaux!$C$250</definedName>
    <definedName name="TotalPoussins">animaux!$C$80:$C$81</definedName>
    <definedName name="TotalTaureaux">animaux!$C$20</definedName>
    <definedName name="TotalTaureauxAllaitants">animaux!$F$20</definedName>
    <definedName name="TotalTaureauxRacesLaitières">animaux!$D$20</definedName>
    <definedName name="TotalTaurillon_12_18_RacesLaitières">animaux!$C$14</definedName>
    <definedName name="TotalTaurillon_18_24_RacesLaitières">animaux!$D$16</definedName>
    <definedName name="TotalTaurillon_24_36_RacesLaitières">animaux!$D$18</definedName>
    <definedName name="TotalTruies">animaux!$C$70</definedName>
    <definedName name="TotalVaches">animaux!$C$21</definedName>
    <definedName name="TotalVachesAllaitant">animaux!$F$21</definedName>
    <definedName name="TotalVachesRacesLaitières">animaux!$D$21</definedName>
    <definedName name="TotalVeauFemelle_0_3_RacesLaitières">animaux!$D$9</definedName>
    <definedName name="TotalVeauFemelle_3_6_RacesLaitières">animaux!$D$11</definedName>
    <definedName name="TotalVeauFemelle_6_12_RacesLaitières">animaux!$D$13</definedName>
    <definedName name="TotalVeauMâle_0_3_RacesLaitières">animaux!$D$8</definedName>
    <definedName name="TotalVeauMâle_3_6_RacesLaitières">animaux!$D$10</definedName>
    <definedName name="TotalVeauMâle_6_12_RacesLaitières">animaux!$D$12</definedName>
    <definedName name="TotalVeaux">animaux!$C$8:$C$13</definedName>
    <definedName name="TotalVeauxAllaitants">animaux!$F$8:$F$13</definedName>
    <definedName name="TotalVeauxRacesLaitières">animaux!$D$8:$D$13</definedName>
    <definedName name="TotalVerrats">animaux!$C$69</definedName>
    <definedName name="TotalVolailleAdulte">animaux!$C$84:$C$85</definedName>
    <definedName name="TotalVolailles">animaux!$C$80:$C$85</definedName>
    <definedName name="Tournesol">'coût alimentation'!$B$31</definedName>
    <definedName name="Tournesol_BDD">BDD!$AA$3</definedName>
    <definedName name="TournesolNécessaireBQ">'coût alimentation'!$C$31</definedName>
    <definedName name="TournesolNécessaireMaQ">'coût alimentation'!$E$31</definedName>
    <definedName name="TournesolNécessaireMoQ">'coût alimentation'!$D$31</definedName>
    <definedName name="TourteauColza">'coût alimentation'!$B$32</definedName>
    <definedName name="TourteauColzaNécessaireBQ">'coût alimentation'!$C$32</definedName>
    <definedName name="TourteauColzaNécessaireMaQ">'coût alimentation'!$E$32</definedName>
    <definedName name="TourteauColzaNécessaireMoQ">'coût alimentation'!$D$32</definedName>
    <definedName name="TourteauTournesol">'coût alimentation'!$B$33</definedName>
    <definedName name="TourteauTournesolNécessaireBQ">'coût alimentation'!$C$33</definedName>
    <definedName name="TourteauTournesolNécessaireMaQ">'coût alimentation'!$E$33</definedName>
    <definedName name="TourteauTournesolNécessaireMoQ">'coût alimentation'!$D$33</definedName>
    <definedName name="Triticale">'coût alimentation'!$B$34</definedName>
    <definedName name="Triticale_BDD">BDD!$U$3</definedName>
    <definedName name="TriticaleNécessaireBQ">'coût alimentation'!$C$34</definedName>
    <definedName name="TriticaleNécessaireMaQ">'coût alimentation'!$E$34</definedName>
    <definedName name="TriticaleNécessaireMoQ">'coût alimentation'!$D$34</definedName>
    <definedName name="TypeArticleDansEntrepôt">'entrepôts et local phyto'!$H$6:$H$105</definedName>
    <definedName name="TypeLaitBovins">gains!$H$7</definedName>
    <definedName name="TypeLaitCaprins">gains!$H$8</definedName>
    <definedName name="TypeLaitOvins">gains!$H$9</definedName>
    <definedName name="USA">BDD!$M$10</definedName>
    <definedName name="Z_EE76D120_5D4A_4AD8_A1CB_952C682DC0B3_.wvu.FilterData" localSheetId="3" hidden="1">animaux!$Z$2:$Z$4</definedName>
  </definedNames>
  <calcPr calcId="145621"/>
  <customWorkbookViews>
    <customWorkbookView name="SEGULA - Affichage personnalisé" guid="{EE76D120-5D4A-4AD8-A1CB-952C682DC0B3}" mergeInterval="0" personalView="1" maximized="1" windowWidth="1020" windowHeight="552" tabRatio="761" activeSheetId="21"/>
  </customWorkbookViews>
</workbook>
</file>

<file path=xl/calcChain.xml><?xml version="1.0" encoding="utf-8"?>
<calcChain xmlns="http://schemas.openxmlformats.org/spreadsheetml/2006/main">
  <c r="BG15" i="27" l="1"/>
  <c r="L243" i="48" l="1"/>
  <c r="FE194" i="27"/>
  <c r="BS6" i="27"/>
  <c r="J32" i="48"/>
  <c r="CM171" i="27" a="1"/>
  <c r="CM171" i="27" s="1"/>
  <c r="CM170" i="27" a="1"/>
  <c r="CM170" i="27" s="1"/>
  <c r="CM169" i="27" a="1"/>
  <c r="CM169" i="27" s="1"/>
  <c r="CM168" i="27" a="1"/>
  <c r="CM168" i="27" s="1"/>
  <c r="CM167" i="27" a="1"/>
  <c r="CM167" i="27" s="1"/>
  <c r="CM166" i="27" a="1"/>
  <c r="CM166" i="27" s="1"/>
  <c r="CM165" i="27" a="1"/>
  <c r="CM165" i="27" s="1"/>
  <c r="CM163" i="27" a="1"/>
  <c r="CM163" i="27" s="1"/>
  <c r="CM162" i="27" a="1"/>
  <c r="CM162" i="27" s="1"/>
  <c r="CM161" i="27" a="1"/>
  <c r="CM161" i="27" s="1"/>
  <c r="CM159" i="27" a="1"/>
  <c r="CM159" i="27" s="1"/>
  <c r="CM158" i="27" a="1"/>
  <c r="CM158" i="27" s="1"/>
  <c r="CM157" i="27" a="1"/>
  <c r="CM157" i="27" s="1"/>
  <c r="CM156" i="27" a="1"/>
  <c r="CM156" i="27" s="1"/>
  <c r="CM155" i="27" a="1"/>
  <c r="CM155" i="27" s="1"/>
  <c r="CM154" i="27" a="1"/>
  <c r="CM154" i="27" s="1"/>
  <c r="CM153" i="27" a="1"/>
  <c r="CM153" i="27" s="1"/>
  <c r="CM152" i="27" a="1"/>
  <c r="CM152" i="27" s="1"/>
  <c r="CM151" i="27" a="1"/>
  <c r="CM151" i="27" s="1"/>
  <c r="CM150" i="27" a="1"/>
  <c r="CM150" i="27" s="1"/>
  <c r="CM149" i="27" a="1"/>
  <c r="CM149" i="27" s="1"/>
  <c r="CM148" i="27" a="1"/>
  <c r="CM148" i="27" s="1"/>
  <c r="CM147" i="27" a="1"/>
  <c r="CM147" i="27" s="1"/>
  <c r="CM146" i="27" a="1"/>
  <c r="CM146" i="27" s="1"/>
  <c r="CM145" i="27" a="1"/>
  <c r="CM145" i="27" s="1"/>
  <c r="CM144" i="27" a="1"/>
  <c r="CM144" i="27" s="1"/>
  <c r="CM143" i="27" a="1"/>
  <c r="CM143" i="27" s="1"/>
  <c r="CM142" i="27" a="1"/>
  <c r="CM142" i="27" s="1"/>
  <c r="CM141" i="27" a="1"/>
  <c r="CM141" i="27" s="1"/>
  <c r="CM140" i="27" a="1"/>
  <c r="CM140" i="27" s="1"/>
  <c r="CM139" i="27" a="1"/>
  <c r="CM139" i="27" s="1"/>
  <c r="CL171" i="27" a="1"/>
  <c r="CL171" i="27" s="1"/>
  <c r="CL170" i="27" a="1"/>
  <c r="CL170" i="27" s="1"/>
  <c r="CL169" i="27" a="1"/>
  <c r="CL169" i="27" s="1"/>
  <c r="CL168" i="27" a="1"/>
  <c r="CL168" i="27" s="1"/>
  <c r="CL167" i="27" a="1"/>
  <c r="CL167" i="27" s="1"/>
  <c r="CL166" i="27" a="1"/>
  <c r="CL166" i="27" s="1"/>
  <c r="CL165" i="27" a="1"/>
  <c r="CL165" i="27" s="1"/>
  <c r="CL163" i="27" a="1"/>
  <c r="CL163" i="27" s="1"/>
  <c r="CL162" i="27" a="1"/>
  <c r="CL162" i="27" s="1"/>
  <c r="CL161" i="27" a="1"/>
  <c r="CL161" i="27" s="1"/>
  <c r="CL160" i="27" a="1"/>
  <c r="CL160" i="27" s="1"/>
  <c r="CL159" i="27" a="1"/>
  <c r="CL159" i="27" s="1"/>
  <c r="CL158" i="27" a="1"/>
  <c r="CL158" i="27" s="1"/>
  <c r="CL157" i="27" a="1"/>
  <c r="CL157" i="27" s="1"/>
  <c r="CL156" i="27" a="1"/>
  <c r="CL156" i="27" s="1"/>
  <c r="CL155" i="27" a="1"/>
  <c r="CL155" i="27" s="1"/>
  <c r="CL154" i="27" a="1"/>
  <c r="CL154" i="27" s="1"/>
  <c r="CL153" i="27" a="1"/>
  <c r="CL153" i="27" s="1"/>
  <c r="CL152" i="27" a="1"/>
  <c r="CL152" i="27" s="1"/>
  <c r="CL151" i="27" a="1"/>
  <c r="CL151" i="27" s="1"/>
  <c r="CL150" i="27" a="1"/>
  <c r="CL150" i="27" s="1"/>
  <c r="CL149" i="27" a="1"/>
  <c r="CL149" i="27" s="1"/>
  <c r="CL148" i="27" a="1"/>
  <c r="CL148" i="27" s="1"/>
  <c r="CL147" i="27" a="1"/>
  <c r="CL147" i="27" s="1"/>
  <c r="CL146" i="27" a="1"/>
  <c r="CL146" i="27" s="1"/>
  <c r="CL145" i="27" a="1"/>
  <c r="CL145" i="27" s="1"/>
  <c r="CL144" i="27" a="1"/>
  <c r="CL144" i="27" s="1"/>
  <c r="CL143" i="27" a="1"/>
  <c r="CL143" i="27" s="1"/>
  <c r="CL142" i="27" a="1"/>
  <c r="CL142" i="27" s="1"/>
  <c r="CL141" i="27" a="1"/>
  <c r="CL141" i="27" s="1"/>
  <c r="CL140" i="27" a="1"/>
  <c r="CL140" i="27" s="1"/>
  <c r="CL139" i="27" a="1"/>
  <c r="CL139" i="27" s="1"/>
  <c r="DQ296" i="27" a="1"/>
  <c r="DQ296" i="27" s="1"/>
  <c r="DP296" i="27" a="1"/>
  <c r="DP296" i="27" s="1"/>
  <c r="FQ229" i="27" a="1"/>
  <c r="FQ229" i="27" s="1"/>
  <c r="FP229" i="27" a="1"/>
  <c r="FP229" i="27" s="1"/>
  <c r="FQ228" i="27" a="1"/>
  <c r="FQ228" i="27" s="1"/>
  <c r="FP228" i="27" a="1"/>
  <c r="FP228" i="27" s="1"/>
  <c r="FQ227" i="27" a="1"/>
  <c r="FQ227" i="27" s="1"/>
  <c r="FP227" i="27" a="1"/>
  <c r="FP227" i="27" s="1"/>
  <c r="FQ226" i="27" a="1"/>
  <c r="FQ226" i="27" s="1"/>
  <c r="FP226" i="27" a="1"/>
  <c r="FP226" i="27" s="1"/>
  <c r="FQ225" i="27" a="1"/>
  <c r="FQ225" i="27" s="1"/>
  <c r="FP225" i="27" a="1"/>
  <c r="FP225" i="27" s="1"/>
  <c r="FQ224" i="27" a="1"/>
  <c r="FQ224" i="27" s="1"/>
  <c r="FP224" i="27" a="1"/>
  <c r="FP224" i="27" s="1"/>
  <c r="FQ223" i="27" a="1"/>
  <c r="FQ223" i="27" s="1"/>
  <c r="FP223" i="27" a="1"/>
  <c r="FP223" i="27" s="1"/>
  <c r="FQ221" i="27" a="1"/>
  <c r="FQ221" i="27" s="1"/>
  <c r="FP221" i="27" a="1"/>
  <c r="FP221" i="27" s="1"/>
  <c r="FQ220" i="27" a="1"/>
  <c r="FQ220" i="27" s="1"/>
  <c r="FP220" i="27" a="1"/>
  <c r="FP220" i="27" s="1"/>
  <c r="FQ219" i="27" a="1"/>
  <c r="FQ219" i="27" s="1"/>
  <c r="FP219" i="27" a="1"/>
  <c r="FP219" i="27" s="1"/>
  <c r="FP218" i="27" a="1"/>
  <c r="FP218" i="27" s="1"/>
  <c r="FQ217" i="27" a="1"/>
  <c r="FQ217" i="27" s="1"/>
  <c r="FP217" i="27" a="1"/>
  <c r="FP217" i="27" s="1"/>
  <c r="FQ216" i="27" a="1"/>
  <c r="FQ216" i="27" s="1"/>
  <c r="FP216" i="27" a="1"/>
  <c r="FP216" i="27" s="1"/>
  <c r="FQ215" i="27" a="1"/>
  <c r="FQ215" i="27" s="1"/>
  <c r="FP215" i="27" a="1"/>
  <c r="FP215" i="27" s="1"/>
  <c r="FQ214" i="27" a="1"/>
  <c r="FQ214" i="27" s="1"/>
  <c r="FP214" i="27" a="1"/>
  <c r="FP214" i="27" s="1"/>
  <c r="FQ213" i="27" a="1"/>
  <c r="FQ213" i="27" s="1"/>
  <c r="FP213" i="27" a="1"/>
  <c r="FP213" i="27" s="1"/>
  <c r="FQ212" i="27" a="1"/>
  <c r="FQ212" i="27" s="1"/>
  <c r="FP212" i="27" a="1"/>
  <c r="FP212" i="27" s="1"/>
  <c r="FQ211" i="27" a="1"/>
  <c r="FQ211" i="27" s="1"/>
  <c r="FP211" i="27" a="1"/>
  <c r="FP211" i="27" s="1"/>
  <c r="FQ210" i="27" a="1"/>
  <c r="FQ210" i="27" s="1"/>
  <c r="FP210" i="27" a="1"/>
  <c r="FP210" i="27" s="1"/>
  <c r="FQ209" i="27" a="1"/>
  <c r="FQ209" i="27" s="1"/>
  <c r="FP209" i="27" a="1"/>
  <c r="FP209" i="27" s="1"/>
  <c r="FQ208" i="27" a="1"/>
  <c r="FQ208" i="27" s="1"/>
  <c r="FP208" i="27" a="1"/>
  <c r="FP208" i="27" s="1"/>
  <c r="FQ207" i="27" a="1"/>
  <c r="FQ207" i="27" s="1"/>
  <c r="FP207" i="27" a="1"/>
  <c r="FP207" i="27" s="1"/>
  <c r="FQ206" i="27" a="1"/>
  <c r="FQ206" i="27" s="1"/>
  <c r="FP206" i="27" a="1"/>
  <c r="FP206" i="27" s="1"/>
  <c r="FQ205" i="27" a="1"/>
  <c r="FQ205" i="27" s="1"/>
  <c r="FP205" i="27" a="1"/>
  <c r="FP205" i="27" s="1"/>
  <c r="FQ204" i="27" a="1"/>
  <c r="FQ204" i="27" s="1"/>
  <c r="FP204" i="27" a="1"/>
  <c r="FP204" i="27" s="1"/>
  <c r="FQ203" i="27" a="1"/>
  <c r="FQ203" i="27" s="1"/>
  <c r="FP203" i="27" a="1"/>
  <c r="FP203" i="27" s="1"/>
  <c r="FQ202" i="27" a="1"/>
  <c r="FQ202" i="27" s="1"/>
  <c r="FP202" i="27" a="1"/>
  <c r="FP202" i="27" s="1"/>
  <c r="FQ201" i="27" a="1"/>
  <c r="FQ201" i="27" s="1"/>
  <c r="FP201" i="27" a="1"/>
  <c r="FP201" i="27" s="1"/>
  <c r="FQ200" i="27" a="1"/>
  <c r="FQ200" i="27" s="1"/>
  <c r="FP200" i="27" a="1"/>
  <c r="FP200" i="27" s="1"/>
  <c r="FQ199" i="27" a="1"/>
  <c r="FQ199" i="27" s="1"/>
  <c r="FP199" i="27" a="1"/>
  <c r="FP199" i="27" s="1"/>
  <c r="FQ198" i="27" a="1"/>
  <c r="FQ198" i="27" s="1"/>
  <c r="FP198" i="27" a="1"/>
  <c r="FP198" i="27" s="1"/>
  <c r="FQ197" i="27" a="1"/>
  <c r="FQ197" i="27" s="1"/>
  <c r="FP197" i="27" a="1"/>
  <c r="FP197" i="27" s="1"/>
  <c r="FZ168" i="27" a="1"/>
  <c r="FZ168" i="27" s="1"/>
  <c r="FY168" i="27" a="1"/>
  <c r="FY168" i="27" s="1"/>
  <c r="FZ167" i="27" a="1"/>
  <c r="FZ167" i="27" s="1"/>
  <c r="FY167" i="27" a="1"/>
  <c r="FY167" i="27" s="1"/>
  <c r="FZ166" i="27" a="1"/>
  <c r="FZ166" i="27" s="1"/>
  <c r="FY166" i="27" a="1"/>
  <c r="FY166" i="27" s="1"/>
  <c r="FZ165" i="27" a="1"/>
  <c r="FZ165" i="27" s="1"/>
  <c r="FY165" i="27" a="1"/>
  <c r="FY165" i="27" s="1"/>
  <c r="FZ164" i="27" a="1"/>
  <c r="FZ164" i="27" s="1"/>
  <c r="FY164" i="27" a="1"/>
  <c r="FY164" i="27" s="1"/>
  <c r="FZ163" i="27" a="1"/>
  <c r="FZ163" i="27" s="1"/>
  <c r="FY163" i="27" a="1"/>
  <c r="FY163" i="27" s="1"/>
  <c r="FZ162" i="27" a="1"/>
  <c r="FZ162" i="27" s="1"/>
  <c r="FY162" i="27" a="1"/>
  <c r="FY162" i="27" s="1"/>
  <c r="FZ160" i="27" a="1"/>
  <c r="FZ160" i="27" s="1"/>
  <c r="FY160" i="27" a="1"/>
  <c r="FY160" i="27" s="1"/>
  <c r="FZ159" i="27" a="1"/>
  <c r="FZ159" i="27" s="1"/>
  <c r="FY159" i="27" a="1"/>
  <c r="FY159" i="27" s="1"/>
  <c r="FZ158" i="27" a="1"/>
  <c r="FZ158" i="27" s="1"/>
  <c r="FY158" i="27" a="1"/>
  <c r="FY158" i="27" s="1"/>
  <c r="FZ157" i="27" a="1"/>
  <c r="FZ157" i="27" s="1"/>
  <c r="FY157" i="27" a="1"/>
  <c r="FY157" i="27" s="1"/>
  <c r="FZ156" i="27" a="1"/>
  <c r="FZ156" i="27" s="1"/>
  <c r="FY156" i="27" a="1"/>
  <c r="FY156" i="27" s="1"/>
  <c r="FZ155" i="27" a="1"/>
  <c r="FZ155" i="27" s="1"/>
  <c r="FY155" i="27" a="1"/>
  <c r="FY155" i="27" s="1"/>
  <c r="FZ154" i="27" a="1"/>
  <c r="FZ154" i="27" s="1"/>
  <c r="FY154" i="27" a="1"/>
  <c r="FY154" i="27" s="1"/>
  <c r="FZ153" i="27" a="1"/>
  <c r="FZ153" i="27" s="1"/>
  <c r="FY153" i="27" a="1"/>
  <c r="FY153" i="27" s="1"/>
  <c r="FZ152" i="27" a="1"/>
  <c r="FZ152" i="27" s="1"/>
  <c r="FY152" i="27" a="1"/>
  <c r="FY152" i="27" s="1"/>
  <c r="FZ151" i="27" a="1"/>
  <c r="FZ151" i="27" s="1"/>
  <c r="FY151" i="27" a="1"/>
  <c r="FY151" i="27" s="1"/>
  <c r="FZ150" i="27" a="1"/>
  <c r="FZ150" i="27" s="1"/>
  <c r="FY150" i="27" a="1"/>
  <c r="FY150" i="27" s="1"/>
  <c r="FZ149" i="27" a="1"/>
  <c r="FZ149" i="27" s="1"/>
  <c r="FY149" i="27" a="1"/>
  <c r="FY149" i="27" s="1"/>
  <c r="FZ148" i="27" a="1"/>
  <c r="FZ148" i="27" s="1"/>
  <c r="FY148" i="27" a="1"/>
  <c r="FY148" i="27" s="1"/>
  <c r="FZ147" i="27" a="1"/>
  <c r="FZ147" i="27" s="1"/>
  <c r="FY147" i="27" a="1"/>
  <c r="FY147" i="27" s="1"/>
  <c r="FZ146" i="27" a="1"/>
  <c r="FZ146" i="27" s="1"/>
  <c r="FY146" i="27" a="1"/>
  <c r="FY146" i="27" s="1"/>
  <c r="FZ145" i="27" a="1"/>
  <c r="FZ145" i="27" s="1"/>
  <c r="FY145" i="27" a="1"/>
  <c r="FY145" i="27" s="1"/>
  <c r="FZ144" i="27" a="1"/>
  <c r="FZ144" i="27" s="1"/>
  <c r="FY144" i="27" a="1"/>
  <c r="FY144" i="27" s="1"/>
  <c r="FZ143" i="27" a="1"/>
  <c r="FZ143" i="27" s="1"/>
  <c r="FY143" i="27" a="1"/>
  <c r="FY143" i="27" s="1"/>
  <c r="FZ142" i="27" a="1"/>
  <c r="FZ142" i="27" s="1"/>
  <c r="FY142" i="27" a="1"/>
  <c r="FY142" i="27" s="1"/>
  <c r="FZ141" i="27" a="1"/>
  <c r="FZ141" i="27" s="1"/>
  <c r="FY141" i="27" a="1"/>
  <c r="FY141" i="27" s="1"/>
  <c r="FZ140" i="27" a="1"/>
  <c r="FZ140" i="27" s="1"/>
  <c r="FY140" i="27" a="1"/>
  <c r="FY140" i="27" s="1"/>
  <c r="FZ139" i="27" a="1"/>
  <c r="FZ139" i="27" s="1"/>
  <c r="FY139" i="27" a="1"/>
  <c r="FY139" i="27" s="1"/>
  <c r="FZ138" i="27" a="1"/>
  <c r="FZ138" i="27" s="1"/>
  <c r="FY138" i="27" a="1"/>
  <c r="FY138" i="27" s="1"/>
  <c r="FZ137" i="27" a="1"/>
  <c r="FZ137" i="27" s="1"/>
  <c r="FY137" i="27" a="1"/>
  <c r="FY137" i="27" s="1"/>
  <c r="FZ136" i="27" a="1"/>
  <c r="FZ136" i="27" s="1"/>
  <c r="FY136" i="27" a="1"/>
  <c r="FY136" i="27" s="1"/>
  <c r="DQ324" i="27" a="1"/>
  <c r="DQ324" i="27" s="1"/>
  <c r="DP324" i="27" a="1"/>
  <c r="DP324" i="27" s="1"/>
  <c r="DQ323" i="27" a="1"/>
  <c r="DQ323" i="27" s="1"/>
  <c r="DP323" i="27" a="1"/>
  <c r="DP323" i="27" s="1"/>
  <c r="EX234" i="27" a="1"/>
  <c r="EX234" i="27" s="1"/>
  <c r="EW234" i="27" a="1"/>
  <c r="EW234" i="27" s="1"/>
  <c r="EX233" i="27" a="1"/>
  <c r="EX233" i="27" s="1"/>
  <c r="EW233" i="27" a="1"/>
  <c r="EW233" i="27" s="1"/>
  <c r="FG229" i="27" a="1"/>
  <c r="FG229" i="27" s="1"/>
  <c r="FF229" i="27" a="1"/>
  <c r="FF229" i="27" s="1"/>
  <c r="FG228" i="27" a="1"/>
  <c r="FG228" i="27" s="1"/>
  <c r="FF228" i="27" a="1"/>
  <c r="FF228" i="27" s="1"/>
  <c r="CV186" i="27" a="1"/>
  <c r="CV186" i="27" s="1"/>
  <c r="CU186" i="27" a="1"/>
  <c r="CU186" i="27" s="1"/>
  <c r="DC185" i="27" a="1"/>
  <c r="DC185" i="27" s="1"/>
  <c r="DB185" i="27" a="1"/>
  <c r="DB185" i="27" s="1"/>
  <c r="CV185" i="27" a="1"/>
  <c r="CV185" i="27" s="1"/>
  <c r="CU185" i="27" a="1"/>
  <c r="CU185" i="27" s="1"/>
  <c r="DC184" i="27" a="1"/>
  <c r="DC184" i="27" s="1"/>
  <c r="DB184" i="27" a="1"/>
  <c r="DB184" i="27" s="1"/>
  <c r="EJ181" i="27" a="1"/>
  <c r="EJ181" i="27" s="1"/>
  <c r="EI181" i="27" a="1"/>
  <c r="EI181" i="27" s="1"/>
  <c r="EQ180" i="27" a="1"/>
  <c r="EQ180" i="27" s="1"/>
  <c r="EP180" i="27" a="1"/>
  <c r="EP180" i="27" s="1"/>
  <c r="EJ180" i="27" a="1"/>
  <c r="EJ180" i="27" s="1"/>
  <c r="EI180" i="27" a="1"/>
  <c r="EI180" i="27" s="1"/>
  <c r="EQ179" i="27" a="1"/>
  <c r="EQ179" i="27" s="1"/>
  <c r="EP179" i="27" a="1"/>
  <c r="EP179" i="27" s="1"/>
  <c r="DJ175" i="27" a="1"/>
  <c r="DJ175" i="27" s="1"/>
  <c r="DI175" i="27" a="1"/>
  <c r="DI175" i="27" s="1"/>
  <c r="DJ174" i="27" a="1"/>
  <c r="DJ174" i="27" s="1"/>
  <c r="DI174" i="27" a="1"/>
  <c r="DI174" i="27" s="1"/>
  <c r="DQ321" i="27" a="1"/>
  <c r="DQ321" i="27" s="1"/>
  <c r="DP321" i="27" a="1"/>
  <c r="DP321" i="27" s="1"/>
  <c r="EX231" i="27" a="1"/>
  <c r="EX231" i="27" s="1"/>
  <c r="EW231" i="27" a="1"/>
  <c r="EW231" i="27" s="1"/>
  <c r="FG226" i="27" a="1"/>
  <c r="FG226" i="27" s="1"/>
  <c r="FF226" i="27" a="1"/>
  <c r="FF226" i="27" s="1"/>
  <c r="CV183" i="27" a="1"/>
  <c r="CV183" i="27" s="1"/>
  <c r="CU183" i="27" a="1"/>
  <c r="CU183" i="27" s="1"/>
  <c r="DC182" i="27" a="1"/>
  <c r="DC182" i="27" s="1"/>
  <c r="DB182" i="27" a="1"/>
  <c r="DB182" i="27" s="1"/>
  <c r="EJ178" i="27" a="1"/>
  <c r="EJ178" i="27" s="1"/>
  <c r="EI178" i="27" a="1"/>
  <c r="EI178" i="27" s="1"/>
  <c r="EQ177" i="27" a="1"/>
  <c r="EQ177" i="27" s="1"/>
  <c r="EP177" i="27" a="1"/>
  <c r="EP177" i="27" s="1"/>
  <c r="DJ172" i="27" a="1"/>
  <c r="DJ172" i="27" s="1"/>
  <c r="DI172" i="27" a="1"/>
  <c r="DI172" i="27" s="1"/>
  <c r="C12" i="54" l="1"/>
  <c r="G63" i="57" l="1"/>
  <c r="G61" i="57"/>
  <c r="G60" i="57"/>
  <c r="G59" i="57"/>
  <c r="G57" i="57"/>
  <c r="G55" i="57"/>
  <c r="H55" i="57" s="1"/>
  <c r="G54" i="57"/>
  <c r="H54" i="57" s="1"/>
  <c r="G52" i="57"/>
  <c r="H52" i="57" s="1"/>
  <c r="G51" i="57"/>
  <c r="H51" i="57" s="1"/>
  <c r="G50" i="57"/>
  <c r="H50" i="57" s="1"/>
  <c r="G56" i="57"/>
  <c r="HY54" i="27"/>
  <c r="HZ54" i="27"/>
  <c r="HY55" i="27"/>
  <c r="HZ55" i="27"/>
  <c r="HY56" i="27"/>
  <c r="HZ56" i="27"/>
  <c r="HY57" i="27"/>
  <c r="HZ57" i="27"/>
  <c r="HY58" i="27"/>
  <c r="HZ58" i="27"/>
  <c r="HY59" i="27"/>
  <c r="HZ59" i="27"/>
  <c r="HY60" i="27"/>
  <c r="HZ60" i="27"/>
  <c r="HY61" i="27"/>
  <c r="HZ61" i="27"/>
  <c r="HY62" i="27"/>
  <c r="HZ62" i="27"/>
  <c r="HY63" i="27"/>
  <c r="HZ63" i="27"/>
  <c r="HY64" i="27"/>
  <c r="HZ64" i="27"/>
  <c r="HY65" i="27"/>
  <c r="HZ65" i="27"/>
  <c r="HY66" i="27"/>
  <c r="HZ66" i="27"/>
  <c r="HY67" i="27"/>
  <c r="HZ67" i="27"/>
  <c r="HY68" i="27"/>
  <c r="HZ68" i="27"/>
  <c r="HY69" i="27"/>
  <c r="HZ69" i="27"/>
  <c r="HY70" i="27"/>
  <c r="HZ70" i="27"/>
  <c r="HY71" i="27"/>
  <c r="HZ71" i="27"/>
  <c r="HY72" i="27"/>
  <c r="HZ72" i="27"/>
  <c r="HY73" i="27"/>
  <c r="HZ73" i="27"/>
  <c r="HY74" i="27"/>
  <c r="HZ74" i="27"/>
  <c r="HY75" i="27"/>
  <c r="HZ75" i="27"/>
  <c r="HY76" i="27"/>
  <c r="HZ76" i="27"/>
  <c r="HY77" i="27"/>
  <c r="HZ77" i="27"/>
  <c r="HY78" i="27"/>
  <c r="HZ78" i="27"/>
  <c r="HY79" i="27"/>
  <c r="HZ79" i="27"/>
  <c r="HY80" i="27"/>
  <c r="HZ80" i="27"/>
  <c r="HY81" i="27"/>
  <c r="HZ81" i="27"/>
  <c r="HY82" i="27"/>
  <c r="HZ82" i="27"/>
  <c r="HY83" i="27"/>
  <c r="HZ83" i="27"/>
  <c r="HY84" i="27"/>
  <c r="HZ84" i="27"/>
  <c r="HY85" i="27"/>
  <c r="HZ85" i="27"/>
  <c r="HY86" i="27"/>
  <c r="HZ86" i="27"/>
  <c r="HY87" i="27"/>
  <c r="HZ87" i="27"/>
  <c r="HY88" i="27"/>
  <c r="HZ88" i="27"/>
  <c r="HY89" i="27"/>
  <c r="HZ89" i="27"/>
  <c r="HY90" i="27"/>
  <c r="HZ90" i="27"/>
  <c r="HY91" i="27"/>
  <c r="HZ91" i="27"/>
  <c r="HY92" i="27"/>
  <c r="HZ92" i="27"/>
  <c r="HY93" i="27"/>
  <c r="HZ93" i="27"/>
  <c r="Q141" i="55"/>
  <c r="P141" i="55"/>
  <c r="IK93" i="27" s="1"/>
  <c r="Q140" i="55"/>
  <c r="P140" i="55"/>
  <c r="IL92" i="27" s="1"/>
  <c r="Q139" i="55"/>
  <c r="P139" i="55"/>
  <c r="IL91" i="27" s="1"/>
  <c r="Q138" i="55"/>
  <c r="P138" i="55"/>
  <c r="IK90" i="27" s="1"/>
  <c r="Q137" i="55"/>
  <c r="P137" i="55"/>
  <c r="IL89" i="27" s="1"/>
  <c r="Q136" i="55"/>
  <c r="P136" i="55"/>
  <c r="IL88" i="27" s="1"/>
  <c r="Q135" i="55"/>
  <c r="P135" i="55"/>
  <c r="IK87" i="27" s="1"/>
  <c r="Q134" i="55"/>
  <c r="P134" i="55"/>
  <c r="IL86" i="27" s="1"/>
  <c r="Q133" i="55"/>
  <c r="P133" i="55"/>
  <c r="IL85" i="27" s="1"/>
  <c r="Q132" i="55"/>
  <c r="P132" i="55"/>
  <c r="IL84" i="27" s="1"/>
  <c r="Q131" i="55"/>
  <c r="P131" i="55"/>
  <c r="IL83" i="27" s="1"/>
  <c r="Q130" i="55"/>
  <c r="P130" i="55"/>
  <c r="IL82" i="27" s="1"/>
  <c r="Q129" i="55"/>
  <c r="P129" i="55"/>
  <c r="IK81" i="27" s="1"/>
  <c r="Q128" i="55"/>
  <c r="P128" i="55"/>
  <c r="IL80" i="27" s="1"/>
  <c r="Q127" i="55"/>
  <c r="P127" i="55"/>
  <c r="IL79" i="27" s="1"/>
  <c r="Q126" i="55"/>
  <c r="P126" i="55"/>
  <c r="IK78" i="27" s="1"/>
  <c r="Q125" i="55"/>
  <c r="P125" i="55"/>
  <c r="IL77" i="27" s="1"/>
  <c r="Q124" i="55"/>
  <c r="P124" i="55"/>
  <c r="IL76" i="27" s="1"/>
  <c r="Q123" i="55"/>
  <c r="P123" i="55"/>
  <c r="IK75" i="27" s="1"/>
  <c r="Q122" i="55"/>
  <c r="P122" i="55"/>
  <c r="IL74" i="27" s="1"/>
  <c r="Q121" i="55"/>
  <c r="P121" i="55"/>
  <c r="IL73" i="27" s="1"/>
  <c r="Q120" i="55"/>
  <c r="P120" i="55"/>
  <c r="IL72" i="27" s="1"/>
  <c r="Q119" i="55"/>
  <c r="P119" i="55"/>
  <c r="IL71" i="27" s="1"/>
  <c r="Q118" i="55"/>
  <c r="P118" i="55"/>
  <c r="IL70" i="27" s="1"/>
  <c r="Q117" i="55"/>
  <c r="P117" i="55"/>
  <c r="IK69" i="27" s="1"/>
  <c r="Q116" i="55"/>
  <c r="P116" i="55"/>
  <c r="IL68" i="27" s="1"/>
  <c r="Q115" i="55"/>
  <c r="P115" i="55"/>
  <c r="IL67" i="27" s="1"/>
  <c r="Q114" i="55"/>
  <c r="P114" i="55"/>
  <c r="IK66" i="27" s="1"/>
  <c r="Q113" i="55"/>
  <c r="P113" i="55"/>
  <c r="IL65" i="27" s="1"/>
  <c r="Q112" i="55"/>
  <c r="P112" i="55"/>
  <c r="IL64" i="27" s="1"/>
  <c r="Q111" i="55"/>
  <c r="P111" i="55"/>
  <c r="IK63" i="27" s="1"/>
  <c r="Q110" i="55"/>
  <c r="P110" i="55"/>
  <c r="IL62" i="27" s="1"/>
  <c r="Q109" i="55"/>
  <c r="P109" i="55"/>
  <c r="IL61" i="27" s="1"/>
  <c r="Q108" i="55"/>
  <c r="P108" i="55"/>
  <c r="IL60" i="27" s="1"/>
  <c r="Q107" i="55"/>
  <c r="P107" i="55"/>
  <c r="IL59" i="27" s="1"/>
  <c r="Q106" i="55"/>
  <c r="P106" i="55"/>
  <c r="IL58" i="27" s="1"/>
  <c r="Q105" i="55"/>
  <c r="P105" i="55"/>
  <c r="IK57" i="27" s="1"/>
  <c r="Q104" i="55"/>
  <c r="P104" i="55"/>
  <c r="IL56" i="27" s="1"/>
  <c r="Q103" i="55"/>
  <c r="P103" i="55"/>
  <c r="IL55" i="27" s="1"/>
  <c r="Q102" i="55"/>
  <c r="P102" i="55"/>
  <c r="IK54" i="27" s="1"/>
  <c r="Q101" i="55"/>
  <c r="P101" i="55"/>
  <c r="IL53" i="27" s="1"/>
  <c r="Q100" i="55"/>
  <c r="P100" i="55"/>
  <c r="IL52" i="27" s="1"/>
  <c r="Q99" i="55"/>
  <c r="P99" i="55"/>
  <c r="IK51" i="27" s="1"/>
  <c r="Q98" i="55"/>
  <c r="P98" i="55"/>
  <c r="IL50" i="27" s="1"/>
  <c r="Q97" i="55"/>
  <c r="P97" i="55"/>
  <c r="IL49" i="27" s="1"/>
  <c r="Q96" i="55"/>
  <c r="P96" i="55"/>
  <c r="IL48" i="27" s="1"/>
  <c r="Q95" i="55"/>
  <c r="P95" i="55"/>
  <c r="IL47" i="27" s="1"/>
  <c r="Q94" i="55"/>
  <c r="P94" i="55"/>
  <c r="IL46" i="27" s="1"/>
  <c r="F102" i="55"/>
  <c r="G102" i="55"/>
  <c r="F103" i="55"/>
  <c r="G103" i="55"/>
  <c r="F104" i="55"/>
  <c r="G104" i="55"/>
  <c r="F105" i="55"/>
  <c r="G105" i="55"/>
  <c r="F106" i="55"/>
  <c r="G106" i="55"/>
  <c r="F107" i="55"/>
  <c r="G107" i="55"/>
  <c r="F108" i="55"/>
  <c r="G108" i="55"/>
  <c r="F109" i="55"/>
  <c r="G109" i="55"/>
  <c r="F110" i="55"/>
  <c r="G110" i="55"/>
  <c r="F111" i="55"/>
  <c r="G111" i="55"/>
  <c r="F112" i="55"/>
  <c r="G112" i="55"/>
  <c r="F113" i="55"/>
  <c r="G113" i="55"/>
  <c r="F114" i="55"/>
  <c r="G114" i="55"/>
  <c r="F115" i="55"/>
  <c r="G115" i="55"/>
  <c r="F116" i="55"/>
  <c r="G116" i="55"/>
  <c r="F117" i="55"/>
  <c r="G117" i="55"/>
  <c r="F118" i="55"/>
  <c r="G118" i="55"/>
  <c r="F119" i="55"/>
  <c r="G119" i="55"/>
  <c r="F120" i="55"/>
  <c r="G120" i="55"/>
  <c r="F121" i="55"/>
  <c r="G121" i="55"/>
  <c r="F122" i="55"/>
  <c r="G122" i="55"/>
  <c r="F123" i="55"/>
  <c r="G123" i="55"/>
  <c r="F124" i="55"/>
  <c r="G124" i="55"/>
  <c r="F125" i="55"/>
  <c r="G125" i="55"/>
  <c r="F126" i="55"/>
  <c r="G126" i="55"/>
  <c r="F127" i="55"/>
  <c r="G127" i="55"/>
  <c r="F128" i="55"/>
  <c r="G128" i="55"/>
  <c r="F129" i="55"/>
  <c r="G129" i="55"/>
  <c r="F130" i="55"/>
  <c r="G130" i="55"/>
  <c r="F131" i="55"/>
  <c r="G131" i="55"/>
  <c r="F132" i="55"/>
  <c r="G132" i="55"/>
  <c r="F133" i="55"/>
  <c r="G133" i="55"/>
  <c r="F134" i="55"/>
  <c r="G134" i="55"/>
  <c r="F135" i="55"/>
  <c r="G135" i="55"/>
  <c r="F136" i="55"/>
  <c r="G136" i="55"/>
  <c r="F137" i="55"/>
  <c r="G137" i="55"/>
  <c r="F138" i="55"/>
  <c r="G138" i="55"/>
  <c r="F139" i="55"/>
  <c r="G139" i="55"/>
  <c r="F140" i="55"/>
  <c r="G140" i="55"/>
  <c r="F141" i="55"/>
  <c r="G141" i="55"/>
  <c r="IM93" i="27"/>
  <c r="IM92" i="27"/>
  <c r="IM91" i="27"/>
  <c r="IM90" i="27"/>
  <c r="IM89" i="27"/>
  <c r="IM88" i="27"/>
  <c r="IM87" i="27"/>
  <c r="IM86" i="27"/>
  <c r="IM85" i="27"/>
  <c r="IM84" i="27"/>
  <c r="IM83" i="27"/>
  <c r="IM82" i="27"/>
  <c r="IM81" i="27"/>
  <c r="IM80" i="27"/>
  <c r="IM79" i="27"/>
  <c r="IM78" i="27"/>
  <c r="IM77" i="27"/>
  <c r="IM76" i="27"/>
  <c r="IM75" i="27"/>
  <c r="IM74" i="27"/>
  <c r="IM73" i="27"/>
  <c r="IM72" i="27"/>
  <c r="IM71" i="27"/>
  <c r="IM70" i="27"/>
  <c r="IM69" i="27"/>
  <c r="IM68" i="27"/>
  <c r="IM67" i="27"/>
  <c r="IM66" i="27"/>
  <c r="IM65" i="27"/>
  <c r="IM64" i="27"/>
  <c r="IM63" i="27"/>
  <c r="IM62" i="27"/>
  <c r="IM61" i="27"/>
  <c r="IM60" i="27"/>
  <c r="IM59" i="27"/>
  <c r="IM58" i="27"/>
  <c r="IM57" i="27"/>
  <c r="IM56" i="27"/>
  <c r="IM55" i="27"/>
  <c r="IM54" i="27"/>
  <c r="IM53" i="27"/>
  <c r="IM52" i="27"/>
  <c r="IM51" i="27"/>
  <c r="IM50" i="27"/>
  <c r="IM49" i="27"/>
  <c r="IM48" i="27"/>
  <c r="IM47" i="27"/>
  <c r="IM46" i="27"/>
  <c r="HX54" i="27"/>
  <c r="HX55" i="27"/>
  <c r="HX56" i="27"/>
  <c r="HX57" i="27"/>
  <c r="HX58" i="27"/>
  <c r="HX59" i="27"/>
  <c r="HX60" i="27"/>
  <c r="HX61" i="27"/>
  <c r="HX62" i="27"/>
  <c r="HX63" i="27"/>
  <c r="HX64" i="27"/>
  <c r="HX65" i="27"/>
  <c r="HX66" i="27"/>
  <c r="HX67" i="27"/>
  <c r="HX68" i="27"/>
  <c r="HX69" i="27"/>
  <c r="HX70" i="27"/>
  <c r="HX71" i="27"/>
  <c r="HX72" i="27"/>
  <c r="HX73" i="27"/>
  <c r="HX74" i="27"/>
  <c r="HX75" i="27"/>
  <c r="HX76" i="27"/>
  <c r="HX77" i="27"/>
  <c r="HX78" i="27"/>
  <c r="HX79" i="27"/>
  <c r="HX80" i="27"/>
  <c r="HX81" i="27"/>
  <c r="HX82" i="27"/>
  <c r="HX83" i="27"/>
  <c r="HX84" i="27"/>
  <c r="HX85" i="27"/>
  <c r="HX86" i="27"/>
  <c r="HX87" i="27"/>
  <c r="HX88" i="27"/>
  <c r="HX89" i="27"/>
  <c r="HX90" i="27"/>
  <c r="HX91" i="27"/>
  <c r="HX92" i="27"/>
  <c r="HX93" i="27"/>
  <c r="HL42" i="27"/>
  <c r="HL41" i="27"/>
  <c r="HL40" i="27"/>
  <c r="HL39" i="27"/>
  <c r="HL38" i="27"/>
  <c r="HL37" i="27"/>
  <c r="HL36" i="27"/>
  <c r="HL35" i="27"/>
  <c r="HL34" i="27"/>
  <c r="HL33" i="27"/>
  <c r="HL32" i="27"/>
  <c r="N91" i="55"/>
  <c r="D19" i="54"/>
  <c r="D18" i="54"/>
  <c r="D17" i="54"/>
  <c r="D14" i="54"/>
  <c r="D13" i="54"/>
  <c r="D12" i="54"/>
  <c r="D16" i="54"/>
  <c r="D15" i="54"/>
  <c r="F19" i="54"/>
  <c r="F18" i="54"/>
  <c r="F17" i="54"/>
  <c r="F14" i="54"/>
  <c r="F13" i="54"/>
  <c r="F12" i="54"/>
  <c r="F16" i="54"/>
  <c r="F15" i="54"/>
  <c r="IL81" i="27" l="1"/>
  <c r="IL93" i="27"/>
  <c r="IL51" i="27"/>
  <c r="IL63" i="27"/>
  <c r="IK60" i="27"/>
  <c r="IK48" i="27"/>
  <c r="IK84" i="27"/>
  <c r="IL57" i="27"/>
  <c r="IL87" i="27"/>
  <c r="IL69" i="27"/>
  <c r="IK72" i="27"/>
  <c r="IL75" i="27"/>
  <c r="IL54" i="27"/>
  <c r="IL66" i="27"/>
  <c r="IL78" i="27"/>
  <c r="IL90" i="27"/>
  <c r="IK46" i="27"/>
  <c r="IK49" i="27"/>
  <c r="IK52" i="27"/>
  <c r="IK55" i="27"/>
  <c r="IK58" i="27"/>
  <c r="IK61" i="27"/>
  <c r="IK64" i="27"/>
  <c r="IK67" i="27"/>
  <c r="IK70" i="27"/>
  <c r="IK73" i="27"/>
  <c r="IK76" i="27"/>
  <c r="IK79" i="27"/>
  <c r="IK82" i="27"/>
  <c r="IK85" i="27"/>
  <c r="IK88" i="27"/>
  <c r="IK91" i="27"/>
  <c r="IK47" i="27"/>
  <c r="IK50" i="27"/>
  <c r="IK53" i="27"/>
  <c r="IK56" i="27"/>
  <c r="IK59" i="27"/>
  <c r="IK62" i="27"/>
  <c r="IK65" i="27"/>
  <c r="IK68" i="27"/>
  <c r="IK71" i="27"/>
  <c r="IK74" i="27"/>
  <c r="IK77" i="27"/>
  <c r="IK80" i="27"/>
  <c r="IK83" i="27"/>
  <c r="IK86" i="27"/>
  <c r="IK89" i="27"/>
  <c r="IK92" i="27"/>
  <c r="D20" i="54"/>
  <c r="F20" i="54"/>
  <c r="B9" i="58"/>
  <c r="B8" i="58"/>
  <c r="B7" i="58"/>
  <c r="E119" i="58"/>
  <c r="C119" i="58"/>
  <c r="F91" i="58"/>
  <c r="E106" i="58"/>
  <c r="E107" i="58"/>
  <c r="E108" i="58"/>
  <c r="E109" i="58"/>
  <c r="E110" i="58"/>
  <c r="E105" i="58"/>
  <c r="C106" i="58"/>
  <c r="C107" i="58"/>
  <c r="C108" i="58"/>
  <c r="C109" i="58"/>
  <c r="C110" i="58"/>
  <c r="C111" i="58"/>
  <c r="C112" i="58"/>
  <c r="C105" i="58"/>
  <c r="B1" i="58"/>
  <c r="I87" i="58"/>
  <c r="C89" i="58"/>
  <c r="F85" i="58"/>
  <c r="F86" i="58"/>
  <c r="F87" i="58"/>
  <c r="F88" i="58"/>
  <c r="F89" i="58"/>
  <c r="F84" i="58"/>
  <c r="C85" i="58"/>
  <c r="C86" i="58"/>
  <c r="C87" i="58"/>
  <c r="C88" i="58"/>
  <c r="C84" i="58"/>
  <c r="G55" i="58"/>
  <c r="C70" i="58" s="1"/>
  <c r="E64" i="58"/>
  <c r="E63" i="58"/>
  <c r="E62" i="58"/>
  <c r="E61" i="58"/>
  <c r="E60" i="58"/>
  <c r="E59" i="58"/>
  <c r="E58" i="58"/>
  <c r="E57" i="58"/>
  <c r="E56" i="58"/>
  <c r="E55" i="58"/>
  <c r="C55" i="58"/>
  <c r="C68" i="58" s="1"/>
  <c r="M13" i="58"/>
  <c r="M10" i="58"/>
  <c r="L13" i="58"/>
  <c r="L12" i="58"/>
  <c r="D12" i="58"/>
  <c r="D11" i="58"/>
  <c r="C91" i="58" l="1"/>
  <c r="I86" i="58"/>
  <c r="C94" i="58"/>
  <c r="C92" i="58"/>
  <c r="C69" i="58"/>
  <c r="D69" i="58" s="1"/>
  <c r="C93" i="58"/>
  <c r="D13" i="58"/>
  <c r="D10" i="58"/>
  <c r="D9" i="58"/>
  <c r="D8" i="58"/>
  <c r="D7" i="58"/>
  <c r="B14" i="58"/>
  <c r="K9" i="58"/>
  <c r="L129" i="27"/>
  <c r="M147" i="27"/>
  <c r="N130" i="27"/>
  <c r="J161" i="27"/>
  <c r="J160" i="27"/>
  <c r="J159" i="27"/>
  <c r="J158" i="27"/>
  <c r="J157" i="27"/>
  <c r="J156" i="27"/>
  <c r="J155" i="27"/>
  <c r="J154" i="27"/>
  <c r="J153" i="27"/>
  <c r="J152" i="27"/>
  <c r="J137" i="27"/>
  <c r="J136" i="27"/>
  <c r="J135" i="27"/>
  <c r="J134" i="27"/>
  <c r="J133" i="27"/>
  <c r="J132" i="27"/>
  <c r="J131" i="27"/>
  <c r="J130" i="27"/>
  <c r="J129" i="27"/>
  <c r="J128" i="27"/>
  <c r="J149" i="27"/>
  <c r="J148" i="27"/>
  <c r="J147" i="27"/>
  <c r="J146" i="27"/>
  <c r="J145" i="27"/>
  <c r="J144" i="27"/>
  <c r="J143" i="27"/>
  <c r="J142" i="27"/>
  <c r="J141" i="27"/>
  <c r="J140" i="27"/>
  <c r="K149" i="27"/>
  <c r="C9" i="58"/>
  <c r="C7" i="58"/>
  <c r="C8" i="58"/>
  <c r="C25" i="58"/>
  <c r="G27" i="58"/>
  <c r="G26" i="58"/>
  <c r="G25" i="58"/>
  <c r="E32" i="58"/>
  <c r="E31" i="58"/>
  <c r="E30" i="58"/>
  <c r="E29" i="58"/>
  <c r="E28" i="58"/>
  <c r="E27" i="58"/>
  <c r="E26" i="58"/>
  <c r="E25" i="58"/>
  <c r="C42" i="58"/>
  <c r="C41" i="58"/>
  <c r="C40" i="58"/>
  <c r="C39" i="58"/>
  <c r="C38" i="58"/>
  <c r="C37" i="58"/>
  <c r="C36" i="58"/>
  <c r="C35" i="58"/>
  <c r="C34" i="58"/>
  <c r="C33" i="58"/>
  <c r="C32" i="58"/>
  <c r="C31" i="58"/>
  <c r="C30" i="58"/>
  <c r="C29" i="58"/>
  <c r="C28" i="58"/>
  <c r="C27" i="58"/>
  <c r="C26" i="58"/>
  <c r="M165" i="27"/>
  <c r="K165" i="27"/>
  <c r="C116" i="58"/>
  <c r="B116" i="58"/>
  <c r="C115" i="58"/>
  <c r="B115" i="58"/>
  <c r="B104" i="58"/>
  <c r="D104" i="58" s="1"/>
  <c r="J87" i="58"/>
  <c r="E76" i="58"/>
  <c r="E97" i="58" s="1"/>
  <c r="D70" i="58"/>
  <c r="B70" i="58"/>
  <c r="B69" i="58"/>
  <c r="D68" i="58"/>
  <c r="B68" i="58"/>
  <c r="B67" i="58"/>
  <c r="H85" i="58" s="1"/>
  <c r="L9" i="58"/>
  <c r="L11" i="58"/>
  <c r="L8" i="58"/>
  <c r="E40" i="58"/>
  <c r="G39" i="58"/>
  <c r="G40" i="58" s="1"/>
  <c r="E39" i="58"/>
  <c r="E38" i="58"/>
  <c r="E24" i="58"/>
  <c r="G24" i="58" s="1"/>
  <c r="C54" i="58" s="1"/>
  <c r="E54" i="58" s="1"/>
  <c r="G54" i="58" s="1"/>
  <c r="C83" i="58" s="1"/>
  <c r="GA54" i="27" a="1"/>
  <c r="GA54" i="27" s="1"/>
  <c r="FZ54" i="27" a="1"/>
  <c r="FZ54" i="27" s="1"/>
  <c r="FY54" i="27" a="1"/>
  <c r="FY54" i="27" s="1"/>
  <c r="FX54" i="27" a="1"/>
  <c r="FX54" i="27" s="1"/>
  <c r="F40" i="58" l="1"/>
  <c r="M27" i="58" s="1"/>
  <c r="L146" i="27"/>
  <c r="L130" i="27"/>
  <c r="L136" i="27"/>
  <c r="L134" i="27"/>
  <c r="K158" i="27"/>
  <c r="K130" i="27"/>
  <c r="K147" i="27"/>
  <c r="M133" i="27"/>
  <c r="K152" i="27"/>
  <c r="L140" i="27"/>
  <c r="K129" i="27"/>
  <c r="K161" i="27"/>
  <c r="L133" i="27"/>
  <c r="K154" i="27"/>
  <c r="K141" i="27"/>
  <c r="K128" i="27"/>
  <c r="K133" i="27"/>
  <c r="K155" i="27"/>
  <c r="K142" i="27"/>
  <c r="K136" i="27"/>
  <c r="K160" i="27"/>
  <c r="L137" i="27"/>
  <c r="K132" i="27"/>
  <c r="L156" i="27"/>
  <c r="K144" i="27"/>
  <c r="M136" i="27"/>
  <c r="M130" i="27"/>
  <c r="K157" i="27"/>
  <c r="K145" i="27"/>
  <c r="K148" i="27"/>
  <c r="K135" i="27"/>
  <c r="L131" i="27"/>
  <c r="L153" i="27"/>
  <c r="L159" i="27"/>
  <c r="L143" i="27"/>
  <c r="L149" i="27"/>
  <c r="N157" i="27"/>
  <c r="N134" i="27"/>
  <c r="M159" i="27"/>
  <c r="M149" i="27"/>
  <c r="M137" i="27"/>
  <c r="M134" i="27"/>
  <c r="M131" i="27"/>
  <c r="L152" i="27"/>
  <c r="N153" i="27"/>
  <c r="L155" i="27"/>
  <c r="N156" i="27"/>
  <c r="L158" i="27"/>
  <c r="N159" i="27"/>
  <c r="L161" i="27"/>
  <c r="N140" i="27"/>
  <c r="L142" i="27"/>
  <c r="N143" i="27"/>
  <c r="L145" i="27"/>
  <c r="N146" i="27"/>
  <c r="L148" i="27"/>
  <c r="N149" i="27"/>
  <c r="N160" i="27"/>
  <c r="N144" i="27"/>
  <c r="N147" i="27"/>
  <c r="N137" i="27"/>
  <c r="M156" i="27"/>
  <c r="M140" i="27"/>
  <c r="N139" i="27"/>
  <c r="N151" i="27" s="1"/>
  <c r="N135" i="27"/>
  <c r="N132" i="27"/>
  <c r="N129" i="27"/>
  <c r="M152" i="27"/>
  <c r="M155" i="27"/>
  <c r="M158" i="27"/>
  <c r="M161" i="27"/>
  <c r="M142" i="27"/>
  <c r="M145" i="27"/>
  <c r="M148" i="27"/>
  <c r="N128" i="27"/>
  <c r="N154" i="27"/>
  <c r="N141" i="27"/>
  <c r="M139" i="27"/>
  <c r="M151" i="27" s="1"/>
  <c r="L128" i="27"/>
  <c r="K137" i="27"/>
  <c r="M135" i="27"/>
  <c r="K134" i="27"/>
  <c r="M132" i="27"/>
  <c r="K131" i="27"/>
  <c r="M129" i="27"/>
  <c r="N152" i="27"/>
  <c r="L154" i="27"/>
  <c r="N155" i="27"/>
  <c r="L157" i="27"/>
  <c r="N158" i="27"/>
  <c r="L160" i="27"/>
  <c r="N161" i="27"/>
  <c r="L141" i="27"/>
  <c r="N142" i="27"/>
  <c r="L144" i="27"/>
  <c r="N145" i="27"/>
  <c r="L147" i="27"/>
  <c r="N148" i="27"/>
  <c r="N131" i="27"/>
  <c r="M153" i="27"/>
  <c r="M143" i="27"/>
  <c r="M146" i="27"/>
  <c r="L139" i="27"/>
  <c r="L151" i="27" s="1"/>
  <c r="M128" i="27"/>
  <c r="N136" i="27"/>
  <c r="L135" i="27"/>
  <c r="N133" i="27"/>
  <c r="L132" i="27"/>
  <c r="K153" i="27"/>
  <c r="M154" i="27"/>
  <c r="K156" i="27"/>
  <c r="M157" i="27"/>
  <c r="K159" i="27"/>
  <c r="M160" i="27"/>
  <c r="K140" i="27"/>
  <c r="M141" i="27"/>
  <c r="K143" i="27"/>
  <c r="M144" i="27"/>
  <c r="K146" i="27"/>
  <c r="K139" i="27"/>
  <c r="L165" i="27"/>
  <c r="I141" i="27"/>
  <c r="I143" i="27"/>
  <c r="I145" i="27"/>
  <c r="I147" i="27"/>
  <c r="I149" i="27"/>
  <c r="N165" i="27"/>
  <c r="I140" i="27"/>
  <c r="I142" i="27"/>
  <c r="I144" i="27"/>
  <c r="I146" i="27"/>
  <c r="I148" i="27"/>
  <c r="F39" i="58"/>
  <c r="F38" i="58"/>
  <c r="C104" i="58"/>
  <c r="E104" i="58" s="1"/>
  <c r="F83" i="58"/>
  <c r="FZ161" i="27"/>
  <c r="FY161" i="27"/>
  <c r="FX161" i="27"/>
  <c r="FQ222" i="27"/>
  <c r="FP222" i="27"/>
  <c r="FO222" i="27"/>
  <c r="FG223" i="27"/>
  <c r="FF223" i="27"/>
  <c r="FE223" i="27"/>
  <c r="EX228" i="27"/>
  <c r="EW228" i="27"/>
  <c r="EV228" i="27"/>
  <c r="EQ174" i="27"/>
  <c r="EP174" i="27"/>
  <c r="EO174" i="27"/>
  <c r="EJ175" i="27"/>
  <c r="EI175" i="27"/>
  <c r="EH175" i="27"/>
  <c r="DY103" i="27"/>
  <c r="DX103" i="27"/>
  <c r="DQ318" i="27"/>
  <c r="DP318" i="27"/>
  <c r="DJ169" i="27"/>
  <c r="DI169" i="27"/>
  <c r="DC179" i="27"/>
  <c r="DB179" i="27"/>
  <c r="DA179" i="27"/>
  <c r="CV180" i="27"/>
  <c r="CU180" i="27"/>
  <c r="CT180" i="27"/>
  <c r="CM164" i="27"/>
  <c r="CL164" i="27"/>
  <c r="CK164" i="27"/>
  <c r="CA221" i="27"/>
  <c r="BZ221" i="27"/>
  <c r="BP139" i="27"/>
  <c r="BO139" i="27"/>
  <c r="BN139" i="27"/>
  <c r="BE367" i="27"/>
  <c r="BD367" i="27"/>
  <c r="B64" i="55"/>
  <c r="B65" i="55"/>
  <c r="B66" i="55"/>
  <c r="B67" i="55"/>
  <c r="B68" i="55"/>
  <c r="B69" i="55"/>
  <c r="B70" i="55"/>
  <c r="B71" i="55"/>
  <c r="B72" i="55"/>
  <c r="B73" i="55"/>
  <c r="B74" i="55"/>
  <c r="B75" i="55"/>
  <c r="B76" i="55"/>
  <c r="B77" i="55"/>
  <c r="B63" i="55"/>
  <c r="B60" i="55"/>
  <c r="B61" i="55"/>
  <c r="B62" i="55"/>
  <c r="F62" i="55" s="1"/>
  <c r="B59" i="55"/>
  <c r="B58" i="55"/>
  <c r="C82" i="57"/>
  <c r="E82" i="57" s="1"/>
  <c r="C81" i="57"/>
  <c r="E81" i="57" s="1"/>
  <c r="C80" i="57"/>
  <c r="E80" i="57" s="1"/>
  <c r="C79" i="57"/>
  <c r="E79" i="57" s="1"/>
  <c r="C78" i="57"/>
  <c r="E78" i="57" s="1"/>
  <c r="C77" i="57"/>
  <c r="E77" i="57" s="1"/>
  <c r="C76" i="57"/>
  <c r="E76" i="57" s="1"/>
  <c r="C75" i="57"/>
  <c r="E75" i="57" s="1"/>
  <c r="C74" i="57"/>
  <c r="E74" i="57" s="1"/>
  <c r="C73" i="57"/>
  <c r="E73" i="57" s="1"/>
  <c r="C72" i="57"/>
  <c r="E72" i="57" s="1"/>
  <c r="C71" i="57"/>
  <c r="E71" i="57" s="1"/>
  <c r="C70" i="57"/>
  <c r="E70" i="57" s="1"/>
  <c r="C69" i="57"/>
  <c r="E69" i="57" s="1"/>
  <c r="C68" i="57"/>
  <c r="E68" i="57" s="1"/>
  <c r="C67" i="57"/>
  <c r="E67" i="57" s="1"/>
  <c r="C66" i="57"/>
  <c r="E66" i="57" s="1"/>
  <c r="C65" i="57"/>
  <c r="E65" i="57" s="1"/>
  <c r="C64" i="57"/>
  <c r="E64" i="57" s="1"/>
  <c r="C63" i="57"/>
  <c r="E63" i="57" s="1"/>
  <c r="C62" i="57"/>
  <c r="E62" i="57" s="1"/>
  <c r="C61" i="57"/>
  <c r="E61" i="57" s="1"/>
  <c r="B21" i="56"/>
  <c r="B22" i="56"/>
  <c r="B23" i="56"/>
  <c r="B24" i="56"/>
  <c r="B25" i="56"/>
  <c r="B26" i="56"/>
  <c r="B27" i="56"/>
  <c r="B28" i="56"/>
  <c r="B29" i="56"/>
  <c r="B30" i="56"/>
  <c r="B31" i="56"/>
  <c r="B20" i="56"/>
  <c r="B18" i="56"/>
  <c r="B19" i="56"/>
  <c r="B17" i="56"/>
  <c r="B14" i="56"/>
  <c r="B15" i="56"/>
  <c r="B16" i="56"/>
  <c r="J16" i="56" s="1"/>
  <c r="B13" i="56"/>
  <c r="B12" i="56"/>
  <c r="B11" i="56"/>
  <c r="B10" i="56"/>
  <c r="B57" i="55"/>
  <c r="B56" i="55"/>
  <c r="W104" i="27"/>
  <c r="W103" i="27"/>
  <c r="W102" i="27"/>
  <c r="W101" i="27"/>
  <c r="W100" i="27"/>
  <c r="W99" i="27"/>
  <c r="W98" i="27"/>
  <c r="W97" i="27"/>
  <c r="W96" i="27"/>
  <c r="W95" i="27"/>
  <c r="W94" i="27"/>
  <c r="W93" i="27"/>
  <c r="W92" i="27"/>
  <c r="W91" i="27"/>
  <c r="V104" i="27"/>
  <c r="V103" i="27"/>
  <c r="V102" i="27"/>
  <c r="V101" i="27"/>
  <c r="V100" i="27"/>
  <c r="V99" i="27"/>
  <c r="V98" i="27"/>
  <c r="V97" i="27"/>
  <c r="V96" i="27"/>
  <c r="V95" i="27"/>
  <c r="V94" i="27"/>
  <c r="V93" i="27"/>
  <c r="V92" i="27"/>
  <c r="V91" i="27"/>
  <c r="U104" i="27"/>
  <c r="U103" i="27"/>
  <c r="U102" i="27"/>
  <c r="U101" i="27"/>
  <c r="U100" i="27"/>
  <c r="U99" i="27"/>
  <c r="U98" i="27"/>
  <c r="U97" i="27"/>
  <c r="U96" i="27"/>
  <c r="U95" i="27"/>
  <c r="U94" i="27"/>
  <c r="U93" i="27"/>
  <c r="U92" i="27"/>
  <c r="U91" i="27"/>
  <c r="T104" i="27"/>
  <c r="T103" i="27"/>
  <c r="T102" i="27"/>
  <c r="T101" i="27"/>
  <c r="T100" i="27"/>
  <c r="T99" i="27"/>
  <c r="T98" i="27"/>
  <c r="T97" i="27"/>
  <c r="T96" i="27"/>
  <c r="T95" i="27"/>
  <c r="T94" i="27"/>
  <c r="T93" i="27"/>
  <c r="T92" i="27"/>
  <c r="T91" i="27"/>
  <c r="S104" i="27"/>
  <c r="S103" i="27"/>
  <c r="S102" i="27"/>
  <c r="S101" i="27"/>
  <c r="S100" i="27"/>
  <c r="S99" i="27"/>
  <c r="S98" i="27"/>
  <c r="S97" i="27"/>
  <c r="S96" i="27"/>
  <c r="S95" i="27"/>
  <c r="S94" i="27"/>
  <c r="S93" i="27"/>
  <c r="S92" i="27"/>
  <c r="S91" i="27"/>
  <c r="R104" i="27"/>
  <c r="R103" i="27"/>
  <c r="R102" i="27"/>
  <c r="R101" i="27"/>
  <c r="R100" i="27"/>
  <c r="R99" i="27"/>
  <c r="R98" i="27"/>
  <c r="R97" i="27"/>
  <c r="R96" i="27"/>
  <c r="R95" i="27"/>
  <c r="R94" i="27"/>
  <c r="R93" i="27"/>
  <c r="R92" i="27"/>
  <c r="R91" i="27"/>
  <c r="Q104" i="27"/>
  <c r="Q103" i="27"/>
  <c r="Q102" i="27"/>
  <c r="Q101" i="27"/>
  <c r="Q100" i="27"/>
  <c r="Q99" i="27"/>
  <c r="Q98" i="27"/>
  <c r="Q97" i="27"/>
  <c r="Q96" i="27"/>
  <c r="Q95" i="27"/>
  <c r="Q94" i="27"/>
  <c r="Q93" i="27"/>
  <c r="Q92" i="27"/>
  <c r="Q91" i="27"/>
  <c r="P104" i="27"/>
  <c r="P103" i="27"/>
  <c r="P102" i="27"/>
  <c r="P101" i="27"/>
  <c r="P100" i="27"/>
  <c r="P99" i="27"/>
  <c r="P98" i="27"/>
  <c r="P97" i="27"/>
  <c r="P96" i="27"/>
  <c r="P95" i="27"/>
  <c r="P94" i="27"/>
  <c r="P93" i="27"/>
  <c r="P92" i="27"/>
  <c r="P91" i="27"/>
  <c r="AG100" i="27"/>
  <c r="AF100" i="27"/>
  <c r="AE100" i="27"/>
  <c r="V110" i="27"/>
  <c r="AB100" i="27" s="1"/>
  <c r="V111" i="27"/>
  <c r="V112" i="27"/>
  <c r="V113" i="27"/>
  <c r="V114" i="27"/>
  <c r="V115" i="27"/>
  <c r="V116" i="27"/>
  <c r="V109" i="27"/>
  <c r="BI278" i="27" a="1"/>
  <c r="BI278" i="27" s="1"/>
  <c r="BH278" i="27" a="1"/>
  <c r="BH278" i="27" s="1"/>
  <c r="BG278" i="27" a="1"/>
  <c r="BG278" i="27" s="1"/>
  <c r="BF278" i="27" a="1"/>
  <c r="BF278" i="27" s="1"/>
  <c r="BE278" i="27" a="1"/>
  <c r="BE278" i="27" s="1"/>
  <c r="BD278" i="27" a="1"/>
  <c r="BD278" i="27" s="1"/>
  <c r="BC278" i="27" a="1"/>
  <c r="BC278" i="27" s="1"/>
  <c r="C15" i="58" l="1"/>
  <c r="K29" i="58"/>
  <c r="Q136" i="27"/>
  <c r="P130" i="27"/>
  <c r="O136" i="27"/>
  <c r="P144" i="27"/>
  <c r="O160" i="27"/>
  <c r="Q159" i="27"/>
  <c r="O134" i="27"/>
  <c r="Q132" i="27"/>
  <c r="Q131" i="27"/>
  <c r="O133" i="27"/>
  <c r="Q130" i="27"/>
  <c r="Q160" i="27"/>
  <c r="O135" i="27"/>
  <c r="O130" i="27"/>
  <c r="Q149" i="27"/>
  <c r="Q146" i="27"/>
  <c r="Q145" i="27"/>
  <c r="P132" i="27"/>
  <c r="P159" i="27"/>
  <c r="Q148" i="27"/>
  <c r="P153" i="27"/>
  <c r="Q133" i="27"/>
  <c r="P146" i="27"/>
  <c r="P135" i="27"/>
  <c r="P145" i="27"/>
  <c r="Q158" i="27"/>
  <c r="P157" i="27"/>
  <c r="P160" i="27"/>
  <c r="Q141" i="27"/>
  <c r="O154" i="27"/>
  <c r="P152" i="27"/>
  <c r="O158" i="27"/>
  <c r="P143" i="27"/>
  <c r="Q156" i="27"/>
  <c r="P136" i="27"/>
  <c r="P137" i="27"/>
  <c r="O132" i="27"/>
  <c r="Q140" i="27"/>
  <c r="O153" i="27"/>
  <c r="P147" i="27"/>
  <c r="P129" i="27"/>
  <c r="O128" i="27"/>
  <c r="O129" i="27"/>
  <c r="P142" i="27"/>
  <c r="P149" i="27"/>
  <c r="P133" i="27"/>
  <c r="O152" i="27"/>
  <c r="P155" i="27"/>
  <c r="O155" i="27"/>
  <c r="P154" i="27"/>
  <c r="Q128" i="27"/>
  <c r="P131" i="27"/>
  <c r="P158" i="27"/>
  <c r="Q134" i="27"/>
  <c r="P140" i="27"/>
  <c r="O131" i="27"/>
  <c r="Q157" i="27"/>
  <c r="O161" i="27"/>
  <c r="P161" i="27"/>
  <c r="Q144" i="27"/>
  <c r="Q155" i="27"/>
  <c r="P148" i="27"/>
  <c r="Q147" i="27"/>
  <c r="Q161" i="27"/>
  <c r="P128" i="27"/>
  <c r="Q154" i="27"/>
  <c r="O157" i="27"/>
  <c r="Q152" i="27"/>
  <c r="O159" i="27"/>
  <c r="Q143" i="27"/>
  <c r="Q142" i="27"/>
  <c r="Q129" i="27"/>
  <c r="Q135" i="27"/>
  <c r="O137" i="27"/>
  <c r="P134" i="27"/>
  <c r="Q153" i="27"/>
  <c r="O156" i="27"/>
  <c r="P156" i="27"/>
  <c r="P141" i="27"/>
  <c r="Q137" i="27"/>
  <c r="L34" i="58"/>
  <c r="O141" i="27"/>
  <c r="O143" i="27"/>
  <c r="O145" i="27"/>
  <c r="O147" i="27"/>
  <c r="O149" i="27"/>
  <c r="O142" i="27"/>
  <c r="O144" i="27"/>
  <c r="O146" i="27"/>
  <c r="O148" i="27"/>
  <c r="O140" i="27"/>
  <c r="K151" i="27"/>
  <c r="I154" i="27"/>
  <c r="I161" i="27"/>
  <c r="I152" i="27"/>
  <c r="I159" i="27"/>
  <c r="J165" i="27"/>
  <c r="I157" i="27"/>
  <c r="I160" i="27"/>
  <c r="I155" i="27"/>
  <c r="I158" i="27"/>
  <c r="I153" i="27"/>
  <c r="I156" i="27"/>
  <c r="L30" i="58"/>
  <c r="L35" i="58"/>
  <c r="L27" i="58"/>
  <c r="L32" i="58"/>
  <c r="L28" i="58"/>
  <c r="L31" i="58"/>
  <c r="M30" i="58"/>
  <c r="L33" i="58"/>
  <c r="M32" i="58"/>
  <c r="K32" i="58"/>
  <c r="M35" i="58"/>
  <c r="K26" i="58"/>
  <c r="K31" i="58"/>
  <c r="L29" i="58"/>
  <c r="K35" i="58"/>
  <c r="K34" i="58"/>
  <c r="K28" i="58"/>
  <c r="K33" i="58"/>
  <c r="M28" i="58"/>
  <c r="M33" i="58"/>
  <c r="M29" i="58"/>
  <c r="K30" i="58"/>
  <c r="M34" i="58"/>
  <c r="K27" i="58"/>
  <c r="M26" i="58"/>
  <c r="M31" i="58"/>
  <c r="L26" i="58"/>
  <c r="J62" i="55"/>
  <c r="Y62" i="55"/>
  <c r="I62" i="55"/>
  <c r="U62" i="55"/>
  <c r="E62" i="55"/>
  <c r="T62" i="55"/>
  <c r="D62" i="55"/>
  <c r="Q62" i="55"/>
  <c r="R62" i="55"/>
  <c r="M62" i="55"/>
  <c r="L62" i="55"/>
  <c r="S62" i="55"/>
  <c r="K62" i="55"/>
  <c r="C62" i="55"/>
  <c r="X62" i="55"/>
  <c r="P62" i="55"/>
  <c r="H62" i="55"/>
  <c r="W62" i="55"/>
  <c r="O62" i="55"/>
  <c r="G62" i="55"/>
  <c r="V62" i="55"/>
  <c r="N62" i="55"/>
  <c r="I16" i="56"/>
  <c r="H16" i="56"/>
  <c r="F16" i="56"/>
  <c r="E16" i="56"/>
  <c r="M16" i="56"/>
  <c r="G16" i="56"/>
  <c r="L16" i="56"/>
  <c r="D16" i="56"/>
  <c r="K16" i="56"/>
  <c r="C16" i="56"/>
  <c r="K7" i="58" l="1"/>
  <c r="K8" i="58"/>
  <c r="O165" i="27"/>
  <c r="Q165" i="27"/>
  <c r="P165" i="27"/>
  <c r="HI3" i="27" l="1"/>
  <c r="HI4" i="27"/>
  <c r="HG3" i="27"/>
  <c r="HG4" i="27"/>
  <c r="HG5" i="27"/>
  <c r="HG6" i="27"/>
  <c r="HG7" i="27"/>
  <c r="HG8" i="27"/>
  <c r="HG9" i="27"/>
  <c r="HG10" i="27"/>
  <c r="HG11" i="27"/>
  <c r="HG12" i="27"/>
  <c r="HG13" i="27"/>
  <c r="HG14" i="27"/>
  <c r="HG15" i="27"/>
  <c r="HG16" i="27"/>
  <c r="HG17" i="27"/>
  <c r="HG18" i="27"/>
  <c r="HG19" i="27"/>
  <c r="HG20" i="27"/>
  <c r="HG21" i="27"/>
  <c r="HG22" i="27"/>
  <c r="HG23" i="27"/>
  <c r="HI2" i="27"/>
  <c r="HG2" i="27"/>
  <c r="HE3" i="27"/>
  <c r="HE2" i="27"/>
  <c r="GY100" i="27"/>
  <c r="GY101" i="27"/>
  <c r="GY102" i="27"/>
  <c r="GY103" i="27"/>
  <c r="GY99" i="27"/>
  <c r="GY97" i="27"/>
  <c r="GY98" i="27"/>
  <c r="GY96" i="27"/>
  <c r="GY83" i="27"/>
  <c r="GY84" i="27"/>
  <c r="GY85" i="27"/>
  <c r="GY86" i="27"/>
  <c r="GY87" i="27"/>
  <c r="GY88" i="27"/>
  <c r="GY89" i="27"/>
  <c r="GY90" i="27"/>
  <c r="GY91" i="27"/>
  <c r="GY92" i="27"/>
  <c r="GY93" i="27"/>
  <c r="GY94" i="27"/>
  <c r="GY82" i="27"/>
  <c r="GY36" i="27"/>
  <c r="GY37" i="27"/>
  <c r="GY38" i="27"/>
  <c r="GY39" i="27"/>
  <c r="GY40" i="27"/>
  <c r="GY41" i="27"/>
  <c r="GY42" i="27"/>
  <c r="GY43" i="27"/>
  <c r="GY44" i="27"/>
  <c r="GY45" i="27"/>
  <c r="GY46" i="27"/>
  <c r="GY47" i="27"/>
  <c r="GY48" i="27"/>
  <c r="GY49" i="27"/>
  <c r="GY50" i="27"/>
  <c r="GY51" i="27"/>
  <c r="GY52" i="27"/>
  <c r="GY53" i="27"/>
  <c r="GY54" i="27"/>
  <c r="GY55" i="27"/>
  <c r="GY56" i="27"/>
  <c r="GY57" i="27"/>
  <c r="GY58" i="27"/>
  <c r="GY59" i="27"/>
  <c r="GY60" i="27"/>
  <c r="GY61" i="27"/>
  <c r="GY62" i="27"/>
  <c r="GY63" i="27"/>
  <c r="GY64" i="27"/>
  <c r="GY65" i="27"/>
  <c r="GY66" i="27"/>
  <c r="GY67" i="27"/>
  <c r="GY68" i="27"/>
  <c r="GY69" i="27"/>
  <c r="GY70" i="27"/>
  <c r="GY71" i="27"/>
  <c r="GY72" i="27"/>
  <c r="GY73" i="27"/>
  <c r="GY74" i="27"/>
  <c r="GY75" i="27"/>
  <c r="GY76" i="27"/>
  <c r="GY77" i="27"/>
  <c r="GY78" i="27"/>
  <c r="GY79" i="27"/>
  <c r="GY80" i="27"/>
  <c r="GY35" i="27"/>
  <c r="GY33" i="27"/>
  <c r="FW137" i="27"/>
  <c r="FW138" i="27"/>
  <c r="FW139" i="27"/>
  <c r="FW140" i="27"/>
  <c r="FW141" i="27"/>
  <c r="FW142" i="27"/>
  <c r="FW143" i="27"/>
  <c r="FW144" i="27"/>
  <c r="FW145" i="27"/>
  <c r="FW146" i="27"/>
  <c r="FW147" i="27"/>
  <c r="FW148" i="27"/>
  <c r="FW149" i="27"/>
  <c r="FW150" i="27"/>
  <c r="FW151" i="27"/>
  <c r="FW152" i="27"/>
  <c r="FW153" i="27"/>
  <c r="FW154" i="27"/>
  <c r="FW155" i="27"/>
  <c r="FW156" i="27"/>
  <c r="FW157" i="27"/>
  <c r="FW158" i="27"/>
  <c r="FW159" i="27"/>
  <c r="FW160" i="27"/>
  <c r="FW161" i="27"/>
  <c r="FW162" i="27"/>
  <c r="FW163" i="27"/>
  <c r="FW164" i="27"/>
  <c r="FW165" i="27"/>
  <c r="FW166" i="27"/>
  <c r="FW167" i="27"/>
  <c r="FW168" i="27"/>
  <c r="FW169" i="27"/>
  <c r="FW170" i="27"/>
  <c r="FW171" i="27"/>
  <c r="FW172" i="27"/>
  <c r="FW173" i="27"/>
  <c r="FW174" i="27"/>
  <c r="FW91" i="27"/>
  <c r="FW92" i="27"/>
  <c r="FW93" i="27"/>
  <c r="FW94" i="27"/>
  <c r="FW95" i="27"/>
  <c r="FW96" i="27"/>
  <c r="FW97" i="27"/>
  <c r="FW98" i="27"/>
  <c r="FW99" i="27"/>
  <c r="FW100" i="27"/>
  <c r="FW101" i="27"/>
  <c r="FW102" i="27"/>
  <c r="FW103" i="27"/>
  <c r="FW104" i="27"/>
  <c r="FW105" i="27"/>
  <c r="FW106" i="27"/>
  <c r="FW107" i="27"/>
  <c r="FW108" i="27"/>
  <c r="FW109" i="27"/>
  <c r="FW110" i="27"/>
  <c r="FW111" i="27"/>
  <c r="FW112" i="27"/>
  <c r="FW113" i="27"/>
  <c r="FW114" i="27"/>
  <c r="FW115" i="27"/>
  <c r="FW116" i="27"/>
  <c r="FW117" i="27"/>
  <c r="FW118" i="27"/>
  <c r="FW119" i="27"/>
  <c r="FW120" i="27"/>
  <c r="FW121" i="27"/>
  <c r="FW122" i="27"/>
  <c r="FW123" i="27"/>
  <c r="FW124" i="27"/>
  <c r="FW125" i="27"/>
  <c r="FW126" i="27"/>
  <c r="FW127" i="27"/>
  <c r="FW128" i="27"/>
  <c r="FW90" i="27"/>
  <c r="FW136" i="27"/>
  <c r="FG230" i="27" a="1"/>
  <c r="FG230" i="27" s="1"/>
  <c r="FF230" i="27" a="1"/>
  <c r="FF230" i="27" s="1"/>
  <c r="FG227" i="27" a="1"/>
  <c r="FG227" i="27" s="1"/>
  <c r="FF227" i="27" a="1"/>
  <c r="FF227" i="27" s="1"/>
  <c r="FG225" i="27" a="1"/>
  <c r="FG225" i="27" s="1"/>
  <c r="FF225" i="27" a="1"/>
  <c r="FF225" i="27" s="1"/>
  <c r="FG224" i="27" a="1"/>
  <c r="FG224" i="27" s="1"/>
  <c r="FF224" i="27" a="1"/>
  <c r="FF224" i="27" s="1"/>
  <c r="FG222" i="27" a="1"/>
  <c r="FG222" i="27" s="1"/>
  <c r="FF222" i="27" a="1"/>
  <c r="FF222" i="27" s="1"/>
  <c r="FG221" i="27" a="1"/>
  <c r="FG221" i="27" s="1"/>
  <c r="FF221" i="27" a="1"/>
  <c r="FF221" i="27" s="1"/>
  <c r="FG220" i="27" a="1"/>
  <c r="FG220" i="27" s="1"/>
  <c r="FF220" i="27" a="1"/>
  <c r="FF220" i="27" s="1"/>
  <c r="FF219" i="27" a="1"/>
  <c r="FF219" i="27" s="1"/>
  <c r="FG218" i="27" a="1"/>
  <c r="FG218" i="27" s="1"/>
  <c r="FF218" i="27" a="1"/>
  <c r="FF218" i="27" s="1"/>
  <c r="FG217" i="27" a="1"/>
  <c r="FG217" i="27" s="1"/>
  <c r="FF217" i="27" a="1"/>
  <c r="FF217" i="27" s="1"/>
  <c r="FG216" i="27" a="1"/>
  <c r="FG216" i="27" s="1"/>
  <c r="FF216" i="27" a="1"/>
  <c r="FF216" i="27" s="1"/>
  <c r="FG215" i="27" a="1"/>
  <c r="FG215" i="27" s="1"/>
  <c r="FF215" i="27" a="1"/>
  <c r="FF215" i="27" s="1"/>
  <c r="FG214" i="27" a="1"/>
  <c r="FG214" i="27" s="1"/>
  <c r="FF214" i="27" a="1"/>
  <c r="FF214" i="27" s="1"/>
  <c r="FG213" i="27" a="1"/>
  <c r="FG213" i="27" s="1"/>
  <c r="FF213" i="27" a="1"/>
  <c r="FF213" i="27" s="1"/>
  <c r="FG212" i="27" a="1"/>
  <c r="FG212" i="27" s="1"/>
  <c r="FF212" i="27" a="1"/>
  <c r="FF212" i="27" s="1"/>
  <c r="FG211" i="27" a="1"/>
  <c r="FG211" i="27" s="1"/>
  <c r="FF211" i="27" a="1"/>
  <c r="FF211" i="27" s="1"/>
  <c r="FG210" i="27" a="1"/>
  <c r="FG210" i="27" s="1"/>
  <c r="FF210" i="27" a="1"/>
  <c r="FF210" i="27" s="1"/>
  <c r="FG209" i="27" a="1"/>
  <c r="FG209" i="27" s="1"/>
  <c r="FF209" i="27" a="1"/>
  <c r="FF209" i="27" s="1"/>
  <c r="FG208" i="27" a="1"/>
  <c r="FG208" i="27" s="1"/>
  <c r="FF208" i="27" a="1"/>
  <c r="FF208" i="27" s="1"/>
  <c r="FG207" i="27" a="1"/>
  <c r="FG207" i="27" s="1"/>
  <c r="FF207" i="27" a="1"/>
  <c r="FF207" i="27" s="1"/>
  <c r="FG206" i="27" a="1"/>
  <c r="FG206" i="27" s="1"/>
  <c r="FF206" i="27" a="1"/>
  <c r="FF206" i="27" s="1"/>
  <c r="FG205" i="27" a="1"/>
  <c r="FG205" i="27" s="1"/>
  <c r="FF205" i="27" a="1"/>
  <c r="FF205" i="27" s="1"/>
  <c r="FG204" i="27" a="1"/>
  <c r="FG204" i="27" s="1"/>
  <c r="FF204" i="27" a="1"/>
  <c r="FF204" i="27" s="1"/>
  <c r="FG203" i="27" a="1"/>
  <c r="FG203" i="27" s="1"/>
  <c r="FF203" i="27" a="1"/>
  <c r="FF203" i="27" s="1"/>
  <c r="FG202" i="27" a="1"/>
  <c r="FG202" i="27" s="1"/>
  <c r="FF202" i="27" a="1"/>
  <c r="FF202" i="27" s="1"/>
  <c r="FG201" i="27" a="1"/>
  <c r="FG201" i="27" s="1"/>
  <c r="FF201" i="27" a="1"/>
  <c r="FF201" i="27" s="1"/>
  <c r="FG200" i="27" a="1"/>
  <c r="FG200" i="27" s="1"/>
  <c r="FF200" i="27" a="1"/>
  <c r="FF200" i="27" s="1"/>
  <c r="FG199" i="27" a="1"/>
  <c r="FG199" i="27" s="1"/>
  <c r="FF199" i="27" a="1"/>
  <c r="FF199" i="27" s="1"/>
  <c r="FG198" i="27" a="1"/>
  <c r="FG198" i="27" s="1"/>
  <c r="FF198" i="27" a="1"/>
  <c r="FF198" i="27" s="1"/>
  <c r="EX235" i="27" a="1"/>
  <c r="EX235" i="27" s="1"/>
  <c r="EW235" i="27" a="1"/>
  <c r="EW235" i="27" s="1"/>
  <c r="EX232" i="27" a="1"/>
  <c r="EX232" i="27" s="1"/>
  <c r="EW232" i="27" a="1"/>
  <c r="EW232" i="27" s="1"/>
  <c r="EX230" i="27" a="1"/>
  <c r="EX230" i="27" s="1"/>
  <c r="EW230" i="27" a="1"/>
  <c r="EW230" i="27" s="1"/>
  <c r="EX229" i="27" a="1"/>
  <c r="EX229" i="27" s="1"/>
  <c r="EW229" i="27" a="1"/>
  <c r="EW229" i="27" s="1"/>
  <c r="EX227" i="27" a="1"/>
  <c r="EX227" i="27" s="1"/>
  <c r="EW227" i="27" a="1"/>
  <c r="EW227" i="27" s="1"/>
  <c r="EX226" i="27" a="1"/>
  <c r="EX226" i="27" s="1"/>
  <c r="EW226" i="27" a="1"/>
  <c r="EW226" i="27" s="1"/>
  <c r="EX225" i="27" a="1"/>
  <c r="EX225" i="27" s="1"/>
  <c r="EW225" i="27" a="1"/>
  <c r="EW225" i="27" s="1"/>
  <c r="EW224" i="27" a="1"/>
  <c r="EW224" i="27" s="1"/>
  <c r="EX223" i="27" a="1"/>
  <c r="EX223" i="27" s="1"/>
  <c r="EW223" i="27" a="1"/>
  <c r="EW223" i="27" s="1"/>
  <c r="EX222" i="27" a="1"/>
  <c r="EX222" i="27" s="1"/>
  <c r="EW222" i="27" a="1"/>
  <c r="EW222" i="27" s="1"/>
  <c r="EX221" i="27" a="1"/>
  <c r="EX221" i="27" s="1"/>
  <c r="EW221" i="27" a="1"/>
  <c r="EW221" i="27" s="1"/>
  <c r="EX220" i="27" a="1"/>
  <c r="EX220" i="27" s="1"/>
  <c r="EW220" i="27" a="1"/>
  <c r="EW220" i="27" s="1"/>
  <c r="EX219" i="27" a="1"/>
  <c r="EX219" i="27" s="1"/>
  <c r="EW219" i="27" a="1"/>
  <c r="EW219" i="27" s="1"/>
  <c r="EX218" i="27" a="1"/>
  <c r="EX218" i="27" s="1"/>
  <c r="EW218" i="27" a="1"/>
  <c r="EW218" i="27" s="1"/>
  <c r="EX217" i="27" a="1"/>
  <c r="EX217" i="27" s="1"/>
  <c r="EW217" i="27" a="1"/>
  <c r="EW217" i="27" s="1"/>
  <c r="EX216" i="27" a="1"/>
  <c r="EX216" i="27" s="1"/>
  <c r="EW216" i="27" a="1"/>
  <c r="EW216" i="27" s="1"/>
  <c r="EX215" i="27" a="1"/>
  <c r="EX215" i="27" s="1"/>
  <c r="EW215" i="27" a="1"/>
  <c r="EW215" i="27" s="1"/>
  <c r="EX214" i="27" a="1"/>
  <c r="EX214" i="27" s="1"/>
  <c r="EW214" i="27" a="1"/>
  <c r="EW214" i="27" s="1"/>
  <c r="EX213" i="27" a="1"/>
  <c r="EX213" i="27" s="1"/>
  <c r="EW213" i="27" a="1"/>
  <c r="EW213" i="27" s="1"/>
  <c r="EX212" i="27" a="1"/>
  <c r="EX212" i="27" s="1"/>
  <c r="EW212" i="27" a="1"/>
  <c r="EW212" i="27" s="1"/>
  <c r="EX211" i="27" a="1"/>
  <c r="EX211" i="27" s="1"/>
  <c r="EW211" i="27" a="1"/>
  <c r="EW211" i="27" s="1"/>
  <c r="EX210" i="27" a="1"/>
  <c r="EX210" i="27" s="1"/>
  <c r="EW210" i="27" a="1"/>
  <c r="EW210" i="27" s="1"/>
  <c r="EX209" i="27" a="1"/>
  <c r="EX209" i="27" s="1"/>
  <c r="EW209" i="27" a="1"/>
  <c r="EW209" i="27" s="1"/>
  <c r="EX208" i="27" a="1"/>
  <c r="EX208" i="27" s="1"/>
  <c r="EW208" i="27" a="1"/>
  <c r="EW208" i="27" s="1"/>
  <c r="EX207" i="27" a="1"/>
  <c r="EX207" i="27" s="1"/>
  <c r="EW207" i="27" a="1"/>
  <c r="EW207" i="27" s="1"/>
  <c r="EX206" i="27" a="1"/>
  <c r="EX206" i="27" s="1"/>
  <c r="EW206" i="27" a="1"/>
  <c r="EW206" i="27" s="1"/>
  <c r="EX205" i="27" a="1"/>
  <c r="EX205" i="27" s="1"/>
  <c r="EW205" i="27" a="1"/>
  <c r="EW205" i="27" s="1"/>
  <c r="EX204" i="27" a="1"/>
  <c r="EX204" i="27" s="1"/>
  <c r="EW204" i="27" a="1"/>
  <c r="EW204" i="27" s="1"/>
  <c r="EX203" i="27" a="1"/>
  <c r="EX203" i="27" s="1"/>
  <c r="EW203" i="27" a="1"/>
  <c r="EW203" i="27" s="1"/>
  <c r="FN197" i="27"/>
  <c r="FN235" i="27"/>
  <c r="FN234" i="27"/>
  <c r="FN233" i="27"/>
  <c r="FN232" i="27"/>
  <c r="FN231" i="27"/>
  <c r="FN230" i="27"/>
  <c r="FN229" i="27"/>
  <c r="FN228" i="27"/>
  <c r="FN227" i="27"/>
  <c r="FN226" i="27"/>
  <c r="FN225" i="27"/>
  <c r="FN224" i="27"/>
  <c r="FN223" i="27"/>
  <c r="FN222" i="27"/>
  <c r="FN221" i="27"/>
  <c r="FN220" i="27"/>
  <c r="FN219" i="27"/>
  <c r="FN218" i="27"/>
  <c r="FN217" i="27"/>
  <c r="FN216" i="27"/>
  <c r="FN215" i="27"/>
  <c r="FN214" i="27"/>
  <c r="FN213" i="27"/>
  <c r="FN212" i="27"/>
  <c r="FN211" i="27"/>
  <c r="FN210" i="27"/>
  <c r="FN209" i="27"/>
  <c r="FN208" i="27"/>
  <c r="FN207" i="27"/>
  <c r="FN206" i="27"/>
  <c r="FN205" i="27"/>
  <c r="FN204" i="27"/>
  <c r="FN203" i="27"/>
  <c r="FN202" i="27"/>
  <c r="FN201" i="27"/>
  <c r="FN200" i="27"/>
  <c r="FN199" i="27"/>
  <c r="FN198" i="27"/>
  <c r="FN142" i="27"/>
  <c r="FN143" i="27"/>
  <c r="FN144" i="27"/>
  <c r="FN145" i="27"/>
  <c r="FN146" i="27"/>
  <c r="FN147" i="27"/>
  <c r="FN148" i="27"/>
  <c r="FN149" i="27"/>
  <c r="FN150" i="27"/>
  <c r="FN151" i="27"/>
  <c r="FN152" i="27"/>
  <c r="FN153" i="27"/>
  <c r="FN154" i="27"/>
  <c r="FN155" i="27"/>
  <c r="FN156" i="27"/>
  <c r="FN157" i="27"/>
  <c r="FN158" i="27"/>
  <c r="FN159" i="27"/>
  <c r="FN160" i="27"/>
  <c r="FN161" i="27"/>
  <c r="FN162" i="27"/>
  <c r="FN163" i="27"/>
  <c r="FN164" i="27"/>
  <c r="FN165" i="27"/>
  <c r="FN166" i="27"/>
  <c r="FN167" i="27"/>
  <c r="FN168" i="27"/>
  <c r="FN169" i="27"/>
  <c r="FN170" i="27"/>
  <c r="FN171" i="27"/>
  <c r="FN172" i="27"/>
  <c r="FN173" i="27"/>
  <c r="FN174" i="27"/>
  <c r="FN175" i="27"/>
  <c r="FN176" i="27"/>
  <c r="FN177" i="27"/>
  <c r="FN178" i="27"/>
  <c r="FN179" i="27"/>
  <c r="FN141" i="27"/>
  <c r="FN96" i="27"/>
  <c r="FN97" i="27"/>
  <c r="FN98" i="27"/>
  <c r="FN99" i="27"/>
  <c r="FN100" i="27"/>
  <c r="FN101" i="27"/>
  <c r="FN102" i="27"/>
  <c r="FN103" i="27"/>
  <c r="FN104" i="27"/>
  <c r="FN105" i="27"/>
  <c r="FN106" i="27"/>
  <c r="FN107" i="27"/>
  <c r="FN108" i="27"/>
  <c r="FN109" i="27"/>
  <c r="FN110" i="27"/>
  <c r="FN111" i="27"/>
  <c r="FN112" i="27"/>
  <c r="FN113" i="27"/>
  <c r="FN114" i="27"/>
  <c r="FN115" i="27"/>
  <c r="FN116" i="27"/>
  <c r="FN117" i="27"/>
  <c r="FN118" i="27"/>
  <c r="FN119" i="27"/>
  <c r="FN120" i="27"/>
  <c r="FN121" i="27"/>
  <c r="FN122" i="27"/>
  <c r="FN123" i="27"/>
  <c r="FN124" i="27"/>
  <c r="FN125" i="27"/>
  <c r="FN126" i="27"/>
  <c r="FN127" i="27"/>
  <c r="FN128" i="27"/>
  <c r="FN129" i="27"/>
  <c r="FN130" i="27"/>
  <c r="FN131" i="27"/>
  <c r="FN132" i="27"/>
  <c r="FN133" i="27"/>
  <c r="FN95" i="27"/>
  <c r="FD199" i="27"/>
  <c r="FD200" i="27"/>
  <c r="FD201" i="27"/>
  <c r="FD202" i="27"/>
  <c r="FD203" i="27"/>
  <c r="FD204" i="27"/>
  <c r="FD205" i="27"/>
  <c r="FD206" i="27"/>
  <c r="FD207" i="27"/>
  <c r="FD208" i="27"/>
  <c r="FD209" i="27"/>
  <c r="FD210" i="27"/>
  <c r="FD211" i="27"/>
  <c r="FD212" i="27"/>
  <c r="FD213" i="27"/>
  <c r="FD214" i="27"/>
  <c r="FD215" i="27"/>
  <c r="FD216" i="27"/>
  <c r="FD217" i="27"/>
  <c r="FD218" i="27"/>
  <c r="FD219" i="27"/>
  <c r="FD220" i="27"/>
  <c r="FD221" i="27"/>
  <c r="FD222" i="27"/>
  <c r="FD223" i="27"/>
  <c r="FD224" i="27"/>
  <c r="FD225" i="27"/>
  <c r="FD226" i="27"/>
  <c r="FD227" i="27"/>
  <c r="FD228" i="27"/>
  <c r="FD229" i="27"/>
  <c r="FD230" i="27"/>
  <c r="FD231" i="27"/>
  <c r="FD232" i="27"/>
  <c r="FD233" i="27"/>
  <c r="FD234" i="27"/>
  <c r="FD235" i="27"/>
  <c r="FD236" i="27"/>
  <c r="FD143" i="27"/>
  <c r="FD144" i="27"/>
  <c r="FD145" i="27"/>
  <c r="FD146" i="27"/>
  <c r="FD147" i="27"/>
  <c r="FD148" i="27"/>
  <c r="FD149" i="27"/>
  <c r="FD150" i="27"/>
  <c r="FD151" i="27"/>
  <c r="FD152" i="27"/>
  <c r="FD153" i="27"/>
  <c r="FD154" i="27"/>
  <c r="FD155" i="27"/>
  <c r="FD156" i="27"/>
  <c r="FD157" i="27"/>
  <c r="FD158" i="27"/>
  <c r="FD159" i="27"/>
  <c r="FD160" i="27"/>
  <c r="FD161" i="27"/>
  <c r="FD162" i="27"/>
  <c r="FD163" i="27"/>
  <c r="FD164" i="27"/>
  <c r="FD165" i="27"/>
  <c r="FD166" i="27"/>
  <c r="FD167" i="27"/>
  <c r="FD168" i="27"/>
  <c r="FD169" i="27"/>
  <c r="FD170" i="27"/>
  <c r="FD171" i="27"/>
  <c r="FD172" i="27"/>
  <c r="FD173" i="27"/>
  <c r="FD174" i="27"/>
  <c r="FD175" i="27"/>
  <c r="FD176" i="27"/>
  <c r="FD177" i="27"/>
  <c r="FD178" i="27"/>
  <c r="FD179" i="27"/>
  <c r="FD180" i="27"/>
  <c r="FD97" i="27"/>
  <c r="FD98" i="27"/>
  <c r="FD99" i="27"/>
  <c r="FD100" i="27"/>
  <c r="FD101" i="27"/>
  <c r="FD102" i="27"/>
  <c r="FD103" i="27"/>
  <c r="FD104" i="27"/>
  <c r="FD105" i="27"/>
  <c r="FD106" i="27"/>
  <c r="FD107" i="27"/>
  <c r="FD108" i="27"/>
  <c r="FD109" i="27"/>
  <c r="FD110" i="27"/>
  <c r="FD111" i="27"/>
  <c r="FD112" i="27"/>
  <c r="FD113" i="27"/>
  <c r="FD114" i="27"/>
  <c r="FD115" i="27"/>
  <c r="FD116" i="27"/>
  <c r="FD117" i="27"/>
  <c r="FD118" i="27"/>
  <c r="FD119" i="27"/>
  <c r="FD120" i="27"/>
  <c r="FD121" i="27"/>
  <c r="FD122" i="27"/>
  <c r="FD123" i="27"/>
  <c r="FD124" i="27"/>
  <c r="FD125" i="27"/>
  <c r="FD126" i="27"/>
  <c r="FD127" i="27"/>
  <c r="FD128" i="27"/>
  <c r="FD129" i="27"/>
  <c r="FD130" i="27"/>
  <c r="FD131" i="27"/>
  <c r="FD132" i="27"/>
  <c r="FD133" i="27"/>
  <c r="FD134" i="27"/>
  <c r="FD142" i="27"/>
  <c r="FD96" i="27"/>
  <c r="EU204" i="27"/>
  <c r="EU205" i="27"/>
  <c r="EU206" i="27"/>
  <c r="EU207" i="27"/>
  <c r="EU208" i="27"/>
  <c r="EU209" i="27"/>
  <c r="EU210" i="27"/>
  <c r="EU211" i="27"/>
  <c r="EU212" i="27"/>
  <c r="EU213" i="27"/>
  <c r="EU214" i="27"/>
  <c r="EU215" i="27"/>
  <c r="EU216" i="27"/>
  <c r="EU217" i="27"/>
  <c r="EU218" i="27"/>
  <c r="EU219" i="27"/>
  <c r="EU220" i="27"/>
  <c r="EU221" i="27"/>
  <c r="EU222" i="27"/>
  <c r="EU223" i="27"/>
  <c r="EU224" i="27"/>
  <c r="EU225" i="27"/>
  <c r="EU226" i="27"/>
  <c r="EU227" i="27"/>
  <c r="EU228" i="27"/>
  <c r="EU229" i="27"/>
  <c r="EU230" i="27"/>
  <c r="EU231" i="27"/>
  <c r="EU232" i="27"/>
  <c r="EU233" i="27"/>
  <c r="EU234" i="27"/>
  <c r="EU235" i="27"/>
  <c r="EU236" i="27"/>
  <c r="EU237" i="27"/>
  <c r="EU238" i="27"/>
  <c r="EU239" i="27"/>
  <c r="EU240" i="27"/>
  <c r="EU241" i="27"/>
  <c r="EU149" i="27"/>
  <c r="EU150" i="27"/>
  <c r="EU151" i="27"/>
  <c r="EU152" i="27"/>
  <c r="EU153" i="27"/>
  <c r="EU154" i="27"/>
  <c r="EU155" i="27"/>
  <c r="EU156" i="27"/>
  <c r="EU157" i="27"/>
  <c r="EU158" i="27"/>
  <c r="EU159" i="27"/>
  <c r="EU160" i="27"/>
  <c r="EU161" i="27"/>
  <c r="EU162" i="27"/>
  <c r="EU163" i="27"/>
  <c r="EU164" i="27"/>
  <c r="EU165" i="27"/>
  <c r="EU166" i="27"/>
  <c r="EU167" i="27"/>
  <c r="EU168" i="27"/>
  <c r="EU169" i="27"/>
  <c r="EU170" i="27"/>
  <c r="EU171" i="27"/>
  <c r="EU172" i="27"/>
  <c r="EU173" i="27"/>
  <c r="EU174" i="27"/>
  <c r="EU175" i="27"/>
  <c r="EU176" i="27"/>
  <c r="EU177" i="27"/>
  <c r="EU178" i="27"/>
  <c r="EU179" i="27"/>
  <c r="EU180" i="27"/>
  <c r="EU181" i="27"/>
  <c r="EU182" i="27"/>
  <c r="EU183" i="27"/>
  <c r="EU184" i="27"/>
  <c r="EU185" i="27"/>
  <c r="EU186" i="27"/>
  <c r="EU103" i="27"/>
  <c r="EU104" i="27"/>
  <c r="EU105" i="27"/>
  <c r="EU106" i="27"/>
  <c r="EU107" i="27"/>
  <c r="EU108" i="27"/>
  <c r="EU109" i="27"/>
  <c r="EU110" i="27"/>
  <c r="EU111" i="27"/>
  <c r="EU112" i="27"/>
  <c r="EU113" i="27"/>
  <c r="EU114" i="27"/>
  <c r="EU115" i="27"/>
  <c r="EU116" i="27"/>
  <c r="EU117" i="27"/>
  <c r="EU118" i="27"/>
  <c r="EU119" i="27"/>
  <c r="EU120" i="27"/>
  <c r="EU121" i="27"/>
  <c r="EU122" i="27"/>
  <c r="EU123" i="27"/>
  <c r="EU124" i="27"/>
  <c r="EU125" i="27"/>
  <c r="EU126" i="27"/>
  <c r="EU127" i="27"/>
  <c r="EU128" i="27"/>
  <c r="EU129" i="27"/>
  <c r="EU130" i="27"/>
  <c r="EU131" i="27"/>
  <c r="EU132" i="27"/>
  <c r="EU133" i="27"/>
  <c r="EU134" i="27"/>
  <c r="EU135" i="27"/>
  <c r="EU136" i="27"/>
  <c r="EU137" i="27"/>
  <c r="EU138" i="27"/>
  <c r="EU139" i="27"/>
  <c r="EU140" i="27"/>
  <c r="EU203" i="27"/>
  <c r="EU148" i="27"/>
  <c r="EU102" i="27"/>
  <c r="EN95" i="27"/>
  <c r="EN96" i="27"/>
  <c r="EN97" i="27"/>
  <c r="EN98" i="27"/>
  <c r="EN99" i="27"/>
  <c r="EN100" i="27"/>
  <c r="EN101" i="27"/>
  <c r="EN102" i="27"/>
  <c r="EN103" i="27"/>
  <c r="EN104" i="27"/>
  <c r="EN105" i="27"/>
  <c r="EN106" i="27"/>
  <c r="EN107" i="27"/>
  <c r="EN108" i="27"/>
  <c r="EN109" i="27"/>
  <c r="EN110" i="27"/>
  <c r="EN111" i="27"/>
  <c r="EN112" i="27"/>
  <c r="EN113" i="27"/>
  <c r="EN114" i="27"/>
  <c r="EN115" i="27"/>
  <c r="EN116" i="27"/>
  <c r="EN117" i="27"/>
  <c r="EN118" i="27"/>
  <c r="EN119" i="27"/>
  <c r="EN120" i="27"/>
  <c r="EN121" i="27"/>
  <c r="EN122" i="27"/>
  <c r="EN123" i="27"/>
  <c r="EN124" i="27"/>
  <c r="EN125" i="27"/>
  <c r="EN126" i="27"/>
  <c r="EN127" i="27"/>
  <c r="EN128" i="27"/>
  <c r="EN129" i="27"/>
  <c r="EN130" i="27"/>
  <c r="EN131" i="27"/>
  <c r="EN132" i="27"/>
  <c r="EN94" i="27"/>
  <c r="EG96" i="27"/>
  <c r="EG97" i="27"/>
  <c r="EG98" i="27"/>
  <c r="EG99" i="27"/>
  <c r="EG100" i="27"/>
  <c r="EG101" i="27"/>
  <c r="EG102" i="27"/>
  <c r="EG103" i="27"/>
  <c r="EG104" i="27"/>
  <c r="EG105" i="27"/>
  <c r="EG106" i="27"/>
  <c r="EG107" i="27"/>
  <c r="EG108" i="27"/>
  <c r="EG109" i="27"/>
  <c r="EG110" i="27"/>
  <c r="EG111" i="27"/>
  <c r="EG112" i="27"/>
  <c r="EG113" i="27"/>
  <c r="EG114" i="27"/>
  <c r="EG115" i="27"/>
  <c r="EG116" i="27"/>
  <c r="EG117" i="27"/>
  <c r="EG118" i="27"/>
  <c r="EG119" i="27"/>
  <c r="EG120" i="27"/>
  <c r="EG121" i="27"/>
  <c r="EG122" i="27"/>
  <c r="EG123" i="27"/>
  <c r="EG124" i="27"/>
  <c r="EG125" i="27"/>
  <c r="EG126" i="27"/>
  <c r="EG127" i="27"/>
  <c r="EG128" i="27"/>
  <c r="EG129" i="27"/>
  <c r="EG130" i="27"/>
  <c r="EG131" i="27"/>
  <c r="EG132" i="27"/>
  <c r="EG133" i="27"/>
  <c r="EG95" i="27"/>
  <c r="DN294" i="27"/>
  <c r="DN295" i="27"/>
  <c r="DN296" i="27"/>
  <c r="DN297" i="27"/>
  <c r="DN298" i="27"/>
  <c r="DN299" i="27"/>
  <c r="DN300" i="27"/>
  <c r="DN301" i="27"/>
  <c r="DN302" i="27"/>
  <c r="DN303" i="27"/>
  <c r="DN304" i="27"/>
  <c r="DN305" i="27"/>
  <c r="DN306" i="27"/>
  <c r="DN307" i="27"/>
  <c r="DN308" i="27"/>
  <c r="DN309" i="27"/>
  <c r="DN310" i="27"/>
  <c r="DN311" i="27"/>
  <c r="DN312" i="27"/>
  <c r="DN313" i="27"/>
  <c r="DN314" i="27"/>
  <c r="DN315" i="27"/>
  <c r="DN316" i="27"/>
  <c r="DN317" i="27"/>
  <c r="DN318" i="27"/>
  <c r="DN319" i="27"/>
  <c r="DN320" i="27"/>
  <c r="DN321" i="27"/>
  <c r="DN322" i="27"/>
  <c r="DN323" i="27"/>
  <c r="DN324" i="27"/>
  <c r="DN325" i="27"/>
  <c r="DN326" i="27"/>
  <c r="DN327" i="27"/>
  <c r="DN328" i="27"/>
  <c r="DN329" i="27"/>
  <c r="DN330" i="27"/>
  <c r="DN331" i="27"/>
  <c r="DN293" i="27"/>
  <c r="DN239" i="27"/>
  <c r="DN240" i="27"/>
  <c r="DN241" i="27"/>
  <c r="DN242" i="27"/>
  <c r="DN243" i="27"/>
  <c r="DN244" i="27"/>
  <c r="DN245" i="27"/>
  <c r="DN246" i="27"/>
  <c r="DN247" i="27"/>
  <c r="DN248" i="27"/>
  <c r="DN249" i="27"/>
  <c r="DN250" i="27"/>
  <c r="DN251" i="27"/>
  <c r="DN252" i="27"/>
  <c r="DN253" i="27"/>
  <c r="DN254" i="27"/>
  <c r="DN255" i="27"/>
  <c r="DN256" i="27"/>
  <c r="DN257" i="27"/>
  <c r="DN258" i="27"/>
  <c r="DN259" i="27"/>
  <c r="DN260" i="27"/>
  <c r="DN261" i="27"/>
  <c r="DN262" i="27"/>
  <c r="DN263" i="27"/>
  <c r="DN264" i="27"/>
  <c r="DN265" i="27"/>
  <c r="DN266" i="27"/>
  <c r="DN267" i="27"/>
  <c r="DN268" i="27"/>
  <c r="DN269" i="27"/>
  <c r="DN270" i="27"/>
  <c r="DN271" i="27"/>
  <c r="DN272" i="27"/>
  <c r="DN273" i="27"/>
  <c r="DN274" i="27"/>
  <c r="DN275" i="27"/>
  <c r="DN276" i="27"/>
  <c r="DN238" i="27"/>
  <c r="DN193" i="27"/>
  <c r="DN194" i="27"/>
  <c r="DN195" i="27"/>
  <c r="DN196" i="27"/>
  <c r="DN197" i="27"/>
  <c r="DN198" i="27"/>
  <c r="DN199" i="27"/>
  <c r="DN200" i="27"/>
  <c r="DN201" i="27"/>
  <c r="DN202" i="27"/>
  <c r="DN203" i="27"/>
  <c r="DN204" i="27"/>
  <c r="DN205" i="27"/>
  <c r="DN206" i="27"/>
  <c r="DN207" i="27"/>
  <c r="DN208" i="27"/>
  <c r="DN209" i="27"/>
  <c r="DN210" i="27"/>
  <c r="DN211" i="27"/>
  <c r="DN212" i="27"/>
  <c r="DN213" i="27"/>
  <c r="DN214" i="27"/>
  <c r="DN215" i="27"/>
  <c r="DN216" i="27"/>
  <c r="DN217" i="27"/>
  <c r="DN218" i="27"/>
  <c r="DN219" i="27"/>
  <c r="DN220" i="27"/>
  <c r="DN221" i="27"/>
  <c r="DN222" i="27"/>
  <c r="DN223" i="27"/>
  <c r="DN224" i="27"/>
  <c r="DN225" i="27"/>
  <c r="DN226" i="27"/>
  <c r="DN227" i="27"/>
  <c r="DN228" i="27"/>
  <c r="DN229" i="27"/>
  <c r="DN230" i="27"/>
  <c r="DN192" i="27"/>
  <c r="DG91" i="27"/>
  <c r="DG92" i="27"/>
  <c r="DG93" i="27"/>
  <c r="DG94" i="27"/>
  <c r="DG95" i="27"/>
  <c r="DG96" i="27"/>
  <c r="DG97" i="27"/>
  <c r="DG98" i="27"/>
  <c r="DG99" i="27"/>
  <c r="DG100" i="27"/>
  <c r="DG101" i="27"/>
  <c r="DG102" i="27"/>
  <c r="DG103" i="27"/>
  <c r="DG104" i="27"/>
  <c r="DG105" i="27"/>
  <c r="DG106" i="27"/>
  <c r="DG107" i="27"/>
  <c r="DG108" i="27"/>
  <c r="DG109" i="27"/>
  <c r="DG110" i="27"/>
  <c r="DG111" i="27"/>
  <c r="DG112" i="27"/>
  <c r="DG113" i="27"/>
  <c r="DG114" i="27"/>
  <c r="DG115" i="27"/>
  <c r="DG116" i="27"/>
  <c r="DG117" i="27"/>
  <c r="DG118" i="27"/>
  <c r="DG119" i="27"/>
  <c r="DG120" i="27"/>
  <c r="DG121" i="27"/>
  <c r="DG122" i="27"/>
  <c r="DG123" i="27"/>
  <c r="DG124" i="27"/>
  <c r="DG125" i="27"/>
  <c r="DG126" i="27"/>
  <c r="DG127" i="27"/>
  <c r="DG128" i="27"/>
  <c r="DG90" i="27"/>
  <c r="CZ154" i="27"/>
  <c r="CZ100" i="27"/>
  <c r="CZ101" i="27"/>
  <c r="CZ102" i="27"/>
  <c r="CZ103" i="27"/>
  <c r="CZ104" i="27"/>
  <c r="CZ105" i="27"/>
  <c r="CZ106" i="27"/>
  <c r="CZ107" i="27"/>
  <c r="CZ108" i="27"/>
  <c r="CZ109" i="27"/>
  <c r="CZ110" i="27"/>
  <c r="CZ111" i="27"/>
  <c r="CZ112" i="27"/>
  <c r="CZ113" i="27"/>
  <c r="CZ114" i="27"/>
  <c r="CZ115" i="27"/>
  <c r="CZ116" i="27"/>
  <c r="CZ117" i="27"/>
  <c r="CZ118" i="27"/>
  <c r="CZ119" i="27"/>
  <c r="CZ120" i="27"/>
  <c r="CZ121" i="27"/>
  <c r="CZ122" i="27"/>
  <c r="CZ123" i="27"/>
  <c r="CZ124" i="27"/>
  <c r="CZ125" i="27"/>
  <c r="CZ126" i="27"/>
  <c r="CZ127" i="27"/>
  <c r="CZ128" i="27"/>
  <c r="CZ129" i="27"/>
  <c r="CZ130" i="27"/>
  <c r="CZ131" i="27"/>
  <c r="CZ132" i="27"/>
  <c r="CZ133" i="27"/>
  <c r="CZ134" i="27"/>
  <c r="CZ135" i="27"/>
  <c r="CZ136" i="27"/>
  <c r="CZ137" i="27"/>
  <c r="CZ99" i="27"/>
  <c r="CS100" i="27"/>
  <c r="CS101" i="27"/>
  <c r="CS102" i="27"/>
  <c r="CS103" i="27"/>
  <c r="CS104" i="27"/>
  <c r="CS105" i="27"/>
  <c r="CS106" i="27"/>
  <c r="CS107" i="27"/>
  <c r="CS108" i="27"/>
  <c r="CS109" i="27"/>
  <c r="CS110" i="27"/>
  <c r="CS111" i="27"/>
  <c r="CS112" i="27"/>
  <c r="CS113" i="27"/>
  <c r="CS114" i="27"/>
  <c r="CS115" i="27"/>
  <c r="CS116" i="27"/>
  <c r="CS117" i="27"/>
  <c r="CS118" i="27"/>
  <c r="CS119" i="27"/>
  <c r="CS120" i="27"/>
  <c r="CS121" i="27"/>
  <c r="CS122" i="27"/>
  <c r="CS123" i="27"/>
  <c r="CS124" i="27"/>
  <c r="CS125" i="27"/>
  <c r="CS126" i="27"/>
  <c r="CS127" i="27"/>
  <c r="CS128" i="27"/>
  <c r="CS129" i="27"/>
  <c r="CS130" i="27"/>
  <c r="CS131" i="27"/>
  <c r="CS132" i="27"/>
  <c r="CS133" i="27"/>
  <c r="CS134" i="27"/>
  <c r="CS135" i="27"/>
  <c r="CS136" i="27"/>
  <c r="CS137" i="27"/>
  <c r="CS155" i="27"/>
  <c r="CS99" i="27"/>
  <c r="CJ140" i="27"/>
  <c r="CJ141" i="27"/>
  <c r="CJ142" i="27"/>
  <c r="CJ143" i="27"/>
  <c r="CJ144" i="27"/>
  <c r="CJ145" i="27"/>
  <c r="CJ146" i="27"/>
  <c r="CJ147" i="27"/>
  <c r="CJ148" i="27"/>
  <c r="CJ149" i="27"/>
  <c r="CJ150" i="27"/>
  <c r="CJ151" i="27"/>
  <c r="CJ152" i="27"/>
  <c r="CJ153" i="27"/>
  <c r="CJ154" i="27"/>
  <c r="CJ155" i="27"/>
  <c r="CJ156" i="27"/>
  <c r="CJ157" i="27"/>
  <c r="CJ158" i="27"/>
  <c r="CJ159" i="27"/>
  <c r="CJ160" i="27"/>
  <c r="CJ161" i="27"/>
  <c r="CJ162" i="27"/>
  <c r="CJ163" i="27"/>
  <c r="CJ164" i="27"/>
  <c r="CJ165" i="27"/>
  <c r="CJ166" i="27"/>
  <c r="CJ167" i="27"/>
  <c r="CJ168" i="27"/>
  <c r="CJ169" i="27"/>
  <c r="CJ170" i="27"/>
  <c r="CJ171" i="27"/>
  <c r="CJ172" i="27"/>
  <c r="CJ173" i="27"/>
  <c r="CJ174" i="27"/>
  <c r="CJ139" i="27"/>
  <c r="CJ89" i="27"/>
  <c r="CJ90" i="27"/>
  <c r="CJ91" i="27"/>
  <c r="CJ92" i="27"/>
  <c r="CJ93" i="27"/>
  <c r="CJ94" i="27"/>
  <c r="CJ95" i="27"/>
  <c r="CJ96" i="27"/>
  <c r="CJ97" i="27"/>
  <c r="CJ98" i="27"/>
  <c r="CJ99" i="27"/>
  <c r="CJ100" i="27"/>
  <c r="CJ101" i="27"/>
  <c r="CJ102" i="27"/>
  <c r="CJ103" i="27"/>
  <c r="CJ104" i="27"/>
  <c r="CJ105" i="27"/>
  <c r="CJ106" i="27"/>
  <c r="CJ107" i="27"/>
  <c r="CJ108" i="27"/>
  <c r="CJ109" i="27"/>
  <c r="CJ110" i="27"/>
  <c r="CJ111" i="27"/>
  <c r="CJ112" i="27"/>
  <c r="CJ113" i="27"/>
  <c r="CJ114" i="27"/>
  <c r="CJ115" i="27"/>
  <c r="CJ116" i="27"/>
  <c r="CJ117" i="27"/>
  <c r="CJ118" i="27"/>
  <c r="CJ119" i="27"/>
  <c r="CJ120" i="27"/>
  <c r="CJ121" i="27"/>
  <c r="CJ122" i="27"/>
  <c r="CJ88" i="27"/>
  <c r="FD198" i="27"/>
  <c r="DQ325" i="27" a="1"/>
  <c r="DQ325" i="27" s="1"/>
  <c r="DP325" i="27" a="1"/>
  <c r="DP325" i="27" s="1"/>
  <c r="DQ322" i="27" a="1"/>
  <c r="DQ322" i="27" s="1"/>
  <c r="DP322" i="27" a="1"/>
  <c r="DP322" i="27" s="1"/>
  <c r="DQ320" i="27" a="1"/>
  <c r="DQ320" i="27" s="1"/>
  <c r="DP320" i="27" a="1"/>
  <c r="DP320" i="27" s="1"/>
  <c r="DQ319" i="27" a="1"/>
  <c r="DQ319" i="27" s="1"/>
  <c r="DP319" i="27" a="1"/>
  <c r="DP319" i="27" s="1"/>
  <c r="DQ317" i="27" a="1"/>
  <c r="DQ317" i="27" s="1"/>
  <c r="DP317" i="27" a="1"/>
  <c r="DP317" i="27" s="1"/>
  <c r="DQ316" i="27" a="1"/>
  <c r="DQ316" i="27" s="1"/>
  <c r="DP316" i="27" a="1"/>
  <c r="DP316" i="27" s="1"/>
  <c r="DQ315" i="27" a="1"/>
  <c r="DQ315" i="27" s="1"/>
  <c r="DP315" i="27" a="1"/>
  <c r="DP315" i="27" s="1"/>
  <c r="DP314" i="27" a="1"/>
  <c r="DP314" i="27" s="1"/>
  <c r="DQ313" i="27" a="1"/>
  <c r="DQ313" i="27" s="1"/>
  <c r="DP313" i="27" a="1"/>
  <c r="DP313" i="27" s="1"/>
  <c r="DQ312" i="27" a="1"/>
  <c r="DQ312" i="27" s="1"/>
  <c r="DP312" i="27" a="1"/>
  <c r="DP312" i="27" s="1"/>
  <c r="DQ311" i="27" a="1"/>
  <c r="DQ311" i="27" s="1"/>
  <c r="DP311" i="27" a="1"/>
  <c r="DP311" i="27" s="1"/>
  <c r="DQ310" i="27" a="1"/>
  <c r="DQ310" i="27" s="1"/>
  <c r="DP310" i="27" a="1"/>
  <c r="DP310" i="27" s="1"/>
  <c r="DQ309" i="27" a="1"/>
  <c r="DQ309" i="27" s="1"/>
  <c r="DP309" i="27" a="1"/>
  <c r="DP309" i="27" s="1"/>
  <c r="DQ308" i="27" a="1"/>
  <c r="DQ308" i="27" s="1"/>
  <c r="DP308" i="27" a="1"/>
  <c r="DP308" i="27" s="1"/>
  <c r="DQ307" i="27" a="1"/>
  <c r="DQ307" i="27" s="1"/>
  <c r="DP307" i="27" a="1"/>
  <c r="DP307" i="27" s="1"/>
  <c r="DQ306" i="27" a="1"/>
  <c r="DQ306" i="27" s="1"/>
  <c r="DP306" i="27" a="1"/>
  <c r="DP306" i="27" s="1"/>
  <c r="DQ305" i="27" a="1"/>
  <c r="DQ305" i="27" s="1"/>
  <c r="DP305" i="27" a="1"/>
  <c r="DP305" i="27" s="1"/>
  <c r="DQ304" i="27" a="1"/>
  <c r="DQ304" i="27" s="1"/>
  <c r="DP304" i="27" a="1"/>
  <c r="DP304" i="27" s="1"/>
  <c r="DQ303" i="27" a="1"/>
  <c r="DQ303" i="27" s="1"/>
  <c r="DP303" i="27" a="1"/>
  <c r="DP303" i="27" s="1"/>
  <c r="DQ302" i="27" a="1"/>
  <c r="DQ302" i="27" s="1"/>
  <c r="DP302" i="27" a="1"/>
  <c r="DP302" i="27" s="1"/>
  <c r="DQ301" i="27" a="1"/>
  <c r="DQ301" i="27" s="1"/>
  <c r="DP301" i="27" a="1"/>
  <c r="DP301" i="27" s="1"/>
  <c r="DQ300" i="27" a="1"/>
  <c r="DQ300" i="27" s="1"/>
  <c r="DP300" i="27" a="1"/>
  <c r="DP300" i="27" s="1"/>
  <c r="DQ299" i="27" a="1"/>
  <c r="DQ299" i="27" s="1"/>
  <c r="DP299" i="27" a="1"/>
  <c r="DP299" i="27" s="1"/>
  <c r="DQ298" i="27" a="1"/>
  <c r="DQ298" i="27" s="1"/>
  <c r="DP298" i="27" a="1"/>
  <c r="DP298" i="27" s="1"/>
  <c r="DQ297" i="27" a="1"/>
  <c r="DQ297" i="27" s="1"/>
  <c r="DP297" i="27" a="1"/>
  <c r="DP297" i="27" s="1"/>
  <c r="DQ295" i="27" a="1"/>
  <c r="DQ295" i="27" s="1"/>
  <c r="DP295" i="27" a="1"/>
  <c r="DP295" i="27" s="1"/>
  <c r="DQ294" i="27" a="1"/>
  <c r="DQ294" i="27" s="1"/>
  <c r="DP294" i="27" a="1"/>
  <c r="DP294" i="27" s="1"/>
  <c r="DQ293" i="27" a="1"/>
  <c r="DQ293" i="27" s="1"/>
  <c r="DP293" i="27" a="1"/>
  <c r="DP293" i="27" s="1"/>
  <c r="EQ181" i="27" a="1"/>
  <c r="EQ181" i="27" s="1"/>
  <c r="EP181" i="27" a="1"/>
  <c r="EP181" i="27" s="1"/>
  <c r="EQ178" i="27" a="1"/>
  <c r="EQ178" i="27" s="1"/>
  <c r="EP178" i="27" a="1"/>
  <c r="EP178" i="27" s="1"/>
  <c r="EQ176" i="27" a="1"/>
  <c r="EQ176" i="27" s="1"/>
  <c r="EP176" i="27" a="1"/>
  <c r="EP176" i="27" s="1"/>
  <c r="EQ175" i="27" a="1"/>
  <c r="EQ175" i="27" s="1"/>
  <c r="EP175" i="27" a="1"/>
  <c r="EP175" i="27" s="1"/>
  <c r="EQ173" i="27" a="1"/>
  <c r="EQ173" i="27" s="1"/>
  <c r="EP173" i="27" a="1"/>
  <c r="EP173" i="27" s="1"/>
  <c r="EQ172" i="27" a="1"/>
  <c r="EQ172" i="27" s="1"/>
  <c r="EP172" i="27" a="1"/>
  <c r="EP172" i="27" s="1"/>
  <c r="EQ171" i="27" a="1"/>
  <c r="EQ171" i="27" s="1"/>
  <c r="EP171" i="27" a="1"/>
  <c r="EP171" i="27" s="1"/>
  <c r="EP170" i="27" a="1"/>
  <c r="EP170" i="27" s="1"/>
  <c r="EQ169" i="27" a="1"/>
  <c r="EQ169" i="27" s="1"/>
  <c r="EP169" i="27" a="1"/>
  <c r="EP169" i="27" s="1"/>
  <c r="EQ168" i="27" a="1"/>
  <c r="EQ168" i="27" s="1"/>
  <c r="EP168" i="27" a="1"/>
  <c r="EP168" i="27" s="1"/>
  <c r="EQ167" i="27" a="1"/>
  <c r="EQ167" i="27" s="1"/>
  <c r="EP167" i="27" a="1"/>
  <c r="EP167" i="27" s="1"/>
  <c r="EQ166" i="27" a="1"/>
  <c r="EQ166" i="27" s="1"/>
  <c r="EP166" i="27" a="1"/>
  <c r="EP166" i="27" s="1"/>
  <c r="EQ165" i="27" a="1"/>
  <c r="EQ165" i="27" s="1"/>
  <c r="EP165" i="27" a="1"/>
  <c r="EP165" i="27" s="1"/>
  <c r="EQ164" i="27" a="1"/>
  <c r="EQ164" i="27" s="1"/>
  <c r="EP164" i="27" a="1"/>
  <c r="EP164" i="27" s="1"/>
  <c r="EQ163" i="27" a="1"/>
  <c r="EQ163" i="27" s="1"/>
  <c r="EP163" i="27" a="1"/>
  <c r="EP163" i="27" s="1"/>
  <c r="EQ162" i="27" a="1"/>
  <c r="EQ162" i="27" s="1"/>
  <c r="EP162" i="27" a="1"/>
  <c r="EP162" i="27" s="1"/>
  <c r="EQ161" i="27" a="1"/>
  <c r="EQ161" i="27" s="1"/>
  <c r="EP161" i="27" a="1"/>
  <c r="EP161" i="27" s="1"/>
  <c r="EQ160" i="27" a="1"/>
  <c r="EQ160" i="27" s="1"/>
  <c r="EP160" i="27" a="1"/>
  <c r="EP160" i="27" s="1"/>
  <c r="EQ159" i="27" a="1"/>
  <c r="EQ159" i="27" s="1"/>
  <c r="EP159" i="27" a="1"/>
  <c r="EP159" i="27" s="1"/>
  <c r="EQ158" i="27" a="1"/>
  <c r="EQ158" i="27" s="1"/>
  <c r="EP158" i="27" a="1"/>
  <c r="EP158" i="27" s="1"/>
  <c r="EQ157" i="27" a="1"/>
  <c r="EQ157" i="27" s="1"/>
  <c r="EP157" i="27" a="1"/>
  <c r="EP157" i="27" s="1"/>
  <c r="EQ156" i="27" a="1"/>
  <c r="EQ156" i="27" s="1"/>
  <c r="EP156" i="27" a="1"/>
  <c r="EP156" i="27" s="1"/>
  <c r="EQ155" i="27" a="1"/>
  <c r="EQ155" i="27" s="1"/>
  <c r="EP155" i="27" a="1"/>
  <c r="EP155" i="27" s="1"/>
  <c r="EQ154" i="27" a="1"/>
  <c r="EQ154" i="27" s="1"/>
  <c r="EP154" i="27" a="1"/>
  <c r="EP154" i="27" s="1"/>
  <c r="EQ153" i="27" a="1"/>
  <c r="EQ153" i="27" s="1"/>
  <c r="EP153" i="27" a="1"/>
  <c r="EP153" i="27" s="1"/>
  <c r="EQ152" i="27" a="1"/>
  <c r="EQ152" i="27" s="1"/>
  <c r="EP152" i="27" a="1"/>
  <c r="EP152" i="27" s="1"/>
  <c r="EQ151" i="27" a="1"/>
  <c r="EQ151" i="27" s="1"/>
  <c r="EP151" i="27" a="1"/>
  <c r="EP151" i="27" s="1"/>
  <c r="EQ150" i="27" a="1"/>
  <c r="EQ150" i="27" s="1"/>
  <c r="EP150" i="27" a="1"/>
  <c r="EP150" i="27" s="1"/>
  <c r="EQ149" i="27" a="1"/>
  <c r="EQ149" i="27" s="1"/>
  <c r="EP149" i="27" a="1"/>
  <c r="EP149" i="27" s="1"/>
  <c r="EN187" i="27"/>
  <c r="EN186" i="27"/>
  <c r="EN185" i="27"/>
  <c r="EN184" i="27"/>
  <c r="EN183" i="27"/>
  <c r="EN182" i="27"/>
  <c r="EN181" i="27"/>
  <c r="EN180" i="27"/>
  <c r="EN179" i="27"/>
  <c r="EN178" i="27"/>
  <c r="EN177" i="27"/>
  <c r="EN176" i="27"/>
  <c r="EN175" i="27"/>
  <c r="EN174" i="27"/>
  <c r="EN173" i="27"/>
  <c r="EN172" i="27"/>
  <c r="EN171" i="27"/>
  <c r="EN170" i="27"/>
  <c r="EN169" i="27"/>
  <c r="EN168" i="27"/>
  <c r="EN167" i="27"/>
  <c r="EN166" i="27"/>
  <c r="EN165" i="27"/>
  <c r="EN164" i="27"/>
  <c r="EN163" i="27"/>
  <c r="EN162" i="27"/>
  <c r="EN161" i="27"/>
  <c r="EN160" i="27"/>
  <c r="EN159" i="27"/>
  <c r="EN158" i="27"/>
  <c r="EN157" i="27"/>
  <c r="EN156" i="27"/>
  <c r="EN155" i="27"/>
  <c r="EN154" i="27"/>
  <c r="EN153" i="27"/>
  <c r="EN152" i="27"/>
  <c r="EN151" i="27"/>
  <c r="EN150" i="27"/>
  <c r="EN149" i="27"/>
  <c r="EJ182" i="27" a="1"/>
  <c r="EJ182" i="27" s="1"/>
  <c r="EI182" i="27" a="1"/>
  <c r="EI182" i="27" s="1"/>
  <c r="EJ179" i="27" a="1"/>
  <c r="EJ179" i="27" s="1"/>
  <c r="EI179" i="27" a="1"/>
  <c r="EI179" i="27" s="1"/>
  <c r="EJ177" i="27" a="1"/>
  <c r="EJ177" i="27" s="1"/>
  <c r="EI177" i="27" a="1"/>
  <c r="EI177" i="27" s="1"/>
  <c r="EJ176" i="27" a="1"/>
  <c r="EJ176" i="27" s="1"/>
  <c r="EI176" i="27" a="1"/>
  <c r="EI176" i="27" s="1"/>
  <c r="EJ174" i="27" a="1"/>
  <c r="EJ174" i="27" s="1"/>
  <c r="EI174" i="27" a="1"/>
  <c r="EI174" i="27" s="1"/>
  <c r="EJ173" i="27" a="1"/>
  <c r="EJ173" i="27" s="1"/>
  <c r="EI173" i="27" a="1"/>
  <c r="EI173" i="27" s="1"/>
  <c r="EJ172" i="27" a="1"/>
  <c r="EJ172" i="27" s="1"/>
  <c r="EI172" i="27" a="1"/>
  <c r="EI172" i="27" s="1"/>
  <c r="EI171" i="27" a="1"/>
  <c r="EI171" i="27" s="1"/>
  <c r="EJ170" i="27" a="1"/>
  <c r="EJ170" i="27" s="1"/>
  <c r="EI170" i="27" a="1"/>
  <c r="EI170" i="27" s="1"/>
  <c r="EJ169" i="27" a="1"/>
  <c r="EJ169" i="27" s="1"/>
  <c r="EI169" i="27" a="1"/>
  <c r="EI169" i="27" s="1"/>
  <c r="EJ168" i="27" a="1"/>
  <c r="EJ168" i="27" s="1"/>
  <c r="EI168" i="27" a="1"/>
  <c r="EI168" i="27" s="1"/>
  <c r="EJ167" i="27" a="1"/>
  <c r="EJ167" i="27" s="1"/>
  <c r="EI167" i="27" a="1"/>
  <c r="EI167" i="27" s="1"/>
  <c r="EJ166" i="27" a="1"/>
  <c r="EJ166" i="27" s="1"/>
  <c r="EI166" i="27" a="1"/>
  <c r="EI166" i="27" s="1"/>
  <c r="EJ165" i="27" a="1"/>
  <c r="EJ165" i="27" s="1"/>
  <c r="EI165" i="27" a="1"/>
  <c r="EI165" i="27" s="1"/>
  <c r="EJ164" i="27" a="1"/>
  <c r="EJ164" i="27" s="1"/>
  <c r="EI164" i="27" a="1"/>
  <c r="EI164" i="27" s="1"/>
  <c r="EJ163" i="27" a="1"/>
  <c r="EJ163" i="27" s="1"/>
  <c r="EI163" i="27" a="1"/>
  <c r="EI163" i="27" s="1"/>
  <c r="EJ162" i="27" a="1"/>
  <c r="EJ162" i="27" s="1"/>
  <c r="EI162" i="27" a="1"/>
  <c r="EI162" i="27" s="1"/>
  <c r="EJ161" i="27" a="1"/>
  <c r="EJ161" i="27" s="1"/>
  <c r="EI161" i="27" a="1"/>
  <c r="EI161" i="27" s="1"/>
  <c r="EJ160" i="27" a="1"/>
  <c r="EJ160" i="27" s="1"/>
  <c r="EI160" i="27" a="1"/>
  <c r="EI160" i="27" s="1"/>
  <c r="EJ159" i="27" a="1"/>
  <c r="EJ159" i="27" s="1"/>
  <c r="EI159" i="27" a="1"/>
  <c r="EI159" i="27" s="1"/>
  <c r="EJ158" i="27" a="1"/>
  <c r="EJ158" i="27" s="1"/>
  <c r="EI158" i="27" a="1"/>
  <c r="EI158" i="27" s="1"/>
  <c r="EJ157" i="27" a="1"/>
  <c r="EJ157" i="27" s="1"/>
  <c r="EI157" i="27" a="1"/>
  <c r="EI157" i="27" s="1"/>
  <c r="EJ156" i="27" a="1"/>
  <c r="EJ156" i="27" s="1"/>
  <c r="EI156" i="27" a="1"/>
  <c r="EI156" i="27" s="1"/>
  <c r="EJ155" i="27" a="1"/>
  <c r="EJ155" i="27" s="1"/>
  <c r="EI155" i="27" a="1"/>
  <c r="EI155" i="27" s="1"/>
  <c r="EJ154" i="27" a="1"/>
  <c r="EJ154" i="27" s="1"/>
  <c r="EI154" i="27" a="1"/>
  <c r="EI154" i="27" s="1"/>
  <c r="EJ153" i="27" a="1"/>
  <c r="EJ153" i="27" s="1"/>
  <c r="EI153" i="27" a="1"/>
  <c r="EI153" i="27" s="1"/>
  <c r="EJ152" i="27" a="1"/>
  <c r="EJ152" i="27" s="1"/>
  <c r="EI152" i="27" a="1"/>
  <c r="EI152" i="27" s="1"/>
  <c r="EJ151" i="27" a="1"/>
  <c r="EJ151" i="27" s="1"/>
  <c r="EI151" i="27" a="1"/>
  <c r="EI151" i="27" s="1"/>
  <c r="EJ150" i="27" a="1"/>
  <c r="EJ150" i="27" s="1"/>
  <c r="EI150" i="27" a="1"/>
  <c r="EI150" i="27" s="1"/>
  <c r="EG188" i="27"/>
  <c r="EG187" i="27"/>
  <c r="EG186" i="27"/>
  <c r="EG185" i="27"/>
  <c r="EG184" i="27"/>
  <c r="EG183" i="27"/>
  <c r="EG182" i="27"/>
  <c r="EG181" i="27"/>
  <c r="EG180" i="27"/>
  <c r="EG179" i="27"/>
  <c r="EG178" i="27"/>
  <c r="EG177" i="27"/>
  <c r="EG176" i="27"/>
  <c r="EG175" i="27"/>
  <c r="EG174" i="27"/>
  <c r="EG173" i="27"/>
  <c r="EG172" i="27"/>
  <c r="EG171" i="27"/>
  <c r="EG170" i="27"/>
  <c r="EG169" i="27"/>
  <c r="EG168" i="27"/>
  <c r="EG167" i="27"/>
  <c r="EG166" i="27"/>
  <c r="EG165" i="27"/>
  <c r="EG164" i="27"/>
  <c r="EG163" i="27"/>
  <c r="EG162" i="27"/>
  <c r="EG161" i="27"/>
  <c r="EG160" i="27"/>
  <c r="EG159" i="27"/>
  <c r="EG158" i="27"/>
  <c r="EG157" i="27"/>
  <c r="EG156" i="27"/>
  <c r="EG155" i="27"/>
  <c r="EG154" i="27"/>
  <c r="EG153" i="27"/>
  <c r="EG152" i="27"/>
  <c r="EG151" i="27"/>
  <c r="EG150" i="27"/>
  <c r="DY110" i="27" a="1"/>
  <c r="DY110" i="27" s="1"/>
  <c r="DX110" i="27" a="1"/>
  <c r="DX110" i="27" s="1"/>
  <c r="DY109" i="27" a="1"/>
  <c r="DY109" i="27" s="1"/>
  <c r="DX109" i="27" a="1"/>
  <c r="DX109" i="27" s="1"/>
  <c r="DY108" i="27" a="1"/>
  <c r="DY108" i="27" s="1"/>
  <c r="DX108" i="27" a="1"/>
  <c r="DX108" i="27" s="1"/>
  <c r="DY107" i="27" a="1"/>
  <c r="DY107" i="27" s="1"/>
  <c r="DX107" i="27" a="1"/>
  <c r="DX107" i="27" s="1"/>
  <c r="DY106" i="27" a="1"/>
  <c r="DY106" i="27" s="1"/>
  <c r="DX106" i="27" a="1"/>
  <c r="DX106" i="27" s="1"/>
  <c r="DY105" i="27" a="1"/>
  <c r="DY105" i="27" s="1"/>
  <c r="DX105" i="27" a="1"/>
  <c r="DX105" i="27" s="1"/>
  <c r="DY104" i="27" a="1"/>
  <c r="DY104" i="27" s="1"/>
  <c r="DX104" i="27" a="1"/>
  <c r="DX104" i="27" s="1"/>
  <c r="DY102" i="27" a="1"/>
  <c r="DY102" i="27" s="1"/>
  <c r="DX102" i="27" a="1"/>
  <c r="DX102" i="27" s="1"/>
  <c r="DY101" i="27" a="1"/>
  <c r="DY101" i="27" s="1"/>
  <c r="DX101" i="27" a="1"/>
  <c r="DX101" i="27" s="1"/>
  <c r="DY100" i="27" a="1"/>
  <c r="DY100" i="27" s="1"/>
  <c r="DX100" i="27" a="1"/>
  <c r="DX100" i="27" s="1"/>
  <c r="DY99" i="27" a="1"/>
  <c r="DY99" i="27" s="1"/>
  <c r="DX99" i="27" a="1"/>
  <c r="DX99" i="27" s="1"/>
  <c r="DY98" i="27" a="1"/>
  <c r="DY98" i="27" s="1"/>
  <c r="DX98" i="27" a="1"/>
  <c r="DX98" i="27" s="1"/>
  <c r="DY97" i="27" a="1"/>
  <c r="DY97" i="27" s="1"/>
  <c r="DX97" i="27" a="1"/>
  <c r="DX97" i="27" s="1"/>
  <c r="DY96" i="27" a="1"/>
  <c r="DY96" i="27" s="1"/>
  <c r="DX96" i="27" a="1"/>
  <c r="DX96" i="27" s="1"/>
  <c r="DY95" i="27" a="1"/>
  <c r="DY95" i="27" s="1"/>
  <c r="DX95" i="27" a="1"/>
  <c r="DX95" i="27" s="1"/>
  <c r="DY94" i="27" a="1"/>
  <c r="DY94" i="27" s="1"/>
  <c r="DX94" i="27" a="1"/>
  <c r="DX94" i="27" s="1"/>
  <c r="DY93" i="27" a="1"/>
  <c r="DY93" i="27" s="1"/>
  <c r="DX93" i="27" a="1"/>
  <c r="DX93" i="27" s="1"/>
  <c r="DY92" i="27" a="1"/>
  <c r="DY92" i="27" s="1"/>
  <c r="DX92" i="27" a="1"/>
  <c r="DX92" i="27" s="1"/>
  <c r="DY91" i="27" a="1"/>
  <c r="DY91" i="27" s="1"/>
  <c r="DX91" i="27" a="1"/>
  <c r="DX91" i="27" s="1"/>
  <c r="DY90" i="27" a="1"/>
  <c r="DY90" i="27" s="1"/>
  <c r="DX90" i="27" a="1"/>
  <c r="DX90" i="27" s="1"/>
  <c r="DY89" i="27" a="1"/>
  <c r="DY89" i="27" s="1"/>
  <c r="DX89" i="27" a="1"/>
  <c r="DX89" i="27" s="1"/>
  <c r="DY88" i="27" a="1"/>
  <c r="DY88" i="27" s="1"/>
  <c r="DX88" i="27" a="1"/>
  <c r="DX88" i="27" s="1"/>
  <c r="DY87" i="27" a="1"/>
  <c r="DY87" i="27" s="1"/>
  <c r="DX87" i="27" a="1"/>
  <c r="DX87" i="27" s="1"/>
  <c r="DY86" i="27" a="1"/>
  <c r="DY86" i="27" s="1"/>
  <c r="DX86" i="27" a="1"/>
  <c r="DX86" i="27" s="1"/>
  <c r="DY85" i="27" a="1"/>
  <c r="DY85" i="27" s="1"/>
  <c r="DX85" i="27" a="1"/>
  <c r="DX85" i="27" s="1"/>
  <c r="DY84" i="27" a="1"/>
  <c r="DY84" i="27" s="1"/>
  <c r="DX84" i="27" a="1"/>
  <c r="DX84" i="27" s="1"/>
  <c r="DY83" i="27" a="1"/>
  <c r="DY83" i="27" s="1"/>
  <c r="DX83" i="27" a="1"/>
  <c r="DX83" i="27" s="1"/>
  <c r="DY82" i="27" a="1"/>
  <c r="DY82" i="27" s="1"/>
  <c r="DX82" i="27" a="1"/>
  <c r="DX82" i="27" s="1"/>
  <c r="DY81" i="27" a="1"/>
  <c r="DY81" i="27" s="1"/>
  <c r="DX81" i="27" a="1"/>
  <c r="DX81" i="27" s="1"/>
  <c r="DY80" i="27" a="1"/>
  <c r="DY80" i="27" s="1"/>
  <c r="DX80" i="27" a="1"/>
  <c r="DX80" i="27" s="1"/>
  <c r="DY79" i="27" a="1"/>
  <c r="DY79" i="27" s="1"/>
  <c r="DX79" i="27" a="1"/>
  <c r="DX79" i="27" s="1"/>
  <c r="DY78" i="27" a="1"/>
  <c r="DY78" i="27" s="1"/>
  <c r="DX78" i="27" a="1"/>
  <c r="DX78" i="27" s="1"/>
  <c r="DV79" i="27"/>
  <c r="DV80" i="27"/>
  <c r="DV81" i="27"/>
  <c r="DV82" i="27"/>
  <c r="DV83" i="27"/>
  <c r="DV84" i="27"/>
  <c r="DV85" i="27"/>
  <c r="DV86" i="27"/>
  <c r="DV87" i="27"/>
  <c r="DV88" i="27"/>
  <c r="DV89" i="27"/>
  <c r="DV90" i="27"/>
  <c r="DV91" i="27"/>
  <c r="DV92" i="27"/>
  <c r="DV93" i="27"/>
  <c r="DV94" i="27"/>
  <c r="DV95" i="27"/>
  <c r="DV96" i="27"/>
  <c r="DV97" i="27"/>
  <c r="DV98" i="27"/>
  <c r="DV99" i="27"/>
  <c r="DV100" i="27"/>
  <c r="DV101" i="27"/>
  <c r="DV102" i="27"/>
  <c r="DV103" i="27"/>
  <c r="DV104" i="27"/>
  <c r="DV105" i="27"/>
  <c r="DV106" i="27"/>
  <c r="DV107" i="27"/>
  <c r="DV108" i="27"/>
  <c r="DV109" i="27"/>
  <c r="DV110" i="27"/>
  <c r="DV111" i="27"/>
  <c r="DV112" i="27"/>
  <c r="DV113" i="27"/>
  <c r="DV114" i="27"/>
  <c r="DV115" i="27"/>
  <c r="DV116" i="27"/>
  <c r="DV78" i="27"/>
  <c r="DJ176" i="27" a="1"/>
  <c r="DJ176" i="27" s="1"/>
  <c r="DI176" i="27" a="1"/>
  <c r="DI176" i="27" s="1"/>
  <c r="DJ173" i="27" a="1"/>
  <c r="DJ173" i="27" s="1"/>
  <c r="DI173" i="27" a="1"/>
  <c r="DI173" i="27" s="1"/>
  <c r="DJ171" i="27" a="1"/>
  <c r="DJ171" i="27" s="1"/>
  <c r="DI171" i="27" a="1"/>
  <c r="DI171" i="27" s="1"/>
  <c r="DJ170" i="27" a="1"/>
  <c r="DJ170" i="27" s="1"/>
  <c r="DI170" i="27" a="1"/>
  <c r="DI170" i="27" s="1"/>
  <c r="DJ168" i="27" a="1"/>
  <c r="DJ168" i="27" s="1"/>
  <c r="DI168" i="27" a="1"/>
  <c r="DI168" i="27" s="1"/>
  <c r="DJ167" i="27" a="1"/>
  <c r="DJ167" i="27" s="1"/>
  <c r="DI167" i="27" a="1"/>
  <c r="DI167" i="27" s="1"/>
  <c r="DJ166" i="27" a="1"/>
  <c r="DJ166" i="27" s="1"/>
  <c r="DI166" i="27" a="1"/>
  <c r="DI166" i="27" s="1"/>
  <c r="DI165" i="27" a="1"/>
  <c r="DI165" i="27" s="1"/>
  <c r="DJ164" i="27" a="1"/>
  <c r="DJ164" i="27" s="1"/>
  <c r="DI164" i="27" a="1"/>
  <c r="DI164" i="27" s="1"/>
  <c r="DJ163" i="27" a="1"/>
  <c r="DJ163" i="27" s="1"/>
  <c r="DI163" i="27" a="1"/>
  <c r="DI163" i="27" s="1"/>
  <c r="DJ162" i="27" a="1"/>
  <c r="DJ162" i="27" s="1"/>
  <c r="DI162" i="27" a="1"/>
  <c r="DI162" i="27" s="1"/>
  <c r="DJ161" i="27" a="1"/>
  <c r="DJ161" i="27" s="1"/>
  <c r="DI161" i="27" a="1"/>
  <c r="DI161" i="27" s="1"/>
  <c r="DJ160" i="27" a="1"/>
  <c r="DJ160" i="27" s="1"/>
  <c r="DI160" i="27" a="1"/>
  <c r="DI160" i="27" s="1"/>
  <c r="DJ159" i="27" a="1"/>
  <c r="DJ159" i="27" s="1"/>
  <c r="DI159" i="27" a="1"/>
  <c r="DI159" i="27" s="1"/>
  <c r="DJ158" i="27" a="1"/>
  <c r="DJ158" i="27" s="1"/>
  <c r="DI158" i="27" a="1"/>
  <c r="DI158" i="27" s="1"/>
  <c r="DJ157" i="27" a="1"/>
  <c r="DJ157" i="27" s="1"/>
  <c r="DI157" i="27" a="1"/>
  <c r="DI157" i="27" s="1"/>
  <c r="DJ156" i="27" a="1"/>
  <c r="DJ156" i="27" s="1"/>
  <c r="DI156" i="27" a="1"/>
  <c r="DI156" i="27" s="1"/>
  <c r="DJ155" i="27" a="1"/>
  <c r="DJ155" i="27" s="1"/>
  <c r="DI155" i="27" a="1"/>
  <c r="DI155" i="27" s="1"/>
  <c r="DJ154" i="27" a="1"/>
  <c r="DJ154" i="27" s="1"/>
  <c r="DI154" i="27" a="1"/>
  <c r="DI154" i="27" s="1"/>
  <c r="DJ153" i="27" a="1"/>
  <c r="DJ153" i="27" s="1"/>
  <c r="DI153" i="27" a="1"/>
  <c r="DI153" i="27" s="1"/>
  <c r="DJ152" i="27" a="1"/>
  <c r="DJ152" i="27" s="1"/>
  <c r="DI152" i="27" a="1"/>
  <c r="DI152" i="27" s="1"/>
  <c r="DJ151" i="27" a="1"/>
  <c r="DJ151" i="27" s="1"/>
  <c r="DI151" i="27" a="1"/>
  <c r="DI151" i="27" s="1"/>
  <c r="DJ150" i="27" a="1"/>
  <c r="DJ150" i="27" s="1"/>
  <c r="DI150" i="27" a="1"/>
  <c r="DI150" i="27" s="1"/>
  <c r="DJ149" i="27" a="1"/>
  <c r="DJ149" i="27" s="1"/>
  <c r="DI149" i="27" a="1"/>
  <c r="DI149" i="27" s="1"/>
  <c r="DJ148" i="27" a="1"/>
  <c r="DJ148" i="27" s="1"/>
  <c r="DI148" i="27" a="1"/>
  <c r="DI148" i="27" s="1"/>
  <c r="DJ147" i="27" a="1"/>
  <c r="DJ147" i="27" s="1"/>
  <c r="DI147" i="27" a="1"/>
  <c r="DI147" i="27" s="1"/>
  <c r="DJ146" i="27" a="1"/>
  <c r="DJ146" i="27" s="1"/>
  <c r="DI146" i="27" a="1"/>
  <c r="DI146" i="27" s="1"/>
  <c r="DJ145" i="27" a="1"/>
  <c r="DJ145" i="27" s="1"/>
  <c r="DI145" i="27" a="1"/>
  <c r="DI145" i="27" s="1"/>
  <c r="DJ144" i="27" a="1"/>
  <c r="DJ144" i="27" s="1"/>
  <c r="DI144" i="27" a="1"/>
  <c r="DI144" i="27" s="1"/>
  <c r="DG145" i="27"/>
  <c r="DG146" i="27"/>
  <c r="DG147" i="27"/>
  <c r="DG148" i="27"/>
  <c r="DG149" i="27"/>
  <c r="DG150" i="27"/>
  <c r="DG151" i="27"/>
  <c r="DG152" i="27"/>
  <c r="DG153" i="27"/>
  <c r="DG154" i="27"/>
  <c r="DG155" i="27"/>
  <c r="DG156" i="27"/>
  <c r="DG157" i="27"/>
  <c r="DG158" i="27"/>
  <c r="DG159" i="27"/>
  <c r="DG160" i="27"/>
  <c r="DG161" i="27"/>
  <c r="DG162" i="27"/>
  <c r="DG163" i="27"/>
  <c r="DG164" i="27"/>
  <c r="DG165" i="27"/>
  <c r="DG166" i="27"/>
  <c r="DG167" i="27"/>
  <c r="DG168" i="27"/>
  <c r="DG169" i="27"/>
  <c r="DG170" i="27"/>
  <c r="DG171" i="27"/>
  <c r="DG172" i="27"/>
  <c r="DG173" i="27"/>
  <c r="DG174" i="27"/>
  <c r="DG175" i="27"/>
  <c r="DG176" i="27"/>
  <c r="DG177" i="27"/>
  <c r="DG178" i="27"/>
  <c r="DG179" i="27"/>
  <c r="DG180" i="27"/>
  <c r="DG181" i="27"/>
  <c r="DG182" i="27"/>
  <c r="DG144" i="27"/>
  <c r="DC186" i="27" a="1"/>
  <c r="DC186" i="27" s="1"/>
  <c r="DB186" i="27" a="1"/>
  <c r="DB186" i="27" s="1"/>
  <c r="DC183" i="27" a="1"/>
  <c r="DC183" i="27" s="1"/>
  <c r="DB183" i="27" a="1"/>
  <c r="DB183" i="27" s="1"/>
  <c r="DC181" i="27" a="1"/>
  <c r="DC181" i="27" s="1"/>
  <c r="DB181" i="27" a="1"/>
  <c r="DB181" i="27" s="1"/>
  <c r="DC180" i="27" a="1"/>
  <c r="DC180" i="27" s="1"/>
  <c r="DB180" i="27" a="1"/>
  <c r="DB180" i="27" s="1"/>
  <c r="DC178" i="27" a="1"/>
  <c r="DC178" i="27" s="1"/>
  <c r="DB178" i="27" a="1"/>
  <c r="DB178" i="27" s="1"/>
  <c r="DC177" i="27" a="1"/>
  <c r="DC177" i="27" s="1"/>
  <c r="DB177" i="27" a="1"/>
  <c r="DB177" i="27" s="1"/>
  <c r="DC176" i="27" a="1"/>
  <c r="DC176" i="27" s="1"/>
  <c r="DB176" i="27" a="1"/>
  <c r="DB176" i="27" s="1"/>
  <c r="DB175" i="27" a="1"/>
  <c r="DB175" i="27" s="1"/>
  <c r="DC174" i="27" a="1"/>
  <c r="DC174" i="27" s="1"/>
  <c r="DB174" i="27" a="1"/>
  <c r="DB174" i="27" s="1"/>
  <c r="DC173" i="27" a="1"/>
  <c r="DC173" i="27" s="1"/>
  <c r="DB173" i="27" a="1"/>
  <c r="DB173" i="27" s="1"/>
  <c r="DC172" i="27" a="1"/>
  <c r="DC172" i="27" s="1"/>
  <c r="DB172" i="27" a="1"/>
  <c r="DB172" i="27" s="1"/>
  <c r="DC171" i="27" a="1"/>
  <c r="DC171" i="27" s="1"/>
  <c r="DB171" i="27" a="1"/>
  <c r="DB171" i="27" s="1"/>
  <c r="DC170" i="27" a="1"/>
  <c r="DC170" i="27" s="1"/>
  <c r="DB170" i="27" a="1"/>
  <c r="DB170" i="27" s="1"/>
  <c r="DC169" i="27" a="1"/>
  <c r="DC169" i="27" s="1"/>
  <c r="DB169" i="27" a="1"/>
  <c r="DB169" i="27" s="1"/>
  <c r="DC168" i="27" a="1"/>
  <c r="DC168" i="27" s="1"/>
  <c r="DB168" i="27" a="1"/>
  <c r="DB168" i="27" s="1"/>
  <c r="DC167" i="27" a="1"/>
  <c r="DC167" i="27" s="1"/>
  <c r="DB167" i="27" a="1"/>
  <c r="DB167" i="27" s="1"/>
  <c r="DC166" i="27" a="1"/>
  <c r="DC166" i="27" s="1"/>
  <c r="DB166" i="27" a="1"/>
  <c r="DB166" i="27" s="1"/>
  <c r="DC165" i="27" a="1"/>
  <c r="DC165" i="27" s="1"/>
  <c r="DB165" i="27" a="1"/>
  <c r="DB165" i="27" s="1"/>
  <c r="DC164" i="27" a="1"/>
  <c r="DC164" i="27" s="1"/>
  <c r="DB164" i="27" a="1"/>
  <c r="DB164" i="27" s="1"/>
  <c r="DC163" i="27" a="1"/>
  <c r="DC163" i="27" s="1"/>
  <c r="DB163" i="27" a="1"/>
  <c r="DB163" i="27" s="1"/>
  <c r="DC162" i="27" a="1"/>
  <c r="DC162" i="27" s="1"/>
  <c r="DB162" i="27" a="1"/>
  <c r="DB162" i="27" s="1"/>
  <c r="DC161" i="27" a="1"/>
  <c r="DC161" i="27" s="1"/>
  <c r="DB161" i="27" a="1"/>
  <c r="DB161" i="27" s="1"/>
  <c r="DC160" i="27" a="1"/>
  <c r="DC160" i="27" s="1"/>
  <c r="DB160" i="27" a="1"/>
  <c r="DB160" i="27" s="1"/>
  <c r="DC159" i="27" a="1"/>
  <c r="DC159" i="27" s="1"/>
  <c r="DB159" i="27" a="1"/>
  <c r="DB159" i="27" s="1"/>
  <c r="DC158" i="27" a="1"/>
  <c r="DC158" i="27" s="1"/>
  <c r="DB158" i="27" a="1"/>
  <c r="DB158" i="27" s="1"/>
  <c r="DC157" i="27" a="1"/>
  <c r="DC157" i="27" s="1"/>
  <c r="DB157" i="27" a="1"/>
  <c r="DB157" i="27" s="1"/>
  <c r="DC156" i="27" a="1"/>
  <c r="DC156" i="27" s="1"/>
  <c r="DB156" i="27" a="1"/>
  <c r="DB156" i="27" s="1"/>
  <c r="DC155" i="27" a="1"/>
  <c r="DC155" i="27" s="1"/>
  <c r="DB155" i="27" a="1"/>
  <c r="DB155" i="27" s="1"/>
  <c r="DC154" i="27" a="1"/>
  <c r="DC154" i="27" s="1"/>
  <c r="DB154" i="27" a="1"/>
  <c r="DB154" i="27" s="1"/>
  <c r="CV187" i="27" a="1"/>
  <c r="CV187" i="27" s="1"/>
  <c r="CU187" i="27" a="1"/>
  <c r="CU187" i="27" s="1"/>
  <c r="CV184" i="27" a="1"/>
  <c r="CV184" i="27" s="1"/>
  <c r="CU184" i="27" a="1"/>
  <c r="CU184" i="27" s="1"/>
  <c r="CV182" i="27" a="1"/>
  <c r="CV182" i="27" s="1"/>
  <c r="CU182" i="27" a="1"/>
  <c r="CU182" i="27" s="1"/>
  <c r="CV181" i="27" a="1"/>
  <c r="CV181" i="27" s="1"/>
  <c r="CU181" i="27" a="1"/>
  <c r="CU181" i="27" s="1"/>
  <c r="CV179" i="27" a="1"/>
  <c r="CV179" i="27" s="1"/>
  <c r="CU179" i="27" a="1"/>
  <c r="CU179" i="27" s="1"/>
  <c r="CV178" i="27" a="1"/>
  <c r="CV178" i="27" s="1"/>
  <c r="CU178" i="27" a="1"/>
  <c r="CU178" i="27" s="1"/>
  <c r="CV177" i="27" a="1"/>
  <c r="CV177" i="27" s="1"/>
  <c r="CU177" i="27" a="1"/>
  <c r="CU177" i="27" s="1"/>
  <c r="CU176" i="27" a="1"/>
  <c r="CU176" i="27" s="1"/>
  <c r="CV175" i="27" a="1"/>
  <c r="CV175" i="27" s="1"/>
  <c r="CU175" i="27" a="1"/>
  <c r="CU175" i="27" s="1"/>
  <c r="CV174" i="27" a="1"/>
  <c r="CV174" i="27" s="1"/>
  <c r="CU174" i="27" a="1"/>
  <c r="CU174" i="27" s="1"/>
  <c r="CV173" i="27" a="1"/>
  <c r="CV173" i="27" s="1"/>
  <c r="CU173" i="27" a="1"/>
  <c r="CU173" i="27" s="1"/>
  <c r="CV172" i="27" a="1"/>
  <c r="CV172" i="27" s="1"/>
  <c r="CU172" i="27" a="1"/>
  <c r="CU172" i="27" s="1"/>
  <c r="CV171" i="27" a="1"/>
  <c r="CV171" i="27" s="1"/>
  <c r="CU171" i="27" a="1"/>
  <c r="CU171" i="27" s="1"/>
  <c r="CV170" i="27" a="1"/>
  <c r="CV170" i="27" s="1"/>
  <c r="CU170" i="27" a="1"/>
  <c r="CU170" i="27" s="1"/>
  <c r="CV169" i="27" a="1"/>
  <c r="CV169" i="27" s="1"/>
  <c r="CU169" i="27" a="1"/>
  <c r="CU169" i="27" s="1"/>
  <c r="CV168" i="27" a="1"/>
  <c r="CV168" i="27" s="1"/>
  <c r="CU168" i="27" a="1"/>
  <c r="CU168" i="27" s="1"/>
  <c r="CV167" i="27" a="1"/>
  <c r="CV167" i="27" s="1"/>
  <c r="CU167" i="27" a="1"/>
  <c r="CU167" i="27" s="1"/>
  <c r="CV166" i="27" a="1"/>
  <c r="CV166" i="27" s="1"/>
  <c r="CU166" i="27" a="1"/>
  <c r="CU166" i="27" s="1"/>
  <c r="CV165" i="27" a="1"/>
  <c r="CV165" i="27" s="1"/>
  <c r="CU165" i="27" a="1"/>
  <c r="CU165" i="27" s="1"/>
  <c r="CV164" i="27" a="1"/>
  <c r="CV164" i="27" s="1"/>
  <c r="CU164" i="27" a="1"/>
  <c r="CU164" i="27" s="1"/>
  <c r="CV163" i="27" a="1"/>
  <c r="CV163" i="27" s="1"/>
  <c r="CU163" i="27" a="1"/>
  <c r="CU163" i="27" s="1"/>
  <c r="CV162" i="27" a="1"/>
  <c r="CV162" i="27" s="1"/>
  <c r="CU162" i="27" a="1"/>
  <c r="CU162" i="27" s="1"/>
  <c r="CV161" i="27" a="1"/>
  <c r="CV161" i="27" s="1"/>
  <c r="CU161" i="27" a="1"/>
  <c r="CU161" i="27" s="1"/>
  <c r="CV160" i="27" a="1"/>
  <c r="CV160" i="27" s="1"/>
  <c r="CU160" i="27" a="1"/>
  <c r="CU160" i="27" s="1"/>
  <c r="CV159" i="27" a="1"/>
  <c r="CV159" i="27" s="1"/>
  <c r="CU159" i="27" a="1"/>
  <c r="CU159" i="27" s="1"/>
  <c r="CV158" i="27" a="1"/>
  <c r="CV158" i="27" s="1"/>
  <c r="CU158" i="27" a="1"/>
  <c r="CU158" i="27" s="1"/>
  <c r="CV157" i="27" a="1"/>
  <c r="CV157" i="27" s="1"/>
  <c r="CU157" i="27" a="1"/>
  <c r="CU157" i="27" s="1"/>
  <c r="CV156" i="27" a="1"/>
  <c r="CV156" i="27" s="1"/>
  <c r="CU156" i="27" a="1"/>
  <c r="CU156" i="27" s="1"/>
  <c r="CV155" i="27" a="1"/>
  <c r="CV155" i="27" s="1"/>
  <c r="CU155" i="27" a="1"/>
  <c r="CU155" i="27" s="1"/>
  <c r="CZ155" i="27"/>
  <c r="CZ156" i="27"/>
  <c r="CZ157" i="27"/>
  <c r="CZ158" i="27"/>
  <c r="CZ159" i="27"/>
  <c r="CZ160" i="27"/>
  <c r="CZ161" i="27"/>
  <c r="CZ162" i="27"/>
  <c r="CZ163" i="27"/>
  <c r="CZ164" i="27"/>
  <c r="CZ165" i="27"/>
  <c r="CZ166" i="27"/>
  <c r="CZ167" i="27"/>
  <c r="CZ168" i="27"/>
  <c r="CZ169" i="27"/>
  <c r="CZ170" i="27"/>
  <c r="CZ171" i="27"/>
  <c r="CZ172" i="27"/>
  <c r="CZ173" i="27"/>
  <c r="CZ174" i="27"/>
  <c r="CZ175" i="27"/>
  <c r="CZ176" i="27"/>
  <c r="CZ177" i="27"/>
  <c r="CZ178" i="27"/>
  <c r="CZ179" i="27"/>
  <c r="CZ180" i="27"/>
  <c r="CZ181" i="27"/>
  <c r="CZ182" i="27"/>
  <c r="CZ183" i="27"/>
  <c r="CZ184" i="27"/>
  <c r="CZ185" i="27"/>
  <c r="CZ186" i="27"/>
  <c r="CZ187" i="27"/>
  <c r="CZ188" i="27"/>
  <c r="CZ189" i="27"/>
  <c r="CZ190" i="27"/>
  <c r="CZ191" i="27"/>
  <c r="CZ192" i="27"/>
  <c r="CS156" i="27"/>
  <c r="CS157" i="27"/>
  <c r="CS158" i="27"/>
  <c r="CS159" i="27"/>
  <c r="CS160" i="27"/>
  <c r="CS161" i="27"/>
  <c r="CS162" i="27"/>
  <c r="CS163" i="27"/>
  <c r="CS164" i="27"/>
  <c r="CS165" i="27"/>
  <c r="CS166" i="27"/>
  <c r="CS167" i="27"/>
  <c r="CS168" i="27"/>
  <c r="CS169" i="27"/>
  <c r="CS170" i="27"/>
  <c r="CS171" i="27"/>
  <c r="CS172" i="27"/>
  <c r="CS173" i="27"/>
  <c r="CS174" i="27"/>
  <c r="CS175" i="27"/>
  <c r="CS176" i="27"/>
  <c r="CS177" i="27"/>
  <c r="CS178" i="27"/>
  <c r="CS179" i="27"/>
  <c r="CS180" i="27"/>
  <c r="CS181" i="27"/>
  <c r="CS182" i="27"/>
  <c r="CS183" i="27"/>
  <c r="CS184" i="27"/>
  <c r="CS185" i="27"/>
  <c r="CS186" i="27"/>
  <c r="CS187" i="27"/>
  <c r="CS188" i="27"/>
  <c r="CS189" i="27"/>
  <c r="CS190" i="27"/>
  <c r="CS191" i="27"/>
  <c r="CS192" i="27"/>
  <c r="CS193" i="27"/>
  <c r="E42" i="51" l="1"/>
  <c r="H42" i="51" s="1"/>
  <c r="D42" i="51"/>
  <c r="G42" i="51" s="1"/>
  <c r="C42" i="51"/>
  <c r="F42" i="51" s="1"/>
  <c r="E40" i="51"/>
  <c r="H40" i="51" s="1"/>
  <c r="C40" i="51"/>
  <c r="F40" i="51" s="1"/>
  <c r="D40" i="51"/>
  <c r="G40" i="51" s="1"/>
  <c r="C43" i="51"/>
  <c r="F43" i="51" s="1"/>
  <c r="D43" i="51"/>
  <c r="G43" i="51" s="1"/>
  <c r="E43" i="51"/>
  <c r="H43" i="51" s="1"/>
  <c r="E50" i="51"/>
  <c r="H50" i="51" s="1"/>
  <c r="C50" i="51"/>
  <c r="F50" i="51" s="1"/>
  <c r="D50" i="51"/>
  <c r="G50" i="51" s="1"/>
  <c r="E41" i="51"/>
  <c r="H41" i="51" s="1"/>
  <c r="D41" i="51"/>
  <c r="G41" i="51" s="1"/>
  <c r="C48" i="51"/>
  <c r="F48" i="51" s="1"/>
  <c r="D48" i="51"/>
  <c r="G48" i="51" s="1"/>
  <c r="E48" i="51"/>
  <c r="H48" i="51" s="1"/>
  <c r="D44" i="51"/>
  <c r="G44" i="51" s="1"/>
  <c r="C44" i="51"/>
  <c r="F44" i="51" s="1"/>
  <c r="E44" i="51"/>
  <c r="H44" i="51" s="1"/>
  <c r="D45" i="51"/>
  <c r="G45" i="51" s="1"/>
  <c r="E45" i="51"/>
  <c r="H45" i="51" s="1"/>
  <c r="D47" i="51"/>
  <c r="G47" i="51" s="1"/>
  <c r="E47" i="51"/>
  <c r="H47" i="51" s="1"/>
  <c r="D49" i="51"/>
  <c r="G49" i="51" s="1"/>
  <c r="E49" i="51"/>
  <c r="H49" i="51" s="1"/>
  <c r="C49" i="51"/>
  <c r="F49" i="51" s="1"/>
  <c r="E39" i="51"/>
  <c r="H39" i="51" s="1"/>
  <c r="C39" i="51"/>
  <c r="D39" i="51"/>
  <c r="G39" i="51" s="1"/>
  <c r="GA101" i="27" a="1"/>
  <c r="GA101" i="27" s="1"/>
  <c r="FZ101" i="27" a="1"/>
  <c r="FZ101" i="27" s="1"/>
  <c r="FY101" i="27" a="1"/>
  <c r="FY101" i="27" s="1"/>
  <c r="FX101" i="27" a="1"/>
  <c r="FX101" i="27" s="1"/>
  <c r="BX197" i="27"/>
  <c r="BX198" i="27"/>
  <c r="BX199" i="27"/>
  <c r="BX200" i="27"/>
  <c r="BX201" i="27"/>
  <c r="BX202" i="27"/>
  <c r="BX203" i="27"/>
  <c r="BX204" i="27"/>
  <c r="BX205" i="27"/>
  <c r="BX206" i="27"/>
  <c r="BX207" i="27"/>
  <c r="BX208" i="27"/>
  <c r="BX209" i="27"/>
  <c r="BX210" i="27"/>
  <c r="BX211" i="27"/>
  <c r="BX212" i="27"/>
  <c r="BX213" i="27"/>
  <c r="BX214" i="27"/>
  <c r="BX215" i="27"/>
  <c r="BX216" i="27"/>
  <c r="BX217" i="27"/>
  <c r="BX218" i="27"/>
  <c r="BX219" i="27"/>
  <c r="BX220" i="27"/>
  <c r="BX221" i="27"/>
  <c r="BX222" i="27"/>
  <c r="BX223" i="27"/>
  <c r="BX224" i="27"/>
  <c r="BX225" i="27"/>
  <c r="BX226" i="27"/>
  <c r="BX227" i="27"/>
  <c r="BX228" i="27"/>
  <c r="BX229" i="27"/>
  <c r="BX230" i="27"/>
  <c r="BX231" i="27"/>
  <c r="BX196" i="27"/>
  <c r="BX145" i="27"/>
  <c r="BX146" i="27"/>
  <c r="BX147" i="27"/>
  <c r="BX148" i="27"/>
  <c r="BX149" i="27"/>
  <c r="BX150" i="27"/>
  <c r="BX151" i="27"/>
  <c r="BX152" i="27"/>
  <c r="BX153" i="27"/>
  <c r="BX154" i="27"/>
  <c r="BX155" i="27"/>
  <c r="BX156" i="27"/>
  <c r="BX157" i="27"/>
  <c r="BX158" i="27"/>
  <c r="BX159" i="27"/>
  <c r="BX160" i="27"/>
  <c r="BX161" i="27"/>
  <c r="BX162" i="27"/>
  <c r="BX163" i="27"/>
  <c r="BX164" i="27"/>
  <c r="BX165" i="27"/>
  <c r="BX166" i="27"/>
  <c r="BX167" i="27"/>
  <c r="BX168" i="27"/>
  <c r="BX169" i="27"/>
  <c r="BX170" i="27"/>
  <c r="BX171" i="27"/>
  <c r="BX172" i="27"/>
  <c r="BX173" i="27"/>
  <c r="BX174" i="27"/>
  <c r="BX175" i="27"/>
  <c r="BX176" i="27"/>
  <c r="BX177" i="27"/>
  <c r="BX178" i="27"/>
  <c r="BX144" i="27"/>
  <c r="BM115" i="27"/>
  <c r="BM116" i="27"/>
  <c r="BM117" i="27"/>
  <c r="BM118" i="27"/>
  <c r="BM119" i="27"/>
  <c r="BM120" i="27"/>
  <c r="BM121" i="27"/>
  <c r="BM122" i="27"/>
  <c r="BM123" i="27"/>
  <c r="BM124" i="27"/>
  <c r="BM125" i="27"/>
  <c r="BM126" i="27"/>
  <c r="BM127" i="27"/>
  <c r="BM128" i="27"/>
  <c r="BM129" i="27"/>
  <c r="BM130" i="27"/>
  <c r="BM131" i="27"/>
  <c r="BM132" i="27"/>
  <c r="BM133" i="27"/>
  <c r="BM134" i="27"/>
  <c r="BM135" i="27"/>
  <c r="BM136" i="27"/>
  <c r="BM137" i="27"/>
  <c r="BM138" i="27"/>
  <c r="BM139" i="27"/>
  <c r="BM140" i="27"/>
  <c r="BM141" i="27"/>
  <c r="BM142" i="27"/>
  <c r="BM143" i="27"/>
  <c r="BM144" i="27"/>
  <c r="BM145" i="27"/>
  <c r="BM146" i="27"/>
  <c r="BM147" i="27"/>
  <c r="BM148" i="27"/>
  <c r="BM114" i="27"/>
  <c r="BM74" i="27"/>
  <c r="BM75" i="27"/>
  <c r="BM76" i="27"/>
  <c r="BM77" i="27"/>
  <c r="BM78" i="27"/>
  <c r="BM79" i="27"/>
  <c r="BM80" i="27"/>
  <c r="BM81" i="27"/>
  <c r="BM82" i="27"/>
  <c r="BM83" i="27"/>
  <c r="BM84" i="27"/>
  <c r="BM85" i="27"/>
  <c r="BM86" i="27"/>
  <c r="BM87" i="27"/>
  <c r="BM88" i="27"/>
  <c r="BM89" i="27"/>
  <c r="BM90" i="27"/>
  <c r="BM91" i="27"/>
  <c r="BM92" i="27"/>
  <c r="BM93" i="27"/>
  <c r="BM94" i="27"/>
  <c r="BM95" i="27"/>
  <c r="BM96" i="27"/>
  <c r="BM97" i="27"/>
  <c r="BM98" i="27"/>
  <c r="BM99" i="27"/>
  <c r="BM100" i="27"/>
  <c r="BM101" i="27"/>
  <c r="BM102" i="27"/>
  <c r="BM103" i="27"/>
  <c r="BM104" i="27"/>
  <c r="BM105" i="27"/>
  <c r="BM106" i="27"/>
  <c r="BM73" i="27"/>
  <c r="BB380" i="27"/>
  <c r="BB343" i="27"/>
  <c r="BB344" i="27"/>
  <c r="BB345" i="27"/>
  <c r="BB346" i="27"/>
  <c r="BB347" i="27"/>
  <c r="BB348" i="27"/>
  <c r="BB349" i="27"/>
  <c r="BB350" i="27"/>
  <c r="BB351" i="27"/>
  <c r="BB352" i="27"/>
  <c r="BB353" i="27"/>
  <c r="BB354" i="27"/>
  <c r="BB355" i="27"/>
  <c r="BB356" i="27"/>
  <c r="BB357" i="27"/>
  <c r="BB358" i="27"/>
  <c r="BB359" i="27"/>
  <c r="BB360" i="27"/>
  <c r="BB361" i="27"/>
  <c r="BB362" i="27"/>
  <c r="BB363" i="27"/>
  <c r="BB364" i="27"/>
  <c r="BB365" i="27"/>
  <c r="BB366" i="27"/>
  <c r="BB367" i="27"/>
  <c r="BB368" i="27"/>
  <c r="BB369" i="27"/>
  <c r="BB370" i="27"/>
  <c r="BB371" i="27"/>
  <c r="BB372" i="27"/>
  <c r="BB373" i="27"/>
  <c r="BB374" i="27"/>
  <c r="BB375" i="27"/>
  <c r="BB376" i="27"/>
  <c r="BB377" i="27"/>
  <c r="BB378" i="27"/>
  <c r="BB379" i="27"/>
  <c r="BB342" i="27"/>
  <c r="BB285" i="27"/>
  <c r="BB286" i="27"/>
  <c r="BB287" i="27"/>
  <c r="BB288" i="27"/>
  <c r="BB289" i="27"/>
  <c r="BB290" i="27"/>
  <c r="BB291" i="27"/>
  <c r="BB292" i="27"/>
  <c r="BB293" i="27"/>
  <c r="BB294" i="27"/>
  <c r="BB295" i="27"/>
  <c r="BB296" i="27"/>
  <c r="BB297" i="27"/>
  <c r="BB298" i="27"/>
  <c r="BB299" i="27"/>
  <c r="BB300" i="27"/>
  <c r="BB301" i="27"/>
  <c r="BB302" i="27"/>
  <c r="BB303" i="27"/>
  <c r="BB304" i="27"/>
  <c r="BB305" i="27"/>
  <c r="BB306" i="27"/>
  <c r="BB307" i="27"/>
  <c r="BB308" i="27"/>
  <c r="BB309" i="27"/>
  <c r="BB310" i="27"/>
  <c r="BB311" i="27"/>
  <c r="BB312" i="27"/>
  <c r="BB313" i="27"/>
  <c r="BB314" i="27"/>
  <c r="BB315" i="27"/>
  <c r="BB316" i="27"/>
  <c r="BB317" i="27"/>
  <c r="BB318" i="27"/>
  <c r="BB319" i="27"/>
  <c r="BB320" i="27"/>
  <c r="BB321" i="27"/>
  <c r="BB322" i="27"/>
  <c r="BB323" i="27"/>
  <c r="BB284" i="27"/>
  <c r="BB237" i="27"/>
  <c r="BB238" i="27"/>
  <c r="BB239" i="27"/>
  <c r="BB240" i="27"/>
  <c r="BB241" i="27"/>
  <c r="BB242" i="27"/>
  <c r="BB243" i="27"/>
  <c r="BB244" i="27"/>
  <c r="BB245" i="27"/>
  <c r="BB246" i="27"/>
  <c r="BB247" i="27"/>
  <c r="BB248" i="27"/>
  <c r="BB249" i="27"/>
  <c r="BB250" i="27"/>
  <c r="BB251" i="27"/>
  <c r="BB252" i="27"/>
  <c r="BB253" i="27"/>
  <c r="BB254" i="27"/>
  <c r="BB255" i="27"/>
  <c r="BB256" i="27"/>
  <c r="BB257" i="27"/>
  <c r="BB258" i="27"/>
  <c r="BB259" i="27"/>
  <c r="BB260" i="27"/>
  <c r="BB261" i="27"/>
  <c r="BB262" i="27"/>
  <c r="BB263" i="27"/>
  <c r="BB264" i="27"/>
  <c r="BB265" i="27"/>
  <c r="BB266" i="27"/>
  <c r="BB267" i="27"/>
  <c r="BB268" i="27"/>
  <c r="BB269" i="27"/>
  <c r="BB270" i="27"/>
  <c r="BB271" i="27"/>
  <c r="BB272" i="27"/>
  <c r="BB273" i="27"/>
  <c r="BB274" i="27"/>
  <c r="BB236" i="27"/>
  <c r="BP146" i="27" a="1"/>
  <c r="BP146" i="27" s="1"/>
  <c r="BO146" i="27" a="1"/>
  <c r="BO146" i="27" s="1"/>
  <c r="BP145" i="27" a="1"/>
  <c r="BP145" i="27" s="1"/>
  <c r="BO145" i="27" a="1"/>
  <c r="BO145" i="27" s="1"/>
  <c r="BP144" i="27" a="1"/>
  <c r="BP144" i="27" s="1"/>
  <c r="BO144" i="27" a="1"/>
  <c r="BO144" i="27" s="1"/>
  <c r="BP143" i="27" a="1"/>
  <c r="BP143" i="27" s="1"/>
  <c r="BO143" i="27" a="1"/>
  <c r="BO143" i="27" s="1"/>
  <c r="BP142" i="27" a="1"/>
  <c r="BP142" i="27" s="1"/>
  <c r="BO142" i="27" a="1"/>
  <c r="BO142" i="27" s="1"/>
  <c r="BP141" i="27" a="1"/>
  <c r="BP141" i="27" s="1"/>
  <c r="BO141" i="27" a="1"/>
  <c r="BO141" i="27" s="1"/>
  <c r="BP140" i="27" a="1"/>
  <c r="BP140" i="27" s="1"/>
  <c r="BO140" i="27" a="1"/>
  <c r="BO140" i="27" s="1"/>
  <c r="BP138" i="27" a="1"/>
  <c r="BP138" i="27" s="1"/>
  <c r="BO138" i="27" a="1"/>
  <c r="BO138" i="27" s="1"/>
  <c r="BP137" i="27" a="1"/>
  <c r="BP137" i="27" s="1"/>
  <c r="BO137" i="27" a="1"/>
  <c r="BO137" i="27" s="1"/>
  <c r="BP136" i="27" a="1"/>
  <c r="BP136" i="27" s="1"/>
  <c r="BO136" i="27" a="1"/>
  <c r="BO136" i="27" s="1"/>
  <c r="BP135" i="27" a="1"/>
  <c r="BP135" i="27" s="1"/>
  <c r="BO135" i="27" a="1"/>
  <c r="BO135" i="27" s="1"/>
  <c r="BP134" i="27" a="1"/>
  <c r="BP134" i="27" s="1"/>
  <c r="BO134" i="27" a="1"/>
  <c r="BO134" i="27" s="1"/>
  <c r="BP133" i="27" a="1"/>
  <c r="BP133" i="27" s="1"/>
  <c r="BO133" i="27" a="1"/>
  <c r="BO133" i="27" s="1"/>
  <c r="BP132" i="27" a="1"/>
  <c r="BP132" i="27" s="1"/>
  <c r="BO132" i="27" a="1"/>
  <c r="BO132" i="27" s="1"/>
  <c r="BP131" i="27" a="1"/>
  <c r="BP131" i="27" s="1"/>
  <c r="BO131" i="27" a="1"/>
  <c r="BO131" i="27" s="1"/>
  <c r="BP130" i="27" a="1"/>
  <c r="BP130" i="27" s="1"/>
  <c r="BO130" i="27" a="1"/>
  <c r="BO130" i="27" s="1"/>
  <c r="BP129" i="27" a="1"/>
  <c r="BP129" i="27" s="1"/>
  <c r="BO129" i="27" a="1"/>
  <c r="BO129" i="27" s="1"/>
  <c r="BP128" i="27" a="1"/>
  <c r="BP128" i="27" s="1"/>
  <c r="BO128" i="27" a="1"/>
  <c r="BO128" i="27" s="1"/>
  <c r="BP127" i="27" a="1"/>
  <c r="BP127" i="27" s="1"/>
  <c r="BO127" i="27" a="1"/>
  <c r="BO127" i="27" s="1"/>
  <c r="BP126" i="27" a="1"/>
  <c r="BP126" i="27" s="1"/>
  <c r="BO126" i="27" a="1"/>
  <c r="BO126" i="27" s="1"/>
  <c r="BP125" i="27" a="1"/>
  <c r="BP125" i="27" s="1"/>
  <c r="BO125" i="27" a="1"/>
  <c r="BO125" i="27" s="1"/>
  <c r="BP124" i="27" a="1"/>
  <c r="BP124" i="27" s="1"/>
  <c r="BO124" i="27" a="1"/>
  <c r="BO124" i="27" s="1"/>
  <c r="BP123" i="27" a="1"/>
  <c r="BP123" i="27" s="1"/>
  <c r="BO123" i="27" a="1"/>
  <c r="BO123" i="27" s="1"/>
  <c r="BP122" i="27" a="1"/>
  <c r="BP122" i="27" s="1"/>
  <c r="BO122" i="27" a="1"/>
  <c r="BO122" i="27" s="1"/>
  <c r="BP121" i="27" a="1"/>
  <c r="BP121" i="27" s="1"/>
  <c r="BO121" i="27" a="1"/>
  <c r="BO121" i="27" s="1"/>
  <c r="BP120" i="27" a="1"/>
  <c r="BP120" i="27" s="1"/>
  <c r="BO120" i="27" a="1"/>
  <c r="BO120" i="27" s="1"/>
  <c r="BP119" i="27" a="1"/>
  <c r="BP119" i="27" s="1"/>
  <c r="BO119" i="27" a="1"/>
  <c r="BO119" i="27" s="1"/>
  <c r="BP118" i="27" a="1"/>
  <c r="BP118" i="27" s="1"/>
  <c r="BO118" i="27" a="1"/>
  <c r="BO118" i="27" s="1"/>
  <c r="BP117" i="27" a="1"/>
  <c r="BP117" i="27" s="1"/>
  <c r="BO117" i="27" a="1"/>
  <c r="BO117" i="27" s="1"/>
  <c r="BP116" i="27" a="1"/>
  <c r="BP116" i="27" s="1"/>
  <c r="BO116" i="27" a="1"/>
  <c r="BO116" i="27" s="1"/>
  <c r="BP114" i="27" a="1"/>
  <c r="BP114" i="27" s="1"/>
  <c r="BO114" i="27" a="1"/>
  <c r="BO114" i="27" s="1"/>
  <c r="BP115" i="27" a="1"/>
  <c r="BP115" i="27" s="1"/>
  <c r="BO115" i="27" a="1"/>
  <c r="BO115" i="27" s="1"/>
  <c r="FX147" i="27" l="1" a="1"/>
  <c r="FX147" i="27" s="1"/>
  <c r="E38" i="51"/>
  <c r="H38" i="51" s="1"/>
  <c r="D38" i="51"/>
  <c r="G38" i="51" s="1"/>
  <c r="D37" i="51"/>
  <c r="G37" i="51" s="1"/>
  <c r="E37" i="51"/>
  <c r="H37" i="51" s="1"/>
  <c r="C37" i="51"/>
  <c r="F37" i="51" s="1"/>
  <c r="E35" i="51"/>
  <c r="H35" i="51" s="1"/>
  <c r="D35" i="51"/>
  <c r="G35" i="51" s="1"/>
  <c r="GY30" i="27"/>
  <c r="GY31" i="27"/>
  <c r="GY29" i="27"/>
  <c r="HA29" i="27" s="1"/>
  <c r="GY4" i="27"/>
  <c r="HA4" i="27" s="1"/>
  <c r="GY5" i="27"/>
  <c r="HA5" i="27" s="1"/>
  <c r="GY6" i="27"/>
  <c r="HA6" i="27" s="1"/>
  <c r="GY7" i="27"/>
  <c r="HA7" i="27" s="1"/>
  <c r="GY8" i="27"/>
  <c r="HA8" i="27" s="1"/>
  <c r="GY9" i="27"/>
  <c r="HA9" i="27" s="1"/>
  <c r="GY10" i="27"/>
  <c r="HA10" i="27" s="1"/>
  <c r="GY11" i="27"/>
  <c r="HA11" i="27" s="1"/>
  <c r="GY12" i="27"/>
  <c r="HA12" i="27" s="1"/>
  <c r="GY13" i="27"/>
  <c r="HB13" i="27" s="1"/>
  <c r="GY14" i="27"/>
  <c r="HA14" i="27" s="1"/>
  <c r="GY15" i="27"/>
  <c r="HA15" i="27" s="1"/>
  <c r="GY16" i="27"/>
  <c r="HB16" i="27" s="1"/>
  <c r="GY17" i="27"/>
  <c r="HA17" i="27" s="1"/>
  <c r="GY18" i="27"/>
  <c r="HA18" i="27" s="1"/>
  <c r="GY19" i="27"/>
  <c r="HA19" i="27" s="1"/>
  <c r="GY20" i="27"/>
  <c r="HB20" i="27" s="1"/>
  <c r="GY21" i="27"/>
  <c r="HB21" i="27" s="1"/>
  <c r="GY22" i="27"/>
  <c r="HA22" i="27" s="1"/>
  <c r="GY23" i="27"/>
  <c r="HA23" i="27" s="1"/>
  <c r="GY3" i="27"/>
  <c r="HA30" i="27"/>
  <c r="HA31" i="27"/>
  <c r="HA16" i="27" l="1"/>
  <c r="HB5" i="27"/>
  <c r="HB12" i="27"/>
  <c r="HB8" i="27"/>
  <c r="HB4" i="27"/>
  <c r="HA20" i="27"/>
  <c r="HB14" i="27"/>
  <c r="HA21" i="27"/>
  <c r="HA13" i="27"/>
  <c r="HB22" i="27"/>
  <c r="HB6" i="27"/>
  <c r="HB9" i="27"/>
  <c r="HB17" i="27"/>
  <c r="HB23" i="27"/>
  <c r="HB11" i="27"/>
  <c r="HB19" i="27"/>
  <c r="HB15" i="27"/>
  <c r="HB7" i="27"/>
  <c r="HB18" i="27"/>
  <c r="HB10" i="27"/>
  <c r="FX85" i="27" a="1"/>
  <c r="FX85" i="27" s="1"/>
  <c r="FY85" i="27" a="1"/>
  <c r="FY85" i="27" s="1"/>
  <c r="FZ85" i="27" a="1"/>
  <c r="FZ85" i="27" s="1"/>
  <c r="GA85" i="27" a="1"/>
  <c r="GA85" i="27" s="1"/>
  <c r="FX90" i="27" a="1"/>
  <c r="FX90" i="27" s="1"/>
  <c r="FY90" i="27" a="1"/>
  <c r="FY90" i="27" s="1"/>
  <c r="FZ90" i="27" a="1"/>
  <c r="FZ90" i="27" s="1"/>
  <c r="GA90" i="27" a="1"/>
  <c r="GA90" i="27" s="1"/>
  <c r="FX91" i="27" a="1"/>
  <c r="FX91" i="27" s="1"/>
  <c r="FY91" i="27" a="1"/>
  <c r="FY91" i="27" s="1"/>
  <c r="FZ91" i="27" a="1"/>
  <c r="FZ91" i="27" s="1"/>
  <c r="GA91" i="27" a="1"/>
  <c r="GA91" i="27" s="1"/>
  <c r="FX92" i="27" a="1"/>
  <c r="FX92" i="27" s="1"/>
  <c r="FY92" i="27" a="1"/>
  <c r="FY92" i="27" s="1"/>
  <c r="FZ92" i="27" a="1"/>
  <c r="FZ92" i="27" s="1"/>
  <c r="GA92" i="27" a="1"/>
  <c r="GA92" i="27" s="1"/>
  <c r="FX93" i="27" a="1"/>
  <c r="FX93" i="27" s="1"/>
  <c r="FY93" i="27" a="1"/>
  <c r="FY93" i="27" s="1"/>
  <c r="FZ93" i="27" a="1"/>
  <c r="FZ93" i="27" s="1"/>
  <c r="GA93" i="27" a="1"/>
  <c r="GA93" i="27" s="1"/>
  <c r="FX94" i="27" a="1"/>
  <c r="FX94" i="27" s="1"/>
  <c r="FY94" i="27" a="1"/>
  <c r="FY94" i="27" s="1"/>
  <c r="FZ94" i="27" a="1"/>
  <c r="FZ94" i="27" s="1"/>
  <c r="GA94" i="27" a="1"/>
  <c r="GA94" i="27" s="1"/>
  <c r="FX95" i="27" a="1"/>
  <c r="FX95" i="27" s="1"/>
  <c r="FY95" i="27" a="1"/>
  <c r="FY95" i="27" s="1"/>
  <c r="FZ95" i="27" a="1"/>
  <c r="FZ95" i="27" s="1"/>
  <c r="GA95" i="27" a="1"/>
  <c r="GA95" i="27" s="1"/>
  <c r="FX96" i="27" a="1"/>
  <c r="FX96" i="27" s="1"/>
  <c r="FY96" i="27" a="1"/>
  <c r="FY96" i="27" s="1"/>
  <c r="FZ96" i="27" a="1"/>
  <c r="FZ96" i="27" s="1"/>
  <c r="GA96" i="27" a="1"/>
  <c r="GA96" i="27" s="1"/>
  <c r="FX97" i="27" a="1"/>
  <c r="FX97" i="27" s="1"/>
  <c r="FY97" i="27" a="1"/>
  <c r="FY97" i="27" s="1"/>
  <c r="FZ97" i="27" a="1"/>
  <c r="FZ97" i="27" s="1"/>
  <c r="GA97" i="27" a="1"/>
  <c r="GA97" i="27" s="1"/>
  <c r="FX98" i="27" a="1"/>
  <c r="FX98" i="27" s="1"/>
  <c r="FY98" i="27" a="1"/>
  <c r="FY98" i="27" s="1"/>
  <c r="FZ98" i="27" a="1"/>
  <c r="FZ98" i="27" s="1"/>
  <c r="GA98" i="27" a="1"/>
  <c r="GA98" i="27" s="1"/>
  <c r="FX99" i="27" a="1"/>
  <c r="FX99" i="27" s="1"/>
  <c r="FY99" i="27" a="1"/>
  <c r="FY99" i="27" s="1"/>
  <c r="FZ99" i="27" a="1"/>
  <c r="FZ99" i="27" s="1"/>
  <c r="GA99" i="27" a="1"/>
  <c r="GA99" i="27" s="1"/>
  <c r="FX100" i="27" a="1"/>
  <c r="FX100" i="27" s="1"/>
  <c r="FY100" i="27" a="1"/>
  <c r="FY100" i="27" s="1"/>
  <c r="FZ100" i="27" a="1"/>
  <c r="FZ100" i="27" s="1"/>
  <c r="GA100" i="27" a="1"/>
  <c r="GA100" i="27" s="1"/>
  <c r="FX102" i="27" a="1"/>
  <c r="FX102" i="27" s="1"/>
  <c r="FY102" i="27" a="1"/>
  <c r="FY102" i="27" s="1"/>
  <c r="FZ102" i="27" a="1"/>
  <c r="FZ102" i="27" s="1"/>
  <c r="GA102" i="27" a="1"/>
  <c r="GA102" i="27" s="1"/>
  <c r="FX103" i="27" a="1"/>
  <c r="FX103" i="27" s="1"/>
  <c r="FY103" i="27" a="1"/>
  <c r="FY103" i="27" s="1"/>
  <c r="FZ103" i="27" a="1"/>
  <c r="FZ103" i="27" s="1"/>
  <c r="GA103" i="27" a="1"/>
  <c r="GA103" i="27" s="1"/>
  <c r="FX104" i="27" a="1"/>
  <c r="FX104" i="27" s="1"/>
  <c r="FY104" i="27" a="1"/>
  <c r="FY104" i="27" s="1"/>
  <c r="FZ104" i="27" a="1"/>
  <c r="FZ104" i="27" s="1"/>
  <c r="GA104" i="27" a="1"/>
  <c r="GA104" i="27" s="1"/>
  <c r="FX105" i="27" a="1"/>
  <c r="FX105" i="27" s="1"/>
  <c r="FY105" i="27" a="1"/>
  <c r="FY105" i="27" s="1"/>
  <c r="FZ105" i="27" a="1"/>
  <c r="FZ105" i="27" s="1"/>
  <c r="GA105" i="27" a="1"/>
  <c r="GA105" i="27" s="1"/>
  <c r="FX106" i="27" a="1"/>
  <c r="FX106" i="27" s="1"/>
  <c r="FY106" i="27" a="1"/>
  <c r="FY106" i="27" s="1"/>
  <c r="FZ106" i="27" a="1"/>
  <c r="FZ106" i="27" s="1"/>
  <c r="GA106" i="27" a="1"/>
  <c r="GA106" i="27" s="1"/>
  <c r="FX107" i="27" a="1"/>
  <c r="FX107" i="27" s="1"/>
  <c r="FY107" i="27" a="1"/>
  <c r="FY107" i="27" s="1"/>
  <c r="FZ107" i="27" a="1"/>
  <c r="FZ107" i="27" s="1"/>
  <c r="GA107" i="27" a="1"/>
  <c r="GA107" i="27" s="1"/>
  <c r="FX108" i="27" a="1"/>
  <c r="FX108" i="27" s="1"/>
  <c r="FY108" i="27" a="1"/>
  <c r="FY108" i="27" s="1"/>
  <c r="FZ108" i="27" a="1"/>
  <c r="FZ108" i="27" s="1"/>
  <c r="GA108" i="27" a="1"/>
  <c r="GA108" i="27" s="1"/>
  <c r="FX109" i="27" a="1"/>
  <c r="FX109" i="27" s="1"/>
  <c r="FY109" i="27" a="1"/>
  <c r="FY109" i="27" s="1"/>
  <c r="FZ109" i="27" a="1"/>
  <c r="FZ109" i="27" s="1"/>
  <c r="GA109" i="27" a="1"/>
  <c r="GA109" i="27" s="1"/>
  <c r="FX110" i="27" a="1"/>
  <c r="FX110" i="27" s="1"/>
  <c r="FY110" i="27" a="1"/>
  <c r="FY110" i="27" s="1"/>
  <c r="FZ110" i="27" a="1"/>
  <c r="FZ110" i="27" s="1"/>
  <c r="GA110" i="27" a="1"/>
  <c r="GA110" i="27" s="1"/>
  <c r="FX111" i="27" a="1"/>
  <c r="FX111" i="27" s="1"/>
  <c r="FY111" i="27" a="1"/>
  <c r="FY111" i="27" s="1"/>
  <c r="FZ111" i="27" a="1"/>
  <c r="FZ111" i="27" s="1"/>
  <c r="GA111" i="27" a="1"/>
  <c r="GA111" i="27" s="1"/>
  <c r="FX112" i="27" a="1"/>
  <c r="FX112" i="27" s="1"/>
  <c r="FY112" i="27" a="1"/>
  <c r="FY112" i="27" s="1"/>
  <c r="FZ112" i="27" a="1"/>
  <c r="FZ112" i="27" s="1"/>
  <c r="GA112" i="27" a="1"/>
  <c r="GA112" i="27" s="1"/>
  <c r="FX113" i="27" a="1"/>
  <c r="FX113" i="27" s="1"/>
  <c r="FY113" i="27" a="1"/>
  <c r="FY113" i="27" s="1"/>
  <c r="FZ113" i="27" a="1"/>
  <c r="FZ113" i="27" s="1"/>
  <c r="GA113" i="27" a="1"/>
  <c r="GA113" i="27" s="1"/>
  <c r="FX114" i="27" a="1"/>
  <c r="FX114" i="27" s="1"/>
  <c r="FY114" i="27" a="1"/>
  <c r="FY114" i="27" s="1"/>
  <c r="FZ114" i="27" a="1"/>
  <c r="FZ114" i="27" s="1"/>
  <c r="GA114" i="27" a="1"/>
  <c r="GA114" i="27" s="1"/>
  <c r="FX115" i="27" a="1"/>
  <c r="FX115" i="27" s="1"/>
  <c r="FY115" i="27" a="1"/>
  <c r="FY115" i="27" s="1"/>
  <c r="FZ115" i="27" a="1"/>
  <c r="FZ115" i="27" s="1"/>
  <c r="GA115" i="27" a="1"/>
  <c r="GA115" i="27" s="1"/>
  <c r="FX116" i="27" a="1"/>
  <c r="FX116" i="27" s="1"/>
  <c r="FY116" i="27" a="1"/>
  <c r="FY116" i="27" s="1"/>
  <c r="FZ116" i="27" a="1"/>
  <c r="FZ116" i="27" s="1"/>
  <c r="GA116" i="27" a="1"/>
  <c r="GA116" i="27" s="1"/>
  <c r="FX117" i="27" a="1"/>
  <c r="FX117" i="27" s="1"/>
  <c r="FY117" i="27" a="1"/>
  <c r="FY117" i="27" s="1"/>
  <c r="FZ117" i="27" a="1"/>
  <c r="FZ117" i="27" s="1"/>
  <c r="GA117" i="27" a="1"/>
  <c r="GA117" i="27" s="1"/>
  <c r="FX118" i="27" a="1"/>
  <c r="FX118" i="27" s="1"/>
  <c r="FY118" i="27" a="1"/>
  <c r="FY118" i="27" s="1"/>
  <c r="FZ118" i="27" a="1"/>
  <c r="FZ118" i="27" s="1"/>
  <c r="GA118" i="27" a="1"/>
  <c r="GA118" i="27" s="1"/>
  <c r="FX119" i="27" a="1"/>
  <c r="FX119" i="27" s="1"/>
  <c r="FY119" i="27" a="1"/>
  <c r="FY119" i="27" s="1"/>
  <c r="FZ119" i="27" a="1"/>
  <c r="FZ119" i="27" s="1"/>
  <c r="GA119" i="27" a="1"/>
  <c r="GA119" i="27" s="1"/>
  <c r="FX120" i="27" a="1"/>
  <c r="FX120" i="27" s="1"/>
  <c r="FY120" i="27" a="1"/>
  <c r="FY120" i="27" s="1"/>
  <c r="FZ120" i="27" a="1"/>
  <c r="FZ120" i="27" s="1"/>
  <c r="GA120" i="27" a="1"/>
  <c r="GA120" i="27" s="1"/>
  <c r="FX121" i="27" a="1"/>
  <c r="FX121" i="27" s="1"/>
  <c r="FY121" i="27" a="1"/>
  <c r="FY121" i="27" s="1"/>
  <c r="FZ121" i="27" a="1"/>
  <c r="FZ121" i="27" s="1"/>
  <c r="GA121" i="27" a="1"/>
  <c r="GA121" i="27" s="1"/>
  <c r="FX122" i="27" a="1"/>
  <c r="FX122" i="27" s="1"/>
  <c r="FY122" i="27" a="1"/>
  <c r="FY122" i="27" s="1"/>
  <c r="FZ122" i="27" a="1"/>
  <c r="FZ122" i="27" s="1"/>
  <c r="GA122" i="27" a="1"/>
  <c r="GA122" i="27" s="1"/>
  <c r="FX123" i="27" a="1"/>
  <c r="FX123" i="27" s="1"/>
  <c r="FY123" i="27" a="1"/>
  <c r="FY123" i="27" s="1"/>
  <c r="FZ123" i="27" a="1"/>
  <c r="FZ123" i="27" s="1"/>
  <c r="GA123" i="27" a="1"/>
  <c r="GA123" i="27" s="1"/>
  <c r="FX124" i="27" a="1"/>
  <c r="FX124" i="27" s="1"/>
  <c r="FY124" i="27" a="1"/>
  <c r="FY124" i="27" s="1"/>
  <c r="FZ124" i="27" a="1"/>
  <c r="FZ124" i="27" s="1"/>
  <c r="GA124" i="27" a="1"/>
  <c r="GA124" i="27" s="1"/>
  <c r="GB104" i="27" l="1"/>
  <c r="GB120" i="27"/>
  <c r="GB95" i="27"/>
  <c r="GB122" i="27"/>
  <c r="GB117" i="27"/>
  <c r="GB106" i="27"/>
  <c r="GB101" i="27"/>
  <c r="GB90" i="27"/>
  <c r="GB105" i="27"/>
  <c r="GB121" i="27"/>
  <c r="GB116" i="27"/>
  <c r="GB111" i="27"/>
  <c r="GB100" i="27"/>
  <c r="GB96" i="27"/>
  <c r="GB112" i="27"/>
  <c r="GB123" i="27"/>
  <c r="GB118" i="27"/>
  <c r="GB107" i="27"/>
  <c r="GB102" i="27"/>
  <c r="GB91" i="27"/>
  <c r="GB124" i="27"/>
  <c r="GB119" i="27"/>
  <c r="GB113" i="27"/>
  <c r="GB108" i="27"/>
  <c r="GB103" i="27"/>
  <c r="GB97" i="27"/>
  <c r="GB92" i="27"/>
  <c r="GB114" i="27"/>
  <c r="GB109" i="27"/>
  <c r="GB98" i="27"/>
  <c r="GB93" i="27"/>
  <c r="GB115" i="27"/>
  <c r="GB110" i="27"/>
  <c r="GB99" i="27"/>
  <c r="GB94" i="27"/>
  <c r="GB85" i="27"/>
  <c r="CB142" i="27" l="1"/>
  <c r="CA142" i="27"/>
  <c r="BZ142" i="27"/>
  <c r="BY142" i="27"/>
  <c r="M203" i="48"/>
  <c r="AN64" i="27" l="1"/>
  <c r="AN68" i="27" s="1"/>
  <c r="AL64" i="27"/>
  <c r="AL68" i="27" s="1"/>
  <c r="AK64" i="27"/>
  <c r="AK68" i="27" s="1"/>
  <c r="AJ64" i="27"/>
  <c r="AJ68" i="27" s="1"/>
  <c r="AI64" i="27"/>
  <c r="AI68" i="27" s="1"/>
  <c r="AG64" i="27"/>
  <c r="AG68" i="27" s="1"/>
  <c r="AF64" i="27"/>
  <c r="AF68" i="27" s="1"/>
  <c r="AE64" i="27"/>
  <c r="AE68" i="27" s="1"/>
  <c r="AD64" i="27"/>
  <c r="AD68" i="27" s="1"/>
  <c r="AC64" i="27"/>
  <c r="AC68" i="27" s="1"/>
  <c r="AB64" i="27"/>
  <c r="AB68" i="27" s="1"/>
  <c r="AA64" i="27"/>
  <c r="AA68" i="27" s="1"/>
  <c r="Z64" i="27"/>
  <c r="Z68" i="27" s="1"/>
  <c r="Y64" i="27"/>
  <c r="Y68" i="27" s="1"/>
  <c r="X64" i="27"/>
  <c r="X68" i="27" s="1"/>
  <c r="W64" i="27"/>
  <c r="W68" i="27" s="1"/>
  <c r="U64" i="27"/>
  <c r="U68" i="27" s="1"/>
  <c r="T64" i="27"/>
  <c r="T68" i="27" s="1"/>
  <c r="S64" i="27"/>
  <c r="S68" i="27" s="1"/>
  <c r="R64" i="27"/>
  <c r="R68" i="27" s="1"/>
  <c r="Q64" i="27"/>
  <c r="Q68" i="27" s="1"/>
  <c r="P64" i="27"/>
  <c r="P68" i="27" s="1"/>
  <c r="O40" i="27"/>
  <c r="H69" i="55" l="1"/>
  <c r="J70" i="55"/>
  <c r="L77" i="55"/>
  <c r="I69" i="55"/>
  <c r="L70" i="55"/>
  <c r="Q77" i="55"/>
  <c r="D22" i="56"/>
  <c r="C21" i="56"/>
  <c r="F22" i="56"/>
  <c r="C29" i="56"/>
  <c r="K22" i="56"/>
  <c r="C69" i="55"/>
  <c r="Y69" i="55"/>
  <c r="N71" i="55"/>
  <c r="K77" i="55"/>
  <c r="L22" i="56"/>
  <c r="D73" i="55"/>
  <c r="J24" i="56"/>
  <c r="P58" i="55"/>
  <c r="X69" i="55"/>
  <c r="G59" i="55"/>
  <c r="Q70" i="55"/>
  <c r="F20" i="56"/>
  <c r="H14" i="56"/>
  <c r="L72" i="55"/>
  <c r="O68" i="55"/>
  <c r="W76" i="55"/>
  <c r="D69" i="55"/>
  <c r="P76" i="55"/>
  <c r="W68" i="55"/>
  <c r="O60" i="55"/>
  <c r="H77" i="55"/>
  <c r="L69" i="55"/>
  <c r="D77" i="55"/>
  <c r="K69" i="55"/>
  <c r="L67" i="55"/>
  <c r="P67" i="55"/>
  <c r="V75" i="55"/>
  <c r="V61" i="55"/>
  <c r="C61" i="55"/>
  <c r="I74" i="55"/>
  <c r="T61" i="55"/>
  <c r="F75" i="55"/>
  <c r="S64" i="55"/>
  <c r="O72" i="55"/>
  <c r="P61" i="55"/>
  <c r="D75" i="55"/>
  <c r="H75" i="55"/>
  <c r="R74" i="55"/>
  <c r="T74" i="55"/>
  <c r="X74" i="55"/>
  <c r="N59" i="55"/>
  <c r="H60" i="55"/>
  <c r="M58" i="55"/>
  <c r="Q58" i="55"/>
  <c r="S66" i="55"/>
  <c r="W66" i="55"/>
  <c r="X72" i="55"/>
  <c r="E72" i="55"/>
  <c r="H64" i="55"/>
  <c r="J64" i="55"/>
  <c r="N64" i="55"/>
  <c r="N67" i="55"/>
  <c r="C59" i="55"/>
  <c r="E59" i="55"/>
  <c r="I59" i="55"/>
  <c r="T60" i="55"/>
  <c r="V60" i="55"/>
  <c r="G71" i="55"/>
  <c r="I71" i="55"/>
  <c r="E71" i="55"/>
  <c r="M74" i="55"/>
  <c r="W64" i="55"/>
  <c r="R77" i="55"/>
  <c r="N73" i="55"/>
  <c r="J69" i="55"/>
  <c r="F65" i="55"/>
  <c r="F76" i="55"/>
  <c r="H70" i="55"/>
  <c r="F68" i="55"/>
  <c r="I63" i="55"/>
  <c r="F77" i="55"/>
  <c r="W70" i="55"/>
  <c r="U68" i="55"/>
  <c r="P63" i="55"/>
  <c r="M77" i="55"/>
  <c r="N70" i="55"/>
  <c r="Q65" i="55"/>
  <c r="K26" i="56"/>
  <c r="C31" i="56"/>
  <c r="M17" i="56"/>
  <c r="G22" i="56"/>
  <c r="I31" i="56"/>
  <c r="E19" i="56"/>
  <c r="H31" i="56"/>
  <c r="D19" i="56"/>
  <c r="D31" i="56"/>
  <c r="S63" i="55"/>
  <c r="G72" i="55"/>
  <c r="E77" i="55"/>
  <c r="X65" i="55"/>
  <c r="D76" i="55"/>
  <c r="L27" i="56"/>
  <c r="Q69" i="55"/>
  <c r="D26" i="56"/>
  <c r="D18" i="56"/>
  <c r="M63" i="55"/>
  <c r="W65" i="55"/>
  <c r="G76" i="55"/>
  <c r="K68" i="55"/>
  <c r="P68" i="55"/>
  <c r="L73" i="55"/>
  <c r="X73" i="55"/>
  <c r="G68" i="55"/>
  <c r="R76" i="55"/>
  <c r="O76" i="55"/>
  <c r="S68" i="55"/>
  <c r="K60" i="55"/>
  <c r="K76" i="55"/>
  <c r="R68" i="55"/>
  <c r="O59" i="55"/>
  <c r="T67" i="55"/>
  <c r="X67" i="55"/>
  <c r="E61" i="55"/>
  <c r="G61" i="55"/>
  <c r="K61" i="55"/>
  <c r="T72" i="55"/>
  <c r="W60" i="55"/>
  <c r="F74" i="55"/>
  <c r="Q61" i="55"/>
  <c r="R71" i="55"/>
  <c r="P60" i="55"/>
  <c r="L75" i="55"/>
  <c r="P75" i="55"/>
  <c r="C74" i="55"/>
  <c r="G74" i="55"/>
  <c r="R75" i="55"/>
  <c r="O75" i="55"/>
  <c r="J59" i="55"/>
  <c r="E58" i="55"/>
  <c r="I58" i="55"/>
  <c r="D66" i="55"/>
  <c r="H66" i="55"/>
  <c r="I72" i="55"/>
  <c r="M72" i="55"/>
  <c r="P64" i="55"/>
  <c r="R64" i="55"/>
  <c r="V64" i="55"/>
  <c r="N66" i="55"/>
  <c r="K59" i="55"/>
  <c r="M59" i="55"/>
  <c r="Q59" i="55"/>
  <c r="E60" i="55"/>
  <c r="I60" i="55"/>
  <c r="O71" i="55"/>
  <c r="Q71" i="55"/>
  <c r="M71" i="55"/>
  <c r="W72" i="55"/>
  <c r="C64" i="55"/>
  <c r="J77" i="55"/>
  <c r="F73" i="55"/>
  <c r="Y68" i="55"/>
  <c r="T63" i="55"/>
  <c r="W77" i="55"/>
  <c r="S73" i="55"/>
  <c r="W69" i="55"/>
  <c r="S65" i="55"/>
  <c r="U76" i="55"/>
  <c r="O70" i="55"/>
  <c r="M68" i="55"/>
  <c r="H63" i="55"/>
  <c r="T76" i="55"/>
  <c r="U69" i="55"/>
  <c r="W63" i="55"/>
  <c r="L15" i="56"/>
  <c r="F30" i="56"/>
  <c r="K23" i="56"/>
  <c r="L19" i="56"/>
  <c r="D30" i="56"/>
  <c r="E17" i="56"/>
  <c r="C30" i="56"/>
  <c r="C17" i="56"/>
  <c r="S69" i="55"/>
  <c r="Q66" i="55"/>
  <c r="F71" i="55"/>
  <c r="C63" i="55"/>
  <c r="F70" i="55"/>
  <c r="W75" i="55"/>
  <c r="L30" i="56"/>
  <c r="L61" i="55"/>
  <c r="E31" i="56"/>
  <c r="J76" i="55"/>
  <c r="G65" i="55"/>
  <c r="O73" i="55"/>
  <c r="U65" i="55"/>
  <c r="S76" i="55"/>
  <c r="H68" i="55"/>
  <c r="H73" i="55"/>
  <c r="O65" i="55"/>
  <c r="X68" i="55"/>
  <c r="W73" i="55"/>
  <c r="C68" i="55"/>
  <c r="J68" i="55"/>
  <c r="U73" i="55"/>
  <c r="V66" i="55"/>
  <c r="C67" i="55"/>
  <c r="E67" i="55"/>
  <c r="I67" i="55"/>
  <c r="M61" i="55"/>
  <c r="O61" i="55"/>
  <c r="S61" i="55"/>
  <c r="V71" i="55"/>
  <c r="W59" i="55"/>
  <c r="S72" i="55"/>
  <c r="S60" i="55"/>
  <c r="W67" i="55"/>
  <c r="R59" i="55"/>
  <c r="T75" i="55"/>
  <c r="X75" i="55"/>
  <c r="K74" i="55"/>
  <c r="O74" i="55"/>
  <c r="U74" i="55"/>
  <c r="Q74" i="55"/>
  <c r="V58" i="55"/>
  <c r="T58" i="55"/>
  <c r="J66" i="55"/>
  <c r="L66" i="55"/>
  <c r="P66" i="55"/>
  <c r="Q72" i="55"/>
  <c r="U72" i="55"/>
  <c r="X64" i="55"/>
  <c r="E64" i="55"/>
  <c r="R58" i="55"/>
  <c r="D64" i="55"/>
  <c r="S59" i="55"/>
  <c r="U59" i="55"/>
  <c r="Y59" i="55"/>
  <c r="M60" i="55"/>
  <c r="Q60" i="55"/>
  <c r="W71" i="55"/>
  <c r="Y71" i="55"/>
  <c r="U71" i="55"/>
  <c r="C72" i="55"/>
  <c r="X61" i="55"/>
  <c r="Y76" i="55"/>
  <c r="S70" i="55"/>
  <c r="Q68" i="55"/>
  <c r="L63" i="55"/>
  <c r="O77" i="55"/>
  <c r="K73" i="55"/>
  <c r="O69" i="55"/>
  <c r="K65" i="55"/>
  <c r="M76" i="55"/>
  <c r="G70" i="55"/>
  <c r="E68" i="55"/>
  <c r="L76" i="55"/>
  <c r="M69" i="55"/>
  <c r="O63" i="55"/>
  <c r="I27" i="56"/>
  <c r="H19" i="56"/>
  <c r="E23" i="56"/>
  <c r="K30" i="56"/>
  <c r="K17" i="56"/>
  <c r="H30" i="56"/>
  <c r="K63" i="55"/>
  <c r="I65" i="55"/>
  <c r="C13" i="56"/>
  <c r="G64" i="55"/>
  <c r="E69" i="55"/>
  <c r="G63" i="55"/>
  <c r="E74" i="55"/>
  <c r="G25" i="56"/>
  <c r="X76" i="55"/>
  <c r="K72" i="55"/>
  <c r="E65" i="55"/>
  <c r="C76" i="55"/>
  <c r="L64" i="55"/>
  <c r="Y70" i="55"/>
  <c r="K64" i="55"/>
  <c r="P65" i="55"/>
  <c r="G73" i="55"/>
  <c r="M65" i="55"/>
  <c r="T65" i="55"/>
  <c r="E73" i="55"/>
  <c r="L65" i="55"/>
  <c r="K67" i="55"/>
  <c r="M67" i="55"/>
  <c r="Q67" i="55"/>
  <c r="U61" i="55"/>
  <c r="W61" i="55"/>
  <c r="G58" i="55"/>
  <c r="G67" i="55"/>
  <c r="H58" i="55"/>
  <c r="S71" i="55"/>
  <c r="V59" i="55"/>
  <c r="Y66" i="55"/>
  <c r="C75" i="55"/>
  <c r="E75" i="55"/>
  <c r="I75" i="55"/>
  <c r="S74" i="55"/>
  <c r="W74" i="55"/>
  <c r="R67" i="55"/>
  <c r="J71" i="55"/>
  <c r="N58" i="55"/>
  <c r="L58" i="55"/>
  <c r="R66" i="55"/>
  <c r="T66" i="55"/>
  <c r="X66" i="55"/>
  <c r="Y72" i="55"/>
  <c r="F72" i="55"/>
  <c r="I64" i="55"/>
  <c r="M64" i="55"/>
  <c r="N75" i="55"/>
  <c r="Y61" i="55"/>
  <c r="D59" i="55"/>
  <c r="H59" i="55"/>
  <c r="O58" i="55"/>
  <c r="U60" i="55"/>
  <c r="Y60" i="55"/>
  <c r="H71" i="55"/>
  <c r="D71" i="55"/>
  <c r="C58" i="55"/>
  <c r="C71" i="55"/>
  <c r="X60" i="55"/>
  <c r="Q76" i="55"/>
  <c r="K70" i="55"/>
  <c r="I68" i="55"/>
  <c r="D63" i="55"/>
  <c r="G77" i="55"/>
  <c r="C73" i="55"/>
  <c r="G69" i="55"/>
  <c r="C65" i="55"/>
  <c r="E76" i="55"/>
  <c r="V69" i="55"/>
  <c r="R65" i="55"/>
  <c r="G17" i="56"/>
  <c r="I23" i="56"/>
  <c r="K71" i="55"/>
  <c r="H22" i="56"/>
  <c r="H65" i="55"/>
  <c r="T73" i="55"/>
  <c r="I19" i="56"/>
  <c r="R63" i="55"/>
  <c r="I73" i="55"/>
  <c r="P73" i="55"/>
  <c r="P77" i="55"/>
  <c r="T69" i="55"/>
  <c r="I77" i="55"/>
  <c r="P69" i="55"/>
  <c r="X77" i="55"/>
  <c r="E70" i="55"/>
  <c r="F63" i="55"/>
  <c r="T77" i="55"/>
  <c r="D70" i="55"/>
  <c r="E63" i="55"/>
  <c r="D67" i="55"/>
  <c r="H67" i="55"/>
  <c r="K58" i="55"/>
  <c r="N61" i="55"/>
  <c r="R61" i="55"/>
  <c r="G75" i="55"/>
  <c r="T64" i="55"/>
  <c r="Y75" i="55"/>
  <c r="F66" i="55"/>
  <c r="Y74" i="55"/>
  <c r="O64" i="55"/>
  <c r="S75" i="55"/>
  <c r="U75" i="55"/>
  <c r="J74" i="55"/>
  <c r="L74" i="55"/>
  <c r="P74" i="55"/>
  <c r="I61" i="55"/>
  <c r="H61" i="55"/>
  <c r="U58" i="55"/>
  <c r="Y58" i="55"/>
  <c r="K66" i="55"/>
  <c r="O66" i="55"/>
  <c r="P72" i="55"/>
  <c r="R72" i="55"/>
  <c r="V72" i="55"/>
  <c r="Y64" i="55"/>
  <c r="F64" i="55"/>
  <c r="D72" i="55"/>
  <c r="V67" i="55"/>
  <c r="T59" i="55"/>
  <c r="X59" i="55"/>
  <c r="L60" i="55"/>
  <c r="N60" i="55"/>
  <c r="R60" i="55"/>
  <c r="X71" i="55"/>
  <c r="T71" i="55"/>
  <c r="J75" i="55"/>
  <c r="M66" i="55"/>
  <c r="F59" i="55"/>
  <c r="V74" i="55"/>
  <c r="S77" i="55"/>
  <c r="U63" i="55"/>
  <c r="J61" i="55"/>
  <c r="E66" i="55"/>
  <c r="U66" i="55"/>
  <c r="H72" i="55"/>
  <c r="D61" i="55"/>
  <c r="P71" i="55"/>
  <c r="V73" i="55"/>
  <c r="V68" i="55"/>
  <c r="F69" i="55"/>
  <c r="U77" i="55"/>
  <c r="Y65" i="55"/>
  <c r="J17" i="56"/>
  <c r="E24" i="56"/>
  <c r="C22" i="56"/>
  <c r="I24" i="56"/>
  <c r="F25" i="56"/>
  <c r="K18" i="56"/>
  <c r="I29" i="56"/>
  <c r="I21" i="56"/>
  <c r="F14" i="56"/>
  <c r="H29" i="56"/>
  <c r="D25" i="56"/>
  <c r="K20" i="56"/>
  <c r="H18" i="56"/>
  <c r="J30" i="56"/>
  <c r="F26" i="56"/>
  <c r="M21" i="56"/>
  <c r="I17" i="56"/>
  <c r="E13" i="56"/>
  <c r="K12" i="56"/>
  <c r="I20" i="56"/>
  <c r="I30" i="56"/>
  <c r="E26" i="56"/>
  <c r="L21" i="56"/>
  <c r="H17" i="56"/>
  <c r="D13" i="56"/>
  <c r="M31" i="56"/>
  <c r="M15" i="56"/>
  <c r="F19" i="56"/>
  <c r="G20" i="56"/>
  <c r="I15" i="56"/>
  <c r="C24" i="56"/>
  <c r="L14" i="56"/>
  <c r="H76" i="55"/>
  <c r="Y67" i="55"/>
  <c r="C66" i="55"/>
  <c r="C60" i="55"/>
  <c r="C26" i="56"/>
  <c r="F17" i="56"/>
  <c r="M25" i="56"/>
  <c r="E22" i="56"/>
  <c r="L12" i="56"/>
  <c r="G13" i="56"/>
  <c r="E30" i="56"/>
  <c r="F12" i="56"/>
  <c r="E15" i="56"/>
  <c r="M70" i="55"/>
  <c r="U70" i="55"/>
  <c r="W58" i="55"/>
  <c r="K75" i="55"/>
  <c r="O67" i="55"/>
  <c r="J72" i="55"/>
  <c r="L59" i="55"/>
  <c r="L71" i="55"/>
  <c r="C70" i="55"/>
  <c r="N68" i="55"/>
  <c r="V77" i="55"/>
  <c r="J65" i="55"/>
  <c r="Y73" i="55"/>
  <c r="M19" i="56"/>
  <c r="H27" i="56"/>
  <c r="D15" i="56"/>
  <c r="D23" i="56"/>
  <c r="M28" i="56"/>
  <c r="L28" i="56"/>
  <c r="L20" i="56"/>
  <c r="I13" i="56"/>
  <c r="K28" i="56"/>
  <c r="G24" i="56"/>
  <c r="C20" i="56"/>
  <c r="J15" i="56"/>
  <c r="H15" i="56"/>
  <c r="M29" i="56"/>
  <c r="I25" i="56"/>
  <c r="E21" i="56"/>
  <c r="G29" i="56"/>
  <c r="F29" i="56"/>
  <c r="G18" i="56"/>
  <c r="L29" i="56"/>
  <c r="H25" i="56"/>
  <c r="D21" i="56"/>
  <c r="J29" i="56"/>
  <c r="K29" i="56"/>
  <c r="K13" i="56"/>
  <c r="M14" i="56"/>
  <c r="L24" i="56"/>
  <c r="I28" i="56"/>
  <c r="K14" i="56"/>
  <c r="D29" i="56"/>
  <c r="K24" i="56"/>
  <c r="L26" i="56"/>
  <c r="F15" i="56"/>
  <c r="R70" i="55"/>
  <c r="D74" i="55"/>
  <c r="N65" i="55"/>
  <c r="T68" i="55"/>
  <c r="M24" i="56"/>
  <c r="J21" i="56"/>
  <c r="I26" i="56"/>
  <c r="G23" i="56"/>
  <c r="J25" i="56"/>
  <c r="F23" i="56"/>
  <c r="D14" i="56"/>
  <c r="T70" i="55"/>
  <c r="G66" i="55"/>
  <c r="N74" i="55"/>
  <c r="I76" i="55"/>
  <c r="P70" i="55"/>
  <c r="C18" i="56"/>
  <c r="L23" i="56"/>
  <c r="E20" i="56"/>
  <c r="H12" i="56"/>
  <c r="C15" i="56"/>
  <c r="D17" i="56"/>
  <c r="G31" i="56"/>
  <c r="F18" i="56"/>
  <c r="F31" i="56"/>
  <c r="E18" i="56"/>
  <c r="L18" i="56"/>
  <c r="C77" i="55"/>
  <c r="D68" i="55"/>
  <c r="N63" i="55"/>
  <c r="Y77" i="55"/>
  <c r="V63" i="55"/>
  <c r="S67" i="55"/>
  <c r="I66" i="55"/>
  <c r="M75" i="55"/>
  <c r="F58" i="55"/>
  <c r="N72" i="55"/>
  <c r="P59" i="55"/>
  <c r="S58" i="55"/>
  <c r="R69" i="55"/>
  <c r="V76" i="55"/>
  <c r="Y63" i="55"/>
  <c r="N77" i="55"/>
  <c r="X63" i="55"/>
  <c r="Q73" i="55"/>
  <c r="L31" i="56"/>
  <c r="C25" i="56"/>
  <c r="M20" i="56"/>
  <c r="D27" i="56"/>
  <c r="J13" i="56"/>
  <c r="D28" i="56"/>
  <c r="D20" i="56"/>
  <c r="I12" i="56"/>
  <c r="C28" i="56"/>
  <c r="J23" i="56"/>
  <c r="F13" i="56"/>
  <c r="E29" i="56"/>
  <c r="H20" i="56"/>
  <c r="H26" i="56"/>
  <c r="J63" i="55"/>
  <c r="F67" i="55"/>
  <c r="F60" i="55"/>
  <c r="X70" i="55"/>
  <c r="F24" i="56"/>
  <c r="C23" i="56"/>
  <c r="M30" i="56"/>
  <c r="L17" i="56"/>
  <c r="K27" i="56"/>
  <c r="J14" i="56"/>
  <c r="J27" i="56"/>
  <c r="I14" i="56"/>
  <c r="K21" i="56"/>
  <c r="F61" i="55"/>
  <c r="F28" i="56"/>
  <c r="G60" i="55"/>
  <c r="I70" i="55"/>
  <c r="U67" i="55"/>
  <c r="X58" i="55"/>
  <c r="Q75" i="55"/>
  <c r="D58" i="55"/>
  <c r="Q64" i="55"/>
  <c r="D60" i="55"/>
  <c r="J67" i="55"/>
  <c r="V65" i="55"/>
  <c r="N76" i="55"/>
  <c r="Q63" i="55"/>
  <c r="R73" i="55"/>
  <c r="V70" i="55"/>
  <c r="G30" i="56"/>
  <c r="K31" i="56"/>
  <c r="M27" i="56"/>
  <c r="G27" i="56"/>
  <c r="G19" i="56"/>
  <c r="G14" i="56"/>
  <c r="H24" i="56"/>
  <c r="G12" i="56"/>
  <c r="J26" i="56"/>
  <c r="J18" i="56"/>
  <c r="J31" i="56"/>
  <c r="F27" i="56"/>
  <c r="M22" i="56"/>
  <c r="I18" i="56"/>
  <c r="E14" i="56"/>
  <c r="D12" i="56"/>
  <c r="H28" i="56"/>
  <c r="D24" i="56"/>
  <c r="K19" i="56"/>
  <c r="G15" i="56"/>
  <c r="G21" i="56"/>
  <c r="G26" i="56"/>
  <c r="E12" i="56"/>
  <c r="G28" i="56"/>
  <c r="J19" i="56"/>
  <c r="M23" i="56"/>
  <c r="D65" i="55"/>
  <c r="U64" i="55"/>
  <c r="J73" i="55"/>
  <c r="K25" i="56"/>
  <c r="J28" i="56"/>
  <c r="K15" i="56"/>
  <c r="H13" i="56"/>
  <c r="C19" i="56"/>
  <c r="M12" i="56"/>
  <c r="M18" i="56"/>
  <c r="M73" i="55"/>
  <c r="J58" i="55"/>
  <c r="H74" i="55"/>
  <c r="J60" i="55"/>
  <c r="N69" i="55"/>
  <c r="L68" i="55"/>
  <c r="E28" i="56"/>
  <c r="H23" i="56"/>
  <c r="E27" i="56"/>
  <c r="J20" i="56"/>
  <c r="E25" i="56"/>
  <c r="L25" i="56"/>
  <c r="J12" i="56"/>
  <c r="J22" i="56"/>
  <c r="C12" i="56"/>
  <c r="M26" i="56"/>
  <c r="C14" i="56"/>
  <c r="H21" i="56"/>
  <c r="C27" i="56"/>
  <c r="M13" i="56"/>
  <c r="F21" i="56"/>
  <c r="I22" i="56"/>
  <c r="L13" i="56"/>
  <c r="Z100" i="27"/>
  <c r="AA100" i="27" l="1"/>
  <c r="AD100" i="27"/>
  <c r="AC100" i="27"/>
  <c r="AG99" i="27" l="1"/>
  <c r="AG98" i="27"/>
  <c r="AG97" i="27"/>
  <c r="AG96" i="27"/>
  <c r="AG95" i="27"/>
  <c r="AG94" i="27"/>
  <c r="AG93" i="27"/>
  <c r="AG92" i="27"/>
  <c r="AF99" i="27"/>
  <c r="AF98" i="27"/>
  <c r="AF97" i="27"/>
  <c r="AF96" i="27"/>
  <c r="AF95" i="27"/>
  <c r="AF94" i="27"/>
  <c r="AF93" i="27"/>
  <c r="AF92" i="27"/>
  <c r="AE99" i="27"/>
  <c r="AE98" i="27"/>
  <c r="AE97" i="27"/>
  <c r="AE96" i="27"/>
  <c r="AE95" i="27"/>
  <c r="AE94" i="27"/>
  <c r="AE93" i="27"/>
  <c r="AE92" i="27"/>
  <c r="AG91" i="27"/>
  <c r="AF91" i="27"/>
  <c r="AG90" i="27"/>
  <c r="AF90" i="27"/>
  <c r="AG89" i="27"/>
  <c r="AF89" i="27"/>
  <c r="AG88" i="27"/>
  <c r="AF88" i="27"/>
  <c r="AG87" i="27"/>
  <c r="AF87" i="27"/>
  <c r="AG86" i="27"/>
  <c r="AF86" i="27"/>
  <c r="AG85" i="27"/>
  <c r="AF85" i="27"/>
  <c r="AG84" i="27"/>
  <c r="AF84" i="27"/>
  <c r="AG83" i="27"/>
  <c r="AF83" i="27"/>
  <c r="AG82" i="27"/>
  <c r="AF82" i="27"/>
  <c r="AG81" i="27"/>
  <c r="AF81" i="27"/>
  <c r="AG80" i="27"/>
  <c r="AF80" i="27"/>
  <c r="AG79" i="27"/>
  <c r="AF79" i="27"/>
  <c r="AG78" i="27"/>
  <c r="AF78" i="27"/>
  <c r="AG77" i="27"/>
  <c r="AF77" i="27"/>
  <c r="AG76" i="27"/>
  <c r="AF76" i="27"/>
  <c r="AC94" i="27"/>
  <c r="AB99" i="27"/>
  <c r="AB98" i="27"/>
  <c r="AB97" i="27"/>
  <c r="AB96" i="27"/>
  <c r="AB95" i="27"/>
  <c r="AB94" i="27"/>
  <c r="AE91" i="27"/>
  <c r="AE90" i="27"/>
  <c r="AE89" i="27"/>
  <c r="AE88" i="27"/>
  <c r="AE87" i="27"/>
  <c r="AE86" i="27"/>
  <c r="AE85" i="27"/>
  <c r="AE84" i="27"/>
  <c r="AE83" i="27"/>
  <c r="AE82" i="27"/>
  <c r="AE81" i="27"/>
  <c r="AE80" i="27"/>
  <c r="AE79" i="27"/>
  <c r="AE78" i="27"/>
  <c r="AE77" i="27"/>
  <c r="AE76" i="27"/>
  <c r="AD93" i="27"/>
  <c r="AD92" i="27"/>
  <c r="AD91" i="27"/>
  <c r="AD90" i="27"/>
  <c r="AD89" i="27"/>
  <c r="AD88" i="27"/>
  <c r="AD87" i="27"/>
  <c r="AD86" i="27"/>
  <c r="AD85" i="27"/>
  <c r="AD84" i="27"/>
  <c r="AD83" i="27"/>
  <c r="AD82" i="27"/>
  <c r="AD81" i="27"/>
  <c r="AD80" i="27"/>
  <c r="AD79" i="27"/>
  <c r="AD78" i="27"/>
  <c r="AD77" i="27"/>
  <c r="AD76" i="27"/>
  <c r="AC93" i="27"/>
  <c r="AC92" i="27"/>
  <c r="AC91" i="27"/>
  <c r="AC90" i="27"/>
  <c r="AC89" i="27"/>
  <c r="AC88" i="27"/>
  <c r="AC87" i="27"/>
  <c r="AC86" i="27"/>
  <c r="AC85" i="27"/>
  <c r="AC84" i="27"/>
  <c r="AC83" i="27"/>
  <c r="AC82" i="27"/>
  <c r="AC81" i="27"/>
  <c r="AC80" i="27"/>
  <c r="AC79" i="27"/>
  <c r="AC78" i="27"/>
  <c r="AC77" i="27"/>
  <c r="AC76" i="27"/>
  <c r="AB93" i="27"/>
  <c r="AB92" i="27"/>
  <c r="AB91" i="27"/>
  <c r="AB90" i="27"/>
  <c r="AB89" i="27"/>
  <c r="AB88" i="27"/>
  <c r="AB87" i="27"/>
  <c r="AB86" i="27"/>
  <c r="AB85" i="27"/>
  <c r="AB84" i="27"/>
  <c r="AB83" i="27"/>
  <c r="AB82" i="27"/>
  <c r="AB81" i="27"/>
  <c r="AB80" i="27"/>
  <c r="AB79" i="27"/>
  <c r="AB78" i="27"/>
  <c r="AB77" i="27"/>
  <c r="AB76" i="27"/>
  <c r="AA93" i="27"/>
  <c r="AA92" i="27"/>
  <c r="AA91" i="27"/>
  <c r="AA90" i="27"/>
  <c r="AA89" i="27"/>
  <c r="AA88" i="27"/>
  <c r="AA87" i="27"/>
  <c r="AA86" i="27"/>
  <c r="AA85" i="27"/>
  <c r="AA84" i="27"/>
  <c r="AA83" i="27"/>
  <c r="AA82" i="27"/>
  <c r="AA81" i="27"/>
  <c r="AA80" i="27"/>
  <c r="AA79" i="27"/>
  <c r="AA78" i="27"/>
  <c r="AA77" i="27"/>
  <c r="AA76" i="27"/>
  <c r="Z99" i="27"/>
  <c r="AA99" i="27" s="1"/>
  <c r="Z98" i="27"/>
  <c r="AA98" i="27" s="1"/>
  <c r="Z97" i="27"/>
  <c r="AA97" i="27" s="1"/>
  <c r="Z96" i="27"/>
  <c r="AD96" i="27" s="1"/>
  <c r="Z95" i="27"/>
  <c r="AD95" i="27" s="1"/>
  <c r="Z94" i="27"/>
  <c r="AD94" i="27" s="1"/>
  <c r="Z93" i="27"/>
  <c r="Z92" i="27"/>
  <c r="Z91" i="27"/>
  <c r="Z90" i="27"/>
  <c r="Z89" i="27"/>
  <c r="Z88" i="27"/>
  <c r="Z87" i="27"/>
  <c r="Z86" i="27"/>
  <c r="Z85" i="27"/>
  <c r="Z84" i="27"/>
  <c r="Z83" i="27"/>
  <c r="Z82" i="27"/>
  <c r="Z81" i="27"/>
  <c r="Z80" i="27"/>
  <c r="Z79" i="27"/>
  <c r="Z78" i="27"/>
  <c r="Z77" i="27"/>
  <c r="Z76" i="27"/>
  <c r="EQ124" i="27" l="1" a="1"/>
  <c r="EQ124" i="27" s="1"/>
  <c r="EQ82" i="27" a="1"/>
  <c r="EQ82" i="27" s="1"/>
  <c r="EP82" i="27" a="1"/>
  <c r="EP82" i="27" s="1"/>
  <c r="EO82" i="27" a="1"/>
  <c r="EO82" i="27" s="1"/>
  <c r="EP124" i="27" a="1"/>
  <c r="EP124" i="27" s="1"/>
  <c r="EO124" i="27" a="1"/>
  <c r="EO124" i="27" s="1"/>
  <c r="EP99" i="27" a="1"/>
  <c r="EP99" i="27" s="1"/>
  <c r="DH127" i="27" a="1"/>
  <c r="DH127" i="27" s="1"/>
  <c r="DI124" i="27" a="1"/>
  <c r="DI124" i="27" s="1"/>
  <c r="DJ121" i="27" a="1"/>
  <c r="DJ121" i="27" s="1"/>
  <c r="DH119" i="27" a="1"/>
  <c r="DH119" i="27" s="1"/>
  <c r="DI116" i="27" a="1"/>
  <c r="DI116" i="27" s="1"/>
  <c r="DJ113" i="27" a="1"/>
  <c r="DJ113" i="27" s="1"/>
  <c r="DH111" i="27" a="1"/>
  <c r="DH111" i="27" s="1"/>
  <c r="DI108" i="27" a="1"/>
  <c r="DI108" i="27" s="1"/>
  <c r="DJ105" i="27" a="1"/>
  <c r="DJ105" i="27" s="1"/>
  <c r="DH103" i="27" a="1"/>
  <c r="DH103" i="27" s="1"/>
  <c r="DI100" i="27" a="1"/>
  <c r="DI100" i="27" s="1"/>
  <c r="DJ97" i="27" a="1"/>
  <c r="DJ97" i="27" s="1"/>
  <c r="DH95" i="27" a="1"/>
  <c r="DH95" i="27" s="1"/>
  <c r="DI92" i="27" a="1"/>
  <c r="DI92" i="27" s="1"/>
  <c r="DC137" i="27" a="1"/>
  <c r="DC137" i="27" s="1"/>
  <c r="DA135" i="27" a="1"/>
  <c r="DA135" i="27" s="1"/>
  <c r="DB132" i="27" a="1"/>
  <c r="DB132" i="27" s="1"/>
  <c r="DC129" i="27" a="1"/>
  <c r="DC129" i="27" s="1"/>
  <c r="DA127" i="27" a="1"/>
  <c r="DA127" i="27" s="1"/>
  <c r="DB124" i="27" a="1"/>
  <c r="DB124" i="27" s="1"/>
  <c r="DC121" i="27" a="1"/>
  <c r="DC121" i="27" s="1"/>
  <c r="DA119" i="27" a="1"/>
  <c r="DA119" i="27" s="1"/>
  <c r="DB116" i="27" a="1"/>
  <c r="DB116" i="27" s="1"/>
  <c r="DC113" i="27" a="1"/>
  <c r="DC113" i="27" s="1"/>
  <c r="DA111" i="27" a="1"/>
  <c r="DA111" i="27" s="1"/>
  <c r="DB108" i="27" a="1"/>
  <c r="DB108" i="27" s="1"/>
  <c r="DC105" i="27" a="1"/>
  <c r="DC105" i="27" s="1"/>
  <c r="DA103" i="27" a="1"/>
  <c r="DA103" i="27" s="1"/>
  <c r="DB100" i="27" a="1"/>
  <c r="DB100" i="27" s="1"/>
  <c r="EI133" i="27" a="1"/>
  <c r="EI133" i="27" s="1"/>
  <c r="EJ130" i="27" a="1"/>
  <c r="EJ130" i="27" s="1"/>
  <c r="EH128" i="27" a="1"/>
  <c r="EH128" i="27" s="1"/>
  <c r="EI125" i="27" a="1"/>
  <c r="EI125" i="27" s="1"/>
  <c r="EJ122" i="27" a="1"/>
  <c r="EJ122" i="27" s="1"/>
  <c r="EH120" i="27" a="1"/>
  <c r="EH120" i="27" s="1"/>
  <c r="EI117" i="27" a="1"/>
  <c r="EI117" i="27" s="1"/>
  <c r="EJ114" i="27" a="1"/>
  <c r="EJ114" i="27" s="1"/>
  <c r="EH112" i="27" a="1"/>
  <c r="EH112" i="27" s="1"/>
  <c r="EI109" i="27" a="1"/>
  <c r="EI109" i="27" s="1"/>
  <c r="EJ106" i="27" a="1"/>
  <c r="EJ106" i="27" s="1"/>
  <c r="EH104" i="27" a="1"/>
  <c r="EH104" i="27" s="1"/>
  <c r="EI101" i="27" a="1"/>
  <c r="EI101" i="27" s="1"/>
  <c r="EJ98" i="27" a="1"/>
  <c r="EJ98" i="27" s="1"/>
  <c r="EH96" i="27" a="1"/>
  <c r="EH96" i="27" s="1"/>
  <c r="EJ95" i="27" a="1"/>
  <c r="EJ95" i="27" s="1"/>
  <c r="DH126" i="27" a="1"/>
  <c r="DH126" i="27" s="1"/>
  <c r="DI123" i="27" a="1"/>
  <c r="DI123" i="27" s="1"/>
  <c r="DH118" i="27" a="1"/>
  <c r="DH118" i="27" s="1"/>
  <c r="DJ112" i="27" a="1"/>
  <c r="DJ112" i="27" s="1"/>
  <c r="DJ104" i="27" a="1"/>
  <c r="DJ104" i="27" s="1"/>
  <c r="DJ96" i="27" a="1"/>
  <c r="DJ96" i="27" s="1"/>
  <c r="DC136" i="27" a="1"/>
  <c r="DC136" i="27" s="1"/>
  <c r="DC128" i="27" a="1"/>
  <c r="DC128" i="27" s="1"/>
  <c r="DC120" i="27" a="1"/>
  <c r="DC120" i="27" s="1"/>
  <c r="DB115" i="27" a="1"/>
  <c r="DB115" i="27" s="1"/>
  <c r="DB107" i="27" a="1"/>
  <c r="DB107" i="27" s="1"/>
  <c r="DB99" i="27" a="1"/>
  <c r="DB99" i="27" s="1"/>
  <c r="EJ129" i="27" a="1"/>
  <c r="EJ129" i="27" s="1"/>
  <c r="EI124" i="27" a="1"/>
  <c r="EI124" i="27" s="1"/>
  <c r="EI116" i="27" a="1"/>
  <c r="EI116" i="27" s="1"/>
  <c r="EI108" i="27" a="1"/>
  <c r="EI108" i="27" s="1"/>
  <c r="EI100" i="27" a="1"/>
  <c r="EI100" i="27" s="1"/>
  <c r="EO99" i="27" a="1"/>
  <c r="EO99" i="27" s="1"/>
  <c r="DJ126" i="27" a="1"/>
  <c r="DJ126" i="27" s="1"/>
  <c r="DH124" i="27" a="1"/>
  <c r="DH124" i="27" s="1"/>
  <c r="DI121" i="27" a="1"/>
  <c r="DI121" i="27" s="1"/>
  <c r="DJ118" i="27" a="1"/>
  <c r="DJ118" i="27" s="1"/>
  <c r="DH116" i="27" a="1"/>
  <c r="DH116" i="27" s="1"/>
  <c r="DI113" i="27" a="1"/>
  <c r="DI113" i="27" s="1"/>
  <c r="DJ110" i="27" a="1"/>
  <c r="DJ110" i="27" s="1"/>
  <c r="DH108" i="27" a="1"/>
  <c r="DH108" i="27" s="1"/>
  <c r="DI105" i="27" a="1"/>
  <c r="DI105" i="27" s="1"/>
  <c r="DJ102" i="27" a="1"/>
  <c r="DJ102" i="27" s="1"/>
  <c r="DH100" i="27" a="1"/>
  <c r="DH100" i="27" s="1"/>
  <c r="DI97" i="27" a="1"/>
  <c r="DI97" i="27" s="1"/>
  <c r="DJ94" i="27" a="1"/>
  <c r="DJ94" i="27" s="1"/>
  <c r="DH92" i="27" a="1"/>
  <c r="DH92" i="27" s="1"/>
  <c r="DB137" i="27" a="1"/>
  <c r="DB137" i="27" s="1"/>
  <c r="DC134" i="27" a="1"/>
  <c r="DC134" i="27" s="1"/>
  <c r="DA132" i="27" a="1"/>
  <c r="DA132" i="27" s="1"/>
  <c r="DB129" i="27" a="1"/>
  <c r="DB129" i="27" s="1"/>
  <c r="DC126" i="27" a="1"/>
  <c r="DC126" i="27" s="1"/>
  <c r="DA124" i="27" a="1"/>
  <c r="DA124" i="27" s="1"/>
  <c r="DB121" i="27" a="1"/>
  <c r="DB121" i="27" s="1"/>
  <c r="DC118" i="27" a="1"/>
  <c r="DC118" i="27" s="1"/>
  <c r="DA116" i="27" a="1"/>
  <c r="DA116" i="27" s="1"/>
  <c r="DB113" i="27" a="1"/>
  <c r="DB113" i="27" s="1"/>
  <c r="DC110" i="27" a="1"/>
  <c r="DC110" i="27" s="1"/>
  <c r="DA108" i="27" a="1"/>
  <c r="DA108" i="27" s="1"/>
  <c r="DB105" i="27" a="1"/>
  <c r="DB105" i="27" s="1"/>
  <c r="DC102" i="27" a="1"/>
  <c r="DC102" i="27" s="1"/>
  <c r="DA100" i="27" a="1"/>
  <c r="DA100" i="27" s="1"/>
  <c r="EH133" i="27" a="1"/>
  <c r="EH133" i="27" s="1"/>
  <c r="EI130" i="27" a="1"/>
  <c r="EI130" i="27" s="1"/>
  <c r="EJ127" i="27" a="1"/>
  <c r="EJ127" i="27" s="1"/>
  <c r="EH125" i="27" a="1"/>
  <c r="EH125" i="27" s="1"/>
  <c r="EI122" i="27" a="1"/>
  <c r="EI122" i="27" s="1"/>
  <c r="EJ119" i="27" a="1"/>
  <c r="EJ119" i="27" s="1"/>
  <c r="EH117" i="27" a="1"/>
  <c r="EH117" i="27" s="1"/>
  <c r="EI114" i="27" a="1"/>
  <c r="EI114" i="27" s="1"/>
  <c r="EJ111" i="27" a="1"/>
  <c r="EJ111" i="27" s="1"/>
  <c r="EH109" i="27" a="1"/>
  <c r="EH109" i="27" s="1"/>
  <c r="EI106" i="27" a="1"/>
  <c r="EI106" i="27" s="1"/>
  <c r="EJ103" i="27" a="1"/>
  <c r="EJ103" i="27" s="1"/>
  <c r="EH101" i="27" a="1"/>
  <c r="EH101" i="27" s="1"/>
  <c r="EI98" i="27" a="1"/>
  <c r="EI98" i="27" s="1"/>
  <c r="DJ128" i="27" a="1"/>
  <c r="DJ128" i="27" s="1"/>
  <c r="DJ120" i="27" a="1"/>
  <c r="DJ120" i="27" s="1"/>
  <c r="DI115" i="27" a="1"/>
  <c r="DI115" i="27" s="1"/>
  <c r="DH110" i="27" a="1"/>
  <c r="DH110" i="27" s="1"/>
  <c r="DI99" i="27" a="1"/>
  <c r="DI99" i="27" s="1"/>
  <c r="DI91" i="27" a="1"/>
  <c r="DI91" i="27" s="1"/>
  <c r="DB131" i="27" a="1"/>
  <c r="DB131" i="27" s="1"/>
  <c r="DB123" i="27" a="1"/>
  <c r="DB123" i="27" s="1"/>
  <c r="DC112" i="27" a="1"/>
  <c r="DC112" i="27" s="1"/>
  <c r="DC104" i="27" a="1"/>
  <c r="DC104" i="27" s="1"/>
  <c r="EH127" i="27" a="1"/>
  <c r="EH127" i="27" s="1"/>
  <c r="EH119" i="27" a="1"/>
  <c r="EH119" i="27" s="1"/>
  <c r="EJ113" i="27" a="1"/>
  <c r="EJ113" i="27" s="1"/>
  <c r="EH103" i="27" a="1"/>
  <c r="EH103" i="27" s="1"/>
  <c r="EQ57" i="27" a="1"/>
  <c r="EQ57" i="27" s="1"/>
  <c r="DI126" i="27" a="1"/>
  <c r="DI126" i="27" s="1"/>
  <c r="DJ123" i="27" a="1"/>
  <c r="DJ123" i="27" s="1"/>
  <c r="DH121" i="27" a="1"/>
  <c r="DH121" i="27" s="1"/>
  <c r="DI118" i="27" a="1"/>
  <c r="DI118" i="27" s="1"/>
  <c r="DJ115" i="27" a="1"/>
  <c r="DJ115" i="27" s="1"/>
  <c r="DH113" i="27" a="1"/>
  <c r="DH113" i="27" s="1"/>
  <c r="DI110" i="27" a="1"/>
  <c r="DI110" i="27" s="1"/>
  <c r="DJ107" i="27" a="1"/>
  <c r="DJ107" i="27" s="1"/>
  <c r="DH105" i="27" a="1"/>
  <c r="DH105" i="27" s="1"/>
  <c r="DI102" i="27" a="1"/>
  <c r="DI102" i="27" s="1"/>
  <c r="DJ99" i="27" a="1"/>
  <c r="DJ99" i="27" s="1"/>
  <c r="DH97" i="27" a="1"/>
  <c r="DH97" i="27" s="1"/>
  <c r="DI94" i="27" a="1"/>
  <c r="DI94" i="27" s="1"/>
  <c r="DJ91" i="27" a="1"/>
  <c r="DJ91" i="27" s="1"/>
  <c r="DA137" i="27" a="1"/>
  <c r="DA137" i="27" s="1"/>
  <c r="DB134" i="27" a="1"/>
  <c r="DB134" i="27" s="1"/>
  <c r="DC131" i="27" a="1"/>
  <c r="DC131" i="27" s="1"/>
  <c r="DA129" i="27" a="1"/>
  <c r="DA129" i="27" s="1"/>
  <c r="DB126" i="27" a="1"/>
  <c r="DB126" i="27" s="1"/>
  <c r="DC123" i="27" a="1"/>
  <c r="DC123" i="27" s="1"/>
  <c r="DA121" i="27" a="1"/>
  <c r="DA121" i="27" s="1"/>
  <c r="DB118" i="27" a="1"/>
  <c r="DB118" i="27" s="1"/>
  <c r="DC115" i="27" a="1"/>
  <c r="DC115" i="27" s="1"/>
  <c r="DA113" i="27" a="1"/>
  <c r="DA113" i="27" s="1"/>
  <c r="DB110" i="27" a="1"/>
  <c r="DB110" i="27" s="1"/>
  <c r="DC107" i="27" a="1"/>
  <c r="DC107" i="27" s="1"/>
  <c r="DA105" i="27" a="1"/>
  <c r="DA105" i="27" s="1"/>
  <c r="DB102" i="27" a="1"/>
  <c r="DB102" i="27" s="1"/>
  <c r="DC99" i="27" a="1"/>
  <c r="DC99" i="27" s="1"/>
  <c r="EJ132" i="27" a="1"/>
  <c r="EJ132" i="27" s="1"/>
  <c r="EH130" i="27" a="1"/>
  <c r="EH130" i="27" s="1"/>
  <c r="EI127" i="27" a="1"/>
  <c r="EI127" i="27" s="1"/>
  <c r="EJ124" i="27" a="1"/>
  <c r="EJ124" i="27" s="1"/>
  <c r="EH122" i="27" a="1"/>
  <c r="EH122" i="27" s="1"/>
  <c r="EI119" i="27" a="1"/>
  <c r="EI119" i="27" s="1"/>
  <c r="EJ116" i="27" a="1"/>
  <c r="EJ116" i="27" s="1"/>
  <c r="EH114" i="27" a="1"/>
  <c r="EH114" i="27" s="1"/>
  <c r="EI111" i="27" a="1"/>
  <c r="EI111" i="27" s="1"/>
  <c r="EJ108" i="27" a="1"/>
  <c r="EJ108" i="27" s="1"/>
  <c r="EH106" i="27" a="1"/>
  <c r="EH106" i="27" s="1"/>
  <c r="EI103" i="27" a="1"/>
  <c r="EI103" i="27" s="1"/>
  <c r="EJ100" i="27" a="1"/>
  <c r="EJ100" i="27" s="1"/>
  <c r="EH98" i="27" a="1"/>
  <c r="EH98" i="27" s="1"/>
  <c r="EI95" i="27" a="1"/>
  <c r="EI95" i="27" s="1"/>
  <c r="EP57" i="27" a="1"/>
  <c r="EP57" i="27" s="1"/>
  <c r="DI107" i="27" a="1"/>
  <c r="DI107" i="27" s="1"/>
  <c r="DH102" i="27" a="1"/>
  <c r="DH102" i="27" s="1"/>
  <c r="DH94" i="27" a="1"/>
  <c r="DH94" i="27" s="1"/>
  <c r="DA134" i="27" a="1"/>
  <c r="DA134" i="27" s="1"/>
  <c r="DA126" i="27" a="1"/>
  <c r="DA126" i="27" s="1"/>
  <c r="DA118" i="27" a="1"/>
  <c r="DA118" i="27" s="1"/>
  <c r="DA110" i="27" a="1"/>
  <c r="DA110" i="27" s="1"/>
  <c r="DA102" i="27" a="1"/>
  <c r="DA102" i="27" s="1"/>
  <c r="EI132" i="27" a="1"/>
  <c r="EI132" i="27" s="1"/>
  <c r="EJ121" i="27" a="1"/>
  <c r="EJ121" i="27" s="1"/>
  <c r="EH111" i="27" a="1"/>
  <c r="EH111" i="27" s="1"/>
  <c r="EJ105" i="27" a="1"/>
  <c r="EJ105" i="27" s="1"/>
  <c r="DH128" i="27" a="1"/>
  <c r="DH128" i="27" s="1"/>
  <c r="DI125" i="27" a="1"/>
  <c r="DI125" i="27" s="1"/>
  <c r="DJ122" i="27" a="1"/>
  <c r="DJ122" i="27" s="1"/>
  <c r="DH120" i="27" a="1"/>
  <c r="DH120" i="27" s="1"/>
  <c r="DI117" i="27" a="1"/>
  <c r="DI117" i="27" s="1"/>
  <c r="DJ114" i="27" a="1"/>
  <c r="DJ114" i="27" s="1"/>
  <c r="DH112" i="27" a="1"/>
  <c r="DH112" i="27" s="1"/>
  <c r="DI109" i="27" a="1"/>
  <c r="DI109" i="27" s="1"/>
  <c r="DJ106" i="27" a="1"/>
  <c r="DJ106" i="27" s="1"/>
  <c r="DH104" i="27" a="1"/>
  <c r="DH104" i="27" s="1"/>
  <c r="DI101" i="27" a="1"/>
  <c r="DI101" i="27" s="1"/>
  <c r="DJ98" i="27" a="1"/>
  <c r="DJ98" i="27" s="1"/>
  <c r="DH96" i="27" a="1"/>
  <c r="DH96" i="27" s="1"/>
  <c r="DI93" i="27" a="1"/>
  <c r="DI93" i="27" s="1"/>
  <c r="DJ90" i="27" a="1"/>
  <c r="DJ90" i="27" s="1"/>
  <c r="DA136" i="27" a="1"/>
  <c r="DA136" i="27" s="1"/>
  <c r="DB133" i="27" a="1"/>
  <c r="DB133" i="27" s="1"/>
  <c r="DC130" i="27" a="1"/>
  <c r="DC130" i="27" s="1"/>
  <c r="DA128" i="27" a="1"/>
  <c r="DA128" i="27" s="1"/>
  <c r="DB125" i="27" a="1"/>
  <c r="DB125" i="27" s="1"/>
  <c r="DC122" i="27" a="1"/>
  <c r="DC122" i="27" s="1"/>
  <c r="DA120" i="27" a="1"/>
  <c r="DA120" i="27" s="1"/>
  <c r="DB117" i="27" a="1"/>
  <c r="DB117" i="27" s="1"/>
  <c r="DC114" i="27" a="1"/>
  <c r="DC114" i="27" s="1"/>
  <c r="DA112" i="27" a="1"/>
  <c r="DA112" i="27" s="1"/>
  <c r="DB109" i="27" a="1"/>
  <c r="DB109" i="27" s="1"/>
  <c r="DC106" i="27" a="1"/>
  <c r="DC106" i="27" s="1"/>
  <c r="DA104" i="27" a="1"/>
  <c r="DA104" i="27" s="1"/>
  <c r="DB101" i="27" a="1"/>
  <c r="DB101" i="27" s="1"/>
  <c r="EJ131" i="27" a="1"/>
  <c r="EJ131" i="27" s="1"/>
  <c r="EH129" i="27" a="1"/>
  <c r="EH129" i="27" s="1"/>
  <c r="EI126" i="27" a="1"/>
  <c r="EI126" i="27" s="1"/>
  <c r="EJ123" i="27" a="1"/>
  <c r="EJ123" i="27" s="1"/>
  <c r="EH121" i="27" a="1"/>
  <c r="EH121" i="27" s="1"/>
  <c r="EI118" i="27" a="1"/>
  <c r="EI118" i="27" s="1"/>
  <c r="EJ115" i="27" a="1"/>
  <c r="EJ115" i="27" s="1"/>
  <c r="EH113" i="27" a="1"/>
  <c r="EH113" i="27" s="1"/>
  <c r="EI110" i="27" a="1"/>
  <c r="EI110" i="27" s="1"/>
  <c r="EJ107" i="27" a="1"/>
  <c r="EJ107" i="27" s="1"/>
  <c r="EH105" i="27" a="1"/>
  <c r="EH105" i="27" s="1"/>
  <c r="EI102" i="27" a="1"/>
  <c r="EI102" i="27" s="1"/>
  <c r="EJ99" i="27" a="1"/>
  <c r="EJ99" i="27" s="1"/>
  <c r="EH97" i="27" a="1"/>
  <c r="EH97" i="27" s="1"/>
  <c r="DJ127" i="27" a="1"/>
  <c r="DJ127" i="27" s="1"/>
  <c r="DH125" i="27" a="1"/>
  <c r="DH125" i="27" s="1"/>
  <c r="DI122" i="27" a="1"/>
  <c r="DI122" i="27" s="1"/>
  <c r="DJ119" i="27" a="1"/>
  <c r="DJ119" i="27" s="1"/>
  <c r="DH117" i="27" a="1"/>
  <c r="DH117" i="27" s="1"/>
  <c r="DI114" i="27" a="1"/>
  <c r="DI114" i="27" s="1"/>
  <c r="DJ111" i="27" a="1"/>
  <c r="DJ111" i="27" s="1"/>
  <c r="DH109" i="27" a="1"/>
  <c r="DH109" i="27" s="1"/>
  <c r="DI106" i="27" a="1"/>
  <c r="DI106" i="27" s="1"/>
  <c r="DJ103" i="27" a="1"/>
  <c r="DJ103" i="27" s="1"/>
  <c r="DH101" i="27" a="1"/>
  <c r="DH101" i="27" s="1"/>
  <c r="DI98" i="27" a="1"/>
  <c r="DI98" i="27" s="1"/>
  <c r="DJ95" i="27" a="1"/>
  <c r="DJ95" i="27" s="1"/>
  <c r="DH93" i="27" a="1"/>
  <c r="DH93" i="27" s="1"/>
  <c r="DI90" i="27" a="1"/>
  <c r="DI90" i="27" s="1"/>
  <c r="DC135" i="27" a="1"/>
  <c r="DC135" i="27" s="1"/>
  <c r="DA133" i="27" a="1"/>
  <c r="DA133" i="27" s="1"/>
  <c r="DB130" i="27" a="1"/>
  <c r="DB130" i="27" s="1"/>
  <c r="DC127" i="27" a="1"/>
  <c r="DC127" i="27" s="1"/>
  <c r="DA125" i="27" a="1"/>
  <c r="DA125" i="27" s="1"/>
  <c r="DB122" i="27" a="1"/>
  <c r="DB122" i="27" s="1"/>
  <c r="DC119" i="27" a="1"/>
  <c r="DC119" i="27" s="1"/>
  <c r="DA117" i="27" a="1"/>
  <c r="DA117" i="27" s="1"/>
  <c r="DB114" i="27" a="1"/>
  <c r="DB114" i="27" s="1"/>
  <c r="DC111" i="27" a="1"/>
  <c r="DC111" i="27" s="1"/>
  <c r="DA109" i="27" a="1"/>
  <c r="DA109" i="27" s="1"/>
  <c r="DB106" i="27" a="1"/>
  <c r="DB106" i="27" s="1"/>
  <c r="DC103" i="27" a="1"/>
  <c r="DC103" i="27" s="1"/>
  <c r="DA101" i="27" a="1"/>
  <c r="DA101" i="27" s="1"/>
  <c r="EI131" i="27" a="1"/>
  <c r="EI131" i="27" s="1"/>
  <c r="EJ128" i="27" a="1"/>
  <c r="EJ128" i="27" s="1"/>
  <c r="EH126" i="27" a="1"/>
  <c r="EH126" i="27" s="1"/>
  <c r="EI123" i="27" a="1"/>
  <c r="EI123" i="27" s="1"/>
  <c r="EJ120" i="27" a="1"/>
  <c r="EJ120" i="27" s="1"/>
  <c r="EH118" i="27" a="1"/>
  <c r="EH118" i="27" s="1"/>
  <c r="EI115" i="27" a="1"/>
  <c r="EI115" i="27" s="1"/>
  <c r="EJ112" i="27" a="1"/>
  <c r="EJ112" i="27" s="1"/>
  <c r="EH110" i="27" a="1"/>
  <c r="EH110" i="27" s="1"/>
  <c r="EO57" i="27" a="1"/>
  <c r="EO57" i="27" s="1"/>
  <c r="DH122" i="27" a="1"/>
  <c r="DH122" i="27" s="1"/>
  <c r="DI111" i="27" a="1"/>
  <c r="DI111" i="27" s="1"/>
  <c r="DJ100" i="27" a="1"/>
  <c r="DJ100" i="27" s="1"/>
  <c r="DH90" i="27" a="1"/>
  <c r="DH90" i="27" s="1"/>
  <c r="DB127" i="27" a="1"/>
  <c r="DB127" i="27" s="1"/>
  <c r="DC116" i="27" a="1"/>
  <c r="DC116" i="27" s="1"/>
  <c r="DA106" i="27" a="1"/>
  <c r="DA106" i="27" s="1"/>
  <c r="EJ133" i="27" a="1"/>
  <c r="EJ133" i="27" s="1"/>
  <c r="EH123" i="27" a="1"/>
  <c r="EH123" i="27" s="1"/>
  <c r="EI112" i="27" a="1"/>
  <c r="EI112" i="27" s="1"/>
  <c r="EI104" i="27" a="1"/>
  <c r="EI104" i="27" s="1"/>
  <c r="EI97" i="27" a="1"/>
  <c r="EI97" i="27" s="1"/>
  <c r="DB104" i="27" a="1"/>
  <c r="DB104" i="27" s="1"/>
  <c r="EI121" i="27" a="1"/>
  <c r="EI121" i="27" s="1"/>
  <c r="EJ102" i="27" a="1"/>
  <c r="EJ102" i="27" s="1"/>
  <c r="DH107" i="27" a="1"/>
  <c r="DH107" i="27" s="1"/>
  <c r="DB112" i="27" a="1"/>
  <c r="DB112" i="27" s="1"/>
  <c r="EI129" i="27" a="1"/>
  <c r="EI129" i="27" s="1"/>
  <c r="EJ101" i="27" a="1"/>
  <c r="EJ101" i="27" s="1"/>
  <c r="DJ116" i="27" a="1"/>
  <c r="DJ116" i="27" s="1"/>
  <c r="DI95" i="27" a="1"/>
  <c r="DI95" i="27" s="1"/>
  <c r="DB111" i="27" a="1"/>
  <c r="DB111" i="27" s="1"/>
  <c r="EJ117" i="27" a="1"/>
  <c r="EJ117" i="27" s="1"/>
  <c r="DI120" i="27" a="1"/>
  <c r="DI120" i="27" s="1"/>
  <c r="DJ109" i="27" a="1"/>
  <c r="DJ109" i="27" s="1"/>
  <c r="DH99" i="27" a="1"/>
  <c r="DH99" i="27" s="1"/>
  <c r="DB136" i="27" a="1"/>
  <c r="DB136" i="27" s="1"/>
  <c r="DC125" i="27" a="1"/>
  <c r="DC125" i="27" s="1"/>
  <c r="DA115" i="27" a="1"/>
  <c r="DA115" i="27" s="1"/>
  <c r="EH132" i="27" a="1"/>
  <c r="EH132" i="27" s="1"/>
  <c r="EJ110" i="27" a="1"/>
  <c r="EJ110" i="27" s="1"/>
  <c r="EJ96" i="27" a="1"/>
  <c r="EJ96" i="27" s="1"/>
  <c r="DC133" i="27" a="1"/>
  <c r="DC133" i="27" s="1"/>
  <c r="EJ118" i="27" a="1"/>
  <c r="EJ118" i="27" s="1"/>
  <c r="EH95" i="27" a="1"/>
  <c r="EH95" i="27" s="1"/>
  <c r="DH106" i="27" a="1"/>
  <c r="DH106" i="27" s="1"/>
  <c r="DA122" i="27" a="1"/>
  <c r="DA122" i="27" s="1"/>
  <c r="EI128" i="27" a="1"/>
  <c r="EI128" i="27" s="1"/>
  <c r="EH100" i="27" a="1"/>
  <c r="EH100" i="27" s="1"/>
  <c r="DI119" i="27" a="1"/>
  <c r="DI119" i="27" s="1"/>
  <c r="DJ108" i="27" a="1"/>
  <c r="DJ108" i="27" s="1"/>
  <c r="DH98" i="27" a="1"/>
  <c r="DH98" i="27" s="1"/>
  <c r="DB135" i="27" a="1"/>
  <c r="DB135" i="27" s="1"/>
  <c r="DC124" i="27" a="1"/>
  <c r="DC124" i="27" s="1"/>
  <c r="DA114" i="27" a="1"/>
  <c r="DA114" i="27" s="1"/>
  <c r="DB103" i="27" a="1"/>
  <c r="DB103" i="27" s="1"/>
  <c r="EH131" i="27" a="1"/>
  <c r="EH131" i="27" s="1"/>
  <c r="EI120" i="27" a="1"/>
  <c r="EI120" i="27" s="1"/>
  <c r="EJ109" i="27" a="1"/>
  <c r="EJ109" i="27" s="1"/>
  <c r="EH102" i="27" a="1"/>
  <c r="EH102" i="27" s="1"/>
  <c r="EI96" i="27" a="1"/>
  <c r="EI96" i="27" s="1"/>
  <c r="DI128" i="27" a="1"/>
  <c r="DI128" i="27" s="1"/>
  <c r="DJ117" i="27" a="1"/>
  <c r="DJ117" i="27" s="1"/>
  <c r="DI96" i="27" a="1"/>
  <c r="DI96" i="27" s="1"/>
  <c r="DA123" i="27" a="1"/>
  <c r="DA123" i="27" s="1"/>
  <c r="DC101" i="27" a="1"/>
  <c r="DC101" i="27" s="1"/>
  <c r="EH108" i="27" a="1"/>
  <c r="EH108" i="27" s="1"/>
  <c r="DI127" i="27" a="1"/>
  <c r="DI127" i="27" s="1"/>
  <c r="DC132" i="27" a="1"/>
  <c r="DC132" i="27" s="1"/>
  <c r="DC100" i="27" a="1"/>
  <c r="DC100" i="27" s="1"/>
  <c r="EI107" i="27" a="1"/>
  <c r="EI107" i="27" s="1"/>
  <c r="DJ125" i="27" a="1"/>
  <c r="DJ125" i="27" s="1"/>
  <c r="DH115" i="27" a="1"/>
  <c r="DH115" i="27" s="1"/>
  <c r="DI104" i="27" a="1"/>
  <c r="DI104" i="27" s="1"/>
  <c r="DJ93" i="27" a="1"/>
  <c r="DJ93" i="27" s="1"/>
  <c r="DA131" i="27" a="1"/>
  <c r="DA131" i="27" s="1"/>
  <c r="DB120" i="27" a="1"/>
  <c r="DB120" i="27" s="1"/>
  <c r="DC109" i="27" a="1"/>
  <c r="DC109" i="27" s="1"/>
  <c r="DA99" i="27" a="1"/>
  <c r="DA99" i="27" s="1"/>
  <c r="EJ126" i="27" a="1"/>
  <c r="EJ126" i="27" s="1"/>
  <c r="EH116" i="27" a="1"/>
  <c r="EH116" i="27" s="1"/>
  <c r="EH107" i="27" a="1"/>
  <c r="EH107" i="27" s="1"/>
  <c r="EI99" i="27" a="1"/>
  <c r="EI99" i="27" s="1"/>
  <c r="DJ124" i="27" a="1"/>
  <c r="DJ124" i="27" s="1"/>
  <c r="DH114" i="27" a="1"/>
  <c r="DH114" i="27" s="1"/>
  <c r="DI103" i="27" a="1"/>
  <c r="DI103" i="27" s="1"/>
  <c r="DJ92" i="27" a="1"/>
  <c r="DJ92" i="27" s="1"/>
  <c r="DA130" i="27" a="1"/>
  <c r="DA130" i="27" s="1"/>
  <c r="DB119" i="27" a="1"/>
  <c r="DB119" i="27" s="1"/>
  <c r="DC108" i="27" a="1"/>
  <c r="DC108" i="27" s="1"/>
  <c r="EJ125" i="27" a="1"/>
  <c r="EJ125" i="27" s="1"/>
  <c r="EH115" i="27" a="1"/>
  <c r="EH115" i="27" s="1"/>
  <c r="EI105" i="27" a="1"/>
  <c r="EI105" i="27" s="1"/>
  <c r="EH99" i="27" a="1"/>
  <c r="EH99" i="27" s="1"/>
  <c r="EQ99" i="27"/>
  <c r="DH123" i="27" a="1"/>
  <c r="DH123" i="27" s="1"/>
  <c r="DI112" i="27" a="1"/>
  <c r="DI112" i="27" s="1"/>
  <c r="DJ101" i="27" a="1"/>
  <c r="DJ101" i="27" s="1"/>
  <c r="DH91" i="27" a="1"/>
  <c r="DH91" i="27" s="1"/>
  <c r="DB128" i="27" a="1"/>
  <c r="DB128" i="27" s="1"/>
  <c r="DC117" i="27" a="1"/>
  <c r="DC117" i="27" s="1"/>
  <c r="DA107" i="27" a="1"/>
  <c r="DA107" i="27" s="1"/>
  <c r="EH124" i="27" a="1"/>
  <c r="EH124" i="27" s="1"/>
  <c r="EI113" i="27" a="1"/>
  <c r="EI113" i="27" s="1"/>
  <c r="EJ104" i="27" a="1"/>
  <c r="EJ104" i="27" s="1"/>
  <c r="EJ97" i="27" a="1"/>
  <c r="EJ97" i="27" s="1"/>
  <c r="FO190" i="27"/>
  <c r="L257" i="48"/>
  <c r="L271" i="48"/>
  <c r="L133" i="48"/>
  <c r="L113" i="48"/>
  <c r="L94" i="48"/>
  <c r="L75" i="48"/>
  <c r="N39" i="51" s="1"/>
  <c r="L165" i="48"/>
  <c r="L149" i="48"/>
  <c r="CO119" i="27" a="1"/>
  <c r="CO119" i="27" s="1"/>
  <c r="CM102" i="27" a="1"/>
  <c r="CM102" i="27" s="1"/>
  <c r="CM93" i="27" a="1"/>
  <c r="CM93" i="27" s="1"/>
  <c r="CL92" i="27" a="1"/>
  <c r="CL92" i="27" s="1"/>
  <c r="CM115" i="27" a="1"/>
  <c r="CM115" i="27" s="1"/>
  <c r="CN107" i="27" a="1"/>
  <c r="CN107" i="27" s="1"/>
  <c r="CL91" i="27" a="1"/>
  <c r="CL91" i="27" s="1"/>
  <c r="CO103" i="27" a="1"/>
  <c r="CO103" i="27" s="1"/>
  <c r="CL94" i="27" a="1"/>
  <c r="CL94" i="27" s="1"/>
  <c r="CM101" i="27" a="1"/>
  <c r="CM101" i="27" s="1"/>
  <c r="CK116" i="27" a="1"/>
  <c r="CK116" i="27" s="1"/>
  <c r="CK114" i="27" a="1"/>
  <c r="CK114" i="27" s="1"/>
  <c r="CM106" i="27" a="1"/>
  <c r="CM106" i="27" s="1"/>
  <c r="CN90" i="27" a="1"/>
  <c r="CN90" i="27" s="1"/>
  <c r="CM109" i="27" a="1"/>
  <c r="CM109" i="27" s="1"/>
  <c r="CO100" i="27" a="1"/>
  <c r="CO100" i="27" s="1"/>
  <c r="CO121" i="27" a="1"/>
  <c r="CO121" i="27" s="1"/>
  <c r="CN105" i="27" a="1"/>
  <c r="CN105" i="27" s="1"/>
  <c r="CK97" i="27" a="1"/>
  <c r="CK97" i="27" s="1"/>
  <c r="CM111" i="27" a="1"/>
  <c r="CM111" i="27" s="1"/>
  <c r="CO110" i="27" a="1"/>
  <c r="CO110" i="27" s="1"/>
  <c r="CM120" i="27" a="1"/>
  <c r="CM120" i="27" s="1"/>
  <c r="CL112" i="27" a="1"/>
  <c r="CL112" i="27" s="1"/>
  <c r="CN96" i="27" a="1"/>
  <c r="CN96" i="27" s="1"/>
  <c r="CN119" i="27" a="1"/>
  <c r="CN119" i="27" s="1"/>
  <c r="CO115" i="27" a="1"/>
  <c r="CO115" i="27" s="1"/>
  <c r="CO91" i="27" a="1"/>
  <c r="CO91" i="27" s="1"/>
  <c r="CN122" i="27" a="1"/>
  <c r="CN122" i="27" s="1"/>
  <c r="CM90" i="27" a="1"/>
  <c r="CM90" i="27" s="1"/>
  <c r="CN109" i="27" a="1"/>
  <c r="CN109" i="27" s="1"/>
  <c r="CK113" i="27" a="1"/>
  <c r="CK113" i="27" s="1"/>
  <c r="CO89" i="27" a="1"/>
  <c r="CO89" i="27" s="1"/>
  <c r="CL108" i="27" a="1"/>
  <c r="CL108" i="27" s="1"/>
  <c r="CM104" i="27" a="1"/>
  <c r="CM104" i="27" s="1"/>
  <c r="CM118" i="27" a="1"/>
  <c r="CM118" i="27" s="1"/>
  <c r="CO97" i="27" a="1"/>
  <c r="CO97" i="27" s="1"/>
  <c r="CM117" i="27" a="1"/>
  <c r="CM117" i="27" s="1"/>
  <c r="CO104" i="27" a="1"/>
  <c r="CO104" i="27" s="1"/>
  <c r="CN93" i="27" a="1"/>
  <c r="CN93" i="27" s="1"/>
  <c r="CO107" i="27" a="1"/>
  <c r="CO107" i="27" s="1"/>
  <c r="CK94" i="27" a="1"/>
  <c r="CK94" i="27" s="1"/>
  <c r="CK122" i="27" a="1"/>
  <c r="CK122" i="27" s="1"/>
  <c r="CO95" i="27" a="1"/>
  <c r="CO95" i="27" s="1"/>
  <c r="CL121" i="27" a="1"/>
  <c r="CL121" i="27" s="1"/>
  <c r="CL117" i="27" a="1"/>
  <c r="CL117" i="27" s="1"/>
  <c r="CN102" i="27" a="1"/>
  <c r="CN102" i="27" s="1"/>
  <c r="CL107" i="27" a="1"/>
  <c r="CL107" i="27" s="1"/>
  <c r="CO101" i="27" a="1"/>
  <c r="CO101" i="27" s="1"/>
  <c r="CN95" i="27" a="1"/>
  <c r="CN95" i="27" s="1"/>
  <c r="CL97" i="27" a="1"/>
  <c r="CL97" i="27" s="1"/>
  <c r="CM112" i="27" a="1"/>
  <c r="CM112" i="27" s="1"/>
  <c r="CL119" i="27" a="1"/>
  <c r="CL119" i="27" s="1"/>
  <c r="CK102" i="27" a="1"/>
  <c r="CK102" i="27" s="1"/>
  <c r="CL93" i="27" a="1"/>
  <c r="CL93" i="27" s="1"/>
  <c r="CK92" i="27" a="1"/>
  <c r="CK92" i="27" s="1"/>
  <c r="CL115" i="27" a="1"/>
  <c r="CL115" i="27" s="1"/>
  <c r="CM107" i="27" a="1"/>
  <c r="CM107" i="27" s="1"/>
  <c r="CK91" i="27" a="1"/>
  <c r="CK91" i="27" s="1"/>
  <c r="CN101" i="27" a="1"/>
  <c r="CN101" i="27" s="1"/>
  <c r="CN114" i="27" a="1"/>
  <c r="CN114" i="27" s="1"/>
  <c r="CN98" i="27" a="1"/>
  <c r="CN98" i="27" s="1"/>
  <c r="CO90" i="27" a="1"/>
  <c r="CO90" i="27" s="1"/>
  <c r="CL109" i="27" a="1"/>
  <c r="CL109" i="27" s="1"/>
  <c r="CN100" i="27" a="1"/>
  <c r="CN100" i="27" s="1"/>
  <c r="CN121" i="27" a="1"/>
  <c r="CN121" i="27" s="1"/>
  <c r="CK105" i="27" a="1"/>
  <c r="CK105" i="27" s="1"/>
  <c r="CK89" i="27" a="1"/>
  <c r="CK89" i="27" s="1"/>
  <c r="CK111" i="27" a="1"/>
  <c r="CK111" i="27" s="1"/>
  <c r="CK120" i="27" a="1"/>
  <c r="CK120" i="27" s="1"/>
  <c r="CN104" i="27" a="1"/>
  <c r="CN104" i="27" s="1"/>
  <c r="CO96" i="27" a="1"/>
  <c r="CO96" i="27" s="1"/>
  <c r="CO102" i="27" a="1"/>
  <c r="CO102" i="27" s="1"/>
  <c r="CO99" i="27" a="1"/>
  <c r="CO99" i="27" s="1"/>
  <c r="CO114" i="27" a="1"/>
  <c r="CO114" i="27" s="1"/>
  <c r="CM98" i="27" a="1"/>
  <c r="CM98" i="27" s="1"/>
  <c r="CO118" i="27" a="1"/>
  <c r="CO118" i="27" s="1"/>
  <c r="CM100" i="27" a="1"/>
  <c r="CM100" i="27" s="1"/>
  <c r="CM105" i="27" a="1"/>
  <c r="CM105" i="27" s="1"/>
  <c r="CL111" i="27" a="1"/>
  <c r="CL111" i="27" s="1"/>
  <c r="CO120" i="27" a="1"/>
  <c r="CO120" i="27" s="1"/>
  <c r="CM96" i="27" a="1"/>
  <c r="CM96" i="27" s="1"/>
  <c r="CN113" i="27" a="1"/>
  <c r="CN113" i="27" s="1"/>
  <c r="CM110" i="27" a="1"/>
  <c r="CM110" i="27" s="1"/>
  <c r="CN108" i="27" a="1"/>
  <c r="CN108" i="27" s="1"/>
  <c r="CL102" i="27" a="1"/>
  <c r="CL102" i="27" s="1"/>
  <c r="CL99" i="27" a="1"/>
  <c r="CL99" i="27" s="1"/>
  <c r="CO116" i="27" a="1"/>
  <c r="CO116" i="27" s="1"/>
  <c r="CL90" i="27" a="1"/>
  <c r="CL90" i="27" s="1"/>
  <c r="CL113" i="27" a="1"/>
  <c r="CL113" i="27" s="1"/>
  <c r="CL110" i="27" a="1"/>
  <c r="CL110" i="27" s="1"/>
  <c r="CN112" i="27" a="1"/>
  <c r="CN112" i="27" s="1"/>
  <c r="CM92" i="27" a="1"/>
  <c r="CM92" i="27" s="1"/>
  <c r="CM91" i="27" a="1"/>
  <c r="CM91" i="27" s="1"/>
  <c r="CL116" i="27" a="1"/>
  <c r="CL116" i="27" s="1"/>
  <c r="CK90" i="27" a="1"/>
  <c r="CK90" i="27" s="1"/>
  <c r="CN111" i="27" a="1"/>
  <c r="CN111" i="27" s="1"/>
  <c r="CL120" i="27" a="1"/>
  <c r="CL120" i="27" s="1"/>
  <c r="CM119" i="27" a="1"/>
  <c r="CM119" i="27" s="1"/>
  <c r="CO88" i="27" a="1"/>
  <c r="CO88" i="27" s="1"/>
  <c r="CN115" i="27" a="1"/>
  <c r="CN115" i="27" s="1"/>
  <c r="CN99" i="27" a="1"/>
  <c r="CN99" i="27" s="1"/>
  <c r="CN91" i="27" a="1"/>
  <c r="CN91" i="27" s="1"/>
  <c r="CM122" i="27" a="1"/>
  <c r="CM122" i="27" s="1"/>
  <c r="CM114" i="27" a="1"/>
  <c r="CM114" i="27" s="1"/>
  <c r="CL98" i="27" a="1"/>
  <c r="CL98" i="27" s="1"/>
  <c r="CK95" i="27" a="1"/>
  <c r="CK95" i="27" s="1"/>
  <c r="CN118" i="27" a="1"/>
  <c r="CN118" i="27" s="1"/>
  <c r="CK109" i="27" a="1"/>
  <c r="CK109" i="27" s="1"/>
  <c r="CL100" i="27" a="1"/>
  <c r="CL100" i="27" s="1"/>
  <c r="CM113" i="27" a="1"/>
  <c r="CM113" i="27" s="1"/>
  <c r="CL105" i="27" a="1"/>
  <c r="CL105" i="27" s="1"/>
  <c r="CN89" i="27" a="1"/>
  <c r="CN89" i="27" s="1"/>
  <c r="CO117" i="27" a="1"/>
  <c r="CO117" i="27" s="1"/>
  <c r="CK108" i="27" a="1"/>
  <c r="CK108" i="27" s="1"/>
  <c r="CN120" i="27" a="1"/>
  <c r="CN120" i="27" s="1"/>
  <c r="CL104" i="27" a="1"/>
  <c r="CL104" i="27" s="1"/>
  <c r="CO93" i="27" a="1"/>
  <c r="CO93" i="27" s="1"/>
  <c r="CN92" i="27" a="1"/>
  <c r="CN92" i="27" s="1"/>
  <c r="CN88" i="27" a="1"/>
  <c r="CN88" i="27" s="1"/>
  <c r="CK107" i="27" a="1"/>
  <c r="CK107" i="27" s="1"/>
  <c r="CM99" i="27" a="1"/>
  <c r="CM99" i="27" s="1"/>
  <c r="CL103" i="27" a="1"/>
  <c r="CL103" i="27" s="1"/>
  <c r="CN94" i="27" a="1"/>
  <c r="CN94" i="27" s="1"/>
  <c r="CK101" i="27" a="1"/>
  <c r="CK101" i="27" s="1"/>
  <c r="CM116" i="27" a="1"/>
  <c r="CM116" i="27" s="1"/>
  <c r="CL122" i="27" a="1"/>
  <c r="CL122" i="27" s="1"/>
  <c r="CK106" i="27" a="1"/>
  <c r="CK106" i="27" s="1"/>
  <c r="CK98" i="27" a="1"/>
  <c r="CK98" i="27" s="1"/>
  <c r="CL95" i="27" a="1"/>
  <c r="CL95" i="27" s="1"/>
  <c r="CM121" i="27" a="1"/>
  <c r="CM121" i="27" s="1"/>
  <c r="CL89" i="27" a="1"/>
  <c r="CL89" i="27" s="1"/>
  <c r="CK112" i="27" a="1"/>
  <c r="CK112" i="27" s="1"/>
  <c r="CO92" i="27" a="1"/>
  <c r="CO92" i="27" s="1"/>
  <c r="CM88" i="27" a="1"/>
  <c r="CM88" i="27" s="1"/>
  <c r="CK103" i="27" a="1"/>
  <c r="CK103" i="27" s="1"/>
  <c r="CL101" i="27" a="1"/>
  <c r="CL101" i="27" s="1"/>
  <c r="CN106" i="27" a="1"/>
  <c r="CN106" i="27" s="1"/>
  <c r="CK118" i="27" a="1"/>
  <c r="CK118" i="27" s="1"/>
  <c r="CN97" i="27" a="1"/>
  <c r="CN97" i="27" s="1"/>
  <c r="CO108" i="27" a="1"/>
  <c r="CO108" i="27" s="1"/>
  <c r="CL96" i="27" a="1"/>
  <c r="CL96" i="27" s="1"/>
  <c r="CK119" i="27" a="1"/>
  <c r="CK119" i="27" s="1"/>
  <c r="CK88" i="27" a="1"/>
  <c r="CK88" i="27" s="1"/>
  <c r="CM94" i="27" a="1"/>
  <c r="CM94" i="27" s="1"/>
  <c r="CL114" i="27" a="1"/>
  <c r="CL114" i="27" s="1"/>
  <c r="CK121" i="27" a="1"/>
  <c r="CK121" i="27" s="1"/>
  <c r="CK110" i="27" a="1"/>
  <c r="CK110" i="27" s="1"/>
  <c r="CL88" i="27" a="1"/>
  <c r="CL88" i="27" s="1"/>
  <c r="CK115" i="27" a="1"/>
  <c r="CK115" i="27" s="1"/>
  <c r="CK99" i="27" a="1"/>
  <c r="CK99" i="27" s="1"/>
  <c r="CM103" i="27" a="1"/>
  <c r="CM103" i="27" s="1"/>
  <c r="CO94" i="27" a="1"/>
  <c r="CO94" i="27" s="1"/>
  <c r="CN116" i="27" a="1"/>
  <c r="CN116" i="27" s="1"/>
  <c r="CO122" i="27" a="1"/>
  <c r="CO122" i="27" s="1"/>
  <c r="CO106" i="27" a="1"/>
  <c r="CO106" i="27" s="1"/>
  <c r="CO98" i="27" a="1"/>
  <c r="CO98" i="27" s="1"/>
  <c r="CM95" i="27" a="1"/>
  <c r="CM95" i="27" s="1"/>
  <c r="CL118" i="27" a="1"/>
  <c r="CL118" i="27" s="1"/>
  <c r="CO109" i="27" a="1"/>
  <c r="CO109" i="27" s="1"/>
  <c r="CK100" i="27" a="1"/>
  <c r="CK100" i="27" s="1"/>
  <c r="CO113" i="27" a="1"/>
  <c r="CO113" i="27" s="1"/>
  <c r="CM97" i="27" a="1"/>
  <c r="CM97" i="27" s="1"/>
  <c r="CM89" i="27" a="1"/>
  <c r="CM89" i="27" s="1"/>
  <c r="CN110" i="27" a="1"/>
  <c r="CN110" i="27" s="1"/>
  <c r="CN117" i="27" a="1"/>
  <c r="CN117" i="27" s="1"/>
  <c r="CM108" i="27" a="1"/>
  <c r="CM108" i="27" s="1"/>
  <c r="CO112" i="27" a="1"/>
  <c r="CO112" i="27" s="1"/>
  <c r="CK104" i="27" a="1"/>
  <c r="CK104" i="27" s="1"/>
  <c r="CO111" i="27" a="1"/>
  <c r="CO111" i="27" s="1"/>
  <c r="CK93" i="27" a="1"/>
  <c r="CK93" i="27" s="1"/>
  <c r="CN103" i="27" a="1"/>
  <c r="CN103" i="27" s="1"/>
  <c r="CL106" i="27" a="1"/>
  <c r="CL106" i="27" s="1"/>
  <c r="CO105" i="27" a="1"/>
  <c r="CO105" i="27" s="1"/>
  <c r="CK117" i="27" a="1"/>
  <c r="CK117" i="27" s="1"/>
  <c r="CK96" i="27" a="1"/>
  <c r="CK96" i="27" s="1"/>
  <c r="EP63" i="27" a="1"/>
  <c r="EP63" i="27" s="1"/>
  <c r="DH59" i="27" a="1"/>
  <c r="DH59" i="27" s="1"/>
  <c r="DB68" i="27" a="1"/>
  <c r="DB68" i="27" s="1"/>
  <c r="CU68" i="27" a="1"/>
  <c r="CU68" i="27" s="1"/>
  <c r="CK61" i="27" a="1"/>
  <c r="CK61" i="27" s="1"/>
  <c r="DJ59" i="27" a="1"/>
  <c r="DJ59" i="27" s="1"/>
  <c r="CN61" i="27" a="1"/>
  <c r="CN61" i="27" s="1"/>
  <c r="EO105" i="27" a="1"/>
  <c r="EO105" i="27" s="1"/>
  <c r="EQ105" i="27" a="1"/>
  <c r="EQ105" i="27" s="1"/>
  <c r="EJ64" i="27" a="1"/>
  <c r="EJ64" i="27" s="1"/>
  <c r="DA68" i="27" a="1"/>
  <c r="DA68" i="27" s="1"/>
  <c r="CT68" i="27" a="1"/>
  <c r="CT68" i="27" s="1"/>
  <c r="EI64" i="27" a="1"/>
  <c r="EI64" i="27" s="1"/>
  <c r="EH64" i="27" a="1"/>
  <c r="EH64" i="27" s="1"/>
  <c r="EP105" i="27" a="1"/>
  <c r="EP105" i="27" s="1"/>
  <c r="EO63" i="27" a="1"/>
  <c r="EO63" i="27" s="1"/>
  <c r="CV110" i="27" a="1"/>
  <c r="CV110" i="27" s="1"/>
  <c r="CO61" i="27" a="1"/>
  <c r="CO61" i="27" s="1"/>
  <c r="CK150" i="27" s="1" a="1"/>
  <c r="CK150" i="27" s="1"/>
  <c r="DI59" i="27" a="1"/>
  <c r="DI59" i="27" s="1"/>
  <c r="CM61" i="27" a="1"/>
  <c r="CM61" i="27" s="1"/>
  <c r="EQ63" i="27" a="1"/>
  <c r="EQ63" i="27" s="1"/>
  <c r="CV68" i="27" a="1"/>
  <c r="CV68" i="27" s="1"/>
  <c r="CL61" i="27" a="1"/>
  <c r="CL61" i="27" s="1"/>
  <c r="CU110" i="27" a="1"/>
  <c r="CU110" i="27" s="1"/>
  <c r="DC68" i="27" a="1"/>
  <c r="DC68" i="27" s="1"/>
  <c r="CT110" i="27" a="1"/>
  <c r="CT110" i="27" s="1"/>
  <c r="DX43" i="27" a="1"/>
  <c r="DX43" i="27" s="1"/>
  <c r="DZ43" i="27" a="1"/>
  <c r="DZ43" i="27" s="1"/>
  <c r="EB43" i="27" a="1"/>
  <c r="EB43" i="27" s="1"/>
  <c r="DW43" i="27" a="1"/>
  <c r="DW43" i="27" s="1"/>
  <c r="EA43" i="27" a="1"/>
  <c r="EA43" i="27" s="1"/>
  <c r="EC43" i="27" a="1"/>
  <c r="EC43" i="27" s="1"/>
  <c r="DY43" i="27" a="1"/>
  <c r="DY43" i="27" s="1"/>
  <c r="EH145" i="27"/>
  <c r="DA147" i="27"/>
  <c r="CK132" i="27"/>
  <c r="EO144" i="27"/>
  <c r="DH139" i="27"/>
  <c r="EO140" i="27"/>
  <c r="CK134" i="27"/>
  <c r="EH143" i="27"/>
  <c r="DA146" i="27"/>
  <c r="CK131" i="27"/>
  <c r="CT150" i="27"/>
  <c r="CT148" i="27"/>
  <c r="DA149" i="27"/>
  <c r="EH142" i="27"/>
  <c r="DA145" i="27"/>
  <c r="CK130" i="27"/>
  <c r="EH141" i="27"/>
  <c r="EO142" i="27"/>
  <c r="DH138" i="27"/>
  <c r="CT147" i="27"/>
  <c r="EO141" i="27"/>
  <c r="DH137" i="27"/>
  <c r="CT146" i="27"/>
  <c r="EV194" i="27"/>
  <c r="EV196" i="27"/>
  <c r="EV198" i="27"/>
  <c r="FO192" i="27"/>
  <c r="FO188" i="27"/>
  <c r="FE189" i="27"/>
  <c r="FE191" i="27"/>
  <c r="FE193" i="27"/>
  <c r="EQ131" i="27" a="1"/>
  <c r="EQ131" i="27" s="1"/>
  <c r="EO129" i="27" a="1"/>
  <c r="EO129" i="27" s="1"/>
  <c r="EP126" i="27" a="1"/>
  <c r="EP126" i="27" s="1"/>
  <c r="EQ123" i="27" a="1"/>
  <c r="EQ123" i="27" s="1"/>
  <c r="EO121" i="27" a="1"/>
  <c r="EO121" i="27" s="1"/>
  <c r="EP118" i="27" a="1"/>
  <c r="EP118" i="27" s="1"/>
  <c r="EQ115" i="27" a="1"/>
  <c r="EQ115" i="27" s="1"/>
  <c r="EO113" i="27" a="1"/>
  <c r="EO113" i="27" s="1"/>
  <c r="EP110" i="27" a="1"/>
  <c r="EP110" i="27" s="1"/>
  <c r="EQ107" i="27" a="1"/>
  <c r="EQ107" i="27" s="1"/>
  <c r="EP102" i="27" a="1"/>
  <c r="EP102" i="27" s="1"/>
  <c r="EO97" i="27" a="1"/>
  <c r="EO97" i="27" s="1"/>
  <c r="EP94" i="27" a="1"/>
  <c r="EP94" i="27" s="1"/>
  <c r="EQ88" i="27" a="1"/>
  <c r="EQ88" i="27" s="1"/>
  <c r="EO86" i="27" a="1"/>
  <c r="EO86" i="27" s="1"/>
  <c r="EP83" i="27" a="1"/>
  <c r="EP83" i="27" s="1"/>
  <c r="EQ80" i="27" a="1"/>
  <c r="EQ80" i="27" s="1"/>
  <c r="EO78" i="27" a="1"/>
  <c r="EO78" i="27" s="1"/>
  <c r="EP75" i="27" a="1"/>
  <c r="EP75" i="27" s="1"/>
  <c r="EQ72" i="27" a="1"/>
  <c r="EQ72" i="27" s="1"/>
  <c r="EO70" i="27" a="1"/>
  <c r="EO70" i="27" s="1"/>
  <c r="EP67" i="27" a="1"/>
  <c r="EP67" i="27" s="1"/>
  <c r="EQ64" i="27" a="1"/>
  <c r="EQ64" i="27" s="1"/>
  <c r="EO62" i="27" a="1"/>
  <c r="EO62" i="27" s="1"/>
  <c r="EP59" i="27" a="1"/>
  <c r="EP59" i="27" s="1"/>
  <c r="EQ56" i="27" a="1"/>
  <c r="EQ56" i="27" s="1"/>
  <c r="EO54" i="27" a="1"/>
  <c r="EO54" i="27" s="1"/>
  <c r="EP131" i="27" a="1"/>
  <c r="EP131" i="27" s="1"/>
  <c r="EQ128" i="27" a="1"/>
  <c r="EQ128" i="27" s="1"/>
  <c r="EO126" i="27" a="1"/>
  <c r="EO126" i="27" s="1"/>
  <c r="EP123" i="27" a="1"/>
  <c r="EP123" i="27" s="1"/>
  <c r="EQ120" i="27" a="1"/>
  <c r="EQ120" i="27" s="1"/>
  <c r="EO118" i="27" a="1"/>
  <c r="EO118" i="27" s="1"/>
  <c r="EP115" i="27" a="1"/>
  <c r="EP115" i="27" s="1"/>
  <c r="EQ112" i="27" a="1"/>
  <c r="EQ112" i="27" s="1"/>
  <c r="EO110" i="27" a="1"/>
  <c r="EO110" i="27" s="1"/>
  <c r="EP107" i="27" a="1"/>
  <c r="EP107" i="27" s="1"/>
  <c r="EQ104" i="27" a="1"/>
  <c r="EQ104" i="27" s="1"/>
  <c r="EO102" i="27" a="1"/>
  <c r="EO102" i="27" s="1"/>
  <c r="EQ96" i="27" a="1"/>
  <c r="EQ96" i="27" s="1"/>
  <c r="EO94" i="27" a="1"/>
  <c r="EO94" i="27" s="1"/>
  <c r="EP88" i="27" a="1"/>
  <c r="EP88" i="27" s="1"/>
  <c r="EQ85" i="27" a="1"/>
  <c r="EQ85" i="27" s="1"/>
  <c r="EO83" i="27" a="1"/>
  <c r="EO83" i="27" s="1"/>
  <c r="EP80" i="27" a="1"/>
  <c r="EP80" i="27" s="1"/>
  <c r="EQ77" i="27" a="1"/>
  <c r="EQ77" i="27" s="1"/>
  <c r="EO75" i="27" a="1"/>
  <c r="EO75" i="27" s="1"/>
  <c r="EP72" i="27" a="1"/>
  <c r="EP72" i="27" s="1"/>
  <c r="EQ69" i="27" a="1"/>
  <c r="EQ69" i="27" s="1"/>
  <c r="EO67" i="27" a="1"/>
  <c r="EO67" i="27" s="1"/>
  <c r="EP64" i="27" a="1"/>
  <c r="EP64" i="27" s="1"/>
  <c r="EQ61" i="27" a="1"/>
  <c r="EQ61" i="27" s="1"/>
  <c r="EO59" i="27" a="1"/>
  <c r="EO59" i="27" s="1"/>
  <c r="EP56" i="27" a="1"/>
  <c r="EP56" i="27" s="1"/>
  <c r="EQ53" i="27" a="1"/>
  <c r="EQ53" i="27" s="1"/>
  <c r="EQ130" i="27" a="1"/>
  <c r="EQ130" i="27" s="1"/>
  <c r="EO128" i="27" a="1"/>
  <c r="EO128" i="27" s="1"/>
  <c r="EP125" i="27" a="1"/>
  <c r="EP125" i="27" s="1"/>
  <c r="EQ122" i="27" a="1"/>
  <c r="EQ122" i="27" s="1"/>
  <c r="EO120" i="27" a="1"/>
  <c r="EO120" i="27" s="1"/>
  <c r="EP117" i="27" a="1"/>
  <c r="EP117" i="27" s="1"/>
  <c r="EQ114" i="27" a="1"/>
  <c r="EQ114" i="27" s="1"/>
  <c r="EO112" i="27" a="1"/>
  <c r="EO112" i="27" s="1"/>
  <c r="EP109" i="27" a="1"/>
  <c r="EP109" i="27" s="1"/>
  <c r="EQ106" i="27" a="1"/>
  <c r="EQ106" i="27" s="1"/>
  <c r="EO104" i="27" a="1"/>
  <c r="EO104" i="27" s="1"/>
  <c r="EP101" i="27" a="1"/>
  <c r="EP101" i="27" s="1"/>
  <c r="EQ98" i="27" a="1"/>
  <c r="EQ98" i="27" s="1"/>
  <c r="EO96" i="27" a="1"/>
  <c r="EO96" i="27" s="1"/>
  <c r="EP90" i="27" a="1"/>
  <c r="EP90" i="27" s="1"/>
  <c r="EQ87" i="27" a="1"/>
  <c r="EQ87" i="27" s="1"/>
  <c r="EO85" i="27" a="1"/>
  <c r="EO85" i="27" s="1"/>
  <c r="EQ79" i="27" a="1"/>
  <c r="EQ79" i="27" s="1"/>
  <c r="EO77" i="27" a="1"/>
  <c r="EO77" i="27" s="1"/>
  <c r="EP74" i="27" a="1"/>
  <c r="EP74" i="27" s="1"/>
  <c r="EQ71" i="27" a="1"/>
  <c r="EQ71" i="27" s="1"/>
  <c r="EO69" i="27" a="1"/>
  <c r="EO69" i="27" s="1"/>
  <c r="EP66" i="27" a="1"/>
  <c r="EP66" i="27" s="1"/>
  <c r="EO61" i="27" a="1"/>
  <c r="EO61" i="27" s="1"/>
  <c r="EP58" i="27" a="1"/>
  <c r="EP58" i="27" s="1"/>
  <c r="EQ55" i="27" a="1"/>
  <c r="EQ55" i="27" s="1"/>
  <c r="EO53" i="27" a="1"/>
  <c r="EO53" i="27" s="1"/>
  <c r="EI90" i="27" a="1"/>
  <c r="EI90" i="27" s="1"/>
  <c r="EJ87" i="27" a="1"/>
  <c r="EJ87" i="27" s="1"/>
  <c r="EH85" i="27" a="1"/>
  <c r="EH85" i="27" s="1"/>
  <c r="EJ82" i="27" a="1"/>
  <c r="EJ82" i="27" s="1"/>
  <c r="EH78" i="27" a="1"/>
  <c r="EH78" i="27" s="1"/>
  <c r="EI75" i="27" a="1"/>
  <c r="EI75" i="27" s="1"/>
  <c r="EJ72" i="27" a="1"/>
  <c r="EJ72" i="27" s="1"/>
  <c r="EJ70" i="27" a="1"/>
  <c r="EJ70" i="27" s="1"/>
  <c r="EP129" i="27" a="1"/>
  <c r="EP129" i="27" s="1"/>
  <c r="EP120" i="27" a="1"/>
  <c r="EP120" i="27" s="1"/>
  <c r="EP116" i="27" a="1"/>
  <c r="EP116" i="27" s="1"/>
  <c r="EQ111" i="27" a="1"/>
  <c r="EQ111" i="27" s="1"/>
  <c r="EO108" i="27" a="1"/>
  <c r="EO108" i="27" s="1"/>
  <c r="EP103" i="27" a="1"/>
  <c r="EP103" i="27" s="1"/>
  <c r="EO95" i="27" a="1"/>
  <c r="EO95" i="27" s="1"/>
  <c r="EP87" i="27" a="1"/>
  <c r="EP87" i="27" s="1"/>
  <c r="EQ83" i="27" a="1"/>
  <c r="EQ83" i="27" s="1"/>
  <c r="EO79" i="27" a="1"/>
  <c r="EO79" i="27" s="1"/>
  <c r="EQ74" i="27" a="1"/>
  <c r="EQ74" i="27" s="1"/>
  <c r="EQ70" i="27" a="1"/>
  <c r="EQ70" i="27" s="1"/>
  <c r="EO66" i="27" a="1"/>
  <c r="EO66" i="27" s="1"/>
  <c r="EP62" i="27" a="1"/>
  <c r="EP62" i="27" s="1"/>
  <c r="EP53" i="27" a="1"/>
  <c r="EP53" i="27" s="1"/>
  <c r="EJ89" i="27" a="1"/>
  <c r="EJ89" i="27" s="1"/>
  <c r="EJ86" i="27" a="1"/>
  <c r="EJ86" i="27" s="1"/>
  <c r="EJ83" i="27" a="1"/>
  <c r="EJ83" i="27" s="1"/>
  <c r="EI81" i="27" a="1"/>
  <c r="EI81" i="27" s="1"/>
  <c r="EJ78" i="27" a="1"/>
  <c r="EJ78" i="27" s="1"/>
  <c r="EJ75" i="27" a="1"/>
  <c r="EJ75" i="27" s="1"/>
  <c r="EH70" i="27" a="1"/>
  <c r="EH70" i="27" s="1"/>
  <c r="EI67" i="27" a="1"/>
  <c r="EI67" i="27" s="1"/>
  <c r="EH62" i="27" a="1"/>
  <c r="EH62" i="27" s="1"/>
  <c r="EH60" i="27" a="1"/>
  <c r="EH60" i="27" s="1"/>
  <c r="EI57" i="27" a="1"/>
  <c r="EI57" i="27" s="1"/>
  <c r="EJ54" i="27" a="1"/>
  <c r="EJ54" i="27" s="1"/>
  <c r="EQ132" i="27" a="1"/>
  <c r="EQ132" i="27" s="1"/>
  <c r="EP128" i="27" a="1"/>
  <c r="EP128" i="27" s="1"/>
  <c r="EQ119" i="27" a="1"/>
  <c r="EQ119" i="27" s="1"/>
  <c r="EO116" i="27" a="1"/>
  <c r="EO116" i="27" s="1"/>
  <c r="EP111" i="27" a="1"/>
  <c r="EP111" i="27" s="1"/>
  <c r="EO107" i="27" a="1"/>
  <c r="EO107" i="27" s="1"/>
  <c r="EO103" i="27" a="1"/>
  <c r="EO103" i="27" s="1"/>
  <c r="EP98" i="27" a="1"/>
  <c r="EP98" i="27" s="1"/>
  <c r="EQ94" i="27" a="1"/>
  <c r="EQ94" i="27" s="1"/>
  <c r="EO87" i="27" a="1"/>
  <c r="EO87" i="27" s="1"/>
  <c r="EQ78" i="27" a="1"/>
  <c r="EQ78" i="27" s="1"/>
  <c r="EO74" i="27" a="1"/>
  <c r="EO74" i="27" s="1"/>
  <c r="EP70" i="27" a="1"/>
  <c r="EP70" i="27" s="1"/>
  <c r="EQ65" i="27" a="1"/>
  <c r="EQ65" i="27" s="1"/>
  <c r="EP61" i="27" a="1"/>
  <c r="EP61" i="27" s="1"/>
  <c r="EQ52" i="27" a="1"/>
  <c r="EQ52" i="27" s="1"/>
  <c r="EI89" i="27" a="1"/>
  <c r="EI89" i="27" s="1"/>
  <c r="EI86" i="27" a="1"/>
  <c r="EI86" i="27" s="1"/>
  <c r="EI83" i="27" a="1"/>
  <c r="EI83" i="27" s="1"/>
  <c r="EH81" i="27" a="1"/>
  <c r="EH81" i="27" s="1"/>
  <c r="EI78" i="27" a="1"/>
  <c r="EI78" i="27" s="1"/>
  <c r="EH75" i="27" a="1"/>
  <c r="EH75" i="27" s="1"/>
  <c r="EI72" i="27" a="1"/>
  <c r="EI72" i="27" s="1"/>
  <c r="EJ69" i="27" a="1"/>
  <c r="EJ69" i="27" s="1"/>
  <c r="EH67" i="27" a="1"/>
  <c r="EH67" i="27" s="1"/>
  <c r="EJ59" i="27" a="1"/>
  <c r="EJ59" i="27" s="1"/>
  <c r="EH57" i="27" a="1"/>
  <c r="EH57" i="27" s="1"/>
  <c r="EI54" i="27" a="1"/>
  <c r="EI54" i="27" s="1"/>
  <c r="EO132" i="27" a="1"/>
  <c r="EO132" i="27" s="1"/>
  <c r="EP127" i="27" a="1"/>
  <c r="EP127" i="27" s="1"/>
  <c r="EO123" i="27" a="1"/>
  <c r="EO123" i="27" s="1"/>
  <c r="EO119" i="27" a="1"/>
  <c r="EO119" i="27" s="1"/>
  <c r="EP114" i="27" a="1"/>
  <c r="EP114" i="27" s="1"/>
  <c r="EQ110" i="27" a="1"/>
  <c r="EQ110" i="27" s="1"/>
  <c r="EO106" i="27" a="1"/>
  <c r="EO106" i="27" s="1"/>
  <c r="EQ101" i="27" a="1"/>
  <c r="EQ101" i="27" s="1"/>
  <c r="EQ97" i="27" a="1"/>
  <c r="EQ97" i="27" s="1"/>
  <c r="EO90" i="27" a="1"/>
  <c r="EO90" i="27" s="1"/>
  <c r="EP86" i="27" a="1"/>
  <c r="EP86" i="27" s="1"/>
  <c r="EQ81" i="27" a="1"/>
  <c r="EQ81" i="27" s="1"/>
  <c r="EP77" i="27" a="1"/>
  <c r="EP77" i="27" s="1"/>
  <c r="EP73" i="27" a="1"/>
  <c r="EP73" i="27" s="1"/>
  <c r="EQ68" i="27" a="1"/>
  <c r="EQ68" i="27" s="1"/>
  <c r="EO65" i="27" a="1"/>
  <c r="EO65" i="27" s="1"/>
  <c r="EP60" i="27" a="1"/>
  <c r="EP60" i="27" s="1"/>
  <c r="EO56" i="27" a="1"/>
  <c r="EO56" i="27" s="1"/>
  <c r="EO52" i="27" a="1"/>
  <c r="EO52" i="27" s="1"/>
  <c r="EJ91" i="27" a="1"/>
  <c r="EJ91" i="27" s="1"/>
  <c r="EJ88" i="27" a="1"/>
  <c r="EJ88" i="27" s="1"/>
  <c r="EJ85" i="27" a="1"/>
  <c r="EJ85" i="27" s="1"/>
  <c r="EH83" i="27" a="1"/>
  <c r="EH83" i="27" s="1"/>
  <c r="EI80" i="27" a="1"/>
  <c r="EI80" i="27" s="1"/>
  <c r="EI77" i="27" a="1"/>
  <c r="EI77" i="27" s="1"/>
  <c r="EI74" i="27" a="1"/>
  <c r="EI74" i="27" s="1"/>
  <c r="EJ71" i="27" a="1"/>
  <c r="EJ71" i="27" s="1"/>
  <c r="EH69" i="27" a="1"/>
  <c r="EH69" i="27" s="1"/>
  <c r="EI66" i="27" a="1"/>
  <c r="EI66" i="27" s="1"/>
  <c r="EJ63" i="27" a="1"/>
  <c r="EJ63" i="27" s="1"/>
  <c r="EI61" i="27" a="1"/>
  <c r="EI61" i="27" s="1"/>
  <c r="EH59" i="27" a="1"/>
  <c r="EH59" i="27" s="1"/>
  <c r="EI56" i="27" a="1"/>
  <c r="EI56" i="27" s="1"/>
  <c r="EJ53" i="27" a="1"/>
  <c r="EJ53" i="27" s="1"/>
  <c r="EO131" i="27" a="1"/>
  <c r="EO131" i="27" s="1"/>
  <c r="EO127" i="27" a="1"/>
  <c r="EO127" i="27" s="1"/>
  <c r="EP122" i="27" a="1"/>
  <c r="EP122" i="27" s="1"/>
  <c r="EQ118" i="27" a="1"/>
  <c r="EQ118" i="27" s="1"/>
  <c r="EO114" i="27" a="1"/>
  <c r="EO114" i="27" s="1"/>
  <c r="EQ109" i="27" a="1"/>
  <c r="EQ109" i="27" s="1"/>
  <c r="EO101" i="27" a="1"/>
  <c r="EO101" i="27" s="1"/>
  <c r="EP97" i="27" a="1"/>
  <c r="EP97" i="27" s="1"/>
  <c r="EQ89" i="27" a="1"/>
  <c r="EQ89" i="27" s="1"/>
  <c r="EP85" i="27" a="1"/>
  <c r="EP85" i="27" s="1"/>
  <c r="EP81" i="27" a="1"/>
  <c r="EP81" i="27" s="1"/>
  <c r="EQ76" i="27" a="1"/>
  <c r="EQ76" i="27" s="1"/>
  <c r="EO73" i="27" a="1"/>
  <c r="EO73" i="27" s="1"/>
  <c r="EP68" i="27" a="1"/>
  <c r="EP68" i="27" s="1"/>
  <c r="EO64" i="27" a="1"/>
  <c r="EO64" i="27" s="1"/>
  <c r="EO60" i="27" a="1"/>
  <c r="EO60" i="27" s="1"/>
  <c r="EP55" i="27" a="1"/>
  <c r="EP55" i="27" s="1"/>
  <c r="EI91" i="27" a="1"/>
  <c r="EI91" i="27" s="1"/>
  <c r="EI88" i="27" a="1"/>
  <c r="EI88" i="27" s="1"/>
  <c r="EI85" i="27" a="1"/>
  <c r="EI85" i="27" s="1"/>
  <c r="EI82" i="27" a="1"/>
  <c r="EI82" i="27" s="1"/>
  <c r="EH80" i="27" a="1"/>
  <c r="EH80" i="27" s="1"/>
  <c r="EH77" i="27" a="1"/>
  <c r="EH77" i="27" s="1"/>
  <c r="EH74" i="27" a="1"/>
  <c r="EH74" i="27" s="1"/>
  <c r="EI71" i="27" a="1"/>
  <c r="EI71" i="27" s="1"/>
  <c r="EJ68" i="27" a="1"/>
  <c r="EJ68" i="27" s="1"/>
  <c r="EH66" i="27" a="1"/>
  <c r="EH66" i="27" s="1"/>
  <c r="EI63" i="27" a="1"/>
  <c r="EI63" i="27" s="1"/>
  <c r="EH61" i="27" a="1"/>
  <c r="EH61" i="27" s="1"/>
  <c r="EJ58" i="27" a="1"/>
  <c r="EJ58" i="27" s="1"/>
  <c r="EH56" i="27" a="1"/>
  <c r="EH56" i="27" s="1"/>
  <c r="EI53" i="27" a="1"/>
  <c r="EI53" i="27" s="1"/>
  <c r="EP130" i="27" a="1"/>
  <c r="EP130" i="27" s="1"/>
  <c r="EO122" i="27" a="1"/>
  <c r="EO122" i="27" s="1"/>
  <c r="EQ113" i="27" a="1"/>
  <c r="EQ113" i="27" s="1"/>
  <c r="EP96" i="27" a="1"/>
  <c r="EP96" i="27" s="1"/>
  <c r="EQ84" i="27" a="1"/>
  <c r="EQ84" i="27" s="1"/>
  <c r="EP76" i="27" a="1"/>
  <c r="EP76" i="27" s="1"/>
  <c r="EO68" i="27" a="1"/>
  <c r="EO68" i="27" s="1"/>
  <c r="EQ59" i="27" a="1"/>
  <c r="EQ59" i="27" s="1"/>
  <c r="EH91" i="27" a="1"/>
  <c r="EH91" i="27" s="1"/>
  <c r="EJ84" i="27" a="1"/>
  <c r="EJ84" i="27" s="1"/>
  <c r="EJ79" i="27" a="1"/>
  <c r="EJ79" i="27" s="1"/>
  <c r="EJ73" i="27" a="1"/>
  <c r="EJ73" i="27" s="1"/>
  <c r="EI68" i="27" a="1"/>
  <c r="EI68" i="27" s="1"/>
  <c r="EH63" i="27" a="1"/>
  <c r="EH63" i="27" s="1"/>
  <c r="EI58" i="27" a="1"/>
  <c r="EI58" i="27" s="1"/>
  <c r="EH53" i="27" a="1"/>
  <c r="EH53" i="27" s="1"/>
  <c r="EO130" i="27" a="1"/>
  <c r="EO130" i="27" s="1"/>
  <c r="EQ121" i="27" a="1"/>
  <c r="EQ121" i="27" s="1"/>
  <c r="EP113" i="27" a="1"/>
  <c r="EP113" i="27" s="1"/>
  <c r="EP104" i="27" a="1"/>
  <c r="EP104" i="27" s="1"/>
  <c r="EQ95" i="27" a="1"/>
  <c r="EQ95" i="27" s="1"/>
  <c r="EP84" i="27" a="1"/>
  <c r="EP84" i="27" s="1"/>
  <c r="EO76" i="27" a="1"/>
  <c r="EO76" i="27" s="1"/>
  <c r="EQ67" i="27" a="1"/>
  <c r="EQ67" i="27" s="1"/>
  <c r="EQ58" i="27" a="1"/>
  <c r="EQ58" i="27" s="1"/>
  <c r="EJ90" i="27" a="1"/>
  <c r="EJ90" i="27" s="1"/>
  <c r="EI84" i="27" a="1"/>
  <c r="EI84" i="27" s="1"/>
  <c r="EI79" i="27" a="1"/>
  <c r="EI79" i="27" s="1"/>
  <c r="EI73" i="27" a="1"/>
  <c r="EI73" i="27" s="1"/>
  <c r="EH68" i="27" a="1"/>
  <c r="EH68" i="27" s="1"/>
  <c r="EJ62" i="27" a="1"/>
  <c r="EJ62" i="27" s="1"/>
  <c r="EH58" i="27" a="1"/>
  <c r="EH58" i="27" s="1"/>
  <c r="EQ129" i="27" a="1"/>
  <c r="EQ129" i="27" s="1"/>
  <c r="EP121" i="27" a="1"/>
  <c r="EP121" i="27" s="1"/>
  <c r="EP112" i="27" a="1"/>
  <c r="EP112" i="27" s="1"/>
  <c r="EQ103" i="27" a="1"/>
  <c r="EQ103" i="27" s="1"/>
  <c r="EP95" i="27" a="1"/>
  <c r="EP95" i="27" s="1"/>
  <c r="EO84" i="27" a="1"/>
  <c r="EO84" i="27" s="1"/>
  <c r="EQ75" i="27" a="1"/>
  <c r="EQ75" i="27" s="1"/>
  <c r="EQ66" i="27" a="1"/>
  <c r="EQ66" i="27" s="1"/>
  <c r="EO58" i="27" a="1"/>
  <c r="EO58" i="27" s="1"/>
  <c r="EH90" i="27" a="1"/>
  <c r="EH90" i="27" s="1"/>
  <c r="EH84" i="27" a="1"/>
  <c r="EH84" i="27" s="1"/>
  <c r="EH79" i="27" a="1"/>
  <c r="EH79" i="27" s="1"/>
  <c r="EH73" i="27" a="1"/>
  <c r="EH73" i="27" s="1"/>
  <c r="EJ67" i="27" a="1"/>
  <c r="EJ67" i="27" s="1"/>
  <c r="EI62" i="27" a="1"/>
  <c r="EI62" i="27" s="1"/>
  <c r="EJ57" i="27" a="1"/>
  <c r="EJ57" i="27" s="1"/>
  <c r="EQ127" i="27" a="1"/>
  <c r="EQ127" i="27" s="1"/>
  <c r="EP119" i="27" a="1"/>
  <c r="EP119" i="27" s="1"/>
  <c r="EO111" i="27" a="1"/>
  <c r="EO111" i="27" s="1"/>
  <c r="EQ102" i="27" a="1"/>
  <c r="EQ102" i="27" s="1"/>
  <c r="EQ90" i="27" a="1"/>
  <c r="EQ90" i="27" s="1"/>
  <c r="EQ73" i="27" a="1"/>
  <c r="EQ73" i="27" s="1"/>
  <c r="EP65" i="27" a="1"/>
  <c r="EP65" i="27" s="1"/>
  <c r="EH89" i="27" a="1"/>
  <c r="EH89" i="27" s="1"/>
  <c r="EJ77" i="27" a="1"/>
  <c r="EJ77" i="27" s="1"/>
  <c r="EH72" i="27" a="1"/>
  <c r="EH72" i="27" s="1"/>
  <c r="EJ66" i="27" a="1"/>
  <c r="EJ66" i="27" s="1"/>
  <c r="EJ61" i="27" a="1"/>
  <c r="EJ61" i="27" s="1"/>
  <c r="EJ56" i="27" a="1"/>
  <c r="EJ56" i="27" s="1"/>
  <c r="DH86" i="27" a="1"/>
  <c r="DH86" i="27" s="1"/>
  <c r="DI83" i="27" a="1"/>
  <c r="DI83" i="27" s="1"/>
  <c r="DH81" i="27" a="1"/>
  <c r="DH81" i="27" s="1"/>
  <c r="DJ78" i="27" a="1"/>
  <c r="DJ78" i="27" s="1"/>
  <c r="DH76" i="27" a="1"/>
  <c r="DH76" i="27" s="1"/>
  <c r="DI73" i="27" a="1"/>
  <c r="DI73" i="27" s="1"/>
  <c r="DH71" i="27" a="1"/>
  <c r="DH71" i="27" s="1"/>
  <c r="DJ68" i="27" a="1"/>
  <c r="DJ68" i="27" s="1"/>
  <c r="DH66" i="27" a="1"/>
  <c r="DH66" i="27" s="1"/>
  <c r="DI63" i="27" a="1"/>
  <c r="DI63" i="27" s="1"/>
  <c r="DJ58" i="27" a="1"/>
  <c r="DJ58" i="27" s="1"/>
  <c r="DH56" i="27" a="1"/>
  <c r="DH56" i="27" s="1"/>
  <c r="DI53" i="27" a="1"/>
  <c r="DI53" i="27" s="1"/>
  <c r="DJ50" i="27" a="1"/>
  <c r="DJ50" i="27" s="1"/>
  <c r="DJ48" i="27" a="1"/>
  <c r="DJ48" i="27" s="1"/>
  <c r="EO125" i="27" a="1"/>
  <c r="EO125" i="27" s="1"/>
  <c r="EP108" i="27" a="1"/>
  <c r="EP108" i="27" s="1"/>
  <c r="EO88" i="27" a="1"/>
  <c r="EO88" i="27" s="1"/>
  <c r="EO71" i="27" a="1"/>
  <c r="EO71" i="27" s="1"/>
  <c r="EP54" i="27" a="1"/>
  <c r="EP54" i="27" s="1"/>
  <c r="EH87" i="27" a="1"/>
  <c r="EH87" i="27" s="1"/>
  <c r="EH76" i="27" a="1"/>
  <c r="EH76" i="27" s="1"/>
  <c r="EH65" i="27" a="1"/>
  <c r="EH65" i="27" s="1"/>
  <c r="EH55" i="27" a="1"/>
  <c r="EH55" i="27" s="1"/>
  <c r="DH85" i="27" a="1"/>
  <c r="DH85" i="27" s="1"/>
  <c r="DJ79" i="27" a="1"/>
  <c r="DJ79" i="27" s="1"/>
  <c r="DJ76" i="27" a="1"/>
  <c r="DJ76" i="27" s="1"/>
  <c r="DJ73" i="27" a="1"/>
  <c r="DJ73" i="27" s="1"/>
  <c r="DJ70" i="27" a="1"/>
  <c r="DJ70" i="27" s="1"/>
  <c r="DH68" i="27" a="1"/>
  <c r="DH68" i="27" s="1"/>
  <c r="DH65" i="27" a="1"/>
  <c r="DH65" i="27" s="1"/>
  <c r="DH62" i="27" a="1"/>
  <c r="DH62" i="27" s="1"/>
  <c r="DJ56" i="27" a="1"/>
  <c r="DJ56" i="27" s="1"/>
  <c r="DJ53" i="27" a="1"/>
  <c r="DJ53" i="27" s="1"/>
  <c r="DI50" i="27" a="1"/>
  <c r="DI50" i="27" s="1"/>
  <c r="DH48" i="27" a="1"/>
  <c r="DH48" i="27" s="1"/>
  <c r="DC94" i="27" a="1"/>
  <c r="DC94" i="27" s="1"/>
  <c r="DA90" i="27" a="1"/>
  <c r="DA90" i="27" s="1"/>
  <c r="DC87" i="27" a="1"/>
  <c r="DC87" i="27" s="1"/>
  <c r="DB85" i="27" a="1"/>
  <c r="DB85" i="27" s="1"/>
  <c r="DA83" i="27" a="1"/>
  <c r="DA83" i="27" s="1"/>
  <c r="DC80" i="27" a="1"/>
  <c r="DC80" i="27" s="1"/>
  <c r="DA76" i="27" a="1"/>
  <c r="DA76" i="27" s="1"/>
  <c r="DB73" i="27" a="1"/>
  <c r="DB73" i="27" s="1"/>
  <c r="DB66" i="27" a="1"/>
  <c r="DB66" i="27" s="1"/>
  <c r="DA64" i="27" a="1"/>
  <c r="DA64" i="27" s="1"/>
  <c r="DC61" i="27" a="1"/>
  <c r="DC61" i="27" s="1"/>
  <c r="DB59" i="27" a="1"/>
  <c r="DB59" i="27" s="1"/>
  <c r="CV137" i="27" a="1"/>
  <c r="CV137" i="27" s="1"/>
  <c r="CT135" i="27" a="1"/>
  <c r="CT135" i="27" s="1"/>
  <c r="EP106" i="27" a="1"/>
  <c r="EP106" i="27" s="1"/>
  <c r="EQ86" i="27" a="1"/>
  <c r="EQ86" i="27" s="1"/>
  <c r="EP69" i="27" a="1"/>
  <c r="EP69" i="27" s="1"/>
  <c r="EP52" i="27" a="1"/>
  <c r="EP52" i="27" s="1"/>
  <c r="EH86" i="27" a="1"/>
  <c r="EH86" i="27" s="1"/>
  <c r="EJ74" i="27" a="1"/>
  <c r="EJ74" i="27" s="1"/>
  <c r="EH54" i="27" a="1"/>
  <c r="EH54" i="27" s="1"/>
  <c r="DJ84" i="27" a="1"/>
  <c r="DJ84" i="27" s="1"/>
  <c r="DH82" i="27" a="1"/>
  <c r="DH82" i="27" s="1"/>
  <c r="DI79" i="27" a="1"/>
  <c r="DI79" i="27" s="1"/>
  <c r="DI76" i="27" a="1"/>
  <c r="DI76" i="27" s="1"/>
  <c r="DH73" i="27" a="1"/>
  <c r="DH73" i="27" s="1"/>
  <c r="DI70" i="27" a="1"/>
  <c r="DI70" i="27" s="1"/>
  <c r="DJ67" i="27" a="1"/>
  <c r="DJ67" i="27" s="1"/>
  <c r="DJ64" i="27" a="1"/>
  <c r="DJ64" i="27" s="1"/>
  <c r="DJ61" i="27" a="1"/>
  <c r="DJ61" i="27" s="1"/>
  <c r="DI56" i="27" a="1"/>
  <c r="DI56" i="27" s="1"/>
  <c r="DH53" i="27" a="1"/>
  <c r="DH53" i="27" s="1"/>
  <c r="EQ117" i="27" a="1"/>
  <c r="EQ117" i="27" s="1"/>
  <c r="EQ100" i="27" a="1"/>
  <c r="EQ100" i="27" s="1"/>
  <c r="EO81" i="27" a="1"/>
  <c r="EO81" i="27" s="1"/>
  <c r="EH82" i="27" a="1"/>
  <c r="EH82" i="27" s="1"/>
  <c r="EJ60" i="27" a="1"/>
  <c r="EJ60" i="27" s="1"/>
  <c r="DI84" i="27" a="1"/>
  <c r="DI84" i="27" s="1"/>
  <c r="DJ81" i="27" a="1"/>
  <c r="DJ81" i="27" s="1"/>
  <c r="DH79" i="27" a="1"/>
  <c r="DH79" i="27" s="1"/>
  <c r="DJ75" i="27" a="1"/>
  <c r="DJ75" i="27" s="1"/>
  <c r="DJ72" i="27" a="1"/>
  <c r="DJ72" i="27" s="1"/>
  <c r="DI67" i="27" a="1"/>
  <c r="DI67" i="27" s="1"/>
  <c r="DI64" i="27" a="1"/>
  <c r="DI64" i="27" s="1"/>
  <c r="DI61" i="27" a="1"/>
  <c r="DI61" i="27" s="1"/>
  <c r="DJ55" i="27" a="1"/>
  <c r="DJ55" i="27" s="1"/>
  <c r="DJ52" i="27" a="1"/>
  <c r="DJ52" i="27" s="1"/>
  <c r="DH50" i="27" a="1"/>
  <c r="DH50" i="27" s="1"/>
  <c r="DA92" i="27" a="1"/>
  <c r="DA92" i="27" s="1"/>
  <c r="DB89" i="27" a="1"/>
  <c r="DB89" i="27" s="1"/>
  <c r="DC84" i="27" a="1"/>
  <c r="DC84" i="27" s="1"/>
  <c r="EO117" i="27" a="1"/>
  <c r="EO117" i="27" s="1"/>
  <c r="EP100" i="27" a="1"/>
  <c r="EP100" i="27" s="1"/>
  <c r="EO80" i="27" a="1"/>
  <c r="EO80" i="27" s="1"/>
  <c r="EH71" i="27" a="1"/>
  <c r="EH71" i="27" s="1"/>
  <c r="DH84" i="27" a="1"/>
  <c r="DH84" i="27" s="1"/>
  <c r="DI81" i="27" a="1"/>
  <c r="DI81" i="27" s="1"/>
  <c r="DI78" i="27" a="1"/>
  <c r="DI78" i="27" s="1"/>
  <c r="DI75" i="27" a="1"/>
  <c r="DI75" i="27" s="1"/>
  <c r="DI72" i="27" a="1"/>
  <c r="DI72" i="27" s="1"/>
  <c r="DH70" i="27" a="1"/>
  <c r="DH70" i="27" s="1"/>
  <c r="DH67" i="27" a="1"/>
  <c r="DH67" i="27" s="1"/>
  <c r="DH64" i="27" a="1"/>
  <c r="DH64" i="27" s="1"/>
  <c r="DH61" i="27" a="1"/>
  <c r="DH61" i="27" s="1"/>
  <c r="DI58" i="27" a="1"/>
  <c r="DI58" i="27" s="1"/>
  <c r="DI55" i="27" a="1"/>
  <c r="DI55" i="27" s="1"/>
  <c r="DI52" i="27" a="1"/>
  <c r="DI52" i="27" s="1"/>
  <c r="DJ49" i="27" a="1"/>
  <c r="DJ49" i="27" s="1"/>
  <c r="DA94" i="27" a="1"/>
  <c r="DA94" i="27" s="1"/>
  <c r="DC91" i="27" a="1"/>
  <c r="DC91" i="27" s="1"/>
  <c r="DA89" i="27" a="1"/>
  <c r="DA89" i="27" s="1"/>
  <c r="DA87" i="27" a="1"/>
  <c r="DA87" i="27" s="1"/>
  <c r="DB84" i="27" a="1"/>
  <c r="DB84" i="27" s="1"/>
  <c r="DA82" i="27" a="1"/>
  <c r="DA82" i="27" s="1"/>
  <c r="DC79" i="27" a="1"/>
  <c r="DC79" i="27" s="1"/>
  <c r="DB77" i="27" a="1"/>
  <c r="DB77" i="27" s="1"/>
  <c r="DA75" i="27" a="1"/>
  <c r="DA75" i="27" s="1"/>
  <c r="DC72" i="27" a="1"/>
  <c r="DC72" i="27" s="1"/>
  <c r="DB70" i="27" a="1"/>
  <c r="DB70" i="27" s="1"/>
  <c r="DC67" i="27" a="1"/>
  <c r="DC67" i="27" s="1"/>
  <c r="DC65" i="27" a="1"/>
  <c r="DC65" i="27" s="1"/>
  <c r="DA63" i="27" a="1"/>
  <c r="DA63" i="27" s="1"/>
  <c r="DC60" i="27" a="1"/>
  <c r="DC60" i="27" s="1"/>
  <c r="DB58" i="27" a="1"/>
  <c r="DB58" i="27" s="1"/>
  <c r="CV136" i="27" a="1"/>
  <c r="CV136" i="27" s="1"/>
  <c r="CT134" i="27" a="1"/>
  <c r="CT134" i="27" s="1"/>
  <c r="CU131" i="27" a="1"/>
  <c r="CU131" i="27" s="1"/>
  <c r="CV128" i="27" a="1"/>
  <c r="CV128" i="27" s="1"/>
  <c r="CT126" i="27" a="1"/>
  <c r="CT126" i="27" s="1"/>
  <c r="CU123" i="27" a="1"/>
  <c r="CU123" i="27" s="1"/>
  <c r="CV120" i="27" a="1"/>
  <c r="CV120" i="27" s="1"/>
  <c r="CT118" i="27" a="1"/>
  <c r="CT118" i="27" s="1"/>
  <c r="CU115" i="27" a="1"/>
  <c r="CU115" i="27" s="1"/>
  <c r="CV112" i="27" a="1"/>
  <c r="CV112" i="27" s="1"/>
  <c r="CU107" i="27" a="1"/>
  <c r="CU107" i="27" s="1"/>
  <c r="CV104" i="27" a="1"/>
  <c r="CV104" i="27" s="1"/>
  <c r="CT102" i="27" a="1"/>
  <c r="CT102" i="27" s="1"/>
  <c r="CU99" i="27" a="1"/>
  <c r="CU99" i="27" s="1"/>
  <c r="CV93" i="27" a="1"/>
  <c r="CV93" i="27" s="1"/>
  <c r="CT91" i="27" a="1"/>
  <c r="CT91" i="27" s="1"/>
  <c r="CU88" i="27" a="1"/>
  <c r="CU88" i="27" s="1"/>
  <c r="CV85" i="27" a="1"/>
  <c r="CV85" i="27" s="1"/>
  <c r="CT83" i="27" a="1"/>
  <c r="CT83" i="27" s="1"/>
  <c r="CU80" i="27" a="1"/>
  <c r="CU80" i="27" s="1"/>
  <c r="EP132" i="27" a="1"/>
  <c r="EP132" i="27" s="1"/>
  <c r="EO98" i="27" a="1"/>
  <c r="EO98" i="27" s="1"/>
  <c r="EQ60" i="27" a="1"/>
  <c r="EQ60" i="27" s="1"/>
  <c r="EJ80" i="27" a="1"/>
  <c r="EJ80" i="27" s="1"/>
  <c r="EI59" i="27" a="1"/>
  <c r="EI59" i="27" s="1"/>
  <c r="DI86" i="27" a="1"/>
  <c r="DI86" i="27" s="1"/>
  <c r="DJ80" i="27" a="1"/>
  <c r="DJ80" i="27" s="1"/>
  <c r="DJ74" i="27" a="1"/>
  <c r="DJ74" i="27" s="1"/>
  <c r="DI69" i="27" a="1"/>
  <c r="DI69" i="27" s="1"/>
  <c r="DH63" i="27" a="1"/>
  <c r="DH63" i="27" s="1"/>
  <c r="DJ57" i="27" a="1"/>
  <c r="DJ57" i="27" s="1"/>
  <c r="DJ51" i="27" a="1"/>
  <c r="DJ51" i="27" s="1"/>
  <c r="DC95" i="27" a="1"/>
  <c r="DC95" i="27" s="1"/>
  <c r="DB92" i="27" a="1"/>
  <c r="DB92" i="27" s="1"/>
  <c r="DB88" i="27" a="1"/>
  <c r="DB88" i="27" s="1"/>
  <c r="DA84" i="27" a="1"/>
  <c r="DA84" i="27" s="1"/>
  <c r="DB81" i="27" a="1"/>
  <c r="DB81" i="27" s="1"/>
  <c r="DA78" i="27" a="1"/>
  <c r="DA78" i="27" s="1"/>
  <c r="DC74" i="27" a="1"/>
  <c r="DC74" i="27" s="1"/>
  <c r="DC71" i="27" a="1"/>
  <c r="DC71" i="27" s="1"/>
  <c r="DB65" i="27" a="1"/>
  <c r="DB65" i="27" s="1"/>
  <c r="DA59" i="27" a="1"/>
  <c r="DA59" i="27" s="1"/>
  <c r="CU136" i="27" a="1"/>
  <c r="CU136" i="27" s="1"/>
  <c r="CT133" i="27" a="1"/>
  <c r="CT133" i="27" s="1"/>
  <c r="CT130" i="27" a="1"/>
  <c r="CT130" i="27" s="1"/>
  <c r="CT127" i="27" a="1"/>
  <c r="CT127" i="27" s="1"/>
  <c r="CT124" i="27" a="1"/>
  <c r="CT124" i="27" s="1"/>
  <c r="CT121" i="27" a="1"/>
  <c r="CT121" i="27" s="1"/>
  <c r="CV117" i="27" a="1"/>
  <c r="CV117" i="27" s="1"/>
  <c r="CV114" i="27" a="1"/>
  <c r="CV114" i="27" s="1"/>
  <c r="CV111" i="27" a="1"/>
  <c r="CV111" i="27" s="1"/>
  <c r="CV108" i="27" a="1"/>
  <c r="CV108" i="27" s="1"/>
  <c r="CV105" i="27" a="1"/>
  <c r="CV105" i="27" s="1"/>
  <c r="CV102" i="27" a="1"/>
  <c r="CV102" i="27" s="1"/>
  <c r="CV99" i="27" a="1"/>
  <c r="CV99" i="27" s="1"/>
  <c r="CU93" i="27" a="1"/>
  <c r="CU93" i="27" s="1"/>
  <c r="EQ126" i="27" a="1"/>
  <c r="EQ126" i="27" s="1"/>
  <c r="EP89" i="27" a="1"/>
  <c r="EP89" i="27" s="1"/>
  <c r="EO55" i="27" a="1"/>
  <c r="EO55" i="27" s="1"/>
  <c r="EJ76" i="27" a="1"/>
  <c r="EJ76" i="27" s="1"/>
  <c r="EJ55" i="27" a="1"/>
  <c r="EJ55" i="27" s="1"/>
  <c r="DJ85" i="27" a="1"/>
  <c r="DJ85" i="27" s="1"/>
  <c r="DI80" i="27" a="1"/>
  <c r="DI80" i="27" s="1"/>
  <c r="DI74" i="27" a="1"/>
  <c r="DI74" i="27" s="1"/>
  <c r="DH69" i="27" a="1"/>
  <c r="DH69" i="27" s="1"/>
  <c r="DJ62" i="27" a="1"/>
  <c r="DJ62" i="27" s="1"/>
  <c r="DI57" i="27" a="1"/>
  <c r="DI57" i="27" s="1"/>
  <c r="DI51" i="27" a="1"/>
  <c r="DI51" i="27" s="1"/>
  <c r="DB95" i="27" a="1"/>
  <c r="DB95" i="27" s="1"/>
  <c r="DB91" i="27" a="1"/>
  <c r="DB91" i="27" s="1"/>
  <c r="DA88" i="27" a="1"/>
  <c r="DA88" i="27" s="1"/>
  <c r="DC83" i="27" a="1"/>
  <c r="DC83" i="27" s="1"/>
  <c r="DA81" i="27" a="1"/>
  <c r="DA81" i="27" s="1"/>
  <c r="DC77" i="27" a="1"/>
  <c r="DC77" i="27" s="1"/>
  <c r="DB74" i="27" a="1"/>
  <c r="DB74" i="27" s="1"/>
  <c r="DB71" i="27" a="1"/>
  <c r="DB71" i="27" s="1"/>
  <c r="DA65" i="27" a="1"/>
  <c r="DA65" i="27" s="1"/>
  <c r="DA62" i="27" a="1"/>
  <c r="DA62" i="27" s="1"/>
  <c r="DC58" i="27" a="1"/>
  <c r="DC58" i="27" s="1"/>
  <c r="CT136" i="27" a="1"/>
  <c r="CT136" i="27" s="1"/>
  <c r="CV132" i="27" a="1"/>
  <c r="CV132" i="27" s="1"/>
  <c r="CV129" i="27" a="1"/>
  <c r="CV129" i="27" s="1"/>
  <c r="EQ125" i="27" a="1"/>
  <c r="EQ125" i="27" s="1"/>
  <c r="EO89" i="27" a="1"/>
  <c r="EO89" i="27" s="1"/>
  <c r="EQ54" i="27" a="1"/>
  <c r="EQ54" i="27" s="1"/>
  <c r="EI76" i="27" a="1"/>
  <c r="EI76" i="27" s="1"/>
  <c r="EI55" i="27" a="1"/>
  <c r="EI55" i="27" s="1"/>
  <c r="DI85" i="27" a="1"/>
  <c r="DI85" i="27" s="1"/>
  <c r="DH80" i="27" a="1"/>
  <c r="DH80" i="27" s="1"/>
  <c r="DH74" i="27" a="1"/>
  <c r="DH74" i="27" s="1"/>
  <c r="DI68" i="27" a="1"/>
  <c r="DI68" i="27" s="1"/>
  <c r="DI62" i="27" a="1"/>
  <c r="DI62" i="27" s="1"/>
  <c r="DH57" i="27" a="1"/>
  <c r="DH57" i="27" s="1"/>
  <c r="DH51" i="27" a="1"/>
  <c r="DH51" i="27" s="1"/>
  <c r="DA95" i="27" a="1"/>
  <c r="DA95" i="27" s="1"/>
  <c r="DA91" i="27" a="1"/>
  <c r="DA91" i="27" s="1"/>
  <c r="DB87" i="27" a="1"/>
  <c r="DB87" i="27" s="1"/>
  <c r="DB80" i="27" a="1"/>
  <c r="DB80" i="27" s="1"/>
  <c r="DA77" i="27" a="1"/>
  <c r="DA77" i="27" s="1"/>
  <c r="DA74" i="27" a="1"/>
  <c r="DA74" i="27" s="1"/>
  <c r="DA71" i="27" a="1"/>
  <c r="DA71" i="27" s="1"/>
  <c r="DC64" i="27" a="1"/>
  <c r="DC64" i="27" s="1"/>
  <c r="DB61" i="27" a="1"/>
  <c r="DB61" i="27" s="1"/>
  <c r="DA58" i="27" a="1"/>
  <c r="DA58" i="27" s="1"/>
  <c r="CV135" i="27" a="1"/>
  <c r="CV135" i="27" s="1"/>
  <c r="CU132" i="27" a="1"/>
  <c r="CU132" i="27" s="1"/>
  <c r="CU129" i="27" a="1"/>
  <c r="CU129" i="27" s="1"/>
  <c r="CU126" i="27" a="1"/>
  <c r="CU126" i="27" s="1"/>
  <c r="CT123" i="27" a="1"/>
  <c r="CT123" i="27" s="1"/>
  <c r="CT120" i="27" a="1"/>
  <c r="CT120" i="27" s="1"/>
  <c r="CT117" i="27" a="1"/>
  <c r="CT117" i="27" s="1"/>
  <c r="CT114" i="27" a="1"/>
  <c r="CT114" i="27" s="1"/>
  <c r="CT111" i="27" a="1"/>
  <c r="CT111" i="27" s="1"/>
  <c r="CT108" i="27" a="1"/>
  <c r="CT108" i="27" s="1"/>
  <c r="CT105" i="27" a="1"/>
  <c r="CT105" i="27" s="1"/>
  <c r="EO115" i="27" a="1"/>
  <c r="EO115" i="27" s="1"/>
  <c r="EP78" i="27" a="1"/>
  <c r="EP78" i="27" s="1"/>
  <c r="EI69" i="27" a="1"/>
  <c r="EI69" i="27" s="1"/>
  <c r="DH83" i="27" a="1"/>
  <c r="DH83" i="27" s="1"/>
  <c r="DJ77" i="27" a="1"/>
  <c r="DJ77" i="27" s="1"/>
  <c r="DJ71" i="27" a="1"/>
  <c r="DJ71" i="27" s="1"/>
  <c r="DI66" i="27" a="1"/>
  <c r="DI66" i="27" s="1"/>
  <c r="DI60" i="27" a="1"/>
  <c r="DI60" i="27" s="1"/>
  <c r="DJ54" i="27" a="1"/>
  <c r="DJ54" i="27" s="1"/>
  <c r="DH49" i="27" a="1"/>
  <c r="DH49" i="27" s="1"/>
  <c r="DC93" i="27" a="1"/>
  <c r="DC93" i="27" s="1"/>
  <c r="DB90" i="27" a="1"/>
  <c r="DB90" i="27" s="1"/>
  <c r="DB86" i="27" a="1"/>
  <c r="DB86" i="27" s="1"/>
  <c r="DC82" i="27" a="1"/>
  <c r="DC82" i="27" s="1"/>
  <c r="DB79" i="27" a="1"/>
  <c r="DB79" i="27" s="1"/>
  <c r="DA73" i="27" a="1"/>
  <c r="DA73" i="27" s="1"/>
  <c r="DA70" i="27" a="1"/>
  <c r="DA70" i="27" s="1"/>
  <c r="DA67" i="27" a="1"/>
  <c r="DA67" i="27" s="1"/>
  <c r="DC63" i="27" a="1"/>
  <c r="DC63" i="27" s="1"/>
  <c r="DB57" i="27" a="1"/>
  <c r="DB57" i="27" s="1"/>
  <c r="CV134" i="27" a="1"/>
  <c r="CV134" i="27" s="1"/>
  <c r="CV131" i="27" a="1"/>
  <c r="CV131" i="27" s="1"/>
  <c r="CU128" i="27" a="1"/>
  <c r="CU128" i="27" s="1"/>
  <c r="CU125" i="27" a="1"/>
  <c r="CU125" i="27" s="1"/>
  <c r="CU122" i="27" a="1"/>
  <c r="CU122" i="27" s="1"/>
  <c r="CU119" i="27" a="1"/>
  <c r="CU119" i="27" s="1"/>
  <c r="CU116" i="27" a="1"/>
  <c r="CU116" i="27" s="1"/>
  <c r="CU113" i="27" a="1"/>
  <c r="CU113" i="27" s="1"/>
  <c r="CT107" i="27" a="1"/>
  <c r="CT107" i="27" s="1"/>
  <c r="CT104" i="27" a="1"/>
  <c r="CT104" i="27" s="1"/>
  <c r="CT101" i="27" a="1"/>
  <c r="CT101" i="27" s="1"/>
  <c r="CT95" i="27" a="1"/>
  <c r="CT95" i="27" s="1"/>
  <c r="CT92" i="27" a="1"/>
  <c r="CT92" i="27" s="1"/>
  <c r="CT89" i="27" a="1"/>
  <c r="CT89" i="27" s="1"/>
  <c r="CT86" i="27" a="1"/>
  <c r="CT86" i="27" s="1"/>
  <c r="CV82" i="27" a="1"/>
  <c r="CV82" i="27" s="1"/>
  <c r="CV79" i="27" a="1"/>
  <c r="CV79" i="27" s="1"/>
  <c r="CU77" i="27" a="1"/>
  <c r="CU77" i="27" s="1"/>
  <c r="CT75" i="27" a="1"/>
  <c r="CT75" i="27" s="1"/>
  <c r="CU72" i="27" a="1"/>
  <c r="CU72" i="27" s="1"/>
  <c r="CT70" i="27" a="1"/>
  <c r="CT70" i="27" s="1"/>
  <c r="CU67" i="27" a="1"/>
  <c r="CU67" i="27" s="1"/>
  <c r="CT65" i="27" a="1"/>
  <c r="CT65" i="27" s="1"/>
  <c r="CV62" i="27" a="1"/>
  <c r="CV62" i="27" s="1"/>
  <c r="CU60" i="27" a="1"/>
  <c r="CU60" i="27" s="1"/>
  <c r="CV57" i="27" a="1"/>
  <c r="CV57" i="27" s="1"/>
  <c r="EO72" i="27" a="1"/>
  <c r="EO72" i="27" s="1"/>
  <c r="EH88" i="27" a="1"/>
  <c r="EH88" i="27" s="1"/>
  <c r="DI77" i="27" a="1"/>
  <c r="DI77" i="27" s="1"/>
  <c r="DJ65" i="27" a="1"/>
  <c r="DJ65" i="27" s="1"/>
  <c r="DI54" i="27" a="1"/>
  <c r="DI54" i="27" s="1"/>
  <c r="DC89" i="27" a="1"/>
  <c r="DC89" i="27" s="1"/>
  <c r="DB82" i="27" a="1"/>
  <c r="DB82" i="27" s="1"/>
  <c r="DB76" i="27" a="1"/>
  <c r="DB76" i="27" s="1"/>
  <c r="DC69" i="27" a="1"/>
  <c r="DC69" i="27" s="1"/>
  <c r="DB63" i="27" a="1"/>
  <c r="DB63" i="27" s="1"/>
  <c r="DA57" i="27" a="1"/>
  <c r="DA57" i="27" s="1"/>
  <c r="CT131" i="27" a="1"/>
  <c r="CT131" i="27" s="1"/>
  <c r="CV125" i="27" a="1"/>
  <c r="CV125" i="27" s="1"/>
  <c r="CU121" i="27" a="1"/>
  <c r="CU121" i="27" s="1"/>
  <c r="CT116" i="27" a="1"/>
  <c r="CT116" i="27" s="1"/>
  <c r="CU111" i="27" a="1"/>
  <c r="CU111" i="27" s="1"/>
  <c r="CU106" i="27" a="1"/>
  <c r="CU106" i="27" s="1"/>
  <c r="CV101" i="27" a="1"/>
  <c r="CV101" i="27" s="1"/>
  <c r="CV94" i="27" a="1"/>
  <c r="CV94" i="27" s="1"/>
  <c r="CV90" i="27" a="1"/>
  <c r="CV90" i="27" s="1"/>
  <c r="CU87" i="27" a="1"/>
  <c r="CU87" i="27" s="1"/>
  <c r="CT84" i="27" a="1"/>
  <c r="CT84" i="27" s="1"/>
  <c r="CV80" i="27" a="1"/>
  <c r="CV80" i="27" s="1"/>
  <c r="CV77" i="27" a="1"/>
  <c r="CV77" i="27" s="1"/>
  <c r="CV74" i="27" a="1"/>
  <c r="CV74" i="27" s="1"/>
  <c r="CV71" i="27" a="1"/>
  <c r="CV71" i="27" s="1"/>
  <c r="CT69" i="27" a="1"/>
  <c r="CT69" i="27" s="1"/>
  <c r="CU66" i="27" a="1"/>
  <c r="CU66" i="27" s="1"/>
  <c r="CV63" i="27" a="1"/>
  <c r="CV63" i="27" s="1"/>
  <c r="CV60" i="27" a="1"/>
  <c r="CV60" i="27" s="1"/>
  <c r="CT58" i="27" a="1"/>
  <c r="CT58" i="27" s="1"/>
  <c r="CO84" i="27" a="1"/>
  <c r="CO84" i="27" s="1"/>
  <c r="CN83" i="27" a="1"/>
  <c r="CN83" i="27" s="1"/>
  <c r="CL82" i="27" a="1"/>
  <c r="CL82" i="27" s="1"/>
  <c r="CK81" i="27" a="1"/>
  <c r="CK81" i="27" s="1"/>
  <c r="CM78" i="27" a="1"/>
  <c r="CM78" i="27" s="1"/>
  <c r="CL77" i="27" a="1"/>
  <c r="CL77" i="27" s="1"/>
  <c r="CO75" i="27" a="1"/>
  <c r="CO75" i="27" s="1"/>
  <c r="CN74" i="27" a="1"/>
  <c r="CN74" i="27" s="1"/>
  <c r="CK72" i="27" a="1"/>
  <c r="CK72" i="27" s="1"/>
  <c r="CO70" i="27" a="1"/>
  <c r="CO70" i="27" s="1"/>
  <c r="CM69" i="27" a="1"/>
  <c r="CM69" i="27" s="1"/>
  <c r="CL68" i="27" a="1"/>
  <c r="CL68" i="27" s="1"/>
  <c r="CN65" i="27" a="1"/>
  <c r="CN65" i="27" s="1"/>
  <c r="CM64" i="27" a="1"/>
  <c r="CM64" i="27" s="1"/>
  <c r="CK63" i="27" a="1"/>
  <c r="CK63" i="27" s="1"/>
  <c r="CL59" i="27" a="1"/>
  <c r="CL59" i="27" s="1"/>
  <c r="CK58" i="27" a="1"/>
  <c r="CK58" i="27" s="1"/>
  <c r="CN56" i="27" a="1"/>
  <c r="CN56" i="27" s="1"/>
  <c r="CM55" i="27" a="1"/>
  <c r="CM55" i="27" s="1"/>
  <c r="CO52" i="27" a="1"/>
  <c r="CO52" i="27" s="1"/>
  <c r="CN51" i="27" a="1"/>
  <c r="CN51" i="27" s="1"/>
  <c r="CL50" i="27" a="1"/>
  <c r="CL50" i="27" s="1"/>
  <c r="EP71" i="27" a="1"/>
  <c r="EP71" i="27" s="1"/>
  <c r="EI87" i="27" a="1"/>
  <c r="EI87" i="27" s="1"/>
  <c r="DH77" i="27" a="1"/>
  <c r="DH77" i="27" s="1"/>
  <c r="DI65" i="27" a="1"/>
  <c r="DI65" i="27" s="1"/>
  <c r="DH54" i="27" a="1"/>
  <c r="DH54" i="27" s="1"/>
  <c r="DC75" i="27" a="1"/>
  <c r="DC75" i="27" s="1"/>
  <c r="DB69" i="27" a="1"/>
  <c r="DB69" i="27" s="1"/>
  <c r="DC62" i="27" a="1"/>
  <c r="DC62" i="27" s="1"/>
  <c r="CU137" i="27" a="1"/>
  <c r="CU137" i="27" s="1"/>
  <c r="CV130" i="27" a="1"/>
  <c r="CV130" i="27" s="1"/>
  <c r="CT125" i="27" a="1"/>
  <c r="CT125" i="27" s="1"/>
  <c r="CU120" i="27" a="1"/>
  <c r="CU120" i="27" s="1"/>
  <c r="CV115" i="27" a="1"/>
  <c r="CV115" i="27" s="1"/>
  <c r="CT106" i="27" a="1"/>
  <c r="CT106" i="27" s="1"/>
  <c r="CU101" i="27" a="1"/>
  <c r="CU101" i="27" s="1"/>
  <c r="CU94" i="27" a="1"/>
  <c r="CU94" i="27" s="1"/>
  <c r="CU90" i="27" a="1"/>
  <c r="CU90" i="27" s="1"/>
  <c r="CT87" i="27" a="1"/>
  <c r="CT87" i="27" s="1"/>
  <c r="CV83" i="27" a="1"/>
  <c r="CV83" i="27" s="1"/>
  <c r="CT80" i="27" a="1"/>
  <c r="CT80" i="27" s="1"/>
  <c r="CT77" i="27" a="1"/>
  <c r="CT77" i="27" s="1"/>
  <c r="CU74" i="27" a="1"/>
  <c r="CU74" i="27" s="1"/>
  <c r="CU71" i="27" a="1"/>
  <c r="CU71" i="27" s="1"/>
  <c r="CT66" i="27" a="1"/>
  <c r="CT66" i="27" s="1"/>
  <c r="CU63" i="27" a="1"/>
  <c r="CU63" i="27" s="1"/>
  <c r="CU57" i="27" a="1"/>
  <c r="CU57" i="27" s="1"/>
  <c r="CN84" i="27" a="1"/>
  <c r="CN84" i="27" s="1"/>
  <c r="CM83" i="27" a="1"/>
  <c r="CM83" i="27" s="1"/>
  <c r="CO80" i="27" a="1"/>
  <c r="CO80" i="27" s="1"/>
  <c r="CN79" i="27" a="1"/>
  <c r="CN79" i="27" s="1"/>
  <c r="CL78" i="27" a="1"/>
  <c r="CL78" i="27" s="1"/>
  <c r="CK77" i="27" a="1"/>
  <c r="CK77" i="27" s="1"/>
  <c r="CM74" i="27" a="1"/>
  <c r="CM74" i="27" s="1"/>
  <c r="CL73" i="27" a="1"/>
  <c r="CL73" i="27" s="1"/>
  <c r="CO71" i="27" a="1"/>
  <c r="CO71" i="27" s="1"/>
  <c r="CN70" i="27" a="1"/>
  <c r="CN70" i="27" s="1"/>
  <c r="CK68" i="27" a="1"/>
  <c r="CK68" i="27" s="1"/>
  <c r="CO66" i="27" a="1"/>
  <c r="CO66" i="27" s="1"/>
  <c r="CM65" i="27" a="1"/>
  <c r="CM65" i="27" s="1"/>
  <c r="CL64" i="27" a="1"/>
  <c r="CL64" i="27" s="1"/>
  <c r="CM60" i="27" a="1"/>
  <c r="CM60" i="27" s="1"/>
  <c r="CK59" i="27" a="1"/>
  <c r="CK59" i="27" s="1"/>
  <c r="CO57" i="27" a="1"/>
  <c r="CO57" i="27" s="1"/>
  <c r="CL55" i="27" a="1"/>
  <c r="CL55" i="27" s="1"/>
  <c r="CK54" i="27" a="1"/>
  <c r="CK54" i="27" s="1"/>
  <c r="CN52" i="27" a="1"/>
  <c r="CN52" i="27" s="1"/>
  <c r="CM51" i="27" a="1"/>
  <c r="CM51" i="27" s="1"/>
  <c r="EQ62" i="27" a="1"/>
  <c r="EQ62" i="27" s="1"/>
  <c r="EJ81" i="27" a="1"/>
  <c r="EJ81" i="27" s="1"/>
  <c r="DJ86" i="27" a="1"/>
  <c r="DJ86" i="27" s="1"/>
  <c r="DH75" i="27" a="1"/>
  <c r="DH75" i="27" s="1"/>
  <c r="DJ63" i="27" a="1"/>
  <c r="DJ63" i="27" s="1"/>
  <c r="DH52" i="27" a="1"/>
  <c r="DH52" i="27" s="1"/>
  <c r="DC88" i="27" a="1"/>
  <c r="DC88" i="27" s="1"/>
  <c r="DC81" i="27" a="1"/>
  <c r="DC81" i="27" s="1"/>
  <c r="DB75" i="27" a="1"/>
  <c r="DB75" i="27" s="1"/>
  <c r="DA69" i="27" a="1"/>
  <c r="DA69" i="27" s="1"/>
  <c r="DB62" i="27" a="1"/>
  <c r="DB62" i="27" s="1"/>
  <c r="CT137" i="27" a="1"/>
  <c r="CT137" i="27" s="1"/>
  <c r="CU130" i="27" a="1"/>
  <c r="CU130" i="27" s="1"/>
  <c r="CV124" i="27" a="1"/>
  <c r="CV124" i="27" s="1"/>
  <c r="CV119" i="27" a="1"/>
  <c r="CV119" i="27" s="1"/>
  <c r="CT115" i="27" a="1"/>
  <c r="CT115" i="27" s="1"/>
  <c r="CV109" i="27" a="1"/>
  <c r="CV109" i="27" s="1"/>
  <c r="CU105" i="27" a="1"/>
  <c r="CU105" i="27" s="1"/>
  <c r="CV100" i="27" a="1"/>
  <c r="CV100" i="27" s="1"/>
  <c r="CT94" i="27" a="1"/>
  <c r="CT94" i="27" s="1"/>
  <c r="CT90" i="27" a="1"/>
  <c r="CT90" i="27" s="1"/>
  <c r="CV86" i="27" a="1"/>
  <c r="CV86" i="27" s="1"/>
  <c r="CU83" i="27" a="1"/>
  <c r="CU83" i="27" s="1"/>
  <c r="CU79" i="27" a="1"/>
  <c r="CU79" i="27" s="1"/>
  <c r="CV76" i="27" a="1"/>
  <c r="CV76" i="27" s="1"/>
  <c r="CT74" i="27" a="1"/>
  <c r="CT74" i="27" s="1"/>
  <c r="CV65" i="27" a="1"/>
  <c r="CV65" i="27" s="1"/>
  <c r="CT63" i="27" a="1"/>
  <c r="CT63" i="27" s="1"/>
  <c r="CT60" i="27" a="1"/>
  <c r="CT60" i="27" s="1"/>
  <c r="CT57" i="27" a="1"/>
  <c r="CT57" i="27" s="1"/>
  <c r="CL83" i="27" a="1"/>
  <c r="CL83" i="27" s="1"/>
  <c r="CK82" i="27" a="1"/>
  <c r="CK82" i="27" s="1"/>
  <c r="CN80" i="27" a="1"/>
  <c r="CN80" i="27" s="1"/>
  <c r="CM79" i="27" a="1"/>
  <c r="CM79" i="27" s="1"/>
  <c r="CO76" i="27" a="1"/>
  <c r="CO76" i="27" s="1"/>
  <c r="CN75" i="27" a="1"/>
  <c r="CN75" i="27" s="1"/>
  <c r="CL74" i="27" a="1"/>
  <c r="CL74" i="27" s="1"/>
  <c r="CK73" i="27" a="1"/>
  <c r="CK73" i="27" s="1"/>
  <c r="CM70" i="27" a="1"/>
  <c r="CM70" i="27" s="1"/>
  <c r="CL69" i="27" a="1"/>
  <c r="CL69" i="27" s="1"/>
  <c r="CO67" i="27" a="1"/>
  <c r="CO67" i="27" s="1"/>
  <c r="CN66" i="27" a="1"/>
  <c r="CN66" i="27" s="1"/>
  <c r="CK64" i="27" a="1"/>
  <c r="CK64" i="27" s="1"/>
  <c r="CO62" i="27" a="1"/>
  <c r="CO62" i="27" s="1"/>
  <c r="CL60" i="27" a="1"/>
  <c r="CL60" i="27" s="1"/>
  <c r="CN57" i="27" a="1"/>
  <c r="CN57" i="27" s="1"/>
  <c r="CM56" i="27" a="1"/>
  <c r="CM56" i="27" s="1"/>
  <c r="CK55" i="27" a="1"/>
  <c r="CK55" i="27" s="1"/>
  <c r="CO53" i="27" a="1"/>
  <c r="CO53" i="27" s="1"/>
  <c r="CL51" i="27" a="1"/>
  <c r="CL51" i="27" s="1"/>
  <c r="CK50" i="27" a="1"/>
  <c r="CK50" i="27" s="1"/>
  <c r="EQ116" i="27" a="1"/>
  <c r="EQ116" i="27" s="1"/>
  <c r="EI70" i="27" a="1"/>
  <c r="EI70" i="27" s="1"/>
  <c r="DJ83" i="27" a="1"/>
  <c r="DJ83" i="27" s="1"/>
  <c r="DH72" i="27" a="1"/>
  <c r="DH72" i="27" s="1"/>
  <c r="DJ60" i="27" a="1"/>
  <c r="DJ60" i="27" s="1"/>
  <c r="DI49" i="27" a="1"/>
  <c r="DI49" i="27" s="1"/>
  <c r="DB94" i="27" a="1"/>
  <c r="DB94" i="27" s="1"/>
  <c r="DC86" i="27" a="1"/>
  <c r="DC86" i="27" s="1"/>
  <c r="DA80" i="27" a="1"/>
  <c r="DA80" i="27" s="1"/>
  <c r="DC73" i="27" a="1"/>
  <c r="DC73" i="27" s="1"/>
  <c r="DB67" i="27" a="1"/>
  <c r="DB67" i="27" s="1"/>
  <c r="DA61" i="27" a="1"/>
  <c r="DA61" i="27" s="1"/>
  <c r="CU135" i="27" a="1"/>
  <c r="CU135" i="27" s="1"/>
  <c r="CT129" i="27" a="1"/>
  <c r="CT129" i="27" s="1"/>
  <c r="CU124" i="27" a="1"/>
  <c r="CU124" i="27" s="1"/>
  <c r="CT119" i="27" a="1"/>
  <c r="CT119" i="27" s="1"/>
  <c r="CU114" i="27" a="1"/>
  <c r="CU114" i="27" s="1"/>
  <c r="CU109" i="27" a="1"/>
  <c r="CU109" i="27" s="1"/>
  <c r="CU104" i="27" a="1"/>
  <c r="CU104" i="27" s="1"/>
  <c r="CU100" i="27" a="1"/>
  <c r="CU100" i="27" s="1"/>
  <c r="CT93" i="27" a="1"/>
  <c r="CT93" i="27" s="1"/>
  <c r="CV89" i="27" a="1"/>
  <c r="CV89" i="27" s="1"/>
  <c r="CU86" i="27" a="1"/>
  <c r="CU86" i="27" s="1"/>
  <c r="CU82" i="27" a="1"/>
  <c r="CU82" i="27" s="1"/>
  <c r="CT79" i="27" a="1"/>
  <c r="CT79" i="27" s="1"/>
  <c r="CU76" i="27" a="1"/>
  <c r="CU76" i="27" s="1"/>
  <c r="CV73" i="27" a="1"/>
  <c r="CV73" i="27" s="1"/>
  <c r="CT71" i="27" a="1"/>
  <c r="CT71" i="27" s="1"/>
  <c r="CU65" i="27" a="1"/>
  <c r="CU65" i="27" s="1"/>
  <c r="CU62" i="27" a="1"/>
  <c r="CU62" i="27" s="1"/>
  <c r="CV59" i="27" a="1"/>
  <c r="CV59" i="27" s="1"/>
  <c r="CM84" i="27" a="1"/>
  <c r="CM84" i="27" s="1"/>
  <c r="CK83" i="27" a="1"/>
  <c r="CK83" i="27" s="1"/>
  <c r="CO81" i="27" a="1"/>
  <c r="CO81" i="27" s="1"/>
  <c r="CL79" i="27" a="1"/>
  <c r="CL79" i="27" s="1"/>
  <c r="CK78" i="27" a="1"/>
  <c r="CK78" i="27" s="1"/>
  <c r="CN76" i="27" a="1"/>
  <c r="CN76" i="27" s="1"/>
  <c r="CM75" i="27" a="1"/>
  <c r="CM75" i="27" s="1"/>
  <c r="CO72" i="27" a="1"/>
  <c r="CO72" i="27" s="1"/>
  <c r="CN71" i="27" a="1"/>
  <c r="CN71" i="27" s="1"/>
  <c r="CL70" i="27" a="1"/>
  <c r="CL70" i="27" s="1"/>
  <c r="CK69" i="27" a="1"/>
  <c r="CK69" i="27" s="1"/>
  <c r="CM66" i="27" a="1"/>
  <c r="CM66" i="27" s="1"/>
  <c r="CL65" i="27" a="1"/>
  <c r="CL65" i="27" s="1"/>
  <c r="CO63" i="27" a="1"/>
  <c r="CO63" i="27" s="1"/>
  <c r="CN62" i="27" a="1"/>
  <c r="CN62" i="27" s="1"/>
  <c r="CK60" i="27" a="1"/>
  <c r="CK60" i="27" s="1"/>
  <c r="CO58" i="27" a="1"/>
  <c r="CO58" i="27" s="1"/>
  <c r="CM57" i="27" a="1"/>
  <c r="CM57" i="27" s="1"/>
  <c r="CL56" i="27" a="1"/>
  <c r="CL56" i="27" s="1"/>
  <c r="CN53" i="27" a="1"/>
  <c r="CN53" i="27" s="1"/>
  <c r="CM52" i="27" a="1"/>
  <c r="CM52" i="27" s="1"/>
  <c r="CK51" i="27" a="1"/>
  <c r="CK51" i="27" s="1"/>
  <c r="DI82" i="27" a="1"/>
  <c r="DI82" i="27" s="1"/>
  <c r="DC85" i="27" a="1"/>
  <c r="DC85" i="27" s="1"/>
  <c r="DB72" i="27" a="1"/>
  <c r="DB72" i="27" s="1"/>
  <c r="DA60" i="27" a="1"/>
  <c r="DA60" i="27" s="1"/>
  <c r="CV127" i="27" a="1"/>
  <c r="CV127" i="27" s="1"/>
  <c r="CU118" i="27" a="1"/>
  <c r="CU118" i="27" s="1"/>
  <c r="CU108" i="27" a="1"/>
  <c r="CU108" i="27" s="1"/>
  <c r="CT99" i="27" a="1"/>
  <c r="CT99" i="27" s="1"/>
  <c r="CV88" i="27" a="1"/>
  <c r="CV88" i="27" s="1"/>
  <c r="CV81" i="27" a="1"/>
  <c r="CV81" i="27" s="1"/>
  <c r="CV75" i="27" a="1"/>
  <c r="CV75" i="27" s="1"/>
  <c r="CU70" i="27" a="1"/>
  <c r="CU70" i="27" s="1"/>
  <c r="CT59" i="27" a="1"/>
  <c r="CT59" i="27" s="1"/>
  <c r="CK84" i="27" a="1"/>
  <c r="CK84" i="27" s="1"/>
  <c r="CM81" i="27" a="1"/>
  <c r="CM81" i="27" s="1"/>
  <c r="CM76" i="27" a="1"/>
  <c r="CM76" i="27" s="1"/>
  <c r="CO73" i="27" a="1"/>
  <c r="CO73" i="27" s="1"/>
  <c r="CL71" i="27" a="1"/>
  <c r="CL71" i="27" s="1"/>
  <c r="CN68" i="27" a="1"/>
  <c r="CN68" i="27" s="1"/>
  <c r="CN63" i="27" a="1"/>
  <c r="CN63" i="27" s="1"/>
  <c r="CM58" i="27" a="1"/>
  <c r="CM58" i="27" s="1"/>
  <c r="CO55" i="27" a="1"/>
  <c r="CO55" i="27" s="1"/>
  <c r="CO50" i="27" a="1"/>
  <c r="CO50" i="27" s="1"/>
  <c r="DH58" i="27" a="1"/>
  <c r="DH58" i="27" s="1"/>
  <c r="DA85" i="27" a="1"/>
  <c r="DA85" i="27" s="1"/>
  <c r="DA72" i="27" a="1"/>
  <c r="DA72" i="27" s="1"/>
  <c r="DC59" i="27" a="1"/>
  <c r="DC59" i="27" s="1"/>
  <c r="CU127" i="27" a="1"/>
  <c r="CU127" i="27" s="1"/>
  <c r="CU117" i="27" a="1"/>
  <c r="CU117" i="27" s="1"/>
  <c r="CV107" i="27" a="1"/>
  <c r="CV107" i="27" s="1"/>
  <c r="CV95" i="27" a="1"/>
  <c r="CV95" i="27" s="1"/>
  <c r="CT88" i="27" a="1"/>
  <c r="CT88" i="27" s="1"/>
  <c r="CU81" i="27" a="1"/>
  <c r="CU81" i="27" s="1"/>
  <c r="CU75" i="27" a="1"/>
  <c r="CU75" i="27" s="1"/>
  <c r="CV69" i="27" a="1"/>
  <c r="CV69" i="27" s="1"/>
  <c r="CU64" i="27" a="1"/>
  <c r="CU64" i="27" s="1"/>
  <c r="CV58" i="27" a="1"/>
  <c r="CV58" i="27" s="1"/>
  <c r="CO83" i="27" a="1"/>
  <c r="CO83" i="27" s="1"/>
  <c r="CO78" i="27" a="1"/>
  <c r="CO78" i="27" s="1"/>
  <c r="CL76" i="27" a="1"/>
  <c r="CL76" i="27" s="1"/>
  <c r="CN73" i="27" a="1"/>
  <c r="CN73" i="27" s="1"/>
  <c r="CK71" i="27" a="1"/>
  <c r="CK71" i="27" s="1"/>
  <c r="CK66" i="27" a="1"/>
  <c r="CK66" i="27" s="1"/>
  <c r="CM63" i="27" a="1"/>
  <c r="CM63" i="27" s="1"/>
  <c r="CO60" i="27" a="1"/>
  <c r="CO60" i="27" s="1"/>
  <c r="CL58" i="27" a="1"/>
  <c r="CL58" i="27" s="1"/>
  <c r="CL53" i="27" a="1"/>
  <c r="CL53" i="27" s="1"/>
  <c r="CN50" i="27" a="1"/>
  <c r="CN50" i="27" s="1"/>
  <c r="DH78" i="27" a="1"/>
  <c r="DH78" i="27" s="1"/>
  <c r="DH55" i="27" a="1"/>
  <c r="DH55" i="27" s="1"/>
  <c r="DB83" i="27" a="1"/>
  <c r="DB83" i="27" s="1"/>
  <c r="DC70" i="27" a="1"/>
  <c r="DC70" i="27" s="1"/>
  <c r="DC57" i="27" a="1"/>
  <c r="DC57" i="27" s="1"/>
  <c r="CV126" i="27" a="1"/>
  <c r="CV126" i="27" s="1"/>
  <c r="CV116" i="27" a="1"/>
  <c r="CV116" i="27" s="1"/>
  <c r="CV106" i="27" a="1"/>
  <c r="CV106" i="27" s="1"/>
  <c r="CU95" i="27" a="1"/>
  <c r="CU95" i="27" s="1"/>
  <c r="CV87" i="27" a="1"/>
  <c r="CV87" i="27" s="1"/>
  <c r="CT81" i="27" a="1"/>
  <c r="CT81" i="27" s="1"/>
  <c r="CU69" i="27" a="1"/>
  <c r="CU69" i="27" s="1"/>
  <c r="CT64" i="27" a="1"/>
  <c r="CT64" i="27" s="1"/>
  <c r="CU58" i="27" a="1"/>
  <c r="CU58" i="27" s="1"/>
  <c r="CL81" i="27" a="1"/>
  <c r="CL81" i="27" s="1"/>
  <c r="CN78" i="27" a="1"/>
  <c r="CN78" i="27" s="1"/>
  <c r="CK76" i="27" a="1"/>
  <c r="CK76" i="27" s="1"/>
  <c r="CM73" i="27" a="1"/>
  <c r="CM73" i="27" s="1"/>
  <c r="CM68" i="27" a="1"/>
  <c r="CM68" i="27" s="1"/>
  <c r="CO65" i="27" a="1"/>
  <c r="CO65" i="27" s="1"/>
  <c r="CL63" i="27" a="1"/>
  <c r="CL63" i="27" s="1"/>
  <c r="CN60" i="27" a="1"/>
  <c r="CN60" i="27" s="1"/>
  <c r="CN55" i="27" a="1"/>
  <c r="CN55" i="27" s="1"/>
  <c r="CK53" i="27" a="1"/>
  <c r="CK53" i="27" s="1"/>
  <c r="CM50" i="27" a="1"/>
  <c r="CM50" i="27" s="1"/>
  <c r="EO109" i="27" a="1"/>
  <c r="EO109" i="27" s="1"/>
  <c r="EJ65" i="27" a="1"/>
  <c r="EJ65" i="27" s="1"/>
  <c r="DB93" i="27" a="1"/>
  <c r="DB93" i="27" s="1"/>
  <c r="DA79" i="27" a="1"/>
  <c r="DA79" i="27" s="1"/>
  <c r="DC66" i="27" a="1"/>
  <c r="DC66" i="27" s="1"/>
  <c r="CU134" i="27" a="1"/>
  <c r="CU134" i="27" s="1"/>
  <c r="CV123" i="27" a="1"/>
  <c r="CV123" i="27" s="1"/>
  <c r="CV113" i="27" a="1"/>
  <c r="CV113" i="27" s="1"/>
  <c r="CV103" i="27" a="1"/>
  <c r="CV103" i="27" s="1"/>
  <c r="CV92" i="27" a="1"/>
  <c r="CV92" i="27" s="1"/>
  <c r="CU85" i="27" a="1"/>
  <c r="CU85" i="27" s="1"/>
  <c r="CV78" i="27" a="1"/>
  <c r="CV78" i="27" s="1"/>
  <c r="CU73" i="27" a="1"/>
  <c r="CU73" i="27" s="1"/>
  <c r="CV67" i="27" a="1"/>
  <c r="CV67" i="27" s="1"/>
  <c r="CT62" i="27" a="1"/>
  <c r="CT62" i="27" s="1"/>
  <c r="EI60" i="27" a="1"/>
  <c r="EI60" i="27" s="1"/>
  <c r="DJ69" i="27" a="1"/>
  <c r="DJ69" i="27" s="1"/>
  <c r="DB78" i="27" a="1"/>
  <c r="DB78" i="27" s="1"/>
  <c r="CU133" i="27" a="1"/>
  <c r="CU133" i="27" s="1"/>
  <c r="CU112" i="27" a="1"/>
  <c r="CU112" i="27" s="1"/>
  <c r="CV91" i="27" a="1"/>
  <c r="CV91" i="27" s="1"/>
  <c r="CT78" i="27" a="1"/>
  <c r="CT78" i="27" s="1"/>
  <c r="CT67" i="27" a="1"/>
  <c r="CT67" i="27" s="1"/>
  <c r="CN82" i="27" a="1"/>
  <c r="CN82" i="27" s="1"/>
  <c r="CO77" i="27" a="1"/>
  <c r="CO77" i="27" s="1"/>
  <c r="CO74" i="27" a="1"/>
  <c r="CO74" i="27" s="1"/>
  <c r="CK70" i="27" a="1"/>
  <c r="CK70" i="27" s="1"/>
  <c r="CL66" i="27" a="1"/>
  <c r="CL66" i="27" s="1"/>
  <c r="CL54" i="27" a="1"/>
  <c r="CL54" i="27" s="1"/>
  <c r="DJ66" i="27" a="1"/>
  <c r="DJ66" i="27" s="1"/>
  <c r="DC76" i="27" a="1"/>
  <c r="DC76" i="27" s="1"/>
  <c r="CT132" i="27" a="1"/>
  <c r="CT132" i="27" s="1"/>
  <c r="CT112" i="27" a="1"/>
  <c r="CT112" i="27" s="1"/>
  <c r="CU91" i="27" a="1"/>
  <c r="CU91" i="27" s="1"/>
  <c r="CV66" i="27" a="1"/>
  <c r="CV66" i="27" s="1"/>
  <c r="CM82" i="27" a="1"/>
  <c r="CM82" i="27" s="1"/>
  <c r="CN77" i="27" a="1"/>
  <c r="CN77" i="27" s="1"/>
  <c r="CK74" i="27" a="1"/>
  <c r="CK74" i="27" s="1"/>
  <c r="CO69" i="27" a="1"/>
  <c r="CO69" i="27" s="1"/>
  <c r="CK65" i="27" a="1"/>
  <c r="CK65" i="27" s="1"/>
  <c r="CK62" i="27" a="1"/>
  <c r="CK62" i="27" s="1"/>
  <c r="CL57" i="27" a="1"/>
  <c r="CL57" i="27" s="1"/>
  <c r="CM53" i="27" a="1"/>
  <c r="CM53" i="27" s="1"/>
  <c r="CO51" i="27" a="1"/>
  <c r="CO51" i="27" s="1"/>
  <c r="DH60" i="27" a="1"/>
  <c r="DH60" i="27" s="1"/>
  <c r="CT128" i="27" a="1"/>
  <c r="CT128" i="27" s="1"/>
  <c r="CT109" i="27" a="1"/>
  <c r="CT109" i="27" s="1"/>
  <c r="CU89" i="27" a="1"/>
  <c r="CU89" i="27" s="1"/>
  <c r="CT76" i="27" a="1"/>
  <c r="CT76" i="27" s="1"/>
  <c r="CV64" i="27" a="1"/>
  <c r="CV64" i="27" s="1"/>
  <c r="CN81" i="27" a="1"/>
  <c r="CN81" i="27" s="1"/>
  <c r="CM77" i="27" a="1"/>
  <c r="CM77" i="27" s="1"/>
  <c r="CN72" i="27" a="1"/>
  <c r="CN72" i="27" s="1"/>
  <c r="CN69" i="27" a="1"/>
  <c r="CN69" i="27" s="1"/>
  <c r="CO64" i="27" a="1"/>
  <c r="CO64" i="27" s="1"/>
  <c r="CK57" i="27" a="1"/>
  <c r="CK57" i="27" s="1"/>
  <c r="CL52" i="27" a="1"/>
  <c r="CL52" i="27" s="1"/>
  <c r="CV72" i="27" a="1"/>
  <c r="CV72" i="27" s="1"/>
  <c r="CL80" i="27" a="1"/>
  <c r="CL80" i="27" s="1"/>
  <c r="CN67" i="27" a="1"/>
  <c r="CN67" i="27" s="1"/>
  <c r="EQ108" i="27" a="1"/>
  <c r="EQ108" i="27" s="1"/>
  <c r="DI48" i="27" a="1"/>
  <c r="DI48" i="27" s="1"/>
  <c r="DA93" i="27" a="1"/>
  <c r="DA93" i="27" s="1"/>
  <c r="DA66" i="27" a="1"/>
  <c r="DA66" i="27" s="1"/>
  <c r="CV122" i="27" a="1"/>
  <c r="CV122" i="27" s="1"/>
  <c r="CU103" i="27" a="1"/>
  <c r="CU103" i="27" s="1"/>
  <c r="CT85" i="27" a="1"/>
  <c r="CT85" i="27" s="1"/>
  <c r="CT73" i="27" a="1"/>
  <c r="CT73" i="27" s="1"/>
  <c r="CV61" i="27" a="1"/>
  <c r="CV61" i="27" s="1"/>
  <c r="CM80" i="27" a="1"/>
  <c r="CM80" i="27" s="1"/>
  <c r="CO68" i="27" a="1"/>
  <c r="CO68" i="27" s="1"/>
  <c r="CN64" i="27" a="1"/>
  <c r="CN64" i="27" s="1"/>
  <c r="CO59" i="27" a="1"/>
  <c r="CO59" i="27" s="1"/>
  <c r="CO56" i="27" a="1"/>
  <c r="CO56" i="27" s="1"/>
  <c r="CK52" i="27" a="1"/>
  <c r="CK52" i="27" s="1"/>
  <c r="EO100" i="27" a="1"/>
  <c r="EO100" i="27" s="1"/>
  <c r="DC92" i="27" a="1"/>
  <c r="DC92" i="27" s="1"/>
  <c r="CT122" i="27" a="1"/>
  <c r="CT122" i="27" s="1"/>
  <c r="CT103" i="27" a="1"/>
  <c r="CT103" i="27" s="1"/>
  <c r="CV84" i="27" a="1"/>
  <c r="CV84" i="27" s="1"/>
  <c r="CU61" i="27" a="1"/>
  <c r="CU61" i="27" s="1"/>
  <c r="CM72" i="27" a="1"/>
  <c r="CM72" i="27" s="1"/>
  <c r="CK56" i="27" a="1"/>
  <c r="CK56" i="27" s="1"/>
  <c r="CV121" i="27" a="1"/>
  <c r="CV121" i="27" s="1"/>
  <c r="CU78" i="27" a="1"/>
  <c r="CU78" i="27" s="1"/>
  <c r="CK75" i="27" a="1"/>
  <c r="CK75" i="27" s="1"/>
  <c r="CM54" i="27" a="1"/>
  <c r="CM54" i="27" s="1"/>
  <c r="DB64" i="27" a="1"/>
  <c r="DB64" i="27" s="1"/>
  <c r="CM67" i="27" a="1"/>
  <c r="CM67" i="27" s="1"/>
  <c r="CO54" i="27" a="1"/>
  <c r="CO54" i="27" s="1"/>
  <c r="CL75" i="27" a="1"/>
  <c r="CL75" i="27" s="1"/>
  <c r="CV118" i="27" a="1"/>
  <c r="CV118" i="27" s="1"/>
  <c r="CT72" i="27" a="1"/>
  <c r="CT72" i="27" s="1"/>
  <c r="CL84" i="27" a="1"/>
  <c r="CL84" i="27" s="1"/>
  <c r="CM62" i="27" a="1"/>
  <c r="CM62" i="27" s="1"/>
  <c r="CU92" i="27" a="1"/>
  <c r="CU92" i="27" s="1"/>
  <c r="CO79" i="27" a="1"/>
  <c r="CO79" i="27" s="1"/>
  <c r="DB60" i="27" a="1"/>
  <c r="DB60" i="27" s="1"/>
  <c r="CK79" i="27" a="1"/>
  <c r="CK79" i="27" s="1"/>
  <c r="CV133" i="27" a="1"/>
  <c r="CV133" i="27" s="1"/>
  <c r="CN54" i="27" a="1"/>
  <c r="CN54" i="27" s="1"/>
  <c r="DC90" i="27" a="1"/>
  <c r="DC90" i="27" s="1"/>
  <c r="CT113" i="27" a="1"/>
  <c r="CT113" i="27" s="1"/>
  <c r="CV70" i="27" a="1"/>
  <c r="CV70" i="27" s="1"/>
  <c r="CL72" i="27" a="1"/>
  <c r="CL72" i="27" s="1"/>
  <c r="CL62" i="27" a="1"/>
  <c r="CL62" i="27" s="1"/>
  <c r="CK80" i="27" a="1"/>
  <c r="CK80" i="27" s="1"/>
  <c r="DJ82" i="27" a="1"/>
  <c r="DJ82" i="27" s="1"/>
  <c r="CN58" i="27" a="1"/>
  <c r="CN58" i="27" s="1"/>
  <c r="CU84" i="27" a="1"/>
  <c r="CU84" i="27" s="1"/>
  <c r="CT82" i="27" a="1"/>
  <c r="CT82" i="27" s="1"/>
  <c r="CK67" i="27" a="1"/>
  <c r="CK67" i="27" s="1"/>
  <c r="EP79" i="27" a="1"/>
  <c r="EP79" i="27" s="1"/>
  <c r="DA86" i="27" a="1"/>
  <c r="DA86" i="27" s="1"/>
  <c r="CU102" i="27" a="1"/>
  <c r="CU102" i="27" s="1"/>
  <c r="CO82" i="27" a="1"/>
  <c r="CO82" i="27" s="1"/>
  <c r="CM71" i="27" a="1"/>
  <c r="CM71" i="27" s="1"/>
  <c r="CN59" i="27" a="1"/>
  <c r="CN59" i="27" s="1"/>
  <c r="DC78" i="27" a="1"/>
  <c r="DC78" i="27" s="1"/>
  <c r="CT100" i="27" a="1"/>
  <c r="CT100" i="27" s="1"/>
  <c r="CT61" i="27" a="1"/>
  <c r="CT61" i="27" s="1"/>
  <c r="CM59" i="27" a="1"/>
  <c r="CM59" i="27" s="1"/>
  <c r="EI65" i="27" a="1"/>
  <c r="EI65" i="27" s="1"/>
  <c r="CU59" i="27" a="1"/>
  <c r="CU59" i="27" s="1"/>
  <c r="DI71" i="27" a="1"/>
  <c r="DI71" i="27" s="1"/>
  <c r="CL67" i="27" a="1"/>
  <c r="CL67" i="27" s="1"/>
  <c r="EA70" i="27" a="1"/>
  <c r="EA70" i="27" s="1"/>
  <c r="DZ69" i="27" a="1"/>
  <c r="DZ69" i="27" s="1"/>
  <c r="EA68" i="27" a="1"/>
  <c r="EA68" i="27" s="1"/>
  <c r="DZ67" i="27" a="1"/>
  <c r="DZ67" i="27" s="1"/>
  <c r="DY66" i="27" a="1"/>
  <c r="DY66" i="27" s="1"/>
  <c r="DX65" i="27" a="1"/>
  <c r="DX65" i="27" s="1"/>
  <c r="DW64" i="27" a="1"/>
  <c r="DW64" i="27" s="1"/>
  <c r="EC62" i="27" a="1"/>
  <c r="EC62" i="27" s="1"/>
  <c r="EB61" i="27" a="1"/>
  <c r="EB61" i="27" s="1"/>
  <c r="EA60" i="27" a="1"/>
  <c r="EA60" i="27" s="1"/>
  <c r="DZ59" i="27" a="1"/>
  <c r="DZ59" i="27" s="1"/>
  <c r="DY58" i="27" a="1"/>
  <c r="DY58" i="27" s="1"/>
  <c r="DX57" i="27" a="1"/>
  <c r="DX57" i="27" s="1"/>
  <c r="DW56" i="27" a="1"/>
  <c r="DW56" i="27" s="1"/>
  <c r="EC54" i="27" a="1"/>
  <c r="EC54" i="27" s="1"/>
  <c r="EB53" i="27" a="1"/>
  <c r="EB53" i="27" s="1"/>
  <c r="EA52" i="27" a="1"/>
  <c r="EA52" i="27" s="1"/>
  <c r="DZ51" i="27" a="1"/>
  <c r="DZ51" i="27" s="1"/>
  <c r="DZ50" i="27" a="1"/>
  <c r="DZ50" i="27" s="1"/>
  <c r="DZ49" i="27" a="1"/>
  <c r="DZ49" i="27" s="1"/>
  <c r="DZ48" i="27" a="1"/>
  <c r="DZ48" i="27" s="1"/>
  <c r="DY47" i="27" a="1"/>
  <c r="DY47" i="27" s="1"/>
  <c r="DY46" i="27" a="1"/>
  <c r="DY46" i="27" s="1"/>
  <c r="DY45" i="27" a="1"/>
  <c r="DY45" i="27" s="1"/>
  <c r="DW42" i="27" a="1"/>
  <c r="DW42" i="27" s="1"/>
  <c r="DW41" i="27" a="1"/>
  <c r="DW41" i="27" s="1"/>
  <c r="DW40" i="27" a="1"/>
  <c r="DW40" i="27" s="1"/>
  <c r="DW39" i="27" a="1"/>
  <c r="DW39" i="27" s="1"/>
  <c r="EC37" i="27" a="1"/>
  <c r="EC37" i="27" s="1"/>
  <c r="EC36" i="27" a="1"/>
  <c r="EC36" i="27" s="1"/>
  <c r="EC35" i="27" a="1"/>
  <c r="EC35" i="27" s="1"/>
  <c r="EC34" i="27" a="1"/>
  <c r="EC34" i="27" s="1"/>
  <c r="EB33" i="27" a="1"/>
  <c r="EB33" i="27" s="1"/>
  <c r="DZ70" i="27" a="1"/>
  <c r="DZ70" i="27" s="1"/>
  <c r="DZ68" i="27" a="1"/>
  <c r="DZ68" i="27" s="1"/>
  <c r="DY67" i="27" a="1"/>
  <c r="DY67" i="27" s="1"/>
  <c r="DX66" i="27" a="1"/>
  <c r="DX66" i="27" s="1"/>
  <c r="DW65" i="27" a="1"/>
  <c r="DW65" i="27" s="1"/>
  <c r="EC63" i="27" a="1"/>
  <c r="EC63" i="27" s="1"/>
  <c r="EB62" i="27" a="1"/>
  <c r="EB62" i="27" s="1"/>
  <c r="EA61" i="27" a="1"/>
  <c r="EA61" i="27" s="1"/>
  <c r="DZ60" i="27" a="1"/>
  <c r="DZ60" i="27" s="1"/>
  <c r="DY59" i="27" a="1"/>
  <c r="DY59" i="27" s="1"/>
  <c r="DX58" i="27" a="1"/>
  <c r="DX58" i="27" s="1"/>
  <c r="DW57" i="27" a="1"/>
  <c r="DW57" i="27" s="1"/>
  <c r="EC55" i="27" a="1"/>
  <c r="EC55" i="27" s="1"/>
  <c r="EB54" i="27" a="1"/>
  <c r="EB54" i="27" s="1"/>
  <c r="EA53" i="27" a="1"/>
  <c r="EA53" i="27" s="1"/>
  <c r="DZ52" i="27" a="1"/>
  <c r="DZ52" i="27" s="1"/>
  <c r="DY51" i="27" a="1"/>
  <c r="DY51" i="27" s="1"/>
  <c r="DY50" i="27" a="1"/>
  <c r="DY50" i="27" s="1"/>
  <c r="DY49" i="27" a="1"/>
  <c r="DY49" i="27" s="1"/>
  <c r="DY48" i="27" a="1"/>
  <c r="DY48" i="27" s="1"/>
  <c r="DX47" i="27" a="1"/>
  <c r="DX47" i="27" s="1"/>
  <c r="DX46" i="27" a="1"/>
  <c r="DX46" i="27" s="1"/>
  <c r="DX45" i="27" a="1"/>
  <c r="DX45" i="27" s="1"/>
  <c r="DX44" i="27" a="1"/>
  <c r="DX44" i="27" s="1"/>
  <c r="EC40" i="27" a="1"/>
  <c r="EC40" i="27" s="1"/>
  <c r="EC39" i="27" a="1"/>
  <c r="EC39" i="27" s="1"/>
  <c r="EC38" i="27" a="1"/>
  <c r="EC38" i="27" s="1"/>
  <c r="EB37" i="27" a="1"/>
  <c r="EB37" i="27" s="1"/>
  <c r="EB36" i="27" a="1"/>
  <c r="EB36" i="27" s="1"/>
  <c r="EB35" i="27" a="1"/>
  <c r="EB35" i="27" s="1"/>
  <c r="EB34" i="27" a="1"/>
  <c r="EB34" i="27" s="1"/>
  <c r="DX70" i="27" a="1"/>
  <c r="DX70" i="27" s="1"/>
  <c r="DX69" i="27" a="1"/>
  <c r="DX69" i="27" s="1"/>
  <c r="DX68" i="27" a="1"/>
  <c r="DX68" i="27" s="1"/>
  <c r="DW67" i="27" a="1"/>
  <c r="DW67" i="27" s="1"/>
  <c r="EC65" i="27" a="1"/>
  <c r="EC65" i="27" s="1"/>
  <c r="EB64" i="27" a="1"/>
  <c r="EB64" i="27" s="1"/>
  <c r="EA63" i="27" a="1"/>
  <c r="EA63" i="27" s="1"/>
  <c r="DZ62" i="27" a="1"/>
  <c r="DZ62" i="27" s="1"/>
  <c r="DY61" i="27" a="1"/>
  <c r="DY61" i="27" s="1"/>
  <c r="DX60" i="27" a="1"/>
  <c r="DX60" i="27" s="1"/>
  <c r="DW59" i="27" a="1"/>
  <c r="DW59" i="27" s="1"/>
  <c r="EC57" i="27" a="1"/>
  <c r="EC57" i="27" s="1"/>
  <c r="EB56" i="27" a="1"/>
  <c r="EB56" i="27" s="1"/>
  <c r="EA55" i="27" a="1"/>
  <c r="EA55" i="27" s="1"/>
  <c r="DZ54" i="27" a="1"/>
  <c r="DZ54" i="27" s="1"/>
  <c r="DY53" i="27" a="1"/>
  <c r="DY53" i="27" s="1"/>
  <c r="DX52" i="27" a="1"/>
  <c r="DX52" i="27" s="1"/>
  <c r="DW50" i="27" a="1"/>
  <c r="DW50" i="27" s="1"/>
  <c r="DW49" i="27" a="1"/>
  <c r="DW49" i="27" s="1"/>
  <c r="DW48" i="27" a="1"/>
  <c r="DW48" i="27" s="1"/>
  <c r="EC46" i="27" a="1"/>
  <c r="EC46" i="27" s="1"/>
  <c r="EC45" i="27" a="1"/>
  <c r="EC45" i="27" s="1"/>
  <c r="EC44" i="27" a="1"/>
  <c r="EC44" i="27" s="1"/>
  <c r="EB42" i="27" a="1"/>
  <c r="EB42" i="27" s="1"/>
  <c r="EB41" i="27" a="1"/>
  <c r="EB41" i="27" s="1"/>
  <c r="EB40" i="27" a="1"/>
  <c r="EB40" i="27" s="1"/>
  <c r="EA38" i="27" a="1"/>
  <c r="EA38" i="27" s="1"/>
  <c r="DZ37" i="27" a="1"/>
  <c r="DZ37" i="27" s="1"/>
  <c r="DZ36" i="27" a="1"/>
  <c r="DZ36" i="27" s="1"/>
  <c r="DZ35" i="27" a="1"/>
  <c r="DZ35" i="27" s="1"/>
  <c r="DZ34" i="27" a="1"/>
  <c r="DZ34" i="27" s="1"/>
  <c r="DY33" i="27" a="1"/>
  <c r="DY33" i="27" s="1"/>
  <c r="DY32" i="27" a="1"/>
  <c r="DY32" i="27" s="1"/>
  <c r="DW70" i="27" a="1"/>
  <c r="DW70" i="27" s="1"/>
  <c r="DW69" i="27" a="1"/>
  <c r="DW69" i="27" s="1"/>
  <c r="DW68" i="27" a="1"/>
  <c r="DW68" i="27" s="1"/>
  <c r="EC66" i="27" a="1"/>
  <c r="EC66" i="27" s="1"/>
  <c r="EB65" i="27" a="1"/>
  <c r="EB65" i="27" s="1"/>
  <c r="EA64" i="27" a="1"/>
  <c r="EA64" i="27" s="1"/>
  <c r="DZ63" i="27" a="1"/>
  <c r="DZ63" i="27" s="1"/>
  <c r="DY62" i="27" a="1"/>
  <c r="DY62" i="27" s="1"/>
  <c r="DX61" i="27" a="1"/>
  <c r="DX61" i="27" s="1"/>
  <c r="DW60" i="27" a="1"/>
  <c r="DW60" i="27" s="1"/>
  <c r="EC58" i="27" a="1"/>
  <c r="EC58" i="27" s="1"/>
  <c r="EB57" i="27" a="1"/>
  <c r="EB57" i="27" s="1"/>
  <c r="EA56" i="27" a="1"/>
  <c r="EA56" i="27" s="1"/>
  <c r="DZ55" i="27" a="1"/>
  <c r="DZ55" i="27" s="1"/>
  <c r="DY54" i="27" a="1"/>
  <c r="DY54" i="27" s="1"/>
  <c r="DX53" i="27" a="1"/>
  <c r="DX53" i="27" s="1"/>
  <c r="DW52" i="27" a="1"/>
  <c r="DW52" i="27" s="1"/>
  <c r="DW51" i="27" a="1"/>
  <c r="DW51" i="27" s="1"/>
  <c r="EC48" i="27" a="1"/>
  <c r="EC48" i="27" s="1"/>
  <c r="EC47" i="27" a="1"/>
  <c r="EC47" i="27" s="1"/>
  <c r="EB46" i="27" a="1"/>
  <c r="EB46" i="27" s="1"/>
  <c r="EB45" i="27" a="1"/>
  <c r="EB45" i="27" s="1"/>
  <c r="EB44" i="27" a="1"/>
  <c r="EB44" i="27" s="1"/>
  <c r="EA42" i="27" a="1"/>
  <c r="EA42" i="27" s="1"/>
  <c r="EA41" i="27" a="1"/>
  <c r="EA41" i="27" s="1"/>
  <c r="EA40" i="27" a="1"/>
  <c r="EA40" i="27" s="1"/>
  <c r="EA39" i="27" a="1"/>
  <c r="EA39" i="27" s="1"/>
  <c r="DZ38" i="27" a="1"/>
  <c r="DZ38" i="27" s="1"/>
  <c r="DY36" i="27" a="1"/>
  <c r="DY36" i="27" s="1"/>
  <c r="DY35" i="27" a="1"/>
  <c r="DY35" i="27" s="1"/>
  <c r="DY34" i="27" a="1"/>
  <c r="DY34" i="27" s="1"/>
  <c r="DX33" i="27" a="1"/>
  <c r="DX33" i="27" s="1"/>
  <c r="DX32" i="27" a="1"/>
  <c r="DX32" i="27" s="1"/>
  <c r="EC68" i="27" a="1"/>
  <c r="EC68" i="27" s="1"/>
  <c r="EB66" i="27" a="1"/>
  <c r="EB66" i="27" s="1"/>
  <c r="DZ64" i="27" a="1"/>
  <c r="DZ64" i="27" s="1"/>
  <c r="DX62" i="27" a="1"/>
  <c r="DX62" i="27" s="1"/>
  <c r="EC59" i="27" a="1"/>
  <c r="EC59" i="27" s="1"/>
  <c r="EA57" i="27" a="1"/>
  <c r="EA57" i="27" s="1"/>
  <c r="DY55" i="27" a="1"/>
  <c r="DY55" i="27" s="1"/>
  <c r="DW53" i="27" a="1"/>
  <c r="DW53" i="27" s="1"/>
  <c r="EC50" i="27" a="1"/>
  <c r="EC50" i="27" s="1"/>
  <c r="EA46" i="27" a="1"/>
  <c r="EA46" i="27" s="1"/>
  <c r="EA44" i="27" a="1"/>
  <c r="EA44" i="27" s="1"/>
  <c r="DZ42" i="27" a="1"/>
  <c r="DZ42" i="27" s="1"/>
  <c r="DZ40" i="27" a="1"/>
  <c r="DZ40" i="27" s="1"/>
  <c r="DY38" i="27" a="1"/>
  <c r="DY38" i="27" s="1"/>
  <c r="DX34" i="27" a="1"/>
  <c r="DX34" i="27" s="1"/>
  <c r="EB32" i="27" a="1"/>
  <c r="EB32" i="27" s="1"/>
  <c r="EC70" i="27" a="1"/>
  <c r="EC70" i="27" s="1"/>
  <c r="EA66" i="27" a="1"/>
  <c r="EA66" i="27" s="1"/>
  <c r="DY64" i="27" a="1"/>
  <c r="DY64" i="27" s="1"/>
  <c r="DW62" i="27" a="1"/>
  <c r="DW62" i="27" s="1"/>
  <c r="EB59" i="27" a="1"/>
  <c r="EB59" i="27" s="1"/>
  <c r="DZ57" i="27" a="1"/>
  <c r="DZ57" i="27" s="1"/>
  <c r="DX55" i="27" a="1"/>
  <c r="DX55" i="27" s="1"/>
  <c r="EC52" i="27" a="1"/>
  <c r="EC52" i="27" s="1"/>
  <c r="EB50" i="27" a="1"/>
  <c r="EB50" i="27" s="1"/>
  <c r="EB48" i="27" a="1"/>
  <c r="EB48" i="27" s="1"/>
  <c r="DZ44" i="27" a="1"/>
  <c r="DZ44" i="27" s="1"/>
  <c r="DY42" i="27" a="1"/>
  <c r="DY42" i="27" s="1"/>
  <c r="DY40" i="27" a="1"/>
  <c r="DY40" i="27" s="1"/>
  <c r="DX38" i="27" a="1"/>
  <c r="DX38" i="27" s="1"/>
  <c r="DX36" i="27" a="1"/>
  <c r="DX36" i="27" s="1"/>
  <c r="DW34" i="27" a="1"/>
  <c r="DW34" i="27" s="1"/>
  <c r="EA32" i="27" a="1"/>
  <c r="EA32" i="27" s="1"/>
  <c r="EB70" i="27" a="1"/>
  <c r="EB70" i="27" s="1"/>
  <c r="EB68" i="27" a="1"/>
  <c r="EB68" i="27" s="1"/>
  <c r="DZ66" i="27" a="1"/>
  <c r="DZ66" i="27" s="1"/>
  <c r="DX64" i="27" a="1"/>
  <c r="DX64" i="27" s="1"/>
  <c r="EC61" i="27" a="1"/>
  <c r="EC61" i="27" s="1"/>
  <c r="EA59" i="27" a="1"/>
  <c r="EA59" i="27" s="1"/>
  <c r="DY57" i="27" a="1"/>
  <c r="DY57" i="27" s="1"/>
  <c r="DW55" i="27" a="1"/>
  <c r="DW55" i="27" s="1"/>
  <c r="EB52" i="27" a="1"/>
  <c r="EB52" i="27" s="1"/>
  <c r="EA50" i="27" a="1"/>
  <c r="EA50" i="27" s="1"/>
  <c r="EA48" i="27" a="1"/>
  <c r="EA48" i="27" s="1"/>
  <c r="DZ46" i="27" a="1"/>
  <c r="DZ46" i="27" s="1"/>
  <c r="DY44" i="27" a="1"/>
  <c r="DY44" i="27" s="1"/>
  <c r="DX42" i="27" a="1"/>
  <c r="DX42" i="27" s="1"/>
  <c r="DX40" i="27" a="1"/>
  <c r="DX40" i="27" s="1"/>
  <c r="DW38" i="27" a="1"/>
  <c r="DW38" i="27" s="1"/>
  <c r="DW36" i="27" a="1"/>
  <c r="DW36" i="27" s="1"/>
  <c r="EC33" i="27" a="1"/>
  <c r="EC33" i="27" s="1"/>
  <c r="DZ32" i="27" a="1"/>
  <c r="DZ32" i="27" s="1"/>
  <c r="DY70" i="27" a="1"/>
  <c r="DY70" i="27" s="1"/>
  <c r="DY68" i="27" a="1"/>
  <c r="DY68" i="27" s="1"/>
  <c r="DW66" i="27" a="1"/>
  <c r="DW66" i="27" s="1"/>
  <c r="EB63" i="27" a="1"/>
  <c r="EB63" i="27" s="1"/>
  <c r="DZ61" i="27" a="1"/>
  <c r="DZ61" i="27" s="1"/>
  <c r="DX59" i="27" a="1"/>
  <c r="DX59" i="27" s="1"/>
  <c r="EC56" i="27" a="1"/>
  <c r="EC56" i="27" s="1"/>
  <c r="EA54" i="27" a="1"/>
  <c r="EA54" i="27" s="1"/>
  <c r="DY52" i="27" a="1"/>
  <c r="DY52" i="27" s="1"/>
  <c r="DX50" i="27" a="1"/>
  <c r="DX50" i="27" s="1"/>
  <c r="DX48" i="27" a="1"/>
  <c r="DX48" i="27" s="1"/>
  <c r="DW46" i="27" a="1"/>
  <c r="DW46" i="27" s="1"/>
  <c r="DW44" i="27" a="1"/>
  <c r="DW44" i="27" s="1"/>
  <c r="EC41" i="27" a="1"/>
  <c r="EC41" i="27" s="1"/>
  <c r="EB39" i="27" a="1"/>
  <c r="EB39" i="27" s="1"/>
  <c r="EA37" i="27" a="1"/>
  <c r="EA37" i="27" s="1"/>
  <c r="EA35" i="27" a="1"/>
  <c r="EA35" i="27" s="1"/>
  <c r="EA33" i="27" a="1"/>
  <c r="EA33" i="27" s="1"/>
  <c r="DW32" i="27" a="1"/>
  <c r="DW32" i="27" s="1"/>
  <c r="EA67" i="27" a="1"/>
  <c r="EA67" i="27" s="1"/>
  <c r="DW63" i="27" a="1"/>
  <c r="DW63" i="27" s="1"/>
  <c r="DZ58" i="27" a="1"/>
  <c r="DZ58" i="27" s="1"/>
  <c r="EC53" i="27" a="1"/>
  <c r="EC53" i="27" s="1"/>
  <c r="EA49" i="27" a="1"/>
  <c r="EA49" i="27" s="1"/>
  <c r="DX41" i="27" a="1"/>
  <c r="DX41" i="27" s="1"/>
  <c r="DW37" i="27" a="1"/>
  <c r="DW37" i="27" s="1"/>
  <c r="EC32" i="27" a="1"/>
  <c r="EC32" i="27" s="1"/>
  <c r="DX67" i="27" a="1"/>
  <c r="DX67" i="27" s="1"/>
  <c r="EA62" i="27" a="1"/>
  <c r="EA62" i="27" s="1"/>
  <c r="DW58" i="27" a="1"/>
  <c r="DW58" i="27" s="1"/>
  <c r="DZ53" i="27" a="1"/>
  <c r="DZ53" i="27" s="1"/>
  <c r="DX49" i="27" a="1"/>
  <c r="DX49" i="27" s="1"/>
  <c r="DW45" i="27" a="1"/>
  <c r="DW45" i="27" s="1"/>
  <c r="EA36" i="27" a="1"/>
  <c r="EA36" i="27" s="1"/>
  <c r="EC69" i="27" a="1"/>
  <c r="EC69" i="27" s="1"/>
  <c r="EA65" i="27" a="1"/>
  <c r="EA65" i="27" s="1"/>
  <c r="DW61" i="27" a="1"/>
  <c r="DW61" i="27" s="1"/>
  <c r="DZ56" i="27" a="1"/>
  <c r="DZ56" i="27" s="1"/>
  <c r="EC51" i="27" a="1"/>
  <c r="EC51" i="27" s="1"/>
  <c r="EB47" i="27" a="1"/>
  <c r="EB47" i="27" s="1"/>
  <c r="DZ39" i="27" a="1"/>
  <c r="DZ39" i="27" s="1"/>
  <c r="DX35" i="27" a="1"/>
  <c r="DX35" i="27" s="1"/>
  <c r="EB69" i="27" a="1"/>
  <c r="EB69" i="27" s="1"/>
  <c r="DZ65" i="27" a="1"/>
  <c r="DZ65" i="27" s="1"/>
  <c r="EC60" i="27" a="1"/>
  <c r="EC60" i="27" s="1"/>
  <c r="DY56" i="27" a="1"/>
  <c r="DY56" i="27" s="1"/>
  <c r="EB51" i="27" a="1"/>
  <c r="EB51" i="27" s="1"/>
  <c r="EA47" i="27" a="1"/>
  <c r="EA47" i="27" s="1"/>
  <c r="DY39" i="27" a="1"/>
  <c r="DY39" i="27" s="1"/>
  <c r="EC64" i="27" a="1"/>
  <c r="EC64" i="27" s="1"/>
  <c r="EB55" i="27" a="1"/>
  <c r="EB55" i="27" s="1"/>
  <c r="DW47" i="27" a="1"/>
  <c r="DW47" i="27" s="1"/>
  <c r="EB38" i="27" a="1"/>
  <c r="EB38" i="27" s="1"/>
  <c r="DY63" i="27" a="1"/>
  <c r="DY63" i="27" s="1"/>
  <c r="DX54" i="27" a="1"/>
  <c r="DX54" i="27" s="1"/>
  <c r="EA45" i="27" a="1"/>
  <c r="EA45" i="27" s="1"/>
  <c r="DY37" i="27" a="1"/>
  <c r="DY37" i="27" s="1"/>
  <c r="DX63" i="27" a="1"/>
  <c r="DX63" i="27" s="1"/>
  <c r="DW54" i="27" a="1"/>
  <c r="DW54" i="27" s="1"/>
  <c r="DZ45" i="27" a="1"/>
  <c r="DZ45" i="27" s="1"/>
  <c r="DX37" i="27" a="1"/>
  <c r="DX37" i="27" s="1"/>
  <c r="DY69" i="27" a="1"/>
  <c r="DY69" i="27" s="1"/>
  <c r="DY60" i="27" a="1"/>
  <c r="DY60" i="27" s="1"/>
  <c r="DX51" i="27" a="1"/>
  <c r="DX51" i="27" s="1"/>
  <c r="EC42" i="27" a="1"/>
  <c r="EC42" i="27" s="1"/>
  <c r="EA34" i="27" a="1"/>
  <c r="EA34" i="27" s="1"/>
  <c r="EC67" i="27" a="1"/>
  <c r="EC67" i="27" s="1"/>
  <c r="EC49" i="27" a="1"/>
  <c r="EC49" i="27" s="1"/>
  <c r="DZ33" i="27" a="1"/>
  <c r="DZ33" i="27" s="1"/>
  <c r="EB67" i="27" a="1"/>
  <c r="EB67" i="27" s="1"/>
  <c r="EB49" i="27" a="1"/>
  <c r="EB49" i="27" s="1"/>
  <c r="DW33" i="27" a="1"/>
  <c r="DW33" i="27" s="1"/>
  <c r="DY65" i="27" a="1"/>
  <c r="DY65" i="27" s="1"/>
  <c r="DZ47" i="27" a="1"/>
  <c r="DZ47" i="27" s="1"/>
  <c r="EB60" i="27" a="1"/>
  <c r="EB60" i="27" s="1"/>
  <c r="EA58" i="27" a="1"/>
  <c r="EA58" i="27" s="1"/>
  <c r="DX56" i="27" a="1"/>
  <c r="DX56" i="27" s="1"/>
  <c r="EA51" i="27" a="1"/>
  <c r="EA51" i="27" s="1"/>
  <c r="DZ41" i="27" a="1"/>
  <c r="DZ41" i="27" s="1"/>
  <c r="EA69" i="27" a="1"/>
  <c r="EA69" i="27" s="1"/>
  <c r="EB58" i="27" a="1"/>
  <c r="EB58" i="27" s="1"/>
  <c r="DY41" i="27" a="1"/>
  <c r="DY41" i="27" s="1"/>
  <c r="DX39" i="27" a="1"/>
  <c r="DX39" i="27" s="1"/>
  <c r="DW35" i="27" a="1"/>
  <c r="DW35" i="27" s="1"/>
  <c r="BY140" i="27" a="1"/>
  <c r="BY140" i="27" s="1"/>
  <c r="CB140" i="27" a="1"/>
  <c r="CB140" i="27" s="1"/>
  <c r="CA140" i="27" a="1"/>
  <c r="CA140" i="27" s="1"/>
  <c r="BZ140" i="27" a="1"/>
  <c r="BZ140" i="27" s="1"/>
  <c r="DH132" i="27" a="1"/>
  <c r="DH132" i="27" s="1"/>
  <c r="DI132" i="27" a="1"/>
  <c r="DI132" i="27" s="1"/>
  <c r="DJ132" i="27" a="1"/>
  <c r="DJ132" i="27" s="1"/>
  <c r="BP110" i="27" a="1"/>
  <c r="BP110" i="27" s="1"/>
  <c r="BS110" i="27" a="1"/>
  <c r="BS110" i="27" s="1"/>
  <c r="BR110" i="27" a="1"/>
  <c r="BR110" i="27" s="1"/>
  <c r="BO110" i="27" a="1"/>
  <c r="BO110" i="27" s="1"/>
  <c r="BN110" i="27" a="1"/>
  <c r="BN110" i="27" s="1"/>
  <c r="BQ110" i="27" a="1"/>
  <c r="BQ110" i="27" s="1"/>
  <c r="BT110" i="27" a="1"/>
  <c r="BT110" i="27" s="1"/>
  <c r="DC141" i="27" a="1"/>
  <c r="DC141" i="27" s="1"/>
  <c r="EO136" i="27" a="1"/>
  <c r="EO136" i="27" s="1"/>
  <c r="CO126" i="27" a="1"/>
  <c r="CO126" i="27" s="1"/>
  <c r="DB141" i="27" a="1"/>
  <c r="DB141" i="27" s="1"/>
  <c r="CN134" i="27"/>
  <c r="CN126" i="27" a="1"/>
  <c r="CN126" i="27" s="1"/>
  <c r="DA141" i="27" a="1"/>
  <c r="DA141" i="27" s="1"/>
  <c r="CM126" i="27" a="1"/>
  <c r="CM126" i="27" s="1"/>
  <c r="CV141" i="27" a="1"/>
  <c r="CV141" i="27" s="1"/>
  <c r="EJ137" i="27" a="1"/>
  <c r="EJ137" i="27" s="1"/>
  <c r="CN131" i="27"/>
  <c r="CL126" i="27" a="1"/>
  <c r="CL126" i="27" s="1"/>
  <c r="CU141" i="27" a="1"/>
  <c r="CU141" i="27" s="1"/>
  <c r="EI137" i="27" a="1"/>
  <c r="EI137" i="27" s="1"/>
  <c r="CN130" i="27"/>
  <c r="CK126" i="27" a="1"/>
  <c r="CK126" i="27" s="1"/>
  <c r="CT141" i="27" a="1"/>
  <c r="CT141" i="27" s="1"/>
  <c r="EH137" i="27" a="1"/>
  <c r="EH137" i="27" s="1"/>
  <c r="EQ136" i="27" a="1"/>
  <c r="EQ136" i="27" s="1"/>
  <c r="EP136" i="27" a="1"/>
  <c r="EP136" i="27" s="1"/>
  <c r="CN132" i="27"/>
  <c r="DY74" i="27" a="1"/>
  <c r="DY74" i="27" s="1"/>
  <c r="EC74" i="27" a="1"/>
  <c r="EC74" i="27" s="1"/>
  <c r="EA74" i="27" a="1"/>
  <c r="EA74" i="27" s="1"/>
  <c r="DZ74" i="27" a="1"/>
  <c r="DZ74" i="27" s="1"/>
  <c r="EB74" i="27" a="1"/>
  <c r="EB74" i="27" s="1"/>
  <c r="DX74" i="27" a="1"/>
  <c r="DX74" i="27" s="1"/>
  <c r="DW74" i="27" a="1"/>
  <c r="DW74" i="27" s="1"/>
  <c r="AC95" i="27"/>
  <c r="AD97" i="27"/>
  <c r="AA94" i="27"/>
  <c r="AC96" i="27"/>
  <c r="AD98" i="27"/>
  <c r="AA95" i="27"/>
  <c r="AC97" i="27"/>
  <c r="AD99" i="27"/>
  <c r="AA96" i="27"/>
  <c r="AC98" i="27"/>
  <c r="AC99" i="27"/>
  <c r="G6" i="49"/>
  <c r="F6" i="49"/>
  <c r="E6" i="49"/>
  <c r="D6" i="49"/>
  <c r="C6" i="49"/>
  <c r="DQ222" i="27" l="1" a="1"/>
  <c r="DQ222" i="27" s="1"/>
  <c r="DP180" i="27" a="1"/>
  <c r="DP180" i="27" s="1"/>
  <c r="DQ180" i="27" a="1"/>
  <c r="DQ180" i="27" s="1"/>
  <c r="DQ154" i="27" a="1"/>
  <c r="DQ154" i="27" s="1"/>
  <c r="DO222" i="27" a="1"/>
  <c r="DO222" i="27" s="1"/>
  <c r="DR222" i="27" a="1"/>
  <c r="DR222" i="27" s="1"/>
  <c r="DO180" i="27" a="1"/>
  <c r="DO180" i="27" s="1"/>
  <c r="DR180" i="27" a="1"/>
  <c r="DR180" i="27" s="1"/>
  <c r="DP222" i="27" a="1"/>
  <c r="DP222" i="27" s="1"/>
  <c r="DQ197" i="27" a="1"/>
  <c r="DQ197" i="27" s="1"/>
  <c r="DQ155" i="27" a="1"/>
  <c r="DQ155" i="27" s="1"/>
  <c r="DR197" i="27" a="1"/>
  <c r="DR197" i="27" s="1"/>
  <c r="DR155" i="27" a="1"/>
  <c r="DR155" i="27" s="1"/>
  <c r="DP197" i="27" a="1"/>
  <c r="DP197" i="27" s="1"/>
  <c r="DO197" i="27" a="1"/>
  <c r="DO197" i="27" s="1"/>
  <c r="DP154" i="27" a="1"/>
  <c r="DP154" i="27" s="1"/>
  <c r="DR154" i="27" a="1"/>
  <c r="DR154" i="27" s="1"/>
  <c r="DO155" i="27" a="1"/>
  <c r="DO155" i="27" s="1"/>
  <c r="DP155" i="27" a="1"/>
  <c r="DP155" i="27" s="1"/>
  <c r="EH180" i="27" a="1"/>
  <c r="EH180" i="27" s="1"/>
  <c r="EO177" i="27" a="1"/>
  <c r="EO177" i="27" s="1"/>
  <c r="CT157" i="27" a="1"/>
  <c r="CT157" i="27" s="1"/>
  <c r="CK145" i="27"/>
  <c r="CK151" i="27" a="1"/>
  <c r="CK151" i="27" s="1"/>
  <c r="DH155" i="27" a="1"/>
  <c r="DH155" i="27" s="1"/>
  <c r="CK148" i="27" a="1"/>
  <c r="CK148" i="27" s="1"/>
  <c r="DA182" i="27" a="1"/>
  <c r="DA182" i="27" s="1"/>
  <c r="DH174" i="27" a="1"/>
  <c r="DH174" i="27" s="1"/>
  <c r="CK162" i="27" a="1"/>
  <c r="CK162" i="27" s="1"/>
  <c r="CT186" i="27" a="1"/>
  <c r="CT186" i="27" s="1"/>
  <c r="CK142" i="27" a="1"/>
  <c r="CK142" i="27" s="1"/>
  <c r="CK156" i="27" a="1"/>
  <c r="CK156" i="27" s="1"/>
  <c r="CK169" i="27" a="1"/>
  <c r="CK169" i="27" s="1"/>
  <c r="CK159" i="27" a="1"/>
  <c r="CK159" i="27" s="1"/>
  <c r="EO180" i="27" a="1"/>
  <c r="EO180" i="27" s="1"/>
  <c r="CT183" i="27" a="1"/>
  <c r="CT183" i="27" s="1"/>
  <c r="DA175" i="27" a="1"/>
  <c r="DA175" i="27" s="1"/>
  <c r="CK141" i="27" a="1"/>
  <c r="CK141" i="27" s="1"/>
  <c r="CK154" i="27" a="1"/>
  <c r="CK154" i="27" s="1"/>
  <c r="CK170" i="27" a="1"/>
  <c r="CK170" i="27" s="1"/>
  <c r="CT156" i="27" a="1"/>
  <c r="CT156" i="27" s="1"/>
  <c r="CK153" i="27" a="1"/>
  <c r="CK153" i="27" s="1"/>
  <c r="CK161" i="27" a="1"/>
  <c r="CK161" i="27" s="1"/>
  <c r="DA185" i="27" a="1"/>
  <c r="DA185" i="27" s="1"/>
  <c r="CK160" i="27" a="1"/>
  <c r="CK160" i="27" s="1"/>
  <c r="DH160" i="27" a="1"/>
  <c r="DH160" i="27" s="1"/>
  <c r="DA184" i="27" a="1"/>
  <c r="DA184" i="27" s="1"/>
  <c r="EH181" i="27" a="1"/>
  <c r="EH181" i="27" s="1"/>
  <c r="DH156" i="27" a="1"/>
  <c r="DH156" i="27" s="1"/>
  <c r="CK171" i="27" a="1"/>
  <c r="CK171" i="27" s="1"/>
  <c r="CK140" i="27" a="1"/>
  <c r="CK140" i="27" s="1"/>
  <c r="CK155" i="27" a="1"/>
  <c r="CK155" i="27" s="1"/>
  <c r="CK149" i="27" a="1"/>
  <c r="CK149" i="27" s="1"/>
  <c r="EO179" i="27" a="1"/>
  <c r="EO179" i="27" s="1"/>
  <c r="CK168" i="27" a="1"/>
  <c r="CK168" i="27" s="1"/>
  <c r="CK143" i="27" a="1"/>
  <c r="CK143" i="27" s="1"/>
  <c r="CK163" i="27" a="1"/>
  <c r="CK163" i="27" s="1"/>
  <c r="CK144" i="27" a="1"/>
  <c r="CK144" i="27" s="1"/>
  <c r="CT170" i="27" a="1"/>
  <c r="CT170" i="27" s="1"/>
  <c r="DH172" i="27" a="1"/>
  <c r="DH172" i="27" s="1"/>
  <c r="CK165" i="27" a="1"/>
  <c r="CK165" i="27" s="1"/>
  <c r="CK167" i="27"/>
  <c r="CK157" i="27" a="1"/>
  <c r="CK157" i="27" s="1"/>
  <c r="CT185" i="27" a="1"/>
  <c r="CT185" i="27" s="1"/>
  <c r="CK147" i="27"/>
  <c r="CK158" i="27" a="1"/>
  <c r="CK158" i="27" s="1"/>
  <c r="CK166" i="27" a="1"/>
  <c r="CK166" i="27" s="1"/>
  <c r="CK152" i="27" a="1"/>
  <c r="CK152" i="27" s="1"/>
  <c r="EH178" i="27" a="1"/>
  <c r="EH178" i="27" s="1"/>
  <c r="DH175" i="27" a="1"/>
  <c r="DH175" i="27" s="1"/>
  <c r="DA169" i="27" a="1"/>
  <c r="DA169" i="27" s="1"/>
  <c r="CT175" i="27" a="1"/>
  <c r="CT175" i="27" s="1"/>
  <c r="DH159" i="27" a="1"/>
  <c r="DH159" i="27" s="1"/>
  <c r="DA163" i="27" a="1"/>
  <c r="DA163" i="27" s="1"/>
  <c r="DA186" i="27" a="1"/>
  <c r="DA186" i="27" s="1"/>
  <c r="CT187" i="27" a="1"/>
  <c r="CT187" i="27" s="1"/>
  <c r="CT165" i="27" a="1"/>
  <c r="CT165" i="27" s="1"/>
  <c r="CT168" i="27" a="1"/>
  <c r="CT168" i="27" s="1"/>
  <c r="CT160" i="27" a="1"/>
  <c r="CT160" i="27" s="1"/>
  <c r="DA177" i="27" a="1"/>
  <c r="DA177" i="27" s="1"/>
  <c r="CT173" i="27" a="1"/>
  <c r="CT173" i="27" s="1"/>
  <c r="DH147" i="27" a="1"/>
  <c r="DH147" i="27" s="1"/>
  <c r="DA183" i="27" a="1"/>
  <c r="DA183" i="27" s="1"/>
  <c r="DA157" i="27" a="1"/>
  <c r="DA157" i="27" s="1"/>
  <c r="DA178" i="27" a="1"/>
  <c r="DA178" i="27" s="1"/>
  <c r="DH151" i="27" a="1"/>
  <c r="DH151" i="27" s="1"/>
  <c r="DA162" i="27" a="1"/>
  <c r="DA162" i="27" s="1"/>
  <c r="DH163" i="27" a="1"/>
  <c r="DH163" i="27" s="1"/>
  <c r="DH166" i="27" a="1"/>
  <c r="DH166" i="27" s="1"/>
  <c r="CK139" i="27" a="1"/>
  <c r="CK139" i="27" s="1"/>
  <c r="CT184" i="27" a="1"/>
  <c r="CT184" i="27" s="1"/>
  <c r="CT155" i="27" a="1"/>
  <c r="CT155" i="27" s="1"/>
  <c r="CT162" i="27" a="1"/>
  <c r="CT162" i="27" s="1"/>
  <c r="DH161" i="27" a="1"/>
  <c r="DH161" i="27" s="1"/>
  <c r="CT163" i="27" a="1"/>
  <c r="CT163" i="27" s="1"/>
  <c r="CT176" i="27" a="1"/>
  <c r="CT176" i="27" s="1"/>
  <c r="DA158" i="27" a="1"/>
  <c r="DA158" i="27" s="1"/>
  <c r="DH158" i="27" a="1"/>
  <c r="DH158" i="27" s="1"/>
  <c r="CT177" i="27" a="1"/>
  <c r="CT177" i="27" s="1"/>
  <c r="DH153" i="27" a="1"/>
  <c r="DH153" i="27" s="1"/>
  <c r="CT158" i="27" a="1"/>
  <c r="CT158" i="27" s="1"/>
  <c r="CT182" i="27" a="1"/>
  <c r="CT182" i="27" s="1"/>
  <c r="DA181" i="27" a="1"/>
  <c r="DA181" i="27" s="1"/>
  <c r="DH154" i="27" a="1"/>
  <c r="DH154" i="27" s="1"/>
  <c r="DH140" i="27"/>
  <c r="DJ165" i="27" s="1" a="1"/>
  <c r="DJ165" i="27" s="1"/>
  <c r="EH161" i="27" a="1"/>
  <c r="EH161" i="27" s="1"/>
  <c r="CK146" i="27" a="1"/>
  <c r="CK146" i="27" s="1"/>
  <c r="DH148" i="27" a="1"/>
  <c r="DH148" i="27" s="1"/>
  <c r="DH165" i="27" a="1"/>
  <c r="DH165" i="27" s="1"/>
  <c r="DH162" i="27" a="1"/>
  <c r="DH162" i="27" s="1"/>
  <c r="CT181" i="27" a="1"/>
  <c r="CT181" i="27" s="1"/>
  <c r="CT172" i="27" a="1"/>
  <c r="CT172" i="27" s="1"/>
  <c r="DA156" i="27" a="1"/>
  <c r="DA156" i="27" s="1"/>
  <c r="CT161" i="27" a="1"/>
  <c r="CT161" i="27" s="1"/>
  <c r="DA173" i="27" a="1"/>
  <c r="DA173" i="27" s="1"/>
  <c r="DA174" i="27" a="1"/>
  <c r="DA174" i="27" s="1"/>
  <c r="DH170" i="27" a="1"/>
  <c r="DH170" i="27" s="1"/>
  <c r="DH145" i="27" a="1"/>
  <c r="DH145" i="27" s="1"/>
  <c r="DA167" i="27" a="1"/>
  <c r="DA167" i="27" s="1"/>
  <c r="DH168" i="27" a="1"/>
  <c r="DH168" i="27" s="1"/>
  <c r="DH152" i="27" a="1"/>
  <c r="DH152" i="27" s="1"/>
  <c r="DH164" i="27" a="1"/>
  <c r="DH164" i="27" s="1"/>
  <c r="CT166" i="27" a="1"/>
  <c r="CT166" i="27" s="1"/>
  <c r="DA176" i="27" a="1"/>
  <c r="DA176" i="27" s="1"/>
  <c r="DA164" i="27" a="1"/>
  <c r="DA164" i="27" s="1"/>
  <c r="CT169" i="27" a="1"/>
  <c r="CT169" i="27" s="1"/>
  <c r="DA168" i="27" a="1"/>
  <c r="DA168" i="27" s="1"/>
  <c r="DA170" i="27" a="1"/>
  <c r="DA170" i="27" s="1"/>
  <c r="DH149" i="27" a="1"/>
  <c r="DH149" i="27" s="1"/>
  <c r="CT159" i="27" a="1"/>
  <c r="CT159" i="27" s="1"/>
  <c r="DA159" i="27" a="1"/>
  <c r="DA159" i="27" s="1"/>
  <c r="DA154" i="27" a="1"/>
  <c r="DA154" i="27" s="1"/>
  <c r="DA161" i="27" a="1"/>
  <c r="DA161" i="27" s="1"/>
  <c r="CT164" i="27" a="1"/>
  <c r="CT164" i="27" s="1"/>
  <c r="DA180" i="27" a="1"/>
  <c r="DA180" i="27" s="1"/>
  <c r="DH176" i="27" a="1"/>
  <c r="DH176" i="27" s="1"/>
  <c r="DH171" i="27" a="1"/>
  <c r="DH171" i="27" s="1"/>
  <c r="DA171" i="27" a="1"/>
  <c r="DA171" i="27" s="1"/>
  <c r="DH144" i="27" a="1"/>
  <c r="DH144" i="27" s="1"/>
  <c r="DH173" i="27" a="1"/>
  <c r="DH173" i="27" s="1"/>
  <c r="CT179" i="27" a="1"/>
  <c r="CT179" i="27" s="1"/>
  <c r="CT171" i="27" a="1"/>
  <c r="CT171" i="27" s="1"/>
  <c r="DH150" i="27" a="1"/>
  <c r="DH150" i="27" s="1"/>
  <c r="DW106" i="27" a="1"/>
  <c r="DW106" i="27" s="1"/>
  <c r="DW85" i="27" a="1"/>
  <c r="DW85" i="27" s="1"/>
  <c r="CT178" i="27" a="1"/>
  <c r="CT178" i="27" s="1"/>
  <c r="EH162" i="27" a="1"/>
  <c r="EH162" i="27" s="1"/>
  <c r="DA166" i="27" a="1"/>
  <c r="DA166" i="27" s="1"/>
  <c r="DH167" i="27" a="1"/>
  <c r="DH167" i="27" s="1"/>
  <c r="CT167" i="27" a="1"/>
  <c r="CT167" i="27" s="1"/>
  <c r="CT174" i="27" a="1"/>
  <c r="CT174" i="27" s="1"/>
  <c r="DA172" i="27" a="1"/>
  <c r="DA172" i="27" s="1"/>
  <c r="EH157" i="27" a="1"/>
  <c r="EH157" i="27" s="1"/>
  <c r="DA155" i="27" a="1"/>
  <c r="DA155" i="27" s="1"/>
  <c r="DH157" i="27" a="1"/>
  <c r="DH157" i="27" s="1"/>
  <c r="DA160" i="27" a="1"/>
  <c r="DA160" i="27" s="1"/>
  <c r="DH146" i="27" a="1"/>
  <c r="DH146" i="27" s="1"/>
  <c r="DA165" i="27" a="1"/>
  <c r="DA165" i="27" s="1"/>
  <c r="DW110" i="27" a="1"/>
  <c r="DW110" i="27" s="1"/>
  <c r="DW98" i="27" a="1"/>
  <c r="DW98" i="27" s="1"/>
  <c r="DW96" i="27" a="1"/>
  <c r="DW96" i="27" s="1"/>
  <c r="DW95" i="27" a="1"/>
  <c r="DW95" i="27" s="1"/>
  <c r="DW86" i="27" a="1"/>
  <c r="DW86" i="27" s="1"/>
  <c r="DW78" i="27" a="1"/>
  <c r="DW78" i="27" s="1"/>
  <c r="DW80" i="27" a="1"/>
  <c r="DW80" i="27" s="1"/>
  <c r="DW90" i="27" a="1"/>
  <c r="DW90" i="27" s="1"/>
  <c r="DW81" i="27" a="1"/>
  <c r="DW81" i="27" s="1"/>
  <c r="DW91" i="27" a="1"/>
  <c r="DW91" i="27" s="1"/>
  <c r="DW101" i="27" a="1"/>
  <c r="DW101" i="27" s="1"/>
  <c r="DW82" i="27" a="1"/>
  <c r="DW82" i="27" s="1"/>
  <c r="DW89" i="27" a="1"/>
  <c r="DW89" i="27" s="1"/>
  <c r="DW107" i="27" a="1"/>
  <c r="DW107" i="27" s="1"/>
  <c r="DW108" i="27" a="1"/>
  <c r="DW108" i="27" s="1"/>
  <c r="DW105" i="27" a="1"/>
  <c r="DW105" i="27" s="1"/>
  <c r="DW109" i="27" a="1"/>
  <c r="DW109" i="27" s="1"/>
  <c r="DW97" i="27" a="1"/>
  <c r="DW97" i="27" s="1"/>
  <c r="DW99" i="27" a="1"/>
  <c r="DW99" i="27" s="1"/>
  <c r="DW102" i="27" a="1"/>
  <c r="DW102" i="27" s="1"/>
  <c r="DW79" i="27" a="1"/>
  <c r="DW79" i="27" s="1"/>
  <c r="DW93" i="27" a="1"/>
  <c r="DW93" i="27" s="1"/>
  <c r="DW92" i="27" a="1"/>
  <c r="DW92" i="27" s="1"/>
  <c r="DW83" i="27" a="1"/>
  <c r="DW83" i="27" s="1"/>
  <c r="DW88" i="27" a="1"/>
  <c r="DW88" i="27" s="1"/>
  <c r="DW100" i="27" a="1"/>
  <c r="DW100" i="27" s="1"/>
  <c r="DW87" i="27" a="1"/>
  <c r="DW87" i="27" s="1"/>
  <c r="DW94" i="27" a="1"/>
  <c r="DW94" i="27" s="1"/>
  <c r="DW104" i="27" a="1"/>
  <c r="DW104" i="27" s="1"/>
  <c r="DW84" i="27" a="1"/>
  <c r="DW84" i="27" s="1"/>
  <c r="EO151" i="27" a="1"/>
  <c r="EO151" i="27" s="1"/>
  <c r="EO170" i="27" a="1"/>
  <c r="EO170" i="27" s="1"/>
  <c r="EO155" i="27" a="1"/>
  <c r="EO155" i="27" s="1"/>
  <c r="EO156" i="27" a="1"/>
  <c r="EO156" i="27" s="1"/>
  <c r="EO164" i="27" a="1"/>
  <c r="EO164" i="27" s="1"/>
  <c r="EO175" i="27" a="1"/>
  <c r="EO175" i="27" s="1"/>
  <c r="EO162" i="27" a="1"/>
  <c r="EO162" i="27" s="1"/>
  <c r="EO167" i="27" a="1"/>
  <c r="EO167" i="27" s="1"/>
  <c r="EO159" i="27" a="1"/>
  <c r="EO159" i="27" s="1"/>
  <c r="EO157" i="27" a="1"/>
  <c r="EO157" i="27" s="1"/>
  <c r="EO173" i="27" a="1"/>
  <c r="EO173" i="27" s="1"/>
  <c r="EO165" i="27" a="1"/>
  <c r="EO165" i="27" s="1"/>
  <c r="EO171" i="27" a="1"/>
  <c r="EO171" i="27" s="1"/>
  <c r="EO168" i="27" a="1"/>
  <c r="EO168" i="27" s="1"/>
  <c r="EO161" i="27" a="1"/>
  <c r="EO161" i="27" s="1"/>
  <c r="EO152" i="27" a="1"/>
  <c r="EO152" i="27" s="1"/>
  <c r="EO149" i="27" a="1"/>
  <c r="EO149" i="27" s="1"/>
  <c r="EO154" i="27" a="1"/>
  <c r="EO154" i="27" s="1"/>
  <c r="EO160" i="27" a="1"/>
  <c r="EO160" i="27" s="1"/>
  <c r="EO163" i="27" a="1"/>
  <c r="EO163" i="27" s="1"/>
  <c r="EO181" i="27" a="1"/>
  <c r="EO181" i="27" s="1"/>
  <c r="EO153" i="27" a="1"/>
  <c r="EO153" i="27" s="1"/>
  <c r="EO166" i="27" a="1"/>
  <c r="EO166" i="27" s="1"/>
  <c r="EO178" i="27" a="1"/>
  <c r="EO178" i="27" s="1"/>
  <c r="EO176" i="27" a="1"/>
  <c r="EO176" i="27" s="1"/>
  <c r="EO150" i="27" a="1"/>
  <c r="EO150" i="27" s="1"/>
  <c r="EO169" i="27" a="1"/>
  <c r="EO169" i="27" s="1"/>
  <c r="EO172" i="27" a="1"/>
  <c r="EO172" i="27" s="1"/>
  <c r="EO158" i="27" a="1"/>
  <c r="EO158" i="27" s="1"/>
  <c r="EH177" i="27" a="1"/>
  <c r="EH177" i="27" s="1"/>
  <c r="EH174" i="27" a="1"/>
  <c r="EH174" i="27" s="1"/>
  <c r="EH154" i="27" a="1"/>
  <c r="EH154" i="27" s="1"/>
  <c r="EH165" i="27" a="1"/>
  <c r="EH165" i="27" s="1"/>
  <c r="EH160" i="27" a="1"/>
  <c r="EH160" i="27" s="1"/>
  <c r="EH182" i="27" a="1"/>
  <c r="EH182" i="27" s="1"/>
  <c r="EH170" i="27" a="1"/>
  <c r="EH170" i="27" s="1"/>
  <c r="EH156" i="27" a="1"/>
  <c r="EH156" i="27" s="1"/>
  <c r="EH179" i="27" a="1"/>
  <c r="EH179" i="27" s="1"/>
  <c r="EH151" i="27" a="1"/>
  <c r="EH151" i="27" s="1"/>
  <c r="EH164" i="27" a="1"/>
  <c r="EH164" i="27" s="1"/>
  <c r="EH166" i="27" a="1"/>
  <c r="EH166" i="27" s="1"/>
  <c r="EH152" i="27" a="1"/>
  <c r="EH152" i="27" s="1"/>
  <c r="EH153" i="27" a="1"/>
  <c r="EH153" i="27" s="1"/>
  <c r="EH155" i="27" a="1"/>
  <c r="EH155" i="27" s="1"/>
  <c r="EH150" i="27" a="1"/>
  <c r="EH150" i="27" s="1"/>
  <c r="EH168" i="27" a="1"/>
  <c r="EH168" i="27" s="1"/>
  <c r="EH173" i="27" a="1"/>
  <c r="EH173" i="27" s="1"/>
  <c r="EH158" i="27" a="1"/>
  <c r="EH158" i="27" s="1"/>
  <c r="EH172" i="27" a="1"/>
  <c r="EH172" i="27" s="1"/>
  <c r="EH167" i="27" a="1"/>
  <c r="EH167" i="27" s="1"/>
  <c r="EH176" i="27" a="1"/>
  <c r="EH176" i="27" s="1"/>
  <c r="EH171" i="27" a="1"/>
  <c r="EH171" i="27" s="1"/>
  <c r="EH163" i="27" a="1"/>
  <c r="EH163" i="27" s="1"/>
  <c r="EH159" i="27" a="1"/>
  <c r="EH159" i="27" s="1"/>
  <c r="EH169" i="27" a="1"/>
  <c r="EH169" i="27" s="1"/>
  <c r="BY131" i="27" a="1"/>
  <c r="BY131" i="27" s="1"/>
  <c r="BY169" i="27" a="1"/>
  <c r="BY169" i="27" s="1"/>
  <c r="CC140" i="27"/>
  <c r="DK121" i="27"/>
  <c r="BG247" i="27" a="1"/>
  <c r="BG247" i="27" s="1"/>
  <c r="DO285" i="27"/>
  <c r="BZ117" i="27" a="1"/>
  <c r="BZ117" i="27" s="1"/>
  <c r="BY155" i="27" a="1"/>
  <c r="BY155" i="27" s="1"/>
  <c r="BZ207" i="27" s="1" a="1"/>
  <c r="BZ207" i="27" s="1"/>
  <c r="BZ155" i="27" a="1"/>
  <c r="BZ155" i="27" s="1"/>
  <c r="CB155" i="27" a="1"/>
  <c r="CB155" i="27" s="1"/>
  <c r="DQ161" i="27" a="1"/>
  <c r="DQ161" i="27" s="1"/>
  <c r="DQ203" i="27" a="1"/>
  <c r="DQ203" i="27" s="1"/>
  <c r="BC205" i="27" a="1"/>
  <c r="BC205" i="27" s="1"/>
  <c r="BD205" i="27" a="1"/>
  <c r="BD205" i="27" s="1"/>
  <c r="DR203" i="27" a="1"/>
  <c r="DR203" i="27" s="1"/>
  <c r="DR161" i="27" a="1"/>
  <c r="DR161" i="27" s="1"/>
  <c r="BY117" i="27" a="1"/>
  <c r="BY117" i="27" s="1"/>
  <c r="BH247" i="27" a="1"/>
  <c r="BH247" i="27" s="1"/>
  <c r="BF247" i="27" a="1"/>
  <c r="BF247" i="27" s="1"/>
  <c r="DP203" i="27" a="1"/>
  <c r="DP203" i="27" s="1"/>
  <c r="DO161" i="27" a="1"/>
  <c r="DO161" i="27" s="1"/>
  <c r="CA155" i="27" a="1"/>
  <c r="CA155" i="27" s="1"/>
  <c r="BC247" i="27" a="1"/>
  <c r="BC247" i="27" s="1"/>
  <c r="BF205" i="27" a="1"/>
  <c r="BF205" i="27" s="1"/>
  <c r="BI205" i="27" a="1"/>
  <c r="BI205" i="27" s="1"/>
  <c r="DP161" i="27" a="1"/>
  <c r="DP161" i="27" s="1"/>
  <c r="DO203" i="27" a="1"/>
  <c r="DO203" i="27" s="1"/>
  <c r="CB117" i="27" a="1"/>
  <c r="CB117" i="27" s="1"/>
  <c r="BI247" i="27" a="1"/>
  <c r="BI247" i="27" s="1"/>
  <c r="BD247" i="27" a="1"/>
  <c r="BD247" i="27" s="1"/>
  <c r="BH205" i="27" a="1"/>
  <c r="BH205" i="27" s="1"/>
  <c r="BG205" i="27" a="1"/>
  <c r="BG205" i="27" s="1"/>
  <c r="CA117" i="27" a="1"/>
  <c r="CA117" i="27" s="1"/>
  <c r="BE205" i="27" a="1"/>
  <c r="BE205" i="27" s="1"/>
  <c r="BE247" i="27" a="1"/>
  <c r="BE247" i="27" s="1"/>
  <c r="DP285" i="27"/>
  <c r="BC333" i="27"/>
  <c r="BC332" i="27"/>
  <c r="DO286" i="27"/>
  <c r="DO175" i="27" a="1"/>
  <c r="DO175" i="27" s="1"/>
  <c r="DK124" i="27"/>
  <c r="BH334" i="27"/>
  <c r="BD336" i="27"/>
  <c r="DO288" i="27"/>
  <c r="BD333" i="27"/>
  <c r="DK97" i="27"/>
  <c r="DP286" i="27"/>
  <c r="BH333" i="27"/>
  <c r="BD332" i="27"/>
  <c r="DP288" i="27"/>
  <c r="DP284" i="27"/>
  <c r="BC336" i="27"/>
  <c r="DK92" i="27"/>
  <c r="EK133" i="27"/>
  <c r="DO284" i="27"/>
  <c r="BD334" i="27"/>
  <c r="BH336" i="27"/>
  <c r="BC334" i="27"/>
  <c r="EK117" i="27"/>
  <c r="BY187" i="27"/>
  <c r="BY188" i="27"/>
  <c r="BY191" i="27"/>
  <c r="BY189" i="27"/>
  <c r="DP213" i="27" a="1"/>
  <c r="DP213" i="27" s="1"/>
  <c r="EK101" i="27"/>
  <c r="DK105" i="27"/>
  <c r="ER118" i="27"/>
  <c r="DP184" i="27" a="1"/>
  <c r="DP184" i="27" s="1"/>
  <c r="DP224" i="27" a="1"/>
  <c r="DP224" i="27" s="1"/>
  <c r="DQ188" i="27" a="1"/>
  <c r="DQ188" i="27" s="1"/>
  <c r="DR225" i="27" a="1"/>
  <c r="DR225" i="27" s="1"/>
  <c r="DR196" i="27" a="1"/>
  <c r="DR196" i="27" s="1"/>
  <c r="DK108" i="27"/>
  <c r="DK113" i="27"/>
  <c r="DO200" i="27" a="1"/>
  <c r="DO200" i="27" s="1"/>
  <c r="DR212" i="27" a="1"/>
  <c r="DR212" i="27" s="1"/>
  <c r="CA177" i="27" a="1"/>
  <c r="CA177" i="27" s="1"/>
  <c r="DO212" i="27" a="1"/>
  <c r="DO212" i="27" s="1"/>
  <c r="DQ156" i="27" a="1"/>
  <c r="DQ156" i="27" s="1"/>
  <c r="DQ208" i="27" a="1"/>
  <c r="DQ208" i="27" s="1"/>
  <c r="DO182" i="27" a="1"/>
  <c r="DO182" i="27" s="1"/>
  <c r="DO201" i="27" a="1"/>
  <c r="DO201" i="27" s="1"/>
  <c r="DK116" i="27"/>
  <c r="DR205" i="27" a="1"/>
  <c r="DR205" i="27" s="1"/>
  <c r="DQ178" i="27" a="1"/>
  <c r="DQ178" i="27" s="1"/>
  <c r="DQ223" i="27" a="1"/>
  <c r="DQ223" i="27" s="1"/>
  <c r="DO217" i="27" a="1"/>
  <c r="DO217" i="27" s="1"/>
  <c r="DR221" i="27" a="1"/>
  <c r="DR221" i="27" s="1"/>
  <c r="DR176" i="27" a="1"/>
  <c r="DR176" i="27" s="1"/>
  <c r="DR177" i="27" a="1"/>
  <c r="DR177" i="27" s="1"/>
  <c r="DP152" i="27" a="1"/>
  <c r="DP152" i="27" s="1"/>
  <c r="DQ224" i="27" a="1"/>
  <c r="DQ224" i="27" s="1"/>
  <c r="DR211" i="27" a="1"/>
  <c r="DR211" i="27" s="1"/>
  <c r="ER102" i="27"/>
  <c r="DQ157" i="27" a="1"/>
  <c r="DQ157" i="27" s="1"/>
  <c r="DD130" i="27"/>
  <c r="DQ158" i="27" a="1"/>
  <c r="DQ158" i="27" s="1"/>
  <c r="DP171" i="27" a="1"/>
  <c r="DP171" i="27" s="1"/>
  <c r="DQ173" i="27" a="1"/>
  <c r="DQ173" i="27" s="1"/>
  <c r="DR228" i="27" a="1"/>
  <c r="DR228" i="27" s="1"/>
  <c r="DP196" i="27" a="1"/>
  <c r="DP196" i="27" s="1"/>
  <c r="DO187" i="27" a="1"/>
  <c r="DO187" i="27" s="1"/>
  <c r="DP168" i="27" a="1"/>
  <c r="DP168" i="27" s="1"/>
  <c r="DK100" i="27"/>
  <c r="DQ229" i="27" a="1"/>
  <c r="DQ229" i="27" s="1"/>
  <c r="DQ225" i="27" a="1"/>
  <c r="DQ225" i="27" s="1"/>
  <c r="DP206" i="27" a="1"/>
  <c r="DP206" i="27" s="1"/>
  <c r="DQ192" i="27" a="1"/>
  <c r="DQ192" i="27" s="1"/>
  <c r="DO166" i="27" a="1"/>
  <c r="DO166" i="27" s="1"/>
  <c r="DP219" i="27" a="1"/>
  <c r="DP219" i="27" s="1"/>
  <c r="BZ174" i="27" a="1"/>
  <c r="BZ174" i="27" s="1"/>
  <c r="BY135" i="27" a="1"/>
  <c r="BY135" i="27" s="1"/>
  <c r="CA168" i="27" a="1"/>
  <c r="CA168" i="27" s="1"/>
  <c r="CB123" i="27" a="1"/>
  <c r="CB123" i="27" s="1"/>
  <c r="CB177" i="27" a="1"/>
  <c r="CB177" i="27" s="1"/>
  <c r="CA116" i="27" a="1"/>
  <c r="CA116" i="27" s="1"/>
  <c r="BZ152" i="27" a="1"/>
  <c r="BZ152" i="27" s="1"/>
  <c r="CB158" i="27" a="1"/>
  <c r="CB158" i="27" s="1"/>
  <c r="CA148" i="27" a="1"/>
  <c r="CA148" i="27" s="1"/>
  <c r="CB139" i="27" a="1"/>
  <c r="CB139" i="27" s="1"/>
  <c r="CB106" i="27" a="1"/>
  <c r="CB106" i="27" s="1"/>
  <c r="BZ149" i="27" a="1"/>
  <c r="BZ149" i="27" s="1"/>
  <c r="BZ146" i="27" a="1"/>
  <c r="BZ146" i="27" s="1"/>
  <c r="CA118" i="27" a="1"/>
  <c r="CA118" i="27" s="1"/>
  <c r="CB145" i="27" a="1"/>
  <c r="CB145" i="27" s="1"/>
  <c r="CB160" i="27" a="1"/>
  <c r="CB160" i="27" s="1"/>
  <c r="DP157" i="27" a="1"/>
  <c r="DP157" i="27" s="1"/>
  <c r="DO216" i="27" a="1"/>
  <c r="DO216" i="27" s="1"/>
  <c r="DP204" i="27" a="1"/>
  <c r="DP204" i="27" s="1"/>
  <c r="DP175" i="27" a="1"/>
  <c r="DP175" i="27" s="1"/>
  <c r="DQ227" i="27" a="1"/>
  <c r="DQ227" i="27" s="1"/>
  <c r="DQ175" i="27" a="1"/>
  <c r="DQ175" i="27" s="1"/>
  <c r="DR163" i="27" a="1"/>
  <c r="DR163" i="27" s="1"/>
  <c r="DO152" i="27" a="1"/>
  <c r="DO152" i="27" s="1"/>
  <c r="DO184" i="27" a="1"/>
  <c r="DO184" i="27" s="1"/>
  <c r="DP170" i="27" a="1"/>
  <c r="DP170" i="27" s="1"/>
  <c r="BZ113" i="27" a="1"/>
  <c r="BZ113" i="27" s="1"/>
  <c r="BZ130" i="27" a="1"/>
  <c r="BZ130" i="27" s="1"/>
  <c r="BY149" i="27" a="1"/>
  <c r="BY149" i="27" s="1"/>
  <c r="CB114" i="27" a="1"/>
  <c r="CB114" i="27" s="1"/>
  <c r="BY127" i="27" a="1"/>
  <c r="BY127" i="27" s="1"/>
  <c r="CA139" i="27" a="1"/>
  <c r="CA139" i="27" s="1"/>
  <c r="CB128" i="27" a="1"/>
  <c r="CB128" i="27" s="1"/>
  <c r="BY110" i="27" a="1"/>
  <c r="BY110" i="27" s="1"/>
  <c r="CA149" i="27" a="1"/>
  <c r="CA149" i="27" s="1"/>
  <c r="CB130" i="27" a="1"/>
  <c r="CB130" i="27" s="1"/>
  <c r="BZ110" i="27" a="1"/>
  <c r="BZ110" i="27" s="1"/>
  <c r="CB135" i="27" a="1"/>
  <c r="CB135" i="27" s="1"/>
  <c r="BY157" i="27" a="1"/>
  <c r="BY157" i="27" s="1"/>
  <c r="BY168" i="27" a="1"/>
  <c r="BY168" i="27" s="1"/>
  <c r="CB146" i="27" a="1"/>
  <c r="CB146" i="27" s="1"/>
  <c r="CB178" i="27" a="1"/>
  <c r="CB178" i="27" s="1"/>
  <c r="CA167" i="27" a="1"/>
  <c r="CA167" i="27" s="1"/>
  <c r="DP208" i="27" a="1"/>
  <c r="DP208" i="27" s="1"/>
  <c r="DR178" i="27" a="1"/>
  <c r="DR178" i="27" s="1"/>
  <c r="DQ174" i="27" a="1"/>
  <c r="DQ174" i="27" s="1"/>
  <c r="DO228" i="27" a="1"/>
  <c r="DO228" i="27" s="1"/>
  <c r="DO198" i="27" a="1"/>
  <c r="DO198" i="27" s="1"/>
  <c r="DP179" i="27" a="1"/>
  <c r="DP179" i="27" s="1"/>
  <c r="DQ164" i="27" a="1"/>
  <c r="DQ164" i="27" s="1"/>
  <c r="DR152" i="27" a="1"/>
  <c r="DR152" i="27" s="1"/>
  <c r="DR219" i="27" a="1"/>
  <c r="DR219" i="27" s="1"/>
  <c r="DQ177" i="27" a="1"/>
  <c r="DQ177" i="27" s="1"/>
  <c r="DQ212" i="27" a="1"/>
  <c r="DQ212" i="27" s="1"/>
  <c r="DR165" i="27" a="1"/>
  <c r="DR165" i="27" s="1"/>
  <c r="DR200" i="27" a="1"/>
  <c r="DR200" i="27" s="1"/>
  <c r="DO154" i="27" a="1"/>
  <c r="DO154" i="27" s="1"/>
  <c r="DO205" i="27" a="1"/>
  <c r="DO205" i="27" s="1"/>
  <c r="DP156" i="27" a="1"/>
  <c r="DP156" i="27" s="1"/>
  <c r="DP188" i="27" a="1"/>
  <c r="DP188" i="27" s="1"/>
  <c r="DP223" i="27" a="1"/>
  <c r="DP223" i="27" s="1"/>
  <c r="CA134" i="27" a="1"/>
  <c r="CA134" i="27" s="1"/>
  <c r="BZ163" i="27" a="1"/>
  <c r="BZ163" i="27" s="1"/>
  <c r="CB173" i="27" a="1"/>
  <c r="CB173" i="27" s="1"/>
  <c r="CA113" i="27" a="1"/>
  <c r="CA113" i="27" s="1"/>
  <c r="BY156" i="27" a="1"/>
  <c r="BY156" i="27" s="1"/>
  <c r="CB108" i="27" a="1"/>
  <c r="CB108" i="27" s="1"/>
  <c r="CB118" i="27" a="1"/>
  <c r="CB118" i="27" s="1"/>
  <c r="BZ158" i="27" a="1"/>
  <c r="BZ158" i="27" s="1"/>
  <c r="BY145" i="27" a="1"/>
  <c r="BY145" i="27" s="1"/>
  <c r="BY111" i="27" a="1"/>
  <c r="BY111" i="27" s="1"/>
  <c r="BZ144" i="27" a="1"/>
  <c r="BZ144" i="27" s="1"/>
  <c r="CB113" i="27" a="1"/>
  <c r="CB113" i="27" s="1"/>
  <c r="CA130" i="27" a="1"/>
  <c r="CA130" i="27" s="1"/>
  <c r="BZ156" i="27" a="1"/>
  <c r="BZ156" i="27" s="1"/>
  <c r="BY112" i="27" a="1"/>
  <c r="BY112" i="27" s="1"/>
  <c r="CA127" i="27" a="1"/>
  <c r="CA127" i="27" s="1"/>
  <c r="CA153" i="27" a="1"/>
  <c r="CA153" i="27" s="1"/>
  <c r="BZ116" i="27" a="1"/>
  <c r="BZ116" i="27" s="1"/>
  <c r="CA132" i="27" a="1"/>
  <c r="CA132" i="27" s="1"/>
  <c r="BY161" i="27" a="1"/>
  <c r="BY161" i="27" s="1"/>
  <c r="CA106" i="27" a="1"/>
  <c r="CA106" i="27" s="1"/>
  <c r="CA122" i="27" a="1"/>
  <c r="CA122" i="27" s="1"/>
  <c r="CA137" i="27" a="1"/>
  <c r="CA137" i="27" s="1"/>
  <c r="CA172" i="27" a="1"/>
  <c r="CA172" i="27" s="1"/>
  <c r="BZ159" i="27" a="1"/>
  <c r="BZ159" i="27" s="1"/>
  <c r="BZ150" i="27" a="1"/>
  <c r="BZ150" i="27" s="1"/>
  <c r="BY172" i="27" a="1"/>
  <c r="BY172" i="27" s="1"/>
  <c r="CB159" i="27" a="1"/>
  <c r="CB159" i="27" s="1"/>
  <c r="CB148" i="27" a="1"/>
  <c r="CB148" i="27" s="1"/>
  <c r="CB164" i="27" a="1"/>
  <c r="CB164" i="27" s="1"/>
  <c r="BY165" i="27" a="1"/>
  <c r="BY165" i="27" s="1"/>
  <c r="BZ171" i="27" a="1"/>
  <c r="BZ171" i="27" s="1"/>
  <c r="CA169" i="27" a="1"/>
  <c r="CA169" i="27" s="1"/>
  <c r="DO208" i="27" a="1"/>
  <c r="DO208" i="27" s="1"/>
  <c r="DR150" i="27" a="1"/>
  <c r="DR150" i="27" s="1"/>
  <c r="DO224" i="27" a="1"/>
  <c r="DO224" i="27" s="1"/>
  <c r="DP165" i="27" a="1"/>
  <c r="DP165" i="27" s="1"/>
  <c r="DQ182" i="27" a="1"/>
  <c r="DQ182" i="27" s="1"/>
  <c r="DO169" i="27" a="1"/>
  <c r="DO169" i="27" s="1"/>
  <c r="DP153" i="27" a="1"/>
  <c r="DP153" i="27" s="1"/>
  <c r="DP220" i="27" a="1"/>
  <c r="DP220" i="27" s="1"/>
  <c r="DQ205" i="27" a="1"/>
  <c r="DQ205" i="27" s="1"/>
  <c r="DO167" i="27" a="1"/>
  <c r="DO167" i="27" s="1"/>
  <c r="DO202" i="27" a="1"/>
  <c r="DO202" i="27" s="1"/>
  <c r="DP151" i="27" a="1"/>
  <c r="DP151" i="27" s="1"/>
  <c r="DP183" i="27" a="1"/>
  <c r="DP183" i="27" s="1"/>
  <c r="DP218" i="27" a="1"/>
  <c r="DP218" i="27" s="1"/>
  <c r="DQ168" i="27" a="1"/>
  <c r="DQ168" i="27" s="1"/>
  <c r="DR156" i="27" a="1"/>
  <c r="DR156" i="27" s="1"/>
  <c r="DR188" i="27" a="1"/>
  <c r="DR188" i="27" s="1"/>
  <c r="DR223" i="27" a="1"/>
  <c r="DR223" i="27" s="1"/>
  <c r="DQ163" i="27" a="1"/>
  <c r="DQ163" i="27" s="1"/>
  <c r="DQ179" i="27" a="1"/>
  <c r="DQ179" i="27" s="1"/>
  <c r="DQ198" i="27" a="1"/>
  <c r="DQ198" i="27" s="1"/>
  <c r="DQ214" i="27" a="1"/>
  <c r="DQ214" i="27" s="1"/>
  <c r="DR151" i="27" a="1"/>
  <c r="DR151" i="27" s="1"/>
  <c r="DR167" i="27" a="1"/>
  <c r="DR167" i="27" s="1"/>
  <c r="DR183" i="27" a="1"/>
  <c r="DR183" i="27" s="1"/>
  <c r="DR202" i="27" a="1"/>
  <c r="DR202" i="27" s="1"/>
  <c r="DR218" i="27" a="1"/>
  <c r="DR218" i="27" s="1"/>
  <c r="DO156" i="27" a="1"/>
  <c r="DO156" i="27" s="1"/>
  <c r="DO172" i="27" a="1"/>
  <c r="DO172" i="27" s="1"/>
  <c r="DO188" i="27" a="1"/>
  <c r="DO188" i="27" s="1"/>
  <c r="DO207" i="27" a="1"/>
  <c r="DO207" i="27" s="1"/>
  <c r="DO223" i="27" a="1"/>
  <c r="DO223" i="27" s="1"/>
  <c r="DP158" i="27" a="1"/>
  <c r="DP158" i="27" s="1"/>
  <c r="DP174" i="27" a="1"/>
  <c r="DP174" i="27" s="1"/>
  <c r="DP193" i="27" a="1"/>
  <c r="DP193" i="27" s="1"/>
  <c r="DP209" i="27" a="1"/>
  <c r="DP209" i="27" s="1"/>
  <c r="DP225" i="27" a="1"/>
  <c r="DP225" i="27" s="1"/>
  <c r="CA133" i="27" a="1"/>
  <c r="CA133" i="27" s="1"/>
  <c r="CB137" i="27" a="1"/>
  <c r="CB137" i="27" s="1"/>
  <c r="BZ139" i="27" a="1"/>
  <c r="BZ139" i="27" s="1"/>
  <c r="CB107" i="27" a="1"/>
  <c r="CB107" i="27" s="1"/>
  <c r="BY122" i="27" a="1"/>
  <c r="BY122" i="27" s="1"/>
  <c r="CB149" i="27" a="1"/>
  <c r="CB149" i="27" s="1"/>
  <c r="BY158" i="27" a="1"/>
  <c r="BY158" i="27" s="1"/>
  <c r="BY153" i="27" a="1"/>
  <c r="BY153" i="27" s="1"/>
  <c r="BY175" i="27" a="1"/>
  <c r="BY175" i="27" s="1"/>
  <c r="CA163" i="27" a="1"/>
  <c r="CA163" i="27" s="1"/>
  <c r="BZ109" i="27" a="1"/>
  <c r="BZ109" i="27" s="1"/>
  <c r="BY163" i="27" a="1"/>
  <c r="BY163" i="27" s="1"/>
  <c r="BY144" i="27" a="1"/>
  <c r="BY144" i="27" s="1"/>
  <c r="CB109" i="27" a="1"/>
  <c r="CB109" i="27" s="1"/>
  <c r="BY124" i="27" a="1"/>
  <c r="BY124" i="27" s="1"/>
  <c r="CB153" i="27" a="1"/>
  <c r="CB153" i="27" s="1"/>
  <c r="BZ161" i="27" a="1"/>
  <c r="BZ161" i="27" s="1"/>
  <c r="BY177" i="27" a="1"/>
  <c r="BY177" i="27" s="1"/>
  <c r="DR162" i="27" a="1"/>
  <c r="DR162" i="27" s="1"/>
  <c r="DO220" i="27" a="1"/>
  <c r="DO220" i="27" s="1"/>
  <c r="DO194" i="27" a="1"/>
  <c r="DO194" i="27" s="1"/>
  <c r="DQ160" i="27" a="1"/>
  <c r="DQ160" i="27" s="1"/>
  <c r="DR215" i="27" a="1"/>
  <c r="DR215" i="27" s="1"/>
  <c r="DQ210" i="27" a="1"/>
  <c r="DQ210" i="27" s="1"/>
  <c r="DR214" i="27" a="1"/>
  <c r="DR214" i="27" s="1"/>
  <c r="DO219" i="27" a="1"/>
  <c r="DO219" i="27" s="1"/>
  <c r="DP205" i="27" a="1"/>
  <c r="DP205" i="27" s="1"/>
  <c r="CB120" i="27" a="1"/>
  <c r="CB120" i="27" s="1"/>
  <c r="CA109" i="27" a="1"/>
  <c r="CA109" i="27" s="1"/>
  <c r="BY152" i="27" a="1"/>
  <c r="BY152" i="27" s="1"/>
  <c r="BZ151" i="27" a="1"/>
  <c r="BZ151" i="27" s="1"/>
  <c r="BY107" i="27" a="1"/>
  <c r="BY107" i="27" s="1"/>
  <c r="CB111" i="27" a="1"/>
  <c r="CB111" i="27" s="1"/>
  <c r="BZ153" i="27" a="1"/>
  <c r="BZ153" i="27" s="1"/>
  <c r="CB125" i="27" a="1"/>
  <c r="CB125" i="27" s="1"/>
  <c r="BZ114" i="27" a="1"/>
  <c r="BZ114" i="27" s="1"/>
  <c r="CB157" i="27" a="1"/>
  <c r="CB157" i="27" s="1"/>
  <c r="CA120" i="27" a="1"/>
  <c r="CA120" i="27" s="1"/>
  <c r="BZ166" i="27" a="1"/>
  <c r="BZ166" i="27" s="1"/>
  <c r="BY148" i="27" a="1"/>
  <c r="BY148" i="27" s="1"/>
  <c r="CA157" i="27" a="1"/>
  <c r="CA157" i="27" s="1"/>
  <c r="CB162" i="27" a="1"/>
  <c r="CB162" i="27" s="1"/>
  <c r="BZ169" i="27" a="1"/>
  <c r="BZ169" i="27" s="1"/>
  <c r="DR166" i="27" a="1"/>
  <c r="DR166" i="27" s="1"/>
  <c r="DO192" i="27" a="1"/>
  <c r="DO192" i="27" s="1"/>
  <c r="DO150" i="27" a="1"/>
  <c r="DO150" i="27" s="1"/>
  <c r="DP212" i="27" a="1"/>
  <c r="DP212" i="27" s="1"/>
  <c r="DO163" i="27" a="1"/>
  <c r="DO163" i="27" s="1"/>
  <c r="DQ230" i="27" a="1"/>
  <c r="DQ230" i="27" s="1"/>
  <c r="DP214" i="27" a="1"/>
  <c r="DP214" i="27" s="1"/>
  <c r="DQ199" i="27" a="1"/>
  <c r="DQ199" i="27" s="1"/>
  <c r="DR184" i="27" a="1"/>
  <c r="DR184" i="27" s="1"/>
  <c r="DQ196" i="27" a="1"/>
  <c r="DQ196" i="27" s="1"/>
  <c r="DQ228" i="27" a="1"/>
  <c r="DQ228" i="27" s="1"/>
  <c r="DR181" i="27" a="1"/>
  <c r="DR181" i="27" s="1"/>
  <c r="DR216" i="27" a="1"/>
  <c r="DR216" i="27" s="1"/>
  <c r="DO170" i="27" a="1"/>
  <c r="DO170" i="27" s="1"/>
  <c r="DO186" i="27" a="1"/>
  <c r="DO186" i="27" s="1"/>
  <c r="DO221" i="27" a="1"/>
  <c r="DO221" i="27" s="1"/>
  <c r="DP172" i="27" a="1"/>
  <c r="DP172" i="27" s="1"/>
  <c r="DP207" i="27" a="1"/>
  <c r="DP207" i="27" s="1"/>
  <c r="BZ111" i="27" a="1"/>
  <c r="BZ111" i="27" s="1"/>
  <c r="BY174" i="27" a="1"/>
  <c r="BY174" i="27" s="1"/>
  <c r="BZ121" i="27" a="1"/>
  <c r="BZ121" i="27" s="1"/>
  <c r="CA178" i="27" a="1"/>
  <c r="CA178" i="27" s="1"/>
  <c r="CB116" i="27" a="1"/>
  <c r="CB116" i="27" s="1"/>
  <c r="CB163" i="27" a="1"/>
  <c r="CB163" i="27" s="1"/>
  <c r="BY128" i="27" a="1"/>
  <c r="BY128" i="27" s="1"/>
  <c r="CB122" i="27" a="1"/>
  <c r="CB122" i="27" s="1"/>
  <c r="CA166" i="27" a="1"/>
  <c r="CA166" i="27" s="1"/>
  <c r="CB112" i="27" a="1"/>
  <c r="CB112" i="27" s="1"/>
  <c r="BY115" i="27" a="1"/>
  <c r="BY115" i="27" s="1"/>
  <c r="CA151" i="27" a="1"/>
  <c r="CA151" i="27" s="1"/>
  <c r="CB115" i="27" a="1"/>
  <c r="CB115" i="27" s="1"/>
  <c r="BY132" i="27" a="1"/>
  <c r="BY132" i="27" s="1"/>
  <c r="BZ160" i="27" a="1"/>
  <c r="BZ160" i="27" s="1"/>
  <c r="BY114" i="27" a="1"/>
  <c r="BY114" i="27" s="1"/>
  <c r="BY129" i="27" a="1"/>
  <c r="BY129" i="27" s="1"/>
  <c r="CA156" i="27" a="1"/>
  <c r="CA156" i="27" s="1"/>
  <c r="BZ118" i="27" a="1"/>
  <c r="BZ118" i="27" s="1"/>
  <c r="BY134" i="27" a="1"/>
  <c r="BY134" i="27" s="1"/>
  <c r="BY166" i="27" a="1"/>
  <c r="BY166" i="27" s="1"/>
  <c r="CA108" i="27" a="1"/>
  <c r="CA108" i="27" s="1"/>
  <c r="CA124" i="27" a="1"/>
  <c r="CA124" i="27" s="1"/>
  <c r="BY139" i="27" a="1"/>
  <c r="BY139" i="27" s="1"/>
  <c r="BZ178" i="27" a="1"/>
  <c r="BZ178" i="27" s="1"/>
  <c r="CB161" i="27" a="1"/>
  <c r="CB161" i="27" s="1"/>
  <c r="CA152" i="27" a="1"/>
  <c r="CA152" i="27" s="1"/>
  <c r="BY176" i="27" a="1"/>
  <c r="BY176" i="27" s="1"/>
  <c r="BZ162" i="27" a="1"/>
  <c r="BZ162" i="27" s="1"/>
  <c r="CB150" i="27" a="1"/>
  <c r="CB150" i="27" s="1"/>
  <c r="CB166" i="27" a="1"/>
  <c r="CB166" i="27" s="1"/>
  <c r="BY167" i="27" a="1"/>
  <c r="BY167" i="27" s="1"/>
  <c r="BZ173" i="27" a="1"/>
  <c r="BZ173" i="27" s="1"/>
  <c r="CA171" i="27" a="1"/>
  <c r="CA171" i="27" s="1"/>
  <c r="DR170" i="27" a="1"/>
  <c r="DR170" i="27" s="1"/>
  <c r="DR182" i="27" a="1"/>
  <c r="DR182" i="27" s="1"/>
  <c r="DR158" i="27" a="1"/>
  <c r="DR158" i="27" s="1"/>
  <c r="DR213" i="27" a="1"/>
  <c r="DR213" i="27" s="1"/>
  <c r="DP181" i="27" a="1"/>
  <c r="DP181" i="27" s="1"/>
  <c r="DQ193" i="27" a="1"/>
  <c r="DQ193" i="27" s="1"/>
  <c r="DO177" i="27" a="1"/>
  <c r="DO177" i="27" s="1"/>
  <c r="DP228" i="27" a="1"/>
  <c r="DP228" i="27" s="1"/>
  <c r="DQ213" i="27" a="1"/>
  <c r="DQ213" i="27" s="1"/>
  <c r="DO171" i="27" a="1"/>
  <c r="DO171" i="27" s="1"/>
  <c r="DO206" i="27" a="1"/>
  <c r="DO206" i="27" s="1"/>
  <c r="DP187" i="27" a="1"/>
  <c r="DP187" i="27" s="1"/>
  <c r="DQ172" i="27" a="1"/>
  <c r="DQ172" i="27" s="1"/>
  <c r="DQ207" i="27" a="1"/>
  <c r="DQ207" i="27" s="1"/>
  <c r="DR160" i="27" a="1"/>
  <c r="DR160" i="27" s="1"/>
  <c r="DR195" i="27" a="1"/>
  <c r="DR195" i="27" s="1"/>
  <c r="DR227" i="27" a="1"/>
  <c r="DR227" i="27" s="1"/>
  <c r="DQ165" i="27" a="1"/>
  <c r="DQ165" i="27" s="1"/>
  <c r="DQ181" i="27" a="1"/>
  <c r="DQ181" i="27" s="1"/>
  <c r="DQ200" i="27" a="1"/>
  <c r="DQ200" i="27" s="1"/>
  <c r="DQ216" i="27" a="1"/>
  <c r="DQ216" i="27" s="1"/>
  <c r="DR153" i="27" a="1"/>
  <c r="DR153" i="27" s="1"/>
  <c r="DR169" i="27" a="1"/>
  <c r="DR169" i="27" s="1"/>
  <c r="DR185" i="27" a="1"/>
  <c r="DR185" i="27" s="1"/>
  <c r="DR204" i="27" a="1"/>
  <c r="DR204" i="27" s="1"/>
  <c r="DR220" i="27" a="1"/>
  <c r="DR220" i="27" s="1"/>
  <c r="DO158" i="27" a="1"/>
  <c r="DO158" i="27" s="1"/>
  <c r="DO174" i="27" a="1"/>
  <c r="DO174" i="27" s="1"/>
  <c r="DO193" i="27" a="1"/>
  <c r="DO193" i="27" s="1"/>
  <c r="DO209" i="27" a="1"/>
  <c r="DO209" i="27" s="1"/>
  <c r="DO225" i="27" a="1"/>
  <c r="DO225" i="27" s="1"/>
  <c r="DP160" i="27" a="1"/>
  <c r="DP160" i="27" s="1"/>
  <c r="DP176" i="27" a="1"/>
  <c r="DP176" i="27" s="1"/>
  <c r="DP195" i="27" a="1"/>
  <c r="DP195" i="27" s="1"/>
  <c r="DP211" i="27" a="1"/>
  <c r="DP211" i="27" s="1"/>
  <c r="DP227" i="27" a="1"/>
  <c r="DP227" i="27" s="1"/>
  <c r="CA107" i="27" a="1"/>
  <c r="CA107" i="27" s="1"/>
  <c r="CA115" i="27" a="1"/>
  <c r="CA115" i="27" s="1"/>
  <c r="CA131" i="27" a="1"/>
  <c r="CA131" i="27" s="1"/>
  <c r="BZ145" i="27" a="1"/>
  <c r="BZ145" i="27" s="1"/>
  <c r="BY137" i="27" a="1"/>
  <c r="BY137" i="27" s="1"/>
  <c r="BZ106" i="27" a="1"/>
  <c r="BZ106" i="27" s="1"/>
  <c r="CB175" i="27" a="1"/>
  <c r="CB175" i="27" s="1"/>
  <c r="BZ176" i="27" a="1"/>
  <c r="BZ176" i="27" s="1"/>
  <c r="CA123" i="27" a="1"/>
  <c r="CA123" i="27" s="1"/>
  <c r="CB110" i="27" a="1"/>
  <c r="CB110" i="27" s="1"/>
  <c r="BZ136" i="27" a="1"/>
  <c r="BZ136" i="27" s="1"/>
  <c r="BY108" i="27" a="1"/>
  <c r="BY108" i="27" s="1"/>
  <c r="BZ129" i="27" a="1"/>
  <c r="BZ129" i="27" s="1"/>
  <c r="BZ134" i="27" a="1"/>
  <c r="BZ134" i="27" s="1"/>
  <c r="CA164" i="27" a="1"/>
  <c r="CA164" i="27" s="1"/>
  <c r="CB176" i="27" a="1"/>
  <c r="CB176" i="27" s="1"/>
  <c r="DP173" i="27" a="1"/>
  <c r="DP173" i="27" s="1"/>
  <c r="DQ166" i="27" a="1"/>
  <c r="DQ166" i="27" s="1"/>
  <c r="DQ186" i="27" a="1"/>
  <c r="DQ186" i="27" s="1"/>
  <c r="DO226" i="27" a="1"/>
  <c r="DO226" i="27" s="1"/>
  <c r="DQ195" i="27" a="1"/>
  <c r="DQ195" i="27" s="1"/>
  <c r="DQ159" i="27" a="1"/>
  <c r="DQ159" i="27" s="1"/>
  <c r="DQ226" i="27" a="1"/>
  <c r="DQ226" i="27" s="1"/>
  <c r="DR198" i="27" a="1"/>
  <c r="DR198" i="27" s="1"/>
  <c r="DP221" i="27" a="1"/>
  <c r="DP221" i="27" s="1"/>
  <c r="BY113" i="27" a="1"/>
  <c r="BY113" i="27" s="1"/>
  <c r="BZ115" i="27" a="1"/>
  <c r="BZ115" i="27" s="1"/>
  <c r="BZ131" i="27" a="1"/>
  <c r="BZ131" i="27" s="1"/>
  <c r="BZ119" i="27" a="1"/>
  <c r="BZ119" i="27" s="1"/>
  <c r="CA126" i="27" a="1"/>
  <c r="CA126" i="27" s="1"/>
  <c r="CB124" i="27" a="1"/>
  <c r="CB124" i="27" s="1"/>
  <c r="BZ135" i="27" a="1"/>
  <c r="BZ135" i="27" s="1"/>
  <c r="BZ132" i="27" a="1"/>
  <c r="BZ132" i="27" s="1"/>
  <c r="BZ120" i="27" a="1"/>
  <c r="BZ120" i="27" s="1"/>
  <c r="CA170" i="27" a="1"/>
  <c r="CA170" i="27" s="1"/>
  <c r="BZ126" i="27" a="1"/>
  <c r="BZ126" i="27" s="1"/>
  <c r="CA145" i="27" a="1"/>
  <c r="CA145" i="27" s="1"/>
  <c r="BZ165" i="27" a="1"/>
  <c r="BZ165" i="27" s="1"/>
  <c r="CB168" i="27" a="1"/>
  <c r="CB168" i="27" s="1"/>
  <c r="BZ175" i="27" a="1"/>
  <c r="BZ175" i="27" s="1"/>
  <c r="DO173" i="27" a="1"/>
  <c r="DO173" i="27" s="1"/>
  <c r="DR174" i="27" a="1"/>
  <c r="DR174" i="27" s="1"/>
  <c r="DP200" i="27" a="1"/>
  <c r="DP200" i="27" s="1"/>
  <c r="DO185" i="27" a="1"/>
  <c r="DO185" i="27" s="1"/>
  <c r="DP159" i="27" a="1"/>
  <c r="DP159" i="27" s="1"/>
  <c r="DP226" i="27" a="1"/>
  <c r="DP226" i="27" s="1"/>
  <c r="DQ211" i="27" a="1"/>
  <c r="DQ211" i="27" s="1"/>
  <c r="DR199" i="27" a="1"/>
  <c r="DR199" i="27" s="1"/>
  <c r="DQ167" i="27" a="1"/>
  <c r="DQ167" i="27" s="1"/>
  <c r="DQ202" i="27" a="1"/>
  <c r="DQ202" i="27" s="1"/>
  <c r="DR187" i="27" a="1"/>
  <c r="DR187" i="27" s="1"/>
  <c r="DO176" i="27" a="1"/>
  <c r="DO176" i="27" s="1"/>
  <c r="DO211" i="27" a="1"/>
  <c r="DO211" i="27" s="1"/>
  <c r="DP162" i="27" a="1"/>
  <c r="DP162" i="27" s="1"/>
  <c r="DR229" i="27" a="1"/>
  <c r="DR229" i="27" s="1"/>
  <c r="CA144" i="27" a="1"/>
  <c r="CA144" i="27" s="1"/>
  <c r="BZ128" i="27" a="1"/>
  <c r="BZ128" i="27" s="1"/>
  <c r="CA128" i="27" a="1"/>
  <c r="CA128" i="27" s="1"/>
  <c r="BZ133" i="27" a="1"/>
  <c r="BZ133" i="27" s="1"/>
  <c r="BZ147" i="27" a="1"/>
  <c r="BZ147" i="27" s="1"/>
  <c r="CA125" i="27" a="1"/>
  <c r="CA125" i="27" s="1"/>
  <c r="BY130" i="27" a="1"/>
  <c r="BY130" i="27" s="1"/>
  <c r="BY109" i="27" a="1"/>
  <c r="BY109" i="27" s="1"/>
  <c r="CB132" i="27" a="1"/>
  <c r="CB132" i="27" s="1"/>
  <c r="BZ123" i="27" a="1"/>
  <c r="BZ123" i="27" s="1"/>
  <c r="BZ154" i="27" a="1"/>
  <c r="BZ154" i="27" s="1"/>
  <c r="BY123" i="27" a="1"/>
  <c r="BY123" i="27" s="1"/>
  <c r="BZ167" i="27" a="1"/>
  <c r="BZ167" i="27" s="1"/>
  <c r="CB119" i="27" a="1"/>
  <c r="CB119" i="27" s="1"/>
  <c r="CB136" i="27" a="1"/>
  <c r="CB136" i="27" s="1"/>
  <c r="BY170" i="27" a="1"/>
  <c r="BY170" i="27" s="1"/>
  <c r="BY118" i="27" a="1"/>
  <c r="BY118" i="27" s="1"/>
  <c r="CB133" i="27" a="1"/>
  <c r="CB133" i="27" s="1"/>
  <c r="CB165" i="27" a="1"/>
  <c r="CB165" i="27" s="1"/>
  <c r="BZ122" i="27" a="1"/>
  <c r="BZ122" i="27" s="1"/>
  <c r="CB138" i="27" a="1"/>
  <c r="CB138" i="27" s="1"/>
  <c r="BY178" i="27" a="1"/>
  <c r="BY178" i="27" s="1"/>
  <c r="CA112" i="27" a="1"/>
  <c r="CA112" i="27" s="1"/>
  <c r="CB127" i="27" a="1"/>
  <c r="CB127" i="27" s="1"/>
  <c r="BY151" i="27" a="1"/>
  <c r="BY151" i="27" s="1"/>
  <c r="CB147" i="27" a="1"/>
  <c r="CB147" i="27" s="1"/>
  <c r="CB167" i="27" a="1"/>
  <c r="CB167" i="27" s="1"/>
  <c r="BZ157" i="27" a="1"/>
  <c r="BZ157" i="27" s="1"/>
  <c r="BZ148" i="27" a="1"/>
  <c r="BZ148" i="27" s="1"/>
  <c r="BZ168" i="27" a="1"/>
  <c r="BZ168" i="27" s="1"/>
  <c r="CB154" i="27" a="1"/>
  <c r="CB154" i="27" s="1"/>
  <c r="CB170" i="27" a="1"/>
  <c r="CB170" i="27" s="1"/>
  <c r="BY171" i="27" a="1"/>
  <c r="BY171" i="27" s="1"/>
  <c r="BZ177" i="27" a="1"/>
  <c r="BZ177" i="27" s="1"/>
  <c r="CA175" i="27" a="1"/>
  <c r="CA175" i="27" s="1"/>
  <c r="DP192" i="27" a="1"/>
  <c r="DP192" i="27" s="1"/>
  <c r="DR193" i="27" a="1"/>
  <c r="DR193" i="27" s="1"/>
  <c r="DO165" i="27" a="1"/>
  <c r="DO165" i="27" s="1"/>
  <c r="DP216" i="27" a="1"/>
  <c r="DP216" i="27" s="1"/>
  <c r="DQ209" i="27" a="1"/>
  <c r="DQ209" i="27" s="1"/>
  <c r="DO196" i="27" a="1"/>
  <c r="DO196" i="27" s="1"/>
  <c r="DP177" i="27" a="1"/>
  <c r="DP177" i="27" s="1"/>
  <c r="DQ162" i="27" a="1"/>
  <c r="DQ162" i="27" s="1"/>
  <c r="DO230" i="27" a="1"/>
  <c r="DO230" i="27" s="1"/>
  <c r="DO179" i="27" a="1"/>
  <c r="DO179" i="27" s="1"/>
  <c r="DO214" i="27" a="1"/>
  <c r="DO214" i="27" s="1"/>
  <c r="DP163" i="27" a="1"/>
  <c r="DP163" i="27" s="1"/>
  <c r="DP198" i="27" a="1"/>
  <c r="DP198" i="27" s="1"/>
  <c r="DR230" i="27" a="1"/>
  <c r="DR230" i="27" s="1"/>
  <c r="DQ215" i="27" a="1"/>
  <c r="DQ215" i="27" s="1"/>
  <c r="DR168" i="27" a="1"/>
  <c r="DR168" i="27" s="1"/>
  <c r="DQ153" i="27" a="1"/>
  <c r="DQ153" i="27" s="1"/>
  <c r="DQ169" i="27" a="1"/>
  <c r="DQ169" i="27" s="1"/>
  <c r="DQ185" i="27" a="1"/>
  <c r="DQ185" i="27" s="1"/>
  <c r="DQ204" i="27" a="1"/>
  <c r="DQ204" i="27" s="1"/>
  <c r="DQ220" i="27" a="1"/>
  <c r="DQ220" i="27" s="1"/>
  <c r="DR157" i="27" a="1"/>
  <c r="DR157" i="27" s="1"/>
  <c r="DR173" i="27" a="1"/>
  <c r="DR173" i="27" s="1"/>
  <c r="DR192" i="27" a="1"/>
  <c r="DR192" i="27" s="1"/>
  <c r="DR208" i="27" a="1"/>
  <c r="DR208" i="27" s="1"/>
  <c r="DR224" i="27" a="1"/>
  <c r="DR224" i="27" s="1"/>
  <c r="DO162" i="27" a="1"/>
  <c r="DO162" i="27" s="1"/>
  <c r="DO178" i="27" a="1"/>
  <c r="DO178" i="27" s="1"/>
  <c r="DO213" i="27" a="1"/>
  <c r="DO213" i="27" s="1"/>
  <c r="DO229" i="27" a="1"/>
  <c r="DO229" i="27" s="1"/>
  <c r="DP164" i="27" a="1"/>
  <c r="DP164" i="27" s="1"/>
  <c r="DP199" i="27" a="1"/>
  <c r="DP199" i="27" s="1"/>
  <c r="DP215" i="27" a="1"/>
  <c r="DP215" i="27" s="1"/>
  <c r="DP229" i="27" a="1"/>
  <c r="DP229" i="27" s="1"/>
  <c r="BY138" i="27" a="1"/>
  <c r="BY138" i="27" s="1"/>
  <c r="CA147" i="27" a="1"/>
  <c r="CA147" i="27" s="1"/>
  <c r="BY133" i="27" a="1"/>
  <c r="BY133" i="27" s="1"/>
  <c r="BY106" i="27" a="1"/>
  <c r="BY106" i="27" s="1"/>
  <c r="BY126" i="27" a="1"/>
  <c r="BY126" i="27" s="1"/>
  <c r="BY162" i="27" a="1"/>
  <c r="BY162" i="27" s="1"/>
  <c r="CB174" i="27" a="1"/>
  <c r="CB174" i="27" s="1"/>
  <c r="BY160" i="27" a="1"/>
  <c r="BY160" i="27" s="1"/>
  <c r="BZ138" i="27" a="1"/>
  <c r="BZ138" i="27" s="1"/>
  <c r="CA111" i="27" a="1"/>
  <c r="CA111" i="27" s="1"/>
  <c r="BZ127" i="27" a="1"/>
  <c r="BZ127" i="27" s="1"/>
  <c r="BZ112" i="27" a="1"/>
  <c r="BZ112" i="27" s="1"/>
  <c r="BZ108" i="27" a="1"/>
  <c r="BZ108" i="27" s="1"/>
  <c r="CA154" i="27" a="1"/>
  <c r="CA154" i="27" s="1"/>
  <c r="CB144" i="27" a="1"/>
  <c r="CB144" i="27" s="1"/>
  <c r="CA165" i="27" a="1"/>
  <c r="CA165" i="27" s="1"/>
  <c r="DO157" i="27" a="1"/>
  <c r="DO157" i="27" s="1"/>
  <c r="DO153" i="27" a="1"/>
  <c r="DO153" i="27" s="1"/>
  <c r="DO159" i="27" a="1"/>
  <c r="DO159" i="27" s="1"/>
  <c r="DP210" i="27" a="1"/>
  <c r="DP210" i="27" s="1"/>
  <c r="DQ194" i="27" a="1"/>
  <c r="DQ194" i="27" s="1"/>
  <c r="DR179" i="27" a="1"/>
  <c r="DR179" i="27" s="1"/>
  <c r="DO168" i="27" a="1"/>
  <c r="DO168" i="27" s="1"/>
  <c r="DP186" i="27" a="1"/>
  <c r="DP186" i="27" s="1"/>
  <c r="CB126" i="27" a="1"/>
  <c r="CB126" i="27" s="1"/>
  <c r="BZ125" i="27" a="1"/>
  <c r="BZ125" i="27" s="1"/>
  <c r="CA121" i="27" a="1"/>
  <c r="CA121" i="27" s="1"/>
  <c r="CA162" i="27" a="1"/>
  <c r="CA162" i="27" s="1"/>
  <c r="BZ107" i="27" a="1"/>
  <c r="BZ107" i="27" s="1"/>
  <c r="BY119" i="27" a="1"/>
  <c r="BY119" i="27" s="1"/>
  <c r="CA158" i="27" a="1"/>
  <c r="CA158" i="27" s="1"/>
  <c r="BY164" i="27" a="1"/>
  <c r="BY164" i="27" s="1"/>
  <c r="BY116" i="27" a="1"/>
  <c r="BY116" i="27" s="1"/>
  <c r="CA160" i="27" a="1"/>
  <c r="CA160" i="27" s="1"/>
  <c r="BZ137" i="27" a="1"/>
  <c r="BZ137" i="27" s="1"/>
  <c r="CA110" i="27" a="1"/>
  <c r="CA110" i="27" s="1"/>
  <c r="BY147" i="27" a="1"/>
  <c r="BY147" i="27" s="1"/>
  <c r="BZ164" i="27" a="1"/>
  <c r="BZ164" i="27" s="1"/>
  <c r="BY146" i="27" a="1"/>
  <c r="BY146" i="27" s="1"/>
  <c r="CB152" i="27" a="1"/>
  <c r="CB152" i="27" s="1"/>
  <c r="CA173" i="27" a="1"/>
  <c r="CA173" i="27" s="1"/>
  <c r="DR217" i="27" a="1"/>
  <c r="DR217" i="27" s="1"/>
  <c r="DP230" i="27" a="1"/>
  <c r="DP230" i="27" s="1"/>
  <c r="DQ201" i="27" a="1"/>
  <c r="DQ201" i="27" s="1"/>
  <c r="DP169" i="27" a="1"/>
  <c r="DP169" i="27" s="1"/>
  <c r="DQ221" i="27" a="1"/>
  <c r="DQ221" i="27" s="1"/>
  <c r="DO210" i="27" a="1"/>
  <c r="DO210" i="27" s="1"/>
  <c r="DP194" i="27" a="1"/>
  <c r="DP194" i="27" s="1"/>
  <c r="DQ176" i="27" a="1"/>
  <c r="DQ176" i="27" s="1"/>
  <c r="DR164" i="27" a="1"/>
  <c r="DR164" i="27" s="1"/>
  <c r="DQ151" i="27" a="1"/>
  <c r="DQ151" i="27" s="1"/>
  <c r="DQ183" i="27" a="1"/>
  <c r="DQ183" i="27" s="1"/>
  <c r="DQ218" i="27" a="1"/>
  <c r="DQ218" i="27" s="1"/>
  <c r="DR171" i="27" a="1"/>
  <c r="DR171" i="27" s="1"/>
  <c r="DR206" i="27" a="1"/>
  <c r="DR206" i="27" s="1"/>
  <c r="DO160" i="27" a="1"/>
  <c r="DO160" i="27" s="1"/>
  <c r="DO195" i="27" a="1"/>
  <c r="DO195" i="27" s="1"/>
  <c r="DO227" i="27" a="1"/>
  <c r="DO227" i="27" s="1"/>
  <c r="DP178" i="27" a="1"/>
  <c r="DP178" i="27" s="1"/>
  <c r="CA119" i="27" a="1"/>
  <c r="CA119" i="27" s="1"/>
  <c r="CB134" i="27" a="1"/>
  <c r="CB134" i="27" s="1"/>
  <c r="BY159" i="27" a="1"/>
  <c r="BY159" i="27" s="1"/>
  <c r="CB131" i="27" a="1"/>
  <c r="CB131" i="27" s="1"/>
  <c r="CB151" i="27" a="1"/>
  <c r="CB151" i="27" s="1"/>
  <c r="BY125" i="27" a="1"/>
  <c r="BY125" i="27" s="1"/>
  <c r="BY136" i="27" a="1"/>
  <c r="BY136" i="27" s="1"/>
  <c r="CA136" i="27" a="1"/>
  <c r="CA136" i="27" s="1"/>
  <c r="BY121" i="27" a="1"/>
  <c r="BY121" i="27" s="1"/>
  <c r="CB129" i="27" a="1"/>
  <c r="CB129" i="27" s="1"/>
  <c r="CB169" i="27" a="1"/>
  <c r="CB169" i="27" s="1"/>
  <c r="CB121" i="27" a="1"/>
  <c r="CB121" i="27" s="1"/>
  <c r="CA138" i="27" a="1"/>
  <c r="CA138" i="27" s="1"/>
  <c r="CA176" i="27" a="1"/>
  <c r="CA176" i="27" s="1"/>
  <c r="BY120" i="27" a="1"/>
  <c r="BY120" i="27" s="1"/>
  <c r="CA135" i="27" a="1"/>
  <c r="CA135" i="27" s="1"/>
  <c r="BZ170" i="27" a="1"/>
  <c r="BZ170" i="27" s="1"/>
  <c r="BZ124" i="27" a="1"/>
  <c r="BZ124" i="27" s="1"/>
  <c r="CA146" i="27" a="1"/>
  <c r="CA146" i="27" s="1"/>
  <c r="CA174" i="27" a="1"/>
  <c r="CA174" i="27" s="1"/>
  <c r="CA114" i="27" a="1"/>
  <c r="CA114" i="27" s="1"/>
  <c r="CA129" i="27" a="1"/>
  <c r="CA129" i="27" s="1"/>
  <c r="BY154" i="27" a="1"/>
  <c r="BY154" i="27" s="1"/>
  <c r="BY150" i="27" a="1"/>
  <c r="BY150" i="27" s="1"/>
  <c r="CB171" i="27" a="1"/>
  <c r="CB171" i="27" s="1"/>
  <c r="CA159" i="27" a="1"/>
  <c r="CA159" i="27" s="1"/>
  <c r="CA150" i="27" a="1"/>
  <c r="CA150" i="27" s="1"/>
  <c r="BZ172" i="27" a="1"/>
  <c r="BZ172" i="27" s="1"/>
  <c r="CB156" i="27" a="1"/>
  <c r="CB156" i="27" s="1"/>
  <c r="CB172" i="27" a="1"/>
  <c r="CB172" i="27" s="1"/>
  <c r="BY173" i="27" a="1"/>
  <c r="BY173" i="27" s="1"/>
  <c r="CA161" i="27" a="1"/>
  <c r="CA161" i="27" s="1"/>
  <c r="DR201" i="27" a="1"/>
  <c r="DR201" i="27" s="1"/>
  <c r="DR186" i="27" a="1"/>
  <c r="DR186" i="27" s="1"/>
  <c r="DR209" i="27" a="1"/>
  <c r="DR209" i="27" s="1"/>
  <c r="DO181" i="27" a="1"/>
  <c r="DO181" i="27" s="1"/>
  <c r="DQ150" i="27" a="1"/>
  <c r="DQ150" i="27" s="1"/>
  <c r="DQ217" i="27" a="1"/>
  <c r="DQ217" i="27" s="1"/>
  <c r="DO204" i="27" a="1"/>
  <c r="DO204" i="27" s="1"/>
  <c r="DP185" i="27" a="1"/>
  <c r="DP185" i="27" s="1"/>
  <c r="DQ170" i="27" a="1"/>
  <c r="DQ170" i="27" s="1"/>
  <c r="DO151" i="27" a="1"/>
  <c r="DO151" i="27" s="1"/>
  <c r="DO183" i="27" a="1"/>
  <c r="DO183" i="27" s="1"/>
  <c r="DO218" i="27" a="1"/>
  <c r="DO218" i="27" s="1"/>
  <c r="DP167" i="27" a="1"/>
  <c r="DP167" i="27" s="1"/>
  <c r="DP202" i="27" a="1"/>
  <c r="DP202" i="27" s="1"/>
  <c r="DQ152" i="27" a="1"/>
  <c r="DQ152" i="27" s="1"/>
  <c r="DQ184" i="27" a="1"/>
  <c r="DQ184" i="27" s="1"/>
  <c r="DQ219" i="27" a="1"/>
  <c r="DQ219" i="27" s="1"/>
  <c r="DR172" i="27" a="1"/>
  <c r="DR172" i="27" s="1"/>
  <c r="DR207" i="27" a="1"/>
  <c r="DR207" i="27" s="1"/>
  <c r="DQ171" i="27" a="1"/>
  <c r="DQ171" i="27" s="1"/>
  <c r="DQ187" i="27" a="1"/>
  <c r="DQ187" i="27" s="1"/>
  <c r="DQ206" i="27" a="1"/>
  <c r="DQ206" i="27" s="1"/>
  <c r="DR159" i="27" a="1"/>
  <c r="DR159" i="27" s="1"/>
  <c r="DR175" i="27" a="1"/>
  <c r="DR175" i="27" s="1"/>
  <c r="DR194" i="27" a="1"/>
  <c r="DR194" i="27" s="1"/>
  <c r="DR210" i="27" a="1"/>
  <c r="DR210" i="27" s="1"/>
  <c r="DR226" i="27" a="1"/>
  <c r="DR226" i="27" s="1"/>
  <c r="DO164" i="27" a="1"/>
  <c r="DO164" i="27" s="1"/>
  <c r="DO199" i="27" a="1"/>
  <c r="DO199" i="27" s="1"/>
  <c r="DO215" i="27" a="1"/>
  <c r="DO215" i="27" s="1"/>
  <c r="DP150" i="27" a="1"/>
  <c r="DP150" i="27" s="1"/>
  <c r="DP166" i="27" a="1"/>
  <c r="DP166" i="27" s="1"/>
  <c r="DP182" i="27" a="1"/>
  <c r="DP182" i="27" s="1"/>
  <c r="DP201" i="27" a="1"/>
  <c r="DP201" i="27" s="1"/>
  <c r="DP217" i="27" a="1"/>
  <c r="DP217" i="27" s="1"/>
  <c r="ER132" i="27"/>
  <c r="EK118" i="27"/>
  <c r="EK115" i="27"/>
  <c r="DK118" i="27"/>
  <c r="CW111" i="27"/>
  <c r="DK107" i="27"/>
  <c r="DK127" i="27"/>
  <c r="EK96" i="27"/>
  <c r="EK130" i="27"/>
  <c r="CP119" i="27"/>
  <c r="CP100" i="27"/>
  <c r="CP91" i="27"/>
  <c r="CP102" i="27"/>
  <c r="CP88" i="27"/>
  <c r="CP114" i="27"/>
  <c r="DD102" i="27"/>
  <c r="CW105" i="27"/>
  <c r="CW122" i="27"/>
  <c r="CW132" i="27"/>
  <c r="DD100" i="27"/>
  <c r="DD128" i="27"/>
  <c r="DK109" i="27"/>
  <c r="ER95" i="27"/>
  <c r="DK103" i="27"/>
  <c r="ER97" i="27"/>
  <c r="ER130" i="27"/>
  <c r="EK116" i="27"/>
  <c r="ER101" i="27"/>
  <c r="EK111" i="27"/>
  <c r="EK106" i="27"/>
  <c r="CW109" i="27"/>
  <c r="DD107" i="27"/>
  <c r="EK105" i="27"/>
  <c r="CW115" i="27"/>
  <c r="DD116" i="27"/>
  <c r="ER128" i="27"/>
  <c r="ER123" i="27"/>
  <c r="DK94" i="27"/>
  <c r="DK106" i="27"/>
  <c r="CW126" i="27"/>
  <c r="CP111" i="27"/>
  <c r="CP109" i="27"/>
  <c r="DD114" i="27"/>
  <c r="CW101" i="27"/>
  <c r="CW125" i="27"/>
  <c r="ER94" i="27"/>
  <c r="ER125" i="27"/>
  <c r="ER120" i="27"/>
  <c r="ER115" i="27"/>
  <c r="CP97" i="27"/>
  <c r="CP104" i="27"/>
  <c r="CW106" i="27"/>
  <c r="DD105" i="27"/>
  <c r="DK112" i="27"/>
  <c r="ER110" i="27"/>
  <c r="EK104" i="27"/>
  <c r="DD110" i="27"/>
  <c r="DD101" i="27"/>
  <c r="DD126" i="27"/>
  <c r="ER105" i="27"/>
  <c r="EK129" i="27"/>
  <c r="ER114" i="27"/>
  <c r="EK100" i="27"/>
  <c r="DD121" i="27"/>
  <c r="EK110" i="27"/>
  <c r="DK110" i="27"/>
  <c r="CW107" i="27"/>
  <c r="CW114" i="27"/>
  <c r="DD117" i="27"/>
  <c r="DD112" i="27"/>
  <c r="DD133" i="27"/>
  <c r="DK117" i="27"/>
  <c r="DK99" i="27"/>
  <c r="EK102" i="27"/>
  <c r="ER108" i="27"/>
  <c r="EK95" i="27"/>
  <c r="CP99" i="27"/>
  <c r="CP103" i="27"/>
  <c r="CP106" i="27"/>
  <c r="CW135" i="27"/>
  <c r="CW123" i="27"/>
  <c r="CW112" i="27"/>
  <c r="EK99" i="27"/>
  <c r="CW136" i="27"/>
  <c r="DD111" i="27"/>
  <c r="DD137" i="27"/>
  <c r="DK126" i="27"/>
  <c r="CW131" i="27"/>
  <c r="DK96" i="27"/>
  <c r="DD109" i="27"/>
  <c r="ER121" i="27"/>
  <c r="DD113" i="27"/>
  <c r="DK125" i="27"/>
  <c r="DD104" i="27"/>
  <c r="EK109" i="27"/>
  <c r="DD129" i="27"/>
  <c r="DK115" i="27"/>
  <c r="ER111" i="27"/>
  <c r="DK111" i="27"/>
  <c r="ER113" i="27"/>
  <c r="DK90" i="27"/>
  <c r="EK107" i="27"/>
  <c r="EK124" i="27"/>
  <c r="ER109" i="27"/>
  <c r="EK119" i="27"/>
  <c r="ER104" i="27"/>
  <c r="EK114" i="27"/>
  <c r="ER99" i="27"/>
  <c r="ER96" i="27"/>
  <c r="CP90" i="27"/>
  <c r="DK101" i="27"/>
  <c r="DD103" i="27"/>
  <c r="CW117" i="27"/>
  <c r="CW102" i="27"/>
  <c r="CW128" i="27"/>
  <c r="CP95" i="27"/>
  <c r="CP108" i="27"/>
  <c r="CW129" i="27"/>
  <c r="ER126" i="27"/>
  <c r="DD132" i="27"/>
  <c r="EK113" i="27"/>
  <c r="ER98" i="27"/>
  <c r="CP116" i="27"/>
  <c r="CP107" i="27"/>
  <c r="CP118" i="27"/>
  <c r="CP89" i="27"/>
  <c r="CP96" i="27"/>
  <c r="CP122" i="27"/>
  <c r="CW133" i="27"/>
  <c r="DD120" i="27"/>
  <c r="CW99" i="27"/>
  <c r="DD118" i="27"/>
  <c r="CW120" i="27"/>
  <c r="DD108" i="27"/>
  <c r="EK131" i="27"/>
  <c r="ER116" i="27"/>
  <c r="DD127" i="27"/>
  <c r="CW137" i="27"/>
  <c r="DD134" i="27"/>
  <c r="CW124" i="27"/>
  <c r="DD119" i="27"/>
  <c r="DK93" i="27"/>
  <c r="DK120" i="27"/>
  <c r="DD135" i="27"/>
  <c r="DK95" i="27"/>
  <c r="ER124" i="27"/>
  <c r="ER122" i="27"/>
  <c r="EK108" i="27"/>
  <c r="EK103" i="27"/>
  <c r="EK98" i="27"/>
  <c r="CP121" i="27"/>
  <c r="CW116" i="27"/>
  <c r="DD131" i="27"/>
  <c r="CP113" i="27"/>
  <c r="CP120" i="27"/>
  <c r="CW104" i="27"/>
  <c r="EK112" i="27"/>
  <c r="CP110" i="27"/>
  <c r="CP115" i="27"/>
  <c r="CP117" i="27"/>
  <c r="CP98" i="27"/>
  <c r="CW130" i="27"/>
  <c r="DD136" i="27"/>
  <c r="CW127" i="27"/>
  <c r="CW121" i="27"/>
  <c r="DD124" i="27"/>
  <c r="CW110" i="27"/>
  <c r="ER100" i="27"/>
  <c r="ER119" i="27"/>
  <c r="DK128" i="27"/>
  <c r="DK91" i="27"/>
  <c r="DD122" i="27"/>
  <c r="DD99" i="27"/>
  <c r="ER127" i="27"/>
  <c r="DK119" i="27"/>
  <c r="ER129" i="27"/>
  <c r="DK98" i="27"/>
  <c r="EK123" i="27"/>
  <c r="EK97" i="27"/>
  <c r="EK132" i="27"/>
  <c r="ER117" i="27"/>
  <c r="EK127" i="27"/>
  <c r="ER112" i="27"/>
  <c r="EK122" i="27"/>
  <c r="ER107" i="27"/>
  <c r="DK102" i="27"/>
  <c r="DD106" i="27"/>
  <c r="DK104" i="27"/>
  <c r="CP101" i="27"/>
  <c r="CW118" i="27"/>
  <c r="CW134" i="27"/>
  <c r="DK123" i="27"/>
  <c r="EK120" i="27"/>
  <c r="DD115" i="27"/>
  <c r="DK114" i="27"/>
  <c r="CP94" i="27"/>
  <c r="CP92" i="27"/>
  <c r="CP105" i="27"/>
  <c r="CP112" i="27"/>
  <c r="CP93" i="27"/>
  <c r="CW103" i="27"/>
  <c r="CW100" i="27"/>
  <c r="CW113" i="27"/>
  <c r="EK125" i="27"/>
  <c r="CW119" i="27"/>
  <c r="CW108" i="27"/>
  <c r="DD125" i="27"/>
  <c r="ER103" i="27"/>
  <c r="DD123" i="27"/>
  <c r="EK126" i="27"/>
  <c r="EK128" i="27"/>
  <c r="DK122" i="27"/>
  <c r="EK121" i="27"/>
  <c r="ER106" i="27"/>
  <c r="ER131" i="27"/>
  <c r="DK132" i="27"/>
  <c r="DH169" i="27" s="1"/>
  <c r="C41" i="51" s="1"/>
  <c r="CB182" i="27" a="1"/>
  <c r="CB182" i="27" s="1"/>
  <c r="BZ182" i="27" a="1"/>
  <c r="BZ182" i="27" s="1"/>
  <c r="CE182" i="27" a="1"/>
  <c r="CE182" i="27" s="1"/>
  <c r="CC182" i="27" a="1"/>
  <c r="CC182" i="27" s="1"/>
  <c r="CA182" i="27" a="1"/>
  <c r="CA182" i="27" s="1"/>
  <c r="BY182" i="27" a="1"/>
  <c r="BY182" i="27" s="1"/>
  <c r="CF182" i="27" a="1"/>
  <c r="CF182" i="27" s="1"/>
  <c r="CD182" i="27" a="1"/>
  <c r="CD182" i="27" s="1"/>
  <c r="DQ234" i="27" a="1"/>
  <c r="DQ234" i="27" s="1"/>
  <c r="DP234" i="27" a="1"/>
  <c r="DP234" i="27" s="1"/>
  <c r="DR234" i="27" a="1"/>
  <c r="DR234" i="27" s="1"/>
  <c r="DO234" i="27" a="1"/>
  <c r="DO234" i="27" s="1"/>
  <c r="A42" i="2"/>
  <c r="A41" i="2"/>
  <c r="DO323" i="27" l="1" a="1"/>
  <c r="DO323" i="27" s="1"/>
  <c r="DO324" i="27" a="1"/>
  <c r="DO324" i="27" s="1"/>
  <c r="DO321" i="27" a="1"/>
  <c r="DO321" i="27" s="1"/>
  <c r="DO296" i="27" a="1"/>
  <c r="DO296" i="27" s="1"/>
  <c r="DO316" i="27" a="1"/>
  <c r="DO316" i="27" s="1"/>
  <c r="DO309" i="27" a="1"/>
  <c r="DO309" i="27" s="1"/>
  <c r="DO304" i="27" a="1"/>
  <c r="DO304" i="27" s="1"/>
  <c r="DO313" i="27" a="1"/>
  <c r="DO313" i="27" s="1"/>
  <c r="DO301" i="27" a="1"/>
  <c r="DO301" i="27" s="1"/>
  <c r="DO294" i="27" a="1"/>
  <c r="DO294" i="27" s="1"/>
  <c r="DO306" i="27" a="1"/>
  <c r="DO306" i="27" s="1"/>
  <c r="DO314" i="27" a="1"/>
  <c r="DO314" i="27" s="1"/>
  <c r="DO298" i="27" a="1"/>
  <c r="DO298" i="27" s="1"/>
  <c r="DO325" i="27" a="1"/>
  <c r="DO325" i="27" s="1"/>
  <c r="DO293" i="27" a="1"/>
  <c r="DO293" i="27" s="1"/>
  <c r="DO300" i="27" a="1"/>
  <c r="DO300" i="27" s="1"/>
  <c r="DO305" i="27" a="1"/>
  <c r="DO305" i="27" s="1"/>
  <c r="DO315" i="27" a="1"/>
  <c r="DO315" i="27" s="1"/>
  <c r="DO312" i="27" a="1"/>
  <c r="DO312" i="27" s="1"/>
  <c r="DO302" i="27" a="1"/>
  <c r="DO302" i="27" s="1"/>
  <c r="DO317" i="27" a="1"/>
  <c r="DO317" i="27" s="1"/>
  <c r="DO295" i="27" a="1"/>
  <c r="DO295" i="27" s="1"/>
  <c r="DO299" i="27" a="1"/>
  <c r="DO299" i="27" s="1"/>
  <c r="DO320" i="27" a="1"/>
  <c r="DO320" i="27" s="1"/>
  <c r="DO310" i="27" a="1"/>
  <c r="DO310" i="27" s="1"/>
  <c r="DO308" i="27" a="1"/>
  <c r="DO308" i="27" s="1"/>
  <c r="DO322" i="27" a="1"/>
  <c r="DO322" i="27" s="1"/>
  <c r="DO303" i="27" a="1"/>
  <c r="DO303" i="27" s="1"/>
  <c r="DO307" i="27" a="1"/>
  <c r="DO307" i="27" s="1"/>
  <c r="DO311" i="27" a="1"/>
  <c r="DO311" i="27" s="1"/>
  <c r="DO297" i="27" a="1"/>
  <c r="DO297" i="27" s="1"/>
  <c r="DO319" i="27" a="1"/>
  <c r="DO319" i="27" s="1"/>
  <c r="CC139" i="27"/>
  <c r="CC177" i="27"/>
  <c r="CC127" i="27"/>
  <c r="CA211" i="27" a="1"/>
  <c r="CA211" i="27" s="1"/>
  <c r="CC121" i="27"/>
  <c r="BZ218" i="27" a="1"/>
  <c r="BZ218" i="27" s="1"/>
  <c r="CC166" i="27"/>
  <c r="BZ197" i="27" a="1"/>
  <c r="BZ197" i="27" s="1"/>
  <c r="CC145" i="27"/>
  <c r="BZ222" i="27" a="1"/>
  <c r="BZ222" i="27" s="1"/>
  <c r="CC170" i="27"/>
  <c r="CA199" i="27" a="1"/>
  <c r="CA199" i="27" s="1"/>
  <c r="CC109" i="27"/>
  <c r="BZ227" i="27" a="1"/>
  <c r="BZ227" i="27" s="1"/>
  <c r="CC175" i="27"/>
  <c r="BZ217" i="27" a="1"/>
  <c r="BZ217" i="27" s="1"/>
  <c r="CC165" i="27"/>
  <c r="CA202" i="27" a="1"/>
  <c r="CA202" i="27" s="1"/>
  <c r="CC112" i="27"/>
  <c r="BZ201" i="27" a="1"/>
  <c r="BZ201" i="27" s="1"/>
  <c r="CC149" i="27"/>
  <c r="CA215" i="27" a="1"/>
  <c r="CA215" i="27" s="1"/>
  <c r="CC125" i="27"/>
  <c r="CA216" i="27" a="1"/>
  <c r="CA216" i="27" s="1"/>
  <c r="CC126" i="27"/>
  <c r="CC178" i="27"/>
  <c r="CA203" i="27" a="1"/>
  <c r="CA203" i="27" s="1"/>
  <c r="CC113" i="27"/>
  <c r="BZ226" i="27" a="1"/>
  <c r="BZ226" i="27" s="1"/>
  <c r="CC174" i="27"/>
  <c r="CA214" i="27" a="1"/>
  <c r="CA214" i="27" s="1"/>
  <c r="CC124" i="27"/>
  <c r="BZ210" i="27" a="1"/>
  <c r="BZ210" i="27" s="1"/>
  <c r="CC158" i="27"/>
  <c r="BZ202" i="27" a="1"/>
  <c r="BZ202" i="27" s="1"/>
  <c r="CC150" i="27"/>
  <c r="BZ214" i="27" a="1"/>
  <c r="BZ214" i="27" s="1"/>
  <c r="CC162" i="27"/>
  <c r="BZ205" i="27" a="1"/>
  <c r="BZ205" i="27" s="1"/>
  <c r="CC153" i="27"/>
  <c r="CA196" i="27" a="1"/>
  <c r="CA196" i="27" s="1"/>
  <c r="CC106" i="27"/>
  <c r="BZ204" i="27" a="1"/>
  <c r="BZ204" i="27" s="1"/>
  <c r="CC152" i="27"/>
  <c r="BZ208" i="27" a="1"/>
  <c r="BZ208" i="27" s="1"/>
  <c r="CC156" i="27"/>
  <c r="BZ216" i="27" a="1"/>
  <c r="BZ216" i="27" s="1"/>
  <c r="CC164" i="27"/>
  <c r="CA223" i="27" a="1"/>
  <c r="CA223" i="27" s="1"/>
  <c r="CC133" i="27"/>
  <c r="CA213" i="27" a="1"/>
  <c r="CA213" i="27" s="1"/>
  <c r="CC123" i="27"/>
  <c r="BZ219" i="27" a="1"/>
  <c r="BZ219" i="27" s="1"/>
  <c r="CC167" i="27"/>
  <c r="CA204" i="27" a="1"/>
  <c r="CA204" i="27" s="1"/>
  <c r="CC114" i="27"/>
  <c r="BZ196" i="27" a="1"/>
  <c r="BZ196" i="27" s="1"/>
  <c r="CC144" i="27"/>
  <c r="CA212" i="27" a="1"/>
  <c r="CA212" i="27" s="1"/>
  <c r="CC122" i="27"/>
  <c r="BZ213" i="27" a="1"/>
  <c r="BZ213" i="27" s="1"/>
  <c r="CC161" i="27"/>
  <c r="CA200" i="27" a="1"/>
  <c r="CA200" i="27" s="1"/>
  <c r="CC110" i="27"/>
  <c r="CA225" i="27" a="1"/>
  <c r="CA225" i="27" s="1"/>
  <c r="CC135" i="27"/>
  <c r="BZ223" i="27" a="1"/>
  <c r="BZ223" i="27" s="1"/>
  <c r="CC171" i="27"/>
  <c r="BZ203" i="27" a="1"/>
  <c r="BZ203" i="27" s="1"/>
  <c r="CC151" i="27"/>
  <c r="CA208" i="27" a="1"/>
  <c r="CA208" i="27" s="1"/>
  <c r="CC118" i="27"/>
  <c r="CA198" i="27" a="1"/>
  <c r="CA198" i="27" s="1"/>
  <c r="CC108" i="27"/>
  <c r="BZ228" i="27" a="1"/>
  <c r="BZ228" i="27" s="1"/>
  <c r="CC176" i="27"/>
  <c r="CA224" i="27" a="1"/>
  <c r="CA224" i="27" s="1"/>
  <c r="CC134" i="27"/>
  <c r="CA220" i="27" a="1"/>
  <c r="CA220" i="27" s="1"/>
  <c r="CC130" i="27"/>
  <c r="CA205" i="27" a="1"/>
  <c r="CA205" i="27" s="1"/>
  <c r="CC115" i="27"/>
  <c r="CA219" i="27" a="1"/>
  <c r="CA219" i="27" s="1"/>
  <c r="CC129" i="27"/>
  <c r="BZ211" i="27" a="1"/>
  <c r="BZ211" i="27" s="1"/>
  <c r="CC159" i="27"/>
  <c r="BZ198" i="27" a="1"/>
  <c r="BZ198" i="27" s="1"/>
  <c r="CC146" i="27"/>
  <c r="CA218" i="27" a="1"/>
  <c r="CA218" i="27" s="1"/>
  <c r="CC128" i="27"/>
  <c r="BZ215" i="27" a="1"/>
  <c r="BZ215" i="27" s="1"/>
  <c r="CC163" i="27"/>
  <c r="BZ224" i="27" a="1"/>
  <c r="BZ224" i="27" s="1"/>
  <c r="CC172" i="27"/>
  <c r="CA207" i="27" a="1"/>
  <c r="CA207" i="27" s="1"/>
  <c r="CC117" i="27"/>
  <c r="BZ199" i="27" a="1"/>
  <c r="BZ199" i="27" s="1"/>
  <c r="CC147" i="27"/>
  <c r="CA227" i="27" a="1"/>
  <c r="CA227" i="27" s="1"/>
  <c r="CC137" i="27"/>
  <c r="BZ209" i="27" a="1"/>
  <c r="BZ209" i="27" s="1"/>
  <c r="CC157" i="27"/>
  <c r="BZ225" i="27" a="1"/>
  <c r="BZ225" i="27" s="1"/>
  <c r="CC173" i="27"/>
  <c r="BZ206" i="27" a="1"/>
  <c r="BZ206" i="27" s="1"/>
  <c r="CC154" i="27"/>
  <c r="CA210" i="27" a="1"/>
  <c r="CA210" i="27" s="1"/>
  <c r="CC120" i="27"/>
  <c r="CA226" i="27" a="1"/>
  <c r="CA226" i="27" s="1"/>
  <c r="CC136" i="27"/>
  <c r="HR127" i="27" s="1"/>
  <c r="CC131" i="27"/>
  <c r="BZ200" i="27" a="1"/>
  <c r="BZ200" i="27" s="1"/>
  <c r="CC148" i="27"/>
  <c r="CA197" i="27" a="1"/>
  <c r="CA197" i="27" s="1"/>
  <c r="CC107" i="27"/>
  <c r="CC169" i="27"/>
  <c r="CA206" i="27" a="1"/>
  <c r="CA206" i="27" s="1"/>
  <c r="CC116" i="27"/>
  <c r="CA209" i="27" a="1"/>
  <c r="CA209" i="27" s="1"/>
  <c r="CC119" i="27"/>
  <c r="BZ212" i="27" a="1"/>
  <c r="BZ212" i="27" s="1"/>
  <c r="CC160" i="27"/>
  <c r="CA228" i="27" a="1"/>
  <c r="CA228" i="27" s="1"/>
  <c r="CC138" i="27"/>
  <c r="HR129" i="27" s="1"/>
  <c r="CA222" i="27" a="1"/>
  <c r="CA222" i="27" s="1"/>
  <c r="CC132" i="27"/>
  <c r="CA201" i="27" a="1"/>
  <c r="CA201" i="27" s="1"/>
  <c r="CC111" i="27"/>
  <c r="BZ220" i="27" a="1"/>
  <c r="BZ220" i="27" s="1"/>
  <c r="CC168" i="27"/>
  <c r="CC155" i="27"/>
  <c r="DS229" i="27"/>
  <c r="DS221" i="27"/>
  <c r="BY210" i="27" a="1"/>
  <c r="BY210" i="27" s="1"/>
  <c r="BY205" i="27" a="1"/>
  <c r="BY205" i="27" s="1"/>
  <c r="DS225" i="27"/>
  <c r="DS217" i="27"/>
  <c r="DS211" i="27"/>
  <c r="BY202" i="27" a="1"/>
  <c r="BY202" i="27" s="1"/>
  <c r="DS224" i="27"/>
  <c r="DS205" i="27"/>
  <c r="DS212" i="27"/>
  <c r="DS230" i="27"/>
  <c r="BY228" i="27" a="1"/>
  <c r="BY228" i="27" s="1"/>
  <c r="DS223" i="27"/>
  <c r="DS216" i="27"/>
  <c r="DS222" i="27"/>
  <c r="DS204" i="27"/>
  <c r="BY208" i="27" a="1"/>
  <c r="BY208" i="27" s="1"/>
  <c r="BY227" i="27" a="1"/>
  <c r="BY227" i="27" s="1"/>
  <c r="DS208" i="27"/>
  <c r="DS198" i="27"/>
  <c r="BY197" i="27" a="1"/>
  <c r="BY197" i="27" s="1"/>
  <c r="DS218" i="27"/>
  <c r="DS195" i="27"/>
  <c r="DS210" i="27"/>
  <c r="DS214" i="27"/>
  <c r="BY226" i="27" a="1"/>
  <c r="BY226" i="27" s="1"/>
  <c r="DS197" i="27"/>
  <c r="DS200" i="27"/>
  <c r="BY224" i="27" a="1"/>
  <c r="BY224" i="27" s="1"/>
  <c r="BY218" i="27" a="1"/>
  <c r="BY218" i="27" s="1"/>
  <c r="BY214" i="27" a="1"/>
  <c r="BY214" i="27" s="1"/>
  <c r="DS207" i="27"/>
  <c r="DS196" i="27"/>
  <c r="BY203" i="27" a="1"/>
  <c r="BY203" i="27" s="1"/>
  <c r="BY213" i="27" a="1"/>
  <c r="BY213" i="27" s="1"/>
  <c r="BY207" i="27" a="1"/>
  <c r="BY207" i="27" s="1"/>
  <c r="BY212" i="27" a="1"/>
  <c r="BY212" i="27" s="1"/>
  <c r="BY216" i="27" a="1"/>
  <c r="BY216" i="27" s="1"/>
  <c r="DS203" i="27"/>
  <c r="BY209" i="27" a="1"/>
  <c r="BY209" i="27" s="1"/>
  <c r="BY222" i="27" a="1"/>
  <c r="BY222" i="27" s="1"/>
  <c r="DS206" i="27"/>
  <c r="DS219" i="27"/>
  <c r="DS201" i="27"/>
  <c r="BY223" i="27" a="1"/>
  <c r="BY223" i="27" s="1"/>
  <c r="DS213" i="27"/>
  <c r="DS192" i="27"/>
  <c r="DS226" i="27"/>
  <c r="BY206" i="27" a="1"/>
  <c r="BY206" i="27" s="1"/>
  <c r="BY204" i="27" a="1"/>
  <c r="BY204" i="27" s="1"/>
  <c r="DS194" i="27"/>
  <c r="BY199" i="27" a="1"/>
  <c r="BY199" i="27" s="1"/>
  <c r="BY201" i="27" a="1"/>
  <c r="BY201" i="27" s="1"/>
  <c r="DS193" i="27"/>
  <c r="BY198" i="27" a="1"/>
  <c r="BY198" i="27" s="1"/>
  <c r="DS227" i="27"/>
  <c r="DS209" i="27"/>
  <c r="DS228" i="27"/>
  <c r="DS215" i="27"/>
  <c r="DS199" i="27"/>
  <c r="BY225" i="27" a="1"/>
  <c r="BY225" i="27" s="1"/>
  <c r="BY219" i="27" a="1"/>
  <c r="BY219" i="27" s="1"/>
  <c r="BY217" i="27" a="1"/>
  <c r="BY217" i="27" s="1"/>
  <c r="BY200" i="27" a="1"/>
  <c r="BY200" i="27" s="1"/>
  <c r="BY215" i="27" a="1"/>
  <c r="BY215" i="27" s="1"/>
  <c r="DS220" i="27"/>
  <c r="DS202" i="27"/>
  <c r="BY196" i="27" a="1"/>
  <c r="BY196" i="27" s="1"/>
  <c r="BY220" i="27" a="1"/>
  <c r="BY220" i="27" s="1"/>
  <c r="BY211" i="27" a="1"/>
  <c r="BY211" i="27" s="1"/>
  <c r="CG182" i="27"/>
  <c r="BY221" i="27" s="1"/>
  <c r="C38" i="51" s="1"/>
  <c r="BY192" i="27"/>
  <c r="A43" i="2"/>
  <c r="A44" i="2" s="1"/>
  <c r="A46" i="2" s="1"/>
  <c r="A26" i="2"/>
  <c r="HR110" i="27" l="1"/>
  <c r="HR109" i="27"/>
  <c r="HR115" i="27"/>
  <c r="HR102" i="27"/>
  <c r="HR121" i="27"/>
  <c r="HR98" i="27"/>
  <c r="HR118" i="27"/>
  <c r="HR101" i="27"/>
  <c r="HR105" i="27"/>
  <c r="HR111" i="27"/>
  <c r="HR122" i="27"/>
  <c r="HR108" i="27"/>
  <c r="HR116" i="27"/>
  <c r="HR100" i="27"/>
  <c r="HR112" i="27"/>
  <c r="HR120" i="27"/>
  <c r="HR103" i="27"/>
  <c r="HR124" i="27"/>
  <c r="HR123" i="27"/>
  <c r="HR107" i="27"/>
  <c r="HR125" i="27"/>
  <c r="HR128" i="27"/>
  <c r="HR113" i="27"/>
  <c r="HR114" i="27"/>
  <c r="HR104" i="27"/>
  <c r="HR119" i="27"/>
  <c r="HR106" i="27"/>
  <c r="HR99" i="27"/>
  <c r="HR126" i="27"/>
  <c r="HR97" i="27"/>
  <c r="HR117" i="27"/>
  <c r="L56" i="48"/>
  <c r="N40" i="51" s="1"/>
  <c r="CA217" i="27" a="1"/>
  <c r="CA217" i="27" s="1"/>
  <c r="G27" i="2"/>
  <c r="C26" i="2"/>
  <c r="A40" i="2"/>
  <c r="A35" i="2"/>
  <c r="A34" i="2"/>
  <c r="A33" i="2"/>
  <c r="A32" i="2"/>
  <c r="A31" i="2"/>
  <c r="A30" i="2"/>
  <c r="B19" i="3"/>
  <c r="A20" i="3"/>
  <c r="A18" i="3"/>
  <c r="D19" i="3"/>
  <c r="A19" i="3"/>
  <c r="A22" i="3" s="1"/>
  <c r="A32" i="3"/>
  <c r="A30" i="3"/>
  <c r="A33" i="3" s="1"/>
  <c r="A28" i="3"/>
  <c r="A26" i="3"/>
  <c r="A27" i="3" s="1"/>
  <c r="A25" i="3"/>
  <c r="D21" i="2"/>
  <c r="B21" i="2"/>
  <c r="A24" i="2"/>
  <c r="A22" i="2"/>
  <c r="A21" i="2"/>
  <c r="A20" i="2"/>
  <c r="C38" i="2"/>
  <c r="A47" i="2"/>
  <c r="A48" i="2" s="1"/>
  <c r="A38" i="2"/>
  <c r="A36" i="2"/>
  <c r="A37" i="2" s="1"/>
  <c r="A31" i="3" l="1"/>
  <c r="IB47" i="27"/>
  <c r="IC47" i="27"/>
  <c r="ID47" i="27"/>
  <c r="IE47" i="27"/>
  <c r="IF47" i="27"/>
  <c r="IG47" i="27"/>
  <c r="IB48" i="27"/>
  <c r="IC48" i="27"/>
  <c r="ID48" i="27"/>
  <c r="IE48" i="27"/>
  <c r="IF48" i="27"/>
  <c r="IG48" i="27"/>
  <c r="IB49" i="27"/>
  <c r="IC49" i="27"/>
  <c r="ID49" i="27"/>
  <c r="IE49" i="27"/>
  <c r="IF49" i="27"/>
  <c r="IG49" i="27"/>
  <c r="IB50" i="27"/>
  <c r="IC50" i="27"/>
  <c r="ID50" i="27"/>
  <c r="IE50" i="27"/>
  <c r="IF50" i="27"/>
  <c r="IG50" i="27"/>
  <c r="IB51" i="27"/>
  <c r="IC51" i="27"/>
  <c r="ID51" i="27"/>
  <c r="IE51" i="27"/>
  <c r="IF51" i="27"/>
  <c r="IG51" i="27"/>
  <c r="IB52" i="27"/>
  <c r="IC52" i="27"/>
  <c r="ID52" i="27"/>
  <c r="IE52" i="27"/>
  <c r="IF52" i="27"/>
  <c r="IG52" i="27"/>
  <c r="IB53" i="27"/>
  <c r="IC53" i="27"/>
  <c r="ID53" i="27"/>
  <c r="IE53" i="27"/>
  <c r="IF53" i="27"/>
  <c r="IG53" i="27"/>
  <c r="IB54" i="27"/>
  <c r="IC54" i="27"/>
  <c r="ID54" i="27"/>
  <c r="IE54" i="27"/>
  <c r="IF54" i="27"/>
  <c r="IG54" i="27"/>
  <c r="IB55" i="27"/>
  <c r="IC55" i="27"/>
  <c r="ID55" i="27"/>
  <c r="IE55" i="27"/>
  <c r="IF55" i="27"/>
  <c r="IG55" i="27"/>
  <c r="IB56" i="27"/>
  <c r="IC56" i="27"/>
  <c r="ID56" i="27"/>
  <c r="IE56" i="27"/>
  <c r="IF56" i="27"/>
  <c r="IG56" i="27"/>
  <c r="IB57" i="27"/>
  <c r="IC57" i="27"/>
  <c r="ID57" i="27"/>
  <c r="IE57" i="27"/>
  <c r="IF57" i="27"/>
  <c r="IG57" i="27"/>
  <c r="IB58" i="27"/>
  <c r="IC58" i="27"/>
  <c r="ID58" i="27"/>
  <c r="IE58" i="27"/>
  <c r="IF58" i="27"/>
  <c r="IG58" i="27"/>
  <c r="IB59" i="27"/>
  <c r="IC59" i="27"/>
  <c r="ID59" i="27"/>
  <c r="IE59" i="27"/>
  <c r="IF59" i="27"/>
  <c r="IG59" i="27"/>
  <c r="IB60" i="27"/>
  <c r="IC60" i="27"/>
  <c r="ID60" i="27"/>
  <c r="IE60" i="27"/>
  <c r="IF60" i="27"/>
  <c r="IG60" i="27"/>
  <c r="IB61" i="27"/>
  <c r="IC61" i="27"/>
  <c r="ID61" i="27"/>
  <c r="IE61" i="27"/>
  <c r="IF61" i="27"/>
  <c r="IG61" i="27"/>
  <c r="IB62" i="27"/>
  <c r="IC62" i="27"/>
  <c r="ID62" i="27"/>
  <c r="IE62" i="27"/>
  <c r="IF62" i="27"/>
  <c r="IG62" i="27"/>
  <c r="IB63" i="27"/>
  <c r="IC63" i="27"/>
  <c r="ID63" i="27"/>
  <c r="IE63" i="27"/>
  <c r="IF63" i="27"/>
  <c r="IG63" i="27"/>
  <c r="IB64" i="27"/>
  <c r="IC64" i="27"/>
  <c r="ID64" i="27"/>
  <c r="IE64" i="27"/>
  <c r="IF64" i="27"/>
  <c r="IG64" i="27"/>
  <c r="IB65" i="27"/>
  <c r="IC65" i="27"/>
  <c r="ID65" i="27"/>
  <c r="IE65" i="27"/>
  <c r="IF65" i="27"/>
  <c r="IG65" i="27"/>
  <c r="IB66" i="27"/>
  <c r="IC66" i="27"/>
  <c r="ID66" i="27"/>
  <c r="IE66" i="27"/>
  <c r="IF66" i="27"/>
  <c r="IG66" i="27"/>
  <c r="IB67" i="27"/>
  <c r="IC67" i="27"/>
  <c r="ID67" i="27"/>
  <c r="IE67" i="27"/>
  <c r="IF67" i="27"/>
  <c r="IG67" i="27"/>
  <c r="IB68" i="27"/>
  <c r="IC68" i="27"/>
  <c r="ID68" i="27"/>
  <c r="IE68" i="27"/>
  <c r="IF68" i="27"/>
  <c r="IG68" i="27"/>
  <c r="IB69" i="27"/>
  <c r="IC69" i="27"/>
  <c r="ID69" i="27"/>
  <c r="IE69" i="27"/>
  <c r="IF69" i="27"/>
  <c r="IG69" i="27"/>
  <c r="IB70" i="27"/>
  <c r="IC70" i="27"/>
  <c r="ID70" i="27"/>
  <c r="IE70" i="27"/>
  <c r="IF70" i="27"/>
  <c r="IG70" i="27"/>
  <c r="IB71" i="27"/>
  <c r="IC71" i="27"/>
  <c r="ID71" i="27"/>
  <c r="IE71" i="27"/>
  <c r="IF71" i="27"/>
  <c r="IG71" i="27"/>
  <c r="IB72" i="27"/>
  <c r="IC72" i="27"/>
  <c r="ID72" i="27"/>
  <c r="IE72" i="27"/>
  <c r="IF72" i="27"/>
  <c r="IG72" i="27"/>
  <c r="IB73" i="27"/>
  <c r="IC73" i="27"/>
  <c r="ID73" i="27"/>
  <c r="IE73" i="27"/>
  <c r="IF73" i="27"/>
  <c r="IG73" i="27"/>
  <c r="IB74" i="27"/>
  <c r="IC74" i="27"/>
  <c r="ID74" i="27"/>
  <c r="IE74" i="27"/>
  <c r="IF74" i="27"/>
  <c r="IG74" i="27"/>
  <c r="IB75" i="27"/>
  <c r="IC75" i="27"/>
  <c r="ID75" i="27"/>
  <c r="IE75" i="27"/>
  <c r="IF75" i="27"/>
  <c r="IG75" i="27"/>
  <c r="IB76" i="27"/>
  <c r="IC76" i="27"/>
  <c r="ID76" i="27"/>
  <c r="IE76" i="27"/>
  <c r="IF76" i="27"/>
  <c r="IG76" i="27"/>
  <c r="IB77" i="27"/>
  <c r="IC77" i="27"/>
  <c r="ID77" i="27"/>
  <c r="IE77" i="27"/>
  <c r="IF77" i="27"/>
  <c r="IG77" i="27"/>
  <c r="IB78" i="27"/>
  <c r="IC78" i="27"/>
  <c r="ID78" i="27"/>
  <c r="IE78" i="27"/>
  <c r="IF78" i="27"/>
  <c r="IG78" i="27"/>
  <c r="IB79" i="27"/>
  <c r="IC79" i="27"/>
  <c r="ID79" i="27"/>
  <c r="IE79" i="27"/>
  <c r="IF79" i="27"/>
  <c r="IG79" i="27"/>
  <c r="IB80" i="27"/>
  <c r="IC80" i="27"/>
  <c r="ID80" i="27"/>
  <c r="IE80" i="27"/>
  <c r="IF80" i="27"/>
  <c r="IG80" i="27"/>
  <c r="IB81" i="27"/>
  <c r="IC81" i="27"/>
  <c r="ID81" i="27"/>
  <c r="IE81" i="27"/>
  <c r="IF81" i="27"/>
  <c r="IG81" i="27"/>
  <c r="IB82" i="27"/>
  <c r="IC82" i="27"/>
  <c r="ID82" i="27"/>
  <c r="IE82" i="27"/>
  <c r="IF82" i="27"/>
  <c r="IG82" i="27"/>
  <c r="IB83" i="27"/>
  <c r="IC83" i="27"/>
  <c r="ID83" i="27"/>
  <c r="IE83" i="27"/>
  <c r="IF83" i="27"/>
  <c r="IG83" i="27"/>
  <c r="IB84" i="27"/>
  <c r="IC84" i="27"/>
  <c r="ID84" i="27"/>
  <c r="IE84" i="27"/>
  <c r="IF84" i="27"/>
  <c r="IG84" i="27"/>
  <c r="IB85" i="27"/>
  <c r="IC85" i="27"/>
  <c r="ID85" i="27"/>
  <c r="IE85" i="27"/>
  <c r="IF85" i="27"/>
  <c r="IG85" i="27"/>
  <c r="IB86" i="27"/>
  <c r="IC86" i="27"/>
  <c r="ID86" i="27"/>
  <c r="IE86" i="27"/>
  <c r="IF86" i="27"/>
  <c r="IG86" i="27"/>
  <c r="IB87" i="27"/>
  <c r="IC87" i="27"/>
  <c r="ID87" i="27"/>
  <c r="IE87" i="27"/>
  <c r="IF87" i="27"/>
  <c r="IG87" i="27"/>
  <c r="IB88" i="27"/>
  <c r="IC88" i="27"/>
  <c r="ID88" i="27"/>
  <c r="IE88" i="27"/>
  <c r="IF88" i="27"/>
  <c r="IG88" i="27"/>
  <c r="IB89" i="27"/>
  <c r="IC89" i="27"/>
  <c r="ID89" i="27"/>
  <c r="IE89" i="27"/>
  <c r="IF89" i="27"/>
  <c r="IG89" i="27"/>
  <c r="IB90" i="27"/>
  <c r="IC90" i="27"/>
  <c r="ID90" i="27"/>
  <c r="IE90" i="27"/>
  <c r="IF90" i="27"/>
  <c r="IG90" i="27"/>
  <c r="IB91" i="27"/>
  <c r="IC91" i="27"/>
  <c r="ID91" i="27"/>
  <c r="IE91" i="27"/>
  <c r="IF91" i="27"/>
  <c r="IG91" i="27"/>
  <c r="IB92" i="27"/>
  <c r="IC92" i="27"/>
  <c r="ID92" i="27"/>
  <c r="IE92" i="27"/>
  <c r="IF92" i="27"/>
  <c r="IG92" i="27"/>
  <c r="IB93" i="27"/>
  <c r="IC93" i="27"/>
  <c r="ID93" i="27"/>
  <c r="IE93" i="27"/>
  <c r="IF93" i="27"/>
  <c r="IG93" i="27"/>
  <c r="IG46" i="27"/>
  <c r="IF46" i="27"/>
  <c r="IE46" i="27"/>
  <c r="ID46" i="27"/>
  <c r="IC46" i="27"/>
  <c r="IB46" i="27"/>
  <c r="HO54" i="27"/>
  <c r="HP54" i="27"/>
  <c r="HQ54" i="27"/>
  <c r="HR54" i="27"/>
  <c r="HS54" i="27"/>
  <c r="HT54" i="27"/>
  <c r="HO55" i="27"/>
  <c r="HP55" i="27"/>
  <c r="HQ55" i="27"/>
  <c r="HR55" i="27"/>
  <c r="HS55" i="27"/>
  <c r="HT55" i="27"/>
  <c r="HO56" i="27"/>
  <c r="HP56" i="27"/>
  <c r="HQ56" i="27"/>
  <c r="HR56" i="27"/>
  <c r="HS56" i="27"/>
  <c r="HT56" i="27"/>
  <c r="HO57" i="27"/>
  <c r="HP57" i="27"/>
  <c r="HQ57" i="27"/>
  <c r="HR57" i="27"/>
  <c r="HS57" i="27"/>
  <c r="HT57" i="27"/>
  <c r="HO58" i="27"/>
  <c r="HP58" i="27"/>
  <c r="HQ58" i="27"/>
  <c r="HR58" i="27"/>
  <c r="HS58" i="27"/>
  <c r="HT58" i="27"/>
  <c r="HO59" i="27"/>
  <c r="HP59" i="27"/>
  <c r="HQ59" i="27"/>
  <c r="HR59" i="27"/>
  <c r="HS59" i="27"/>
  <c r="HT59" i="27"/>
  <c r="HO60" i="27"/>
  <c r="HP60" i="27"/>
  <c r="HQ60" i="27"/>
  <c r="HR60" i="27"/>
  <c r="HS60" i="27"/>
  <c r="HT60" i="27"/>
  <c r="HO61" i="27"/>
  <c r="HP61" i="27"/>
  <c r="HQ61" i="27"/>
  <c r="HR61" i="27"/>
  <c r="HS61" i="27"/>
  <c r="HT61" i="27"/>
  <c r="HO62" i="27"/>
  <c r="HP62" i="27"/>
  <c r="HQ62" i="27"/>
  <c r="HR62" i="27"/>
  <c r="HS62" i="27"/>
  <c r="HT62" i="27"/>
  <c r="HO63" i="27"/>
  <c r="HP63" i="27"/>
  <c r="HQ63" i="27"/>
  <c r="HR63" i="27"/>
  <c r="HS63" i="27"/>
  <c r="HT63" i="27"/>
  <c r="HO64" i="27"/>
  <c r="HP64" i="27"/>
  <c r="HQ64" i="27"/>
  <c r="HR64" i="27"/>
  <c r="HS64" i="27"/>
  <c r="HT64" i="27"/>
  <c r="HO65" i="27"/>
  <c r="HP65" i="27"/>
  <c r="HQ65" i="27"/>
  <c r="HR65" i="27"/>
  <c r="HS65" i="27"/>
  <c r="HT65" i="27"/>
  <c r="HO66" i="27"/>
  <c r="HP66" i="27"/>
  <c r="HQ66" i="27"/>
  <c r="HR66" i="27"/>
  <c r="HS66" i="27"/>
  <c r="HT66" i="27"/>
  <c r="HO67" i="27"/>
  <c r="HP67" i="27"/>
  <c r="HQ67" i="27"/>
  <c r="HR67" i="27"/>
  <c r="HS67" i="27"/>
  <c r="HT67" i="27"/>
  <c r="HO68" i="27"/>
  <c r="HP68" i="27"/>
  <c r="HQ68" i="27"/>
  <c r="HR68" i="27"/>
  <c r="HS68" i="27"/>
  <c r="HT68" i="27"/>
  <c r="HO69" i="27"/>
  <c r="HP69" i="27"/>
  <c r="HQ69" i="27"/>
  <c r="HR69" i="27"/>
  <c r="HS69" i="27"/>
  <c r="HT69" i="27"/>
  <c r="HO70" i="27"/>
  <c r="HP70" i="27"/>
  <c r="HQ70" i="27"/>
  <c r="HR70" i="27"/>
  <c r="HS70" i="27"/>
  <c r="HT70" i="27"/>
  <c r="HO71" i="27"/>
  <c r="HP71" i="27"/>
  <c r="HQ71" i="27"/>
  <c r="HR71" i="27"/>
  <c r="HS71" i="27"/>
  <c r="HT71" i="27"/>
  <c r="HO72" i="27"/>
  <c r="HP72" i="27"/>
  <c r="HQ72" i="27"/>
  <c r="HR72" i="27"/>
  <c r="HS72" i="27"/>
  <c r="HT72" i="27"/>
  <c r="HO73" i="27"/>
  <c r="HP73" i="27"/>
  <c r="HQ73" i="27"/>
  <c r="HR73" i="27"/>
  <c r="HS73" i="27"/>
  <c r="HT73" i="27"/>
  <c r="HO74" i="27"/>
  <c r="HP74" i="27"/>
  <c r="HQ74" i="27"/>
  <c r="HR74" i="27"/>
  <c r="HS74" i="27"/>
  <c r="HT74" i="27"/>
  <c r="HO75" i="27"/>
  <c r="HP75" i="27"/>
  <c r="HQ75" i="27"/>
  <c r="HR75" i="27"/>
  <c r="HS75" i="27"/>
  <c r="HT75" i="27"/>
  <c r="HO76" i="27"/>
  <c r="HP76" i="27"/>
  <c r="HQ76" i="27"/>
  <c r="HR76" i="27"/>
  <c r="HS76" i="27"/>
  <c r="HT76" i="27"/>
  <c r="HO77" i="27"/>
  <c r="HP77" i="27"/>
  <c r="HQ77" i="27"/>
  <c r="HR77" i="27"/>
  <c r="HS77" i="27"/>
  <c r="HT77" i="27"/>
  <c r="HO78" i="27"/>
  <c r="HP78" i="27"/>
  <c r="HQ78" i="27"/>
  <c r="HR78" i="27"/>
  <c r="HS78" i="27"/>
  <c r="HT78" i="27"/>
  <c r="HO79" i="27"/>
  <c r="HP79" i="27"/>
  <c r="HQ79" i="27"/>
  <c r="HR79" i="27"/>
  <c r="HS79" i="27"/>
  <c r="HT79" i="27"/>
  <c r="HO80" i="27"/>
  <c r="HP80" i="27"/>
  <c r="HQ80" i="27"/>
  <c r="HR80" i="27"/>
  <c r="HS80" i="27"/>
  <c r="HT80" i="27"/>
  <c r="HO81" i="27"/>
  <c r="HP81" i="27"/>
  <c r="HQ81" i="27"/>
  <c r="HR81" i="27"/>
  <c r="HS81" i="27"/>
  <c r="HT81" i="27"/>
  <c r="HO82" i="27"/>
  <c r="HP82" i="27"/>
  <c r="HQ82" i="27"/>
  <c r="HR82" i="27"/>
  <c r="HS82" i="27"/>
  <c r="HT82" i="27"/>
  <c r="HO83" i="27"/>
  <c r="HP83" i="27"/>
  <c r="HQ83" i="27"/>
  <c r="HR83" i="27"/>
  <c r="HS83" i="27"/>
  <c r="HT83" i="27"/>
  <c r="HO84" i="27"/>
  <c r="HP84" i="27"/>
  <c r="HQ84" i="27"/>
  <c r="HR84" i="27"/>
  <c r="HS84" i="27"/>
  <c r="HT84" i="27"/>
  <c r="HO85" i="27"/>
  <c r="HP85" i="27"/>
  <c r="HQ85" i="27"/>
  <c r="HR85" i="27"/>
  <c r="HS85" i="27"/>
  <c r="HT85" i="27"/>
  <c r="HO86" i="27"/>
  <c r="HP86" i="27"/>
  <c r="HQ86" i="27"/>
  <c r="HR86" i="27"/>
  <c r="HS86" i="27"/>
  <c r="HT86" i="27"/>
  <c r="HO87" i="27"/>
  <c r="HP87" i="27"/>
  <c r="HQ87" i="27"/>
  <c r="HR87" i="27"/>
  <c r="HS87" i="27"/>
  <c r="HT87" i="27"/>
  <c r="HO88" i="27"/>
  <c r="HP88" i="27"/>
  <c r="HQ88" i="27"/>
  <c r="HR88" i="27"/>
  <c r="HS88" i="27"/>
  <c r="HT88" i="27"/>
  <c r="HO89" i="27"/>
  <c r="HP89" i="27"/>
  <c r="HQ89" i="27"/>
  <c r="HR89" i="27"/>
  <c r="HS89" i="27"/>
  <c r="HT89" i="27"/>
  <c r="HO90" i="27"/>
  <c r="HP90" i="27"/>
  <c r="HQ90" i="27"/>
  <c r="HR90" i="27"/>
  <c r="HS90" i="27"/>
  <c r="HT90" i="27"/>
  <c r="HO91" i="27"/>
  <c r="HP91" i="27"/>
  <c r="HQ91" i="27"/>
  <c r="HR91" i="27"/>
  <c r="HS91" i="27"/>
  <c r="HT91" i="27"/>
  <c r="HO92" i="27"/>
  <c r="HP92" i="27"/>
  <c r="HQ92" i="27"/>
  <c r="HR92" i="27"/>
  <c r="HS92" i="27"/>
  <c r="HT92" i="27"/>
  <c r="HO93" i="27"/>
  <c r="HP93" i="27"/>
  <c r="HQ93" i="27"/>
  <c r="HR93" i="27"/>
  <c r="HS93" i="27"/>
  <c r="HT93" i="27"/>
  <c r="N39" i="57"/>
  <c r="N38" i="57"/>
  <c r="N36" i="57"/>
  <c r="N33" i="57"/>
  <c r="N32" i="57"/>
  <c r="N31" i="57"/>
  <c r="N30" i="57"/>
  <c r="N27" i="57"/>
  <c r="N26" i="57"/>
  <c r="N25" i="57"/>
  <c r="N24" i="57"/>
  <c r="N23" i="57"/>
  <c r="C37" i="49"/>
  <c r="E37" i="49" s="1"/>
  <c r="I37" i="49" s="1"/>
  <c r="D14" i="53" l="1"/>
  <c r="D13" i="53"/>
  <c r="G83" i="57"/>
  <c r="H83" i="57" s="1"/>
  <c r="G82" i="57"/>
  <c r="H82" i="57" s="1"/>
  <c r="G81" i="57"/>
  <c r="H81" i="57" s="1"/>
  <c r="G80" i="57"/>
  <c r="H80" i="57" s="1"/>
  <c r="G79" i="57"/>
  <c r="H79" i="57" s="1"/>
  <c r="G78" i="57"/>
  <c r="H78" i="57" s="1"/>
  <c r="G77" i="57"/>
  <c r="H77" i="57" s="1"/>
  <c r="G76" i="57"/>
  <c r="H76" i="57" s="1"/>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75" i="56"/>
  <c r="E76" i="56"/>
  <c r="E77" i="56"/>
  <c r="E78" i="56"/>
  <c r="E79" i="56"/>
  <c r="E80" i="56"/>
  <c r="E81" i="56"/>
  <c r="E82" i="56"/>
  <c r="E83" i="56"/>
  <c r="E84" i="56"/>
  <c r="E85" i="56"/>
  <c r="E86" i="56"/>
  <c r="E87" i="56"/>
  <c r="E88" i="56"/>
  <c r="E89" i="56"/>
  <c r="E90" i="56"/>
  <c r="E91" i="56"/>
  <c r="E92" i="56"/>
  <c r="E45" i="56"/>
  <c r="CL6" i="27" l="1"/>
  <c r="M26" i="51"/>
  <c r="R57" i="55"/>
  <c r="M10" i="56"/>
  <c r="W56" i="55"/>
  <c r="B9" i="56"/>
  <c r="AY38" i="27"/>
  <c r="AX38" i="27"/>
  <c r="AW38" i="27"/>
  <c r="AV38" i="27"/>
  <c r="AU38" i="27"/>
  <c r="AT38" i="27"/>
  <c r="AS38" i="27"/>
  <c r="AR38" i="27"/>
  <c r="AQ38" i="27"/>
  <c r="AP38" i="27"/>
  <c r="AO38" i="27"/>
  <c r="AR9" i="27"/>
  <c r="AV9" i="27"/>
  <c r="AU9" i="27"/>
  <c r="AY9" i="27"/>
  <c r="AX9" i="27"/>
  <c r="AW9" i="27"/>
  <c r="AT9" i="27"/>
  <c r="AS9" i="27"/>
  <c r="AP9" i="27"/>
  <c r="AQ9" i="27"/>
  <c r="AO9" i="27"/>
  <c r="F11" i="56" l="1"/>
  <c r="J11" i="56"/>
  <c r="C11" i="56"/>
  <c r="G11" i="56"/>
  <c r="K11" i="56"/>
  <c r="D11" i="56"/>
  <c r="H11" i="56"/>
  <c r="L11" i="56"/>
  <c r="E11" i="56"/>
  <c r="I11" i="56"/>
  <c r="M11" i="56"/>
  <c r="H56" i="55"/>
  <c r="M56" i="55"/>
  <c r="R56" i="55"/>
  <c r="X56" i="55"/>
  <c r="J10" i="56"/>
  <c r="D56" i="55"/>
  <c r="I56" i="55"/>
  <c r="N56" i="55"/>
  <c r="T56" i="55"/>
  <c r="Y56" i="55"/>
  <c r="E10" i="56"/>
  <c r="L10" i="56"/>
  <c r="H10" i="56"/>
  <c r="D10" i="56"/>
  <c r="K10" i="56"/>
  <c r="G10" i="56"/>
  <c r="C10" i="56"/>
  <c r="E56" i="55"/>
  <c r="J56" i="55"/>
  <c r="P56" i="55"/>
  <c r="U56" i="55"/>
  <c r="F10" i="56"/>
  <c r="F56" i="55"/>
  <c r="L56" i="55"/>
  <c r="Q56" i="55"/>
  <c r="V56" i="55"/>
  <c r="I10" i="56"/>
  <c r="V57" i="55"/>
  <c r="E57" i="55"/>
  <c r="I57" i="55"/>
  <c r="M57" i="55"/>
  <c r="Q57" i="55"/>
  <c r="U57" i="55"/>
  <c r="Y57" i="55"/>
  <c r="F57" i="55"/>
  <c r="J57" i="55"/>
  <c r="N57" i="55"/>
  <c r="C57" i="55"/>
  <c r="G57" i="55"/>
  <c r="K57" i="55"/>
  <c r="O57" i="55"/>
  <c r="S57" i="55"/>
  <c r="W57" i="55"/>
  <c r="D57" i="55"/>
  <c r="H57" i="55"/>
  <c r="L57" i="55"/>
  <c r="P57" i="55"/>
  <c r="T57" i="55"/>
  <c r="X57" i="55"/>
  <c r="C56" i="55"/>
  <c r="G56" i="55"/>
  <c r="K56" i="55"/>
  <c r="O56" i="55"/>
  <c r="S56" i="55"/>
  <c r="HH3" i="27"/>
  <c r="HH4" i="27"/>
  <c r="HH5" i="27"/>
  <c r="HH6" i="27"/>
  <c r="HH7" i="27"/>
  <c r="HH8" i="27"/>
  <c r="HH2" i="27"/>
  <c r="HF3" i="27"/>
  <c r="HF4" i="27"/>
  <c r="HF5" i="27"/>
  <c r="HF6" i="27"/>
  <c r="HF7" i="27"/>
  <c r="HF8" i="27"/>
  <c r="HF9" i="27"/>
  <c r="HF10" i="27"/>
  <c r="HF11" i="27"/>
  <c r="HF2" i="27"/>
  <c r="H63" i="57" l="1"/>
  <c r="H60" i="57"/>
  <c r="H59" i="57"/>
  <c r="B84" i="57"/>
  <c r="C59" i="57"/>
  <c r="E59" i="57" s="1"/>
  <c r="HK9" i="27"/>
  <c r="I28" i="57" l="1"/>
  <c r="GA132" i="27" a="1"/>
  <c r="GA132" i="27" s="1"/>
  <c r="FZ132" i="27" a="1"/>
  <c r="FZ132" i="27" s="1"/>
  <c r="FY132" i="27" a="1"/>
  <c r="FY132" i="27" s="1"/>
  <c r="B1" i="55"/>
  <c r="B29" i="55"/>
  <c r="B28" i="55"/>
  <c r="B18" i="55"/>
  <c r="B7" i="56" l="1"/>
  <c r="C94" i="56"/>
  <c r="IA47" i="27"/>
  <c r="IH47" i="27"/>
  <c r="II47" i="27"/>
  <c r="IJ47" i="27"/>
  <c r="IA48" i="27"/>
  <c r="IH48" i="27"/>
  <c r="II48" i="27"/>
  <c r="IJ48" i="27"/>
  <c r="IA49" i="27"/>
  <c r="IH49" i="27"/>
  <c r="II49" i="27"/>
  <c r="IJ49" i="27"/>
  <c r="IA50" i="27"/>
  <c r="IH50" i="27"/>
  <c r="II50" i="27"/>
  <c r="IJ50" i="27"/>
  <c r="IA51" i="27"/>
  <c r="IH51" i="27"/>
  <c r="II51" i="27"/>
  <c r="IJ51" i="27"/>
  <c r="IA52" i="27"/>
  <c r="IH52" i="27"/>
  <c r="II52" i="27"/>
  <c r="IJ52" i="27"/>
  <c r="IA53" i="27"/>
  <c r="IH53" i="27"/>
  <c r="II53" i="27"/>
  <c r="IJ53" i="27"/>
  <c r="IA54" i="27"/>
  <c r="IH54" i="27"/>
  <c r="II54" i="27"/>
  <c r="IJ54" i="27"/>
  <c r="IA55" i="27"/>
  <c r="IH55" i="27"/>
  <c r="II55" i="27"/>
  <c r="IJ55" i="27"/>
  <c r="IA56" i="27"/>
  <c r="IH56" i="27"/>
  <c r="II56" i="27"/>
  <c r="IJ56" i="27"/>
  <c r="IA57" i="27"/>
  <c r="IH57" i="27"/>
  <c r="II57" i="27"/>
  <c r="IJ57" i="27"/>
  <c r="IA58" i="27"/>
  <c r="IH58" i="27"/>
  <c r="II58" i="27"/>
  <c r="IJ58" i="27"/>
  <c r="IA59" i="27"/>
  <c r="IH59" i="27"/>
  <c r="II59" i="27"/>
  <c r="IJ59" i="27"/>
  <c r="IA60" i="27"/>
  <c r="IH60" i="27"/>
  <c r="II60" i="27"/>
  <c r="IJ60" i="27"/>
  <c r="IA61" i="27"/>
  <c r="IH61" i="27"/>
  <c r="II61" i="27"/>
  <c r="IJ61" i="27"/>
  <c r="IA62" i="27"/>
  <c r="IH62" i="27"/>
  <c r="II62" i="27"/>
  <c r="IJ62" i="27"/>
  <c r="IA63" i="27"/>
  <c r="IH63" i="27"/>
  <c r="II63" i="27"/>
  <c r="IJ63" i="27"/>
  <c r="IA64" i="27"/>
  <c r="IH64" i="27"/>
  <c r="II64" i="27"/>
  <c r="IJ64" i="27"/>
  <c r="IA65" i="27"/>
  <c r="IH65" i="27"/>
  <c r="II65" i="27"/>
  <c r="IJ65" i="27"/>
  <c r="IA66" i="27"/>
  <c r="IH66" i="27"/>
  <c r="II66" i="27"/>
  <c r="IJ66" i="27"/>
  <c r="IA67" i="27"/>
  <c r="IH67" i="27"/>
  <c r="II67" i="27"/>
  <c r="IJ67" i="27"/>
  <c r="IA68" i="27"/>
  <c r="IH68" i="27"/>
  <c r="II68" i="27"/>
  <c r="IJ68" i="27"/>
  <c r="IA69" i="27"/>
  <c r="IH69" i="27"/>
  <c r="II69" i="27"/>
  <c r="IJ69" i="27"/>
  <c r="IA70" i="27"/>
  <c r="IH70" i="27"/>
  <c r="II70" i="27"/>
  <c r="IJ70" i="27"/>
  <c r="IA71" i="27"/>
  <c r="IH71" i="27"/>
  <c r="II71" i="27"/>
  <c r="IJ71" i="27"/>
  <c r="IA72" i="27"/>
  <c r="IH72" i="27"/>
  <c r="II72" i="27"/>
  <c r="IJ72" i="27"/>
  <c r="IA73" i="27"/>
  <c r="IH73" i="27"/>
  <c r="II73" i="27"/>
  <c r="IJ73" i="27"/>
  <c r="IA74" i="27"/>
  <c r="IH74" i="27"/>
  <c r="II74" i="27"/>
  <c r="IJ74" i="27"/>
  <c r="IA75" i="27"/>
  <c r="IH75" i="27"/>
  <c r="II75" i="27"/>
  <c r="IJ75" i="27"/>
  <c r="IA76" i="27"/>
  <c r="IH76" i="27"/>
  <c r="II76" i="27"/>
  <c r="IJ76" i="27"/>
  <c r="IA77" i="27"/>
  <c r="IH77" i="27"/>
  <c r="II77" i="27"/>
  <c r="IJ77" i="27"/>
  <c r="IA78" i="27"/>
  <c r="IH78" i="27"/>
  <c r="II78" i="27"/>
  <c r="IJ78" i="27"/>
  <c r="IA79" i="27"/>
  <c r="IH79" i="27"/>
  <c r="II79" i="27"/>
  <c r="IJ79" i="27"/>
  <c r="IA80" i="27"/>
  <c r="IH80" i="27"/>
  <c r="II80" i="27"/>
  <c r="IJ80" i="27"/>
  <c r="IA81" i="27"/>
  <c r="IH81" i="27"/>
  <c r="II81" i="27"/>
  <c r="IJ81" i="27"/>
  <c r="IA82" i="27"/>
  <c r="IH82" i="27"/>
  <c r="II82" i="27"/>
  <c r="IJ82" i="27"/>
  <c r="IA83" i="27"/>
  <c r="IH83" i="27"/>
  <c r="II83" i="27"/>
  <c r="IJ83" i="27"/>
  <c r="IA84" i="27"/>
  <c r="IH84" i="27"/>
  <c r="II84" i="27"/>
  <c r="IJ84" i="27"/>
  <c r="IA85" i="27"/>
  <c r="IH85" i="27"/>
  <c r="II85" i="27"/>
  <c r="IJ85" i="27"/>
  <c r="IA86" i="27"/>
  <c r="IH86" i="27"/>
  <c r="II86" i="27"/>
  <c r="IJ86" i="27"/>
  <c r="IA87" i="27"/>
  <c r="IH87" i="27"/>
  <c r="II87" i="27"/>
  <c r="IJ87" i="27"/>
  <c r="IA88" i="27"/>
  <c r="IH88" i="27"/>
  <c r="II88" i="27"/>
  <c r="IJ88" i="27"/>
  <c r="IA89" i="27"/>
  <c r="IH89" i="27"/>
  <c r="II89" i="27"/>
  <c r="IJ89" i="27"/>
  <c r="IA90" i="27"/>
  <c r="IH90" i="27"/>
  <c r="II90" i="27"/>
  <c r="IJ90" i="27"/>
  <c r="IA91" i="27"/>
  <c r="IH91" i="27"/>
  <c r="II91" i="27"/>
  <c r="IJ91" i="27"/>
  <c r="IA92" i="27"/>
  <c r="IH92" i="27"/>
  <c r="II92" i="27"/>
  <c r="IJ92" i="27"/>
  <c r="IA93" i="27"/>
  <c r="IH93" i="27"/>
  <c r="II93" i="27"/>
  <c r="IJ93" i="27"/>
  <c r="IJ46" i="27"/>
  <c r="II46" i="27"/>
  <c r="IH46" i="27"/>
  <c r="IA46" i="27"/>
  <c r="HU47" i="27"/>
  <c r="HV47" i="27"/>
  <c r="HW47" i="27"/>
  <c r="HU48" i="27"/>
  <c r="HV48" i="27"/>
  <c r="HW48" i="27"/>
  <c r="HU49" i="27"/>
  <c r="HV49" i="27"/>
  <c r="HW49" i="27"/>
  <c r="HU50" i="27"/>
  <c r="HV50" i="27"/>
  <c r="HW50" i="27"/>
  <c r="HU51" i="27"/>
  <c r="HV51" i="27"/>
  <c r="HW51" i="27"/>
  <c r="HU52" i="27"/>
  <c r="HV52" i="27"/>
  <c r="HW52" i="27"/>
  <c r="HU53" i="27"/>
  <c r="HV53" i="27"/>
  <c r="HW53" i="27"/>
  <c r="HU54" i="27"/>
  <c r="HV54" i="27"/>
  <c r="HW54" i="27"/>
  <c r="HU55" i="27"/>
  <c r="HV55" i="27"/>
  <c r="HW55" i="27"/>
  <c r="HU56" i="27"/>
  <c r="HV56" i="27"/>
  <c r="HW56" i="27"/>
  <c r="HU57" i="27"/>
  <c r="HV57" i="27"/>
  <c r="HW57" i="27"/>
  <c r="HU58" i="27"/>
  <c r="HV58" i="27"/>
  <c r="HW58" i="27"/>
  <c r="HU59" i="27"/>
  <c r="HV59" i="27"/>
  <c r="HW59" i="27"/>
  <c r="HU60" i="27"/>
  <c r="HV60" i="27"/>
  <c r="HW60" i="27"/>
  <c r="HU61" i="27"/>
  <c r="HV61" i="27"/>
  <c r="HW61" i="27"/>
  <c r="HU62" i="27"/>
  <c r="HV62" i="27"/>
  <c r="HW62" i="27"/>
  <c r="HU63" i="27"/>
  <c r="HV63" i="27"/>
  <c r="HW63" i="27"/>
  <c r="HU64" i="27"/>
  <c r="HV64" i="27"/>
  <c r="HW64" i="27"/>
  <c r="HU65" i="27"/>
  <c r="HV65" i="27"/>
  <c r="HW65" i="27"/>
  <c r="HU66" i="27"/>
  <c r="HV66" i="27"/>
  <c r="HW66" i="27"/>
  <c r="HU67" i="27"/>
  <c r="HV67" i="27"/>
  <c r="HW67" i="27"/>
  <c r="HU68" i="27"/>
  <c r="HV68" i="27"/>
  <c r="HW68" i="27"/>
  <c r="HU69" i="27"/>
  <c r="HV69" i="27"/>
  <c r="HW69" i="27"/>
  <c r="HU70" i="27"/>
  <c r="HV70" i="27"/>
  <c r="HW70" i="27"/>
  <c r="HU71" i="27"/>
  <c r="HV71" i="27"/>
  <c r="HW71" i="27"/>
  <c r="HU72" i="27"/>
  <c r="HV72" i="27"/>
  <c r="HW72" i="27"/>
  <c r="HU73" i="27"/>
  <c r="HV73" i="27"/>
  <c r="HW73" i="27"/>
  <c r="HU74" i="27"/>
  <c r="HV74" i="27"/>
  <c r="HW74" i="27"/>
  <c r="HU75" i="27"/>
  <c r="HV75" i="27"/>
  <c r="HW75" i="27"/>
  <c r="HU76" i="27"/>
  <c r="HV76" i="27"/>
  <c r="HW76" i="27"/>
  <c r="HU77" i="27"/>
  <c r="HV77" i="27"/>
  <c r="HW77" i="27"/>
  <c r="HU78" i="27"/>
  <c r="HV78" i="27"/>
  <c r="HW78" i="27"/>
  <c r="HU79" i="27"/>
  <c r="HV79" i="27"/>
  <c r="HW79" i="27"/>
  <c r="HU80" i="27"/>
  <c r="HV80" i="27"/>
  <c r="HW80" i="27"/>
  <c r="HU81" i="27"/>
  <c r="HV81" i="27"/>
  <c r="HW81" i="27"/>
  <c r="HU82" i="27"/>
  <c r="HV82" i="27"/>
  <c r="HW82" i="27"/>
  <c r="HU83" i="27"/>
  <c r="HV83" i="27"/>
  <c r="HW83" i="27"/>
  <c r="HU84" i="27"/>
  <c r="HV84" i="27"/>
  <c r="HW84" i="27"/>
  <c r="HU85" i="27"/>
  <c r="HV85" i="27"/>
  <c r="HW85" i="27"/>
  <c r="HU86" i="27"/>
  <c r="HV86" i="27"/>
  <c r="HW86" i="27"/>
  <c r="HU87" i="27"/>
  <c r="HV87" i="27"/>
  <c r="HW87" i="27"/>
  <c r="HU88" i="27"/>
  <c r="HV88" i="27"/>
  <c r="HW88" i="27"/>
  <c r="HU89" i="27"/>
  <c r="HV89" i="27"/>
  <c r="HW89" i="27"/>
  <c r="HU90" i="27"/>
  <c r="HV90" i="27"/>
  <c r="HW90" i="27"/>
  <c r="HU91" i="27"/>
  <c r="HV91" i="27"/>
  <c r="HW91" i="27"/>
  <c r="HU92" i="27"/>
  <c r="HV92" i="27"/>
  <c r="HW92" i="27"/>
  <c r="HU93" i="27"/>
  <c r="HV93" i="27"/>
  <c r="HW93" i="27"/>
  <c r="HW46" i="27"/>
  <c r="HV46" i="27"/>
  <c r="HU46" i="27"/>
  <c r="HN52" i="27"/>
  <c r="HN54" i="27"/>
  <c r="HN55" i="27"/>
  <c r="HN57" i="27"/>
  <c r="HN58" i="27"/>
  <c r="HN59" i="27"/>
  <c r="HN60" i="27"/>
  <c r="HN61" i="27"/>
  <c r="HN62" i="27"/>
  <c r="HN63" i="27"/>
  <c r="HN64" i="27"/>
  <c r="HN65" i="27"/>
  <c r="HN66" i="27"/>
  <c r="HN67" i="27"/>
  <c r="HN68" i="27"/>
  <c r="HN69" i="27"/>
  <c r="HN70" i="27"/>
  <c r="HN71" i="27"/>
  <c r="HN72" i="27"/>
  <c r="HN73" i="27"/>
  <c r="HN74" i="27"/>
  <c r="HN75" i="27"/>
  <c r="HN76" i="27"/>
  <c r="HN77" i="27"/>
  <c r="HN78" i="27"/>
  <c r="HN79" i="27"/>
  <c r="HN80" i="27"/>
  <c r="HN81" i="27"/>
  <c r="HN82" i="27"/>
  <c r="HN83" i="27"/>
  <c r="HN84" i="27"/>
  <c r="HN85" i="27"/>
  <c r="HN86" i="27"/>
  <c r="HN87" i="27"/>
  <c r="HN88" i="27"/>
  <c r="HN89" i="27"/>
  <c r="HN90" i="27"/>
  <c r="HN91" i="27"/>
  <c r="HN92" i="27"/>
  <c r="HN93" i="27"/>
  <c r="IE45" i="27" l="1"/>
  <c r="IG45" i="27"/>
  <c r="IC45" i="27"/>
  <c r="HV45" i="27"/>
  <c r="HW45" i="27"/>
  <c r="II45" i="27"/>
  <c r="HU45" i="27"/>
  <c r="IJ45" i="27"/>
  <c r="IB45" i="27"/>
  <c r="IH45" i="27"/>
  <c r="IF45" i="27"/>
  <c r="ID45" i="27"/>
  <c r="HS38" i="27"/>
  <c r="HQ38" i="27"/>
  <c r="HP38" i="27"/>
  <c r="HR28" i="27"/>
  <c r="HQ28" i="27"/>
  <c r="HP28" i="27"/>
  <c r="HU27" i="27"/>
  <c r="HU28" i="27" s="1"/>
  <c r="HT27" i="27"/>
  <c r="HT28" i="27" s="1"/>
  <c r="HS27" i="27"/>
  <c r="HS28" i="27" s="1"/>
  <c r="HQ22" i="27"/>
  <c r="HQ21" i="27"/>
  <c r="HQ20" i="27"/>
  <c r="HQ17" i="27"/>
  <c r="HO17" i="27"/>
  <c r="G62" i="57" s="1"/>
  <c r="HQ16" i="27"/>
  <c r="HQ13" i="27"/>
  <c r="HO13" i="27"/>
  <c r="G58" i="57" s="1"/>
  <c r="HQ12" i="27"/>
  <c r="HQ11" i="27"/>
  <c r="HU9" i="27"/>
  <c r="HT9" i="27"/>
  <c r="HQ9" i="27"/>
  <c r="HP8" i="27"/>
  <c r="HO8" i="27"/>
  <c r="G53" i="57" s="1"/>
  <c r="H53" i="57" s="1"/>
  <c r="HU5" i="27"/>
  <c r="HT5" i="27"/>
  <c r="HP5" i="27"/>
  <c r="H58" i="57" l="1"/>
  <c r="HN50" i="27"/>
  <c r="C57" i="57"/>
  <c r="E57" i="57" s="1"/>
  <c r="C58" i="57"/>
  <c r="E58" i="57" s="1"/>
  <c r="C56" i="57"/>
  <c r="E56" i="57" s="1"/>
  <c r="K9" i="57"/>
  <c r="G62" i="56"/>
  <c r="I9" i="57"/>
  <c r="HI1" i="27"/>
  <c r="HH1" i="27"/>
  <c r="HG1" i="27"/>
  <c r="HF1" i="27"/>
  <c r="HE1" i="27"/>
  <c r="L53" i="55"/>
  <c r="E60" i="57"/>
  <c r="I40" i="57"/>
  <c r="I39" i="57"/>
  <c r="I38" i="57"/>
  <c r="I36" i="57"/>
  <c r="I34" i="57"/>
  <c r="I33" i="57"/>
  <c r="I32" i="57"/>
  <c r="I31" i="57"/>
  <c r="B31" i="57"/>
  <c r="I30" i="57"/>
  <c r="I29" i="57"/>
  <c r="I27" i="57"/>
  <c r="I26" i="57"/>
  <c r="I25" i="57"/>
  <c r="I24" i="57"/>
  <c r="I23" i="57"/>
  <c r="F14" i="57"/>
  <c r="M22" i="57" s="1"/>
  <c r="F92" i="56"/>
  <c r="F91" i="56"/>
  <c r="F90" i="56"/>
  <c r="F89" i="56"/>
  <c r="F88" i="56"/>
  <c r="F87" i="56"/>
  <c r="F86" i="56"/>
  <c r="F85" i="56"/>
  <c r="F84" i="56"/>
  <c r="F83" i="56"/>
  <c r="F82" i="56"/>
  <c r="F81" i="56"/>
  <c r="F80" i="56"/>
  <c r="F79" i="56"/>
  <c r="F78" i="56"/>
  <c r="F77" i="56"/>
  <c r="F76" i="56"/>
  <c r="F75" i="56"/>
  <c r="F74" i="56"/>
  <c r="F73" i="56"/>
  <c r="F72" i="56"/>
  <c r="F71" i="56"/>
  <c r="F70" i="56"/>
  <c r="F69" i="56"/>
  <c r="F68" i="56"/>
  <c r="F67" i="56"/>
  <c r="F66" i="56"/>
  <c r="F65" i="56"/>
  <c r="F64" i="56"/>
  <c r="F63" i="56"/>
  <c r="F62" i="56"/>
  <c r="F61" i="56"/>
  <c r="F60" i="56"/>
  <c r="F59" i="56"/>
  <c r="F58" i="56"/>
  <c r="F57" i="56"/>
  <c r="F56" i="56"/>
  <c r="F55" i="56"/>
  <c r="F54" i="56"/>
  <c r="F53" i="56"/>
  <c r="F52" i="56"/>
  <c r="F51" i="56"/>
  <c r="F50" i="56"/>
  <c r="F49" i="56"/>
  <c r="F48" i="56"/>
  <c r="F47" i="56"/>
  <c r="F46" i="56"/>
  <c r="F45" i="56"/>
  <c r="B44" i="56"/>
  <c r="D42" i="56"/>
  <c r="B40" i="56"/>
  <c r="B3" i="56"/>
  <c r="J93" i="55"/>
  <c r="P91" i="55"/>
  <c r="O91" i="55"/>
  <c r="M91" i="55"/>
  <c r="B55" i="55"/>
  <c r="Y53" i="55"/>
  <c r="X53" i="55"/>
  <c r="W53" i="55"/>
  <c r="T53" i="55"/>
  <c r="S53" i="55"/>
  <c r="R53" i="55"/>
  <c r="Q53" i="55"/>
  <c r="P53" i="55"/>
  <c r="O53" i="55"/>
  <c r="N53" i="55"/>
  <c r="M53" i="55"/>
  <c r="K53" i="55"/>
  <c r="J53" i="55"/>
  <c r="I53" i="55"/>
  <c r="H53" i="55"/>
  <c r="G53" i="55"/>
  <c r="F53" i="55"/>
  <c r="E53" i="55"/>
  <c r="D53" i="55"/>
  <c r="C53" i="55"/>
  <c r="B53" i="55"/>
  <c r="B91" i="55" s="1"/>
  <c r="L91" i="55" s="1"/>
  <c r="C38" i="55"/>
  <c r="C37" i="55"/>
  <c r="B36" i="55"/>
  <c r="V53" i="55" s="1"/>
  <c r="C29" i="55"/>
  <c r="U53" i="55"/>
  <c r="C28" i="55"/>
  <c r="C18" i="55"/>
  <c r="B42" i="56"/>
  <c r="B1" i="56"/>
  <c r="B1" i="57" s="1"/>
  <c r="HX53" i="27" l="1"/>
  <c r="F101" i="55" s="1"/>
  <c r="HX52" i="27"/>
  <c r="F100" i="55" s="1"/>
  <c r="HX51" i="27"/>
  <c r="F99" i="55" s="1"/>
  <c r="HX48" i="27"/>
  <c r="F96" i="55" s="1"/>
  <c r="HX46" i="27"/>
  <c r="F94" i="55" s="1"/>
  <c r="HX47" i="27"/>
  <c r="F95" i="55" s="1"/>
  <c r="HX50" i="27"/>
  <c r="F98" i="55" s="1"/>
  <c r="HX49" i="27"/>
  <c r="F97" i="55" s="1"/>
  <c r="HO48" i="27"/>
  <c r="HQ49" i="27"/>
  <c r="HP47" i="27"/>
  <c r="HT49" i="27"/>
  <c r="HO52" i="27"/>
  <c r="HQ48" i="27"/>
  <c r="HR47" i="27"/>
  <c r="HR48" i="27"/>
  <c r="HS50" i="27"/>
  <c r="HP50" i="27"/>
  <c r="HQ47" i="27"/>
  <c r="HT52" i="27"/>
  <c r="HT47" i="27"/>
  <c r="HT48" i="27"/>
  <c r="HR49" i="27"/>
  <c r="HO47" i="27"/>
  <c r="HQ50" i="27"/>
  <c r="HP48" i="27"/>
  <c r="HS47" i="27"/>
  <c r="HO49" i="27"/>
  <c r="HO50" i="27"/>
  <c r="HO46" i="27"/>
  <c r="HP52" i="27"/>
  <c r="HP49" i="27"/>
  <c r="HQ52" i="27"/>
  <c r="HR52" i="27"/>
  <c r="HS48" i="27"/>
  <c r="HT50" i="27"/>
  <c r="HS49" i="27"/>
  <c r="HR50" i="27"/>
  <c r="HS52" i="27"/>
  <c r="H62" i="57"/>
  <c r="B93" i="55"/>
  <c r="L93" i="55" s="1"/>
  <c r="D16" i="57"/>
  <c r="H61" i="57"/>
  <c r="H56" i="57"/>
  <c r="H57" i="57"/>
  <c r="F64" i="57"/>
  <c r="HN19" i="27"/>
  <c r="C38" i="56"/>
  <c r="I35" i="57"/>
  <c r="C36" i="55"/>
  <c r="HA25" i="27"/>
  <c r="HA26" i="27"/>
  <c r="HA27" i="27"/>
  <c r="HA3" i="27"/>
  <c r="HB3" i="27"/>
  <c r="HB25" i="27"/>
  <c r="HB26" i="27"/>
  <c r="HB27" i="27"/>
  <c r="HB33" i="27"/>
  <c r="HB35" i="27"/>
  <c r="HB36" i="27"/>
  <c r="HB38" i="27"/>
  <c r="HB39" i="27"/>
  <c r="HB41" i="27"/>
  <c r="HB42" i="27"/>
  <c r="HB43" i="27"/>
  <c r="HB44" i="27"/>
  <c r="HB45" i="27"/>
  <c r="HB46" i="27"/>
  <c r="HB48" i="27"/>
  <c r="HB49" i="27"/>
  <c r="HB50" i="27"/>
  <c r="HB52" i="27"/>
  <c r="HB53" i="27"/>
  <c r="HB54" i="27"/>
  <c r="HB55" i="27"/>
  <c r="HB56" i="27"/>
  <c r="HB57" i="27"/>
  <c r="HB58" i="27"/>
  <c r="HB59" i="27"/>
  <c r="HB60" i="27"/>
  <c r="HB62" i="27"/>
  <c r="HB63" i="27"/>
  <c r="HB64" i="27"/>
  <c r="HB66" i="27"/>
  <c r="HB67" i="27"/>
  <c r="HB68" i="27"/>
  <c r="HB69" i="27"/>
  <c r="HB70" i="27"/>
  <c r="HB71" i="27"/>
  <c r="HB72" i="27"/>
  <c r="HB73" i="27"/>
  <c r="HB74" i="27"/>
  <c r="HB75" i="27"/>
  <c r="HB76" i="27"/>
  <c r="HB77" i="27"/>
  <c r="HB78" i="27"/>
  <c r="HB80" i="27"/>
  <c r="HB82" i="27"/>
  <c r="HB83" i="27"/>
  <c r="HB84" i="27"/>
  <c r="HB85" i="27"/>
  <c r="HB86" i="27"/>
  <c r="HB87" i="27"/>
  <c r="HB88" i="27"/>
  <c r="HB96" i="27"/>
  <c r="HB98" i="27"/>
  <c r="HB99" i="27"/>
  <c r="HB100" i="27"/>
  <c r="HB101" i="27"/>
  <c r="HB102" i="27"/>
  <c r="HB103" i="27"/>
  <c r="E151" i="54"/>
  <c r="F151" i="54"/>
  <c r="G151" i="54"/>
  <c r="H151" i="54"/>
  <c r="I151" i="54"/>
  <c r="J151" i="54"/>
  <c r="K151" i="54"/>
  <c r="L151" i="54"/>
  <c r="M151" i="54"/>
  <c r="N151" i="54"/>
  <c r="O151" i="54"/>
  <c r="P151" i="54"/>
  <c r="Q151" i="54"/>
  <c r="R151" i="54"/>
  <c r="S151" i="54"/>
  <c r="T151" i="54"/>
  <c r="U151" i="54"/>
  <c r="V151" i="54"/>
  <c r="W151" i="54"/>
  <c r="X151" i="54"/>
  <c r="Y151" i="54"/>
  <c r="Z151" i="54"/>
  <c r="AA151" i="54"/>
  <c r="AB151" i="54"/>
  <c r="AC151" i="54"/>
  <c r="AD151" i="54"/>
  <c r="AE151" i="54"/>
  <c r="AF151" i="54"/>
  <c r="AG151" i="54"/>
  <c r="AH151" i="54"/>
  <c r="AI151" i="54"/>
  <c r="AJ151" i="54"/>
  <c r="AK151" i="54"/>
  <c r="AL151" i="54"/>
  <c r="AM151" i="54"/>
  <c r="AN151" i="54"/>
  <c r="AO151" i="54"/>
  <c r="AP151" i="54"/>
  <c r="AQ151" i="54"/>
  <c r="AR151" i="54"/>
  <c r="AS151" i="54"/>
  <c r="AT151" i="54"/>
  <c r="AU151" i="54"/>
  <c r="AV151" i="54"/>
  <c r="AW151" i="54"/>
  <c r="AX151" i="54"/>
  <c r="AY151" i="54"/>
  <c r="AZ151" i="54"/>
  <c r="BA151" i="54"/>
  <c r="E152" i="54"/>
  <c r="F152" i="54"/>
  <c r="G152" i="54"/>
  <c r="H152" i="54"/>
  <c r="I152" i="54"/>
  <c r="J152" i="54"/>
  <c r="K152" i="54"/>
  <c r="L152" i="54"/>
  <c r="M152" i="54"/>
  <c r="N152" i="54"/>
  <c r="O152" i="54"/>
  <c r="P152" i="54"/>
  <c r="Q152" i="54"/>
  <c r="R152" i="54"/>
  <c r="S152" i="54"/>
  <c r="T152" i="54"/>
  <c r="U152" i="54"/>
  <c r="V152" i="54"/>
  <c r="W152" i="54"/>
  <c r="X152" i="54"/>
  <c r="Y152" i="54"/>
  <c r="Z152" i="54"/>
  <c r="AA152" i="54"/>
  <c r="AB152" i="54"/>
  <c r="AC152" i="54"/>
  <c r="AD152" i="54"/>
  <c r="AE152" i="54"/>
  <c r="AF152" i="54"/>
  <c r="AG152" i="54"/>
  <c r="AH152" i="54"/>
  <c r="AI152" i="54"/>
  <c r="AJ152" i="54"/>
  <c r="AK152" i="54"/>
  <c r="AL152" i="54"/>
  <c r="AM152" i="54"/>
  <c r="AN152" i="54"/>
  <c r="AO152" i="54"/>
  <c r="AP152" i="54"/>
  <c r="AQ152" i="54"/>
  <c r="AR152" i="54"/>
  <c r="AS152" i="54"/>
  <c r="AT152" i="54"/>
  <c r="AU152" i="54"/>
  <c r="AV152" i="54"/>
  <c r="AW152" i="54"/>
  <c r="AX152" i="54"/>
  <c r="AY152" i="54"/>
  <c r="AZ152" i="54"/>
  <c r="BA152" i="54"/>
  <c r="D151" i="54"/>
  <c r="D152" i="54"/>
  <c r="E148" i="54"/>
  <c r="F148" i="54"/>
  <c r="G148" i="54"/>
  <c r="H148" i="54"/>
  <c r="I148" i="54"/>
  <c r="J148" i="54"/>
  <c r="K148" i="54"/>
  <c r="L148" i="54"/>
  <c r="M148" i="54"/>
  <c r="N148" i="54"/>
  <c r="O148" i="54"/>
  <c r="P148" i="54"/>
  <c r="Q148" i="54"/>
  <c r="R148" i="54"/>
  <c r="S148" i="54"/>
  <c r="T148" i="54"/>
  <c r="U148" i="54"/>
  <c r="V148" i="54"/>
  <c r="W148" i="54"/>
  <c r="X148" i="54"/>
  <c r="Y148" i="54"/>
  <c r="Z148" i="54"/>
  <c r="AA148" i="54"/>
  <c r="AB148" i="54"/>
  <c r="AC148" i="54"/>
  <c r="AD148" i="54"/>
  <c r="AE148" i="54"/>
  <c r="AF148" i="54"/>
  <c r="AG148" i="54"/>
  <c r="AH148" i="54"/>
  <c r="AI148" i="54"/>
  <c r="AJ148" i="54"/>
  <c r="AK148" i="54"/>
  <c r="AL148" i="54"/>
  <c r="AM148" i="54"/>
  <c r="AN148" i="54"/>
  <c r="AO148" i="54"/>
  <c r="AP148" i="54"/>
  <c r="AQ148" i="54"/>
  <c r="AR148" i="54"/>
  <c r="AS148" i="54"/>
  <c r="AT148" i="54"/>
  <c r="AU148" i="54"/>
  <c r="AV148" i="54"/>
  <c r="AW148" i="54"/>
  <c r="AX148" i="54"/>
  <c r="AY148" i="54"/>
  <c r="AZ148" i="54"/>
  <c r="BA148" i="54"/>
  <c r="E149" i="54"/>
  <c r="F149" i="54"/>
  <c r="G149" i="54"/>
  <c r="H149" i="54"/>
  <c r="I149" i="54"/>
  <c r="J149" i="54"/>
  <c r="K149" i="54"/>
  <c r="L149" i="54"/>
  <c r="M149" i="54"/>
  <c r="N149" i="54"/>
  <c r="O149" i="54"/>
  <c r="P149" i="54"/>
  <c r="Q149" i="54"/>
  <c r="R149" i="54"/>
  <c r="S149" i="54"/>
  <c r="T149" i="54"/>
  <c r="U149" i="54"/>
  <c r="V149" i="54"/>
  <c r="W149" i="54"/>
  <c r="X149" i="54"/>
  <c r="Y149" i="54"/>
  <c r="Z149" i="54"/>
  <c r="AA149" i="54"/>
  <c r="AB149" i="54"/>
  <c r="AC149" i="54"/>
  <c r="AD149" i="54"/>
  <c r="AE149" i="54"/>
  <c r="AF149" i="54"/>
  <c r="AG149" i="54"/>
  <c r="AH149" i="54"/>
  <c r="AI149" i="54"/>
  <c r="AJ149" i="54"/>
  <c r="AK149" i="54"/>
  <c r="AL149" i="54"/>
  <c r="AM149" i="54"/>
  <c r="AN149" i="54"/>
  <c r="AO149" i="54"/>
  <c r="AP149" i="54"/>
  <c r="AQ149" i="54"/>
  <c r="AR149" i="54"/>
  <c r="AS149" i="54"/>
  <c r="AT149" i="54"/>
  <c r="AU149" i="54"/>
  <c r="AV149" i="54"/>
  <c r="AW149" i="54"/>
  <c r="AX149" i="54"/>
  <c r="AY149" i="54"/>
  <c r="AZ149" i="54"/>
  <c r="BA149" i="54"/>
  <c r="E150" i="54"/>
  <c r="F150" i="54"/>
  <c r="G150" i="54"/>
  <c r="H150" i="54"/>
  <c r="I150" i="54"/>
  <c r="J150" i="54"/>
  <c r="K150" i="54"/>
  <c r="L150" i="54"/>
  <c r="M150" i="54"/>
  <c r="N150" i="54"/>
  <c r="O150" i="54"/>
  <c r="P150" i="54"/>
  <c r="Q150" i="54"/>
  <c r="R150" i="54"/>
  <c r="S150" i="54"/>
  <c r="T150" i="54"/>
  <c r="U150" i="54"/>
  <c r="V150" i="54"/>
  <c r="W150" i="54"/>
  <c r="X150" i="54"/>
  <c r="Y150" i="54"/>
  <c r="Z150" i="54"/>
  <c r="AA150" i="54"/>
  <c r="AB150" i="54"/>
  <c r="AC150" i="54"/>
  <c r="AD150" i="54"/>
  <c r="AE150" i="54"/>
  <c r="AF150" i="54"/>
  <c r="AG150" i="54"/>
  <c r="AH150" i="54"/>
  <c r="AI150" i="54"/>
  <c r="AJ150" i="54"/>
  <c r="AK150" i="54"/>
  <c r="AL150" i="54"/>
  <c r="AM150" i="54"/>
  <c r="AN150" i="54"/>
  <c r="AO150" i="54"/>
  <c r="AP150" i="54"/>
  <c r="AQ150" i="54"/>
  <c r="AR150" i="54"/>
  <c r="AS150" i="54"/>
  <c r="AT150" i="54"/>
  <c r="AU150" i="54"/>
  <c r="AV150" i="54"/>
  <c r="AW150" i="54"/>
  <c r="AX150" i="54"/>
  <c r="AY150" i="54"/>
  <c r="AZ150" i="54"/>
  <c r="BA150" i="54"/>
  <c r="E153" i="54"/>
  <c r="F153" i="54"/>
  <c r="G153" i="54"/>
  <c r="H153" i="54"/>
  <c r="I153" i="54"/>
  <c r="J153" i="54"/>
  <c r="K153" i="54"/>
  <c r="L153" i="54"/>
  <c r="M153" i="54"/>
  <c r="N153" i="54"/>
  <c r="O153" i="54"/>
  <c r="P153" i="54"/>
  <c r="Q153" i="54"/>
  <c r="R153" i="54"/>
  <c r="S153" i="54"/>
  <c r="T153" i="54"/>
  <c r="U153" i="54"/>
  <c r="V153" i="54"/>
  <c r="W153" i="54"/>
  <c r="X153" i="54"/>
  <c r="Y153" i="54"/>
  <c r="Z153" i="54"/>
  <c r="AA153" i="54"/>
  <c r="AB153" i="54"/>
  <c r="AC153" i="54"/>
  <c r="AD153" i="54"/>
  <c r="AE153" i="54"/>
  <c r="AF153" i="54"/>
  <c r="AG153" i="54"/>
  <c r="AH153" i="54"/>
  <c r="AI153" i="54"/>
  <c r="AJ153" i="54"/>
  <c r="AK153" i="54"/>
  <c r="AL153" i="54"/>
  <c r="AM153" i="54"/>
  <c r="AN153" i="54"/>
  <c r="AO153" i="54"/>
  <c r="AP153" i="54"/>
  <c r="AQ153" i="54"/>
  <c r="AR153" i="54"/>
  <c r="AS153" i="54"/>
  <c r="AT153" i="54"/>
  <c r="AU153" i="54"/>
  <c r="AV153" i="54"/>
  <c r="AW153" i="54"/>
  <c r="AX153" i="54"/>
  <c r="AY153" i="54"/>
  <c r="AZ153" i="54"/>
  <c r="BA153" i="54"/>
  <c r="E154" i="54"/>
  <c r="F154" i="54"/>
  <c r="G154" i="54"/>
  <c r="H154" i="54"/>
  <c r="I154" i="54"/>
  <c r="J154" i="54"/>
  <c r="K154" i="54"/>
  <c r="L154" i="54"/>
  <c r="M154" i="54"/>
  <c r="N154" i="54"/>
  <c r="O154" i="54"/>
  <c r="P154" i="54"/>
  <c r="Q154" i="54"/>
  <c r="R154" i="54"/>
  <c r="S154" i="54"/>
  <c r="T154" i="54"/>
  <c r="U154" i="54"/>
  <c r="V154" i="54"/>
  <c r="W154" i="54"/>
  <c r="X154" i="54"/>
  <c r="Y154" i="54"/>
  <c r="Z154" i="54"/>
  <c r="AA154" i="54"/>
  <c r="AB154" i="54"/>
  <c r="AC154" i="54"/>
  <c r="AD154" i="54"/>
  <c r="AE154" i="54"/>
  <c r="AF154" i="54"/>
  <c r="AG154" i="54"/>
  <c r="AH154" i="54"/>
  <c r="AI154" i="54"/>
  <c r="AJ154" i="54"/>
  <c r="AK154" i="54"/>
  <c r="AL154" i="54"/>
  <c r="AM154" i="54"/>
  <c r="AN154" i="54"/>
  <c r="AO154" i="54"/>
  <c r="AP154" i="54"/>
  <c r="AQ154" i="54"/>
  <c r="AR154" i="54"/>
  <c r="AS154" i="54"/>
  <c r="AT154" i="54"/>
  <c r="AU154" i="54"/>
  <c r="AV154" i="54"/>
  <c r="AW154" i="54"/>
  <c r="AX154" i="54"/>
  <c r="AY154" i="54"/>
  <c r="AZ154" i="54"/>
  <c r="BA154" i="54"/>
  <c r="D154" i="54"/>
  <c r="D153" i="54"/>
  <c r="D150" i="54"/>
  <c r="D149" i="54"/>
  <c r="D148" i="54"/>
  <c r="E53" i="54"/>
  <c r="F53" i="54"/>
  <c r="G53" i="54"/>
  <c r="H53" i="54"/>
  <c r="I53" i="54"/>
  <c r="J53" i="54"/>
  <c r="K53" i="54"/>
  <c r="L53" i="54"/>
  <c r="M53" i="54"/>
  <c r="N53" i="54"/>
  <c r="O53" i="54"/>
  <c r="P53" i="54"/>
  <c r="Q53" i="54"/>
  <c r="R53" i="54"/>
  <c r="S53" i="54"/>
  <c r="T53" i="54"/>
  <c r="U53" i="54"/>
  <c r="V53" i="54"/>
  <c r="W53" i="54"/>
  <c r="X53" i="54"/>
  <c r="Y53" i="54"/>
  <c r="Z53" i="54"/>
  <c r="AA53" i="54"/>
  <c r="AB53" i="54"/>
  <c r="AC53" i="54"/>
  <c r="AD53" i="54"/>
  <c r="AE53" i="54"/>
  <c r="AF53" i="54"/>
  <c r="AG53" i="54"/>
  <c r="AH53" i="54"/>
  <c r="AI53" i="54"/>
  <c r="AJ53" i="54"/>
  <c r="AK53" i="54"/>
  <c r="AL53" i="54"/>
  <c r="AM53" i="54"/>
  <c r="AN53" i="54"/>
  <c r="AO53" i="54"/>
  <c r="AP53" i="54"/>
  <c r="AQ53" i="54"/>
  <c r="AR53" i="54"/>
  <c r="AS53" i="54"/>
  <c r="AT53" i="54"/>
  <c r="AU53" i="54"/>
  <c r="AV53" i="54"/>
  <c r="AW53" i="54"/>
  <c r="AX53" i="54"/>
  <c r="AY53" i="54"/>
  <c r="AZ53" i="54"/>
  <c r="BA53" i="54"/>
  <c r="D53" i="54"/>
  <c r="E19" i="54"/>
  <c r="C19" i="54"/>
  <c r="C18" i="54"/>
  <c r="E18" i="54"/>
  <c r="E17" i="54"/>
  <c r="C17" i="54"/>
  <c r="G70" i="57" l="1"/>
  <c r="H70" i="57" s="1"/>
  <c r="G72" i="57"/>
  <c r="H72" i="57" s="1"/>
  <c r="G75" i="57"/>
  <c r="H75" i="57" s="1"/>
  <c r="G69" i="57"/>
  <c r="H69" i="57" s="1"/>
  <c r="G71" i="57"/>
  <c r="H71" i="57" s="1"/>
  <c r="G74" i="57"/>
  <c r="H74" i="57" s="1"/>
  <c r="G68" i="57"/>
  <c r="H68" i="57" s="1"/>
  <c r="G65" i="57"/>
  <c r="H65" i="57" s="1"/>
  <c r="G73" i="57"/>
  <c r="H73" i="57" s="1"/>
  <c r="G67" i="57"/>
  <c r="H67" i="57" s="1"/>
  <c r="G66" i="57"/>
  <c r="H66" i="57" s="1"/>
  <c r="HZ47" i="27"/>
  <c r="HY47" i="27"/>
  <c r="G95" i="55" s="1"/>
  <c r="G64" i="57"/>
  <c r="H64" i="57" s="1"/>
  <c r="HZ46" i="27"/>
  <c r="HY46" i="27"/>
  <c r="G94" i="55" s="1"/>
  <c r="HY48" i="27"/>
  <c r="G96" i="55" s="1"/>
  <c r="HZ48" i="27"/>
  <c r="HY51" i="27"/>
  <c r="G99" i="55" s="1"/>
  <c r="HZ51" i="27"/>
  <c r="HY49" i="27"/>
  <c r="G97" i="55" s="1"/>
  <c r="HZ49" i="27"/>
  <c r="HY52" i="27"/>
  <c r="HZ52" i="27"/>
  <c r="HZ50" i="27"/>
  <c r="HY50" i="27"/>
  <c r="G98" i="55" s="1"/>
  <c r="HY53" i="27"/>
  <c r="HZ53" i="27"/>
  <c r="G101" i="55" s="1"/>
  <c r="G100" i="55"/>
  <c r="HR46" i="27"/>
  <c r="HN53" i="27"/>
  <c r="HR53" i="27"/>
  <c r="HQ53" i="27"/>
  <c r="HP53" i="27"/>
  <c r="HO53" i="27"/>
  <c r="HT53" i="27"/>
  <c r="HS53" i="27"/>
  <c r="HS46" i="27"/>
  <c r="HQ46" i="27"/>
  <c r="HP46" i="27"/>
  <c r="HT46" i="27"/>
  <c r="HP51" i="27"/>
  <c r="HO51" i="27"/>
  <c r="HS51" i="27"/>
  <c r="HT51" i="27"/>
  <c r="HQ51" i="27"/>
  <c r="HR51" i="27"/>
  <c r="HN51" i="27"/>
  <c r="HN46" i="27"/>
  <c r="HN48" i="27"/>
  <c r="HN47" i="27"/>
  <c r="G85" i="57"/>
  <c r="H85" i="57" s="1"/>
  <c r="G84" i="57"/>
  <c r="H84" i="57" s="1"/>
  <c r="HN49" i="27"/>
  <c r="HN56" i="27"/>
  <c r="D1" i="52"/>
  <c r="B43" i="52" s="1"/>
  <c r="HO45" i="27" l="1"/>
  <c r="C50" i="57" s="1"/>
  <c r="E50" i="57" s="1"/>
  <c r="HT45" i="27"/>
  <c r="C55" i="57" s="1"/>
  <c r="E55" i="57" s="1"/>
  <c r="HP45" i="27"/>
  <c r="C51" i="57" s="1"/>
  <c r="E51" i="57" s="1"/>
  <c r="HR45" i="27"/>
  <c r="C53" i="57" s="1"/>
  <c r="E53" i="57" s="1"/>
  <c r="HQ45" i="27"/>
  <c r="C52" i="57" s="1"/>
  <c r="E52" i="57" s="1"/>
  <c r="HS45" i="27"/>
  <c r="C54" i="57" s="1"/>
  <c r="E54" i="57" s="1"/>
  <c r="E16" i="54"/>
  <c r="C16" i="54"/>
  <c r="E14" i="54"/>
  <c r="C14" i="54"/>
  <c r="L19" i="54"/>
  <c r="L18" i="54"/>
  <c r="L17" i="54"/>
  <c r="L16" i="54"/>
  <c r="L15" i="54"/>
  <c r="L13" i="54"/>
  <c r="E13" i="54"/>
  <c r="C13" i="54"/>
  <c r="E12" i="54"/>
  <c r="M12" i="48" l="1"/>
  <c r="DR280" i="27" l="1" a="1"/>
  <c r="DR280" i="27" s="1"/>
  <c r="DQ280" i="27" a="1"/>
  <c r="DQ280" i="27" s="1"/>
  <c r="DP280" i="27" a="1"/>
  <c r="DP280" i="27" s="1"/>
  <c r="DO280" i="27" a="1"/>
  <c r="DO280" i="27" s="1"/>
  <c r="E269" i="48"/>
  <c r="E255" i="48"/>
  <c r="E241" i="48"/>
  <c r="E227" i="48"/>
  <c r="E40" i="48"/>
  <c r="E267" i="48"/>
  <c r="E253" i="48"/>
  <c r="E239" i="48"/>
  <c r="E225" i="48"/>
  <c r="E38" i="48"/>
  <c r="G18" i="48"/>
  <c r="E223" i="48"/>
  <c r="E36" i="48"/>
  <c r="G16" i="48"/>
  <c r="E221" i="48"/>
  <c r="E34" i="48"/>
  <c r="G14" i="48"/>
  <c r="E219" i="48"/>
  <c r="E32" i="48"/>
  <c r="E49" i="48"/>
  <c r="G203" i="48"/>
  <c r="G12" i="48"/>
  <c r="E217" i="48"/>
  <c r="E30" i="48"/>
  <c r="E47" i="48"/>
  <c r="G201" i="48"/>
  <c r="G10" i="48"/>
  <c r="G9" i="48"/>
  <c r="G200" i="48"/>
  <c r="E46" i="48"/>
  <c r="E29" i="48"/>
  <c r="E216" i="48"/>
  <c r="G20" i="48"/>
  <c r="E270" i="48"/>
  <c r="E256" i="48"/>
  <c r="E242" i="48"/>
  <c r="E228" i="48"/>
  <c r="E41" i="48"/>
  <c r="G21" i="48"/>
  <c r="E268" i="48"/>
  <c r="E254" i="48"/>
  <c r="E240" i="48"/>
  <c r="E226" i="48"/>
  <c r="E39" i="48"/>
  <c r="G19" i="48"/>
  <c r="E224" i="48"/>
  <c r="E37" i="48"/>
  <c r="G17" i="48"/>
  <c r="E222" i="48"/>
  <c r="E35" i="48"/>
  <c r="G15" i="48"/>
  <c r="E220" i="48"/>
  <c r="E33" i="48"/>
  <c r="E50" i="48"/>
  <c r="G204" i="48"/>
  <c r="G13" i="48"/>
  <c r="E218" i="48"/>
  <c r="E31" i="48"/>
  <c r="E48" i="48"/>
  <c r="G202" i="48"/>
  <c r="G11" i="48"/>
  <c r="G199" i="48"/>
  <c r="E28" i="48"/>
  <c r="E215" i="48"/>
  <c r="G8" i="48" l="1"/>
  <c r="L12" i="54"/>
  <c r="E249" i="48"/>
  <c r="E235" i="48"/>
  <c r="E265" i="48"/>
  <c r="E52" i="48"/>
  <c r="E238" i="48"/>
  <c r="E252" i="48"/>
  <c r="G206" i="48"/>
  <c r="E266" i="48"/>
  <c r="E237" i="48"/>
  <c r="E264" i="48"/>
  <c r="E251" i="48"/>
  <c r="E236" i="48"/>
  <c r="E263" i="48"/>
  <c r="E51" i="48"/>
  <c r="E45" i="48"/>
  <c r="L14" i="54"/>
  <c r="E250" i="48"/>
  <c r="G205" i="48"/>
  <c r="FX132" i="27" a="1"/>
  <c r="FX132" i="27" s="1"/>
  <c r="EY186" i="27" a="1"/>
  <c r="EY186" i="27" s="1"/>
  <c r="EX186" i="27" a="1"/>
  <c r="EX186" i="27" s="1"/>
  <c r="EW186" i="27" a="1"/>
  <c r="EW186" i="27" s="1"/>
  <c r="EV186" i="27" a="1"/>
  <c r="EV186" i="27" s="1"/>
  <c r="EY185" i="27" a="1"/>
  <c r="EY185" i="27" s="1"/>
  <c r="EX185" i="27" a="1"/>
  <c r="EX185" i="27" s="1"/>
  <c r="EW185" i="27" a="1"/>
  <c r="EW185" i="27" s="1"/>
  <c r="EV185" i="27" a="1"/>
  <c r="EV185" i="27" s="1"/>
  <c r="EY184" i="27" a="1"/>
  <c r="EY184" i="27" s="1"/>
  <c r="EX184" i="27" a="1"/>
  <c r="EX184" i="27" s="1"/>
  <c r="EW184" i="27" a="1"/>
  <c r="EW184" i="27" s="1"/>
  <c r="EV184" i="27" a="1"/>
  <c r="EV184" i="27" s="1"/>
  <c r="EY183" i="27" a="1"/>
  <c r="EY183" i="27" s="1"/>
  <c r="EX183" i="27" a="1"/>
  <c r="EX183" i="27" s="1"/>
  <c r="EW183" i="27" a="1"/>
  <c r="EW183" i="27" s="1"/>
  <c r="EV183" i="27" a="1"/>
  <c r="EV183" i="27" s="1"/>
  <c r="EY182" i="27" a="1"/>
  <c r="EY182" i="27" s="1"/>
  <c r="EX182" i="27" a="1"/>
  <c r="EX182" i="27" s="1"/>
  <c r="EW182" i="27" a="1"/>
  <c r="EW182" i="27" s="1"/>
  <c r="EV182" i="27" a="1"/>
  <c r="EV182" i="27" s="1"/>
  <c r="EY181" i="27" a="1"/>
  <c r="EY181" i="27" s="1"/>
  <c r="EX181" i="27" a="1"/>
  <c r="EX181" i="27" s="1"/>
  <c r="EW181" i="27" a="1"/>
  <c r="EW181" i="27" s="1"/>
  <c r="EV181" i="27" a="1"/>
  <c r="EV181" i="27" s="1"/>
  <c r="EY180" i="27" a="1"/>
  <c r="EY180" i="27" s="1"/>
  <c r="EX180" i="27" a="1"/>
  <c r="EX180" i="27" s="1"/>
  <c r="EW180" i="27" a="1"/>
  <c r="EW180" i="27" s="1"/>
  <c r="EV180" i="27" a="1"/>
  <c r="EV180" i="27" s="1"/>
  <c r="EY179" i="27" a="1"/>
  <c r="EY179" i="27" s="1"/>
  <c r="EX179" i="27" a="1"/>
  <c r="EX179" i="27" s="1"/>
  <c r="EW179" i="27" a="1"/>
  <c r="EW179" i="27" s="1"/>
  <c r="EV179" i="27" a="1"/>
  <c r="EV179" i="27" s="1"/>
  <c r="EY178" i="27" a="1"/>
  <c r="EY178" i="27" s="1"/>
  <c r="EX178" i="27" a="1"/>
  <c r="EX178" i="27" s="1"/>
  <c r="EW178" i="27" a="1"/>
  <c r="EW178" i="27" s="1"/>
  <c r="EV178" i="27" a="1"/>
  <c r="EV178" i="27" s="1"/>
  <c r="EY177" i="27" a="1"/>
  <c r="EY177" i="27" s="1"/>
  <c r="EX177" i="27" a="1"/>
  <c r="EX177" i="27" s="1"/>
  <c r="EW177" i="27" a="1"/>
  <c r="EW177" i="27" s="1"/>
  <c r="EV177" i="27" a="1"/>
  <c r="EV177" i="27" s="1"/>
  <c r="EY176" i="27" a="1"/>
  <c r="EY176" i="27" s="1"/>
  <c r="EX176" i="27" a="1"/>
  <c r="EX176" i="27" s="1"/>
  <c r="EW176" i="27" a="1"/>
  <c r="EW176" i="27" s="1"/>
  <c r="EV176" i="27" a="1"/>
  <c r="EV176" i="27" s="1"/>
  <c r="EY175" i="27" a="1"/>
  <c r="EY175" i="27" s="1"/>
  <c r="EX175" i="27" a="1"/>
  <c r="EX175" i="27" s="1"/>
  <c r="EW175" i="27" a="1"/>
  <c r="EW175" i="27" s="1"/>
  <c r="EV175" i="27" a="1"/>
  <c r="EV175" i="27" s="1"/>
  <c r="EY174" i="27" a="1"/>
  <c r="EY174" i="27" s="1"/>
  <c r="EX174" i="27" a="1"/>
  <c r="EX174" i="27" s="1"/>
  <c r="EW174" i="27" a="1"/>
  <c r="EW174" i="27" s="1"/>
  <c r="EV174" i="27" a="1"/>
  <c r="EV174" i="27" s="1"/>
  <c r="EY173" i="27" a="1"/>
  <c r="EY173" i="27" s="1"/>
  <c r="EX173" i="27" a="1"/>
  <c r="EX173" i="27" s="1"/>
  <c r="EW173" i="27" a="1"/>
  <c r="EW173" i="27" s="1"/>
  <c r="EV173" i="27" a="1"/>
  <c r="EV173" i="27" s="1"/>
  <c r="EY172" i="27" a="1"/>
  <c r="EY172" i="27" s="1"/>
  <c r="EX172" i="27" a="1"/>
  <c r="EX172" i="27" s="1"/>
  <c r="EW172" i="27" a="1"/>
  <c r="EW172" i="27" s="1"/>
  <c r="EV172" i="27" a="1"/>
  <c r="EV172" i="27" s="1"/>
  <c r="EY171" i="27" a="1"/>
  <c r="EY171" i="27" s="1"/>
  <c r="EX171" i="27" a="1"/>
  <c r="EX171" i="27" s="1"/>
  <c r="EW171" i="27" a="1"/>
  <c r="EW171" i="27" s="1"/>
  <c r="EV171" i="27" a="1"/>
  <c r="EV171" i="27" s="1"/>
  <c r="EY170" i="27" a="1"/>
  <c r="EY170" i="27" s="1"/>
  <c r="EX170" i="27" a="1"/>
  <c r="EX170" i="27" s="1"/>
  <c r="EW170" i="27" a="1"/>
  <c r="EW170" i="27" s="1"/>
  <c r="EV170" i="27" a="1"/>
  <c r="EV170" i="27" s="1"/>
  <c r="EY169" i="27" a="1"/>
  <c r="EY169" i="27" s="1"/>
  <c r="EX169" i="27" a="1"/>
  <c r="EX169" i="27" s="1"/>
  <c r="EW169" i="27" a="1"/>
  <c r="EW169" i="27" s="1"/>
  <c r="EV169" i="27" a="1"/>
  <c r="EV169" i="27" s="1"/>
  <c r="EY168" i="27" a="1"/>
  <c r="EY168" i="27" s="1"/>
  <c r="EX168" i="27" a="1"/>
  <c r="EX168" i="27" s="1"/>
  <c r="EW168" i="27" a="1"/>
  <c r="EW168" i="27" s="1"/>
  <c r="EV168" i="27" a="1"/>
  <c r="EV168" i="27" s="1"/>
  <c r="EY167" i="27" a="1"/>
  <c r="EY167" i="27" s="1"/>
  <c r="EX167" i="27" a="1"/>
  <c r="EX167" i="27" s="1"/>
  <c r="EW167" i="27" a="1"/>
  <c r="EW167" i="27" s="1"/>
  <c r="EV167" i="27" a="1"/>
  <c r="EV167" i="27" s="1"/>
  <c r="EY166" i="27" a="1"/>
  <c r="EY166" i="27" s="1"/>
  <c r="EX166" i="27" a="1"/>
  <c r="EX166" i="27" s="1"/>
  <c r="EW166" i="27" a="1"/>
  <c r="EW166" i="27" s="1"/>
  <c r="EV166" i="27" a="1"/>
  <c r="EV166" i="27" s="1"/>
  <c r="EY165" i="27" a="1"/>
  <c r="EY165" i="27" s="1"/>
  <c r="EX165" i="27" a="1"/>
  <c r="EX165" i="27" s="1"/>
  <c r="EW165" i="27" a="1"/>
  <c r="EW165" i="27" s="1"/>
  <c r="EV165" i="27" a="1"/>
  <c r="EV165" i="27" s="1"/>
  <c r="EY164" i="27" a="1"/>
  <c r="EY164" i="27" s="1"/>
  <c r="EX164" i="27" a="1"/>
  <c r="EX164" i="27" s="1"/>
  <c r="EW164" i="27" a="1"/>
  <c r="EW164" i="27" s="1"/>
  <c r="EV164" i="27" a="1"/>
  <c r="EV164" i="27" s="1"/>
  <c r="EY163" i="27" a="1"/>
  <c r="EY163" i="27" s="1"/>
  <c r="EX163" i="27" a="1"/>
  <c r="EX163" i="27" s="1"/>
  <c r="EW163" i="27" a="1"/>
  <c r="EW163" i="27" s="1"/>
  <c r="EV163" i="27" a="1"/>
  <c r="EV163" i="27" s="1"/>
  <c r="EY162" i="27" a="1"/>
  <c r="EY162" i="27" s="1"/>
  <c r="EX162" i="27" a="1"/>
  <c r="EX162" i="27" s="1"/>
  <c r="EW162" i="27" a="1"/>
  <c r="EW162" i="27" s="1"/>
  <c r="EV162" i="27" a="1"/>
  <c r="EV162" i="27" s="1"/>
  <c r="EY161" i="27" a="1"/>
  <c r="EY161" i="27" s="1"/>
  <c r="EX161" i="27" a="1"/>
  <c r="EX161" i="27" s="1"/>
  <c r="EW161" i="27" a="1"/>
  <c r="EW161" i="27" s="1"/>
  <c r="EV161" i="27" a="1"/>
  <c r="EV161" i="27" s="1"/>
  <c r="EY160" i="27" a="1"/>
  <c r="EY160" i="27" s="1"/>
  <c r="EX160" i="27" a="1"/>
  <c r="EX160" i="27" s="1"/>
  <c r="EW160" i="27" a="1"/>
  <c r="EW160" i="27" s="1"/>
  <c r="EV160" i="27" a="1"/>
  <c r="EV160" i="27" s="1"/>
  <c r="EY159" i="27" a="1"/>
  <c r="EY159" i="27" s="1"/>
  <c r="FA163" i="27" s="1"/>
  <c r="EX159" i="27" a="1"/>
  <c r="EX159" i="27" s="1"/>
  <c r="EW159" i="27" a="1"/>
  <c r="EW159" i="27" s="1"/>
  <c r="EV159" i="27" a="1"/>
  <c r="EV159" i="27" s="1"/>
  <c r="EY158" i="27" a="1"/>
  <c r="EY158" i="27" s="1"/>
  <c r="EX158" i="27" a="1"/>
  <c r="EX158" i="27" s="1"/>
  <c r="EW158" i="27" a="1"/>
  <c r="EW158" i="27" s="1"/>
  <c r="EV158" i="27" a="1"/>
  <c r="EV158" i="27" s="1"/>
  <c r="EY157" i="27" a="1"/>
  <c r="EY157" i="27" s="1"/>
  <c r="EX157" i="27" a="1"/>
  <c r="EX157" i="27" s="1"/>
  <c r="EW157" i="27" a="1"/>
  <c r="EW157" i="27" s="1"/>
  <c r="EV157" i="27" a="1"/>
  <c r="EV157" i="27" s="1"/>
  <c r="EY156" i="27" a="1"/>
  <c r="EY156" i="27" s="1"/>
  <c r="EX156" i="27" a="1"/>
  <c r="EX156" i="27" s="1"/>
  <c r="EW156" i="27" a="1"/>
  <c r="EW156" i="27" s="1"/>
  <c r="EV156" i="27" a="1"/>
  <c r="EV156" i="27" s="1"/>
  <c r="EY155" i="27" a="1"/>
  <c r="EY155" i="27" s="1"/>
  <c r="EX155" i="27" a="1"/>
  <c r="EX155" i="27" s="1"/>
  <c r="EW155" i="27" a="1"/>
  <c r="EW155" i="27" s="1"/>
  <c r="EV155" i="27" a="1"/>
  <c r="EV155" i="27" s="1"/>
  <c r="EY154" i="27" a="1"/>
  <c r="EY154" i="27" s="1"/>
  <c r="EX154" i="27" a="1"/>
  <c r="EX154" i="27" s="1"/>
  <c r="EW154" i="27" a="1"/>
  <c r="EW154" i="27" s="1"/>
  <c r="EV154" i="27" a="1"/>
  <c r="EV154" i="27" s="1"/>
  <c r="EY153" i="27" a="1"/>
  <c r="EY153" i="27" s="1"/>
  <c r="EX153" i="27" a="1"/>
  <c r="EX153" i="27" s="1"/>
  <c r="EW153" i="27" a="1"/>
  <c r="EW153" i="27" s="1"/>
  <c r="EV153" i="27" a="1"/>
  <c r="EV153" i="27" s="1"/>
  <c r="EY152" i="27" a="1"/>
  <c r="EY152" i="27" s="1"/>
  <c r="EX152" i="27" a="1"/>
  <c r="EX152" i="27" s="1"/>
  <c r="EW152" i="27" a="1"/>
  <c r="EW152" i="27" s="1"/>
  <c r="EV152" i="27" a="1"/>
  <c r="EV152" i="27" s="1"/>
  <c r="EY151" i="27" a="1"/>
  <c r="EY151" i="27" s="1"/>
  <c r="EX151" i="27" a="1"/>
  <c r="EX151" i="27" s="1"/>
  <c r="EW151" i="27" a="1"/>
  <c r="EW151" i="27" s="1"/>
  <c r="EV151" i="27" a="1"/>
  <c r="EV151" i="27" s="1"/>
  <c r="EY150" i="27" a="1"/>
  <c r="EY150" i="27" s="1"/>
  <c r="EX150" i="27" a="1"/>
  <c r="EX150" i="27" s="1"/>
  <c r="EW150" i="27" a="1"/>
  <c r="EW150" i="27" s="1"/>
  <c r="EV150" i="27" a="1"/>
  <c r="EV150" i="27" s="1"/>
  <c r="EY149" i="27" a="1"/>
  <c r="EY149" i="27" s="1"/>
  <c r="EX149" i="27" a="1"/>
  <c r="EX149" i="27" s="1"/>
  <c r="EW149" i="27" a="1"/>
  <c r="EW149" i="27" s="1"/>
  <c r="EV149" i="27" a="1"/>
  <c r="EV149" i="27" s="1"/>
  <c r="EY148" i="27" a="1"/>
  <c r="EY148" i="27" s="1"/>
  <c r="EX148" i="27" a="1"/>
  <c r="EX148" i="27" s="1"/>
  <c r="EW148" i="27" a="1"/>
  <c r="EW148" i="27" s="1"/>
  <c r="EV148" i="27" a="1"/>
  <c r="EV148" i="27" s="1"/>
  <c r="FR179" i="27" a="1"/>
  <c r="FR179" i="27" s="1"/>
  <c r="FQ179" i="27" a="1"/>
  <c r="FQ179" i="27" s="1"/>
  <c r="FP179" i="27" a="1"/>
  <c r="FP179" i="27" s="1"/>
  <c r="FO179" i="27" a="1"/>
  <c r="FO179" i="27" s="1"/>
  <c r="FR178" i="27" a="1"/>
  <c r="FR178" i="27" s="1"/>
  <c r="FQ178" i="27" a="1"/>
  <c r="FQ178" i="27" s="1"/>
  <c r="FP178" i="27" a="1"/>
  <c r="FP178" i="27" s="1"/>
  <c r="FO178" i="27" a="1"/>
  <c r="FO178" i="27" s="1"/>
  <c r="FR177" i="27" a="1"/>
  <c r="FR177" i="27" s="1"/>
  <c r="FQ177" i="27" a="1"/>
  <c r="FQ177" i="27" s="1"/>
  <c r="FP177" i="27" a="1"/>
  <c r="FP177" i="27" s="1"/>
  <c r="FO177" i="27" a="1"/>
  <c r="FO177" i="27" s="1"/>
  <c r="FR176" i="27" a="1"/>
  <c r="FR176" i="27" s="1"/>
  <c r="FQ176" i="27" a="1"/>
  <c r="FQ176" i="27" s="1"/>
  <c r="FP176" i="27" a="1"/>
  <c r="FP176" i="27" s="1"/>
  <c r="FO176" i="27" a="1"/>
  <c r="FO176" i="27" s="1"/>
  <c r="FR175" i="27" a="1"/>
  <c r="FR175" i="27" s="1"/>
  <c r="FQ175" i="27" a="1"/>
  <c r="FQ175" i="27" s="1"/>
  <c r="FP175" i="27" a="1"/>
  <c r="FP175" i="27" s="1"/>
  <c r="FO175" i="27" a="1"/>
  <c r="FO175" i="27" s="1"/>
  <c r="FR174" i="27" a="1"/>
  <c r="FR174" i="27" s="1"/>
  <c r="FQ174" i="27" a="1"/>
  <c r="FQ174" i="27" s="1"/>
  <c r="FP174" i="27" a="1"/>
  <c r="FP174" i="27" s="1"/>
  <c r="FO174" i="27" a="1"/>
  <c r="FO174" i="27" s="1"/>
  <c r="FR173" i="27" a="1"/>
  <c r="FR173" i="27" s="1"/>
  <c r="FQ173" i="27" a="1"/>
  <c r="FQ173" i="27" s="1"/>
  <c r="FP173" i="27" a="1"/>
  <c r="FP173" i="27" s="1"/>
  <c r="FO173" i="27" a="1"/>
  <c r="FO173" i="27" s="1"/>
  <c r="FR172" i="27" a="1"/>
  <c r="FR172" i="27" s="1"/>
  <c r="FQ172" i="27" a="1"/>
  <c r="FQ172" i="27" s="1"/>
  <c r="FP172" i="27" a="1"/>
  <c r="FP172" i="27" s="1"/>
  <c r="FO172" i="27" a="1"/>
  <c r="FO172" i="27" s="1"/>
  <c r="FR171" i="27" a="1"/>
  <c r="FR171" i="27" s="1"/>
  <c r="FQ171" i="27" a="1"/>
  <c r="FQ171" i="27" s="1"/>
  <c r="FP171" i="27" a="1"/>
  <c r="FP171" i="27" s="1"/>
  <c r="FO171" i="27" a="1"/>
  <c r="FO171" i="27" s="1"/>
  <c r="FR170" i="27" a="1"/>
  <c r="FR170" i="27" s="1"/>
  <c r="FQ170" i="27" a="1"/>
  <c r="FQ170" i="27" s="1"/>
  <c r="FP170" i="27" a="1"/>
  <c r="FP170" i="27" s="1"/>
  <c r="FO170" i="27" a="1"/>
  <c r="FO170" i="27" s="1"/>
  <c r="FR169" i="27" a="1"/>
  <c r="FR169" i="27" s="1"/>
  <c r="FQ169" i="27" a="1"/>
  <c r="FQ169" i="27" s="1"/>
  <c r="FP169" i="27" a="1"/>
  <c r="FP169" i="27" s="1"/>
  <c r="FO169" i="27" a="1"/>
  <c r="FO169" i="27" s="1"/>
  <c r="FR168" i="27" a="1"/>
  <c r="FR168" i="27" s="1"/>
  <c r="FQ168" i="27" a="1"/>
  <c r="FQ168" i="27" s="1"/>
  <c r="FP168" i="27" a="1"/>
  <c r="FP168" i="27" s="1"/>
  <c r="FO168" i="27" a="1"/>
  <c r="FO168" i="27" s="1"/>
  <c r="FR167" i="27" a="1"/>
  <c r="FR167" i="27" s="1"/>
  <c r="FQ167" i="27" a="1"/>
  <c r="FQ167" i="27" s="1"/>
  <c r="FP167" i="27" a="1"/>
  <c r="FP167" i="27" s="1"/>
  <c r="FO167" i="27" a="1"/>
  <c r="FO167" i="27" s="1"/>
  <c r="FR166" i="27" a="1"/>
  <c r="FR166" i="27" s="1"/>
  <c r="FQ166" i="27" a="1"/>
  <c r="FQ166" i="27" s="1"/>
  <c r="FP166" i="27" a="1"/>
  <c r="FP166" i="27" s="1"/>
  <c r="FO166" i="27" a="1"/>
  <c r="FO166" i="27" s="1"/>
  <c r="FR165" i="27" a="1"/>
  <c r="FR165" i="27" s="1"/>
  <c r="FQ165" i="27" a="1"/>
  <c r="FQ165" i="27" s="1"/>
  <c r="FP165" i="27" a="1"/>
  <c r="FP165" i="27" s="1"/>
  <c r="FO165" i="27" a="1"/>
  <c r="FO165" i="27" s="1"/>
  <c r="FR164" i="27" a="1"/>
  <c r="FR164" i="27" s="1"/>
  <c r="FQ164" i="27" a="1"/>
  <c r="FQ164" i="27" s="1"/>
  <c r="FP164" i="27" a="1"/>
  <c r="FP164" i="27" s="1"/>
  <c r="FO164" i="27" a="1"/>
  <c r="FO164" i="27" s="1"/>
  <c r="FR163" i="27" a="1"/>
  <c r="FR163" i="27" s="1"/>
  <c r="FQ163" i="27" a="1"/>
  <c r="FQ163" i="27" s="1"/>
  <c r="FP163" i="27" a="1"/>
  <c r="FP163" i="27" s="1"/>
  <c r="FO163" i="27" a="1"/>
  <c r="FO163" i="27" s="1"/>
  <c r="FR162" i="27" a="1"/>
  <c r="FR162" i="27" s="1"/>
  <c r="FQ162" i="27" a="1"/>
  <c r="FQ162" i="27" s="1"/>
  <c r="FP162" i="27" a="1"/>
  <c r="FP162" i="27" s="1"/>
  <c r="FO162" i="27" a="1"/>
  <c r="FO162" i="27" s="1"/>
  <c r="FR161" i="27" a="1"/>
  <c r="FR161" i="27" s="1"/>
  <c r="FQ161" i="27" a="1"/>
  <c r="FQ161" i="27" s="1"/>
  <c r="FP161" i="27" a="1"/>
  <c r="FP161" i="27" s="1"/>
  <c r="FO161" i="27" a="1"/>
  <c r="FO161" i="27" s="1"/>
  <c r="FR160" i="27" a="1"/>
  <c r="FR160" i="27" s="1"/>
  <c r="FQ160" i="27" a="1"/>
  <c r="FQ160" i="27" s="1"/>
  <c r="FP160" i="27" a="1"/>
  <c r="FP160" i="27" s="1"/>
  <c r="FO160" i="27" a="1"/>
  <c r="FO160" i="27" s="1"/>
  <c r="FR159" i="27" a="1"/>
  <c r="FR159" i="27" s="1"/>
  <c r="FQ159" i="27" a="1"/>
  <c r="FQ159" i="27" s="1"/>
  <c r="FP159" i="27" a="1"/>
  <c r="FP159" i="27" s="1"/>
  <c r="FO159" i="27" a="1"/>
  <c r="FO159" i="27" s="1"/>
  <c r="FR158" i="27" a="1"/>
  <c r="FR158" i="27" s="1"/>
  <c r="FQ158" i="27" a="1"/>
  <c r="FQ158" i="27" s="1"/>
  <c r="FP158" i="27" a="1"/>
  <c r="FP158" i="27" s="1"/>
  <c r="FO158" i="27" a="1"/>
  <c r="FO158" i="27" s="1"/>
  <c r="FR157" i="27" a="1"/>
  <c r="FR157" i="27" s="1"/>
  <c r="FQ157" i="27" a="1"/>
  <c r="FQ157" i="27" s="1"/>
  <c r="FP157" i="27" a="1"/>
  <c r="FP157" i="27" s="1"/>
  <c r="FO157" i="27" a="1"/>
  <c r="FO157" i="27" s="1"/>
  <c r="FR156" i="27" a="1"/>
  <c r="FR156" i="27" s="1"/>
  <c r="FQ156" i="27" a="1"/>
  <c r="FQ156" i="27" s="1"/>
  <c r="FP156" i="27" a="1"/>
  <c r="FP156" i="27" s="1"/>
  <c r="FO156" i="27" a="1"/>
  <c r="FO156" i="27" s="1"/>
  <c r="FR155" i="27" a="1"/>
  <c r="FR155" i="27" s="1"/>
  <c r="FQ155" i="27" a="1"/>
  <c r="FQ155" i="27" s="1"/>
  <c r="FP155" i="27" a="1"/>
  <c r="FP155" i="27" s="1"/>
  <c r="FO155" i="27" a="1"/>
  <c r="FO155" i="27" s="1"/>
  <c r="FR154" i="27" a="1"/>
  <c r="FR154" i="27" s="1"/>
  <c r="FQ154" i="27" a="1"/>
  <c r="FQ154" i="27" s="1"/>
  <c r="FP154" i="27" a="1"/>
  <c r="FP154" i="27" s="1"/>
  <c r="FO154" i="27" a="1"/>
  <c r="FO154" i="27" s="1"/>
  <c r="FR153" i="27" a="1"/>
  <c r="FR153" i="27" s="1"/>
  <c r="FQ153" i="27" a="1"/>
  <c r="FQ153" i="27" s="1"/>
  <c r="FP153" i="27" a="1"/>
  <c r="FP153" i="27" s="1"/>
  <c r="FO153" i="27" a="1"/>
  <c r="FO153" i="27" s="1"/>
  <c r="FR152" i="27" a="1"/>
  <c r="FR152" i="27" s="1"/>
  <c r="FQ152" i="27" a="1"/>
  <c r="FQ152" i="27" s="1"/>
  <c r="FP152" i="27" a="1"/>
  <c r="FP152" i="27" s="1"/>
  <c r="FO152" i="27" a="1"/>
  <c r="FO152" i="27" s="1"/>
  <c r="FR151" i="27" a="1"/>
  <c r="FR151" i="27" s="1"/>
  <c r="FQ151" i="27" a="1"/>
  <c r="FQ151" i="27" s="1"/>
  <c r="FP151" i="27" a="1"/>
  <c r="FP151" i="27" s="1"/>
  <c r="FO151" i="27" a="1"/>
  <c r="FO151" i="27" s="1"/>
  <c r="FR150" i="27" a="1"/>
  <c r="FR150" i="27" s="1"/>
  <c r="FQ150" i="27" a="1"/>
  <c r="FQ150" i="27" s="1"/>
  <c r="FP150" i="27" a="1"/>
  <c r="FP150" i="27" s="1"/>
  <c r="FO150" i="27" a="1"/>
  <c r="FO150" i="27" s="1"/>
  <c r="FR149" i="27" a="1"/>
  <c r="FR149" i="27" s="1"/>
  <c r="FQ149" i="27" a="1"/>
  <c r="FQ149" i="27" s="1"/>
  <c r="FP149" i="27" a="1"/>
  <c r="FP149" i="27" s="1"/>
  <c r="FO149" i="27" a="1"/>
  <c r="FO149" i="27" s="1"/>
  <c r="FR148" i="27" a="1"/>
  <c r="FR148" i="27" s="1"/>
  <c r="FQ148" i="27" a="1"/>
  <c r="FQ148" i="27" s="1"/>
  <c r="FP148" i="27" a="1"/>
  <c r="FP148" i="27" s="1"/>
  <c r="FO148" i="27" a="1"/>
  <c r="FO148" i="27" s="1"/>
  <c r="FR147" i="27" a="1"/>
  <c r="FR147" i="27" s="1"/>
  <c r="FQ147" i="27" a="1"/>
  <c r="FQ147" i="27" s="1"/>
  <c r="FP147" i="27" a="1"/>
  <c r="FP147" i="27" s="1"/>
  <c r="FO147" i="27" a="1"/>
  <c r="FO147" i="27" s="1"/>
  <c r="FR146" i="27" a="1"/>
  <c r="FR146" i="27" s="1"/>
  <c r="FQ146" i="27" a="1"/>
  <c r="FQ146" i="27" s="1"/>
  <c r="FP146" i="27" a="1"/>
  <c r="FP146" i="27" s="1"/>
  <c r="FO146" i="27" a="1"/>
  <c r="FO146" i="27" s="1"/>
  <c r="FR145" i="27" a="1"/>
  <c r="FR145" i="27" s="1"/>
  <c r="FQ145" i="27" a="1"/>
  <c r="FQ145" i="27" s="1"/>
  <c r="FP145" i="27" a="1"/>
  <c r="FP145" i="27" s="1"/>
  <c r="FO145" i="27" a="1"/>
  <c r="FO145" i="27" s="1"/>
  <c r="FR144" i="27" a="1"/>
  <c r="FR144" i="27" s="1"/>
  <c r="FQ144" i="27" a="1"/>
  <c r="FQ144" i="27" s="1"/>
  <c r="FP144" i="27" a="1"/>
  <c r="FP144" i="27" s="1"/>
  <c r="FO144" i="27" a="1"/>
  <c r="FO144" i="27" s="1"/>
  <c r="FR143" i="27" a="1"/>
  <c r="FR143" i="27" s="1"/>
  <c r="FQ143" i="27" a="1"/>
  <c r="FQ143" i="27" s="1"/>
  <c r="FP143" i="27" a="1"/>
  <c r="FP143" i="27" s="1"/>
  <c r="FO143" i="27" a="1"/>
  <c r="FO143" i="27" s="1"/>
  <c r="FR142" i="27" a="1"/>
  <c r="FR142" i="27" s="1"/>
  <c r="FQ142" i="27" a="1"/>
  <c r="FQ142" i="27" s="1"/>
  <c r="FP142" i="27" a="1"/>
  <c r="FP142" i="27" s="1"/>
  <c r="FO142" i="27" a="1"/>
  <c r="FO142" i="27" s="1"/>
  <c r="FR141" i="27" a="1"/>
  <c r="FR141" i="27" s="1"/>
  <c r="FQ141" i="27" a="1"/>
  <c r="FQ141" i="27" s="1"/>
  <c r="FP141" i="27" a="1"/>
  <c r="FP141" i="27" s="1"/>
  <c r="FO141" i="27" a="1"/>
  <c r="FO141" i="27" s="1"/>
  <c r="GA128" i="27" a="1"/>
  <c r="GA128" i="27" s="1"/>
  <c r="GA127" i="27" a="1"/>
  <c r="GA127" i="27" s="1"/>
  <c r="GA126" i="27" a="1"/>
  <c r="GA126" i="27" s="1"/>
  <c r="GA125" i="27" a="1"/>
  <c r="GA125" i="27" s="1"/>
  <c r="FZ128" i="27" a="1"/>
  <c r="FZ128" i="27" s="1"/>
  <c r="FZ127" i="27" a="1"/>
  <c r="FZ127" i="27" s="1"/>
  <c r="FZ126" i="27" a="1"/>
  <c r="FZ126" i="27" s="1"/>
  <c r="FZ125" i="27" a="1"/>
  <c r="FZ125" i="27" s="1"/>
  <c r="FY128" i="27" a="1"/>
  <c r="FY128" i="27" s="1"/>
  <c r="FY127" i="27" a="1"/>
  <c r="FY127" i="27" s="1"/>
  <c r="FY126" i="27" a="1"/>
  <c r="FY126" i="27" s="1"/>
  <c r="FY125" i="27" a="1"/>
  <c r="FY125" i="27" s="1"/>
  <c r="FX128" i="27" a="1"/>
  <c r="FX128" i="27" s="1"/>
  <c r="FX127" i="27" a="1"/>
  <c r="FX127" i="27" s="1"/>
  <c r="FX126" i="27" a="1"/>
  <c r="FX126" i="27" s="1"/>
  <c r="FX125" i="27" a="1"/>
  <c r="FX125" i="27" s="1"/>
  <c r="EZ186" i="27" l="1"/>
  <c r="FS175" i="27"/>
  <c r="FS160" i="27"/>
  <c r="FS148" i="27"/>
  <c r="GA81" i="27" a="1"/>
  <c r="GA81" i="27" s="1"/>
  <c r="GA80" i="27" a="1"/>
  <c r="GA80" i="27" s="1"/>
  <c r="GA79" i="27" a="1"/>
  <c r="GA79" i="27" s="1"/>
  <c r="GA78" i="27" a="1"/>
  <c r="GA78" i="27" s="1"/>
  <c r="GA77" i="27" a="1"/>
  <c r="GA77" i="27" s="1"/>
  <c r="GA76" i="27" a="1"/>
  <c r="GA76" i="27" s="1"/>
  <c r="GA75" i="27" a="1"/>
  <c r="GA75" i="27" s="1"/>
  <c r="GA74" i="27" a="1"/>
  <c r="GA74" i="27" s="1"/>
  <c r="GA73" i="27" a="1"/>
  <c r="GA73" i="27" s="1"/>
  <c r="GA72" i="27" a="1"/>
  <c r="GA72" i="27" s="1"/>
  <c r="GA71" i="27" a="1"/>
  <c r="GA71" i="27" s="1"/>
  <c r="GA70" i="27" a="1"/>
  <c r="GA70" i="27" s="1"/>
  <c r="GA69" i="27" a="1"/>
  <c r="GA69" i="27" s="1"/>
  <c r="GA68" i="27" a="1"/>
  <c r="GA68" i="27" s="1"/>
  <c r="GA67" i="27" a="1"/>
  <c r="GA67" i="27" s="1"/>
  <c r="GA66" i="27" a="1"/>
  <c r="GA66" i="27" s="1"/>
  <c r="GA65" i="27" a="1"/>
  <c r="GA65" i="27" s="1"/>
  <c r="GA64" i="27" a="1"/>
  <c r="GA64" i="27" s="1"/>
  <c r="GA63" i="27" a="1"/>
  <c r="GA63" i="27" s="1"/>
  <c r="GA62" i="27" a="1"/>
  <c r="GA62" i="27" s="1"/>
  <c r="GA61" i="27" a="1"/>
  <c r="GA61" i="27" s="1"/>
  <c r="GA60" i="27" a="1"/>
  <c r="GA60" i="27" s="1"/>
  <c r="GA59" i="27" a="1"/>
  <c r="GA59" i="27" s="1"/>
  <c r="GA58" i="27" a="1"/>
  <c r="GA58" i="27" s="1"/>
  <c r="GA57" i="27" a="1"/>
  <c r="GA57" i="27" s="1"/>
  <c r="GA56" i="27" a="1"/>
  <c r="GA56" i="27" s="1"/>
  <c r="GA55" i="27" a="1"/>
  <c r="GA55" i="27" s="1"/>
  <c r="GA53" i="27" a="1"/>
  <c r="GA53" i="27" s="1"/>
  <c r="GA52" i="27" a="1"/>
  <c r="GA52" i="27" s="1"/>
  <c r="GA51" i="27" a="1"/>
  <c r="GA51" i="27" s="1"/>
  <c r="GA50" i="27" a="1"/>
  <c r="GA50" i="27" s="1"/>
  <c r="GA49" i="27" a="1"/>
  <c r="GA49" i="27" s="1"/>
  <c r="GA48" i="27" a="1"/>
  <c r="GA48" i="27" s="1"/>
  <c r="GA47" i="27" a="1"/>
  <c r="GA47" i="27" s="1"/>
  <c r="GA46" i="27" a="1"/>
  <c r="GA46" i="27" s="1"/>
  <c r="GA45" i="27" a="1"/>
  <c r="GA45" i="27" s="1"/>
  <c r="GA44" i="27" a="1"/>
  <c r="GA44" i="27" s="1"/>
  <c r="GA43" i="27" a="1"/>
  <c r="GA43" i="27" s="1"/>
  <c r="FZ81" i="27" a="1"/>
  <c r="FZ81" i="27" s="1"/>
  <c r="FZ80" i="27" a="1"/>
  <c r="FZ80" i="27" s="1"/>
  <c r="FZ79" i="27" a="1"/>
  <c r="FZ79" i="27" s="1"/>
  <c r="FZ78" i="27" a="1"/>
  <c r="FZ78" i="27" s="1"/>
  <c r="FZ77" i="27" a="1"/>
  <c r="FZ77" i="27" s="1"/>
  <c r="FZ76" i="27" a="1"/>
  <c r="FZ76" i="27" s="1"/>
  <c r="FZ75" i="27" a="1"/>
  <c r="FZ75" i="27" s="1"/>
  <c r="FZ74" i="27" a="1"/>
  <c r="FZ74" i="27" s="1"/>
  <c r="FZ73" i="27" a="1"/>
  <c r="FZ73" i="27" s="1"/>
  <c r="FZ72" i="27" a="1"/>
  <c r="FZ72" i="27" s="1"/>
  <c r="FZ71" i="27" a="1"/>
  <c r="FZ71" i="27" s="1"/>
  <c r="FZ70" i="27" a="1"/>
  <c r="FZ70" i="27" s="1"/>
  <c r="FZ69" i="27" a="1"/>
  <c r="FZ69" i="27" s="1"/>
  <c r="FZ68" i="27" a="1"/>
  <c r="FZ68" i="27" s="1"/>
  <c r="FZ67" i="27" a="1"/>
  <c r="FZ67" i="27" s="1"/>
  <c r="FZ66" i="27" a="1"/>
  <c r="FZ66" i="27" s="1"/>
  <c r="FZ65" i="27" a="1"/>
  <c r="FZ65" i="27" s="1"/>
  <c r="FZ64" i="27" a="1"/>
  <c r="FZ64" i="27" s="1"/>
  <c r="FZ63" i="27" a="1"/>
  <c r="FZ63" i="27" s="1"/>
  <c r="FZ62" i="27" a="1"/>
  <c r="FZ62" i="27" s="1"/>
  <c r="FZ61" i="27" a="1"/>
  <c r="FZ61" i="27" s="1"/>
  <c r="FZ60" i="27" a="1"/>
  <c r="FZ60" i="27" s="1"/>
  <c r="FZ59" i="27" a="1"/>
  <c r="FZ59" i="27" s="1"/>
  <c r="FZ58" i="27" a="1"/>
  <c r="FZ58" i="27" s="1"/>
  <c r="FZ57" i="27" a="1"/>
  <c r="FZ57" i="27" s="1"/>
  <c r="FZ56" i="27" a="1"/>
  <c r="FZ56" i="27" s="1"/>
  <c r="FZ55" i="27" a="1"/>
  <c r="FZ55" i="27" s="1"/>
  <c r="FZ53" i="27" a="1"/>
  <c r="FZ53" i="27" s="1"/>
  <c r="FZ52" i="27" a="1"/>
  <c r="FZ52" i="27" s="1"/>
  <c r="FZ51" i="27" a="1"/>
  <c r="FZ51" i="27" s="1"/>
  <c r="FZ50" i="27" a="1"/>
  <c r="FZ50" i="27" s="1"/>
  <c r="FZ49" i="27" a="1"/>
  <c r="FZ49" i="27" s="1"/>
  <c r="FZ48" i="27" a="1"/>
  <c r="FZ48" i="27" s="1"/>
  <c r="FZ47" i="27" a="1"/>
  <c r="FZ47" i="27" s="1"/>
  <c r="FZ46" i="27" a="1"/>
  <c r="FZ46" i="27" s="1"/>
  <c r="FZ45" i="27" a="1"/>
  <c r="FZ45" i="27" s="1"/>
  <c r="FZ44" i="27" a="1"/>
  <c r="FZ44" i="27" s="1"/>
  <c r="FZ43" i="27" a="1"/>
  <c r="FZ43" i="27" s="1"/>
  <c r="FY81" i="27" a="1"/>
  <c r="FY81" i="27" s="1"/>
  <c r="FY80" i="27" a="1"/>
  <c r="FY80" i="27" s="1"/>
  <c r="FY79" i="27" a="1"/>
  <c r="FY79" i="27" s="1"/>
  <c r="FY78" i="27" a="1"/>
  <c r="FY78" i="27" s="1"/>
  <c r="FY77" i="27" a="1"/>
  <c r="FY77" i="27" s="1"/>
  <c r="FY76" i="27" a="1"/>
  <c r="FY76" i="27" s="1"/>
  <c r="FY75" i="27" a="1"/>
  <c r="FY75" i="27" s="1"/>
  <c r="FY74" i="27" a="1"/>
  <c r="FY74" i="27" s="1"/>
  <c r="FY73" i="27" a="1"/>
  <c r="FY73" i="27" s="1"/>
  <c r="FY72" i="27" a="1"/>
  <c r="FY72" i="27" s="1"/>
  <c r="FY71" i="27" a="1"/>
  <c r="FY71" i="27" s="1"/>
  <c r="FY70" i="27" a="1"/>
  <c r="FY70" i="27" s="1"/>
  <c r="FY69" i="27" a="1"/>
  <c r="FY69" i="27" s="1"/>
  <c r="FY68" i="27" a="1"/>
  <c r="FY68" i="27" s="1"/>
  <c r="FY67" i="27" a="1"/>
  <c r="FY67" i="27" s="1"/>
  <c r="FY66" i="27" a="1"/>
  <c r="FY66" i="27" s="1"/>
  <c r="FY65" i="27" a="1"/>
  <c r="FY65" i="27" s="1"/>
  <c r="FY64" i="27" a="1"/>
  <c r="FY64" i="27" s="1"/>
  <c r="FY63" i="27" a="1"/>
  <c r="FY63" i="27" s="1"/>
  <c r="FY62" i="27" a="1"/>
  <c r="FY62" i="27" s="1"/>
  <c r="FY61" i="27" a="1"/>
  <c r="FY61" i="27" s="1"/>
  <c r="FY60" i="27" a="1"/>
  <c r="FY60" i="27" s="1"/>
  <c r="FY59" i="27" a="1"/>
  <c r="FY59" i="27" s="1"/>
  <c r="FY58" i="27" a="1"/>
  <c r="FY58" i="27" s="1"/>
  <c r="FY57" i="27" a="1"/>
  <c r="FY57" i="27" s="1"/>
  <c r="FY56" i="27" a="1"/>
  <c r="FY56" i="27" s="1"/>
  <c r="FY55" i="27" a="1"/>
  <c r="FY55" i="27" s="1"/>
  <c r="FY53" i="27" a="1"/>
  <c r="FY53" i="27" s="1"/>
  <c r="FY52" i="27" a="1"/>
  <c r="FY52" i="27" s="1"/>
  <c r="FY51" i="27" a="1"/>
  <c r="FY51" i="27" s="1"/>
  <c r="FY50" i="27" a="1"/>
  <c r="FY50" i="27" s="1"/>
  <c r="FY49" i="27" a="1"/>
  <c r="FY49" i="27" s="1"/>
  <c r="FY48" i="27" a="1"/>
  <c r="FY48" i="27" s="1"/>
  <c r="FY47" i="27" a="1"/>
  <c r="FY47" i="27" s="1"/>
  <c r="FY46" i="27" a="1"/>
  <c r="FY46" i="27" s="1"/>
  <c r="FY45" i="27" a="1"/>
  <c r="FY45" i="27" s="1"/>
  <c r="FY44" i="27" a="1"/>
  <c r="FY44" i="27" s="1"/>
  <c r="FY43" i="27" a="1"/>
  <c r="FY43" i="27" s="1"/>
  <c r="FX81" i="27" a="1"/>
  <c r="FX81" i="27" s="1"/>
  <c r="FX80" i="27" a="1"/>
  <c r="FX80" i="27" s="1"/>
  <c r="FX79" i="27" a="1"/>
  <c r="FX79" i="27" s="1"/>
  <c r="FX78" i="27" a="1"/>
  <c r="FX78" i="27" s="1"/>
  <c r="FX77" i="27" a="1"/>
  <c r="FX77" i="27" s="1"/>
  <c r="FX76" i="27" a="1"/>
  <c r="FX76" i="27" s="1"/>
  <c r="FX75" i="27" a="1"/>
  <c r="FX75" i="27" s="1"/>
  <c r="FX74" i="27" a="1"/>
  <c r="FX74" i="27" s="1"/>
  <c r="FX73" i="27" a="1"/>
  <c r="FX73" i="27" s="1"/>
  <c r="FX72" i="27" a="1"/>
  <c r="FX72" i="27" s="1"/>
  <c r="FX71" i="27" a="1"/>
  <c r="FX71" i="27" s="1"/>
  <c r="FX70" i="27" a="1"/>
  <c r="FX70" i="27" s="1"/>
  <c r="FX69" i="27" a="1"/>
  <c r="FX69" i="27" s="1"/>
  <c r="FX68" i="27" a="1"/>
  <c r="FX68" i="27" s="1"/>
  <c r="FX67" i="27" a="1"/>
  <c r="FX67" i="27" s="1"/>
  <c r="FX66" i="27" a="1"/>
  <c r="FX66" i="27" s="1"/>
  <c r="FX65" i="27" a="1"/>
  <c r="FX65" i="27" s="1"/>
  <c r="FX64" i="27" a="1"/>
  <c r="FX64" i="27" s="1"/>
  <c r="FX63" i="27" a="1"/>
  <c r="FX63" i="27" s="1"/>
  <c r="FX62" i="27" a="1"/>
  <c r="FX62" i="27" s="1"/>
  <c r="FX61" i="27" a="1"/>
  <c r="FX61" i="27" s="1"/>
  <c r="FX60" i="27" a="1"/>
  <c r="FX60" i="27" s="1"/>
  <c r="FX59" i="27" a="1"/>
  <c r="FX59" i="27" s="1"/>
  <c r="FX58" i="27" a="1"/>
  <c r="FX58" i="27" s="1"/>
  <c r="FX57" i="27" a="1"/>
  <c r="FX57" i="27" s="1"/>
  <c r="FX56" i="27" a="1"/>
  <c r="FX56" i="27" s="1"/>
  <c r="FX55" i="27" a="1"/>
  <c r="FX55" i="27" s="1"/>
  <c r="FX53" i="27" a="1"/>
  <c r="FX53" i="27" s="1"/>
  <c r="FX52" i="27" a="1"/>
  <c r="FX52" i="27" s="1"/>
  <c r="FX51" i="27" a="1"/>
  <c r="FX51" i="27" s="1"/>
  <c r="FX50" i="27" a="1"/>
  <c r="FX50" i="27" s="1"/>
  <c r="FX49" i="27" a="1"/>
  <c r="FX49" i="27" s="1"/>
  <c r="FX48" i="27" a="1"/>
  <c r="FX48" i="27" s="1"/>
  <c r="FX47" i="27" a="1"/>
  <c r="FX47" i="27" s="1"/>
  <c r="FX46" i="27" a="1"/>
  <c r="FX46" i="27" s="1"/>
  <c r="FX45" i="27" a="1"/>
  <c r="FX45" i="27" s="1"/>
  <c r="FX44" i="27" a="1"/>
  <c r="FX44" i="27" s="1"/>
  <c r="FX43" i="27" a="1"/>
  <c r="FX43" i="27" s="1"/>
  <c r="FX158" i="27" l="1" a="1"/>
  <c r="FX158" i="27" s="1"/>
  <c r="FX159" i="27" a="1"/>
  <c r="FX159" i="27" s="1"/>
  <c r="FX167" i="27" a="1"/>
  <c r="FX167" i="27" s="1"/>
  <c r="FX141" i="27" a="1"/>
  <c r="FX141" i="27" s="1"/>
  <c r="FX151" i="27" a="1"/>
  <c r="FX151" i="27" s="1"/>
  <c r="FX166" i="27" a="1"/>
  <c r="FX166" i="27" s="1"/>
  <c r="FX142" i="27" a="1"/>
  <c r="FX142" i="27" s="1"/>
  <c r="FX150" i="27" a="1"/>
  <c r="FX150" i="27" s="1"/>
  <c r="FX139" i="27" a="1"/>
  <c r="FX139" i="27" s="1"/>
  <c r="FX148" i="27" a="1"/>
  <c r="FX148" i="27" s="1"/>
  <c r="FX156" i="27" a="1"/>
  <c r="FX156" i="27" s="1"/>
  <c r="FX164" i="27" a="1"/>
  <c r="FX164" i="27" s="1"/>
  <c r="FX140" i="27" a="1"/>
  <c r="FX140" i="27" s="1"/>
  <c r="FX149" i="27" a="1"/>
  <c r="FX149" i="27" s="1"/>
  <c r="FX157" i="27" a="1"/>
  <c r="FX157" i="27" s="1"/>
  <c r="FX165" i="27" a="1"/>
  <c r="FX165" i="27" s="1"/>
  <c r="FX168" i="27" a="1"/>
  <c r="FX168" i="27" s="1"/>
  <c r="FX136" i="27" a="1"/>
  <c r="FX136" i="27" s="1"/>
  <c r="FX144" i="27" a="1"/>
  <c r="FX144" i="27" s="1"/>
  <c r="FX153" i="27" a="1"/>
  <c r="FX153" i="27" s="1"/>
  <c r="FX143" i="27" a="1"/>
  <c r="FX143" i="27" s="1"/>
  <c r="FX160" i="27" a="1"/>
  <c r="FX160" i="27" s="1"/>
  <c r="FX137" i="27" a="1"/>
  <c r="FX137" i="27" s="1"/>
  <c r="FX145" i="27" a="1"/>
  <c r="FX145" i="27" s="1"/>
  <c r="FX154" i="27" a="1"/>
  <c r="FX154" i="27" s="1"/>
  <c r="FX162" i="27" a="1"/>
  <c r="FX162" i="27" s="1"/>
  <c r="FX152" i="27" a="1"/>
  <c r="FX152" i="27" s="1"/>
  <c r="FX138" i="27" a="1"/>
  <c r="FX138" i="27" s="1"/>
  <c r="FX146" i="27" a="1"/>
  <c r="FX146" i="27" s="1"/>
  <c r="FX155" i="27" a="1"/>
  <c r="FX155" i="27" s="1"/>
  <c r="FX163" i="27" a="1"/>
  <c r="FX163" i="27" s="1"/>
  <c r="EZ169" i="27"/>
  <c r="EZ148" i="27"/>
  <c r="EZ150" i="27"/>
  <c r="EZ180" i="27"/>
  <c r="FS164" i="27"/>
  <c r="FS176" i="27"/>
  <c r="FS147" i="27"/>
  <c r="FS151" i="27"/>
  <c r="FS171" i="27"/>
  <c r="FS173" i="27"/>
  <c r="EZ160" i="27"/>
  <c r="EZ152" i="27"/>
  <c r="EZ173" i="27"/>
  <c r="EZ167" i="27"/>
  <c r="EZ151" i="27"/>
  <c r="FS146" i="27"/>
  <c r="FS141" i="27"/>
  <c r="FS153" i="27"/>
  <c r="EZ153" i="27"/>
  <c r="FS158" i="27"/>
  <c r="EZ183" i="27"/>
  <c r="FS150" i="27"/>
  <c r="EZ156" i="27"/>
  <c r="FS157" i="27"/>
  <c r="FS154" i="27"/>
  <c r="FS156" i="27"/>
  <c r="FS159" i="27"/>
  <c r="FS161" i="27"/>
  <c r="FS165" i="27"/>
  <c r="FS152" i="27"/>
  <c r="FS167" i="27"/>
  <c r="EZ182" i="27"/>
  <c r="EZ166" i="27"/>
  <c r="FS166" i="27"/>
  <c r="EZ184" i="27"/>
  <c r="FS169" i="27"/>
  <c r="FS168" i="27"/>
  <c r="EZ175" i="27"/>
  <c r="EZ177" i="27"/>
  <c r="EZ176" i="27"/>
  <c r="FS178" i="27"/>
  <c r="DS161" i="27"/>
  <c r="HV108" i="27" s="1"/>
  <c r="FS177" i="27"/>
  <c r="EZ172" i="27"/>
  <c r="FS143" i="27"/>
  <c r="FS149" i="27"/>
  <c r="EZ154" i="27"/>
  <c r="FS155" i="27"/>
  <c r="EZ159" i="27"/>
  <c r="EZ164" i="27"/>
  <c r="FS142" i="27"/>
  <c r="FS145" i="27"/>
  <c r="EZ149" i="27"/>
  <c r="FS162" i="27"/>
  <c r="EZ158" i="27"/>
  <c r="FS144" i="27"/>
  <c r="EZ162" i="27"/>
  <c r="FS163" i="27"/>
  <c r="EZ155" i="27"/>
  <c r="FS170" i="27"/>
  <c r="EZ181" i="27"/>
  <c r="EZ163" i="27"/>
  <c r="EZ157" i="27"/>
  <c r="EZ168" i="27"/>
  <c r="FS172" i="27"/>
  <c r="FS179" i="27"/>
  <c r="EZ165" i="27"/>
  <c r="EZ171" i="27"/>
  <c r="EZ170" i="27"/>
  <c r="EZ179" i="27"/>
  <c r="EZ161" i="27"/>
  <c r="EZ178" i="27"/>
  <c r="FS174" i="27"/>
  <c r="EZ174" i="27"/>
  <c r="EZ185" i="27"/>
  <c r="M264" i="48"/>
  <c r="M250" i="48"/>
  <c r="M236" i="48"/>
  <c r="DG5" i="27"/>
  <c r="CZ5" i="27"/>
  <c r="J264" i="48"/>
  <c r="J250" i="48"/>
  <c r="J236" i="48"/>
  <c r="DG4" i="27"/>
  <c r="CZ4" i="27"/>
  <c r="FE120" i="27" l="1" a="1"/>
  <c r="FE120" i="27" s="1"/>
  <c r="FE103" i="27" a="1"/>
  <c r="FE103" i="27" s="1"/>
  <c r="FE84" i="27" a="1"/>
  <c r="FE84" i="27" s="1"/>
  <c r="FE68" i="27" a="1"/>
  <c r="FE68" i="27" s="1"/>
  <c r="FG131" i="27" a="1"/>
  <c r="FG131" i="27" s="1"/>
  <c r="FG115" i="27" a="1"/>
  <c r="FG115" i="27" s="1"/>
  <c r="FG98" i="27" a="1"/>
  <c r="FG98" i="27" s="1"/>
  <c r="FG79" i="27" a="1"/>
  <c r="FG79" i="27" s="1"/>
  <c r="FG62" i="27" a="1"/>
  <c r="FG62" i="27" s="1"/>
  <c r="FF127" i="27" a="1"/>
  <c r="FF127" i="27" s="1"/>
  <c r="FF111" i="27" a="1"/>
  <c r="FF111" i="27" s="1"/>
  <c r="FF91" i="27" a="1"/>
  <c r="FF91" i="27" s="1"/>
  <c r="FF75" i="27" a="1"/>
  <c r="FF75" i="27" s="1"/>
  <c r="FF58" i="27" a="1"/>
  <c r="FF58" i="27" s="1"/>
  <c r="FH124" i="27" a="1"/>
  <c r="FH124" i="27" s="1"/>
  <c r="FH108" i="27" a="1"/>
  <c r="FH108" i="27" s="1"/>
  <c r="FH88" i="27" a="1"/>
  <c r="FH88" i="27" s="1"/>
  <c r="FH72" i="27" a="1"/>
  <c r="FH72" i="27" s="1"/>
  <c r="FH55" i="27" a="1"/>
  <c r="FH55" i="27" s="1"/>
  <c r="FF103" i="27" a="1"/>
  <c r="FF103" i="27" s="1"/>
  <c r="FF68" i="27" a="1"/>
  <c r="FF68" i="27" s="1"/>
  <c r="FE75" i="27" a="1"/>
  <c r="FE75" i="27" s="1"/>
  <c r="FH127" i="27" a="1"/>
  <c r="FH127" i="27" s="1"/>
  <c r="FH91" i="27" a="1"/>
  <c r="FH91" i="27" s="1"/>
  <c r="FH58" i="27" a="1"/>
  <c r="FH58" i="27" s="1"/>
  <c r="FE98" i="27" a="1"/>
  <c r="FE98" i="27" s="1"/>
  <c r="FG92" i="27" a="1"/>
  <c r="FG92" i="27" s="1"/>
  <c r="FG114" i="27" a="1"/>
  <c r="FG114" i="27" s="1"/>
  <c r="FG78" i="27" a="1"/>
  <c r="FG78" i="27" s="1"/>
  <c r="FF126" i="27" a="1"/>
  <c r="FF126" i="27" s="1"/>
  <c r="FF90" i="27" a="1"/>
  <c r="FF90" i="27" s="1"/>
  <c r="FF57" i="27" a="1"/>
  <c r="FF57" i="27" s="1"/>
  <c r="FE56" i="27" a="1"/>
  <c r="FE56" i="27" s="1"/>
  <c r="FH125" i="27" a="1"/>
  <c r="FH125" i="27" s="1"/>
  <c r="FH89" i="27" a="1"/>
  <c r="FH89" i="27" s="1"/>
  <c r="FH56" i="27" a="1"/>
  <c r="FH56" i="27" s="1"/>
  <c r="FE89" i="27" a="1"/>
  <c r="FE89" i="27" s="1"/>
  <c r="FG63" i="27" a="1"/>
  <c r="FG63" i="27" s="1"/>
  <c r="FE134" i="27" a="1"/>
  <c r="FE134" i="27" s="1"/>
  <c r="FE118" i="27" a="1"/>
  <c r="FE118" i="27" s="1"/>
  <c r="FE101" i="27" a="1"/>
  <c r="FE101" i="27" s="1"/>
  <c r="FE82" i="27" a="1"/>
  <c r="FE82" i="27" s="1"/>
  <c r="FE66" i="27" a="1"/>
  <c r="FE66" i="27" s="1"/>
  <c r="FG129" i="27" a="1"/>
  <c r="FG129" i="27" s="1"/>
  <c r="FG113" i="27" a="1"/>
  <c r="FG113" i="27" s="1"/>
  <c r="FG96" i="27" a="1"/>
  <c r="FG96" i="27" s="1"/>
  <c r="FG77" i="27" a="1"/>
  <c r="FG77" i="27" s="1"/>
  <c r="FG60" i="27" a="1"/>
  <c r="FG60" i="27" s="1"/>
  <c r="FF125" i="27" a="1"/>
  <c r="FF125" i="27" s="1"/>
  <c r="FF109" i="27" a="1"/>
  <c r="FF109" i="27" s="1"/>
  <c r="FF89" i="27" a="1"/>
  <c r="FF89" i="27" s="1"/>
  <c r="FF73" i="27" a="1"/>
  <c r="FF73" i="27" s="1"/>
  <c r="FF56" i="27" a="1"/>
  <c r="FF56" i="27" s="1"/>
  <c r="FH122" i="27" a="1"/>
  <c r="FH122" i="27" s="1"/>
  <c r="FH105" i="27" a="1"/>
  <c r="FH105" i="27" s="1"/>
  <c r="FH86" i="27" a="1"/>
  <c r="FH86" i="27" s="1"/>
  <c r="FH70" i="27" a="1"/>
  <c r="FH70" i="27" s="1"/>
  <c r="FF132" i="27" a="1"/>
  <c r="FF132" i="27" s="1"/>
  <c r="FF99" i="27" a="1"/>
  <c r="FF99" i="27" s="1"/>
  <c r="FF63" i="27" a="1"/>
  <c r="FF63" i="27" s="1"/>
  <c r="FE67" i="27" a="1"/>
  <c r="FE67" i="27" s="1"/>
  <c r="FH123" i="27" a="1"/>
  <c r="FH123" i="27" s="1"/>
  <c r="FH87" i="27" a="1"/>
  <c r="FH87" i="27" s="1"/>
  <c r="FH54" i="27" a="1"/>
  <c r="FH54" i="27" s="1"/>
  <c r="FE87" i="27" a="1"/>
  <c r="FE87" i="27" s="1"/>
  <c r="FG72" i="27" a="1"/>
  <c r="FG72" i="27" s="1"/>
  <c r="FG110" i="27" a="1"/>
  <c r="FG110" i="27" s="1"/>
  <c r="FG74" i="27" a="1"/>
  <c r="FG74" i="27" s="1"/>
  <c r="FF122" i="27" a="1"/>
  <c r="FF122" i="27" s="1"/>
  <c r="FF86" i="27" a="1"/>
  <c r="FF86" i="27" s="1"/>
  <c r="FE113" i="27" a="1"/>
  <c r="FE113" i="27" s="1"/>
  <c r="FG124" i="27" a="1"/>
  <c r="FG124" i="27" s="1"/>
  <c r="FH121" i="27" a="1"/>
  <c r="FH121" i="27" s="1"/>
  <c r="FH85" i="27" a="1"/>
  <c r="FH85" i="27" s="1"/>
  <c r="FE133" i="27" a="1"/>
  <c r="FE133" i="27" s="1"/>
  <c r="FE77" i="27" a="1"/>
  <c r="FE77" i="27" s="1"/>
  <c r="FE132" i="27" a="1"/>
  <c r="FE132" i="27" s="1"/>
  <c r="FE116" i="27" a="1"/>
  <c r="FE116" i="27" s="1"/>
  <c r="FE99" i="27" a="1"/>
  <c r="FE99" i="27" s="1"/>
  <c r="FE80" i="27" a="1"/>
  <c r="FE80" i="27" s="1"/>
  <c r="FE63" i="27" a="1"/>
  <c r="FE63" i="27" s="1"/>
  <c r="FG127" i="27" a="1"/>
  <c r="FG127" i="27" s="1"/>
  <c r="FG111" i="27" a="1"/>
  <c r="FG111" i="27" s="1"/>
  <c r="FG91" i="27" a="1"/>
  <c r="FG91" i="27" s="1"/>
  <c r="FG75" i="27" a="1"/>
  <c r="FG75" i="27" s="1"/>
  <c r="FG58" i="27" a="1"/>
  <c r="FG58" i="27" s="1"/>
  <c r="FF123" i="27" a="1"/>
  <c r="FF123" i="27" s="1"/>
  <c r="FF106" i="27" a="1"/>
  <c r="FF106" i="27" s="1"/>
  <c r="FF87" i="27" a="1"/>
  <c r="FF87" i="27" s="1"/>
  <c r="FF71" i="27" a="1"/>
  <c r="FF71" i="27" s="1"/>
  <c r="FF54" i="27" a="1"/>
  <c r="FF54" i="27" s="1"/>
  <c r="FH120" i="27" a="1"/>
  <c r="FH120" i="27" s="1"/>
  <c r="FH103" i="27" a="1"/>
  <c r="FH103" i="27" s="1"/>
  <c r="FH84" i="27" a="1"/>
  <c r="FH84" i="27" s="1"/>
  <c r="FH68" i="27" a="1"/>
  <c r="FH68" i="27" s="1"/>
  <c r="FF128" i="27" a="1"/>
  <c r="FF128" i="27" s="1"/>
  <c r="FF92" i="27" a="1"/>
  <c r="FF92" i="27" s="1"/>
  <c r="FF59" i="27" a="1"/>
  <c r="FF59" i="27" s="1"/>
  <c r="FE58" i="27" a="1"/>
  <c r="FE58" i="27" s="1"/>
  <c r="FH119" i="27" a="1"/>
  <c r="FH119" i="27" s="1"/>
  <c r="FH83" i="27" a="1"/>
  <c r="FH83" i="27" s="1"/>
  <c r="FE131" i="27" a="1"/>
  <c r="FE131" i="27" s="1"/>
  <c r="FE79" i="27" a="1"/>
  <c r="FE79" i="27" s="1"/>
  <c r="FG55" i="27" a="1"/>
  <c r="FG55" i="27" s="1"/>
  <c r="FG105" i="27" a="1"/>
  <c r="FG105" i="27" s="1"/>
  <c r="FG70" i="27" a="1"/>
  <c r="FG70" i="27" s="1"/>
  <c r="FF118" i="27" a="1"/>
  <c r="FF118" i="27" s="1"/>
  <c r="FF82" i="27" a="1"/>
  <c r="FF82" i="27" s="1"/>
  <c r="FE104" i="27" a="1"/>
  <c r="FE104" i="27" s="1"/>
  <c r="FG108" i="27" a="1"/>
  <c r="FG108" i="27" s="1"/>
  <c r="FH117" i="27" a="1"/>
  <c r="FH117" i="27" s="1"/>
  <c r="FH81" i="27" a="1"/>
  <c r="FH81" i="27" s="1"/>
  <c r="FE129" i="27" a="1"/>
  <c r="FE129" i="27" s="1"/>
  <c r="FE69" i="27" a="1"/>
  <c r="FE69" i="27" s="1"/>
  <c r="FE126" i="27" a="1"/>
  <c r="FE126" i="27" s="1"/>
  <c r="FE110" i="27" a="1"/>
  <c r="FE110" i="27" s="1"/>
  <c r="FE90" i="27" a="1"/>
  <c r="FE90" i="27" s="1"/>
  <c r="FE74" i="27" a="1"/>
  <c r="FE74" i="27" s="1"/>
  <c r="FE57" i="27" a="1"/>
  <c r="FE57" i="27" s="1"/>
  <c r="FG121" i="27" a="1"/>
  <c r="FG121" i="27" s="1"/>
  <c r="FG104" i="27" a="1"/>
  <c r="FG104" i="27" s="1"/>
  <c r="FG85" i="27" a="1"/>
  <c r="FG85" i="27" s="1"/>
  <c r="FG69" i="27" a="1"/>
  <c r="FG69" i="27" s="1"/>
  <c r="FF133" i="27" a="1"/>
  <c r="FF133" i="27" s="1"/>
  <c r="FF117" i="27" a="1"/>
  <c r="FF117" i="27" s="1"/>
  <c r="FF100" i="27" a="1"/>
  <c r="FF100" i="27" s="1"/>
  <c r="FF81" i="27" a="1"/>
  <c r="FF81" i="27" s="1"/>
  <c r="FF64" i="27" a="1"/>
  <c r="FF64" i="27" s="1"/>
  <c r="FH130" i="27" a="1"/>
  <c r="FH130" i="27" s="1"/>
  <c r="FH114" i="27" a="1"/>
  <c r="FH114" i="27" s="1"/>
  <c r="FH97" i="27" a="1"/>
  <c r="FH97" i="27" s="1"/>
  <c r="FH78" i="27" a="1"/>
  <c r="FH78" i="27" s="1"/>
  <c r="FH61" i="27" a="1"/>
  <c r="FH61" i="27" s="1"/>
  <c r="FF116" i="27" a="1"/>
  <c r="FF116" i="27" s="1"/>
  <c r="FF80" i="27" a="1"/>
  <c r="FF80" i="27" s="1"/>
  <c r="FE102" i="27" a="1"/>
  <c r="FE102" i="27" s="1"/>
  <c r="FG88" i="27" a="1"/>
  <c r="FG88" i="27" s="1"/>
  <c r="FH106" i="27" a="1"/>
  <c r="FH106" i="27" s="1"/>
  <c r="FH71" i="27" a="1"/>
  <c r="FH71" i="27" s="1"/>
  <c r="FE119" i="27" a="1"/>
  <c r="FE119" i="27" s="1"/>
  <c r="FE54" i="27" a="1"/>
  <c r="FE54" i="27" s="1"/>
  <c r="FG126" i="27" a="1"/>
  <c r="FG126" i="27" s="1"/>
  <c r="FG90" i="27" a="1"/>
  <c r="FG90" i="27" s="1"/>
  <c r="FG57" i="27" a="1"/>
  <c r="FG57" i="27" s="1"/>
  <c r="FF105" i="27" a="1"/>
  <c r="FF105" i="27" s="1"/>
  <c r="FF70" i="27" a="1"/>
  <c r="FF70" i="27" s="1"/>
  <c r="FE81" i="27" a="1"/>
  <c r="FE81" i="27" s="1"/>
  <c r="FG59" i="27" a="1"/>
  <c r="FG59" i="27" s="1"/>
  <c r="FH104" i="27" a="1"/>
  <c r="FH104" i="27" s="1"/>
  <c r="FH69" i="27" a="1"/>
  <c r="FH69" i="27" s="1"/>
  <c r="FE117" i="27" a="1"/>
  <c r="FE117" i="27" s="1"/>
  <c r="FG112" i="27" a="1"/>
  <c r="FG112" i="27" s="1"/>
  <c r="FE105" i="27" a="1"/>
  <c r="FE105" i="27" s="1"/>
  <c r="FE70" i="27" a="1"/>
  <c r="FE70" i="27" s="1"/>
  <c r="FG117" i="27" a="1"/>
  <c r="FG117" i="27" s="1"/>
  <c r="FG81" i="27" a="1"/>
  <c r="FG81" i="27" s="1"/>
  <c r="FF129" i="27" a="1"/>
  <c r="FF129" i="27" s="1"/>
  <c r="FF96" i="27" a="1"/>
  <c r="FF96" i="27" s="1"/>
  <c r="FF60" i="27" a="1"/>
  <c r="FF60" i="27" s="1"/>
  <c r="FH110" i="27" a="1"/>
  <c r="FH110" i="27" s="1"/>
  <c r="FH74" i="27" a="1"/>
  <c r="FH74" i="27" s="1"/>
  <c r="FF108" i="27" a="1"/>
  <c r="FF108" i="27" s="1"/>
  <c r="FE83" i="27" a="1"/>
  <c r="FE83" i="27" s="1"/>
  <c r="FH98" i="27" a="1"/>
  <c r="FH98" i="27" s="1"/>
  <c r="FE106" i="27" a="1"/>
  <c r="FE106" i="27" s="1"/>
  <c r="FG118" i="27" a="1"/>
  <c r="FG118" i="27" s="1"/>
  <c r="FF130" i="27" a="1"/>
  <c r="FF130" i="27" s="1"/>
  <c r="FF61" i="27" a="1"/>
  <c r="FF61" i="27" s="1"/>
  <c r="FH129" i="27" a="1"/>
  <c r="FH129" i="27" s="1"/>
  <c r="FH60" i="27" a="1"/>
  <c r="FH60" i="27" s="1"/>
  <c r="FG80" i="27" a="1"/>
  <c r="FG80" i="27" s="1"/>
  <c r="FE130" i="27" a="1"/>
  <c r="FE130" i="27" s="1"/>
  <c r="FE97" i="27" a="1"/>
  <c r="FE97" i="27" s="1"/>
  <c r="FE61" i="27" a="1"/>
  <c r="FE61" i="27" s="1"/>
  <c r="FG109" i="27" a="1"/>
  <c r="FG109" i="27" s="1"/>
  <c r="FG73" i="27" a="1"/>
  <c r="FG73" i="27" s="1"/>
  <c r="FF121" i="27" a="1"/>
  <c r="FF121" i="27" s="1"/>
  <c r="FF85" i="27" a="1"/>
  <c r="FF85" i="27" s="1"/>
  <c r="FH134" i="27" a="1"/>
  <c r="FH134" i="27" s="1"/>
  <c r="FH101" i="27" a="1"/>
  <c r="FH101" i="27" s="1"/>
  <c r="FH66" i="27" a="1"/>
  <c r="FH66" i="27" s="1"/>
  <c r="FF88" i="27" a="1"/>
  <c r="FF88" i="27" s="1"/>
  <c r="FG120" i="27" a="1"/>
  <c r="FG120" i="27" s="1"/>
  <c r="FH79" i="27" a="1"/>
  <c r="FH79" i="27" s="1"/>
  <c r="FE71" i="27" a="1"/>
  <c r="FE71" i="27" s="1"/>
  <c r="FG101" i="27" a="1"/>
  <c r="FG101" i="27" s="1"/>
  <c r="FF114" i="27" a="1"/>
  <c r="FF114" i="27" s="1"/>
  <c r="FE96" i="27" a="1"/>
  <c r="FE96" i="27" s="1"/>
  <c r="FH113" i="27" a="1"/>
  <c r="FH113" i="27" s="1"/>
  <c r="FE125" i="27" a="1"/>
  <c r="FE125" i="27" s="1"/>
  <c r="FE128" i="27" a="1"/>
  <c r="FE128" i="27" s="1"/>
  <c r="FE92" i="27" a="1"/>
  <c r="FE92" i="27" s="1"/>
  <c r="FE59" i="27" a="1"/>
  <c r="FE59" i="27" s="1"/>
  <c r="FG106" i="27" a="1"/>
  <c r="FG106" i="27" s="1"/>
  <c r="FG71" i="27" a="1"/>
  <c r="FG71" i="27" s="1"/>
  <c r="FF119" i="27" a="1"/>
  <c r="FF119" i="27" s="1"/>
  <c r="FF83" i="27" a="1"/>
  <c r="FF83" i="27" s="1"/>
  <c r="FH132" i="27" a="1"/>
  <c r="FH132" i="27" s="1"/>
  <c r="FH99" i="27" a="1"/>
  <c r="FH99" i="27" s="1"/>
  <c r="FH63" i="27" a="1"/>
  <c r="FH63" i="27" s="1"/>
  <c r="FE207" i="27" s="1" a="1"/>
  <c r="FE207" i="27" s="1"/>
  <c r="FF84" i="27" a="1"/>
  <c r="FF84" i="27" s="1"/>
  <c r="FG103" i="27" a="1"/>
  <c r="FG103" i="27" s="1"/>
  <c r="FH75" i="27" a="1"/>
  <c r="FH75" i="27" s="1"/>
  <c r="FE62" i="27" a="1"/>
  <c r="FE62" i="27" s="1"/>
  <c r="FG97" i="27" a="1"/>
  <c r="FG97" i="27" s="1"/>
  <c r="FF110" i="27" a="1"/>
  <c r="FF110" i="27" s="1"/>
  <c r="FE85" i="27" a="1"/>
  <c r="FE85" i="27" s="1"/>
  <c r="FH109" i="27" a="1"/>
  <c r="FH109" i="27" s="1"/>
  <c r="FE121" i="27" a="1"/>
  <c r="FE121" i="27" s="1"/>
  <c r="FE124" i="27" a="1"/>
  <c r="FE124" i="27" s="1"/>
  <c r="FE88" i="27" a="1"/>
  <c r="FE88" i="27" s="1"/>
  <c r="FE55" i="27" a="1"/>
  <c r="FE55" i="27" s="1"/>
  <c r="FG102" i="27" a="1"/>
  <c r="FG102" i="27" s="1"/>
  <c r="FG67" i="27" a="1"/>
  <c r="FG67" i="27" s="1"/>
  <c r="FF115" i="27" a="1"/>
  <c r="FF115" i="27" s="1"/>
  <c r="FF79" i="27" a="1"/>
  <c r="FF79" i="27" s="1"/>
  <c r="FE114" i="27" a="1"/>
  <c r="FE114" i="27" s="1"/>
  <c r="FE78" i="27" a="1"/>
  <c r="FE78" i="27" s="1"/>
  <c r="FG125" i="27" a="1"/>
  <c r="FG125" i="27" s="1"/>
  <c r="FG89" i="27" a="1"/>
  <c r="FG89" i="27" s="1"/>
  <c r="FG56" i="27" a="1"/>
  <c r="FG56" i="27" s="1"/>
  <c r="FF104" i="27" a="1"/>
  <c r="FF104" i="27" s="1"/>
  <c r="FF69" i="27" a="1"/>
  <c r="FF69" i="27" s="1"/>
  <c r="FH118" i="27" a="1"/>
  <c r="FH118" i="27" s="1"/>
  <c r="FH82" i="27" a="1"/>
  <c r="FH82" i="27" s="1"/>
  <c r="FF124" i="27" a="1"/>
  <c r="FF124" i="27" s="1"/>
  <c r="FF55" i="27" a="1"/>
  <c r="FF55" i="27" s="1"/>
  <c r="FH115" i="27" a="1"/>
  <c r="FH115" i="27" s="1"/>
  <c r="FE127" i="27" a="1"/>
  <c r="FE127" i="27" s="1"/>
  <c r="FG134" i="27" a="1"/>
  <c r="FG134" i="27" s="1"/>
  <c r="FG66" i="27" a="1"/>
  <c r="FG66" i="27" s="1"/>
  <c r="FF78" i="27" a="1"/>
  <c r="FF78" i="27" s="1"/>
  <c r="FG84" i="27" a="1"/>
  <c r="FG84" i="27" s="1"/>
  <c r="FH77" i="27" a="1"/>
  <c r="FH77" i="27" s="1"/>
  <c r="FE60" i="27" a="1"/>
  <c r="FE60" i="27" s="1"/>
  <c r="FE112" i="27" a="1"/>
  <c r="FE112" i="27" s="1"/>
  <c r="FE76" i="27" a="1"/>
  <c r="FE76" i="27" s="1"/>
  <c r="FG123" i="27" a="1"/>
  <c r="FG123" i="27" s="1"/>
  <c r="FG87" i="27" a="1"/>
  <c r="FG87" i="27" s="1"/>
  <c r="FG54" i="27" a="1"/>
  <c r="FG54" i="27" s="1"/>
  <c r="FF102" i="27" a="1"/>
  <c r="FF102" i="27" s="1"/>
  <c r="FF67" i="27" a="1"/>
  <c r="FF67" i="27" s="1"/>
  <c r="FH116" i="27" a="1"/>
  <c r="FH116" i="27" s="1"/>
  <c r="FH80" i="27" a="1"/>
  <c r="FH80" i="27" s="1"/>
  <c r="FF120" i="27" a="1"/>
  <c r="FF120" i="27" s="1"/>
  <c r="FE111" i="27" a="1"/>
  <c r="FE111" i="27" s="1"/>
  <c r="FH111" i="27" a="1"/>
  <c r="FH111" i="27" s="1"/>
  <c r="FE123" i="27" a="1"/>
  <c r="FE123" i="27" s="1"/>
  <c r="FG130" i="27" a="1"/>
  <c r="FG130" i="27" s="1"/>
  <c r="FG61" i="27" a="1"/>
  <c r="FG61" i="27" s="1"/>
  <c r="FF74" i="27" a="1"/>
  <c r="FF74" i="27" s="1"/>
  <c r="FG76" i="27" a="1"/>
  <c r="FG76" i="27" s="1"/>
  <c r="FH73" i="27" a="1"/>
  <c r="FH73" i="27" s="1"/>
  <c r="FG132" i="27" a="1"/>
  <c r="FG132" i="27" s="1"/>
  <c r="FG83" i="27" a="1"/>
  <c r="FG83" i="27" s="1"/>
  <c r="FH126" i="27" a="1"/>
  <c r="FH126" i="27" s="1"/>
  <c r="FF76" i="27" a="1"/>
  <c r="FF76" i="27" s="1"/>
  <c r="FE115" i="27" a="1"/>
  <c r="FE115" i="27" s="1"/>
  <c r="FF97" i="27" a="1"/>
  <c r="FF97" i="27" s="1"/>
  <c r="FE109" i="27" a="1"/>
  <c r="FE109" i="27" s="1"/>
  <c r="FG86" i="27" a="1"/>
  <c r="FG86" i="27" s="1"/>
  <c r="FE122" i="27" a="1"/>
  <c r="FE122" i="27" s="1"/>
  <c r="FG64" i="27" a="1"/>
  <c r="FG64" i="27" s="1"/>
  <c r="FH112" i="27" a="1"/>
  <c r="FH112" i="27" s="1"/>
  <c r="FF72" i="27" a="1"/>
  <c r="FF72" i="27" s="1"/>
  <c r="FG128" i="27" a="1"/>
  <c r="FG128" i="27" s="1"/>
  <c r="FF66" i="27" a="1"/>
  <c r="FF66" i="27" s="1"/>
  <c r="FE100" i="27" a="1"/>
  <c r="FE100" i="27" s="1"/>
  <c r="FE108" i="27" a="1"/>
  <c r="FE108" i="27" s="1"/>
  <c r="FF131" i="27" a="1"/>
  <c r="FF131" i="27" s="1"/>
  <c r="FH92" i="27" a="1"/>
  <c r="FH92" i="27" s="1"/>
  <c r="FE91" i="27" a="1"/>
  <c r="FE91" i="27" s="1"/>
  <c r="FG116" i="27" a="1"/>
  <c r="FG116" i="27" s="1"/>
  <c r="FE73" i="27" a="1"/>
  <c r="FE73" i="27" s="1"/>
  <c r="FG99" i="27" a="1"/>
  <c r="FG99" i="27" s="1"/>
  <c r="FE86" i="27" a="1"/>
  <c r="FE86" i="27" s="1"/>
  <c r="FF113" i="27" a="1"/>
  <c r="FF113" i="27" s="1"/>
  <c r="FH90" i="27" a="1"/>
  <c r="FH90" i="27" s="1"/>
  <c r="FG68" i="27" a="1"/>
  <c r="FG68" i="27" s="1"/>
  <c r="FG122" i="27" a="1"/>
  <c r="FG122" i="27" s="1"/>
  <c r="FE64" i="27" a="1"/>
  <c r="FE64" i="27" s="1"/>
  <c r="FE72" i="27" a="1"/>
  <c r="FE72" i="27" s="1"/>
  <c r="FH76" i="27" a="1"/>
  <c r="FH76" i="27" s="1"/>
  <c r="FH131" i="27" a="1"/>
  <c r="FH131" i="27" s="1"/>
  <c r="FH133" i="27" a="1"/>
  <c r="FH133" i="27" s="1"/>
  <c r="FG133" i="27" a="1"/>
  <c r="FG133" i="27" s="1"/>
  <c r="FF77" i="27" a="1"/>
  <c r="FF77" i="27" s="1"/>
  <c r="FH59" i="27" a="1"/>
  <c r="FH59" i="27" s="1"/>
  <c r="FE203" i="27" s="1" a="1"/>
  <c r="FE203" i="27" s="1"/>
  <c r="FH102" i="27" a="1"/>
  <c r="FH102" i="27" s="1"/>
  <c r="FG82" i="27" a="1"/>
  <c r="FG82" i="27" s="1"/>
  <c r="FH100" i="27" a="1"/>
  <c r="FH100" i="27" s="1"/>
  <c r="FG119" i="27" a="1"/>
  <c r="FG119" i="27" s="1"/>
  <c r="FF62" i="27" a="1"/>
  <c r="FF62" i="27" s="1"/>
  <c r="FH57" i="27" a="1"/>
  <c r="FH57" i="27" s="1"/>
  <c r="FH67" i="27" a="1"/>
  <c r="FH67" i="27" s="1"/>
  <c r="FF134" i="27" a="1"/>
  <c r="FF134" i="27" s="1"/>
  <c r="FH96" i="27" a="1"/>
  <c r="FH96" i="27" s="1"/>
  <c r="FG100" i="27" a="1"/>
  <c r="FG100" i="27" s="1"/>
  <c r="FH128" i="27" a="1"/>
  <c r="FH128" i="27" s="1"/>
  <c r="FF112" i="27" a="1"/>
  <c r="FF112" i="27" s="1"/>
  <c r="FH62" i="27" a="1"/>
  <c r="FH62" i="27" s="1"/>
  <c r="FF101" i="27" a="1"/>
  <c r="FF101" i="27" s="1"/>
  <c r="FH64" i="27" a="1"/>
  <c r="FH64" i="27" s="1"/>
  <c r="FF98" i="27" a="1"/>
  <c r="FF98" i="27" s="1"/>
  <c r="EX123" i="27" a="1"/>
  <c r="EX123" i="27" s="1"/>
  <c r="EX139" i="27" a="1"/>
  <c r="EX139" i="27" s="1"/>
  <c r="EX116" i="27" a="1"/>
  <c r="EX116" i="27" s="1"/>
  <c r="EX122" i="27" a="1"/>
  <c r="EX122" i="27" s="1"/>
  <c r="EX110" i="27" a="1"/>
  <c r="EX110" i="27" s="1"/>
  <c r="EY123" i="27" a="1"/>
  <c r="EY123" i="27" s="1"/>
  <c r="EX98" i="27" a="1"/>
  <c r="EX98" i="27" s="1"/>
  <c r="EX82" i="27" a="1"/>
  <c r="EX82" i="27" s="1"/>
  <c r="EX65" i="27" a="1"/>
  <c r="EX65" i="27" s="1"/>
  <c r="EX126" i="27" a="1"/>
  <c r="EX126" i="27" s="1"/>
  <c r="EX125" i="27" a="1"/>
  <c r="EX125" i="27" s="1"/>
  <c r="EX132" i="27" a="1"/>
  <c r="EX132" i="27" s="1"/>
  <c r="EX130" i="27" a="1"/>
  <c r="EX130" i="27" s="1"/>
  <c r="EW118" i="27" a="1"/>
  <c r="EW118" i="27" s="1"/>
  <c r="EX92" i="27" a="1"/>
  <c r="EX92" i="27" s="1"/>
  <c r="EX74" i="27" a="1"/>
  <c r="EX74" i="27" s="1"/>
  <c r="EV128" i="27" a="1"/>
  <c r="EV128" i="27" s="1"/>
  <c r="EY68" i="27" a="1"/>
  <c r="EY68" i="27" s="1"/>
  <c r="EX85" i="27" a="1"/>
  <c r="EX85" i="27" s="1"/>
  <c r="EY109" i="27" a="1"/>
  <c r="EY109" i="27" s="1"/>
  <c r="EV134" i="27" a="1"/>
  <c r="EV134" i="27" s="1"/>
  <c r="EY111" i="27" a="1"/>
  <c r="EY111" i="27" s="1"/>
  <c r="EW90" i="27" a="1"/>
  <c r="EW90" i="27" s="1"/>
  <c r="EW74" i="27" a="1"/>
  <c r="EW74" i="27" s="1"/>
  <c r="EW117" i="27" a="1"/>
  <c r="EW117" i="27" s="1"/>
  <c r="EW138" i="27" a="1"/>
  <c r="EW138" i="27" s="1"/>
  <c r="EX73" i="27" a="1"/>
  <c r="EX73" i="27" s="1"/>
  <c r="EY80" i="27" a="1"/>
  <c r="EY80" i="27" s="1"/>
  <c r="EY125" i="27" a="1"/>
  <c r="EY125" i="27" s="1"/>
  <c r="EW103" i="27" a="1"/>
  <c r="EW103" i="27" s="1"/>
  <c r="EV84" i="27" a="1"/>
  <c r="EV84" i="27" s="1"/>
  <c r="EV67" i="27" a="1"/>
  <c r="EV67" i="27" s="1"/>
  <c r="EY105" i="27" a="1"/>
  <c r="EY105" i="27" s="1"/>
  <c r="EV133" i="27" a="1"/>
  <c r="EV133" i="27" s="1"/>
  <c r="EX75" i="27" a="1"/>
  <c r="EX75" i="27" s="1"/>
  <c r="EY84" i="27" a="1"/>
  <c r="EY84" i="27" s="1"/>
  <c r="EW127" i="27" a="1"/>
  <c r="EW127" i="27" s="1"/>
  <c r="EV105" i="27" a="1"/>
  <c r="EV105" i="27" s="1"/>
  <c r="EW85" i="27" a="1"/>
  <c r="EW85" i="27" s="1"/>
  <c r="EW68" i="27" a="1"/>
  <c r="EW68" i="27" s="1"/>
  <c r="EW132" i="27" a="1"/>
  <c r="EW132" i="27" s="1"/>
  <c r="EV110" i="27" a="1"/>
  <c r="EV110" i="27" s="1"/>
  <c r="EV89" i="27" a="1"/>
  <c r="EV89" i="27" s="1"/>
  <c r="EV73" i="27" a="1"/>
  <c r="EV73" i="27" s="1"/>
  <c r="EY118" i="27" a="1"/>
  <c r="EY118" i="27" s="1"/>
  <c r="EX118" i="27" a="1"/>
  <c r="EX118" i="27" s="1"/>
  <c r="EX117" i="27" a="1"/>
  <c r="EX117" i="27" s="1"/>
  <c r="EX124" i="27" a="1"/>
  <c r="EX124" i="27" s="1"/>
  <c r="EX114" i="27" a="1"/>
  <c r="EX114" i="27" s="1"/>
  <c r="EY139" i="27" a="1"/>
  <c r="EY139" i="27" s="1"/>
  <c r="EY115" i="27" a="1"/>
  <c r="EY115" i="27" s="1"/>
  <c r="EX90" i="27" a="1"/>
  <c r="EX90" i="27" s="1"/>
  <c r="EX72" i="27" a="1"/>
  <c r="EX72" i="27" s="1"/>
  <c r="EV120" i="27" a="1"/>
  <c r="EV120" i="27" s="1"/>
  <c r="EY62" i="27" a="1"/>
  <c r="EY62" i="27" s="1"/>
  <c r="EX83" i="27" a="1"/>
  <c r="EX83" i="27" s="1"/>
  <c r="EY96" i="27" a="1"/>
  <c r="EY96" i="27" s="1"/>
  <c r="EW131" i="27" a="1"/>
  <c r="EW131" i="27" s="1"/>
  <c r="EV109" i="27" a="1"/>
  <c r="EV109" i="27" s="1"/>
  <c r="EW88" i="27" a="1"/>
  <c r="EW88" i="27" s="1"/>
  <c r="EW72" i="27" a="1"/>
  <c r="EW72" i="27" s="1"/>
  <c r="EV111" i="27" a="1"/>
  <c r="EV111" i="27" s="1"/>
  <c r="EY127" i="27" a="1"/>
  <c r="EY127" i="27" s="1"/>
  <c r="EX64" i="27" a="1"/>
  <c r="EX64" i="27" s="1"/>
  <c r="EY69" i="27" a="1"/>
  <c r="EY69" i="27" s="1"/>
  <c r="EV123" i="27" a="1"/>
  <c r="EV123" i="27" s="1"/>
  <c r="EV98" i="27" a="1"/>
  <c r="EV98" i="27" s="1"/>
  <c r="EV82" i="27" a="1"/>
  <c r="EV82" i="27" s="1"/>
  <c r="EV65" i="27" a="1"/>
  <c r="EV65" i="27" s="1"/>
  <c r="EY95" i="27" a="1"/>
  <c r="EY95" i="27" s="1"/>
  <c r="EV125" i="27" a="1"/>
  <c r="EV125" i="27" s="1"/>
  <c r="EX68" i="27" a="1"/>
  <c r="EX68" i="27" s="1"/>
  <c r="EY76" i="27" a="1"/>
  <c r="EY76" i="27" s="1"/>
  <c r="EY124" i="27" a="1"/>
  <c r="EY124" i="27" s="1"/>
  <c r="EW102" i="27" a="1"/>
  <c r="EW102" i="27" s="1"/>
  <c r="EW83" i="27" a="1"/>
  <c r="EW83" i="27" s="1"/>
  <c r="EW66" i="27" a="1"/>
  <c r="EW66" i="27" s="1"/>
  <c r="EY129" i="27" a="1"/>
  <c r="EY129" i="27" s="1"/>
  <c r="EW107" i="27" a="1"/>
  <c r="EW107" i="27" s="1"/>
  <c r="EV87" i="27" a="1"/>
  <c r="EV87" i="27" s="1"/>
  <c r="EV70" i="27" a="1"/>
  <c r="EV70" i="27" s="1"/>
  <c r="EV107" i="27" a="1"/>
  <c r="EV107" i="27" s="1"/>
  <c r="EX109" i="27" a="1"/>
  <c r="EX109" i="27" s="1"/>
  <c r="EX108" i="27" a="1"/>
  <c r="EX108" i="27" s="1"/>
  <c r="EX131" i="27" a="1"/>
  <c r="EX131" i="27" s="1"/>
  <c r="EX105" i="27" a="1"/>
  <c r="EX105" i="27" s="1"/>
  <c r="EV137" i="27" a="1"/>
  <c r="EV137" i="27" s="1"/>
  <c r="EV112" i="27" a="1"/>
  <c r="EV112" i="27" s="1"/>
  <c r="EX88" i="27" a="1"/>
  <c r="EX88" i="27" s="1"/>
  <c r="EX69" i="27" a="1"/>
  <c r="EX69" i="27" s="1"/>
  <c r="EW108" i="27" a="1"/>
  <c r="EW108" i="27" s="1"/>
  <c r="EY135" i="27" a="1"/>
  <c r="EY135" i="27" s="1"/>
  <c r="EX77" i="27" a="1"/>
  <c r="EX77" i="27" s="1"/>
  <c r="EY92" i="27" a="1"/>
  <c r="EY92" i="27" s="1"/>
  <c r="EY128" i="27" a="1"/>
  <c r="EY128" i="27" s="1"/>
  <c r="EW106" i="27" a="1"/>
  <c r="EW106" i="27" s="1"/>
  <c r="EW86" i="27" a="1"/>
  <c r="EW86" i="27" s="1"/>
  <c r="EW69" i="27" a="1"/>
  <c r="EW69" i="27" s="1"/>
  <c r="EV103" i="27" a="1"/>
  <c r="EV103" i="27" s="1"/>
  <c r="EV117" i="27" a="1"/>
  <c r="EV117" i="27" s="1"/>
  <c r="EX60" i="27" a="1"/>
  <c r="EX60" i="27" s="1"/>
  <c r="EY61" i="27" a="1"/>
  <c r="EY61" i="27" s="1"/>
  <c r="EW120" i="27" a="1"/>
  <c r="EW120" i="27" s="1"/>
  <c r="EV96" i="27" a="1"/>
  <c r="EV96" i="27" s="1"/>
  <c r="EV80" i="27" a="1"/>
  <c r="EV80" i="27" s="1"/>
  <c r="EV63" i="27" a="1"/>
  <c r="EV63" i="27" s="1"/>
  <c r="EY89" i="27" a="1"/>
  <c r="EY89" i="27" s="1"/>
  <c r="EY119" i="27" a="1"/>
  <c r="EY119" i="27" s="1"/>
  <c r="EX62" i="27" a="1"/>
  <c r="EX62" i="27" s="1"/>
  <c r="EY67" i="27" a="1"/>
  <c r="EY67" i="27" s="1"/>
  <c r="EV122" i="27" a="1"/>
  <c r="EV122" i="27" s="1"/>
  <c r="EW97" i="27" a="1"/>
  <c r="EW97" i="27" s="1"/>
  <c r="EW81" i="27" a="1"/>
  <c r="EW81" i="27" s="1"/>
  <c r="EW64" i="27" a="1"/>
  <c r="EW64" i="27" s="1"/>
  <c r="EV127" i="27" a="1"/>
  <c r="EV127" i="27" s="1"/>
  <c r="EY104" i="27" a="1"/>
  <c r="EY104" i="27" s="1"/>
  <c r="EV85" i="27" a="1"/>
  <c r="EV85" i="27" s="1"/>
  <c r="EV68" i="27" a="1"/>
  <c r="EV68" i="27" s="1"/>
  <c r="EY94" i="27" a="1"/>
  <c r="EY94" i="27" s="1"/>
  <c r="EX128" i="27" a="1"/>
  <c r="EX128" i="27" s="1"/>
  <c r="EX103" i="27" a="1"/>
  <c r="EX103" i="27" s="1"/>
  <c r="EX120" i="27" a="1"/>
  <c r="EX120" i="27" s="1"/>
  <c r="EX104" i="27" a="1"/>
  <c r="EX104" i="27" s="1"/>
  <c r="EV129" i="27" a="1"/>
  <c r="EV129" i="27" s="1"/>
  <c r="EV104" i="27" a="1"/>
  <c r="EV104" i="27" s="1"/>
  <c r="EX80" i="27" a="1"/>
  <c r="EX80" i="27" s="1"/>
  <c r="EX61" i="27" a="1"/>
  <c r="EX61" i="27" s="1"/>
  <c r="EY87" i="27" a="1"/>
  <c r="EY87" i="27" s="1"/>
  <c r="EV108" i="27" a="1"/>
  <c r="EV108" i="27" s="1"/>
  <c r="EV62" i="27" a="1"/>
  <c r="EV62" i="27" s="1"/>
  <c r="EY63" i="27" a="1"/>
  <c r="EY63" i="27" s="1"/>
  <c r="EY120" i="27" a="1"/>
  <c r="EY120" i="27" s="1"/>
  <c r="EW96" i="27" a="1"/>
  <c r="EW96" i="27" s="1"/>
  <c r="EW80" i="27" a="1"/>
  <c r="EW80" i="27" s="1"/>
  <c r="EW61" i="27" a="1"/>
  <c r="EW61" i="27" s="1"/>
  <c r="EY81" i="27" a="1"/>
  <c r="EY81" i="27" s="1"/>
  <c r="EV224" i="27" s="1" a="1"/>
  <c r="EV224" i="27" s="1"/>
  <c r="EX95" i="27" a="1"/>
  <c r="EX95" i="27" s="1"/>
  <c r="EW112" i="27" a="1"/>
  <c r="EW112" i="27" s="1"/>
  <c r="EY133" i="27" a="1"/>
  <c r="EY133" i="27" s="1"/>
  <c r="EW111" i="27" a="1"/>
  <c r="EW111" i="27" s="1"/>
  <c r="EV90" i="27" a="1"/>
  <c r="EV90" i="27" s="1"/>
  <c r="EV74" i="27" a="1"/>
  <c r="EV74" i="27" s="1"/>
  <c r="EY130" i="27" a="1"/>
  <c r="EY130" i="27" s="1"/>
  <c r="EY73" i="27" a="1"/>
  <c r="EY73" i="27" s="1"/>
  <c r="EX93" i="27" a="1"/>
  <c r="EX93" i="27" s="1"/>
  <c r="EV116" i="27" a="1"/>
  <c r="EV116" i="27" s="1"/>
  <c r="EW135" i="27" a="1"/>
  <c r="EW135" i="27" s="1"/>
  <c r="EV114" i="27" a="1"/>
  <c r="EV114" i="27" s="1"/>
  <c r="EW91" i="27" a="1"/>
  <c r="EW91" i="27" s="1"/>
  <c r="EW75" i="27" a="1"/>
  <c r="EW75" i="27" s="1"/>
  <c r="EW140" i="27" a="1"/>
  <c r="EW140" i="27" s="1"/>
  <c r="EV119" i="27" a="1"/>
  <c r="EV119" i="27" s="1"/>
  <c r="EV95" i="27" a="1"/>
  <c r="EV95" i="27" s="1"/>
  <c r="EV79" i="27" a="1"/>
  <c r="EV79" i="27" s="1"/>
  <c r="EV60" i="27" a="1"/>
  <c r="EV60" i="27" s="1"/>
  <c r="EY74" i="27" a="1"/>
  <c r="EY74" i="27" s="1"/>
  <c r="EX135" i="27" a="1"/>
  <c r="EX135" i="27" s="1"/>
  <c r="EX102" i="27" a="1"/>
  <c r="EX102" i="27" s="1"/>
  <c r="EX119" i="27" a="1"/>
  <c r="EX119" i="27" s="1"/>
  <c r="EX111" i="27" a="1"/>
  <c r="EX111" i="27" s="1"/>
  <c r="EW126" i="27" a="1"/>
  <c r="EW126" i="27" s="1"/>
  <c r="EX96" i="27" a="1"/>
  <c r="EX96" i="27" s="1"/>
  <c r="EX78" i="27" a="1"/>
  <c r="EX78" i="27" s="1"/>
  <c r="EW63" i="27" a="1"/>
  <c r="EW63" i="27" s="1"/>
  <c r="EY79" i="27" a="1"/>
  <c r="EY79" i="27" s="1"/>
  <c r="EX97" i="27" a="1"/>
  <c r="EX97" i="27" s="1"/>
  <c r="EV132" i="27" a="1"/>
  <c r="EV132" i="27" s="1"/>
  <c r="EW139" i="27" a="1"/>
  <c r="EW139" i="27" s="1"/>
  <c r="EV118" i="27" a="1"/>
  <c r="EV118" i="27" s="1"/>
  <c r="EW94" i="27" a="1"/>
  <c r="EW94" i="27" s="1"/>
  <c r="EW78" i="27" a="1"/>
  <c r="EW78" i="27" s="1"/>
  <c r="EW133" i="27" a="1"/>
  <c r="EW133" i="27" s="1"/>
  <c r="EY70" i="27" a="1"/>
  <c r="EY70" i="27" s="1"/>
  <c r="EX89" i="27" a="1"/>
  <c r="EX89" i="27" s="1"/>
  <c r="EW104" i="27" a="1"/>
  <c r="EW104" i="27" s="1"/>
  <c r="EV131" i="27" a="1"/>
  <c r="EV131" i="27" s="1"/>
  <c r="EY108" i="27" a="1"/>
  <c r="EY108" i="27" s="1"/>
  <c r="EV88" i="27" a="1"/>
  <c r="EV88" i="27" s="1"/>
  <c r="EV72" i="27" a="1"/>
  <c r="EV72" i="27" s="1"/>
  <c r="EY122" i="27" a="1"/>
  <c r="EY122" i="27" s="1"/>
  <c r="EY66" i="27" a="1"/>
  <c r="EY66" i="27" s="1"/>
  <c r="EX87" i="27" a="1"/>
  <c r="EX87" i="27" s="1"/>
  <c r="EY98" i="27" a="1"/>
  <c r="EY98" i="27" s="1"/>
  <c r="EY132" i="27" a="1"/>
  <c r="EY132" i="27" s="1"/>
  <c r="EW110" i="27" a="1"/>
  <c r="EW110" i="27" s="1"/>
  <c r="EW89" i="27" a="1"/>
  <c r="EW89" i="27" s="1"/>
  <c r="EW73" i="27" a="1"/>
  <c r="EW73" i="27" s="1"/>
  <c r="EY137" i="27" a="1"/>
  <c r="EY137" i="27" s="1"/>
  <c r="EW116" i="27" a="1"/>
  <c r="EW116" i="27" s="1"/>
  <c r="EV93" i="27" a="1"/>
  <c r="EV93" i="27" s="1"/>
  <c r="EV77" i="27" a="1"/>
  <c r="EV77" i="27" s="1"/>
  <c r="EW137" i="27" a="1"/>
  <c r="EW137" i="27" s="1"/>
  <c r="EY65" i="27" a="1"/>
  <c r="EY65" i="27" s="1"/>
  <c r="EX106" i="27" a="1"/>
  <c r="EX106" i="27" s="1"/>
  <c r="EX127" i="27" a="1"/>
  <c r="EX127" i="27" s="1"/>
  <c r="EX86" i="27" a="1"/>
  <c r="EX86" i="27" s="1"/>
  <c r="EY75" i="27" a="1"/>
  <c r="EY75" i="27" s="1"/>
  <c r="EV218" i="27" s="1" a="1"/>
  <c r="EV218" i="27" s="1"/>
  <c r="EY72" i="27" a="1"/>
  <c r="EY72" i="27" s="1"/>
  <c r="EW84" i="27" a="1"/>
  <c r="EW84" i="27" s="1"/>
  <c r="EY64" i="27" a="1"/>
  <c r="EY64" i="27" s="1"/>
  <c r="EW136" i="27" a="1"/>
  <c r="EW136" i="27" s="1"/>
  <c r="EV78" i="27" a="1"/>
  <c r="EV78" i="27" s="1"/>
  <c r="EY60" i="27" a="1"/>
  <c r="EY60" i="27" s="1"/>
  <c r="EV138" i="27" a="1"/>
  <c r="EV138" i="27" s="1"/>
  <c r="EW79" i="27" a="1"/>
  <c r="EW79" i="27" s="1"/>
  <c r="EY112" i="27" a="1"/>
  <c r="EY112" i="27" s="1"/>
  <c r="EV64" i="27" a="1"/>
  <c r="EV64" i="27" s="1"/>
  <c r="EV106" i="27" a="1"/>
  <c r="EV106" i="27" s="1"/>
  <c r="EV83" i="27" a="1"/>
  <c r="EV83" i="27" s="1"/>
  <c r="EX136" i="27" a="1"/>
  <c r="EX136" i="27" s="1"/>
  <c r="EX84" i="27" a="1"/>
  <c r="EX84" i="27" s="1"/>
  <c r="EW130" i="27" a="1"/>
  <c r="EW130" i="27" s="1"/>
  <c r="EY136" i="27" a="1"/>
  <c r="EY136" i="27" s="1"/>
  <c r="EW82" i="27" a="1"/>
  <c r="EW82" i="27" s="1"/>
  <c r="EY110" i="27" a="1"/>
  <c r="EY110" i="27" s="1"/>
  <c r="EW128" i="27" a="1"/>
  <c r="EW128" i="27" s="1"/>
  <c r="EV76" i="27" a="1"/>
  <c r="EV76" i="27" s="1"/>
  <c r="EW114" i="27" a="1"/>
  <c r="EW114" i="27" s="1"/>
  <c r="EV130" i="27" a="1"/>
  <c r="EV130" i="27" s="1"/>
  <c r="EW77" i="27" a="1"/>
  <c r="EW77" i="27" s="1"/>
  <c r="EV102" i="27" a="1"/>
  <c r="EV102" i="27" s="1"/>
  <c r="EY126" i="27" a="1"/>
  <c r="EY126" i="27" s="1"/>
  <c r="EY138" i="27" a="1"/>
  <c r="EY138" i="27" s="1"/>
  <c r="EX140" i="27" a="1"/>
  <c r="EX140" i="27" s="1"/>
  <c r="EW134" i="27" a="1"/>
  <c r="EW134" i="27" s="1"/>
  <c r="EX76" i="27" a="1"/>
  <c r="EX76" i="27" s="1"/>
  <c r="EW122" i="27" a="1"/>
  <c r="EW122" i="27" s="1"/>
  <c r="EV126" i="27" a="1"/>
  <c r="EV126" i="27" s="1"/>
  <c r="EW76" i="27" a="1"/>
  <c r="EW76" i="27" s="1"/>
  <c r="EW105" i="27" a="1"/>
  <c r="EW105" i="27" s="1"/>
  <c r="EY117" i="27" a="1"/>
  <c r="EY117" i="27" s="1"/>
  <c r="EV69" i="27" a="1"/>
  <c r="EV69" i="27" s="1"/>
  <c r="EY102" i="27" a="1"/>
  <c r="EY102" i="27" s="1"/>
  <c r="EW119" i="27" a="1"/>
  <c r="EW119" i="27" s="1"/>
  <c r="EW70" i="27" a="1"/>
  <c r="EW70" i="27" s="1"/>
  <c r="EV97" i="27" a="1"/>
  <c r="EV97" i="27" s="1"/>
  <c r="EY86" i="27" a="1"/>
  <c r="EY86" i="27" s="1"/>
  <c r="EX115" i="27" a="1"/>
  <c r="EX115" i="27" s="1"/>
  <c r="EY131" i="27" a="1"/>
  <c r="EY131" i="27" s="1"/>
  <c r="EX67" i="27" a="1"/>
  <c r="EX67" i="27" s="1"/>
  <c r="EX91" i="27" a="1"/>
  <c r="EX91" i="27" s="1"/>
  <c r="EW123" i="27" a="1"/>
  <c r="EW123" i="27" s="1"/>
  <c r="EW67" i="27" a="1"/>
  <c r="EW67" i="27" s="1"/>
  <c r="EX81" i="27" a="1"/>
  <c r="EX81" i="27" s="1"/>
  <c r="EV115" i="27" a="1"/>
  <c r="EV115" i="27" s="1"/>
  <c r="EV61" i="27" a="1"/>
  <c r="EV61" i="27" s="1"/>
  <c r="EX79" i="27" a="1"/>
  <c r="EX79" i="27" s="1"/>
  <c r="EY116" i="27" a="1"/>
  <c r="EY116" i="27" s="1"/>
  <c r="EW62" i="27" a="1"/>
  <c r="EW62" i="27" s="1"/>
  <c r="EV91" i="27" a="1"/>
  <c r="EV91" i="27" s="1"/>
  <c r="EY78" i="27" a="1"/>
  <c r="EY78" i="27" s="1"/>
  <c r="EX134" i="27" a="1"/>
  <c r="EX134" i="27" s="1"/>
  <c r="EV121" i="27" a="1"/>
  <c r="EV121" i="27" s="1"/>
  <c r="EX70" i="27" a="1"/>
  <c r="EX70" i="27" s="1"/>
  <c r="EW65" i="27" a="1"/>
  <c r="EW65" i="27" s="1"/>
  <c r="EV140" i="27" a="1"/>
  <c r="EV140" i="27" s="1"/>
  <c r="EX107" i="27" a="1"/>
  <c r="EX107" i="27" s="1"/>
  <c r="EX138" i="27" a="1"/>
  <c r="EX138" i="27" s="1"/>
  <c r="EW109" i="27" a="1"/>
  <c r="EW109" i="27" s="1"/>
  <c r="EV136" i="27" a="1"/>
  <c r="EV136" i="27" s="1"/>
  <c r="EX66" i="27" a="1"/>
  <c r="EX66" i="27" s="1"/>
  <c r="EY103" i="27" a="1"/>
  <c r="EY103" i="27" s="1"/>
  <c r="EW125" i="27" a="1"/>
  <c r="EW125" i="27" s="1"/>
  <c r="EW121" i="27" a="1"/>
  <c r="EW121" i="27" s="1"/>
  <c r="EV94" i="27" a="1"/>
  <c r="EV94" i="27" s="1"/>
  <c r="EY114" i="27" a="1"/>
  <c r="EY114" i="27" s="1"/>
  <c r="EW129" i="27" a="1"/>
  <c r="EW129" i="27" s="1"/>
  <c r="EW95" i="27" a="1"/>
  <c r="EW95" i="27" s="1"/>
  <c r="EV135" i="27" a="1"/>
  <c r="EV135" i="27" s="1"/>
  <c r="EV81" i="27" a="1"/>
  <c r="EV81" i="27" s="1"/>
  <c r="EX121" i="27" a="1"/>
  <c r="EX121" i="27" s="1"/>
  <c r="EX137" i="27" a="1"/>
  <c r="EX137" i="27" s="1"/>
  <c r="EY106" i="27" a="1"/>
  <c r="EY106" i="27" s="1"/>
  <c r="EY97" i="27" a="1"/>
  <c r="EY97" i="27" s="1"/>
  <c r="EV124" i="27" a="1"/>
  <c r="EV124" i="27" s="1"/>
  <c r="EW98" i="27" a="1"/>
  <c r="EW98" i="27" s="1"/>
  <c r="EY93" i="27" a="1"/>
  <c r="EY93" i="27" s="1"/>
  <c r="EY88" i="27" a="1"/>
  <c r="EY88" i="27" s="1"/>
  <c r="EV92" i="27" a="1"/>
  <c r="EV92" i="27" s="1"/>
  <c r="EY83" i="27" a="1"/>
  <c r="EY83" i="27" s="1"/>
  <c r="EV226" i="27" s="1" a="1"/>
  <c r="EV226" i="27" s="1"/>
  <c r="EY90" i="27" a="1"/>
  <c r="EY90" i="27" s="1"/>
  <c r="EW93" i="27" a="1"/>
  <c r="EW93" i="27" s="1"/>
  <c r="EW124" i="27" a="1"/>
  <c r="EW124" i="27" s="1"/>
  <c r="EV75" i="27" a="1"/>
  <c r="EV75" i="27" s="1"/>
  <c r="EX133" i="27" a="1"/>
  <c r="EX133" i="27" s="1"/>
  <c r="EX129" i="27" a="1"/>
  <c r="EX129" i="27" s="1"/>
  <c r="EX94" i="27" a="1"/>
  <c r="EX94" i="27" s="1"/>
  <c r="EY91" i="27" a="1"/>
  <c r="EY91" i="27" s="1"/>
  <c r="EV234" i="27" s="1" a="1"/>
  <c r="EV234" i="27" s="1"/>
  <c r="EY82" i="27" a="1"/>
  <c r="EY82" i="27" s="1"/>
  <c r="EW92" i="27" a="1"/>
  <c r="EW92" i="27" s="1"/>
  <c r="EY85" i="27" a="1"/>
  <c r="EY85" i="27" s="1"/>
  <c r="EV139" i="27" a="1"/>
  <c r="EV139" i="27" s="1"/>
  <c r="EV86" i="27" a="1"/>
  <c r="EV86" i="27" s="1"/>
  <c r="EY77" i="27" a="1"/>
  <c r="EY77" i="27" s="1"/>
  <c r="EY140" i="27" a="1"/>
  <c r="EY140" i="27" s="1"/>
  <c r="EW87" i="27" a="1"/>
  <c r="EW87" i="27" s="1"/>
  <c r="EY121" i="27" a="1"/>
  <c r="EY121" i="27" s="1"/>
  <c r="EV66" i="27" a="1"/>
  <c r="EV66" i="27" s="1"/>
  <c r="EX112" i="27" a="1"/>
  <c r="EX112" i="27" s="1"/>
  <c r="EX63" i="27" a="1"/>
  <c r="EX63" i="27" s="1"/>
  <c r="EW115" i="27" a="1"/>
  <c r="EW115" i="27" s="1"/>
  <c r="EY134" i="27" a="1"/>
  <c r="EY134" i="27" s="1"/>
  <c r="EY107" i="27" a="1"/>
  <c r="EY107" i="27" s="1"/>
  <c r="EW60" i="27" a="1"/>
  <c r="EW60" i="27" s="1"/>
  <c r="FP129" i="27" a="1"/>
  <c r="FP129" i="27" s="1"/>
  <c r="FO108" i="27" a="1"/>
  <c r="FO108" i="27" s="1"/>
  <c r="FO85" i="27" a="1"/>
  <c r="FO85" i="27" s="1"/>
  <c r="FO69" i="27" a="1"/>
  <c r="FO69" i="27" s="1"/>
  <c r="FR129" i="27" a="1"/>
  <c r="FR129" i="27" s="1"/>
  <c r="FR128" i="27" a="1"/>
  <c r="FR128" i="27" s="1"/>
  <c r="FP123" i="27" a="1"/>
  <c r="FP123" i="27" s="1"/>
  <c r="FO101" i="27" a="1"/>
  <c r="FO101" i="27" s="1"/>
  <c r="FQ80" i="27" a="1"/>
  <c r="FQ80" i="27" s="1"/>
  <c r="FQ63" i="27" a="1"/>
  <c r="FQ63" i="27" s="1"/>
  <c r="FP133" i="27" a="1"/>
  <c r="FP133" i="27" s="1"/>
  <c r="FR119" i="27" a="1"/>
  <c r="FR119" i="27" s="1"/>
  <c r="FP120" i="27" a="1"/>
  <c r="FP120" i="27" s="1"/>
  <c r="FO98" i="27" a="1"/>
  <c r="FO98" i="27" s="1"/>
  <c r="FP78" i="27" a="1"/>
  <c r="FP78" i="27" s="1"/>
  <c r="FP61" i="27" a="1"/>
  <c r="FP61" i="27" s="1"/>
  <c r="FP125" i="27" a="1"/>
  <c r="FP125" i="27" s="1"/>
  <c r="FR117" i="27" a="1"/>
  <c r="FR117" i="27" s="1"/>
  <c r="FQ119" i="27" a="1"/>
  <c r="FQ119" i="27" s="1"/>
  <c r="FP97" i="27" a="1"/>
  <c r="FP97" i="27" s="1"/>
  <c r="FR77" i="27" a="1"/>
  <c r="FR77" i="27" s="1"/>
  <c r="FR60" i="27" a="1"/>
  <c r="FR60" i="27" s="1"/>
  <c r="FR99" i="27" a="1"/>
  <c r="FR99" i="27" s="1"/>
  <c r="FQ99" i="27" a="1"/>
  <c r="FQ99" i="27" s="1"/>
  <c r="FP62" i="27" a="1"/>
  <c r="FP62" i="27" s="1"/>
  <c r="FQ121" i="27" a="1"/>
  <c r="FQ121" i="27" s="1"/>
  <c r="FR74" i="27" a="1"/>
  <c r="FR74" i="27" s="1"/>
  <c r="FQ113" i="27" a="1"/>
  <c r="FQ113" i="27" s="1"/>
  <c r="FQ126" i="27" a="1"/>
  <c r="FQ126" i="27" s="1"/>
  <c r="FP104" i="27" a="1"/>
  <c r="FP104" i="27" s="1"/>
  <c r="FO83" i="27" a="1"/>
  <c r="FO83" i="27" s="1"/>
  <c r="FO67" i="27" a="1"/>
  <c r="FO67" i="27" s="1"/>
  <c r="FR121" i="27" a="1"/>
  <c r="FR121" i="27" s="1"/>
  <c r="FR120" i="27" a="1"/>
  <c r="FR120" i="27" s="1"/>
  <c r="FQ120" i="27" a="1"/>
  <c r="FQ120" i="27" s="1"/>
  <c r="FP98" i="27" a="1"/>
  <c r="FP98" i="27" s="1"/>
  <c r="FQ78" i="27" a="1"/>
  <c r="FQ78" i="27" s="1"/>
  <c r="FQ61" i="27" a="1"/>
  <c r="FQ61" i="27" s="1"/>
  <c r="FO128" i="27" a="1"/>
  <c r="FO128" i="27" s="1"/>
  <c r="FR111" i="27" a="1"/>
  <c r="FR111" i="27" s="1"/>
  <c r="FQ117" i="27" a="1"/>
  <c r="FQ117" i="27" s="1"/>
  <c r="FP95" i="27" a="1"/>
  <c r="FP95" i="27" s="1"/>
  <c r="FP76" i="27" a="1"/>
  <c r="FP76" i="27" s="1"/>
  <c r="FP59" i="27" a="1"/>
  <c r="FP59" i="27" s="1"/>
  <c r="FQ122" i="27" a="1"/>
  <c r="FQ122" i="27" s="1"/>
  <c r="FR109" i="27" a="1"/>
  <c r="FR109" i="27" s="1"/>
  <c r="FO117" i="27" a="1"/>
  <c r="FO117" i="27" s="1"/>
  <c r="FR91" i="27" a="1"/>
  <c r="FR91" i="27" s="1"/>
  <c r="FR75" i="27" a="1"/>
  <c r="FR75" i="27" s="1"/>
  <c r="FR58" i="27" a="1"/>
  <c r="FR58" i="27" s="1"/>
  <c r="FQ132" i="27" a="1"/>
  <c r="FQ132" i="27" s="1"/>
  <c r="FP91" i="27" a="1"/>
  <c r="FP91" i="27" s="1"/>
  <c r="FP58" i="27" a="1"/>
  <c r="FP58" i="27" s="1"/>
  <c r="FR130" i="27" a="1"/>
  <c r="FR130" i="27" s="1"/>
  <c r="FO124" i="27" a="1"/>
  <c r="FO124" i="27" s="1"/>
  <c r="FQ101" i="27" a="1"/>
  <c r="FQ101" i="27" s="1"/>
  <c r="FO81" i="27" a="1"/>
  <c r="FO81" i="27" s="1"/>
  <c r="FO65" i="27" a="1"/>
  <c r="FO65" i="27" s="1"/>
  <c r="FR113" i="27" a="1"/>
  <c r="FR113" i="27" s="1"/>
  <c r="FR112" i="27" a="1"/>
  <c r="FR112" i="27" s="1"/>
  <c r="FO118" i="27" a="1"/>
  <c r="FO118" i="27" s="1"/>
  <c r="FQ95" i="27" a="1"/>
  <c r="FQ95" i="27" s="1"/>
  <c r="FQ76" i="27" a="1"/>
  <c r="FQ76" i="27" s="1"/>
  <c r="FQ59" i="27" a="1"/>
  <c r="FQ59" i="27" s="1"/>
  <c r="FO120" i="27" a="1"/>
  <c r="FO120" i="27" s="1"/>
  <c r="FR102" i="27" a="1"/>
  <c r="FR102" i="27" s="1"/>
  <c r="FO115" i="27" a="1"/>
  <c r="FO115" i="27" s="1"/>
  <c r="FP90" i="27" a="1"/>
  <c r="FP90" i="27" s="1"/>
  <c r="FP74" i="27" a="1"/>
  <c r="FP74" i="27" s="1"/>
  <c r="FP57" i="27" a="1"/>
  <c r="FP57" i="27" s="1"/>
  <c r="FQ114" i="27" a="1"/>
  <c r="FQ114" i="27" s="1"/>
  <c r="FR100" i="27" a="1"/>
  <c r="FR100" i="27" s="1"/>
  <c r="FP114" i="27" a="1"/>
  <c r="FP114" i="27" s="1"/>
  <c r="FR89" i="27" a="1"/>
  <c r="FR89" i="27" s="1"/>
  <c r="FR73" i="27" a="1"/>
  <c r="FR73" i="27" s="1"/>
  <c r="FR56" i="27" a="1"/>
  <c r="FR56" i="27" s="1"/>
  <c r="FO130" i="27" a="1"/>
  <c r="FO130" i="27" s="1"/>
  <c r="FP87" i="27" a="1"/>
  <c r="FP87" i="27" s="1"/>
  <c r="FP54" i="27" a="1"/>
  <c r="FP54" i="27" s="1"/>
  <c r="FQ107" i="27" a="1"/>
  <c r="FQ107" i="27" s="1"/>
  <c r="FR66" i="27" a="1"/>
  <c r="FR66" i="27" s="1"/>
  <c r="FQ98" i="27" a="1"/>
  <c r="FQ98" i="27" s="1"/>
  <c r="FO61" i="27" a="1"/>
  <c r="FO61" i="27" s="1"/>
  <c r="FO113" i="27" a="1"/>
  <c r="FO113" i="27" s="1"/>
  <c r="FQ69" i="27" a="1"/>
  <c r="FQ69" i="27" s="1"/>
  <c r="FQ96" i="27" a="1"/>
  <c r="FQ96" i="27" s="1"/>
  <c r="FP60" i="27" a="1"/>
  <c r="FP60" i="27" s="1"/>
  <c r="FP118" i="27" a="1"/>
  <c r="FP118" i="27" s="1"/>
  <c r="FR72" i="27" a="1"/>
  <c r="FR72" i="27" s="1"/>
  <c r="FP110" i="27" a="1"/>
  <c r="FP110" i="27" s="1"/>
  <c r="FO68" i="27" a="1"/>
  <c r="FO68" i="27" s="1"/>
  <c r="FR105" i="27" a="1"/>
  <c r="FR105" i="27" s="1"/>
  <c r="FO116" i="27" a="1"/>
  <c r="FO116" i="27" s="1"/>
  <c r="FO91" i="27" a="1"/>
  <c r="FO91" i="27" s="1"/>
  <c r="FO75" i="27" a="1"/>
  <c r="FO75" i="27" s="1"/>
  <c r="FO58" i="27" a="1"/>
  <c r="FO58" i="27" s="1"/>
  <c r="FQ131" i="27" a="1"/>
  <c r="FQ131" i="27" s="1"/>
  <c r="FP131" i="27" a="1"/>
  <c r="FP131" i="27" s="1"/>
  <c r="FO110" i="27" a="1"/>
  <c r="FO110" i="27" s="1"/>
  <c r="FQ86" i="27" a="1"/>
  <c r="FQ86" i="27" s="1"/>
  <c r="FQ70" i="27" a="1"/>
  <c r="FQ70" i="27" s="1"/>
  <c r="FQ53" i="27" a="1"/>
  <c r="FQ53" i="27" s="1"/>
  <c r="FO103" i="27" a="1"/>
  <c r="FO103" i="27" s="1"/>
  <c r="FP128" i="27" a="1"/>
  <c r="FP128" i="27" s="1"/>
  <c r="FO107" i="27" a="1"/>
  <c r="FO107" i="27" s="1"/>
  <c r="FP84" i="27" a="1"/>
  <c r="FP84" i="27" s="1"/>
  <c r="FP68" i="27" a="1"/>
  <c r="FP68" i="27" s="1"/>
  <c r="FR118" i="27" a="1"/>
  <c r="FR118" i="27" s="1"/>
  <c r="FP100" i="27" a="1"/>
  <c r="FP100" i="27" s="1"/>
  <c r="FQ127" i="27" a="1"/>
  <c r="FQ127" i="27" s="1"/>
  <c r="FP105" i="27" a="1"/>
  <c r="FP105" i="27" s="1"/>
  <c r="FR83" i="27" a="1"/>
  <c r="FR83" i="27" s="1"/>
  <c r="FR67" i="27" a="1"/>
  <c r="FR67" i="27" s="1"/>
  <c r="FR124" i="27" a="1"/>
  <c r="FR124" i="27" s="1"/>
  <c r="FO122" i="27" a="1"/>
  <c r="FO122" i="27" s="1"/>
  <c r="FP75" i="27" a="1"/>
  <c r="FP75" i="27" s="1"/>
  <c r="FQ75" i="27" a="1"/>
  <c r="FQ75" i="27" s="1"/>
  <c r="FR86" i="27" a="1"/>
  <c r="FR86" i="27" s="1"/>
  <c r="FR53" i="27" a="1"/>
  <c r="FR53" i="27" s="1"/>
  <c r="FO82" i="27" a="1"/>
  <c r="FO82" i="27" s="1"/>
  <c r="FP116" i="27" a="1"/>
  <c r="FP116" i="27" s="1"/>
  <c r="FQ89" i="27" a="1"/>
  <c r="FQ89" i="27" s="1"/>
  <c r="FQ56" i="27" a="1"/>
  <c r="FQ56" i="27" s="1"/>
  <c r="FP81" i="27" a="1"/>
  <c r="FP81" i="27" s="1"/>
  <c r="FQ83" i="27" a="1"/>
  <c r="FQ83" i="27" s="1"/>
  <c r="FO96" i="27" a="1"/>
  <c r="FO96" i="27" s="1"/>
  <c r="FR59" i="27" a="1"/>
  <c r="FR59" i="27" s="1"/>
  <c r="FO88" i="27" a="1"/>
  <c r="FO88" i="27" s="1"/>
  <c r="FO55" i="27" a="1"/>
  <c r="FO55" i="27" s="1"/>
  <c r="FP113" i="27" a="1"/>
  <c r="FP113" i="27" s="1"/>
  <c r="FO73" i="27" a="1"/>
  <c r="FO73" i="27" s="1"/>
  <c r="FO129" i="27" a="1"/>
  <c r="FO129" i="27" s="1"/>
  <c r="FP107" i="27" a="1"/>
  <c r="FP107" i="27" s="1"/>
  <c r="FQ68" i="27" a="1"/>
  <c r="FQ68" i="27" s="1"/>
  <c r="FQ97" i="27" a="1"/>
  <c r="FQ97" i="27" s="1"/>
  <c r="FP103" i="27" a="1"/>
  <c r="FP103" i="27" s="1"/>
  <c r="FP66" i="27" a="1"/>
  <c r="FP66" i="27" s="1"/>
  <c r="FR133" i="27" a="1"/>
  <c r="FR133" i="27" s="1"/>
  <c r="FQ102" i="27" a="1"/>
  <c r="FQ102" i="27" s="1"/>
  <c r="FR65" i="27" a="1"/>
  <c r="FR65" i="27" s="1"/>
  <c r="FQ115" i="27" a="1"/>
  <c r="FQ115" i="27" s="1"/>
  <c r="FQ58" i="27" a="1"/>
  <c r="FQ58" i="27" s="1"/>
  <c r="FR61" i="27" a="1"/>
  <c r="FR61" i="27" s="1"/>
  <c r="FO74" i="27" a="1"/>
  <c r="FO74" i="27" s="1"/>
  <c r="FP119" i="27" a="1"/>
  <c r="FP119" i="27" s="1"/>
  <c r="FQ60" i="27" a="1"/>
  <c r="FQ60" i="27" s="1"/>
  <c r="FP73" i="27" a="1"/>
  <c r="FP73" i="27" s="1"/>
  <c r="FQ124" i="27" a="1"/>
  <c r="FQ124" i="27" s="1"/>
  <c r="FR63" i="27" a="1"/>
  <c r="FR63" i="27" s="1"/>
  <c r="FO80" i="27" a="1"/>
  <c r="FO80" i="27" s="1"/>
  <c r="FQ62" i="27" a="1"/>
  <c r="FQ62" i="27" s="1"/>
  <c r="FQ110" i="27" a="1"/>
  <c r="FQ110" i="27" s="1"/>
  <c r="FO71" i="27" a="1"/>
  <c r="FO71" i="27" s="1"/>
  <c r="FP126" i="27" a="1"/>
  <c r="FP126" i="27" s="1"/>
  <c r="FQ103" i="27" a="1"/>
  <c r="FQ103" i="27" s="1"/>
  <c r="FQ66" i="27" a="1"/>
  <c r="FQ66" i="27" s="1"/>
  <c r="FR127" i="27" a="1"/>
  <c r="FR127" i="27" s="1"/>
  <c r="FQ100" i="27" a="1"/>
  <c r="FQ100" i="27" s="1"/>
  <c r="FP63" i="27" a="1"/>
  <c r="FP63" i="27" s="1"/>
  <c r="FR125" i="27" a="1"/>
  <c r="FR125" i="27" s="1"/>
  <c r="FO100" i="27" a="1"/>
  <c r="FO100" i="27" s="1"/>
  <c r="FR62" i="27" a="1"/>
  <c r="FR62" i="27" s="1"/>
  <c r="FP108" i="27" a="1"/>
  <c r="FP108" i="27" s="1"/>
  <c r="FR98" i="27" a="1"/>
  <c r="FR98" i="27" s="1"/>
  <c r="FR57" i="27" a="1"/>
  <c r="FR57" i="27" s="1"/>
  <c r="FO70" i="27" a="1"/>
  <c r="FO70" i="27" s="1"/>
  <c r="FQ104" i="27" a="1"/>
  <c r="FQ104" i="27" s="1"/>
  <c r="FO127" i="27" a="1"/>
  <c r="FO127" i="27" s="1"/>
  <c r="FP69" i="27" a="1"/>
  <c r="FP69" i="27" s="1"/>
  <c r="FO111" i="27" a="1"/>
  <c r="FO111" i="27" s="1"/>
  <c r="FR55" i="27" a="1"/>
  <c r="FR55" i="27" s="1"/>
  <c r="FO76" i="27" a="1"/>
  <c r="FO76" i="27" s="1"/>
  <c r="FR122" i="27" a="1"/>
  <c r="FR122" i="27" s="1"/>
  <c r="FO99" i="27" a="1"/>
  <c r="FO99" i="27" s="1"/>
  <c r="FO62" i="27" a="1"/>
  <c r="FO62" i="27" s="1"/>
  <c r="FR103" i="27" a="1"/>
  <c r="FR103" i="27" s="1"/>
  <c r="FQ90" i="27" a="1"/>
  <c r="FQ90" i="27" s="1"/>
  <c r="FQ57" i="27" a="1"/>
  <c r="FQ57" i="27" s="1"/>
  <c r="FQ133" i="27" a="1"/>
  <c r="FQ133" i="27" s="1"/>
  <c r="FP88" i="27" a="1"/>
  <c r="FP88" i="27" s="1"/>
  <c r="FP55" i="27" a="1"/>
  <c r="FP55" i="27" s="1"/>
  <c r="FO133" i="27" a="1"/>
  <c r="FO133" i="27" s="1"/>
  <c r="FR87" i="27" a="1"/>
  <c r="FR87" i="27" s="1"/>
  <c r="FR54" i="27" a="1"/>
  <c r="FR54" i="27" s="1"/>
  <c r="FP83" i="27" a="1"/>
  <c r="FP83" i="27" s="1"/>
  <c r="FO114" i="27" a="1"/>
  <c r="FO114" i="27" s="1"/>
  <c r="FP132" i="27" a="1"/>
  <c r="FP132" i="27" s="1"/>
  <c r="FO66" i="27" a="1"/>
  <c r="FO66" i="27" s="1"/>
  <c r="FO97" i="27" a="1"/>
  <c r="FO97" i="27" s="1"/>
  <c r="FO119" i="27" a="1"/>
  <c r="FO119" i="27" s="1"/>
  <c r="FP65" i="27" a="1"/>
  <c r="FP65" i="27" s="1"/>
  <c r="FP102" i="27" a="1"/>
  <c r="FP102" i="27" s="1"/>
  <c r="FR123" i="27" a="1"/>
  <c r="FR123" i="27" s="1"/>
  <c r="FO72" i="27" a="1"/>
  <c r="FO72" i="27" s="1"/>
  <c r="FO132" i="27" a="1"/>
  <c r="FO132" i="27" s="1"/>
  <c r="FS132" i="27" s="1"/>
  <c r="FO87" i="27" a="1"/>
  <c r="FO87" i="27" s="1"/>
  <c r="FO54" i="27" a="1"/>
  <c r="FO54" i="27" s="1"/>
  <c r="FO126" i="27" a="1"/>
  <c r="FO126" i="27" s="1"/>
  <c r="FQ82" i="27" a="1"/>
  <c r="FQ82" i="27" s="1"/>
  <c r="FR110" i="27" a="1"/>
  <c r="FR110" i="27" s="1"/>
  <c r="FO123" i="27" a="1"/>
  <c r="FO123" i="27" s="1"/>
  <c r="FP80" i="27" a="1"/>
  <c r="FP80" i="27" s="1"/>
  <c r="FQ130" i="27" a="1"/>
  <c r="FQ130" i="27" s="1"/>
  <c r="FP122" i="27" a="1"/>
  <c r="FP122" i="27" s="1"/>
  <c r="FR79" i="27" a="1"/>
  <c r="FR79" i="27" s="1"/>
  <c r="FR108" i="27" a="1"/>
  <c r="FR108" i="27" s="1"/>
  <c r="FP67" i="27" a="1"/>
  <c r="FP67" i="27" s="1"/>
  <c r="FR82" i="27" a="1"/>
  <c r="FR82" i="27" s="1"/>
  <c r="FO226" i="27" s="1" a="1"/>
  <c r="FO226" i="27" s="1"/>
  <c r="FO90" i="27" a="1"/>
  <c r="FO90" i="27" s="1"/>
  <c r="FQ87" i="27" a="1"/>
  <c r="FQ87" i="27" s="1"/>
  <c r="FQ77" i="27" a="1"/>
  <c r="FQ77" i="27" s="1"/>
  <c r="FP89" i="27" a="1"/>
  <c r="FP89" i="27" s="1"/>
  <c r="FQ71" i="27" a="1"/>
  <c r="FQ71" i="27" s="1"/>
  <c r="FR80" i="27" a="1"/>
  <c r="FR80" i="27" s="1"/>
  <c r="FO102" i="27" a="1"/>
  <c r="FO102" i="27" s="1"/>
  <c r="FQ123" i="27" a="1"/>
  <c r="FQ123" i="27" s="1"/>
  <c r="FP121" i="27" a="1"/>
  <c r="FP121" i="27" s="1"/>
  <c r="FO79" i="27" a="1"/>
  <c r="FO79" i="27" s="1"/>
  <c r="FR104" i="27" a="1"/>
  <c r="FR104" i="27" s="1"/>
  <c r="FP115" i="27" a="1"/>
  <c r="FP115" i="27" s="1"/>
  <c r="FQ74" i="27" a="1"/>
  <c r="FQ74" i="27" s="1"/>
  <c r="FP117" i="27" a="1"/>
  <c r="FP117" i="27" s="1"/>
  <c r="FP112" i="27" a="1"/>
  <c r="FP112" i="27" s="1"/>
  <c r="FP72" i="27" a="1"/>
  <c r="FP72" i="27" s="1"/>
  <c r="FO112" i="27" a="1"/>
  <c r="FO112" i="27" s="1"/>
  <c r="FQ111" i="27" a="1"/>
  <c r="FQ111" i="27" s="1"/>
  <c r="FR71" i="27" a="1"/>
  <c r="FR71" i="27" s="1"/>
  <c r="FP127" i="27" a="1"/>
  <c r="FP127" i="27" s="1"/>
  <c r="FR115" i="27" a="1"/>
  <c r="FR115" i="27" s="1"/>
  <c r="FR78" i="27" a="1"/>
  <c r="FR78" i="27" s="1"/>
  <c r="FO86" i="27" a="1"/>
  <c r="FO86" i="27" s="1"/>
  <c r="FQ67" i="27" a="1"/>
  <c r="FQ67" i="27" s="1"/>
  <c r="FQ73" i="27" a="1"/>
  <c r="FQ73" i="27" s="1"/>
  <c r="FP85" i="27" a="1"/>
  <c r="FP85" i="27" s="1"/>
  <c r="FQ54" i="27" a="1"/>
  <c r="FQ54" i="27" s="1"/>
  <c r="FR76" i="27" a="1"/>
  <c r="FR76" i="27" s="1"/>
  <c r="FO95" i="27" a="1"/>
  <c r="FO95" i="27" s="1"/>
  <c r="FP101" i="27" a="1"/>
  <c r="FP101" i="27" s="1"/>
  <c r="FO89" i="27" a="1"/>
  <c r="FO89" i="27" s="1"/>
  <c r="FQ88" i="27" a="1"/>
  <c r="FQ88" i="27" s="1"/>
  <c r="FQ109" i="27" a="1"/>
  <c r="FQ109" i="27" s="1"/>
  <c r="FO125" i="27" a="1"/>
  <c r="FO125" i="27" s="1"/>
  <c r="FP79" i="27" a="1"/>
  <c r="FP79" i="27" s="1"/>
  <c r="FO78" i="27" a="1"/>
  <c r="FO78" i="27" s="1"/>
  <c r="FO104" i="27" a="1"/>
  <c r="FO104" i="27" s="1"/>
  <c r="FP124" i="27" a="1"/>
  <c r="FP124" i="27" s="1"/>
  <c r="FO77" i="27" a="1"/>
  <c r="FO77" i="27" s="1"/>
  <c r="FQ84" i="27" a="1"/>
  <c r="FQ84" i="27" s="1"/>
  <c r="FP86" i="27" a="1"/>
  <c r="FP86" i="27" s="1"/>
  <c r="FO109" i="27" a="1"/>
  <c r="FO109" i="27" s="1"/>
  <c r="FP71" i="27" a="1"/>
  <c r="FP71" i="27" s="1"/>
  <c r="FO57" i="27" a="1"/>
  <c r="FO57" i="27" s="1"/>
  <c r="FP77" i="27" a="1"/>
  <c r="FP77" i="27" s="1"/>
  <c r="FQ116" i="27" a="1"/>
  <c r="FQ116" i="27" s="1"/>
  <c r="FR114" i="27" a="1"/>
  <c r="FR114" i="27" s="1"/>
  <c r="FO60" i="27" a="1"/>
  <c r="FO60" i="27" s="1"/>
  <c r="FQ72" i="27" a="1"/>
  <c r="FQ72" i="27" s="1"/>
  <c r="FP82" i="27" a="1"/>
  <c r="FP82" i="27" s="1"/>
  <c r="FR85" i="27" a="1"/>
  <c r="FR85" i="27" s="1"/>
  <c r="FQ91" i="27" a="1"/>
  <c r="FQ91" i="27" s="1"/>
  <c r="FO53" i="27" a="1"/>
  <c r="FO53" i="27" s="1"/>
  <c r="FP56" i="27" a="1"/>
  <c r="FP56" i="27" s="1"/>
  <c r="FO84" i="27" a="1"/>
  <c r="FO84" i="27" s="1"/>
  <c r="FO56" i="27" a="1"/>
  <c r="FO56" i="27" s="1"/>
  <c r="FQ55" i="27" a="1"/>
  <c r="FQ55" i="27" s="1"/>
  <c r="FP70" i="27" a="1"/>
  <c r="FP70" i="27" s="1"/>
  <c r="FR81" i="27" a="1"/>
  <c r="FR81" i="27" s="1"/>
  <c r="FP99" i="27" a="1"/>
  <c r="FP99" i="27" s="1"/>
  <c r="FQ129" i="27" a="1"/>
  <c r="FQ129" i="27" s="1"/>
  <c r="FQ108" i="27" a="1"/>
  <c r="FQ108" i="27" s="1"/>
  <c r="FO63" i="27" a="1"/>
  <c r="FO63" i="27" s="1"/>
  <c r="FR96" i="27" a="1"/>
  <c r="FR96" i="27" s="1"/>
  <c r="FP53" i="27" a="1"/>
  <c r="FP53" i="27" s="1"/>
  <c r="FR90" i="27" a="1"/>
  <c r="FR90" i="27" s="1"/>
  <c r="FR131" i="27" a="1"/>
  <c r="FR131" i="27" s="1"/>
  <c r="FR97" i="27" a="1"/>
  <c r="FR97" i="27" s="1"/>
  <c r="FR95" i="27" a="1"/>
  <c r="FR95" i="27" s="1"/>
  <c r="FP109" i="27" a="1"/>
  <c r="FP109" i="27" s="1"/>
  <c r="FR101" i="27" a="1"/>
  <c r="FR101" i="27" s="1"/>
  <c r="FR132" i="27" a="1"/>
  <c r="FR132" i="27" s="1"/>
  <c r="FR70" i="27" a="1"/>
  <c r="FR70" i="27" s="1"/>
  <c r="FQ81" i="27" a="1"/>
  <c r="FQ81" i="27" s="1"/>
  <c r="FR88" i="27" a="1"/>
  <c r="FR88" i="27" s="1"/>
  <c r="FQ79" i="27" a="1"/>
  <c r="FQ79" i="27" s="1"/>
  <c r="FQ118" i="27" a="1"/>
  <c r="FQ118" i="27" s="1"/>
  <c r="FQ128" i="27" a="1"/>
  <c r="FQ128" i="27" s="1"/>
  <c r="FO131" i="27" a="1"/>
  <c r="FO131" i="27" s="1"/>
  <c r="FQ105" i="27" a="1"/>
  <c r="FQ105" i="27" s="1"/>
  <c r="FR116" i="27" a="1"/>
  <c r="FR116" i="27" s="1"/>
  <c r="FO121" i="27" a="1"/>
  <c r="FO121" i="27" s="1"/>
  <c r="FQ65" i="27" a="1"/>
  <c r="FQ65" i="27" s="1"/>
  <c r="FR84" i="27" a="1"/>
  <c r="FR84" i="27" s="1"/>
  <c r="FP96" i="27" a="1"/>
  <c r="FP96" i="27" s="1"/>
  <c r="FQ112" i="27" a="1"/>
  <c r="FQ112" i="27" s="1"/>
  <c r="FQ125" i="27" a="1"/>
  <c r="FQ125" i="27" s="1"/>
  <c r="FP130" i="27" a="1"/>
  <c r="FP130" i="27" s="1"/>
  <c r="FR107" i="27" a="1"/>
  <c r="FR107" i="27" s="1"/>
  <c r="FO105" i="27" a="1"/>
  <c r="FO105" i="27" s="1"/>
  <c r="FP111" i="27" a="1"/>
  <c r="FP111" i="27" s="1"/>
  <c r="FR68" i="27" a="1"/>
  <c r="FR68" i="27" s="1"/>
  <c r="FR126" i="27" a="1"/>
  <c r="FR126" i="27" s="1"/>
  <c r="FR69" i="27" a="1"/>
  <c r="FR69" i="27" s="1"/>
  <c r="FQ85" i="27" a="1"/>
  <c r="FQ85" i="27" s="1"/>
  <c r="FO59" i="27" a="1"/>
  <c r="FO59" i="27" s="1"/>
  <c r="FH107" i="27" a="1"/>
  <c r="FH107" i="27" s="1"/>
  <c r="FE65" i="27" a="1"/>
  <c r="FE65" i="27" s="1"/>
  <c r="FG65" i="27" a="1"/>
  <c r="FG65" i="27" s="1"/>
  <c r="FH65" i="27" a="1"/>
  <c r="FH65" i="27" s="1"/>
  <c r="FF65" i="27" a="1"/>
  <c r="FF65" i="27" s="1"/>
  <c r="FF107" i="27" a="1"/>
  <c r="FF107" i="27" s="1"/>
  <c r="FE107" i="27" a="1"/>
  <c r="FE107" i="27" s="1"/>
  <c r="FG107" i="27" a="1"/>
  <c r="FG107" i="27" s="1"/>
  <c r="EW113" i="27" a="1"/>
  <c r="EW113" i="27" s="1"/>
  <c r="EX71" i="27" a="1"/>
  <c r="EX71" i="27" s="1"/>
  <c r="EV113" i="27" a="1"/>
  <c r="EV113" i="27" s="1"/>
  <c r="EV71" i="27" a="1"/>
  <c r="EV71" i="27" s="1"/>
  <c r="EY113" i="27" a="1"/>
  <c r="EY113" i="27" s="1"/>
  <c r="EY71" i="27" a="1"/>
  <c r="EY71" i="27" s="1"/>
  <c r="EW71" i="27" a="1"/>
  <c r="EW71" i="27" s="1"/>
  <c r="EX113" i="27" a="1"/>
  <c r="EX113" i="27" s="1"/>
  <c r="FQ106" i="27" a="1"/>
  <c r="FQ106" i="27" s="1"/>
  <c r="FO64" i="27" a="1"/>
  <c r="FO64" i="27" s="1"/>
  <c r="FR64" i="27" a="1"/>
  <c r="FR64" i="27" s="1"/>
  <c r="FP64" i="27" a="1"/>
  <c r="FP64" i="27" s="1"/>
  <c r="FQ64" i="27" a="1"/>
  <c r="FQ64" i="27" s="1"/>
  <c r="FR106" i="27" a="1"/>
  <c r="FR106" i="27" s="1"/>
  <c r="FO106" i="27" a="1"/>
  <c r="FO106" i="27" s="1"/>
  <c r="FP106" i="27" a="1"/>
  <c r="FP106" i="27" s="1"/>
  <c r="FH138" i="27" a="1"/>
  <c r="FH138" i="27" s="1"/>
  <c r="FG138" i="27" a="1"/>
  <c r="FG138" i="27" s="1"/>
  <c r="FF138" i="27" a="1"/>
  <c r="FF138" i="27" s="1"/>
  <c r="FE138" i="27" a="1"/>
  <c r="FE138" i="27" s="1"/>
  <c r="EX144" i="27" a="1"/>
  <c r="EX144" i="27" s="1"/>
  <c r="EW144" i="27" a="1"/>
  <c r="EW144" i="27" s="1"/>
  <c r="EV144" i="27" a="1"/>
  <c r="EV144" i="27" s="1"/>
  <c r="EY144" i="27" a="1"/>
  <c r="EY144" i="27" s="1"/>
  <c r="FP137" i="27" a="1"/>
  <c r="FP137" i="27" s="1"/>
  <c r="FO137" i="27" a="1"/>
  <c r="FO137" i="27" s="1"/>
  <c r="FR183" i="27" a="1"/>
  <c r="FR183" i="27" s="1"/>
  <c r="FQ183" i="27" a="1"/>
  <c r="FQ183" i="27" s="1"/>
  <c r="FP183" i="27" a="1"/>
  <c r="FP183" i="27" s="1"/>
  <c r="FR137" i="27" a="1"/>
  <c r="FR137" i="27" s="1"/>
  <c r="FQ137" i="27" a="1"/>
  <c r="FQ137" i="27" s="1"/>
  <c r="FG184" i="27" a="1"/>
  <c r="FG184" i="27" s="1"/>
  <c r="FF184" i="27" a="1"/>
  <c r="FF184" i="27" s="1"/>
  <c r="FE184" i="27" a="1"/>
  <c r="FE184" i="27" s="1"/>
  <c r="FH184" i="27" a="1"/>
  <c r="FH184" i="27" s="1"/>
  <c r="ED34" i="27"/>
  <c r="ED48" i="27"/>
  <c r="ED42" i="27"/>
  <c r="ED56" i="27"/>
  <c r="ED38" i="27"/>
  <c r="ED44" i="27"/>
  <c r="ED52" i="27"/>
  <c r="ED60" i="27"/>
  <c r="ED68" i="27"/>
  <c r="ED51" i="27"/>
  <c r="ED59" i="27"/>
  <c r="ED67" i="27"/>
  <c r="ED36" i="27"/>
  <c r="ED43" i="27"/>
  <c r="ED49" i="27"/>
  <c r="ED33" i="27"/>
  <c r="ED41" i="27"/>
  <c r="ED66" i="27"/>
  <c r="ED61" i="27"/>
  <c r="ED69" i="27"/>
  <c r="ED32" i="27"/>
  <c r="ED37" i="27"/>
  <c r="ED46" i="27"/>
  <c r="ED54" i="27"/>
  <c r="ED62" i="27"/>
  <c r="ED70" i="27"/>
  <c r="ED64" i="27"/>
  <c r="ED55" i="27"/>
  <c r="ED39" i="27"/>
  <c r="ED57" i="27"/>
  <c r="ED58" i="27"/>
  <c r="ED53" i="27"/>
  <c r="ED63" i="27"/>
  <c r="ED47" i="27"/>
  <c r="ED40" i="27"/>
  <c r="ED65" i="27"/>
  <c r="ED50" i="27"/>
  <c r="ED35" i="27"/>
  <c r="ED45" i="27"/>
  <c r="FS62" i="27" l="1"/>
  <c r="FS117" i="27"/>
  <c r="EZ92" i="27"/>
  <c r="FS131" i="27"/>
  <c r="FS113" i="27"/>
  <c r="EZ114" i="27"/>
  <c r="FS63" i="27"/>
  <c r="FS57" i="27"/>
  <c r="FS87" i="27"/>
  <c r="EZ126" i="27"/>
  <c r="FS121" i="27"/>
  <c r="FS59" i="27"/>
  <c r="FS56" i="27"/>
  <c r="FS60" i="27"/>
  <c r="FS82" i="27"/>
  <c r="EZ69" i="27"/>
  <c r="EZ106" i="27"/>
  <c r="EZ131" i="27"/>
  <c r="EZ119" i="27"/>
  <c r="EZ112" i="27"/>
  <c r="FI123" i="27"/>
  <c r="EZ86" i="27"/>
  <c r="EZ102" i="27"/>
  <c r="EZ90" i="27"/>
  <c r="EZ85" i="27"/>
  <c r="EZ134" i="27"/>
  <c r="EZ129" i="27"/>
  <c r="EZ104" i="27"/>
  <c r="FI100" i="27"/>
  <c r="FI96" i="27"/>
  <c r="FI102" i="27"/>
  <c r="FI130" i="27"/>
  <c r="FS95" i="27"/>
  <c r="EZ140" i="27"/>
  <c r="EZ135" i="27"/>
  <c r="FS58" i="27"/>
  <c r="FS74" i="27"/>
  <c r="FS66" i="27"/>
  <c r="EZ65" i="27"/>
  <c r="FS127" i="27"/>
  <c r="FS89" i="27"/>
  <c r="FS124" i="27"/>
  <c r="FS86" i="27"/>
  <c r="FS53" i="27"/>
  <c r="FS104" i="27"/>
  <c r="IA106" i="27" s="1"/>
  <c r="FO223" i="27" a="1"/>
  <c r="FO223" i="27" s="1"/>
  <c r="FS54" i="27"/>
  <c r="FS97" i="27"/>
  <c r="FS116" i="27"/>
  <c r="FS109" i="27"/>
  <c r="FE206" i="27" a="1"/>
  <c r="FE206" i="27" s="1"/>
  <c r="FI127" i="27"/>
  <c r="FI132" i="27"/>
  <c r="EV207" i="27" a="1"/>
  <c r="EV207" i="27" s="1"/>
  <c r="EV216" i="27" a="1"/>
  <c r="EV216" i="27" s="1"/>
  <c r="EZ96" i="27"/>
  <c r="EZ122" i="27"/>
  <c r="FE230" i="27" a="1"/>
  <c r="FE230" i="27" s="1"/>
  <c r="FS84" i="27"/>
  <c r="FS77" i="27"/>
  <c r="FS102" i="27"/>
  <c r="FO205" i="27" a="1"/>
  <c r="FO205" i="27" s="1"/>
  <c r="FO203" i="27" a="1"/>
  <c r="FO203" i="27" s="1"/>
  <c r="FO197" i="27" a="1"/>
  <c r="FO197" i="27" s="1"/>
  <c r="FS103" i="27"/>
  <c r="FS75" i="27"/>
  <c r="IA119" i="27" s="1"/>
  <c r="FS128" i="27"/>
  <c r="FS83" i="27"/>
  <c r="EZ64" i="27"/>
  <c r="EZ77" i="27"/>
  <c r="EZ132" i="27"/>
  <c r="HY127" i="27" s="1"/>
  <c r="EZ137" i="27"/>
  <c r="EZ125" i="27"/>
  <c r="EV205" i="27" a="1"/>
  <c r="EV205" i="27" s="1"/>
  <c r="EZ84" i="27"/>
  <c r="HY121" i="27" s="1"/>
  <c r="FE208" i="27" a="1"/>
  <c r="FE208" i="27" s="1"/>
  <c r="FE211" i="27" a="1"/>
  <c r="FE211" i="27" s="1"/>
  <c r="FI128" i="27"/>
  <c r="FI117" i="27"/>
  <c r="FE212" i="27" a="1"/>
  <c r="FE212" i="27" s="1"/>
  <c r="FI99" i="27"/>
  <c r="FI113" i="27"/>
  <c r="FI134" i="27"/>
  <c r="FO213" i="27" a="1"/>
  <c r="FO213" i="27" s="1"/>
  <c r="FO224" i="27" a="1"/>
  <c r="FO224" i="27" s="1"/>
  <c r="FS126" i="27"/>
  <c r="FS119" i="27"/>
  <c r="FS133" i="27"/>
  <c r="FS99" i="27"/>
  <c r="FS70" i="27"/>
  <c r="FS80" i="27"/>
  <c r="FS96" i="27"/>
  <c r="FS91" i="27"/>
  <c r="FO204" i="27" a="1"/>
  <c r="FO204" i="27" s="1"/>
  <c r="FS98" i="27"/>
  <c r="EV220" i="27" a="1"/>
  <c r="EV220" i="27" s="1"/>
  <c r="EV231" i="27" a="1"/>
  <c r="EV231" i="27" s="1"/>
  <c r="EZ81" i="27"/>
  <c r="EZ61" i="27"/>
  <c r="EV215" i="27" a="1"/>
  <c r="EV215" i="27" s="1"/>
  <c r="EZ93" i="27"/>
  <c r="EZ74" i="27"/>
  <c r="EZ68" i="27"/>
  <c r="EV210" i="27" a="1"/>
  <c r="EV210" i="27" s="1"/>
  <c r="EV204" i="27" a="1"/>
  <c r="EV204" i="27" s="1"/>
  <c r="EV235" i="27" a="1"/>
  <c r="EV235" i="27" s="1"/>
  <c r="EZ111" i="27"/>
  <c r="HY106" i="27" s="1"/>
  <c r="EZ120" i="27"/>
  <c r="EZ105" i="27"/>
  <c r="FE201" i="27" a="1"/>
  <c r="FE201" i="27" s="1"/>
  <c r="FI122" i="27"/>
  <c r="FI111" i="27"/>
  <c r="FI125" i="27"/>
  <c r="FE213" i="27" a="1"/>
  <c r="FE213" i="27" s="1"/>
  <c r="FI131" i="27"/>
  <c r="FE228" i="27" a="1"/>
  <c r="FE228" i="27" s="1"/>
  <c r="FI116" i="27"/>
  <c r="FO198" i="27" a="1"/>
  <c r="FO198" i="27" s="1"/>
  <c r="FS101" i="27"/>
  <c r="EV230" i="27" a="1"/>
  <c r="EV230" i="27" s="1"/>
  <c r="EZ87" i="27"/>
  <c r="EZ67" i="27"/>
  <c r="FE225" i="27" a="1"/>
  <c r="FE225" i="27" s="1"/>
  <c r="FO201" i="27" a="1"/>
  <c r="FO201" i="27" s="1"/>
  <c r="FS130" i="27"/>
  <c r="FS118" i="27"/>
  <c r="EV229" i="27" a="1"/>
  <c r="EV229" i="27" s="1"/>
  <c r="EV222" i="27" a="1"/>
  <c r="EV222" i="27" s="1"/>
  <c r="FE217" i="27" a="1"/>
  <c r="FE217" i="27" s="1"/>
  <c r="FE227" i="27" a="1"/>
  <c r="FE227" i="27" s="1"/>
  <c r="FO220" i="27" a="1"/>
  <c r="FO220" i="27" s="1"/>
  <c r="FO200" i="27" a="1"/>
  <c r="FO200" i="27" s="1"/>
  <c r="EZ139" i="27"/>
  <c r="EV217" i="27" a="1"/>
  <c r="EV217" i="27" s="1"/>
  <c r="EZ117" i="27"/>
  <c r="EZ73" i="27"/>
  <c r="FI109" i="27"/>
  <c r="FI112" i="27"/>
  <c r="FI119" i="27"/>
  <c r="FI110" i="27"/>
  <c r="FE200" i="27" a="1"/>
  <c r="FE200" i="27" s="1"/>
  <c r="FO225" i="27" a="1"/>
  <c r="FO225" i="27" s="1"/>
  <c r="FO229" i="27" a="1"/>
  <c r="FO229" i="27" s="1"/>
  <c r="FO215" i="27" a="1"/>
  <c r="FO215" i="27" s="1"/>
  <c r="FO199" i="27" a="1"/>
  <c r="FO199" i="27" s="1"/>
  <c r="FS73" i="27"/>
  <c r="FS122" i="27"/>
  <c r="FS110" i="27"/>
  <c r="FS68" i="27"/>
  <c r="FS61" i="27"/>
  <c r="FO217" i="27" a="1"/>
  <c r="FO217" i="27" s="1"/>
  <c r="FS115" i="27"/>
  <c r="FO218" i="27" a="1"/>
  <c r="FO218" i="27" s="1"/>
  <c r="FS85" i="27"/>
  <c r="EZ124" i="27"/>
  <c r="EV221" i="27" a="1"/>
  <c r="EV221" i="27" s="1"/>
  <c r="EZ130" i="27"/>
  <c r="EV203" i="27" a="1"/>
  <c r="EV203" i="27" s="1"/>
  <c r="EZ72" i="27"/>
  <c r="EZ60" i="27"/>
  <c r="EV206" i="27" a="1"/>
  <c r="EV206" i="27" s="1"/>
  <c r="EZ127" i="27"/>
  <c r="EV232" i="27" a="1"/>
  <c r="EV232" i="27" s="1"/>
  <c r="EZ103" i="27"/>
  <c r="EZ98" i="27"/>
  <c r="EZ109" i="27"/>
  <c r="EZ89" i="27"/>
  <c r="FE220" i="27" a="1"/>
  <c r="FE220" i="27" s="1"/>
  <c r="FE219" i="27" a="1"/>
  <c r="FE219" i="27" s="1"/>
  <c r="FE215" i="27" a="1"/>
  <c r="FE215" i="27" s="1"/>
  <c r="FI126" i="27"/>
  <c r="FI133" i="27"/>
  <c r="FE199" i="27" a="1"/>
  <c r="FE199" i="27" s="1"/>
  <c r="FO227" i="27" a="1"/>
  <c r="FO227" i="27" s="1"/>
  <c r="FI118" i="27"/>
  <c r="EZ115" i="27"/>
  <c r="EV209" i="27" a="1"/>
  <c r="EV209" i="27" s="1"/>
  <c r="FI108" i="27"/>
  <c r="FI97" i="27"/>
  <c r="FE205" i="27" a="1"/>
  <c r="FE205" i="27" s="1"/>
  <c r="FO228" i="27" a="1"/>
  <c r="FO228" i="27" s="1"/>
  <c r="FS78" i="27"/>
  <c r="FS76" i="27"/>
  <c r="FO209" i="27" a="1"/>
  <c r="FO209" i="27" s="1"/>
  <c r="FS69" i="27"/>
  <c r="EZ75" i="27"/>
  <c r="EZ136" i="27"/>
  <c r="EZ97" i="27"/>
  <c r="EZ138" i="27"/>
  <c r="EV227" i="27" a="1"/>
  <c r="EV227" i="27" s="1"/>
  <c r="FE222" i="27" a="1"/>
  <c r="FE222" i="27" s="1"/>
  <c r="FS105" i="27"/>
  <c r="IA107" i="27" s="1"/>
  <c r="FS125" i="27"/>
  <c r="FS79" i="27"/>
  <c r="FS72" i="27"/>
  <c r="FS114" i="27"/>
  <c r="FS111" i="27"/>
  <c r="FO206" i="27" a="1"/>
  <c r="FO206" i="27" s="1"/>
  <c r="FS65" i="27"/>
  <c r="FO202" i="27" a="1"/>
  <c r="FO202" i="27" s="1"/>
  <c r="FS108" i="27"/>
  <c r="EZ66" i="27"/>
  <c r="EZ91" i="27"/>
  <c r="EZ78" i="27"/>
  <c r="EZ88" i="27"/>
  <c r="HY125" i="27" s="1"/>
  <c r="EZ79" i="27"/>
  <c r="EZ116" i="27"/>
  <c r="EZ62" i="27"/>
  <c r="EZ63" i="27"/>
  <c r="HY100" i="27" s="1"/>
  <c r="EZ107" i="27"/>
  <c r="EZ123" i="27"/>
  <c r="EZ110" i="27"/>
  <c r="EZ133" i="27"/>
  <c r="EV211" i="27" a="1"/>
  <c r="EV211" i="27" s="1"/>
  <c r="FI115" i="27"/>
  <c r="FE221" i="27" a="1"/>
  <c r="FE221" i="27" s="1"/>
  <c r="FI124" i="27"/>
  <c r="FE204" i="27" a="1"/>
  <c r="FE204" i="27" s="1"/>
  <c r="FE229" i="27" a="1"/>
  <c r="FE229" i="27" s="1"/>
  <c r="FI98" i="27"/>
  <c r="FE216" i="27" a="1"/>
  <c r="FE216" i="27" s="1"/>
  <c r="FI103" i="27"/>
  <c r="FS88" i="27"/>
  <c r="FS67" i="27"/>
  <c r="FE198" i="27" a="1"/>
  <c r="FE198" i="27" s="1"/>
  <c r="FO207" i="27" a="1"/>
  <c r="FO207" i="27" s="1"/>
  <c r="FO221" i="27" a="1"/>
  <c r="FO221" i="27" s="1"/>
  <c r="EZ121" i="27"/>
  <c r="EV213" i="27" a="1"/>
  <c r="EV213" i="27" s="1"/>
  <c r="FE210" i="27" a="1"/>
  <c r="FE210" i="27" s="1"/>
  <c r="FI106" i="27"/>
  <c r="FI104" i="27"/>
  <c r="FO212" i="27" a="1"/>
  <c r="FO212" i="27" s="1"/>
  <c r="FS129" i="27"/>
  <c r="EZ82" i="27"/>
  <c r="EV223" i="27" a="1"/>
  <c r="EV223" i="27" s="1"/>
  <c r="FE224" i="27" a="1"/>
  <c r="FE224" i="27" s="1"/>
  <c r="FO214" i="27" a="1"/>
  <c r="FO214" i="27" s="1"/>
  <c r="FS112" i="27"/>
  <c r="FS90" i="27"/>
  <c r="FS123" i="27"/>
  <c r="FS100" i="27"/>
  <c r="FS71" i="27"/>
  <c r="FS55" i="27"/>
  <c r="FO211" i="27" a="1"/>
  <c r="FO211" i="27" s="1"/>
  <c r="FS107" i="27"/>
  <c r="FO216" i="27" a="1"/>
  <c r="FO216" i="27" s="1"/>
  <c r="FO210" i="27" a="1"/>
  <c r="FO210" i="27" s="1"/>
  <c r="FS120" i="27"/>
  <c r="FS81" i="27"/>
  <c r="FO219" i="27" a="1"/>
  <c r="FO219" i="27" s="1"/>
  <c r="EV225" i="27" a="1"/>
  <c r="EV225" i="27" s="1"/>
  <c r="EV233" i="27" a="1"/>
  <c r="EV233" i="27" s="1"/>
  <c r="EZ94" i="27"/>
  <c r="EZ76" i="27"/>
  <c r="EZ83" i="27"/>
  <c r="HY120" i="27" s="1"/>
  <c r="EV208" i="27" a="1"/>
  <c r="EV208" i="27" s="1"/>
  <c r="EZ118" i="27"/>
  <c r="EZ95" i="27"/>
  <c r="EZ108" i="27"/>
  <c r="EZ80" i="27"/>
  <c r="HY117" i="27" s="1"/>
  <c r="EZ70" i="27"/>
  <c r="EV219" i="27" a="1"/>
  <c r="EV219" i="27" s="1"/>
  <c r="EV212" i="27" a="1"/>
  <c r="EV212" i="27" s="1"/>
  <c r="EZ128" i="27"/>
  <c r="FE226" i="27" a="1"/>
  <c r="FE226" i="27" s="1"/>
  <c r="FI114" i="27"/>
  <c r="FI121" i="27"/>
  <c r="FE218" i="27" a="1"/>
  <c r="FE218" i="27" s="1"/>
  <c r="FI105" i="27"/>
  <c r="FI129" i="27"/>
  <c r="FE214" i="27" a="1"/>
  <c r="FE214" i="27" s="1"/>
  <c r="FI101" i="27"/>
  <c r="FE202" i="27" a="1"/>
  <c r="FE202" i="27" s="1"/>
  <c r="FI120" i="27"/>
  <c r="FO208" i="27" a="1"/>
  <c r="FO208" i="27" s="1"/>
  <c r="FE209" i="27" a="1"/>
  <c r="FE209" i="27" s="1"/>
  <c r="EV214" i="27" a="1"/>
  <c r="EV214" i="27" s="1"/>
  <c r="FS64" i="27"/>
  <c r="EZ71" i="27"/>
  <c r="EZ113" i="27"/>
  <c r="FS106" i="27"/>
  <c r="FI107" i="27"/>
  <c r="FI184" i="27"/>
  <c r="HY123" i="27" l="1"/>
  <c r="IA103" i="27"/>
  <c r="IA115" i="27"/>
  <c r="HY129" i="27"/>
  <c r="HY107" i="27"/>
  <c r="HY109" i="27"/>
  <c r="HY114" i="27"/>
  <c r="IA104" i="27"/>
  <c r="IA123" i="27"/>
  <c r="IA110" i="27"/>
  <c r="HY124" i="27"/>
  <c r="IA101" i="27"/>
  <c r="HY99" i="27"/>
  <c r="IA126" i="27"/>
  <c r="HY97" i="27"/>
  <c r="IA105" i="27"/>
  <c r="IA111" i="27"/>
  <c r="HY102" i="27"/>
  <c r="HY122" i="27"/>
  <c r="HY126" i="27"/>
  <c r="IA100" i="27"/>
  <c r="HY101" i="27"/>
  <c r="IA99" i="27"/>
  <c r="IA97" i="27"/>
  <c r="IA102" i="27"/>
  <c r="IA118" i="27"/>
  <c r="IA129" i="27"/>
  <c r="IA98" i="27"/>
  <c r="HY119" i="27"/>
  <c r="IA109" i="27"/>
  <c r="IA120" i="27"/>
  <c r="HY110" i="27"/>
  <c r="HY104" i="27"/>
  <c r="HY98" i="27"/>
  <c r="IA124" i="27"/>
  <c r="IA127" i="27"/>
  <c r="IA125" i="27"/>
  <c r="HY118" i="27"/>
  <c r="IA114" i="27"/>
  <c r="IA121" i="27"/>
  <c r="IA128" i="27"/>
  <c r="IA112" i="27"/>
  <c r="HY113" i="27"/>
  <c r="HY128" i="27"/>
  <c r="IA116" i="27"/>
  <c r="HY115" i="27"/>
  <c r="HY103" i="27"/>
  <c r="HY112" i="27"/>
  <c r="HY105" i="27"/>
  <c r="IA122" i="27"/>
  <c r="IA113" i="27"/>
  <c r="IA117" i="27"/>
  <c r="HY111" i="27"/>
  <c r="HY116" i="27"/>
  <c r="HY108" i="27"/>
  <c r="IA108" i="27"/>
  <c r="FI67" i="27"/>
  <c r="HZ110" i="27" s="1"/>
  <c r="FI62" i="27"/>
  <c r="HZ105" i="27" s="1"/>
  <c r="FI63" i="27"/>
  <c r="HZ106" i="27" s="1"/>
  <c r="FI82" i="27"/>
  <c r="HZ125" i="27" s="1"/>
  <c r="FI73" i="27"/>
  <c r="HZ116" i="27" s="1"/>
  <c r="FI92" i="27"/>
  <c r="FI91" i="27"/>
  <c r="FI65" i="27"/>
  <c r="HZ108" i="27" s="1"/>
  <c r="FI81" i="27"/>
  <c r="HZ124" i="27" s="1"/>
  <c r="FI79" i="27"/>
  <c r="HZ122" i="27" s="1"/>
  <c r="FI84" i="27"/>
  <c r="HZ127" i="27" s="1"/>
  <c r="FI74" i="27"/>
  <c r="HZ117" i="27" s="1"/>
  <c r="FI78" i="27"/>
  <c r="HZ121" i="27" s="1"/>
  <c r="FI70" i="27"/>
  <c r="HZ113" i="27" s="1"/>
  <c r="FI71" i="27"/>
  <c r="HZ114" i="27" s="1"/>
  <c r="FI61" i="27"/>
  <c r="HZ104" i="27" s="1"/>
  <c r="FI76" i="27"/>
  <c r="HZ119" i="27" s="1"/>
  <c r="FI77" i="27"/>
  <c r="HZ120" i="27" s="1"/>
  <c r="FI80" i="27"/>
  <c r="HZ123" i="27" s="1"/>
  <c r="FI58" i="27"/>
  <c r="HZ101" i="27" s="1"/>
  <c r="FI87" i="27"/>
  <c r="FI72" i="27"/>
  <c r="HZ115" i="27" s="1"/>
  <c r="FI86" i="27"/>
  <c r="HZ129" i="27" s="1"/>
  <c r="FI64" i="27"/>
  <c r="HZ107" i="27" s="1"/>
  <c r="FI68" i="27"/>
  <c r="HZ111" i="27" s="1"/>
  <c r="FI69" i="27"/>
  <c r="HZ112" i="27" s="1"/>
  <c r="FI60" i="27"/>
  <c r="HZ103" i="27" s="1"/>
  <c r="FI75" i="27"/>
  <c r="HZ118" i="27" s="1"/>
  <c r="FI83" i="27"/>
  <c r="HZ126" i="27" s="1"/>
  <c r="FI88" i="27"/>
  <c r="FI66" i="27"/>
  <c r="HZ109" i="27" s="1"/>
  <c r="FI56" i="27"/>
  <c r="HZ99" i="27" s="1"/>
  <c r="FI54" i="27"/>
  <c r="HZ97" i="27" s="1"/>
  <c r="FI85" i="27"/>
  <c r="HZ128" i="27" s="1"/>
  <c r="FI57" i="27"/>
  <c r="HZ100" i="27" s="1"/>
  <c r="FI59" i="27"/>
  <c r="HZ102" i="27" s="1"/>
  <c r="FI55" i="27"/>
  <c r="HZ98" i="27" s="1"/>
  <c r="FI90" i="27"/>
  <c r="FI89" i="27"/>
  <c r="DS160" i="27" l="1"/>
  <c r="HV107" i="27" s="1"/>
  <c r="DS186" i="27"/>
  <c r="DS177" i="27"/>
  <c r="HV124" i="27" s="1"/>
  <c r="DS173" i="27"/>
  <c r="HV120" i="27" s="1"/>
  <c r="DS156" i="27"/>
  <c r="HV103" i="27" s="1"/>
  <c r="DS162" i="27"/>
  <c r="HV109" i="27" s="1"/>
  <c r="DS172" i="27"/>
  <c r="HV119" i="27" s="1"/>
  <c r="DS187" i="27"/>
  <c r="DS185" i="27"/>
  <c r="DS179" i="27"/>
  <c r="HV126" i="27" s="1"/>
  <c r="DS155" i="27"/>
  <c r="HV102" i="27" s="1"/>
  <c r="DS167" i="27"/>
  <c r="HV114" i="27" s="1"/>
  <c r="DS178" i="27"/>
  <c r="HV125" i="27" s="1"/>
  <c r="DS158" i="27"/>
  <c r="HV105" i="27" s="1"/>
  <c r="DS184" i="27"/>
  <c r="DS182" i="27"/>
  <c r="HV129" i="27" s="1"/>
  <c r="DS165" i="27"/>
  <c r="HV112" i="27" s="1"/>
  <c r="DS152" i="27"/>
  <c r="HV99" i="27" s="1"/>
  <c r="DS159" i="27"/>
  <c r="HV106" i="27" s="1"/>
  <c r="DS176" i="27"/>
  <c r="HV123" i="27" s="1"/>
  <c r="DS153" i="27"/>
  <c r="HV100" i="27" s="1"/>
  <c r="DS188" i="27"/>
  <c r="DS169" i="27"/>
  <c r="HV116" i="27" s="1"/>
  <c r="DS163" i="27"/>
  <c r="HV110" i="27" s="1"/>
  <c r="DS154" i="27"/>
  <c r="HV101" i="27" s="1"/>
  <c r="DS171" i="27"/>
  <c r="HV118" i="27" s="1"/>
  <c r="DS181" i="27"/>
  <c r="HV128" i="27" s="1"/>
  <c r="DS166" i="27"/>
  <c r="HV113" i="27" s="1"/>
  <c r="DS183" i="27"/>
  <c r="DS151" i="27"/>
  <c r="HV98" i="27" s="1"/>
  <c r="DS174" i="27"/>
  <c r="HV121" i="27" s="1"/>
  <c r="DS157" i="27"/>
  <c r="HV104" i="27" s="1"/>
  <c r="DS168" i="27"/>
  <c r="HV115" i="27" s="1"/>
  <c r="DS150" i="27"/>
  <c r="HV97" i="27" s="1"/>
  <c r="DS175" i="27"/>
  <c r="HV122" i="27" s="1"/>
  <c r="DS170" i="27"/>
  <c r="HV117" i="27" s="1"/>
  <c r="DS164" i="27"/>
  <c r="HV111" i="27" s="1"/>
  <c r="DS180" i="27"/>
  <c r="HV127" i="27" s="1"/>
  <c r="A262" i="48" l="1"/>
  <c r="A248" i="48"/>
  <c r="A234" i="48"/>
  <c r="A214" i="48"/>
  <c r="A198" i="48"/>
  <c r="A185" i="48"/>
  <c r="A169" i="48"/>
  <c r="A153" i="48"/>
  <c r="A137" i="48"/>
  <c r="A117" i="48"/>
  <c r="A98" i="48"/>
  <c r="A79" i="48"/>
  <c r="A60" i="48"/>
  <c r="A44" i="48"/>
  <c r="A27" i="48"/>
  <c r="A7" i="48"/>
  <c r="EV199" i="27" l="1"/>
  <c r="DO289" i="27" l="1"/>
  <c r="D133" i="54" l="1"/>
  <c r="E52" i="54"/>
  <c r="H51" i="54"/>
  <c r="I51" i="54"/>
  <c r="J51" i="54"/>
  <c r="K51" i="54"/>
  <c r="L51" i="54"/>
  <c r="M52" i="54"/>
  <c r="N51" i="54"/>
  <c r="O51" i="54"/>
  <c r="P51" i="54"/>
  <c r="Q51" i="54"/>
  <c r="R51" i="54"/>
  <c r="S52" i="54"/>
  <c r="T51" i="54"/>
  <c r="U51" i="54"/>
  <c r="V51" i="54"/>
  <c r="W51" i="54"/>
  <c r="X51" i="54"/>
  <c r="Y52" i="54"/>
  <c r="Z51" i="54"/>
  <c r="AA51" i="54"/>
  <c r="AB51" i="54"/>
  <c r="AC51" i="54"/>
  <c r="AD51" i="54"/>
  <c r="AE52" i="54"/>
  <c r="AF51" i="54"/>
  <c r="AG51" i="54"/>
  <c r="AH51" i="54"/>
  <c r="AI51" i="54"/>
  <c r="AJ51" i="54"/>
  <c r="AK52" i="54"/>
  <c r="AL51" i="54"/>
  <c r="AM51" i="54"/>
  <c r="AN51" i="54"/>
  <c r="AO51" i="54"/>
  <c r="AP51" i="54"/>
  <c r="AQ52" i="54"/>
  <c r="AR51" i="54"/>
  <c r="AS51" i="54"/>
  <c r="AT51" i="54"/>
  <c r="AU51" i="54"/>
  <c r="AV51" i="54"/>
  <c r="AW52" i="54"/>
  <c r="AX51" i="54"/>
  <c r="AY51" i="54"/>
  <c r="AZ51" i="54"/>
  <c r="BA51" i="54"/>
  <c r="G52" i="54"/>
  <c r="F51" i="54"/>
  <c r="E51" i="54"/>
  <c r="D134" i="54"/>
  <c r="D47" i="54" s="1"/>
  <c r="E133" i="54"/>
  <c r="F133" i="54"/>
  <c r="G133" i="54"/>
  <c r="H133" i="54"/>
  <c r="I133" i="54"/>
  <c r="J133" i="54"/>
  <c r="K133" i="54"/>
  <c r="L133" i="54"/>
  <c r="M133" i="54"/>
  <c r="N133" i="54"/>
  <c r="O133" i="54"/>
  <c r="P133" i="54"/>
  <c r="Q133" i="54"/>
  <c r="R133" i="54"/>
  <c r="S133" i="54"/>
  <c r="T133" i="54"/>
  <c r="U133" i="54"/>
  <c r="V133" i="54"/>
  <c r="W133" i="54"/>
  <c r="X133" i="54"/>
  <c r="Y133" i="54"/>
  <c r="Z133" i="54"/>
  <c r="AA133" i="54"/>
  <c r="AB133" i="54"/>
  <c r="AC133" i="54"/>
  <c r="AD133" i="54"/>
  <c r="AE133" i="54"/>
  <c r="AF133" i="54"/>
  <c r="AG133" i="54"/>
  <c r="AH133" i="54"/>
  <c r="AI133" i="54"/>
  <c r="AJ133" i="54"/>
  <c r="AK133" i="54"/>
  <c r="AL133" i="54"/>
  <c r="AM133" i="54"/>
  <c r="AN133" i="54"/>
  <c r="AO133" i="54"/>
  <c r="AP133" i="54"/>
  <c r="AQ133" i="54"/>
  <c r="AR133" i="54"/>
  <c r="AS133" i="54"/>
  <c r="AT133" i="54"/>
  <c r="AU133" i="54"/>
  <c r="AV133" i="54"/>
  <c r="AW133" i="54"/>
  <c r="AX133" i="54"/>
  <c r="AY133" i="54"/>
  <c r="AZ133" i="54"/>
  <c r="BA133" i="54"/>
  <c r="D52" i="54" l="1"/>
  <c r="AV52" i="54"/>
  <c r="AP52" i="54"/>
  <c r="AJ52" i="54"/>
  <c r="AD52" i="54"/>
  <c r="X52" i="54"/>
  <c r="R52" i="54"/>
  <c r="L52" i="54"/>
  <c r="F52" i="54"/>
  <c r="AW51" i="54"/>
  <c r="AQ51" i="54"/>
  <c r="AK51" i="54"/>
  <c r="AE51" i="54"/>
  <c r="Y51" i="54"/>
  <c r="S51" i="54"/>
  <c r="M51" i="54"/>
  <c r="G51" i="54"/>
  <c r="BA52" i="54"/>
  <c r="AU52" i="54"/>
  <c r="AO52" i="54"/>
  <c r="AI52" i="54"/>
  <c r="AC52" i="54"/>
  <c r="W52" i="54"/>
  <c r="Q52" i="54"/>
  <c r="K52" i="54"/>
  <c r="AZ52" i="54"/>
  <c r="AT52" i="54"/>
  <c r="AN52" i="54"/>
  <c r="AH52" i="54"/>
  <c r="AB52" i="54"/>
  <c r="V52" i="54"/>
  <c r="P52" i="54"/>
  <c r="J52" i="54"/>
  <c r="AY52" i="54"/>
  <c r="AS52" i="54"/>
  <c r="AM52" i="54"/>
  <c r="AG52" i="54"/>
  <c r="AA52" i="54"/>
  <c r="U52" i="54"/>
  <c r="O52" i="54"/>
  <c r="I52" i="54"/>
  <c r="AX52" i="54"/>
  <c r="AR52" i="54"/>
  <c r="AL52" i="54"/>
  <c r="AF52" i="54"/>
  <c r="Z52" i="54"/>
  <c r="T52" i="54"/>
  <c r="N52" i="54"/>
  <c r="H52" i="54"/>
  <c r="D51" i="54"/>
  <c r="G19" i="54"/>
  <c r="G18" i="54"/>
  <c r="G17" i="54"/>
  <c r="G16" i="54"/>
  <c r="E15" i="54"/>
  <c r="C15" i="54"/>
  <c r="G14" i="54"/>
  <c r="G13" i="54"/>
  <c r="G12" i="54"/>
  <c r="E134" i="54"/>
  <c r="E47" i="54" s="1"/>
  <c r="BA144" i="54"/>
  <c r="AZ144" i="54"/>
  <c r="AY144" i="54"/>
  <c r="AX144" i="54"/>
  <c r="AW144" i="54"/>
  <c r="AV144" i="54"/>
  <c r="AU144" i="54"/>
  <c r="AT144" i="54"/>
  <c r="AS144" i="54"/>
  <c r="AR144" i="54"/>
  <c r="AQ144" i="54"/>
  <c r="AP144" i="54"/>
  <c r="AO144" i="54"/>
  <c r="AN144" i="54"/>
  <c r="AM144" i="54"/>
  <c r="AL144" i="54"/>
  <c r="AK144" i="54"/>
  <c r="AJ144" i="54"/>
  <c r="AI144" i="54"/>
  <c r="AH144" i="54"/>
  <c r="AG144" i="54"/>
  <c r="AF144" i="54"/>
  <c r="AE144" i="54"/>
  <c r="AD144" i="54"/>
  <c r="AC144" i="54"/>
  <c r="AB144" i="54"/>
  <c r="AA144" i="54"/>
  <c r="Z144" i="54"/>
  <c r="Y144" i="54"/>
  <c r="X144" i="54"/>
  <c r="W144" i="54"/>
  <c r="V144" i="54"/>
  <c r="U144" i="54"/>
  <c r="T144" i="54"/>
  <c r="S144" i="54"/>
  <c r="R144" i="54"/>
  <c r="Q144" i="54"/>
  <c r="P144" i="54"/>
  <c r="O144" i="54"/>
  <c r="N144" i="54"/>
  <c r="M144" i="54"/>
  <c r="L144" i="54"/>
  <c r="K144" i="54"/>
  <c r="J144" i="54"/>
  <c r="I144" i="54"/>
  <c r="H144" i="54"/>
  <c r="G144" i="54"/>
  <c r="F144" i="54"/>
  <c r="E144" i="54"/>
  <c r="D144" i="54"/>
  <c r="BA143" i="54"/>
  <c r="AZ143" i="54"/>
  <c r="AY143" i="54"/>
  <c r="AX143" i="54"/>
  <c r="AW143" i="54"/>
  <c r="AV143" i="54"/>
  <c r="AU143" i="54"/>
  <c r="AT143" i="54"/>
  <c r="AS143" i="54"/>
  <c r="AR143" i="54"/>
  <c r="AQ143" i="54"/>
  <c r="AP143" i="54"/>
  <c r="AO143" i="54"/>
  <c r="AN143" i="54"/>
  <c r="AM143" i="54"/>
  <c r="AL143" i="54"/>
  <c r="AK143" i="54"/>
  <c r="AJ143" i="54"/>
  <c r="AI143" i="54"/>
  <c r="AH143" i="54"/>
  <c r="AG143" i="54"/>
  <c r="AF143" i="54"/>
  <c r="AE143" i="54"/>
  <c r="AD143" i="54"/>
  <c r="AC143" i="54"/>
  <c r="AB143" i="54"/>
  <c r="AA143" i="54"/>
  <c r="Z143" i="54"/>
  <c r="Y143" i="54"/>
  <c r="X143" i="54"/>
  <c r="W143" i="54"/>
  <c r="V143" i="54"/>
  <c r="U143" i="54"/>
  <c r="T143" i="54"/>
  <c r="S143" i="54"/>
  <c r="R143" i="54"/>
  <c r="Q143" i="54"/>
  <c r="P143" i="54"/>
  <c r="O143" i="54"/>
  <c r="N143" i="54"/>
  <c r="M143" i="54"/>
  <c r="L143" i="54"/>
  <c r="K143" i="54"/>
  <c r="J143" i="54"/>
  <c r="I143" i="54"/>
  <c r="H143" i="54"/>
  <c r="G143" i="54"/>
  <c r="F143" i="54"/>
  <c r="E143" i="54"/>
  <c r="D143" i="54"/>
  <c r="BA142" i="54"/>
  <c r="AZ142" i="54"/>
  <c r="AY142" i="54"/>
  <c r="AX142" i="54"/>
  <c r="AW142" i="54"/>
  <c r="AV142" i="54"/>
  <c r="AU142" i="54"/>
  <c r="AT142" i="54"/>
  <c r="AS142" i="54"/>
  <c r="AR142" i="54"/>
  <c r="AQ142" i="54"/>
  <c r="AP142" i="54"/>
  <c r="AO142" i="54"/>
  <c r="AN142" i="54"/>
  <c r="AM142" i="54"/>
  <c r="AL142" i="54"/>
  <c r="AK142" i="54"/>
  <c r="AJ142" i="54"/>
  <c r="AI142" i="54"/>
  <c r="AH142" i="54"/>
  <c r="AG142" i="54"/>
  <c r="AF142" i="54"/>
  <c r="AE142" i="54"/>
  <c r="AD142" i="54"/>
  <c r="AC142" i="54"/>
  <c r="AB142" i="54"/>
  <c r="AA142" i="54"/>
  <c r="Z142" i="54"/>
  <c r="Y142" i="54"/>
  <c r="X142" i="54"/>
  <c r="W142" i="54"/>
  <c r="V142" i="54"/>
  <c r="U142" i="54"/>
  <c r="T142" i="54"/>
  <c r="S142" i="54"/>
  <c r="R142" i="54"/>
  <c r="Q142" i="54"/>
  <c r="P142" i="54"/>
  <c r="O142" i="54"/>
  <c r="N142" i="54"/>
  <c r="M142" i="54"/>
  <c r="L142" i="54"/>
  <c r="K142" i="54"/>
  <c r="J142" i="54"/>
  <c r="I142" i="54"/>
  <c r="H142" i="54"/>
  <c r="G142" i="54"/>
  <c r="F142" i="54"/>
  <c r="E142" i="54"/>
  <c r="D142" i="54"/>
  <c r="BA141" i="54"/>
  <c r="AZ141" i="54"/>
  <c r="AY141" i="54"/>
  <c r="AX141" i="54"/>
  <c r="AW141" i="54"/>
  <c r="AV141" i="54"/>
  <c r="AU141" i="54"/>
  <c r="AT141" i="54"/>
  <c r="AS141" i="54"/>
  <c r="AR141" i="54"/>
  <c r="AQ141" i="54"/>
  <c r="AP141" i="54"/>
  <c r="AO141" i="54"/>
  <c r="AN141" i="54"/>
  <c r="AM141" i="54"/>
  <c r="AL141" i="54"/>
  <c r="AK141" i="54"/>
  <c r="AJ141" i="54"/>
  <c r="AI141" i="54"/>
  <c r="AH141" i="54"/>
  <c r="AG141" i="54"/>
  <c r="AF141" i="54"/>
  <c r="AE141" i="54"/>
  <c r="AD141" i="54"/>
  <c r="AC141" i="54"/>
  <c r="AB141" i="54"/>
  <c r="AA141" i="54"/>
  <c r="Z141" i="54"/>
  <c r="Y141" i="54"/>
  <c r="X141" i="54"/>
  <c r="W141" i="54"/>
  <c r="V141" i="54"/>
  <c r="U141" i="54"/>
  <c r="T141" i="54"/>
  <c r="S141" i="54"/>
  <c r="R141" i="54"/>
  <c r="Q141" i="54"/>
  <c r="P141" i="54"/>
  <c r="O141" i="54"/>
  <c r="N141" i="54"/>
  <c r="M141" i="54"/>
  <c r="L141" i="54"/>
  <c r="K141" i="54"/>
  <c r="J141" i="54"/>
  <c r="I141" i="54"/>
  <c r="H141" i="54"/>
  <c r="G141" i="54"/>
  <c r="F141" i="54"/>
  <c r="E141" i="54"/>
  <c r="D141" i="54"/>
  <c r="BA140" i="54"/>
  <c r="AZ140" i="54"/>
  <c r="AY140" i="54"/>
  <c r="AX140" i="54"/>
  <c r="AW140" i="54"/>
  <c r="AV140" i="54"/>
  <c r="AU140" i="54"/>
  <c r="AT140" i="54"/>
  <c r="AS140" i="54"/>
  <c r="AR140" i="54"/>
  <c r="AQ140" i="54"/>
  <c r="AP140" i="54"/>
  <c r="AO140" i="54"/>
  <c r="AN140" i="54"/>
  <c r="AM140" i="54"/>
  <c r="AL140" i="54"/>
  <c r="AK140" i="54"/>
  <c r="AJ140" i="54"/>
  <c r="AI140" i="54"/>
  <c r="AH140" i="54"/>
  <c r="AG140" i="54"/>
  <c r="AF140" i="54"/>
  <c r="AE140" i="54"/>
  <c r="AD140" i="54"/>
  <c r="AC140" i="54"/>
  <c r="AB140" i="54"/>
  <c r="AA140" i="54"/>
  <c r="Z140" i="54"/>
  <c r="Y140" i="54"/>
  <c r="X140" i="54"/>
  <c r="W140" i="54"/>
  <c r="V140" i="54"/>
  <c r="U140" i="54"/>
  <c r="T140" i="54"/>
  <c r="S140" i="54"/>
  <c r="R140" i="54"/>
  <c r="Q140" i="54"/>
  <c r="P140" i="54"/>
  <c r="O140" i="54"/>
  <c r="N140" i="54"/>
  <c r="M140" i="54"/>
  <c r="L140" i="54"/>
  <c r="K140" i="54"/>
  <c r="J140" i="54"/>
  <c r="I140" i="54"/>
  <c r="H140" i="54"/>
  <c r="G140" i="54"/>
  <c r="F140" i="54"/>
  <c r="E140" i="54"/>
  <c r="D140" i="54"/>
  <c r="BA139" i="54"/>
  <c r="AZ139" i="54"/>
  <c r="AY139" i="54"/>
  <c r="AX139" i="54"/>
  <c r="AW139" i="54"/>
  <c r="AV139" i="54"/>
  <c r="AU139" i="54"/>
  <c r="AT139" i="54"/>
  <c r="AS139" i="54"/>
  <c r="AR139" i="54"/>
  <c r="AQ139" i="54"/>
  <c r="AP139" i="54"/>
  <c r="AO139" i="54"/>
  <c r="AN139" i="54"/>
  <c r="AM139" i="54"/>
  <c r="AL139" i="54"/>
  <c r="AK139" i="54"/>
  <c r="AJ139" i="54"/>
  <c r="AI139" i="54"/>
  <c r="AH139" i="54"/>
  <c r="AG139" i="54"/>
  <c r="AF139" i="54"/>
  <c r="AE139" i="54"/>
  <c r="AD139" i="54"/>
  <c r="AC139" i="54"/>
  <c r="AB139" i="54"/>
  <c r="AA139" i="54"/>
  <c r="Z139" i="54"/>
  <c r="Y139" i="54"/>
  <c r="X139" i="54"/>
  <c r="W139" i="54"/>
  <c r="V139" i="54"/>
  <c r="U139" i="54"/>
  <c r="T139" i="54"/>
  <c r="S139" i="54"/>
  <c r="R139" i="54"/>
  <c r="Q139" i="54"/>
  <c r="P139" i="54"/>
  <c r="O139" i="54"/>
  <c r="N139" i="54"/>
  <c r="M139" i="54"/>
  <c r="L139" i="54"/>
  <c r="K139" i="54"/>
  <c r="J139" i="54"/>
  <c r="I139" i="54"/>
  <c r="H139" i="54"/>
  <c r="G139" i="54"/>
  <c r="F139" i="54"/>
  <c r="E139" i="54"/>
  <c r="D139" i="54"/>
  <c r="BA138" i="54"/>
  <c r="AZ138" i="54"/>
  <c r="AY138" i="54"/>
  <c r="AX138" i="54"/>
  <c r="AW138" i="54"/>
  <c r="AV138" i="54"/>
  <c r="AU138" i="54"/>
  <c r="AT138" i="54"/>
  <c r="AS138" i="54"/>
  <c r="AR138" i="54"/>
  <c r="AQ138" i="54"/>
  <c r="AP138" i="54"/>
  <c r="AO138" i="54"/>
  <c r="AN138" i="54"/>
  <c r="AM138" i="54"/>
  <c r="AL138" i="54"/>
  <c r="AK138" i="54"/>
  <c r="AJ138" i="54"/>
  <c r="AI138" i="54"/>
  <c r="AH138" i="54"/>
  <c r="AG138" i="54"/>
  <c r="AF138" i="54"/>
  <c r="AE138" i="54"/>
  <c r="AD138" i="54"/>
  <c r="AC138" i="54"/>
  <c r="AB138" i="54"/>
  <c r="AA138" i="54"/>
  <c r="Z138" i="54"/>
  <c r="Y138" i="54"/>
  <c r="X138" i="54"/>
  <c r="W138" i="54"/>
  <c r="V138" i="54"/>
  <c r="U138" i="54"/>
  <c r="T138" i="54"/>
  <c r="S138" i="54"/>
  <c r="R138" i="54"/>
  <c r="Q138" i="54"/>
  <c r="P138" i="54"/>
  <c r="O138" i="54"/>
  <c r="N138" i="54"/>
  <c r="M138" i="54"/>
  <c r="L138" i="54"/>
  <c r="K138" i="54"/>
  <c r="J138" i="54"/>
  <c r="I138" i="54"/>
  <c r="H138" i="54"/>
  <c r="G138" i="54"/>
  <c r="F138" i="54"/>
  <c r="E138" i="54"/>
  <c r="D138" i="54"/>
  <c r="BA134" i="54"/>
  <c r="BA47" i="54" s="1"/>
  <c r="AZ134" i="54"/>
  <c r="AZ47" i="54" s="1"/>
  <c r="AY134" i="54"/>
  <c r="AY47" i="54" s="1"/>
  <c r="AX134" i="54"/>
  <c r="AX47" i="54" s="1"/>
  <c r="AW134" i="54"/>
  <c r="AW47" i="54" s="1"/>
  <c r="AV134" i="54"/>
  <c r="AV47" i="54" s="1"/>
  <c r="AU134" i="54"/>
  <c r="AU47" i="54" s="1"/>
  <c r="AT134" i="54"/>
  <c r="AT47" i="54" s="1"/>
  <c r="AS134" i="54"/>
  <c r="AS47" i="54" s="1"/>
  <c r="AR134" i="54"/>
  <c r="AR47" i="54" s="1"/>
  <c r="AQ134" i="54"/>
  <c r="AQ47" i="54" s="1"/>
  <c r="AP134" i="54"/>
  <c r="AP47" i="54" s="1"/>
  <c r="AO134" i="54"/>
  <c r="AO47" i="54" s="1"/>
  <c r="AN134" i="54"/>
  <c r="AN47" i="54" s="1"/>
  <c r="AM134" i="54"/>
  <c r="AM47" i="54" s="1"/>
  <c r="AL134" i="54"/>
  <c r="AL47" i="54" s="1"/>
  <c r="AK134" i="54"/>
  <c r="AK47" i="54" s="1"/>
  <c r="AJ134" i="54"/>
  <c r="AJ47" i="54" s="1"/>
  <c r="AI134" i="54"/>
  <c r="AI47" i="54" s="1"/>
  <c r="AH134" i="54"/>
  <c r="AH47" i="54" s="1"/>
  <c r="AG134" i="54"/>
  <c r="AG47" i="54" s="1"/>
  <c r="AF134" i="54"/>
  <c r="AF47" i="54" s="1"/>
  <c r="AE134" i="54"/>
  <c r="AE47" i="54" s="1"/>
  <c r="AD134" i="54"/>
  <c r="AD47" i="54" s="1"/>
  <c r="AC134" i="54"/>
  <c r="AC47" i="54" s="1"/>
  <c r="AB134" i="54"/>
  <c r="AB47" i="54" s="1"/>
  <c r="AA134" i="54"/>
  <c r="AA47" i="54" s="1"/>
  <c r="Z134" i="54"/>
  <c r="Z47" i="54" s="1"/>
  <c r="Y134" i="54"/>
  <c r="Y47" i="54" s="1"/>
  <c r="X134" i="54"/>
  <c r="X47" i="54" s="1"/>
  <c r="W134" i="54"/>
  <c r="W47" i="54" s="1"/>
  <c r="V134" i="54"/>
  <c r="V47" i="54" s="1"/>
  <c r="U134" i="54"/>
  <c r="U47" i="54" s="1"/>
  <c r="T134" i="54"/>
  <c r="T47" i="54" s="1"/>
  <c r="S134" i="54"/>
  <c r="S47" i="54" s="1"/>
  <c r="R134" i="54"/>
  <c r="R47" i="54" s="1"/>
  <c r="Q134" i="54"/>
  <c r="Q47" i="54" s="1"/>
  <c r="P134" i="54"/>
  <c r="P47" i="54" s="1"/>
  <c r="O134" i="54"/>
  <c r="O47" i="54" s="1"/>
  <c r="N134" i="54"/>
  <c r="N47" i="54" s="1"/>
  <c r="M134" i="54"/>
  <c r="M47" i="54" s="1"/>
  <c r="L134" i="54"/>
  <c r="L47" i="54" s="1"/>
  <c r="K134" i="54"/>
  <c r="K47" i="54" s="1"/>
  <c r="J134" i="54"/>
  <c r="J47" i="54" s="1"/>
  <c r="I134" i="54"/>
  <c r="I47" i="54" s="1"/>
  <c r="H134" i="54"/>
  <c r="H47" i="54" s="1"/>
  <c r="G134" i="54"/>
  <c r="G47" i="54" s="1"/>
  <c r="F134" i="54"/>
  <c r="F47" i="54" s="1"/>
  <c r="B35" i="54"/>
  <c r="B37" i="54" s="1"/>
  <c r="B39" i="54" s="1"/>
  <c r="B41" i="54" s="1"/>
  <c r="B43" i="54" s="1"/>
  <c r="B45" i="54" s="1"/>
  <c r="B34" i="54"/>
  <c r="B36" i="54" s="1"/>
  <c r="B38" i="54" s="1"/>
  <c r="B40" i="54" s="1"/>
  <c r="B42" i="54" s="1"/>
  <c r="B44" i="54" s="1"/>
  <c r="C29" i="54"/>
  <c r="C48" i="54" s="1"/>
  <c r="G15" i="54" l="1"/>
  <c r="I37" i="57"/>
  <c r="I50" i="54"/>
  <c r="I48" i="54"/>
  <c r="I49" i="54" s="1"/>
  <c r="O50" i="54"/>
  <c r="O48" i="54"/>
  <c r="O49" i="54" s="1"/>
  <c r="U50" i="54"/>
  <c r="U48" i="54"/>
  <c r="U49" i="54" s="1"/>
  <c r="AA50" i="54"/>
  <c r="AA48" i="54"/>
  <c r="AA49" i="54" s="1"/>
  <c r="AG50" i="54"/>
  <c r="AG48" i="54"/>
  <c r="AG49" i="54" s="1"/>
  <c r="AM50" i="54"/>
  <c r="AM48" i="54"/>
  <c r="AM49" i="54" s="1"/>
  <c r="AS50" i="54"/>
  <c r="AS48" i="54"/>
  <c r="AS49" i="54" s="1"/>
  <c r="AY50" i="54"/>
  <c r="AY48" i="54"/>
  <c r="AY49" i="54" s="1"/>
  <c r="D48" i="54"/>
  <c r="D49" i="54" s="1"/>
  <c r="D50" i="54"/>
  <c r="J50" i="54"/>
  <c r="J48" i="54"/>
  <c r="J49" i="54" s="1"/>
  <c r="P50" i="54"/>
  <c r="P48" i="54"/>
  <c r="P49" i="54" s="1"/>
  <c r="V50" i="54"/>
  <c r="V48" i="54"/>
  <c r="V49" i="54" s="1"/>
  <c r="AB50" i="54"/>
  <c r="AB48" i="54"/>
  <c r="AB49" i="54" s="1"/>
  <c r="AH50" i="54"/>
  <c r="AH48" i="54"/>
  <c r="AH49" i="54" s="1"/>
  <c r="AN50" i="54"/>
  <c r="AN48" i="54"/>
  <c r="AN49" i="54" s="1"/>
  <c r="AT50" i="54"/>
  <c r="AT48" i="54"/>
  <c r="AT49" i="54" s="1"/>
  <c r="AZ50" i="54"/>
  <c r="AZ48" i="54"/>
  <c r="AZ49" i="54" s="1"/>
  <c r="E48" i="54"/>
  <c r="E49" i="54" s="1"/>
  <c r="E50" i="54"/>
  <c r="K48" i="54"/>
  <c r="K49" i="54" s="1"/>
  <c r="K50" i="54"/>
  <c r="Q48" i="54"/>
  <c r="Q49" i="54" s="1"/>
  <c r="Q50" i="54"/>
  <c r="W48" i="54"/>
  <c r="W49" i="54" s="1"/>
  <c r="W50" i="54"/>
  <c r="AC48" i="54"/>
  <c r="AC49" i="54" s="1"/>
  <c r="AC50" i="54"/>
  <c r="AI48" i="54"/>
  <c r="AI49" i="54" s="1"/>
  <c r="AI50" i="54"/>
  <c r="AO48" i="54"/>
  <c r="AO49" i="54" s="1"/>
  <c r="AO50" i="54"/>
  <c r="AU48" i="54"/>
  <c r="AU49" i="54" s="1"/>
  <c r="AU50" i="54"/>
  <c r="BA48" i="54"/>
  <c r="BA49" i="54" s="1"/>
  <c r="BA50" i="54"/>
  <c r="F48" i="54"/>
  <c r="F49" i="54" s="1"/>
  <c r="F50" i="54"/>
  <c r="L48" i="54"/>
  <c r="L49" i="54" s="1"/>
  <c r="L50" i="54"/>
  <c r="R48" i="54"/>
  <c r="R49" i="54" s="1"/>
  <c r="R50" i="54"/>
  <c r="X48" i="54"/>
  <c r="X49" i="54" s="1"/>
  <c r="X50" i="54"/>
  <c r="AD48" i="54"/>
  <c r="AD49" i="54" s="1"/>
  <c r="AD50" i="54"/>
  <c r="AJ48" i="54"/>
  <c r="AJ49" i="54" s="1"/>
  <c r="AJ50" i="54"/>
  <c r="AP48" i="54"/>
  <c r="AP49" i="54" s="1"/>
  <c r="AP50" i="54"/>
  <c r="AV48" i="54"/>
  <c r="AV49" i="54" s="1"/>
  <c r="AV50" i="54"/>
  <c r="M48" i="54"/>
  <c r="M49" i="54" s="1"/>
  <c r="M50" i="54"/>
  <c r="S48" i="54"/>
  <c r="S49" i="54" s="1"/>
  <c r="S50" i="54"/>
  <c r="Y48" i="54"/>
  <c r="Y49" i="54" s="1"/>
  <c r="Y50" i="54"/>
  <c r="AE48" i="54"/>
  <c r="AE49" i="54" s="1"/>
  <c r="AE50" i="54"/>
  <c r="AK48" i="54"/>
  <c r="AK49" i="54" s="1"/>
  <c r="AK50" i="54"/>
  <c r="AQ48" i="54"/>
  <c r="AQ49" i="54" s="1"/>
  <c r="AQ50" i="54"/>
  <c r="AW48" i="54"/>
  <c r="AW49" i="54" s="1"/>
  <c r="AW50" i="54"/>
  <c r="H50" i="54"/>
  <c r="H48" i="54"/>
  <c r="H49" i="54" s="1"/>
  <c r="N50" i="54"/>
  <c r="N48" i="54"/>
  <c r="N49" i="54" s="1"/>
  <c r="T50" i="54"/>
  <c r="T48" i="54"/>
  <c r="T49" i="54" s="1"/>
  <c r="Z50" i="54"/>
  <c r="Z48" i="54"/>
  <c r="Z49" i="54" s="1"/>
  <c r="AF50" i="54"/>
  <c r="AF48" i="54"/>
  <c r="AF49" i="54" s="1"/>
  <c r="AL50" i="54"/>
  <c r="AL48" i="54"/>
  <c r="AL49" i="54" s="1"/>
  <c r="AR50" i="54"/>
  <c r="AR48" i="54"/>
  <c r="AR49" i="54" s="1"/>
  <c r="AX50" i="54"/>
  <c r="AX48" i="54"/>
  <c r="AX49" i="54" s="1"/>
  <c r="G50" i="54"/>
  <c r="G48" i="54"/>
  <c r="G49" i="54" s="1"/>
  <c r="AU135" i="54"/>
  <c r="J135" i="54"/>
  <c r="P135" i="54"/>
  <c r="V135" i="54"/>
  <c r="AB135" i="54"/>
  <c r="AH135" i="54"/>
  <c r="AN135" i="54"/>
  <c r="AT135" i="54"/>
  <c r="AZ135" i="54"/>
  <c r="K135" i="54"/>
  <c r="AI135" i="54"/>
  <c r="L135" i="54"/>
  <c r="R135" i="54"/>
  <c r="X135" i="54"/>
  <c r="AD135" i="54"/>
  <c r="AJ135" i="54"/>
  <c r="AP135" i="54"/>
  <c r="AV135" i="54"/>
  <c r="AO135" i="54"/>
  <c r="M135" i="54"/>
  <c r="S135" i="54"/>
  <c r="Y135" i="54"/>
  <c r="AE135" i="54"/>
  <c r="AK135" i="54"/>
  <c r="AQ135" i="54"/>
  <c r="AW135" i="54"/>
  <c r="W135" i="54"/>
  <c r="BA135" i="54"/>
  <c r="H135" i="54"/>
  <c r="N135" i="54"/>
  <c r="T135" i="54"/>
  <c r="Z135" i="54"/>
  <c r="AF135" i="54"/>
  <c r="AL135" i="54"/>
  <c r="AR135" i="54"/>
  <c r="AX135" i="54"/>
  <c r="Q135" i="54"/>
  <c r="AC135" i="54"/>
  <c r="I135" i="54"/>
  <c r="O135" i="54"/>
  <c r="U135" i="54"/>
  <c r="AA135" i="54"/>
  <c r="AG135" i="54"/>
  <c r="AM135" i="54"/>
  <c r="AS135" i="54"/>
  <c r="AY135" i="54"/>
  <c r="F135" i="54"/>
  <c r="G135" i="54"/>
  <c r="E135" i="54"/>
  <c r="E20" i="54"/>
  <c r="F21" i="48"/>
  <c r="F20" i="48"/>
  <c r="BC295" i="27" s="1" a="1"/>
  <c r="BC295" i="27" s="1"/>
  <c r="F19" i="48"/>
  <c r="F18" i="48"/>
  <c r="BD295" i="27" s="1" a="1"/>
  <c r="BD295" i="27" s="1"/>
  <c r="F17" i="48"/>
  <c r="F16" i="48"/>
  <c r="BE295" i="27" s="1" a="1"/>
  <c r="BE295" i="27" s="1"/>
  <c r="F15" i="48"/>
  <c r="F14" i="48"/>
  <c r="F13" i="48"/>
  <c r="F12" i="48"/>
  <c r="BG295" i="27" s="1" a="1"/>
  <c r="BG295" i="27" s="1"/>
  <c r="F11" i="48"/>
  <c r="F10" i="48"/>
  <c r="BH295" i="27" s="1" a="1"/>
  <c r="BH295" i="27" s="1"/>
  <c r="F9" i="48"/>
  <c r="F8" i="48"/>
  <c r="BI295" i="27" s="1" a="1"/>
  <c r="BI295" i="27" s="1"/>
  <c r="BF295" i="27" l="1" a="1"/>
  <c r="BF295" i="27" s="1"/>
  <c r="BD327" i="27" a="1"/>
  <c r="BD327" i="27" s="1"/>
  <c r="D36" i="51" s="1"/>
  <c r="BE327" i="27" a="1"/>
  <c r="BE327" i="27" s="1"/>
  <c r="E36" i="51" s="1"/>
  <c r="BF327" i="27" a="1"/>
  <c r="BF327" i="27" s="1"/>
  <c r="BH327" i="27" a="1"/>
  <c r="BH327" i="27" s="1"/>
  <c r="BG327" i="27" a="1"/>
  <c r="BG327" i="27" s="1"/>
  <c r="BI327" i="27" a="1"/>
  <c r="BI327" i="27" s="1"/>
  <c r="BC327" i="27" a="1"/>
  <c r="BC327" i="27" s="1"/>
  <c r="C36" i="51" s="1"/>
  <c r="I41" i="57"/>
  <c r="D135" i="54"/>
  <c r="N50" i="51"/>
  <c r="N49" i="51"/>
  <c r="N48" i="51"/>
  <c r="D22" i="53" l="1"/>
  <c r="C22" i="53"/>
  <c r="B22" i="53"/>
  <c r="A22" i="53"/>
  <c r="ER61" i="27" l="1"/>
  <c r="HX106" i="27" s="1"/>
  <c r="FP193" i="27"/>
  <c r="FF194" i="27"/>
  <c r="FG219" i="27" s="1" a="1"/>
  <c r="FG219" i="27" s="1"/>
  <c r="EW199" i="27"/>
  <c r="EX224" i="27" l="1" a="1"/>
  <c r="EX224" i="27" s="1"/>
  <c r="FO193" i="27"/>
  <c r="FQ218" i="27" s="1" a="1"/>
  <c r="FQ218" i="27" s="1"/>
  <c r="DP289" i="27" l="1"/>
  <c r="EO145" i="27"/>
  <c r="EQ170" i="27" s="1" a="1"/>
  <c r="EQ170" i="27" s="1"/>
  <c r="EH146" i="27"/>
  <c r="EJ171" i="27" s="1" a="1"/>
  <c r="EJ171" i="27" s="1"/>
  <c r="DQ314" i="27" l="1" a="1"/>
  <c r="DQ314" i="27" s="1"/>
  <c r="L210" i="48"/>
  <c r="DA150" i="27"/>
  <c r="DC175" i="27" s="1" a="1"/>
  <c r="DC175" i="27" s="1"/>
  <c r="CT151" i="27"/>
  <c r="CV176" i="27" s="1" a="1"/>
  <c r="CV176" i="27" s="1"/>
  <c r="CK135" i="27"/>
  <c r="CM160" i="27" s="1" a="1"/>
  <c r="CM160" i="27" s="1"/>
  <c r="BD337" i="27"/>
  <c r="CN135" i="27" l="1"/>
  <c r="L272" i="48"/>
  <c r="L258" i="48"/>
  <c r="L244" i="48"/>
  <c r="L227" i="48" l="1"/>
  <c r="L166" i="48" l="1"/>
  <c r="N46" i="51"/>
  <c r="L150" i="48"/>
  <c r="N45" i="51"/>
  <c r="L134" i="48"/>
  <c r="N43" i="51"/>
  <c r="L114" i="48"/>
  <c r="N42" i="51"/>
  <c r="L95" i="48"/>
  <c r="N41" i="51"/>
  <c r="L76" i="48"/>
  <c r="L57" i="48"/>
  <c r="L36" i="48"/>
  <c r="L26" i="51" l="1"/>
  <c r="K23" i="49"/>
  <c r="K22" i="49"/>
  <c r="M23" i="49"/>
  <c r="O23" i="49" s="1"/>
  <c r="C48" i="49"/>
  <c r="C47" i="49"/>
  <c r="C46" i="49"/>
  <c r="C45" i="49"/>
  <c r="C44" i="49"/>
  <c r="C41" i="49"/>
  <c r="C40" i="49"/>
  <c r="K19" i="49"/>
  <c r="K18" i="49"/>
  <c r="K17" i="49"/>
  <c r="K16" i="49"/>
  <c r="N22" i="49"/>
  <c r="N17" i="49"/>
  <c r="N16" i="49"/>
  <c r="C39" i="49"/>
  <c r="M19" i="49"/>
  <c r="O19" i="49" s="1"/>
  <c r="M18" i="49"/>
  <c r="O18" i="49" s="1"/>
  <c r="C38" i="49"/>
  <c r="C36" i="49"/>
  <c r="E36" i="49" s="1"/>
  <c r="I36" i="49" s="1"/>
  <c r="C34" i="49"/>
  <c r="E34" i="49" s="1"/>
  <c r="I34" i="49" s="1"/>
  <c r="C33" i="49"/>
  <c r="E33" i="49" s="1"/>
  <c r="C32" i="49"/>
  <c r="E32" i="49" s="1"/>
  <c r="E39" i="49" l="1"/>
  <c r="I39" i="49" s="1"/>
  <c r="E45" i="49"/>
  <c r="I45" i="49" s="1"/>
  <c r="E40" i="49"/>
  <c r="I40" i="49" s="1"/>
  <c r="E46" i="49"/>
  <c r="I46" i="49" s="1"/>
  <c r="E38" i="49"/>
  <c r="E41" i="49"/>
  <c r="I41" i="49" s="1"/>
  <c r="E47" i="49"/>
  <c r="I47" i="49" s="1"/>
  <c r="E44" i="49"/>
  <c r="I44" i="49" s="1"/>
  <c r="E48" i="49"/>
  <c r="I48" i="49" s="1"/>
  <c r="B183" i="27"/>
  <c r="HB31" i="27" s="1"/>
  <c r="B182" i="27"/>
  <c r="B181" i="27"/>
  <c r="B180" i="27"/>
  <c r="B129" i="27"/>
  <c r="B128" i="27"/>
  <c r="B127" i="27"/>
  <c r="B126" i="27"/>
  <c r="B125" i="27"/>
  <c r="B124" i="27"/>
  <c r="B123" i="27"/>
  <c r="B122" i="27"/>
  <c r="HB97" i="27" s="1"/>
  <c r="HB104" i="27" s="1"/>
  <c r="B121" i="27"/>
  <c r="B120" i="27"/>
  <c r="HB94" i="27" s="1"/>
  <c r="B119" i="27"/>
  <c r="HB93" i="27" s="1"/>
  <c r="B118" i="27"/>
  <c r="HB92" i="27" s="1"/>
  <c r="B117" i="27"/>
  <c r="HB91" i="27" s="1"/>
  <c r="B116" i="27"/>
  <c r="HB90" i="27" s="1"/>
  <c r="B115" i="27"/>
  <c r="HB89" i="27" s="1"/>
  <c r="B114" i="27"/>
  <c r="B113" i="27"/>
  <c r="B112" i="27"/>
  <c r="B111" i="27"/>
  <c r="B110" i="27"/>
  <c r="B109" i="27"/>
  <c r="B108" i="27"/>
  <c r="B107" i="27"/>
  <c r="B106" i="27"/>
  <c r="B105" i="27"/>
  <c r="B104" i="27"/>
  <c r="B103" i="27"/>
  <c r="B102" i="27"/>
  <c r="HB40" i="27" s="1"/>
  <c r="B101" i="27"/>
  <c r="B100" i="27"/>
  <c r="B99" i="27"/>
  <c r="B98" i="27"/>
  <c r="B97" i="27"/>
  <c r="B96" i="27"/>
  <c r="B95" i="27"/>
  <c r="B94" i="27"/>
  <c r="B93" i="27"/>
  <c r="B92" i="27"/>
  <c r="B91" i="27"/>
  <c r="B90" i="27"/>
  <c r="B89" i="27"/>
  <c r="B88" i="27"/>
  <c r="HB79" i="27" s="1"/>
  <c r="B87" i="27"/>
  <c r="B86" i="27"/>
  <c r="B85" i="27"/>
  <c r="B84" i="27"/>
  <c r="B83" i="27"/>
  <c r="B82" i="27"/>
  <c r="B81" i="27"/>
  <c r="HB65" i="27" s="1"/>
  <c r="B80" i="27"/>
  <c r="B79" i="27"/>
  <c r="B78" i="27"/>
  <c r="HB61" i="27" s="1"/>
  <c r="B77" i="27"/>
  <c r="B76" i="27"/>
  <c r="B75" i="27"/>
  <c r="B74" i="27"/>
  <c r="B73" i="27"/>
  <c r="B72" i="27"/>
  <c r="B71" i="27"/>
  <c r="HB51" i="27" s="1"/>
  <c r="B70" i="27"/>
  <c r="B69" i="27"/>
  <c r="B68" i="27"/>
  <c r="B67" i="27"/>
  <c r="HB47" i="27" s="1"/>
  <c r="B66" i="27"/>
  <c r="B65" i="27"/>
  <c r="B64" i="27"/>
  <c r="HB37" i="27" s="1"/>
  <c r="B63" i="27"/>
  <c r="B62" i="27"/>
  <c r="A34" i="53"/>
  <c r="HB95" i="27" l="1"/>
  <c r="D12" i="53" s="1"/>
  <c r="HB81" i="27"/>
  <c r="D11" i="53" s="1"/>
  <c r="HB30" i="27"/>
  <c r="HB29" i="27"/>
  <c r="C6" i="53" s="1"/>
  <c r="C16" i="53" s="1"/>
  <c r="GB132" i="27"/>
  <c r="EK137" i="27" l="1"/>
  <c r="ED74" i="27"/>
  <c r="DW103" i="27" s="1"/>
  <c r="C47" i="51" s="1"/>
  <c r="F47" i="51" s="1"/>
  <c r="BI317" i="27" l="1" a="1"/>
  <c r="BI317" i="27" s="1"/>
  <c r="BI311" i="27" a="1"/>
  <c r="BI311" i="27" s="1"/>
  <c r="BI306" i="27" a="1"/>
  <c r="BI306" i="27" s="1"/>
  <c r="BI300" i="27" a="1"/>
  <c r="BI300" i="27" s="1"/>
  <c r="BI289" i="27" a="1"/>
  <c r="BI289" i="27" s="1"/>
  <c r="BI319" i="27" a="1"/>
  <c r="BI319" i="27" s="1"/>
  <c r="BI310" i="27" a="1"/>
  <c r="BI310" i="27" s="1"/>
  <c r="BI323" i="27" a="1"/>
  <c r="BI323" i="27" s="1"/>
  <c r="BI303" i="27" a="1"/>
  <c r="BI303" i="27" s="1"/>
  <c r="BI293" i="27" a="1"/>
  <c r="BI293" i="27" s="1"/>
  <c r="BI316" i="27" a="1"/>
  <c r="BI316" i="27" s="1"/>
  <c r="BI305" i="27" a="1"/>
  <c r="BI305" i="27" s="1"/>
  <c r="BI299" i="27" a="1"/>
  <c r="BI299" i="27" s="1"/>
  <c r="BI294" i="27" a="1"/>
  <c r="BI294" i="27" s="1"/>
  <c r="BI288" i="27" a="1"/>
  <c r="BI288" i="27" s="1"/>
  <c r="BI318" i="27" a="1"/>
  <c r="BI318" i="27" s="1"/>
  <c r="BI304" i="27" a="1"/>
  <c r="BI304" i="27" s="1"/>
  <c r="BI298" i="27" a="1"/>
  <c r="BI298" i="27" s="1"/>
  <c r="BI313" i="27" a="1"/>
  <c r="BI313" i="27" s="1"/>
  <c r="BI307" i="27" a="1"/>
  <c r="BI307" i="27" s="1"/>
  <c r="BI296" i="27" a="1"/>
  <c r="BI296" i="27" s="1"/>
  <c r="BI284" i="27" a="1"/>
  <c r="BI284" i="27" s="1"/>
  <c r="BI322" i="27" a="1"/>
  <c r="BI322" i="27" s="1"/>
  <c r="BI309" i="27" a="1"/>
  <c r="BI309" i="27" s="1"/>
  <c r="BI286" i="27" a="1"/>
  <c r="BI286" i="27" s="1"/>
  <c r="BI308" i="27" a="1"/>
  <c r="BI308" i="27" s="1"/>
  <c r="BI302" i="27" a="1"/>
  <c r="BI302" i="27" s="1"/>
  <c r="BI297" i="27" a="1"/>
  <c r="BI297" i="27" s="1"/>
  <c r="BI291" i="27" a="1"/>
  <c r="BI291" i="27" s="1"/>
  <c r="BI285" i="27" a="1"/>
  <c r="BI285" i="27" s="1"/>
  <c r="BI321" i="27" a="1"/>
  <c r="BI321" i="27" s="1"/>
  <c r="BI312" i="27" a="1"/>
  <c r="BI312" i="27" s="1"/>
  <c r="BI301" i="27" a="1"/>
  <c r="BI301" i="27" s="1"/>
  <c r="BI290" i="27" a="1"/>
  <c r="BI290" i="27" s="1"/>
  <c r="BI320" i="27" a="1"/>
  <c r="BI320" i="27" s="1"/>
  <c r="BI315" i="27" a="1"/>
  <c r="BI315" i="27" s="1"/>
  <c r="BI287" i="27" a="1"/>
  <c r="BI287" i="27" s="1"/>
  <c r="BI314" i="27" a="1"/>
  <c r="BI314" i="27" s="1"/>
  <c r="BI292" i="27" a="1"/>
  <c r="BI292" i="27" s="1"/>
  <c r="BH323" i="27" a="1"/>
  <c r="BH323" i="27" s="1"/>
  <c r="BH315" i="27" a="1"/>
  <c r="BH315" i="27" s="1"/>
  <c r="BH307" i="27" a="1"/>
  <c r="BH307" i="27" s="1"/>
  <c r="BH299" i="27" a="1"/>
  <c r="BH299" i="27" s="1"/>
  <c r="BH291" i="27" a="1"/>
  <c r="BH291" i="27" s="1"/>
  <c r="BG323" i="27" a="1"/>
  <c r="BG323" i="27" s="1"/>
  <c r="BG315" i="27" a="1"/>
  <c r="BG315" i="27" s="1"/>
  <c r="BG307" i="27" a="1"/>
  <c r="BG307" i="27" s="1"/>
  <c r="BG299" i="27" a="1"/>
  <c r="BG299" i="27" s="1"/>
  <c r="BG291" i="27" a="1"/>
  <c r="BG291" i="27" s="1"/>
  <c r="BF323" i="27" a="1"/>
  <c r="BF323" i="27" s="1"/>
  <c r="BF317" i="27" a="1"/>
  <c r="BF317" i="27" s="1"/>
  <c r="BF304" i="27" a="1"/>
  <c r="BF304" i="27" s="1"/>
  <c r="BF297" i="27" a="1"/>
  <c r="BF297" i="27" s="1"/>
  <c r="BF289" i="27" a="1"/>
  <c r="BF289" i="27" s="1"/>
  <c r="BE321" i="27" a="1"/>
  <c r="BE321" i="27" s="1"/>
  <c r="BE313" i="27" a="1"/>
  <c r="BE313" i="27" s="1"/>
  <c r="BE305" i="27" a="1"/>
  <c r="BE305" i="27" s="1"/>
  <c r="BE297" i="27" a="1"/>
  <c r="BE297" i="27" s="1"/>
  <c r="BE289" i="27" a="1"/>
  <c r="BE289" i="27" s="1"/>
  <c r="BD322" i="27" a="1"/>
  <c r="BD322" i="27" s="1"/>
  <c r="BD315" i="27" a="1"/>
  <c r="BD315" i="27" s="1"/>
  <c r="BD309" i="27" a="1"/>
  <c r="BD309" i="27" s="1"/>
  <c r="BD287" i="27" a="1"/>
  <c r="BD287" i="27" s="1"/>
  <c r="BC319" i="27" a="1"/>
  <c r="BC319" i="27" s="1"/>
  <c r="BC311" i="27" a="1"/>
  <c r="BC311" i="27" s="1"/>
  <c r="BC303" i="27" a="1"/>
  <c r="BC303" i="27" s="1"/>
  <c r="BC287" i="27" a="1"/>
  <c r="BC287" i="27" s="1"/>
  <c r="BH322" i="27" a="1"/>
  <c r="BH322" i="27" s="1"/>
  <c r="BH314" i="27" a="1"/>
  <c r="BH314" i="27" s="1"/>
  <c r="BH306" i="27" a="1"/>
  <c r="BH306" i="27" s="1"/>
  <c r="BH298" i="27" a="1"/>
  <c r="BH298" i="27" s="1"/>
  <c r="BH290" i="27" a="1"/>
  <c r="BH290" i="27" s="1"/>
  <c r="BG322" i="27" a="1"/>
  <c r="BG322" i="27" s="1"/>
  <c r="BG314" i="27" a="1"/>
  <c r="BG314" i="27" s="1"/>
  <c r="BG306" i="27" a="1"/>
  <c r="BG306" i="27" s="1"/>
  <c r="BG298" i="27" a="1"/>
  <c r="BG298" i="27" s="1"/>
  <c r="BG290" i="27" a="1"/>
  <c r="BG290" i="27" s="1"/>
  <c r="BF316" i="27" a="1"/>
  <c r="BF316" i="27" s="1"/>
  <c r="BF310" i="27" a="1"/>
  <c r="BF310" i="27" s="1"/>
  <c r="BF303" i="27" a="1"/>
  <c r="BF303" i="27" s="1"/>
  <c r="BF296" i="27" a="1"/>
  <c r="BF296" i="27" s="1"/>
  <c r="BF288" i="27" a="1"/>
  <c r="BF288" i="27" s="1"/>
  <c r="BE320" i="27" a="1"/>
  <c r="BE320" i="27" s="1"/>
  <c r="BE312" i="27" a="1"/>
  <c r="BE312" i="27" s="1"/>
  <c r="BE304" i="27" a="1"/>
  <c r="BE304" i="27" s="1"/>
  <c r="BE296" i="27" a="1"/>
  <c r="BE296" i="27" s="1"/>
  <c r="BE288" i="27" a="1"/>
  <c r="BE288" i="27" s="1"/>
  <c r="BD321" i="27" a="1"/>
  <c r="BD321" i="27" s="1"/>
  <c r="BH321" i="27" a="1"/>
  <c r="BH321" i="27" s="1"/>
  <c r="BH313" i="27" a="1"/>
  <c r="BH313" i="27" s="1"/>
  <c r="BH305" i="27" a="1"/>
  <c r="BH305" i="27" s="1"/>
  <c r="BH297" i="27" a="1"/>
  <c r="BH297" i="27" s="1"/>
  <c r="BH289" i="27" a="1"/>
  <c r="BH289" i="27" s="1"/>
  <c r="BG321" i="27" a="1"/>
  <c r="BG321" i="27" s="1"/>
  <c r="BG313" i="27" a="1"/>
  <c r="BG313" i="27" s="1"/>
  <c r="BG305" i="27" a="1"/>
  <c r="BG305" i="27" s="1"/>
  <c r="BG297" i="27" a="1"/>
  <c r="BG297" i="27" s="1"/>
  <c r="BG289" i="27" a="1"/>
  <c r="BG289" i="27" s="1"/>
  <c r="BF322" i="27" a="1"/>
  <c r="BF322" i="27" s="1"/>
  <c r="BF315" i="27" a="1"/>
  <c r="BF315" i="27" s="1"/>
  <c r="BF309" i="27" a="1"/>
  <c r="BF309" i="27" s="1"/>
  <c r="BF287" i="27" a="1"/>
  <c r="BF287" i="27" s="1"/>
  <c r="BE319" i="27" a="1"/>
  <c r="BE319" i="27" s="1"/>
  <c r="BE311" i="27" a="1"/>
  <c r="BE311" i="27" s="1"/>
  <c r="BE303" i="27" a="1"/>
  <c r="BE303" i="27" s="1"/>
  <c r="BE287" i="27" a="1"/>
  <c r="BE287" i="27" s="1"/>
  <c r="BD320" i="27" a="1"/>
  <c r="BD320" i="27" s="1"/>
  <c r="BD314" i="27" a="1"/>
  <c r="BD314" i="27" s="1"/>
  <c r="BD307" i="27" a="1"/>
  <c r="BD307" i="27" s="1"/>
  <c r="BD301" i="27" a="1"/>
  <c r="BD301" i="27" s="1"/>
  <c r="BD293" i="27" a="1"/>
  <c r="BD293" i="27" s="1"/>
  <c r="BD285" i="27" a="1"/>
  <c r="BD285" i="27" s="1"/>
  <c r="BC317" i="27" a="1"/>
  <c r="BC317" i="27" s="1"/>
  <c r="BC309" i="27" a="1"/>
  <c r="BC309" i="27" s="1"/>
  <c r="BC301" i="27" a="1"/>
  <c r="BC301" i="27" s="1"/>
  <c r="BC293" i="27" a="1"/>
  <c r="BC293" i="27" s="1"/>
  <c r="BC285" i="27" a="1"/>
  <c r="BC285" i="27" s="1"/>
  <c r="BH319" i="27" a="1"/>
  <c r="BH319" i="27" s="1"/>
  <c r="BH311" i="27" a="1"/>
  <c r="BH311" i="27" s="1"/>
  <c r="BH303" i="27" a="1"/>
  <c r="BH303" i="27" s="1"/>
  <c r="BH287" i="27" a="1"/>
  <c r="BH287" i="27" s="1"/>
  <c r="BG319" i="27" a="1"/>
  <c r="BG319" i="27" s="1"/>
  <c r="BG311" i="27" a="1"/>
  <c r="BG311" i="27" s="1"/>
  <c r="BG303" i="27" a="1"/>
  <c r="BG303" i="27" s="1"/>
  <c r="BG287" i="27" a="1"/>
  <c r="BG287" i="27" s="1"/>
  <c r="BF320" i="27" a="1"/>
  <c r="BF320" i="27" s="1"/>
  <c r="BF314" i="27" a="1"/>
  <c r="BF314" i="27" s="1"/>
  <c r="BF307" i="27" a="1"/>
  <c r="BF307" i="27" s="1"/>
  <c r="BF301" i="27" a="1"/>
  <c r="BF301" i="27" s="1"/>
  <c r="BF293" i="27" a="1"/>
  <c r="BF293" i="27" s="1"/>
  <c r="BF285" i="27" a="1"/>
  <c r="BF285" i="27" s="1"/>
  <c r="BE317" i="27" a="1"/>
  <c r="BE317" i="27" s="1"/>
  <c r="BE309" i="27" a="1"/>
  <c r="BE309" i="27" s="1"/>
  <c r="BE301" i="27" a="1"/>
  <c r="BE301" i="27" s="1"/>
  <c r="BE293" i="27" a="1"/>
  <c r="BE293" i="27" s="1"/>
  <c r="BE285" i="27" a="1"/>
  <c r="BE285" i="27" s="1"/>
  <c r="BD312" i="27" a="1"/>
  <c r="BD312" i="27" s="1"/>
  <c r="BD306" i="27" a="1"/>
  <c r="BD306" i="27" s="1"/>
  <c r="BD299" i="27" a="1"/>
  <c r="BD299" i="27" s="1"/>
  <c r="BD291" i="27" a="1"/>
  <c r="BD291" i="27" s="1"/>
  <c r="BC323" i="27" a="1"/>
  <c r="BC323" i="27" s="1"/>
  <c r="BC315" i="27" a="1"/>
  <c r="BC315" i="27" s="1"/>
  <c r="BC307" i="27" a="1"/>
  <c r="BC307" i="27" s="1"/>
  <c r="BC299" i="27" a="1"/>
  <c r="BC299" i="27" s="1"/>
  <c r="BC291" i="27" a="1"/>
  <c r="BC291" i="27" s="1"/>
  <c r="BG317" i="27" a="1"/>
  <c r="BG317" i="27" s="1"/>
  <c r="BG285" i="27" a="1"/>
  <c r="BG285" i="27" s="1"/>
  <c r="BF306" i="27" a="1"/>
  <c r="BF306" i="27" s="1"/>
  <c r="BF291" i="27" a="1"/>
  <c r="BF291" i="27" s="1"/>
  <c r="BE315" i="27" a="1"/>
  <c r="BE315" i="27" s="1"/>
  <c r="BE299" i="27" a="1"/>
  <c r="BE299" i="27" s="1"/>
  <c r="BD323" i="27" a="1"/>
  <c r="BD323" i="27" s="1"/>
  <c r="BH318" i="27" a="1"/>
  <c r="BH318" i="27" s="1"/>
  <c r="BH310" i="27" a="1"/>
  <c r="BH310" i="27" s="1"/>
  <c r="BH302" i="27" a="1"/>
  <c r="BH302" i="27" s="1"/>
  <c r="BH294" i="27" a="1"/>
  <c r="BH294" i="27" s="1"/>
  <c r="BH286" i="27" a="1"/>
  <c r="BH286" i="27" s="1"/>
  <c r="BG318" i="27" a="1"/>
  <c r="BG318" i="27" s="1"/>
  <c r="BG310" i="27" a="1"/>
  <c r="BG310" i="27" s="1"/>
  <c r="BG302" i="27" a="1"/>
  <c r="BG302" i="27" s="1"/>
  <c r="BG294" i="27" a="1"/>
  <c r="BG294" i="27" s="1"/>
  <c r="BG286" i="27" a="1"/>
  <c r="BG286" i="27" s="1"/>
  <c r="BF319" i="27" a="1"/>
  <c r="BF319" i="27" s="1"/>
  <c r="BF313" i="27" a="1"/>
  <c r="BF313" i="27" s="1"/>
  <c r="BF300" i="27" a="1"/>
  <c r="BF300" i="27" s="1"/>
  <c r="BF292" i="27" a="1"/>
  <c r="BF292" i="27" s="1"/>
  <c r="BF284" i="27" a="1"/>
  <c r="BF284" i="27" s="1"/>
  <c r="BE316" i="27" a="1"/>
  <c r="BE316" i="27" s="1"/>
  <c r="BE308" i="27" a="1"/>
  <c r="BE308" i="27" s="1"/>
  <c r="BE300" i="27" a="1"/>
  <c r="BE300" i="27" s="1"/>
  <c r="BE292" i="27" a="1"/>
  <c r="BE292" i="27" s="1"/>
  <c r="BE284" i="27" a="1"/>
  <c r="BE284" i="27" s="1"/>
  <c r="BD318" i="27" a="1"/>
  <c r="BD318" i="27" s="1"/>
  <c r="BD311" i="27" a="1"/>
  <c r="BD311" i="27" s="1"/>
  <c r="BD305" i="27" a="1"/>
  <c r="BD305" i="27" s="1"/>
  <c r="BD298" i="27" a="1"/>
  <c r="BD298" i="27" s="1"/>
  <c r="BD290" i="27" a="1"/>
  <c r="BD290" i="27" s="1"/>
  <c r="BC322" i="27" a="1"/>
  <c r="BC322" i="27" s="1"/>
  <c r="BC314" i="27" a="1"/>
  <c r="BC314" i="27" s="1"/>
  <c r="BC306" i="27" a="1"/>
  <c r="BC306" i="27" s="1"/>
  <c r="BC298" i="27" a="1"/>
  <c r="BC298" i="27" s="1"/>
  <c r="BC290" i="27" a="1"/>
  <c r="BC290" i="27" s="1"/>
  <c r="BH317" i="27" a="1"/>
  <c r="BH317" i="27" s="1"/>
  <c r="BH309" i="27" a="1"/>
  <c r="BH309" i="27" s="1"/>
  <c r="BH301" i="27" a="1"/>
  <c r="BH301" i="27" s="1"/>
  <c r="BH293" i="27" a="1"/>
  <c r="BH293" i="27" s="1"/>
  <c r="BH285" i="27" a="1"/>
  <c r="BH285" i="27" s="1"/>
  <c r="BG309" i="27" a="1"/>
  <c r="BG309" i="27" s="1"/>
  <c r="BG301" i="27" a="1"/>
  <c r="BG301" i="27" s="1"/>
  <c r="BG293" i="27" a="1"/>
  <c r="BG293" i="27" s="1"/>
  <c r="BF312" i="27" a="1"/>
  <c r="BF312" i="27" s="1"/>
  <c r="BF299" i="27" a="1"/>
  <c r="BF299" i="27" s="1"/>
  <c r="BE323" i="27" a="1"/>
  <c r="BE323" i="27" s="1"/>
  <c r="BE307" i="27" a="1"/>
  <c r="BE307" i="27" s="1"/>
  <c r="BE291" i="27" a="1"/>
  <c r="BE291" i="27" s="1"/>
  <c r="BD317" i="27" a="1"/>
  <c r="BD317" i="27" s="1"/>
  <c r="BH296" i="27" a="1"/>
  <c r="BH296" i="27" s="1"/>
  <c r="BG304" i="27" a="1"/>
  <c r="BG304" i="27" s="1"/>
  <c r="BF286" i="27" a="1"/>
  <c r="BF286" i="27" s="1"/>
  <c r="BE294" i="27" a="1"/>
  <c r="BE294" i="27" s="1"/>
  <c r="BD297" i="27" a="1"/>
  <c r="BD297" i="27" s="1"/>
  <c r="BC321" i="27" a="1"/>
  <c r="BC321" i="27" s="1"/>
  <c r="BC305" i="27" a="1"/>
  <c r="BC305" i="27" s="1"/>
  <c r="BC289" i="27" a="1"/>
  <c r="BC289" i="27" s="1"/>
  <c r="BH292" i="27" a="1"/>
  <c r="BH292" i="27" s="1"/>
  <c r="BG300" i="27" a="1"/>
  <c r="BG300" i="27" s="1"/>
  <c r="BF311" i="27" a="1"/>
  <c r="BF311" i="27" s="1"/>
  <c r="BE322" i="27" a="1"/>
  <c r="BE322" i="27" s="1"/>
  <c r="BE290" i="27" a="1"/>
  <c r="BE290" i="27" s="1"/>
  <c r="BD310" i="27" a="1"/>
  <c r="BD310" i="27" s="1"/>
  <c r="BD296" i="27" a="1"/>
  <c r="BD296" i="27" s="1"/>
  <c r="BC320" i="27" a="1"/>
  <c r="BC320" i="27" s="1"/>
  <c r="BC304" i="27" a="1"/>
  <c r="BC304" i="27" s="1"/>
  <c r="BC288" i="27" a="1"/>
  <c r="BC288" i="27" s="1"/>
  <c r="BH288" i="27" a="1"/>
  <c r="BH288" i="27" s="1"/>
  <c r="BG296" i="27" a="1"/>
  <c r="BG296" i="27" s="1"/>
  <c r="BF308" i="27" a="1"/>
  <c r="BF308" i="27" s="1"/>
  <c r="BE318" i="27" a="1"/>
  <c r="BE318" i="27" s="1"/>
  <c r="BE286" i="27" a="1"/>
  <c r="BE286" i="27" s="1"/>
  <c r="BD308" i="27" a="1"/>
  <c r="BD308" i="27" s="1"/>
  <c r="BC318" i="27" a="1"/>
  <c r="BC318" i="27" s="1"/>
  <c r="BC302" i="27" a="1"/>
  <c r="BC302" i="27" s="1"/>
  <c r="BC286" i="27" a="1"/>
  <c r="BC286" i="27" s="1"/>
  <c r="BG292" i="27" a="1"/>
  <c r="BG292" i="27" s="1"/>
  <c r="BE314" i="27" a="1"/>
  <c r="BE314" i="27" s="1"/>
  <c r="BC316" i="27" a="1"/>
  <c r="BC316" i="27" s="1"/>
  <c r="BH300" i="27" a="1"/>
  <c r="BH300" i="27" s="1"/>
  <c r="BE298" i="27" a="1"/>
  <c r="BE298" i="27" s="1"/>
  <c r="BD300" i="27" a="1"/>
  <c r="BD300" i="27" s="1"/>
  <c r="BD294" i="27" a="1"/>
  <c r="BD294" i="27" s="1"/>
  <c r="BH316" i="27" a="1"/>
  <c r="BH316" i="27" s="1"/>
  <c r="BD292" i="27" a="1"/>
  <c r="BD292" i="27" s="1"/>
  <c r="BC284" i="27" a="1"/>
  <c r="BC284" i="27" s="1"/>
  <c r="BG308" i="27" a="1"/>
  <c r="BG308" i="27" s="1"/>
  <c r="BD313" i="27" a="1"/>
  <c r="BD313" i="27" s="1"/>
  <c r="BC292" i="27" a="1"/>
  <c r="BC292" i="27" s="1"/>
  <c r="BH320" i="27" a="1"/>
  <c r="BH320" i="27" s="1"/>
  <c r="BH284" i="27" a="1"/>
  <c r="BH284" i="27" s="1"/>
  <c r="BF305" i="27" a="1"/>
  <c r="BF305" i="27" s="1"/>
  <c r="BC300" i="27" a="1"/>
  <c r="BC300" i="27" s="1"/>
  <c r="BF318" i="27" a="1"/>
  <c r="BF318" i="27" s="1"/>
  <c r="BC308" i="27" a="1"/>
  <c r="BC308" i="27" s="1"/>
  <c r="BH312" i="27" a="1"/>
  <c r="BH312" i="27" s="1"/>
  <c r="BG320" i="27" a="1"/>
  <c r="BG320" i="27" s="1"/>
  <c r="BG288" i="27" a="1"/>
  <c r="BG288" i="27" s="1"/>
  <c r="BF302" i="27" a="1"/>
  <c r="BF302" i="27" s="1"/>
  <c r="BE310" i="27" a="1"/>
  <c r="BE310" i="27" s="1"/>
  <c r="BD319" i="27" a="1"/>
  <c r="BD319" i="27" s="1"/>
  <c r="BD304" i="27" a="1"/>
  <c r="BD304" i="27" s="1"/>
  <c r="BD289" i="27" a="1"/>
  <c r="BD289" i="27" s="1"/>
  <c r="BC313" i="27" a="1"/>
  <c r="BC313" i="27" s="1"/>
  <c r="BC297" i="27" a="1"/>
  <c r="BC297" i="27" s="1"/>
  <c r="BH308" i="27" a="1"/>
  <c r="BH308" i="27" s="1"/>
  <c r="BG316" i="27" a="1"/>
  <c r="BG316" i="27" s="1"/>
  <c r="BG284" i="27" a="1"/>
  <c r="BG284" i="27" s="1"/>
  <c r="BF298" i="27" a="1"/>
  <c r="BF298" i="27" s="1"/>
  <c r="BE306" i="27" a="1"/>
  <c r="BE306" i="27" s="1"/>
  <c r="BD316" i="27" a="1"/>
  <c r="BD316" i="27" s="1"/>
  <c r="BD303" i="27" a="1"/>
  <c r="BD303" i="27" s="1"/>
  <c r="BD288" i="27" a="1"/>
  <c r="BD288" i="27" s="1"/>
  <c r="BC312" i="27" a="1"/>
  <c r="BC312" i="27" s="1"/>
  <c r="BC296" i="27" a="1"/>
  <c r="BC296" i="27" s="1"/>
  <c r="BH304" i="27" a="1"/>
  <c r="BH304" i="27" s="1"/>
  <c r="BG312" i="27" a="1"/>
  <c r="BG312" i="27" s="1"/>
  <c r="BF321" i="27" a="1"/>
  <c r="BF321" i="27" s="1"/>
  <c r="BF294" i="27" a="1"/>
  <c r="BF294" i="27" s="1"/>
  <c r="BE302" i="27" a="1"/>
  <c r="BE302" i="27" s="1"/>
  <c r="BD302" i="27" a="1"/>
  <c r="BD302" i="27" s="1"/>
  <c r="BD286" i="27" a="1"/>
  <c r="BD286" i="27" s="1"/>
  <c r="BC310" i="27" a="1"/>
  <c r="BC310" i="27" s="1"/>
  <c r="BC294" i="27" a="1"/>
  <c r="BC294" i="27" s="1"/>
  <c r="BF290" i="27" a="1"/>
  <c r="BF290" i="27" s="1"/>
  <c r="BD284" i="27" a="1"/>
  <c r="BD284" i="27" s="1"/>
  <c r="BJ291" i="27" l="1"/>
  <c r="BJ284" i="27"/>
  <c r="BJ321" i="27"/>
  <c r="BJ286" i="27"/>
  <c r="BJ300" i="27"/>
  <c r="BJ313" i="27"/>
  <c r="BJ317" i="27"/>
  <c r="BJ302" i="27"/>
  <c r="BJ311" i="27"/>
  <c r="BJ303" i="27"/>
  <c r="BJ289" i="27"/>
  <c r="BJ316" i="27"/>
  <c r="BJ310" i="27"/>
  <c r="BJ288" i="27"/>
  <c r="BJ299" i="27"/>
  <c r="BJ290" i="27"/>
  <c r="BJ307" i="27"/>
  <c r="BJ322" i="27"/>
  <c r="BJ285" i="27"/>
  <c r="BJ323" i="27"/>
  <c r="BJ301" i="27"/>
  <c r="BJ305" i="27"/>
  <c r="BJ296" i="27"/>
  <c r="BJ315" i="27"/>
  <c r="BJ293" i="27"/>
  <c r="BJ294" i="27"/>
  <c r="BJ312" i="27"/>
  <c r="BJ297" i="27"/>
  <c r="BJ292" i="27"/>
  <c r="BJ304" i="27"/>
  <c r="BJ314" i="27"/>
  <c r="BJ320" i="27"/>
  <c r="BJ306" i="27"/>
  <c r="BJ318" i="27"/>
  <c r="BJ309" i="27"/>
  <c r="BJ308" i="27"/>
  <c r="BJ287" i="27"/>
  <c r="BJ319" i="27"/>
  <c r="BJ298" i="27"/>
  <c r="BJ295" i="27"/>
  <c r="N19" i="49" l="1"/>
  <c r="N18" i="49"/>
  <c r="L24" i="48" l="1"/>
  <c r="C31" i="49"/>
  <c r="E31" i="49" s="1"/>
  <c r="BC337" i="27" l="1"/>
  <c r="L23" i="48" s="1"/>
  <c r="C43" i="49"/>
  <c r="C42" i="49"/>
  <c r="BE363" i="27" l="1" a="1"/>
  <c r="BE363" i="27" s="1"/>
  <c r="E26" i="51" s="1"/>
  <c r="H26" i="51" s="1"/>
  <c r="N37" i="51"/>
  <c r="E43" i="49"/>
  <c r="I43" i="49" s="1"/>
  <c r="E42" i="49"/>
  <c r="I42" i="49" s="1"/>
  <c r="EX190" i="27" a="1"/>
  <c r="EX190" i="27" s="1"/>
  <c r="EY190" i="27" a="1"/>
  <c r="EY190" i="27" s="1"/>
  <c r="EW190" i="27" a="1"/>
  <c r="EW190" i="27" s="1"/>
  <c r="EV190" i="27" a="1"/>
  <c r="EV190" i="27" s="1"/>
  <c r="FF179" i="27" a="1"/>
  <c r="FF179" i="27" s="1"/>
  <c r="FF177" i="27" a="1"/>
  <c r="FF177" i="27" s="1"/>
  <c r="FF175" i="27" a="1"/>
  <c r="FF175" i="27" s="1"/>
  <c r="FF173" i="27" a="1"/>
  <c r="FF173" i="27" s="1"/>
  <c r="FF171" i="27" a="1"/>
  <c r="FF171" i="27" s="1"/>
  <c r="FF169" i="27" a="1"/>
  <c r="FF169" i="27" s="1"/>
  <c r="FF167" i="27" a="1"/>
  <c r="FF167" i="27" s="1"/>
  <c r="FF165" i="27" a="1"/>
  <c r="FF165" i="27" s="1"/>
  <c r="FF163" i="27" a="1"/>
  <c r="FF163" i="27" s="1"/>
  <c r="FF161" i="27" a="1"/>
  <c r="FF161" i="27" s="1"/>
  <c r="FF159" i="27" a="1"/>
  <c r="FF159" i="27" s="1"/>
  <c r="FF157" i="27" a="1"/>
  <c r="FF157" i="27" s="1"/>
  <c r="FF155" i="27" a="1"/>
  <c r="FF155" i="27" s="1"/>
  <c r="FF153" i="27" a="1"/>
  <c r="FF153" i="27" s="1"/>
  <c r="FF151" i="27" a="1"/>
  <c r="FF151" i="27" s="1"/>
  <c r="FF149" i="27" a="1"/>
  <c r="FF149" i="27" s="1"/>
  <c r="FF147" i="27" a="1"/>
  <c r="FF147" i="27" s="1"/>
  <c r="FF145" i="27" a="1"/>
  <c r="FF145" i="27" s="1"/>
  <c r="FF143" i="27" a="1"/>
  <c r="FF143" i="27" s="1"/>
  <c r="FE179" i="27" a="1"/>
  <c r="FE179" i="27" s="1"/>
  <c r="FE177" i="27" a="1"/>
  <c r="FE177" i="27" s="1"/>
  <c r="FE175" i="27" a="1"/>
  <c r="FE175" i="27" s="1"/>
  <c r="FE173" i="27" a="1"/>
  <c r="FE173" i="27" s="1"/>
  <c r="FE171" i="27" a="1"/>
  <c r="FE171" i="27" s="1"/>
  <c r="FE169" i="27" a="1"/>
  <c r="FE169" i="27" s="1"/>
  <c r="FE167" i="27" a="1"/>
  <c r="FE167" i="27" s="1"/>
  <c r="FE165" i="27" a="1"/>
  <c r="FE165" i="27" s="1"/>
  <c r="FE163" i="27" a="1"/>
  <c r="FE163" i="27" s="1"/>
  <c r="FE161" i="27" a="1"/>
  <c r="FE161" i="27" s="1"/>
  <c r="FE159" i="27" a="1"/>
  <c r="FE159" i="27" s="1"/>
  <c r="FE157" i="27" a="1"/>
  <c r="FE157" i="27" s="1"/>
  <c r="FE155" i="27" a="1"/>
  <c r="FE155" i="27" s="1"/>
  <c r="FE153" i="27" a="1"/>
  <c r="FE153" i="27" s="1"/>
  <c r="FE151" i="27" a="1"/>
  <c r="FE151" i="27" s="1"/>
  <c r="FE149" i="27" a="1"/>
  <c r="FE149" i="27" s="1"/>
  <c r="FE147" i="27" a="1"/>
  <c r="FE147" i="27" s="1"/>
  <c r="FE145" i="27" a="1"/>
  <c r="FE145" i="27" s="1"/>
  <c r="FE143" i="27" a="1"/>
  <c r="FE143" i="27" s="1"/>
  <c r="FH180" i="27" a="1"/>
  <c r="FH180" i="27" s="1"/>
  <c r="FH178" i="27" a="1"/>
  <c r="FH178" i="27" s="1"/>
  <c r="FH176" i="27" a="1"/>
  <c r="FH176" i="27" s="1"/>
  <c r="FH174" i="27" a="1"/>
  <c r="FH174" i="27" s="1"/>
  <c r="FH172" i="27" a="1"/>
  <c r="FH172" i="27" s="1"/>
  <c r="FH170" i="27" a="1"/>
  <c r="FH170" i="27" s="1"/>
  <c r="FH168" i="27" a="1"/>
  <c r="FH168" i="27" s="1"/>
  <c r="FH166" i="27" a="1"/>
  <c r="FH166" i="27" s="1"/>
  <c r="FH164" i="27" a="1"/>
  <c r="FH164" i="27" s="1"/>
  <c r="FH162" i="27" a="1"/>
  <c r="FH162" i="27" s="1"/>
  <c r="FH160" i="27" a="1"/>
  <c r="FH160" i="27" s="1"/>
  <c r="FH158" i="27" a="1"/>
  <c r="FH158" i="27" s="1"/>
  <c r="FH156" i="27" a="1"/>
  <c r="FH156" i="27" s="1"/>
  <c r="FH154" i="27" a="1"/>
  <c r="FH154" i="27" s="1"/>
  <c r="FH152" i="27" a="1"/>
  <c r="FH152" i="27" s="1"/>
  <c r="FH150" i="27" a="1"/>
  <c r="FH150" i="27" s="1"/>
  <c r="FH148" i="27" a="1"/>
  <c r="FH148" i="27" s="1"/>
  <c r="FH146" i="27" a="1"/>
  <c r="FH146" i="27" s="1"/>
  <c r="FH144" i="27" a="1"/>
  <c r="FH144" i="27" s="1"/>
  <c r="FH142" i="27" a="1"/>
  <c r="FH142" i="27" s="1"/>
  <c r="FF180" i="27" a="1"/>
  <c r="FF180" i="27" s="1"/>
  <c r="FF178" i="27" a="1"/>
  <c r="FF178" i="27" s="1"/>
  <c r="FF176" i="27" a="1"/>
  <c r="FF176" i="27" s="1"/>
  <c r="FF174" i="27" a="1"/>
  <c r="FF174" i="27" s="1"/>
  <c r="FF172" i="27" a="1"/>
  <c r="FF172" i="27" s="1"/>
  <c r="FF170" i="27" a="1"/>
  <c r="FF170" i="27" s="1"/>
  <c r="FF168" i="27" a="1"/>
  <c r="FF168" i="27" s="1"/>
  <c r="FF166" i="27" a="1"/>
  <c r="FF166" i="27" s="1"/>
  <c r="FF164" i="27" a="1"/>
  <c r="FF164" i="27" s="1"/>
  <c r="FF162" i="27" a="1"/>
  <c r="FF162" i="27" s="1"/>
  <c r="FF160" i="27" a="1"/>
  <c r="FF160" i="27" s="1"/>
  <c r="FF158" i="27" a="1"/>
  <c r="FF158" i="27" s="1"/>
  <c r="FF156" i="27" a="1"/>
  <c r="FF156" i="27" s="1"/>
  <c r="FF154" i="27" a="1"/>
  <c r="FF154" i="27" s="1"/>
  <c r="FF152" i="27" a="1"/>
  <c r="FF152" i="27" s="1"/>
  <c r="FF150" i="27" a="1"/>
  <c r="FF150" i="27" s="1"/>
  <c r="FF148" i="27" a="1"/>
  <c r="FF148" i="27" s="1"/>
  <c r="FF146" i="27" a="1"/>
  <c r="FF146" i="27" s="1"/>
  <c r="FF144" i="27" a="1"/>
  <c r="FF144" i="27" s="1"/>
  <c r="FF142" i="27" a="1"/>
  <c r="FF142" i="27" s="1"/>
  <c r="FG177" i="27" a="1"/>
  <c r="FG177" i="27" s="1"/>
  <c r="FG173" i="27" a="1"/>
  <c r="FG173" i="27" s="1"/>
  <c r="FG169" i="27" a="1"/>
  <c r="FG169" i="27" s="1"/>
  <c r="FG165" i="27" a="1"/>
  <c r="FG165" i="27" s="1"/>
  <c r="FG161" i="27" a="1"/>
  <c r="FG161" i="27" s="1"/>
  <c r="FG157" i="27" a="1"/>
  <c r="FG157" i="27" s="1"/>
  <c r="FG153" i="27" a="1"/>
  <c r="FG153" i="27" s="1"/>
  <c r="FG149" i="27" a="1"/>
  <c r="FG149" i="27" s="1"/>
  <c r="FG145" i="27" a="1"/>
  <c r="FG145" i="27" s="1"/>
  <c r="FH179" i="27" a="1"/>
  <c r="FH179" i="27" s="1"/>
  <c r="FH171" i="27" a="1"/>
  <c r="FH171" i="27" s="1"/>
  <c r="FH159" i="27" a="1"/>
  <c r="FH159" i="27" s="1"/>
  <c r="FH151" i="27" a="1"/>
  <c r="FH151" i="27" s="1"/>
  <c r="FG174" i="27" a="1"/>
  <c r="FG174" i="27" s="1"/>
  <c r="FG150" i="27" a="1"/>
  <c r="FG150" i="27" s="1"/>
  <c r="FE162" i="27" a="1"/>
  <c r="FE162" i="27" s="1"/>
  <c r="FE146" i="27" a="1"/>
  <c r="FE146" i="27" s="1"/>
  <c r="FG180" i="27" a="1"/>
  <c r="FG180" i="27" s="1"/>
  <c r="FG176" i="27" a="1"/>
  <c r="FG176" i="27" s="1"/>
  <c r="FG172" i="27" a="1"/>
  <c r="FG172" i="27" s="1"/>
  <c r="FG168" i="27" a="1"/>
  <c r="FG168" i="27" s="1"/>
  <c r="FG164" i="27" a="1"/>
  <c r="FG164" i="27" s="1"/>
  <c r="FG160" i="27" a="1"/>
  <c r="FG160" i="27" s="1"/>
  <c r="FG156" i="27" a="1"/>
  <c r="FG156" i="27" s="1"/>
  <c r="FG152" i="27" a="1"/>
  <c r="FG152" i="27" s="1"/>
  <c r="FG148" i="27" a="1"/>
  <c r="FG148" i="27" s="1"/>
  <c r="FG144" i="27" a="1"/>
  <c r="FG144" i="27" s="1"/>
  <c r="FH163" i="27" a="1"/>
  <c r="FH163" i="27" s="1"/>
  <c r="FH147" i="27" a="1"/>
  <c r="FH147" i="27" s="1"/>
  <c r="FE180" i="27" a="1"/>
  <c r="FE180" i="27" s="1"/>
  <c r="FE176" i="27" a="1"/>
  <c r="FE176" i="27" s="1"/>
  <c r="FE172" i="27" a="1"/>
  <c r="FE172" i="27" s="1"/>
  <c r="FE168" i="27" a="1"/>
  <c r="FE168" i="27" s="1"/>
  <c r="FE164" i="27" a="1"/>
  <c r="FE164" i="27" s="1"/>
  <c r="FE160" i="27" a="1"/>
  <c r="FE160" i="27" s="1"/>
  <c r="FE156" i="27" a="1"/>
  <c r="FE156" i="27" s="1"/>
  <c r="FE152" i="27" a="1"/>
  <c r="FE152" i="27" s="1"/>
  <c r="FE148" i="27" a="1"/>
  <c r="FE148" i="27" s="1"/>
  <c r="FE144" i="27" a="1"/>
  <c r="FE144" i="27" s="1"/>
  <c r="FH175" i="27" a="1"/>
  <c r="FH175" i="27" s="1"/>
  <c r="FH167" i="27" a="1"/>
  <c r="FH167" i="27" s="1"/>
  <c r="FH155" i="27" a="1"/>
  <c r="FH155" i="27" s="1"/>
  <c r="FH143" i="27" a="1"/>
  <c r="FH143" i="27" s="1"/>
  <c r="FG170" i="27" a="1"/>
  <c r="FG170" i="27" s="1"/>
  <c r="FG162" i="27" a="1"/>
  <c r="FG162" i="27" s="1"/>
  <c r="FG154" i="27" a="1"/>
  <c r="FG154" i="27" s="1"/>
  <c r="FG142" i="27" a="1"/>
  <c r="FG142" i="27" s="1"/>
  <c r="FG179" i="27" a="1"/>
  <c r="FG179" i="27" s="1"/>
  <c r="FG175" i="27" a="1"/>
  <c r="FG175" i="27" s="1"/>
  <c r="FG171" i="27" a="1"/>
  <c r="FG171" i="27" s="1"/>
  <c r="FG167" i="27" a="1"/>
  <c r="FG167" i="27" s="1"/>
  <c r="FG163" i="27" a="1"/>
  <c r="FG163" i="27" s="1"/>
  <c r="FG159" i="27" a="1"/>
  <c r="FG159" i="27" s="1"/>
  <c r="FG155" i="27" a="1"/>
  <c r="FG155" i="27" s="1"/>
  <c r="FG151" i="27" a="1"/>
  <c r="FG151" i="27" s="1"/>
  <c r="FG147" i="27" a="1"/>
  <c r="FG147" i="27" s="1"/>
  <c r="FG143" i="27" a="1"/>
  <c r="FG143" i="27" s="1"/>
  <c r="FG178" i="27" a="1"/>
  <c r="FG178" i="27" s="1"/>
  <c r="FG166" i="27" a="1"/>
  <c r="FG166" i="27" s="1"/>
  <c r="FG158" i="27" a="1"/>
  <c r="FG158" i="27" s="1"/>
  <c r="FG146" i="27" a="1"/>
  <c r="FG146" i="27" s="1"/>
  <c r="FE178" i="27" a="1"/>
  <c r="FE178" i="27" s="1"/>
  <c r="FE174" i="27" a="1"/>
  <c r="FE174" i="27" s="1"/>
  <c r="FE170" i="27" a="1"/>
  <c r="FE170" i="27" s="1"/>
  <c r="FE166" i="27" a="1"/>
  <c r="FE166" i="27" s="1"/>
  <c r="FE158" i="27" a="1"/>
  <c r="FE158" i="27" s="1"/>
  <c r="FE154" i="27" a="1"/>
  <c r="FE154" i="27" s="1"/>
  <c r="FE150" i="27" a="1"/>
  <c r="FE150" i="27" s="1"/>
  <c r="FE142" i="27" a="1"/>
  <c r="FE142" i="27" s="1"/>
  <c r="FH157" i="27" a="1"/>
  <c r="FH157" i="27" s="1"/>
  <c r="FH153" i="27" a="1"/>
  <c r="FH153" i="27" s="1"/>
  <c r="FH169" i="27" a="1"/>
  <c r="FH169" i="27" s="1"/>
  <c r="FH165" i="27" a="1"/>
  <c r="FH165" i="27" s="1"/>
  <c r="FH149" i="27" a="1"/>
  <c r="FH149" i="27" s="1"/>
  <c r="FH177" i="27" a="1"/>
  <c r="FH177" i="27" s="1"/>
  <c r="FH145" i="27" a="1"/>
  <c r="FH145" i="27" s="1"/>
  <c r="FH173" i="27" a="1"/>
  <c r="FH173" i="27" s="1"/>
  <c r="FH161" i="27" a="1"/>
  <c r="FH161" i="27" s="1"/>
  <c r="FO183" i="27" a="1"/>
  <c r="FO183" i="27" s="1"/>
  <c r="FI160" i="27" l="1"/>
  <c r="FI178" i="27"/>
  <c r="FI180" i="27"/>
  <c r="FI162" i="27"/>
  <c r="FI147" i="27"/>
  <c r="FI173" i="27"/>
  <c r="FI170" i="27"/>
  <c r="FI171" i="27"/>
  <c r="FI152" i="27"/>
  <c r="FI159" i="27"/>
  <c r="FI161" i="27"/>
  <c r="FI177" i="27"/>
  <c r="FI150" i="27"/>
  <c r="FI158" i="27"/>
  <c r="FI175" i="27"/>
  <c r="FI143" i="27"/>
  <c r="FI174" i="27"/>
  <c r="FI176" i="27"/>
  <c r="FI146" i="27"/>
  <c r="FI144" i="27"/>
  <c r="FI179" i="27"/>
  <c r="FI169" i="27"/>
  <c r="FI154" i="27"/>
  <c r="FI166" i="27"/>
  <c r="FI148" i="27"/>
  <c r="FI172" i="27"/>
  <c r="FI142" i="27"/>
  <c r="FI156" i="27"/>
  <c r="FI157" i="27"/>
  <c r="FI145" i="27"/>
  <c r="FI165" i="27"/>
  <c r="FI167" i="27"/>
  <c r="FI155" i="27"/>
  <c r="FI168" i="27"/>
  <c r="FI153" i="27"/>
  <c r="FI151" i="27"/>
  <c r="FI164" i="27"/>
  <c r="FI149" i="27"/>
  <c r="FI163" i="27"/>
  <c r="FS183" i="27"/>
  <c r="FS137" i="27"/>
  <c r="EZ190" i="27"/>
  <c r="EZ144" i="27"/>
  <c r="FI138" i="27" l="1"/>
  <c r="GB127" i="27" l="1"/>
  <c r="GB128" i="27"/>
  <c r="GB126" i="27"/>
  <c r="GB125" i="27"/>
  <c r="GB77" i="27"/>
  <c r="GB78" i="27"/>
  <c r="GB73" i="27"/>
  <c r="GB71" i="27"/>
  <c r="GB76" i="27"/>
  <c r="GB79" i="27"/>
  <c r="GB75" i="27"/>
  <c r="GB70" i="27"/>
  <c r="GB74" i="27"/>
  <c r="GB66" i="27"/>
  <c r="GB52" i="27"/>
  <c r="GB80" i="27"/>
  <c r="GB57" i="27"/>
  <c r="GB72" i="27"/>
  <c r="GB69" i="27"/>
  <c r="GB81" i="27"/>
  <c r="GB64" i="27"/>
  <c r="GB65" i="27"/>
  <c r="GB48" i="27"/>
  <c r="GB55" i="27"/>
  <c r="GB45" i="27"/>
  <c r="GB43" i="27"/>
  <c r="GB58" i="27"/>
  <c r="GB49" i="27"/>
  <c r="GB50" i="27"/>
  <c r="GB63" i="27"/>
  <c r="GB60" i="27"/>
  <c r="GB68" i="27"/>
  <c r="GB54" i="27"/>
  <c r="GB61" i="27"/>
  <c r="GB67" i="27"/>
  <c r="GB62" i="27"/>
  <c r="GB59" i="27"/>
  <c r="GB44" i="27"/>
  <c r="GB46" i="27"/>
  <c r="GB53" i="27"/>
  <c r="GB51" i="27"/>
  <c r="GB56" i="27"/>
  <c r="GB47" i="27"/>
  <c r="ER80" i="27"/>
  <c r="HX125" i="27" s="1"/>
  <c r="EK77" i="27"/>
  <c r="HW121" i="27" s="1"/>
  <c r="ER85" i="27"/>
  <c r="ER77" i="27"/>
  <c r="HX122" i="27" s="1"/>
  <c r="ER81" i="27"/>
  <c r="HX126" i="27" s="1"/>
  <c r="ER73" i="27"/>
  <c r="HX118" i="27" s="1"/>
  <c r="EK66" i="27"/>
  <c r="HW110" i="27" s="1"/>
  <c r="EK83" i="27"/>
  <c r="HW127" i="27" s="1"/>
  <c r="EK65" i="27"/>
  <c r="HW109" i="27" s="1"/>
  <c r="EK79" i="27"/>
  <c r="HW123" i="27" s="1"/>
  <c r="ER136" i="27"/>
  <c r="ER86" i="27"/>
  <c r="ER68" i="27"/>
  <c r="HX113" i="27" s="1"/>
  <c r="ER53" i="27"/>
  <c r="HX98" i="27" s="1"/>
  <c r="ER65" i="27"/>
  <c r="HX110" i="27" s="1"/>
  <c r="ER67" i="27"/>
  <c r="HX112" i="27" s="1"/>
  <c r="ER52" i="27"/>
  <c r="HX97" i="27" s="1"/>
  <c r="ER55" i="27"/>
  <c r="HX100" i="27" s="1"/>
  <c r="ER64" i="27"/>
  <c r="HX109" i="27" s="1"/>
  <c r="EK71" i="27"/>
  <c r="HW115" i="27" s="1"/>
  <c r="ER88" i="27"/>
  <c r="EK86" i="27"/>
  <c r="ER79" i="27"/>
  <c r="HX124" i="27" s="1"/>
  <c r="ER76" i="27"/>
  <c r="HX121" i="27" s="1"/>
  <c r="EK73" i="27"/>
  <c r="HW117" i="27" s="1"/>
  <c r="EK85" i="27"/>
  <c r="HW129" i="27" s="1"/>
  <c r="ER57" i="27"/>
  <c r="HX102" i="27" s="1"/>
  <c r="ER82" i="27"/>
  <c r="HX127" i="27" s="1"/>
  <c r="ER60" i="27"/>
  <c r="HX105" i="27" s="1"/>
  <c r="EK55" i="27"/>
  <c r="HW99" i="27" s="1"/>
  <c r="ER89" i="27"/>
  <c r="ER70" i="27"/>
  <c r="HX115" i="27" s="1"/>
  <c r="ER72" i="27"/>
  <c r="HX117" i="27" s="1"/>
  <c r="ER87" i="27"/>
  <c r="ER54" i="27"/>
  <c r="HX99" i="27" s="1"/>
  <c r="ER63" i="27"/>
  <c r="HX108" i="27" s="1"/>
  <c r="ER84" i="27"/>
  <c r="HX129" i="27" s="1"/>
  <c r="ER75" i="27"/>
  <c r="HX120" i="27" s="1"/>
  <c r="ER66" i="27"/>
  <c r="HX111" i="27" s="1"/>
  <c r="ER69" i="27"/>
  <c r="HX114" i="27" s="1"/>
  <c r="ER59" i="27"/>
  <c r="HX104" i="27" s="1"/>
  <c r="EK63" i="27"/>
  <c r="HW107" i="27" s="1"/>
  <c r="ER78" i="27"/>
  <c r="HX123" i="27" s="1"/>
  <c r="ER62" i="27"/>
  <c r="HX107" i="27" s="1"/>
  <c r="ER71" i="27"/>
  <c r="HX116" i="27" s="1"/>
  <c r="ER90" i="27"/>
  <c r="ER56" i="27"/>
  <c r="HX101" i="27" s="1"/>
  <c r="ER58" i="27"/>
  <c r="HX103" i="27" s="1"/>
  <c r="ER74" i="27"/>
  <c r="HX119" i="27" s="1"/>
  <c r="ER83" i="27"/>
  <c r="HX128" i="27" s="1"/>
  <c r="EK58" i="27"/>
  <c r="HW102" i="27" s="1"/>
  <c r="EK60" i="27"/>
  <c r="HW104" i="27" s="1"/>
  <c r="EK57" i="27"/>
  <c r="HW101" i="27" s="1"/>
  <c r="EK70" i="27"/>
  <c r="HW114" i="27" s="1"/>
  <c r="EK69" i="27"/>
  <c r="HW113" i="27" s="1"/>
  <c r="EK74" i="27"/>
  <c r="HW118" i="27" s="1"/>
  <c r="EK91" i="27"/>
  <c r="EK76" i="27"/>
  <c r="HW120" i="27" s="1"/>
  <c r="EK64" i="27"/>
  <c r="HW108" i="27" s="1"/>
  <c r="EK88" i="27"/>
  <c r="EK90" i="27"/>
  <c r="EK81" i="27"/>
  <c r="HW125" i="27" s="1"/>
  <c r="EK87" i="27"/>
  <c r="EK62" i="27"/>
  <c r="HW106" i="27" s="1"/>
  <c r="EK89" i="27"/>
  <c r="EK54" i="27"/>
  <c r="HW98" i="27" s="1"/>
  <c r="EK75" i="27"/>
  <c r="HW119" i="27" s="1"/>
  <c r="EK68" i="27"/>
  <c r="HW112" i="27" s="1"/>
  <c r="EK67" i="27"/>
  <c r="HW111" i="27" s="1"/>
  <c r="EK53" i="27"/>
  <c r="HW97" i="27" s="1"/>
  <c r="EK82" i="27"/>
  <c r="HW126" i="27" s="1"/>
  <c r="EK61" i="27"/>
  <c r="HW105" i="27" s="1"/>
  <c r="EK59" i="27"/>
  <c r="HW103" i="27" s="1"/>
  <c r="EK56" i="27"/>
  <c r="HW100" i="27" s="1"/>
  <c r="EK72" i="27"/>
  <c r="HW116" i="27" s="1"/>
  <c r="EK78" i="27"/>
  <c r="HW122" i="27" s="1"/>
  <c r="EK84" i="27"/>
  <c r="HW128" i="27" s="1"/>
  <c r="EK80" i="27"/>
  <c r="HW124" i="27" s="1"/>
  <c r="DK69" i="27"/>
  <c r="HT118" i="27" s="1"/>
  <c r="DK65" i="27"/>
  <c r="HT114" i="27" s="1"/>
  <c r="DK76" i="27"/>
  <c r="HT125" i="27" s="1"/>
  <c r="DK74" i="27"/>
  <c r="HT123" i="27" s="1"/>
  <c r="DK83" i="27"/>
  <c r="DK59" i="27"/>
  <c r="HT108" i="27" s="1"/>
  <c r="DK64" i="27"/>
  <c r="HT113" i="27" s="1"/>
  <c r="DK61" i="27"/>
  <c r="HT110" i="27" s="1"/>
  <c r="DK51" i="27"/>
  <c r="HT100" i="27" s="1"/>
  <c r="DK71" i="27"/>
  <c r="HT120" i="27" s="1"/>
  <c r="DK84" i="27"/>
  <c r="DK81" i="27"/>
  <c r="DK68" i="27"/>
  <c r="HT117" i="27" s="1"/>
  <c r="DK48" i="27"/>
  <c r="HT97" i="27" s="1"/>
  <c r="DK52" i="27"/>
  <c r="HT101" i="27" s="1"/>
  <c r="DK77" i="27"/>
  <c r="HT126" i="27" s="1"/>
  <c r="DK72" i="27"/>
  <c r="HT121" i="27" s="1"/>
  <c r="DK85" i="27"/>
  <c r="DK50" i="27"/>
  <c r="HT99" i="27" s="1"/>
  <c r="DK60" i="27"/>
  <c r="HT109" i="27" s="1"/>
  <c r="DK62" i="27"/>
  <c r="HT111" i="27" s="1"/>
  <c r="DK67" i="27"/>
  <c r="HT116" i="27" s="1"/>
  <c r="DK63" i="27"/>
  <c r="HT112" i="27" s="1"/>
  <c r="DK75" i="27"/>
  <c r="HT124" i="27" s="1"/>
  <c r="DK80" i="27"/>
  <c r="HT129" i="27" s="1"/>
  <c r="DK56" i="27"/>
  <c r="HT105" i="27" s="1"/>
  <c r="DK86" i="27"/>
  <c r="DK54" i="27"/>
  <c r="HT103" i="27" s="1"/>
  <c r="DK82" i="27"/>
  <c r="DK57" i="27"/>
  <c r="HT106" i="27" s="1"/>
  <c r="DK66" i="27"/>
  <c r="HT115" i="27" s="1"/>
  <c r="DK73" i="27"/>
  <c r="HT122" i="27" s="1"/>
  <c r="DK78" i="27"/>
  <c r="HT127" i="27" s="1"/>
  <c r="DK79" i="27"/>
  <c r="HT128" i="27" s="1"/>
  <c r="DK49" i="27"/>
  <c r="HT98" i="27" s="1"/>
  <c r="DK53" i="27"/>
  <c r="HT102" i="27" s="1"/>
  <c r="DK58" i="27"/>
  <c r="HT107" i="27" s="1"/>
  <c r="DK70" i="27"/>
  <c r="HT119" i="27" s="1"/>
  <c r="DK55" i="27"/>
  <c r="HT104" i="27" s="1"/>
  <c r="DD62" i="27"/>
  <c r="HS102" i="27" s="1"/>
  <c r="DD69" i="27"/>
  <c r="HS109" i="27" s="1"/>
  <c r="DD86" i="27"/>
  <c r="HS126" i="27" s="1"/>
  <c r="DD80" i="27"/>
  <c r="HS120" i="27" s="1"/>
  <c r="DD57" i="27"/>
  <c r="HS97" i="27" s="1"/>
  <c r="DD141" i="27"/>
  <c r="DD92" i="27"/>
  <c r="DD72" i="27"/>
  <c r="HS112" i="27" s="1"/>
  <c r="DD87" i="27"/>
  <c r="HS127" i="27" s="1"/>
  <c r="DD61" i="27"/>
  <c r="HS101" i="27" s="1"/>
  <c r="DD88" i="27"/>
  <c r="HS128" i="27" s="1"/>
  <c r="DD77" i="27"/>
  <c r="HS117" i="27" s="1"/>
  <c r="DD68" i="27"/>
  <c r="HS108" i="27" s="1"/>
  <c r="DD79" i="27"/>
  <c r="HS119" i="27" s="1"/>
  <c r="DD71" i="27"/>
  <c r="HS111" i="27" s="1"/>
  <c r="DD66" i="27"/>
  <c r="HS106" i="27" s="1"/>
  <c r="DD76" i="27"/>
  <c r="HS116" i="27" s="1"/>
  <c r="DD63" i="27"/>
  <c r="HS103" i="27" s="1"/>
  <c r="DD65" i="27"/>
  <c r="HS105" i="27" s="1"/>
  <c r="DD93" i="27"/>
  <c r="DD89" i="27"/>
  <c r="HS129" i="27" s="1"/>
  <c r="DD70" i="27"/>
  <c r="HS110" i="27" s="1"/>
  <c r="DD73" i="27"/>
  <c r="HS113" i="27" s="1"/>
  <c r="DD83" i="27"/>
  <c r="HS123" i="27" s="1"/>
  <c r="DD82" i="27"/>
  <c r="HS122" i="27" s="1"/>
  <c r="DD78" i="27"/>
  <c r="HS118" i="27" s="1"/>
  <c r="DD84" i="27"/>
  <c r="HS124" i="27" s="1"/>
  <c r="DD75" i="27"/>
  <c r="HS115" i="27" s="1"/>
  <c r="DD85" i="27"/>
  <c r="HS125" i="27" s="1"/>
  <c r="DD59" i="27"/>
  <c r="HS99" i="27" s="1"/>
  <c r="DD90" i="27"/>
  <c r="DD81" i="27"/>
  <c r="HS121" i="27" s="1"/>
  <c r="DD58" i="27"/>
  <c r="HS98" i="27" s="1"/>
  <c r="DD60" i="27"/>
  <c r="HS100" i="27" s="1"/>
  <c r="DD67" i="27"/>
  <c r="HS107" i="27" s="1"/>
  <c r="DD91" i="27"/>
  <c r="DD64" i="27"/>
  <c r="HS104" i="27" s="1"/>
  <c r="DD94" i="27"/>
  <c r="DD95" i="27"/>
  <c r="DD74" i="27"/>
  <c r="HS114" i="27" s="1"/>
  <c r="CW141" i="27"/>
  <c r="CW63" i="27"/>
  <c r="HU103" i="27" s="1"/>
  <c r="CW88" i="27"/>
  <c r="HU128" i="27" s="1"/>
  <c r="CW64" i="27"/>
  <c r="HU104" i="27" s="1"/>
  <c r="CW90" i="27"/>
  <c r="CW76" i="27"/>
  <c r="HU116" i="27" s="1"/>
  <c r="CW67" i="27"/>
  <c r="HU107" i="27" s="1"/>
  <c r="CW87" i="27"/>
  <c r="HU127" i="27" s="1"/>
  <c r="CW82" i="27"/>
  <c r="HU122" i="27" s="1"/>
  <c r="CW81" i="27"/>
  <c r="HU121" i="27" s="1"/>
  <c r="CW85" i="27"/>
  <c r="HU125" i="27" s="1"/>
  <c r="CW66" i="27"/>
  <c r="HU106" i="27" s="1"/>
  <c r="CW89" i="27"/>
  <c r="HU129" i="27" s="1"/>
  <c r="CW91" i="27"/>
  <c r="CW95" i="27"/>
  <c r="CW68" i="27"/>
  <c r="HU108" i="27" s="1"/>
  <c r="CW92" i="27"/>
  <c r="CW84" i="27"/>
  <c r="HU124" i="27" s="1"/>
  <c r="CW83" i="27"/>
  <c r="HU123" i="27" s="1"/>
  <c r="CW78" i="27"/>
  <c r="HU118" i="27" s="1"/>
  <c r="CW72" i="27"/>
  <c r="HU112" i="27" s="1"/>
  <c r="CW74" i="27"/>
  <c r="HU114" i="27" s="1"/>
  <c r="CW61" i="27"/>
  <c r="HU101" i="27" s="1"/>
  <c r="CW70" i="27"/>
  <c r="HU110" i="27" s="1"/>
  <c r="CW86" i="27"/>
  <c r="HU126" i="27" s="1"/>
  <c r="CW62" i="27"/>
  <c r="HU102" i="27" s="1"/>
  <c r="CW79" i="27"/>
  <c r="HU119" i="27" s="1"/>
  <c r="CW57" i="27"/>
  <c r="HU97" i="27" s="1"/>
  <c r="CW71" i="27"/>
  <c r="HU111" i="27" s="1"/>
  <c r="CW58" i="27"/>
  <c r="HU98" i="27" s="1"/>
  <c r="CW65" i="27"/>
  <c r="HU105" i="27" s="1"/>
  <c r="CW80" i="27"/>
  <c r="HU120" i="27" s="1"/>
  <c r="CW59" i="27"/>
  <c r="HU99" i="27" s="1"/>
  <c r="CW77" i="27"/>
  <c r="HU117" i="27" s="1"/>
  <c r="CW75" i="27"/>
  <c r="HU115" i="27" s="1"/>
  <c r="CW94" i="27"/>
  <c r="CW60" i="27"/>
  <c r="HU100" i="27" s="1"/>
  <c r="CW93" i="27"/>
  <c r="CW73" i="27"/>
  <c r="HU113" i="27" s="1"/>
  <c r="CW69" i="27"/>
  <c r="HU109" i="27" s="1"/>
  <c r="CP126" i="27"/>
  <c r="CP76" i="27"/>
  <c r="HQ123" i="27" s="1"/>
  <c r="CP55" i="27"/>
  <c r="HQ102" i="27" s="1"/>
  <c r="CP53" i="27"/>
  <c r="HQ100" i="27" s="1"/>
  <c r="CP67" i="27"/>
  <c r="HQ114" i="27" s="1"/>
  <c r="CP79" i="27"/>
  <c r="HQ126" i="27" s="1"/>
  <c r="CP82" i="27"/>
  <c r="HQ129" i="27" s="1"/>
  <c r="CP52" i="27"/>
  <c r="HQ99" i="27" s="1"/>
  <c r="CP71" i="27"/>
  <c r="HQ118" i="27" s="1"/>
  <c r="CP57" i="27"/>
  <c r="HQ104" i="27" s="1"/>
  <c r="CP65" i="27"/>
  <c r="HQ112" i="27" s="1"/>
  <c r="CP64" i="27"/>
  <c r="HQ111" i="27" s="1"/>
  <c r="CP63" i="27"/>
  <c r="HQ110" i="27" s="1"/>
  <c r="CP51" i="27"/>
  <c r="HQ98" i="27" s="1"/>
  <c r="CP68" i="27"/>
  <c r="HQ115" i="27" s="1"/>
  <c r="CP61" i="27"/>
  <c r="HQ108" i="27" s="1"/>
  <c r="CP72" i="27"/>
  <c r="HQ119" i="27" s="1"/>
  <c r="CP80" i="27"/>
  <c r="HQ127" i="27" s="1"/>
  <c r="CP77" i="27"/>
  <c r="HQ124" i="27" s="1"/>
  <c r="CP59" i="27"/>
  <c r="HQ106" i="27" s="1"/>
  <c r="CP58" i="27"/>
  <c r="HQ105" i="27" s="1"/>
  <c r="CP69" i="27"/>
  <c r="HQ116" i="27" s="1"/>
  <c r="CP70" i="27"/>
  <c r="HQ117" i="27" s="1"/>
  <c r="CP73" i="27"/>
  <c r="HQ120" i="27" s="1"/>
  <c r="CP75" i="27"/>
  <c r="HQ122" i="27" s="1"/>
  <c r="CP50" i="27"/>
  <c r="HQ97" i="27" s="1"/>
  <c r="CP54" i="27"/>
  <c r="HQ101" i="27" s="1"/>
  <c r="CP74" i="27"/>
  <c r="HQ121" i="27" s="1"/>
  <c r="CP78" i="27"/>
  <c r="HQ125" i="27" s="1"/>
  <c r="CP66" i="27"/>
  <c r="HQ113" i="27" s="1"/>
  <c r="CP81" i="27"/>
  <c r="HQ128" i="27" s="1"/>
  <c r="CP60" i="27"/>
  <c r="HQ107" i="27" s="1"/>
  <c r="CP62" i="27"/>
  <c r="HQ109" i="27" s="1"/>
  <c r="CP84" i="27"/>
  <c r="CP56" i="27"/>
  <c r="HQ103" i="27" s="1"/>
  <c r="CP83" i="27"/>
  <c r="N23" i="49"/>
  <c r="DS280" i="27" l="1"/>
  <c r="DS234" i="27"/>
  <c r="DO318" i="27" s="1"/>
  <c r="C45" i="51" s="1"/>
  <c r="F45" i="51" s="1"/>
  <c r="BU110" i="27"/>
  <c r="BJ327" i="27"/>
  <c r="BC367" i="27" s="1"/>
  <c r="C35" i="51" s="1"/>
  <c r="F35" i="51" s="1"/>
  <c r="BJ278" i="27"/>
  <c r="BN74" i="27" l="1" a="1"/>
  <c r="BN74" i="27" s="1"/>
  <c r="BS74" i="27" a="1"/>
  <c r="BS74" i="27" s="1"/>
  <c r="BN76" i="27" a="1"/>
  <c r="BN76" i="27" s="1"/>
  <c r="BP77" i="27" a="1"/>
  <c r="BP77" i="27" s="1"/>
  <c r="BR78" i="27" a="1"/>
  <c r="BR78" i="27" s="1"/>
  <c r="BP79" i="27" a="1"/>
  <c r="BP79" i="27" s="1"/>
  <c r="BR80" i="27" a="1"/>
  <c r="BR80" i="27" s="1"/>
  <c r="BT81" i="27" a="1"/>
  <c r="BT81" i="27" s="1"/>
  <c r="BO83" i="27" a="1"/>
  <c r="BO83" i="27" s="1"/>
  <c r="BT83" i="27" a="1"/>
  <c r="BT83" i="27" s="1"/>
  <c r="BO85" i="27" a="1"/>
  <c r="BO85" i="27" s="1"/>
  <c r="BQ86" i="27" a="1"/>
  <c r="BQ86" i="27" s="1"/>
  <c r="BS87" i="27" a="1"/>
  <c r="BS87" i="27" s="1"/>
  <c r="BQ88" i="27" a="1"/>
  <c r="BQ88" i="27" s="1"/>
  <c r="BS89" i="27" a="1"/>
  <c r="BS89" i="27" s="1"/>
  <c r="BN91" i="27" a="1"/>
  <c r="BN91" i="27" s="1"/>
  <c r="BP92" i="27" a="1"/>
  <c r="BP92" i="27" s="1"/>
  <c r="BN93" i="27" a="1"/>
  <c r="BN93" i="27" s="1"/>
  <c r="BP94" i="27" a="1"/>
  <c r="BP94" i="27" s="1"/>
  <c r="BR95" i="27" a="1"/>
  <c r="BR95" i="27" s="1"/>
  <c r="BT96" i="27" a="1"/>
  <c r="BT96" i="27" s="1"/>
  <c r="BR97" i="27" a="1"/>
  <c r="BR97" i="27" s="1"/>
  <c r="BT98" i="27" a="1"/>
  <c r="BT98" i="27" s="1"/>
  <c r="BO100" i="27" a="1"/>
  <c r="BO100" i="27" s="1"/>
  <c r="BQ101" i="27" a="1"/>
  <c r="BQ101" i="27" s="1"/>
  <c r="BO102" i="27" a="1"/>
  <c r="BO102" i="27" s="1"/>
  <c r="BQ103" i="27" a="1"/>
  <c r="BQ103" i="27" s="1"/>
  <c r="BS104" i="27" a="1"/>
  <c r="BS104" i="27" s="1"/>
  <c r="BN106" i="27" a="1"/>
  <c r="BN106" i="27" s="1"/>
  <c r="BN73" i="27" a="1"/>
  <c r="BN73" i="27" s="1"/>
  <c r="BS37" i="27" a="1"/>
  <c r="BS37" i="27" s="1"/>
  <c r="BN40" i="27" a="1"/>
  <c r="BN40" i="27" s="1"/>
  <c r="BP42" i="27" a="1"/>
  <c r="BP42" i="27" s="1"/>
  <c r="BR44" i="27" a="1"/>
  <c r="BR44" i="27" s="1"/>
  <c r="BT46" i="27" a="1"/>
  <c r="BT46" i="27" s="1"/>
  <c r="BO49" i="27" a="1"/>
  <c r="BO49" i="27" s="1"/>
  <c r="BQ51" i="27" a="1"/>
  <c r="BQ51" i="27" s="1"/>
  <c r="BS53" i="27" a="1"/>
  <c r="BS53" i="27" s="1"/>
  <c r="BN56" i="27" a="1"/>
  <c r="BN56" i="27" s="1"/>
  <c r="BO74" i="27" a="1"/>
  <c r="BO74" i="27" s="1"/>
  <c r="BQ75" i="27" a="1"/>
  <c r="BQ75" i="27" s="1"/>
  <c r="BS76" i="27" a="1"/>
  <c r="BS76" i="27" s="1"/>
  <c r="BN78" i="27" a="1"/>
  <c r="BN78" i="27" s="1"/>
  <c r="BS78" i="27" a="1"/>
  <c r="BS78" i="27" s="1"/>
  <c r="BN80" i="27" a="1"/>
  <c r="BN80" i="27" s="1"/>
  <c r="BP81" i="27" a="1"/>
  <c r="BP81" i="27" s="1"/>
  <c r="BR82" i="27" a="1"/>
  <c r="BR82" i="27" s="1"/>
  <c r="BP83" i="27" a="1"/>
  <c r="BP83" i="27" s="1"/>
  <c r="BR84" i="27" a="1"/>
  <c r="BR84" i="27" s="1"/>
  <c r="BT85" i="27" a="1"/>
  <c r="BT85" i="27" s="1"/>
  <c r="BO87" i="27" a="1"/>
  <c r="BO87" i="27" s="1"/>
  <c r="BT87" i="27" a="1"/>
  <c r="BT87" i="27" s="1"/>
  <c r="BO89" i="27" a="1"/>
  <c r="BO89" i="27" s="1"/>
  <c r="BQ90" i="27" a="1"/>
  <c r="BQ90" i="27" s="1"/>
  <c r="BS91" i="27" a="1"/>
  <c r="BS91" i="27" s="1"/>
  <c r="BQ92" i="27" a="1"/>
  <c r="BQ92" i="27" s="1"/>
  <c r="BS93" i="27" a="1"/>
  <c r="BS93" i="27" s="1"/>
  <c r="BN95" i="27" a="1"/>
  <c r="BN95" i="27" s="1"/>
  <c r="BP96" i="27" a="1"/>
  <c r="BP96" i="27" s="1"/>
  <c r="BN97" i="27" a="1"/>
  <c r="BN97" i="27" s="1"/>
  <c r="BP98" i="27" a="1"/>
  <c r="BP98" i="27" s="1"/>
  <c r="BR99" i="27" a="1"/>
  <c r="BR99" i="27" s="1"/>
  <c r="BT100" i="27" a="1"/>
  <c r="BT100" i="27" s="1"/>
  <c r="BR101" i="27" a="1"/>
  <c r="BR101" i="27" s="1"/>
  <c r="BT102" i="27" a="1"/>
  <c r="BT102" i="27" s="1"/>
  <c r="BO104" i="27" a="1"/>
  <c r="BO104" i="27" s="1"/>
  <c r="BQ105" i="27" a="1"/>
  <c r="BQ105" i="27" s="1"/>
  <c r="BO106" i="27" a="1"/>
  <c r="BO106" i="27" s="1"/>
  <c r="BT106" i="27" a="1"/>
  <c r="BT106" i="27" s="1"/>
  <c r="BN37" i="27" a="1"/>
  <c r="BN37" i="27" s="1"/>
  <c r="BT37" i="27" a="1"/>
  <c r="BT37" i="27" s="1"/>
  <c r="BR38" i="27" a="1"/>
  <c r="BR38" i="27" s="1"/>
  <c r="BP39" i="27" a="1"/>
  <c r="BP39" i="27" s="1"/>
  <c r="BO40" i="27" a="1"/>
  <c r="BO40" i="27" s="1"/>
  <c r="BT40" i="27" a="1"/>
  <c r="BT40" i="27" s="1"/>
  <c r="BR41" i="27" a="1"/>
  <c r="BR41" i="27" s="1"/>
  <c r="BQ42" i="27" a="1"/>
  <c r="BQ42" i="27" s="1"/>
  <c r="BO43" i="27" a="1"/>
  <c r="BO43" i="27" s="1"/>
  <c r="BT43" i="27" a="1"/>
  <c r="BT43" i="27" s="1"/>
  <c r="BT74" i="27" a="1"/>
  <c r="BT74" i="27" s="1"/>
  <c r="BO76" i="27" a="1"/>
  <c r="BO76" i="27" s="1"/>
  <c r="BQ77" i="27" a="1"/>
  <c r="BQ77" i="27" s="1"/>
  <c r="BO78" i="27" a="1"/>
  <c r="BO78" i="27" s="1"/>
  <c r="BQ79" i="27" a="1"/>
  <c r="BQ79" i="27" s="1"/>
  <c r="BS80" i="27" a="1"/>
  <c r="BS80" i="27" s="1"/>
  <c r="BN82" i="27" a="1"/>
  <c r="BN82" i="27" s="1"/>
  <c r="BS82" i="27" a="1"/>
  <c r="BS82" i="27" s="1"/>
  <c r="BN84" i="27" a="1"/>
  <c r="BN84" i="27" s="1"/>
  <c r="BP85" i="27" a="1"/>
  <c r="BP85" i="27" s="1"/>
  <c r="BR86" i="27" a="1"/>
  <c r="BR86" i="27" s="1"/>
  <c r="BP87" i="27" a="1"/>
  <c r="BP87" i="27" s="1"/>
  <c r="BR88" i="27" a="1"/>
  <c r="BR88" i="27" s="1"/>
  <c r="BT89" i="27" a="1"/>
  <c r="BT89" i="27" s="1"/>
  <c r="BO91" i="27" a="1"/>
  <c r="BO91" i="27" s="1"/>
  <c r="BT91" i="27" a="1"/>
  <c r="BT91" i="27" s="1"/>
  <c r="BO93" i="27" a="1"/>
  <c r="BO93" i="27" s="1"/>
  <c r="BQ94" i="27" a="1"/>
  <c r="BQ94" i="27" s="1"/>
  <c r="BS95" i="27" a="1"/>
  <c r="BS95" i="27" s="1"/>
  <c r="BQ96" i="27" a="1"/>
  <c r="BQ96" i="27" s="1"/>
  <c r="BS97" i="27" a="1"/>
  <c r="BS97" i="27" s="1"/>
  <c r="BN99" i="27" a="1"/>
  <c r="BN99" i="27" s="1"/>
  <c r="BP100" i="27" a="1"/>
  <c r="BP100" i="27" s="1"/>
  <c r="BN101" i="27" a="1"/>
  <c r="BN101" i="27" s="1"/>
  <c r="BP102" i="27" a="1"/>
  <c r="BP102" i="27" s="1"/>
  <c r="BR103" i="27" a="1"/>
  <c r="BR103" i="27" s="1"/>
  <c r="BT104" i="27" a="1"/>
  <c r="BT104" i="27" s="1"/>
  <c r="BR105" i="27" a="1"/>
  <c r="BR105" i="27" s="1"/>
  <c r="BT73" i="27" a="1"/>
  <c r="BT73" i="27" s="1"/>
  <c r="BO37" i="27" a="1"/>
  <c r="BO37" i="27" s="1"/>
  <c r="BQ39" i="27" a="1"/>
  <c r="BQ39" i="27" s="1"/>
  <c r="BS41" i="27" a="1"/>
  <c r="BS41" i="27" s="1"/>
  <c r="BN44" i="27" a="1"/>
  <c r="BN44" i="27" s="1"/>
  <c r="BP46" i="27" a="1"/>
  <c r="BP46" i="27" s="1"/>
  <c r="BR48" i="27" a="1"/>
  <c r="BR48" i="27" s="1"/>
  <c r="BT50" i="27" a="1"/>
  <c r="BT50" i="27" s="1"/>
  <c r="BO53" i="27" a="1"/>
  <c r="BO53" i="27" s="1"/>
  <c r="BR74" i="27" a="1"/>
  <c r="BR74" i="27" s="1"/>
  <c r="BP75" i="27" a="1"/>
  <c r="BP75" i="27" s="1"/>
  <c r="BR76" i="27" a="1"/>
  <c r="BR76" i="27" s="1"/>
  <c r="BT77" i="27" a="1"/>
  <c r="BT77" i="27" s="1"/>
  <c r="BO79" i="27" a="1"/>
  <c r="BO79" i="27" s="1"/>
  <c r="BT79" i="27" a="1"/>
  <c r="BT79" i="27" s="1"/>
  <c r="BO81" i="27" a="1"/>
  <c r="BO81" i="27" s="1"/>
  <c r="BQ82" i="27" a="1"/>
  <c r="BQ82" i="27" s="1"/>
  <c r="BS83" i="27" a="1"/>
  <c r="BS83" i="27" s="1"/>
  <c r="BQ84" i="27" a="1"/>
  <c r="BQ84" i="27" s="1"/>
  <c r="BS85" i="27" a="1"/>
  <c r="BS85" i="27" s="1"/>
  <c r="BN87" i="27" a="1"/>
  <c r="BN87" i="27" s="1"/>
  <c r="BP88" i="27" a="1"/>
  <c r="BP88" i="27" s="1"/>
  <c r="BN89" i="27" a="1"/>
  <c r="BN89" i="27" s="1"/>
  <c r="BP90" i="27" a="1"/>
  <c r="BP90" i="27" s="1"/>
  <c r="BR91" i="27" a="1"/>
  <c r="BR91" i="27" s="1"/>
  <c r="BT92" i="27" a="1"/>
  <c r="BT92" i="27" s="1"/>
  <c r="BR93" i="27" a="1"/>
  <c r="BR93" i="27" s="1"/>
  <c r="BT94" i="27" a="1"/>
  <c r="BT94" i="27" s="1"/>
  <c r="BO96" i="27" a="1"/>
  <c r="BO96" i="27" s="1"/>
  <c r="BQ97" i="27" a="1"/>
  <c r="BQ97" i="27" s="1"/>
  <c r="BO98" i="27" a="1"/>
  <c r="BO98" i="27" s="1"/>
  <c r="BQ99" i="27" a="1"/>
  <c r="BQ99" i="27" s="1"/>
  <c r="BS100" i="27" a="1"/>
  <c r="BS100" i="27" s="1"/>
  <c r="BN102" i="27" a="1"/>
  <c r="BN102" i="27" s="1"/>
  <c r="BS102" i="27" a="1"/>
  <c r="BS102" i="27" s="1"/>
  <c r="BN104" i="27" a="1"/>
  <c r="BN104" i="27" s="1"/>
  <c r="BP105" i="27" a="1"/>
  <c r="BP105" i="27" s="1"/>
  <c r="BS106" i="27" a="1"/>
  <c r="BS106" i="27" s="1"/>
  <c r="BO73" i="27" a="1"/>
  <c r="BO73" i="27" s="1"/>
  <c r="BR37" i="27" a="1"/>
  <c r="BR37" i="27" s="1"/>
  <c r="BQ38" i="27" a="1"/>
  <c r="BQ38" i="27" s="1"/>
  <c r="BO39" i="27" a="1"/>
  <c r="BO39" i="27" s="1"/>
  <c r="BT39" i="27" a="1"/>
  <c r="BT39" i="27" s="1"/>
  <c r="BS40" i="27" a="1"/>
  <c r="BS40" i="27" s="1"/>
  <c r="BQ41" i="27" a="1"/>
  <c r="BQ41" i="27" s="1"/>
  <c r="BO42" i="27" a="1"/>
  <c r="BO42" i="27" s="1"/>
  <c r="BN43" i="27" a="1"/>
  <c r="BN43" i="27" s="1"/>
  <c r="BS43" i="27" a="1"/>
  <c r="BS43" i="27" s="1"/>
  <c r="BQ44" i="27" a="1"/>
  <c r="BQ44" i="27" s="1"/>
  <c r="BP45" i="27" a="1"/>
  <c r="BP45" i="27" s="1"/>
  <c r="BN46" i="27" a="1"/>
  <c r="BN46" i="27" s="1"/>
  <c r="BS46" i="27" a="1"/>
  <c r="BS46" i="27" s="1"/>
  <c r="BR47" i="27" a="1"/>
  <c r="BR47" i="27" s="1"/>
  <c r="BP48" i="27" a="1"/>
  <c r="BP48" i="27" s="1"/>
  <c r="BN49" i="27" a="1"/>
  <c r="BN49" i="27" s="1"/>
  <c r="BT49" i="27" a="1"/>
  <c r="BT49" i="27" s="1"/>
  <c r="BR50" i="27" a="1"/>
  <c r="BR50" i="27" s="1"/>
  <c r="BP51" i="27" a="1"/>
  <c r="BP51" i="27" s="1"/>
  <c r="BO52" i="27" a="1"/>
  <c r="BO52" i="27" s="1"/>
  <c r="BT52" i="27" a="1"/>
  <c r="BT52" i="27" s="1"/>
  <c r="BR53" i="27" a="1"/>
  <c r="BR53" i="27" s="1"/>
  <c r="BQ54" i="27" a="1"/>
  <c r="BQ54" i="27" s="1"/>
  <c r="BO55" i="27" a="1"/>
  <c r="BO55" i="27" s="1"/>
  <c r="BT55" i="27" a="1"/>
  <c r="BT55" i="27" s="1"/>
  <c r="BS56" i="27" a="1"/>
  <c r="BS56" i="27" s="1"/>
  <c r="BQ57" i="27" a="1"/>
  <c r="BQ57" i="27" s="1"/>
  <c r="BO58" i="27" a="1"/>
  <c r="BO58" i="27" s="1"/>
  <c r="BN59" i="27" a="1"/>
  <c r="BN59" i="27" s="1"/>
  <c r="BS59" i="27" a="1"/>
  <c r="BS59" i="27" s="1"/>
  <c r="BQ60" i="27" a="1"/>
  <c r="BQ60" i="27" s="1"/>
  <c r="BP61" i="27" a="1"/>
  <c r="BP61" i="27" s="1"/>
  <c r="BN62" i="27" a="1"/>
  <c r="BN62" i="27" s="1"/>
  <c r="BS62" i="27" a="1"/>
  <c r="BS62" i="27" s="1"/>
  <c r="BP74" i="27" a="1"/>
  <c r="BP74" i="27" s="1"/>
  <c r="BR75" i="27" a="1"/>
  <c r="BR75" i="27" s="1"/>
  <c r="BT76" i="27" a="1"/>
  <c r="BT76" i="27" s="1"/>
  <c r="BO82" i="27" a="1"/>
  <c r="BO82" i="27" s="1"/>
  <c r="BQ83" i="27" a="1"/>
  <c r="BQ83" i="27" s="1"/>
  <c r="BS84" i="27" a="1"/>
  <c r="BS84" i="27" s="1"/>
  <c r="BN86" i="27" a="1"/>
  <c r="BN86" i="27" s="1"/>
  <c r="BP91" i="27" a="1"/>
  <c r="BP91" i="27" s="1"/>
  <c r="BR92" i="27" a="1"/>
  <c r="BR92" i="27" s="1"/>
  <c r="BT93" i="27" a="1"/>
  <c r="BT93" i="27" s="1"/>
  <c r="BO95" i="27" a="1"/>
  <c r="BO95" i="27" s="1"/>
  <c r="BQ100" i="27" a="1"/>
  <c r="BQ100" i="27" s="1"/>
  <c r="BS101" i="27" a="1"/>
  <c r="BS101" i="27" s="1"/>
  <c r="BN103" i="27" a="1"/>
  <c r="BN103" i="27" s="1"/>
  <c r="BP104" i="27" a="1"/>
  <c r="BP104" i="27" s="1"/>
  <c r="BS73" i="27" a="1"/>
  <c r="BS73" i="27" s="1"/>
  <c r="BN38" i="27" a="1"/>
  <c r="BN38" i="27" s="1"/>
  <c r="BR39" i="27" a="1"/>
  <c r="BR39" i="27" s="1"/>
  <c r="BN41" i="27" a="1"/>
  <c r="BN41" i="27" s="1"/>
  <c r="BR42" i="27" a="1"/>
  <c r="BR42" i="27" s="1"/>
  <c r="BO44" i="27" a="1"/>
  <c r="BO44" i="27" s="1"/>
  <c r="BO45" i="27" a="1"/>
  <c r="BO45" i="27" s="1"/>
  <c r="BS47" i="27" a="1"/>
  <c r="BS47" i="27" s="1"/>
  <c r="BT48" i="27" a="1"/>
  <c r="BT48" i="27" s="1"/>
  <c r="BO50" i="27" a="1"/>
  <c r="BO50" i="27" s="1"/>
  <c r="BR52" i="27" a="1"/>
  <c r="BR52" i="27" s="1"/>
  <c r="BT53" i="27" a="1"/>
  <c r="BT53" i="27" s="1"/>
  <c r="BS54" i="27" a="1"/>
  <c r="BS54" i="27" s="1"/>
  <c r="BS55" i="27" a="1"/>
  <c r="BS55" i="27" s="1"/>
  <c r="BT56" i="27" a="1"/>
  <c r="BT56" i="27" s="1"/>
  <c r="BT57" i="27" a="1"/>
  <c r="BT57" i="27" s="1"/>
  <c r="BR59" i="27" a="1"/>
  <c r="BR59" i="27" s="1"/>
  <c r="BO62" i="27" a="1"/>
  <c r="BO62" i="27" s="1"/>
  <c r="BR64" i="27" a="1"/>
  <c r="BR64" i="27" s="1"/>
  <c r="BT66" i="27" a="1"/>
  <c r="BT66" i="27" s="1"/>
  <c r="BO69" i="27" a="1"/>
  <c r="BO69" i="27" s="1"/>
  <c r="BN77" i="27" a="1"/>
  <c r="BN77" i="27" s="1"/>
  <c r="BP78" i="27" a="1"/>
  <c r="BP78" i="27" s="1"/>
  <c r="BR79" i="27" a="1"/>
  <c r="BR79" i="27" s="1"/>
  <c r="BT80" i="27" a="1"/>
  <c r="BT80" i="27" s="1"/>
  <c r="BO86" i="27" a="1"/>
  <c r="BO86" i="27" s="1"/>
  <c r="BQ87" i="27" a="1"/>
  <c r="BQ87" i="27" s="1"/>
  <c r="BS88" i="27" a="1"/>
  <c r="BS88" i="27" s="1"/>
  <c r="BN90" i="27" a="1"/>
  <c r="BN90" i="27" s="1"/>
  <c r="BP95" i="27" a="1"/>
  <c r="BP95" i="27" s="1"/>
  <c r="BR96" i="27" a="1"/>
  <c r="BR96" i="27" s="1"/>
  <c r="BT97" i="27" a="1"/>
  <c r="BT97" i="27" s="1"/>
  <c r="BO99" i="27" a="1"/>
  <c r="BO99" i="27" s="1"/>
  <c r="BQ104" i="27" a="1"/>
  <c r="BQ104" i="27" s="1"/>
  <c r="BS105" i="27" a="1"/>
  <c r="BS105" i="27" s="1"/>
  <c r="BR73" i="27" a="1"/>
  <c r="BR73" i="27" s="1"/>
  <c r="BO41" i="27" a="1"/>
  <c r="BO41" i="27" s="1"/>
  <c r="BQ45" i="27" a="1"/>
  <c r="BQ45" i="27" s="1"/>
  <c r="BR46" i="27" a="1"/>
  <c r="BR46" i="27" s="1"/>
  <c r="BT47" i="27" a="1"/>
  <c r="BT47" i="27" s="1"/>
  <c r="BP50" i="27" a="1"/>
  <c r="BP50" i="27" s="1"/>
  <c r="BR51" i="27" a="1"/>
  <c r="BR51" i="27" s="1"/>
  <c r="BS52" i="27" a="1"/>
  <c r="BS52" i="27" s="1"/>
  <c r="BT54" i="27" a="1"/>
  <c r="BT54" i="27" s="1"/>
  <c r="BS58" i="27" a="1"/>
  <c r="BS58" i="27" s="1"/>
  <c r="BR60" i="27" a="1"/>
  <c r="BR60" i="27" s="1"/>
  <c r="BQ61" i="27" a="1"/>
  <c r="BQ61" i="27" s="1"/>
  <c r="BP62" i="27" a="1"/>
  <c r="BP62" i="27" s="1"/>
  <c r="BO63" i="27" a="1"/>
  <c r="BO63" i="27" s="1"/>
  <c r="BT63" i="27" a="1"/>
  <c r="BT63" i="27" s="1"/>
  <c r="BS64" i="27" a="1"/>
  <c r="BS64" i="27" s="1"/>
  <c r="BQ65" i="27" a="1"/>
  <c r="BQ65" i="27" s="1"/>
  <c r="BO66" i="27" a="1"/>
  <c r="BO66" i="27" s="1"/>
  <c r="BN67" i="27" a="1"/>
  <c r="BN67" i="27" s="1"/>
  <c r="BS67" i="27" a="1"/>
  <c r="BS67" i="27" s="1"/>
  <c r="BQ68" i="27" a="1"/>
  <c r="BQ68" i="27" s="1"/>
  <c r="BP69" i="27" a="1"/>
  <c r="BP69" i="27" s="1"/>
  <c r="BT36" i="27" a="1"/>
  <c r="BT36" i="27" s="1"/>
  <c r="BQ74" i="27" a="1"/>
  <c r="BQ74" i="27" s="1"/>
  <c r="BS75" i="27" a="1"/>
  <c r="BS75" i="27" s="1"/>
  <c r="BN81" i="27" a="1"/>
  <c r="BN81" i="27" s="1"/>
  <c r="BP82" i="27" a="1"/>
  <c r="BP82" i="27" s="1"/>
  <c r="BR83" i="27" a="1"/>
  <c r="BR83" i="27" s="1"/>
  <c r="BT84" i="27" a="1"/>
  <c r="BT84" i="27" s="1"/>
  <c r="BO90" i="27" a="1"/>
  <c r="BO90" i="27" s="1"/>
  <c r="BQ91" i="27" a="1"/>
  <c r="BQ91" i="27" s="1"/>
  <c r="BS92" i="27" a="1"/>
  <c r="BS92" i="27" s="1"/>
  <c r="BN94" i="27" a="1"/>
  <c r="BN94" i="27" s="1"/>
  <c r="BP99" i="27" a="1"/>
  <c r="BP99" i="27" s="1"/>
  <c r="BR100" i="27" a="1"/>
  <c r="BR100" i="27" s="1"/>
  <c r="BT101" i="27" a="1"/>
  <c r="BT101" i="27" s="1"/>
  <c r="BO103" i="27" a="1"/>
  <c r="BO103" i="27" s="1"/>
  <c r="BQ73" i="27" a="1"/>
  <c r="BQ73" i="27" s="1"/>
  <c r="BO38" i="27" a="1"/>
  <c r="BO38" i="27" s="1"/>
  <c r="BS39" i="27" a="1"/>
  <c r="BS39" i="27" s="1"/>
  <c r="BP41" i="27" a="1"/>
  <c r="BP41" i="27" s="1"/>
  <c r="BS42" i="27" a="1"/>
  <c r="BS42" i="27" s="1"/>
  <c r="BP44" i="27" a="1"/>
  <c r="BP44" i="27" s="1"/>
  <c r="BR45" i="27" a="1"/>
  <c r="BR45" i="27" s="1"/>
  <c r="BN48" i="27" a="1"/>
  <c r="BN48" i="27" s="1"/>
  <c r="BP49" i="27" a="1"/>
  <c r="BP49" i="27" s="1"/>
  <c r="BQ50" i="27" a="1"/>
  <c r="BQ50" i="27" s="1"/>
  <c r="BS51" i="27" a="1"/>
  <c r="BS51" i="27" s="1"/>
  <c r="BN54" i="27" a="1"/>
  <c r="BN54" i="27" s="1"/>
  <c r="BN55" i="27" a="1"/>
  <c r="BN55" i="27" s="1"/>
  <c r="BO56" i="27" a="1"/>
  <c r="BO56" i="27" s="1"/>
  <c r="BN57" i="27" a="1"/>
  <c r="BN57" i="27" s="1"/>
  <c r="BN58" i="27" a="1"/>
  <c r="BN58" i="27" s="1"/>
  <c r="BT58" i="27" a="1"/>
  <c r="BT58" i="27" s="1"/>
  <c r="BS60" i="27" a="1"/>
  <c r="BS60" i="27" s="1"/>
  <c r="BQ62" i="27" a="1"/>
  <c r="BQ62" i="27" s="1"/>
  <c r="BN64" i="27" a="1"/>
  <c r="BN64" i="27" s="1"/>
  <c r="BP66" i="27" a="1"/>
  <c r="BP66" i="27" s="1"/>
  <c r="BR68" i="27" a="1"/>
  <c r="BR68" i="27" s="1"/>
  <c r="BS36" i="27" a="1"/>
  <c r="BS36" i="27" s="1"/>
  <c r="BQ76" i="27" a="1"/>
  <c r="BQ76" i="27" s="1"/>
  <c r="BS77" i="27" a="1"/>
  <c r="BS77" i="27" s="1"/>
  <c r="BN79" i="27" a="1"/>
  <c r="BN79" i="27" s="1"/>
  <c r="BP80" i="27" a="1"/>
  <c r="BP80" i="27" s="1"/>
  <c r="BR85" i="27" a="1"/>
  <c r="BR85" i="27" s="1"/>
  <c r="BT86" i="27" a="1"/>
  <c r="BT86" i="27" s="1"/>
  <c r="BO88" i="27" a="1"/>
  <c r="BO88" i="27" s="1"/>
  <c r="BQ89" i="27" a="1"/>
  <c r="BQ89" i="27" s="1"/>
  <c r="BS94" i="27" a="1"/>
  <c r="BS94" i="27" s="1"/>
  <c r="BN96" i="27" a="1"/>
  <c r="BN96" i="27" s="1"/>
  <c r="BP97" i="27" a="1"/>
  <c r="BP97" i="27" s="1"/>
  <c r="BR98" i="27" a="1"/>
  <c r="BR98" i="27" s="1"/>
  <c r="BT103" i="27" a="1"/>
  <c r="BT103" i="27" s="1"/>
  <c r="BO105" i="27" a="1"/>
  <c r="BO105" i="27" s="1"/>
  <c r="BQ37" i="27" a="1"/>
  <c r="BQ37" i="27" s="1"/>
  <c r="BN39" i="27" a="1"/>
  <c r="BN39" i="27" s="1"/>
  <c r="BQ40" i="27" a="1"/>
  <c r="BQ40" i="27" s="1"/>
  <c r="BN42" i="27" a="1"/>
  <c r="BN42" i="27" s="1"/>
  <c r="BR43" i="27" a="1"/>
  <c r="BR43" i="27" s="1"/>
  <c r="BO46" i="27" a="1"/>
  <c r="BO46" i="27" s="1"/>
  <c r="BP47" i="27" a="1"/>
  <c r="BP47" i="27" s="1"/>
  <c r="BS48" i="27" a="1"/>
  <c r="BS48" i="27" s="1"/>
  <c r="BS49" i="27" a="1"/>
  <c r="BS49" i="27" s="1"/>
  <c r="BP52" i="27" a="1"/>
  <c r="BP52" i="27" s="1"/>
  <c r="BQ53" i="27" a="1"/>
  <c r="BQ53" i="27" s="1"/>
  <c r="BR54" i="27" a="1"/>
  <c r="BR54" i="27" s="1"/>
  <c r="BR55" i="27" a="1"/>
  <c r="BR55" i="27" s="1"/>
  <c r="BQ56" i="27" a="1"/>
  <c r="BQ56" i="27" s="1"/>
  <c r="BR57" i="27" a="1"/>
  <c r="BR57" i="27" s="1"/>
  <c r="BP59" i="27" a="1"/>
  <c r="BP59" i="27" s="1"/>
  <c r="BN61" i="27" a="1"/>
  <c r="BN61" i="27" s="1"/>
  <c r="BT62" i="27" a="1"/>
  <c r="BT62" i="27" s="1"/>
  <c r="BO65" i="27" a="1"/>
  <c r="BO65" i="27" s="1"/>
  <c r="BQ67" i="27" a="1"/>
  <c r="BQ67" i="27" s="1"/>
  <c r="BS69" i="27" a="1"/>
  <c r="BS69" i="27" s="1"/>
  <c r="BO36" i="27" a="1"/>
  <c r="BO36" i="27" s="1"/>
  <c r="BO75" i="27" a="1"/>
  <c r="BO75" i="27" s="1"/>
  <c r="BQ80" i="27" a="1"/>
  <c r="BQ80" i="27" s="1"/>
  <c r="BS81" i="27" a="1"/>
  <c r="BS81" i="27" s="1"/>
  <c r="BN83" i="27" a="1"/>
  <c r="BN83" i="27" s="1"/>
  <c r="BP84" i="27" a="1"/>
  <c r="BP84" i="27" s="1"/>
  <c r="BR89" i="27" a="1"/>
  <c r="BR89" i="27" s="1"/>
  <c r="BT90" i="27" a="1"/>
  <c r="BT90" i="27" s="1"/>
  <c r="BO92" i="27" a="1"/>
  <c r="BO92" i="27" s="1"/>
  <c r="BQ93" i="27" a="1"/>
  <c r="BQ93" i="27" s="1"/>
  <c r="BS98" i="27" a="1"/>
  <c r="BS98" i="27" s="1"/>
  <c r="BN100" i="27" a="1"/>
  <c r="BN100" i="27" s="1"/>
  <c r="BP101" i="27" a="1"/>
  <c r="BP101" i="27" s="1"/>
  <c r="BR102" i="27" a="1"/>
  <c r="BR102" i="27" s="1"/>
  <c r="BR106" i="27" a="1"/>
  <c r="BR106" i="27" s="1"/>
  <c r="BQ81" i="27" a="1"/>
  <c r="BQ81" i="27" s="1"/>
  <c r="BN85" i="27" a="1"/>
  <c r="BN85" i="27" s="1"/>
  <c r="BQ95" i="27" a="1"/>
  <c r="BQ95" i="27" s="1"/>
  <c r="BT105" i="27" a="1"/>
  <c r="BT105" i="27" s="1"/>
  <c r="BT38" i="27" a="1"/>
  <c r="BT38" i="27" s="1"/>
  <c r="BN45" i="27" a="1"/>
  <c r="BN45" i="27" s="1"/>
  <c r="BQ47" i="27" a="1"/>
  <c r="BQ47" i="27" s="1"/>
  <c r="BN50" i="27" a="1"/>
  <c r="BN50" i="27" s="1"/>
  <c r="BQ52" i="27" a="1"/>
  <c r="BQ52" i="27" s="1"/>
  <c r="BR56" i="27" a="1"/>
  <c r="BR56" i="27" s="1"/>
  <c r="BR58" i="27" a="1"/>
  <c r="BR58" i="27" s="1"/>
  <c r="BP60" i="27" a="1"/>
  <c r="BP60" i="27" s="1"/>
  <c r="BS63" i="27" a="1"/>
  <c r="BS63" i="27" s="1"/>
  <c r="BP65" i="27" a="1"/>
  <c r="BP65" i="27" s="1"/>
  <c r="BS66" i="27" a="1"/>
  <c r="BS66" i="27" s="1"/>
  <c r="BP68" i="27" a="1"/>
  <c r="BP68" i="27" s="1"/>
  <c r="BT69" i="27" a="1"/>
  <c r="BT69" i="27" s="1"/>
  <c r="BQ48" i="27" a="1"/>
  <c r="BQ48" i="27" s="1"/>
  <c r="BT68" i="27" a="1"/>
  <c r="BT68" i="27" s="1"/>
  <c r="BP93" i="27" a="1"/>
  <c r="BP93" i="27" s="1"/>
  <c r="BO51" i="27" a="1"/>
  <c r="BO51" i="27" s="1"/>
  <c r="BN63" i="27" a="1"/>
  <c r="BN63" i="27" s="1"/>
  <c r="BR67" i="27" a="1"/>
  <c r="BR67" i="27" s="1"/>
  <c r="BR104" i="27" a="1"/>
  <c r="BR104" i="27" s="1"/>
  <c r="BT59" i="27" a="1"/>
  <c r="BT59" i="27" s="1"/>
  <c r="BQ66" i="27" a="1"/>
  <c r="BQ66" i="27" s="1"/>
  <c r="BQ78" i="27" a="1"/>
  <c r="BQ78" i="27" s="1"/>
  <c r="BR81" i="27" a="1"/>
  <c r="BR81" i="27" s="1"/>
  <c r="BT88" i="27" a="1"/>
  <c r="BT88" i="27" s="1"/>
  <c r="BN92" i="27" a="1"/>
  <c r="BN92" i="27" s="1"/>
  <c r="BT95" i="27" a="1"/>
  <c r="BT95" i="27" s="1"/>
  <c r="BQ102" i="27" a="1"/>
  <c r="BQ102" i="27" s="1"/>
  <c r="BP106" i="27" a="1"/>
  <c r="BP106" i="27" s="1"/>
  <c r="BT42" i="27" a="1"/>
  <c r="BT42" i="27" s="1"/>
  <c r="BS45" i="27" a="1"/>
  <c r="BS45" i="27" s="1"/>
  <c r="BO48" i="27" a="1"/>
  <c r="BO48" i="27" s="1"/>
  <c r="BN53" i="27" a="1"/>
  <c r="BN53" i="27" s="1"/>
  <c r="BO57" i="27" a="1"/>
  <c r="BO57" i="27" s="1"/>
  <c r="BO64" i="27" a="1"/>
  <c r="BO64" i="27" s="1"/>
  <c r="BR65" i="27" a="1"/>
  <c r="BR65" i="27" s="1"/>
  <c r="BO67" i="27" a="1"/>
  <c r="BO67" i="27" s="1"/>
  <c r="BS68" i="27" a="1"/>
  <c r="BS68" i="27" s="1"/>
  <c r="BR36" i="27" a="1"/>
  <c r="BR36" i="27" s="1"/>
  <c r="BP86" i="27" a="1"/>
  <c r="BP86" i="27" s="1"/>
  <c r="BP67" i="27" a="1"/>
  <c r="BP67" i="27" s="1"/>
  <c r="BT82" i="27" a="1"/>
  <c r="BT82" i="27" s="1"/>
  <c r="BS103" i="27" a="1"/>
  <c r="BS103" i="27" s="1"/>
  <c r="BQ46" i="27" a="1"/>
  <c r="BQ46" i="27" s="1"/>
  <c r="BO61" i="27" a="1"/>
  <c r="BO61" i="27" s="1"/>
  <c r="BN69" i="27" a="1"/>
  <c r="BN69" i="27" s="1"/>
  <c r="BO94" i="27" a="1"/>
  <c r="BO94" i="27" s="1"/>
  <c r="BP63" i="27" a="1"/>
  <c r="BP63" i="27" s="1"/>
  <c r="BQ69" i="27" a="1"/>
  <c r="BQ69" i="27" s="1"/>
  <c r="BN75" i="27" a="1"/>
  <c r="BN75" i="27" s="1"/>
  <c r="BT78" i="27" a="1"/>
  <c r="BT78" i="27" s="1"/>
  <c r="BQ85" i="27" a="1"/>
  <c r="BQ85" i="27" s="1"/>
  <c r="BP89" i="27" a="1"/>
  <c r="BP89" i="27" s="1"/>
  <c r="BS99" i="27" a="1"/>
  <c r="BS99" i="27" s="1"/>
  <c r="BP103" i="27" a="1"/>
  <c r="BP103" i="27" s="1"/>
  <c r="BQ106" i="27" a="1"/>
  <c r="BQ106" i="27" s="1"/>
  <c r="BP40" i="27" a="1"/>
  <c r="BP40" i="27" s="1"/>
  <c r="BP43" i="27" a="1"/>
  <c r="BP43" i="27" s="1"/>
  <c r="BT45" i="27" a="1"/>
  <c r="BT45" i="27" s="1"/>
  <c r="BS50" i="27" a="1"/>
  <c r="BS50" i="27" s="1"/>
  <c r="BP53" i="27" a="1"/>
  <c r="BP53" i="27" s="1"/>
  <c r="BP55" i="27" a="1"/>
  <c r="BP55" i="27" s="1"/>
  <c r="BP57" i="27" a="1"/>
  <c r="BP57" i="27" s="1"/>
  <c r="BO59" i="27" a="1"/>
  <c r="BO59" i="27" s="1"/>
  <c r="BT60" i="27" a="1"/>
  <c r="BT60" i="27" s="1"/>
  <c r="BR62" i="27" a="1"/>
  <c r="BR62" i="27" s="1"/>
  <c r="BS65" i="27" a="1"/>
  <c r="BS65" i="27" s="1"/>
  <c r="BQ36" i="27" a="1"/>
  <c r="BQ36" i="27" s="1"/>
  <c r="BQ55" i="27" a="1"/>
  <c r="BQ55" i="27" s="1"/>
  <c r="BT65" i="27" a="1"/>
  <c r="BT65" i="27" s="1"/>
  <c r="BS79" i="27" a="1"/>
  <c r="BS79" i="27" s="1"/>
  <c r="BP37" i="27" a="1"/>
  <c r="BP37" i="27" s="1"/>
  <c r="BQ59" i="27" a="1"/>
  <c r="BQ59" i="27" s="1"/>
  <c r="BN66" i="27" a="1"/>
  <c r="BN66" i="27" s="1"/>
  <c r="BO80" i="27" a="1"/>
  <c r="BO80" i="27" s="1"/>
  <c r="BN47" i="27" a="1"/>
  <c r="BN47" i="27" s="1"/>
  <c r="BR61" i="27" a="1"/>
  <c r="BR61" i="27" s="1"/>
  <c r="BO77" i="27" a="1"/>
  <c r="BO77" i="27" s="1"/>
  <c r="BR87" i="27" a="1"/>
  <c r="BR87" i="27" s="1"/>
  <c r="BS90" i="27" a="1"/>
  <c r="BS90" i="27" s="1"/>
  <c r="BN98" i="27" a="1"/>
  <c r="BN98" i="27" s="1"/>
  <c r="BO101" i="27" a="1"/>
  <c r="BO101" i="27" s="1"/>
  <c r="BN105" i="27" a="1"/>
  <c r="BN105" i="27" s="1"/>
  <c r="BP38" i="27" a="1"/>
  <c r="BP38" i="27" s="1"/>
  <c r="BT41" i="27" a="1"/>
  <c r="BT41" i="27" s="1"/>
  <c r="BS44" i="27" a="1"/>
  <c r="BS44" i="27" s="1"/>
  <c r="BO47" i="27" a="1"/>
  <c r="BO47" i="27" s="1"/>
  <c r="BT51" i="27" a="1"/>
  <c r="BT51" i="27" s="1"/>
  <c r="BO54" i="27" a="1"/>
  <c r="BO54" i="27" s="1"/>
  <c r="BP56" i="27" a="1"/>
  <c r="BP56" i="27" s="1"/>
  <c r="BP58" i="27" a="1"/>
  <c r="BP58" i="27" s="1"/>
  <c r="BN60" i="27" a="1"/>
  <c r="BN60" i="27" s="1"/>
  <c r="BS61" i="27" a="1"/>
  <c r="BS61" i="27" s="1"/>
  <c r="BQ63" i="27" a="1"/>
  <c r="BQ63" i="27" s="1"/>
  <c r="BN68" i="27" a="1"/>
  <c r="BN68" i="27" s="1"/>
  <c r="BR77" i="27" a="1"/>
  <c r="BR77" i="27" s="1"/>
  <c r="BO84" i="27" a="1"/>
  <c r="BO84" i="27" s="1"/>
  <c r="BN88" i="27" a="1"/>
  <c r="BN88" i="27" s="1"/>
  <c r="BR94" i="27" a="1"/>
  <c r="BR94" i="27" s="1"/>
  <c r="BQ98" i="27" a="1"/>
  <c r="BQ98" i="27" s="1"/>
  <c r="BS38" i="27" a="1"/>
  <c r="BS38" i="27" s="1"/>
  <c r="BT44" i="27" a="1"/>
  <c r="BT44" i="27" s="1"/>
  <c r="BR49" i="27" a="1"/>
  <c r="BR49" i="27" s="1"/>
  <c r="BN52" i="27" a="1"/>
  <c r="BN52" i="27" s="1"/>
  <c r="BP54" i="27" a="1"/>
  <c r="BP54" i="27" s="1"/>
  <c r="BQ58" i="27" a="1"/>
  <c r="BQ58" i="27" s="1"/>
  <c r="BO60" i="27" a="1"/>
  <c r="BO60" i="27" s="1"/>
  <c r="BT61" i="27" a="1"/>
  <c r="BT61" i="27" s="1"/>
  <c r="BR63" i="27" a="1"/>
  <c r="BR63" i="27" s="1"/>
  <c r="BN65" i="27" a="1"/>
  <c r="BN65" i="27" s="1"/>
  <c r="BR66" i="27" a="1"/>
  <c r="BR66" i="27" s="1"/>
  <c r="BO68" i="27" a="1"/>
  <c r="BO68" i="27" s="1"/>
  <c r="BR69" i="27" a="1"/>
  <c r="BR69" i="27" s="1"/>
  <c r="BT75" i="27" a="1"/>
  <c r="BT75" i="27" s="1"/>
  <c r="BS96" i="27" a="1"/>
  <c r="BS96" i="27" s="1"/>
  <c r="BT99" i="27" a="1"/>
  <c r="BT99" i="27" s="1"/>
  <c r="BP73" i="27" a="1"/>
  <c r="BP73" i="27" s="1"/>
  <c r="BQ43" i="27" a="1"/>
  <c r="BQ43" i="27" s="1"/>
  <c r="BN51" i="27" a="1"/>
  <c r="BN51" i="27" s="1"/>
  <c r="BP64" i="27" a="1"/>
  <c r="BP64" i="27" s="1"/>
  <c r="BP36" i="27" a="1"/>
  <c r="BP36" i="27" s="1"/>
  <c r="BS86" i="27" a="1"/>
  <c r="BS86" i="27" s="1"/>
  <c r="BO97" i="27" a="1"/>
  <c r="BO97" i="27" s="1"/>
  <c r="BR40" i="27" a="1"/>
  <c r="BR40" i="27" s="1"/>
  <c r="BS57" i="27" a="1"/>
  <c r="BS57" i="27" s="1"/>
  <c r="BQ64" i="27" a="1"/>
  <c r="BQ64" i="27" s="1"/>
  <c r="BN36" i="27" a="1"/>
  <c r="BN36" i="27" s="1"/>
  <c r="BP76" i="27" a="1"/>
  <c r="BP76" i="27" s="1"/>
  <c r="BR90" i="27" a="1"/>
  <c r="BR90" i="27" s="1"/>
  <c r="BQ49" i="27" a="1"/>
  <c r="BQ49" i="27" s="1"/>
  <c r="BT64" i="27" a="1"/>
  <c r="BT64" i="27" s="1"/>
  <c r="BT67" i="27" a="1"/>
  <c r="BT67" i="27" s="1"/>
  <c r="BI274" i="27" a="1"/>
  <c r="BI274" i="27" s="1"/>
  <c r="BC274" i="27" a="1"/>
  <c r="BC274" i="27" s="1"/>
  <c r="BC273" i="27" a="1"/>
  <c r="BC273" i="27" s="1"/>
  <c r="BD272" i="27" a="1"/>
  <c r="BD272" i="27" s="1"/>
  <c r="BE270" i="27" a="1"/>
  <c r="BE270" i="27" s="1"/>
  <c r="BF269" i="27" a="1"/>
  <c r="BF269" i="27" s="1"/>
  <c r="BF268" i="27" a="1"/>
  <c r="BF268" i="27" s="1"/>
  <c r="BG267" i="27" a="1"/>
  <c r="BG267" i="27" s="1"/>
  <c r="BH265" i="27" a="1"/>
  <c r="BH265" i="27" s="1"/>
  <c r="BI264" i="27" a="1"/>
  <c r="BI264" i="27" s="1"/>
  <c r="BI263" i="27" a="1"/>
  <c r="BI263" i="27" s="1"/>
  <c r="BC263" i="27" a="1"/>
  <c r="BC263" i="27" s="1"/>
  <c r="BD261" i="27" a="1"/>
  <c r="BD261" i="27" s="1"/>
  <c r="BE260" i="27" a="1"/>
  <c r="BE260" i="27" s="1"/>
  <c r="BE259" i="27" a="1"/>
  <c r="BE259" i="27" s="1"/>
  <c r="BF258" i="27" a="1"/>
  <c r="BF258" i="27" s="1"/>
  <c r="BG256" i="27" a="1"/>
  <c r="BG256" i="27" s="1"/>
  <c r="BH255" i="27" a="1"/>
  <c r="BH255" i="27" s="1"/>
  <c r="BH254" i="27" a="1"/>
  <c r="BH254" i="27" s="1"/>
  <c r="BI253" i="27" a="1"/>
  <c r="BI253" i="27" s="1"/>
  <c r="BC252" i="27" a="1"/>
  <c r="BC252" i="27" s="1"/>
  <c r="BD251" i="27" a="1"/>
  <c r="BD251" i="27" s="1"/>
  <c r="BD250" i="27" a="1"/>
  <c r="BD250" i="27" s="1"/>
  <c r="BE249" i="27" a="1"/>
  <c r="BE249" i="27" s="1"/>
  <c r="BG246" i="27" a="1"/>
  <c r="BG246" i="27" s="1"/>
  <c r="BG245" i="27" a="1"/>
  <c r="BG245" i="27" s="1"/>
  <c r="BG244" i="27" a="1"/>
  <c r="BG244" i="27" s="1"/>
  <c r="BG243" i="27" a="1"/>
  <c r="BG243" i="27" s="1"/>
  <c r="BF242" i="27" a="1"/>
  <c r="BF242" i="27" s="1"/>
  <c r="BE240" i="27" a="1"/>
  <c r="BE240" i="27" s="1"/>
  <c r="BE239" i="27" a="1"/>
  <c r="BE239" i="27" s="1"/>
  <c r="BE238" i="27" a="1"/>
  <c r="BE238" i="27" s="1"/>
  <c r="BD237" i="27" a="1"/>
  <c r="BD237" i="27" s="1"/>
  <c r="BD236" i="27" a="1"/>
  <c r="BD236" i="27" s="1"/>
  <c r="BC232" i="27" a="1"/>
  <c r="BC232" i="27" s="1"/>
  <c r="BI230" i="27" a="1"/>
  <c r="BI230" i="27" s="1"/>
  <c r="BH229" i="27" a="1"/>
  <c r="BH229" i="27" s="1"/>
  <c r="BG228" i="27" a="1"/>
  <c r="BG228" i="27" s="1"/>
  <c r="BF227" i="27" a="1"/>
  <c r="BF227" i="27" s="1"/>
  <c r="BE226" i="27" a="1"/>
  <c r="BE226" i="27" s="1"/>
  <c r="BD225" i="27" a="1"/>
  <c r="BD225" i="27" s="1"/>
  <c r="BC224" i="27" a="1"/>
  <c r="BC224" i="27" s="1"/>
  <c r="BH273" i="27" a="1"/>
  <c r="BH273" i="27" s="1"/>
  <c r="BI272" i="27" a="1"/>
  <c r="BI272" i="27" s="1"/>
  <c r="BI271" i="27" a="1"/>
  <c r="BI271" i="27" s="1"/>
  <c r="BC271" i="27" a="1"/>
  <c r="BC271" i="27" s="1"/>
  <c r="BD269" i="27" a="1"/>
  <c r="BD269" i="27" s="1"/>
  <c r="BE268" i="27" a="1"/>
  <c r="BE268" i="27" s="1"/>
  <c r="BE267" i="27" a="1"/>
  <c r="BE267" i="27" s="1"/>
  <c r="BF266" i="27" a="1"/>
  <c r="BF266" i="27" s="1"/>
  <c r="BG264" i="27" a="1"/>
  <c r="BG264" i="27" s="1"/>
  <c r="BH263" i="27" a="1"/>
  <c r="BH263" i="27" s="1"/>
  <c r="BH262" i="27" a="1"/>
  <c r="BH262" i="27" s="1"/>
  <c r="BI261" i="27" a="1"/>
  <c r="BI261" i="27" s="1"/>
  <c r="BC260" i="27" a="1"/>
  <c r="BC260" i="27" s="1"/>
  <c r="BD259" i="27" a="1"/>
  <c r="BD259" i="27" s="1"/>
  <c r="BD258" i="27" a="1"/>
  <c r="BD258" i="27" s="1"/>
  <c r="BE257" i="27" a="1"/>
  <c r="BE257" i="27" s="1"/>
  <c r="BF255" i="27" a="1"/>
  <c r="BF255" i="27" s="1"/>
  <c r="BG254" i="27" a="1"/>
  <c r="BG254" i="27" s="1"/>
  <c r="BG253" i="27" a="1"/>
  <c r="BG253" i="27" s="1"/>
  <c r="BH252" i="27" a="1"/>
  <c r="BH252" i="27" s="1"/>
  <c r="BI250" i="27" a="1"/>
  <c r="BI250" i="27" s="1"/>
  <c r="BC250" i="27" a="1"/>
  <c r="BC250" i="27" s="1"/>
  <c r="BC249" i="27" a="1"/>
  <c r="BC249" i="27" s="1"/>
  <c r="BD248" i="27" a="1"/>
  <c r="BD248" i="27" s="1"/>
  <c r="BH274" i="27" a="1"/>
  <c r="BH274" i="27" s="1"/>
  <c r="BD271" i="27" a="1"/>
  <c r="BD271" i="27" s="1"/>
  <c r="BI269" i="27" a="1"/>
  <c r="BI269" i="27" s="1"/>
  <c r="BH268" i="27" a="1"/>
  <c r="BH268" i="27" s="1"/>
  <c r="BF267" i="27" a="1"/>
  <c r="BF267" i="27" s="1"/>
  <c r="BD266" i="27" a="1"/>
  <c r="BD266" i="27" s="1"/>
  <c r="BC265" i="27" a="1"/>
  <c r="BC265" i="27" s="1"/>
  <c r="BG262" i="27" a="1"/>
  <c r="BG262" i="27" s="1"/>
  <c r="BF261" i="27" a="1"/>
  <c r="BF261" i="27" s="1"/>
  <c r="BD260" i="27" a="1"/>
  <c r="BD260" i="27" s="1"/>
  <c r="BI258" i="27" a="1"/>
  <c r="BI258" i="27" s="1"/>
  <c r="BH257" i="27" a="1"/>
  <c r="BH257" i="27" s="1"/>
  <c r="BF256" i="27" a="1"/>
  <c r="BF256" i="27" s="1"/>
  <c r="BI252" i="27" a="1"/>
  <c r="BI252" i="27" s="1"/>
  <c r="BG251" i="27" a="1"/>
  <c r="BG251" i="27" s="1"/>
  <c r="BF250" i="27" a="1"/>
  <c r="BF250" i="27" s="1"/>
  <c r="BD249" i="27" a="1"/>
  <c r="BD249" i="27" s="1"/>
  <c r="BH246" i="27" a="1"/>
  <c r="BH246" i="27" s="1"/>
  <c r="BH245" i="27" a="1"/>
  <c r="BH245" i="27" s="1"/>
  <c r="BF244" i="27" a="1"/>
  <c r="BF244" i="27" s="1"/>
  <c r="BE243" i="27" a="1"/>
  <c r="BE243" i="27" s="1"/>
  <c r="BC242" i="27" a="1"/>
  <c r="BC242" i="27" s="1"/>
  <c r="BI240" i="27" a="1"/>
  <c r="BI240" i="27" s="1"/>
  <c r="BH239" i="27" a="1"/>
  <c r="BH239" i="27" s="1"/>
  <c r="BG238" i="27" a="1"/>
  <c r="BG238" i="27" s="1"/>
  <c r="BE237" i="27" a="1"/>
  <c r="BE237" i="27" s="1"/>
  <c r="BC236" i="27" a="1"/>
  <c r="BC236" i="27" s="1"/>
  <c r="BH231" i="27" a="1"/>
  <c r="BH231" i="27" s="1"/>
  <c r="BF230" i="27" a="1"/>
  <c r="BF230" i="27" s="1"/>
  <c r="BD229" i="27" a="1"/>
  <c r="BD229" i="27" s="1"/>
  <c r="BI227" i="27" a="1"/>
  <c r="BI227" i="27" s="1"/>
  <c r="BG226" i="27" a="1"/>
  <c r="BG226" i="27" s="1"/>
  <c r="BE225" i="27" a="1"/>
  <c r="BE225" i="27" s="1"/>
  <c r="BI223" i="27" a="1"/>
  <c r="BI223" i="27" s="1"/>
  <c r="BH222" i="27" a="1"/>
  <c r="BH222" i="27" s="1"/>
  <c r="BG221" i="27" a="1"/>
  <c r="BG221" i="27" s="1"/>
  <c r="BF220" i="27" a="1"/>
  <c r="BF220" i="27" s="1"/>
  <c r="BE219" i="27" a="1"/>
  <c r="BE219" i="27" s="1"/>
  <c r="BD218" i="27" a="1"/>
  <c r="BD218" i="27" s="1"/>
  <c r="BC217" i="27" a="1"/>
  <c r="BC217" i="27" s="1"/>
  <c r="BI215" i="27" a="1"/>
  <c r="BI215" i="27" s="1"/>
  <c r="BI213" i="27" a="1"/>
  <c r="BI213" i="27" s="1"/>
  <c r="BH212" i="27" a="1"/>
  <c r="BH212" i="27" s="1"/>
  <c r="BG211" i="27" a="1"/>
  <c r="BG211" i="27" s="1"/>
  <c r="BF210" i="27" a="1"/>
  <c r="BF210" i="27" s="1"/>
  <c r="BG209" i="27" a="1"/>
  <c r="BG209" i="27" s="1"/>
  <c r="BF208" i="27" a="1"/>
  <c r="BF208" i="27" s="1"/>
  <c r="BE207" i="27" a="1"/>
  <c r="BE207" i="27" s="1"/>
  <c r="BD206" i="27" a="1"/>
  <c r="BD206" i="27" s="1"/>
  <c r="BD204" i="27" a="1"/>
  <c r="BD204" i="27" s="1"/>
  <c r="BC203" i="27" a="1"/>
  <c r="BC203" i="27" s="1"/>
  <c r="BI201" i="27" a="1"/>
  <c r="BI201" i="27" s="1"/>
  <c r="BI200" i="27" a="1"/>
  <c r="BI200" i="27" s="1"/>
  <c r="BI199" i="27" a="1"/>
  <c r="BI199" i="27" s="1"/>
  <c r="BH198" i="27" a="1"/>
  <c r="BH198" i="27" s="1"/>
  <c r="BG197" i="27" a="1"/>
  <c r="BG197" i="27" s="1"/>
  <c r="BG195" i="27" a="1"/>
  <c r="BG195" i="27" s="1"/>
  <c r="BF194" i="27" a="1"/>
  <c r="BF194" i="27" s="1"/>
  <c r="BG274" i="27" a="1"/>
  <c r="BG274" i="27" s="1"/>
  <c r="BF273" i="27" a="1"/>
  <c r="BF273" i="27" s="1"/>
  <c r="BE272" i="27" a="1"/>
  <c r="BE272" i="27" s="1"/>
  <c r="BI270" i="27" a="1"/>
  <c r="BI270" i="27" s="1"/>
  <c r="BH269" i="27" a="1"/>
  <c r="BH269" i="27" s="1"/>
  <c r="BG268" i="27" a="1"/>
  <c r="BG268" i="27" s="1"/>
  <c r="BG263" i="27" a="1"/>
  <c r="BG263" i="27" s="1"/>
  <c r="BF262" i="27" a="1"/>
  <c r="BF262" i="27" s="1"/>
  <c r="BE261" i="27" a="1"/>
  <c r="BE261" i="27" s="1"/>
  <c r="BI259" i="27" a="1"/>
  <c r="BI259" i="27" s="1"/>
  <c r="BH258" i="27" a="1"/>
  <c r="BH258" i="27" s="1"/>
  <c r="BG257" i="27" a="1"/>
  <c r="BG257" i="27" s="1"/>
  <c r="BE256" i="27" a="1"/>
  <c r="BE256" i="27" s="1"/>
  <c r="BD255" i="27" a="1"/>
  <c r="BD255" i="27" s="1"/>
  <c r="BC254" i="27" a="1"/>
  <c r="BC254" i="27" s="1"/>
  <c r="BG252" i="27" a="1"/>
  <c r="BG252" i="27" s="1"/>
  <c r="BF251" i="27" a="1"/>
  <c r="BF251" i="27" s="1"/>
  <c r="BE250" i="27" a="1"/>
  <c r="BE250" i="27" s="1"/>
  <c r="BF245" i="27" a="1"/>
  <c r="BF245" i="27" s="1"/>
  <c r="BE244" i="27" a="1"/>
  <c r="BE244" i="27" s="1"/>
  <c r="BD243" i="27" a="1"/>
  <c r="BD243" i="27" s="1"/>
  <c r="BI241" i="27" a="1"/>
  <c r="BI241" i="27" s="1"/>
  <c r="BH240" i="27" a="1"/>
  <c r="BH240" i="27" s="1"/>
  <c r="BG239" i="27" a="1"/>
  <c r="BG239" i="27" s="1"/>
  <c r="BF238" i="27" a="1"/>
  <c r="BF238" i="27" s="1"/>
  <c r="BC237" i="27" a="1"/>
  <c r="BC237" i="27" s="1"/>
  <c r="BI232" i="27" a="1"/>
  <c r="BI232" i="27" s="1"/>
  <c r="BG231" i="27" a="1"/>
  <c r="BG231" i="27" s="1"/>
  <c r="BE230" i="27" a="1"/>
  <c r="BE230" i="27" s="1"/>
  <c r="BC229" i="27" a="1"/>
  <c r="BC229" i="27" s="1"/>
  <c r="BH227" i="27" a="1"/>
  <c r="BH227" i="27" s="1"/>
  <c r="BF226" i="27" a="1"/>
  <c r="BF226" i="27" s="1"/>
  <c r="BC225" i="27" a="1"/>
  <c r="BC225" i="27" s="1"/>
  <c r="BH223" i="27" a="1"/>
  <c r="BH223" i="27" s="1"/>
  <c r="BG222" i="27" a="1"/>
  <c r="BG222" i="27" s="1"/>
  <c r="BF221" i="27" a="1"/>
  <c r="BF221" i="27" s="1"/>
  <c r="BE220" i="27" a="1"/>
  <c r="BE220" i="27" s="1"/>
  <c r="BD219" i="27" a="1"/>
  <c r="BD219" i="27" s="1"/>
  <c r="BC218" i="27" a="1"/>
  <c r="BC218" i="27" s="1"/>
  <c r="BI216" i="27" a="1"/>
  <c r="BI216" i="27" s="1"/>
  <c r="BH215" i="27" a="1"/>
  <c r="BH215" i="27" s="1"/>
  <c r="BH214" i="27" a="1"/>
  <c r="BH214" i="27" s="1"/>
  <c r="BH213" i="27" a="1"/>
  <c r="BH213" i="27" s="1"/>
  <c r="BG212" i="27" a="1"/>
  <c r="BG212" i="27" s="1"/>
  <c r="BF211" i="27" a="1"/>
  <c r="BF211" i="27" s="1"/>
  <c r="BE210" i="27" a="1"/>
  <c r="BE210" i="27" s="1"/>
  <c r="BF209" i="27" a="1"/>
  <c r="BF209" i="27" s="1"/>
  <c r="BE208" i="27" a="1"/>
  <c r="BE208" i="27" s="1"/>
  <c r="BD207" i="27" a="1"/>
  <c r="BD207" i="27" s="1"/>
  <c r="BC206" i="27" a="1"/>
  <c r="BC206" i="27" s="1"/>
  <c r="BC204" i="27" a="1"/>
  <c r="BC204" i="27" s="1"/>
  <c r="BI202" i="27" a="1"/>
  <c r="BI202" i="27" s="1"/>
  <c r="BH201" i="27" a="1"/>
  <c r="BH201" i="27" s="1"/>
  <c r="BH200" i="27" a="1"/>
  <c r="BH200" i="27" s="1"/>
  <c r="BH199" i="27" a="1"/>
  <c r="BH199" i="27" s="1"/>
  <c r="BG198" i="27" a="1"/>
  <c r="BG198" i="27" s="1"/>
  <c r="BF197" i="27" a="1"/>
  <c r="BF197" i="27" s="1"/>
  <c r="BF196" i="27" a="1"/>
  <c r="BF196" i="27" s="1"/>
  <c r="BF195" i="27" a="1"/>
  <c r="BF195" i="27" s="1"/>
  <c r="BE194" i="27" a="1"/>
  <c r="BE194" i="27" s="1"/>
  <c r="BF274" i="27" a="1"/>
  <c r="BF274" i="27" s="1"/>
  <c r="BE273" i="27" a="1"/>
  <c r="BE273" i="27" s="1"/>
  <c r="BC272" i="27" a="1"/>
  <c r="BC272" i="27" s="1"/>
  <c r="BH270" i="27" a="1"/>
  <c r="BH270" i="27" s="1"/>
  <c r="BG269" i="27" a="1"/>
  <c r="BG269" i="27" s="1"/>
  <c r="BD267" i="27" a="1"/>
  <c r="BD267" i="27" s="1"/>
  <c r="BC266" i="27" a="1"/>
  <c r="BC266" i="27" s="1"/>
  <c r="BH264" i="27" a="1"/>
  <c r="BH264" i="27" s="1"/>
  <c r="BF263" i="27" a="1"/>
  <c r="BF263" i="27" s="1"/>
  <c r="BE262" i="27" a="1"/>
  <c r="BE262" i="27" s="1"/>
  <c r="BC261" i="27" a="1"/>
  <c r="BC261" i="27" s="1"/>
  <c r="BF257" i="27" a="1"/>
  <c r="BF257" i="27" s="1"/>
  <c r="BD256" i="27" a="1"/>
  <c r="BD256" i="27" s="1"/>
  <c r="BC255" i="27" a="1"/>
  <c r="BC255" i="27" s="1"/>
  <c r="BH253" i="27" a="1"/>
  <c r="BH253" i="27" s="1"/>
  <c r="BF252" i="27" a="1"/>
  <c r="BF252" i="27" s="1"/>
  <c r="BE251" i="27" a="1"/>
  <c r="BE251" i="27" s="1"/>
  <c r="BI248" i="27" a="1"/>
  <c r="BI248" i="27" s="1"/>
  <c r="BF246" i="27" a="1"/>
  <c r="BF246" i="27" s="1"/>
  <c r="BE245" i="27" a="1"/>
  <c r="BE245" i="27" s="1"/>
  <c r="BD244" i="27" a="1"/>
  <c r="BD244" i="27" s="1"/>
  <c r="BC243" i="27" a="1"/>
  <c r="BC243" i="27" s="1"/>
  <c r="BH241" i="27" a="1"/>
  <c r="BH241" i="27" s="1"/>
  <c r="BG240" i="27" a="1"/>
  <c r="BG240" i="27" s="1"/>
  <c r="BF239" i="27" a="1"/>
  <c r="BF239" i="27" s="1"/>
  <c r="BD238" i="27" a="1"/>
  <c r="BD238" i="27" s="1"/>
  <c r="BI236" i="27" a="1"/>
  <c r="BI236" i="27" s="1"/>
  <c r="BH232" i="27" a="1"/>
  <c r="BH232" i="27" s="1"/>
  <c r="BF231" i="27" a="1"/>
  <c r="BF231" i="27" s="1"/>
  <c r="BD230" i="27" a="1"/>
  <c r="BD230" i="27" s="1"/>
  <c r="BI228" i="27" a="1"/>
  <c r="BI228" i="27" s="1"/>
  <c r="BG227" i="27" a="1"/>
  <c r="BG227" i="27" s="1"/>
  <c r="BD226" i="27" a="1"/>
  <c r="BD226" i="27" s="1"/>
  <c r="BI224" i="27" a="1"/>
  <c r="BI224" i="27" s="1"/>
  <c r="BG223" i="27" a="1"/>
  <c r="BG223" i="27" s="1"/>
  <c r="BF222" i="27" a="1"/>
  <c r="BF222" i="27" s="1"/>
  <c r="BE221" i="27" a="1"/>
  <c r="BE221" i="27" s="1"/>
  <c r="BD220" i="27" a="1"/>
  <c r="BD220" i="27" s="1"/>
  <c r="BC219" i="27" a="1"/>
  <c r="BC219" i="27" s="1"/>
  <c r="BI217" i="27" a="1"/>
  <c r="BI217" i="27" s="1"/>
  <c r="BH216" i="27" a="1"/>
  <c r="BH216" i="27" s="1"/>
  <c r="BG215" i="27" a="1"/>
  <c r="BG215" i="27" s="1"/>
  <c r="BG214" i="27" a="1"/>
  <c r="BG214" i="27" s="1"/>
  <c r="BG213" i="27" a="1"/>
  <c r="BG213" i="27" s="1"/>
  <c r="BF212" i="27" a="1"/>
  <c r="BF212" i="27" s="1"/>
  <c r="BE211" i="27" a="1"/>
  <c r="BE211" i="27" s="1"/>
  <c r="BE209" i="27" a="1"/>
  <c r="BE209" i="27" s="1"/>
  <c r="BD208" i="27" a="1"/>
  <c r="BD208" i="27" s="1"/>
  <c r="BC207" i="27" a="1"/>
  <c r="BC207" i="27" s="1"/>
  <c r="BI203" i="27" a="1"/>
  <c r="BI203" i="27" s="1"/>
  <c r="BH202" i="27" a="1"/>
  <c r="BH202" i="27" s="1"/>
  <c r="BG201" i="27" a="1"/>
  <c r="BG201" i="27" s="1"/>
  <c r="BG200" i="27" a="1"/>
  <c r="BG200" i="27" s="1"/>
  <c r="BG199" i="27" a="1"/>
  <c r="BG199" i="27" s="1"/>
  <c r="BF198" i="27" a="1"/>
  <c r="BF198" i="27" s="1"/>
  <c r="BE197" i="27" a="1"/>
  <c r="BE197" i="27" s="1"/>
  <c r="BE196" i="27" a="1"/>
  <c r="BE196" i="27" s="1"/>
  <c r="BE195" i="27" a="1"/>
  <c r="BE195" i="27" s="1"/>
  <c r="BD194" i="27" a="1"/>
  <c r="BD194" i="27" s="1"/>
  <c r="BE274" i="27" a="1"/>
  <c r="BE274" i="27" s="1"/>
  <c r="BD273" i="27" a="1"/>
  <c r="BD273" i="27" s="1"/>
  <c r="BD268" i="27" a="1"/>
  <c r="BD268" i="27" s="1"/>
  <c r="BC267" i="27" a="1"/>
  <c r="BC267" i="27" s="1"/>
  <c r="BI265" i="27" a="1"/>
  <c r="BI265" i="27" s="1"/>
  <c r="BF264" i="27" a="1"/>
  <c r="BF264" i="27" s="1"/>
  <c r="BE263" i="27" a="1"/>
  <c r="BE263" i="27" s="1"/>
  <c r="BD262" i="27" a="1"/>
  <c r="BD262" i="27" s="1"/>
  <c r="BI260" i="27" a="1"/>
  <c r="BI260" i="27" s="1"/>
  <c r="BH259" i="27" a="1"/>
  <c r="BH259" i="27" s="1"/>
  <c r="BG258" i="27" a="1"/>
  <c r="BG258" i="27" s="1"/>
  <c r="BD257" i="27" a="1"/>
  <c r="BD257" i="27" s="1"/>
  <c r="BC256" i="27" a="1"/>
  <c r="BC256" i="27" s="1"/>
  <c r="BI254" i="27" a="1"/>
  <c r="BI254" i="27" s="1"/>
  <c r="BI249" i="27" a="1"/>
  <c r="BI249" i="27" s="1"/>
  <c r="BH248" i="27" a="1"/>
  <c r="BH248" i="27" s="1"/>
  <c r="BE246" i="27" a="1"/>
  <c r="BE246" i="27" s="1"/>
  <c r="BD245" i="27" a="1"/>
  <c r="BD245" i="27" s="1"/>
  <c r="BC244" i="27" a="1"/>
  <c r="BC244" i="27" s="1"/>
  <c r="BI242" i="27" a="1"/>
  <c r="BI242" i="27" s="1"/>
  <c r="BG241" i="27" a="1"/>
  <c r="BG241" i="27" s="1"/>
  <c r="BF240" i="27" a="1"/>
  <c r="BF240" i="27" s="1"/>
  <c r="BD239" i="27" a="1"/>
  <c r="BD239" i="27" s="1"/>
  <c r="BC238" i="27" a="1"/>
  <c r="BC238" i="27" s="1"/>
  <c r="BG232" i="27" a="1"/>
  <c r="BG232" i="27" s="1"/>
  <c r="BE231" i="27" a="1"/>
  <c r="BE231" i="27" s="1"/>
  <c r="BC230" i="27" a="1"/>
  <c r="BC230" i="27" s="1"/>
  <c r="BH228" i="27" a="1"/>
  <c r="BH228" i="27" s="1"/>
  <c r="BE227" i="27" a="1"/>
  <c r="BE227" i="27" s="1"/>
  <c r="BC226" i="27" a="1"/>
  <c r="BC226" i="27" s="1"/>
  <c r="BH224" i="27" a="1"/>
  <c r="BH224" i="27" s="1"/>
  <c r="BF223" i="27" a="1"/>
  <c r="BF223" i="27" s="1"/>
  <c r="BE222" i="27" a="1"/>
  <c r="BE222" i="27" s="1"/>
  <c r="BD221" i="27" a="1"/>
  <c r="BD221" i="27" s="1"/>
  <c r="BC220" i="27" a="1"/>
  <c r="BC220" i="27" s="1"/>
  <c r="BI218" i="27" a="1"/>
  <c r="BI218" i="27" s="1"/>
  <c r="BH217" i="27" a="1"/>
  <c r="BH217" i="27" s="1"/>
  <c r="BG216" i="27" a="1"/>
  <c r="BG216" i="27" s="1"/>
  <c r="BF215" i="27" a="1"/>
  <c r="BF215" i="27" s="1"/>
  <c r="BF214" i="27" a="1"/>
  <c r="BF214" i="27" s="1"/>
  <c r="BF213" i="27" a="1"/>
  <c r="BF213" i="27" s="1"/>
  <c r="BE212" i="27" a="1"/>
  <c r="BE212" i="27" s="1"/>
  <c r="BD211" i="27" a="1"/>
  <c r="BD211" i="27" s="1"/>
  <c r="BD210" i="27" a="1"/>
  <c r="BD210" i="27" s="1"/>
  <c r="BD209" i="27" a="1"/>
  <c r="BD209" i="27" s="1"/>
  <c r="BC208" i="27" a="1"/>
  <c r="BC208" i="27" s="1"/>
  <c r="BI206" i="27" a="1"/>
  <c r="BI206" i="27" s="1"/>
  <c r="BI204" i="27" a="1"/>
  <c r="BI204" i="27" s="1"/>
  <c r="BH203" i="27" a="1"/>
  <c r="BH203" i="27" s="1"/>
  <c r="BG202" i="27" a="1"/>
  <c r="BG202" i="27" s="1"/>
  <c r="BF201" i="27" a="1"/>
  <c r="BF201" i="27" s="1"/>
  <c r="BF199" i="27" a="1"/>
  <c r="BF199" i="27" s="1"/>
  <c r="BE198" i="27" a="1"/>
  <c r="BE198" i="27" s="1"/>
  <c r="BD197" i="27" a="1"/>
  <c r="BD197" i="27" s="1"/>
  <c r="BD196" i="27" a="1"/>
  <c r="BD196" i="27" s="1"/>
  <c r="BD195" i="27" a="1"/>
  <c r="BD195" i="27" s="1"/>
  <c r="BC194" i="27" a="1"/>
  <c r="BC194" i="27" s="1"/>
  <c r="BI273" i="27" a="1"/>
  <c r="BI273" i="27" s="1"/>
  <c r="BF271" i="27" a="1"/>
  <c r="BF271" i="27" s="1"/>
  <c r="BG266" i="27" a="1"/>
  <c r="BG266" i="27" s="1"/>
  <c r="BD264" i="27" a="1"/>
  <c r="BD264" i="27" s="1"/>
  <c r="BG261" i="27" a="1"/>
  <c r="BG261" i="27" s="1"/>
  <c r="BI256" i="27" a="1"/>
  <c r="BI256" i="27" s="1"/>
  <c r="BE254" i="27" a="1"/>
  <c r="BE254" i="27" s="1"/>
  <c r="BI251" i="27" a="1"/>
  <c r="BI251" i="27" s="1"/>
  <c r="BE242" i="27" a="1"/>
  <c r="BE242" i="27" s="1"/>
  <c r="BC240" i="27" a="1"/>
  <c r="BC240" i="27" s="1"/>
  <c r="BG237" i="27" a="1"/>
  <c r="BG237" i="27" s="1"/>
  <c r="BD232" i="27" a="1"/>
  <c r="BD232" i="27" s="1"/>
  <c r="BF229" i="27" a="1"/>
  <c r="BF229" i="27" s="1"/>
  <c r="BI226" i="27" a="1"/>
  <c r="BI226" i="27" s="1"/>
  <c r="BE224" i="27" a="1"/>
  <c r="BE224" i="27" s="1"/>
  <c r="BI221" i="27" a="1"/>
  <c r="BI221" i="27" s="1"/>
  <c r="BG219" i="27" a="1"/>
  <c r="BG219" i="27" s="1"/>
  <c r="BE217" i="27" a="1"/>
  <c r="BE217" i="27" s="1"/>
  <c r="BC215" i="27" a="1"/>
  <c r="BC215" i="27" s="1"/>
  <c r="BC213" i="27" a="1"/>
  <c r="BC213" i="27" s="1"/>
  <c r="BH210" i="27" a="1"/>
  <c r="BH210" i="27" s="1"/>
  <c r="BH208" i="27" a="1"/>
  <c r="BH208" i="27" s="1"/>
  <c r="BF206" i="27" a="1"/>
  <c r="BF206" i="27" s="1"/>
  <c r="BF204" i="27" a="1"/>
  <c r="BF204" i="27" s="1"/>
  <c r="BD202" i="27" a="1"/>
  <c r="BD202" i="27" s="1"/>
  <c r="BD200" i="27" a="1"/>
  <c r="BD200" i="27" s="1"/>
  <c r="BI197" i="27" a="1"/>
  <c r="BI197" i="27" s="1"/>
  <c r="BI195" i="27" a="1"/>
  <c r="BI195" i="27" s="1"/>
  <c r="BG217" i="27" a="1"/>
  <c r="BG217" i="27" s="1"/>
  <c r="BG271" i="27" a="1"/>
  <c r="BG271" i="27" s="1"/>
  <c r="BC269" i="27" a="1"/>
  <c r="BC269" i="27" s="1"/>
  <c r="BH266" i="27" a="1"/>
  <c r="BH266" i="27" s="1"/>
  <c r="BE264" i="27" a="1"/>
  <c r="BE264" i="27" s="1"/>
  <c r="BH261" i="27" a="1"/>
  <c r="BH261" i="27" s="1"/>
  <c r="BF259" i="27" a="1"/>
  <c r="BF259" i="27" s="1"/>
  <c r="BF254" i="27" a="1"/>
  <c r="BF254" i="27" s="1"/>
  <c r="BD252" i="27" a="1"/>
  <c r="BD252" i="27" s="1"/>
  <c r="BG249" i="27" a="1"/>
  <c r="BG249" i="27" s="1"/>
  <c r="BI244" i="27" a="1"/>
  <c r="BI244" i="27" s="1"/>
  <c r="BG242" i="27" a="1"/>
  <c r="BG242" i="27" s="1"/>
  <c r="BD240" i="27" a="1"/>
  <c r="BD240" i="27" s="1"/>
  <c r="BH237" i="27" a="1"/>
  <c r="BH237" i="27" s="1"/>
  <c r="BE232" i="27" a="1"/>
  <c r="BE232" i="27" s="1"/>
  <c r="BG229" i="27" a="1"/>
  <c r="BG229" i="27" s="1"/>
  <c r="BC227" i="27" a="1"/>
  <c r="BC227" i="27" s="1"/>
  <c r="BF224" i="27" a="1"/>
  <c r="BF224" i="27" s="1"/>
  <c r="BC222" i="27" a="1"/>
  <c r="BC222" i="27" s="1"/>
  <c r="BH219" i="27" a="1"/>
  <c r="BH219" i="27" s="1"/>
  <c r="BF217" i="27" a="1"/>
  <c r="BF217" i="27" s="1"/>
  <c r="BD215" i="27" a="1"/>
  <c r="BD215" i="27" s="1"/>
  <c r="BD213" i="27" a="1"/>
  <c r="BD213" i="27" s="1"/>
  <c r="BI210" i="27" a="1"/>
  <c r="BI210" i="27" s="1"/>
  <c r="BG206" i="27" a="1"/>
  <c r="BG206" i="27" s="1"/>
  <c r="BG204" i="27" a="1"/>
  <c r="BG204" i="27" s="1"/>
  <c r="BE200" i="27" a="1"/>
  <c r="BE200" i="27" s="1"/>
  <c r="BC198" i="27" a="1"/>
  <c r="BC198" i="27" s="1"/>
  <c r="BG273" i="27" a="1"/>
  <c r="BG273" i="27" s="1"/>
  <c r="BE271" i="27" a="1"/>
  <c r="BE271" i="27" s="1"/>
  <c r="BI268" i="27" a="1"/>
  <c r="BI268" i="27" s="1"/>
  <c r="BE266" i="27" a="1"/>
  <c r="BE266" i="27" s="1"/>
  <c r="BC264" i="27" a="1"/>
  <c r="BC264" i="27" s="1"/>
  <c r="BC259" i="27" a="1"/>
  <c r="BC259" i="27" s="1"/>
  <c r="BH256" i="27" a="1"/>
  <c r="BH256" i="27" s="1"/>
  <c r="BD254" i="27" a="1"/>
  <c r="BD254" i="27" s="1"/>
  <c r="BH251" i="27" a="1"/>
  <c r="BH251" i="27" s="1"/>
  <c r="BF249" i="27" a="1"/>
  <c r="BF249" i="27" s="1"/>
  <c r="BI246" i="27" a="1"/>
  <c r="BI246" i="27" s="1"/>
  <c r="BH244" i="27" a="1"/>
  <c r="BH244" i="27" s="1"/>
  <c r="BD242" i="27" a="1"/>
  <c r="BD242" i="27" s="1"/>
  <c r="BI239" i="27" a="1"/>
  <c r="BI239" i="27" s="1"/>
  <c r="BF237" i="27" a="1"/>
  <c r="BF237" i="27" s="1"/>
  <c r="BI231" i="27" a="1"/>
  <c r="BI231" i="27" s="1"/>
  <c r="BE229" i="27" a="1"/>
  <c r="BE229" i="27" s="1"/>
  <c r="BH226" i="27" a="1"/>
  <c r="BH226" i="27" s="1"/>
  <c r="BD224" i="27" a="1"/>
  <c r="BD224" i="27" s="1"/>
  <c r="BH221" i="27" a="1"/>
  <c r="BH221" i="27" s="1"/>
  <c r="BF219" i="27" a="1"/>
  <c r="BF219" i="27" s="1"/>
  <c r="BD217" i="27" a="1"/>
  <c r="BD217" i="27" s="1"/>
  <c r="BI214" i="27" a="1"/>
  <c r="BI214" i="27" s="1"/>
  <c r="BI212" i="27" a="1"/>
  <c r="BI212" i="27" s="1"/>
  <c r="BG210" i="27" a="1"/>
  <c r="BG210" i="27" s="1"/>
  <c r="BG208" i="27" a="1"/>
  <c r="BG208" i="27" s="1"/>
  <c r="BE206" i="27" a="1"/>
  <c r="BE206" i="27" s="1"/>
  <c r="BE204" i="27" a="1"/>
  <c r="BE204" i="27" s="1"/>
  <c r="BC202" i="27" a="1"/>
  <c r="BC202" i="27" s="1"/>
  <c r="BC200" i="27" a="1"/>
  <c r="BC200" i="27" s="1"/>
  <c r="BH197" i="27" a="1"/>
  <c r="BH197" i="27" s="1"/>
  <c r="BH195" i="27" a="1"/>
  <c r="BH195" i="27" s="1"/>
  <c r="BE269" i="27" a="1"/>
  <c r="BE269" i="27" s="1"/>
  <c r="BC257" i="27" a="1"/>
  <c r="BC257" i="27" s="1"/>
  <c r="BI229" i="27" a="1"/>
  <c r="BI229" i="27" s="1"/>
  <c r="BD222" i="27" a="1"/>
  <c r="BD222" i="27" s="1"/>
  <c r="BE213" i="27" a="1"/>
  <c r="BE213" i="27" s="1"/>
  <c r="BH206" i="27" a="1"/>
  <c r="BH206" i="27" s="1"/>
  <c r="BF200" i="27" a="1"/>
  <c r="BF200" i="27" s="1"/>
  <c r="BI208" i="27" a="1"/>
  <c r="BI208" i="27" s="1"/>
  <c r="BG270" i="27" a="1"/>
  <c r="BG270" i="27" s="1"/>
  <c r="BC268" i="27" a="1"/>
  <c r="BC268" i="27" s="1"/>
  <c r="BG265" i="27" a="1"/>
  <c r="BG265" i="27" s="1"/>
  <c r="BH260" i="27" a="1"/>
  <c r="BH260" i="27" s="1"/>
  <c r="BE258" i="27" a="1"/>
  <c r="BE258" i="27" s="1"/>
  <c r="BI255" i="27" a="1"/>
  <c r="BI255" i="27" s="1"/>
  <c r="BF253" i="27" a="1"/>
  <c r="BF253" i="27" s="1"/>
  <c r="BC251" i="27" a="1"/>
  <c r="BC251" i="27" s="1"/>
  <c r="BG248" i="27" a="1"/>
  <c r="BG248" i="27" s="1"/>
  <c r="BD246" i="27" a="1"/>
  <c r="BD246" i="27" s="1"/>
  <c r="BI243" i="27" a="1"/>
  <c r="BI243" i="27" s="1"/>
  <c r="BF241" i="27" a="1"/>
  <c r="BF241" i="27" s="1"/>
  <c r="BH236" i="27" a="1"/>
  <c r="BH236" i="27" s="1"/>
  <c r="BD231" i="27" a="1"/>
  <c r="BD231" i="27" s="1"/>
  <c r="BF228" i="27" a="1"/>
  <c r="BF228" i="27" s="1"/>
  <c r="BI225" i="27" a="1"/>
  <c r="BI225" i="27" s="1"/>
  <c r="BE223" i="27" a="1"/>
  <c r="BE223" i="27" s="1"/>
  <c r="BC221" i="27" a="1"/>
  <c r="BC221" i="27" s="1"/>
  <c r="BH218" i="27" a="1"/>
  <c r="BH218" i="27" s="1"/>
  <c r="BF216" i="27" a="1"/>
  <c r="BF216" i="27" s="1"/>
  <c r="BE214" i="27" a="1"/>
  <c r="BE214" i="27" s="1"/>
  <c r="BD212" i="27" a="1"/>
  <c r="BD212" i="27" s="1"/>
  <c r="BC210" i="27" a="1"/>
  <c r="BC210" i="27" s="1"/>
  <c r="BI207" i="27" a="1"/>
  <c r="BI207" i="27" s="1"/>
  <c r="BG203" i="27" a="1"/>
  <c r="BG203" i="27" s="1"/>
  <c r="BE201" i="27" a="1"/>
  <c r="BE201" i="27" s="1"/>
  <c r="BE199" i="27" a="1"/>
  <c r="BE199" i="27" s="1"/>
  <c r="BC197" i="27" a="1"/>
  <c r="BC197" i="27" s="1"/>
  <c r="BC195" i="27" a="1"/>
  <c r="BC195" i="27" s="1"/>
  <c r="BG272" i="27" a="1"/>
  <c r="BG272" i="27" s="1"/>
  <c r="BD270" i="27" a="1"/>
  <c r="BD270" i="27" s="1"/>
  <c r="BE265" i="27" a="1"/>
  <c r="BE265" i="27" s="1"/>
  <c r="BI262" i="27" a="1"/>
  <c r="BI262" i="27" s="1"/>
  <c r="BF260" i="27" a="1"/>
  <c r="BF260" i="27" s="1"/>
  <c r="BC258" i="27" a="1"/>
  <c r="BC258" i="27" s="1"/>
  <c r="BG255" i="27" a="1"/>
  <c r="BG255" i="27" s="1"/>
  <c r="BD253" i="27" a="1"/>
  <c r="BD253" i="27" s="1"/>
  <c r="BE248" i="27" a="1"/>
  <c r="BE248" i="27" s="1"/>
  <c r="BD241" i="27" a="1"/>
  <c r="BD241" i="27" s="1"/>
  <c r="BI238" i="27" a="1"/>
  <c r="BI238" i="27" s="1"/>
  <c r="BF236" i="27" a="1"/>
  <c r="BF236" i="27" s="1"/>
  <c r="BH230" i="27" a="1"/>
  <c r="BH230" i="27" s="1"/>
  <c r="BD228" i="27" a="1"/>
  <c r="BD228" i="27" s="1"/>
  <c r="BG225" i="27" a="1"/>
  <c r="BG225" i="27" s="1"/>
  <c r="BC223" i="27" a="1"/>
  <c r="BC223" i="27" s="1"/>
  <c r="BH220" i="27" a="1"/>
  <c r="BH220" i="27" s="1"/>
  <c r="BF218" i="27" a="1"/>
  <c r="BF218" i="27" s="1"/>
  <c r="BD216" i="27" a="1"/>
  <c r="BD216" i="27" s="1"/>
  <c r="BD214" i="27" a="1"/>
  <c r="BD214" i="27" s="1"/>
  <c r="BI211" i="27" a="1"/>
  <c r="BI211" i="27" s="1"/>
  <c r="BH209" i="27" a="1"/>
  <c r="BH209" i="27" s="1"/>
  <c r="BG207" i="27" a="1"/>
  <c r="BG207" i="27" s="1"/>
  <c r="BE203" i="27" a="1"/>
  <c r="BE203" i="27" s="1"/>
  <c r="BC199" i="27" a="1"/>
  <c r="BC199" i="27" s="1"/>
  <c r="BH196" i="27" a="1"/>
  <c r="BH196" i="27" s="1"/>
  <c r="BH194" i="27" a="1"/>
  <c r="BH194" i="27" s="1"/>
  <c r="BD274" i="27" a="1"/>
  <c r="BD274" i="27" s="1"/>
  <c r="BI266" i="27" a="1"/>
  <c r="BI266" i="27" s="1"/>
  <c r="BG259" i="27" a="1"/>
  <c r="BG259" i="27" s="1"/>
  <c r="BE252" i="27" a="1"/>
  <c r="BE252" i="27" s="1"/>
  <c r="BH242" i="27" a="1"/>
  <c r="BH242" i="27" s="1"/>
  <c r="BF232" i="27" a="1"/>
  <c r="BF232" i="27" s="1"/>
  <c r="BG224" i="27" a="1"/>
  <c r="BG224" i="27" s="1"/>
  <c r="BE215" i="27" a="1"/>
  <c r="BE215" i="27" s="1"/>
  <c r="BC209" i="27" a="1"/>
  <c r="BC209" i="27" s="1"/>
  <c r="BF202" i="27" a="1"/>
  <c r="BF202" i="27" s="1"/>
  <c r="BC196" i="27" a="1"/>
  <c r="BC196" i="27" s="1"/>
  <c r="BE202" i="27" a="1"/>
  <c r="BE202" i="27" s="1"/>
  <c r="BH272" i="27" a="1"/>
  <c r="BH272" i="27" s="1"/>
  <c r="BF270" i="27" a="1"/>
  <c r="BF270" i="27" s="1"/>
  <c r="BI267" i="27" a="1"/>
  <c r="BI267" i="27" s="1"/>
  <c r="BF265" i="27" a="1"/>
  <c r="BF265" i="27" s="1"/>
  <c r="BD263" i="27" a="1"/>
  <c r="BD263" i="27" s="1"/>
  <c r="BG260" i="27" a="1"/>
  <c r="BG260" i="27" s="1"/>
  <c r="BE253" i="27" a="1"/>
  <c r="BE253" i="27" s="1"/>
  <c r="BH250" i="27" a="1"/>
  <c r="BH250" i="27" s="1"/>
  <c r="BF248" i="27" a="1"/>
  <c r="BF248" i="27" s="1"/>
  <c r="BC246" i="27" a="1"/>
  <c r="BC246" i="27" s="1"/>
  <c r="BH243" i="27" a="1"/>
  <c r="BH243" i="27" s="1"/>
  <c r="BE241" i="27" a="1"/>
  <c r="BE241" i="27" s="1"/>
  <c r="BC239" i="27" a="1"/>
  <c r="BC239" i="27" s="1"/>
  <c r="BG236" i="27" a="1"/>
  <c r="BG236" i="27" s="1"/>
  <c r="BC231" i="27" a="1"/>
  <c r="BC231" i="27" s="1"/>
  <c r="BE228" i="27" a="1"/>
  <c r="BE228" i="27" s="1"/>
  <c r="BH225" i="27" a="1"/>
  <c r="BH225" i="27" s="1"/>
  <c r="BD223" i="27" a="1"/>
  <c r="BD223" i="27" s="1"/>
  <c r="BI220" i="27" a="1"/>
  <c r="BI220" i="27" s="1"/>
  <c r="BG218" i="27" a="1"/>
  <c r="BG218" i="27" s="1"/>
  <c r="BE216" i="27" a="1"/>
  <c r="BE216" i="27" s="1"/>
  <c r="BC212" i="27" a="1"/>
  <c r="BC212" i="27" s="1"/>
  <c r="BI209" i="27" a="1"/>
  <c r="BI209" i="27" s="1"/>
  <c r="BH207" i="27" a="1"/>
  <c r="BH207" i="27" s="1"/>
  <c r="BF203" i="27" a="1"/>
  <c r="BF203" i="27" s="1"/>
  <c r="BD201" i="27" a="1"/>
  <c r="BD201" i="27" s="1"/>
  <c r="BD199" i="27" a="1"/>
  <c r="BD199" i="27" s="1"/>
  <c r="BI196" i="27" a="1"/>
  <c r="BI196" i="27" s="1"/>
  <c r="BI194" i="27" a="1"/>
  <c r="BI194" i="27" s="1"/>
  <c r="BF272" i="27" a="1"/>
  <c r="BF272" i="27" s="1"/>
  <c r="BC270" i="27" a="1"/>
  <c r="BC270" i="27" s="1"/>
  <c r="BH267" i="27" a="1"/>
  <c r="BH267" i="27" s="1"/>
  <c r="BD265" i="27" a="1"/>
  <c r="BD265" i="27" s="1"/>
  <c r="BI257" i="27" a="1"/>
  <c r="BI257" i="27" s="1"/>
  <c r="BE255" i="27" a="1"/>
  <c r="BE255" i="27" s="1"/>
  <c r="BC253" i="27" a="1"/>
  <c r="BC253" i="27" s="1"/>
  <c r="BG250" i="27" a="1"/>
  <c r="BG250" i="27" s="1"/>
  <c r="BC248" i="27" a="1"/>
  <c r="BC248" i="27" s="1"/>
  <c r="BI245" i="27" a="1"/>
  <c r="BI245" i="27" s="1"/>
  <c r="BF243" i="27" a="1"/>
  <c r="BF243" i="27" s="1"/>
  <c r="BC241" i="27" a="1"/>
  <c r="BC241" i="27" s="1"/>
  <c r="BH238" i="27" a="1"/>
  <c r="BH238" i="27" s="1"/>
  <c r="BE236" i="27" a="1"/>
  <c r="BE236" i="27" s="1"/>
  <c r="BG230" i="27" a="1"/>
  <c r="BG230" i="27" s="1"/>
  <c r="BC228" i="27" a="1"/>
  <c r="BC228" i="27" s="1"/>
  <c r="BF225" i="27" a="1"/>
  <c r="BF225" i="27" s="1"/>
  <c r="BI222" i="27" a="1"/>
  <c r="BI222" i="27" s="1"/>
  <c r="BG220" i="27" a="1"/>
  <c r="BG220" i="27" s="1"/>
  <c r="BE218" i="27" a="1"/>
  <c r="BE218" i="27" s="1"/>
  <c r="BC216" i="27" a="1"/>
  <c r="BC216" i="27" s="1"/>
  <c r="BC214" i="27" a="1"/>
  <c r="BC214" i="27" s="1"/>
  <c r="BH211" i="27" a="1"/>
  <c r="BH211" i="27" s="1"/>
  <c r="BF207" i="27" a="1"/>
  <c r="BF207" i="27" s="1"/>
  <c r="BD203" i="27" a="1"/>
  <c r="BD203" i="27" s="1"/>
  <c r="BC201" i="27" a="1"/>
  <c r="BC201" i="27" s="1"/>
  <c r="BI198" i="27" a="1"/>
  <c r="BI198" i="27" s="1"/>
  <c r="BG196" i="27" a="1"/>
  <c r="BG196" i="27" s="1"/>
  <c r="BG194" i="27" a="1"/>
  <c r="BG194" i="27" s="1"/>
  <c r="BH271" i="27" a="1"/>
  <c r="BH271" i="27" s="1"/>
  <c r="BC262" i="27" a="1"/>
  <c r="BC262" i="27" s="1"/>
  <c r="BH249" i="27" a="1"/>
  <c r="BH249" i="27" s="1"/>
  <c r="BC245" i="27" a="1"/>
  <c r="BC245" i="27" s="1"/>
  <c r="BI237" i="27" a="1"/>
  <c r="BI237" i="27" s="1"/>
  <c r="BD227" i="27" a="1"/>
  <c r="BD227" i="27" s="1"/>
  <c r="BI219" i="27" a="1"/>
  <c r="BI219" i="27" s="1"/>
  <c r="BC211" i="27" a="1"/>
  <c r="BC211" i="27" s="1"/>
  <c r="BH204" i="27" a="1"/>
  <c r="BH204" i="27" s="1"/>
  <c r="BD198" i="27" a="1"/>
  <c r="BD198" i="27" s="1"/>
  <c r="BD344" i="27" a="1"/>
  <c r="BD344" i="27" s="1"/>
  <c r="D11" i="51" s="1"/>
  <c r="G11" i="51" s="1"/>
  <c r="BD346" i="27" a="1"/>
  <c r="BD346" i="27" s="1"/>
  <c r="BD361" i="27" a="1"/>
  <c r="BD361" i="27" s="1"/>
  <c r="D24" i="51" s="1"/>
  <c r="G24" i="51" s="1"/>
  <c r="BD363" i="27" a="1"/>
  <c r="BD363" i="27" s="1"/>
  <c r="D26" i="51" s="1"/>
  <c r="G26" i="51" s="1"/>
  <c r="BD359" i="27" a="1"/>
  <c r="BD359" i="27" s="1"/>
  <c r="D22" i="51" s="1"/>
  <c r="G22" i="51" s="1"/>
  <c r="BD368" i="27" a="1"/>
  <c r="BD368" i="27" s="1"/>
  <c r="D28" i="51" s="1"/>
  <c r="G28" i="51" s="1"/>
  <c r="BD372" i="27" a="1"/>
  <c r="BD372" i="27" s="1"/>
  <c r="D32" i="51" s="1"/>
  <c r="G32" i="51" s="1"/>
  <c r="BD374" i="27" a="1"/>
  <c r="BD374" i="27" s="1"/>
  <c r="D34" i="51" s="1"/>
  <c r="G34" i="51" s="1"/>
  <c r="BD343" i="27" a="1"/>
  <c r="BD343" i="27" s="1"/>
  <c r="D10" i="51" s="1"/>
  <c r="G10" i="51" s="1"/>
  <c r="BD345" i="27" a="1"/>
  <c r="BD345" i="27" s="1"/>
  <c r="D12" i="51" s="1"/>
  <c r="G12" i="51" s="1"/>
  <c r="BD360" i="27" a="1"/>
  <c r="BD360" i="27" s="1"/>
  <c r="D23" i="51" s="1"/>
  <c r="G23" i="51" s="1"/>
  <c r="BD362" i="27" a="1"/>
  <c r="BD362" i="27" s="1"/>
  <c r="D25" i="51" s="1"/>
  <c r="G25" i="51" s="1"/>
  <c r="BE344" i="27" a="1"/>
  <c r="BE344" i="27" s="1"/>
  <c r="E11" i="51" s="1"/>
  <c r="H11" i="51" s="1"/>
  <c r="BE360" i="27" a="1"/>
  <c r="BE360" i="27" s="1"/>
  <c r="E23" i="51" s="1"/>
  <c r="H23" i="51" s="1"/>
  <c r="BD369" i="27" a="1"/>
  <c r="BD369" i="27" s="1"/>
  <c r="D29" i="51" s="1"/>
  <c r="G29" i="51" s="1"/>
  <c r="BD371" i="27" a="1"/>
  <c r="BD371" i="27" s="1"/>
  <c r="D31" i="51" s="1"/>
  <c r="G31" i="51" s="1"/>
  <c r="BD373" i="27" a="1"/>
  <c r="BD373" i="27" s="1"/>
  <c r="D33" i="51" s="1"/>
  <c r="G33" i="51" s="1"/>
  <c r="BE351" i="27" a="1"/>
  <c r="BE351" i="27" s="1"/>
  <c r="E17" i="51" s="1"/>
  <c r="H17" i="51" s="1"/>
  <c r="BD355" i="27" a="1"/>
  <c r="BD355" i="27" s="1"/>
  <c r="D20" i="51" s="1"/>
  <c r="G20" i="51" s="1"/>
  <c r="BD370" i="27" a="1"/>
  <c r="BD370" i="27" s="1"/>
  <c r="D30" i="51" s="1"/>
  <c r="G30" i="51" s="1"/>
  <c r="BE343" i="27" a="1"/>
  <c r="BE343" i="27" s="1"/>
  <c r="E10" i="51" s="1"/>
  <c r="H10" i="51" s="1"/>
  <c r="BE349" i="27" a="1"/>
  <c r="BE349" i="27" s="1"/>
  <c r="E15" i="51" s="1"/>
  <c r="H15" i="51" s="1"/>
  <c r="BE355" i="27" a="1"/>
  <c r="BE355" i="27" s="1"/>
  <c r="E20" i="51" s="1"/>
  <c r="H20" i="51" s="1"/>
  <c r="BE361" i="27" a="1"/>
  <c r="BE361" i="27" s="1"/>
  <c r="E24" i="51" s="1"/>
  <c r="H24" i="51" s="1"/>
  <c r="BE362" i="27" a="1"/>
  <c r="BE362" i="27" s="1"/>
  <c r="E25" i="51" s="1"/>
  <c r="H25" i="51" s="1"/>
  <c r="BE373" i="27" a="1"/>
  <c r="BE373" i="27" s="1"/>
  <c r="E33" i="51" s="1"/>
  <c r="H33" i="51" s="1"/>
  <c r="BD347" i="27" a="1"/>
  <c r="BD347" i="27" s="1"/>
  <c r="D13" i="51" s="1"/>
  <c r="G13" i="51" s="1"/>
  <c r="BD351" i="27" a="1"/>
  <c r="BD351" i="27" s="1"/>
  <c r="D17" i="51" s="1"/>
  <c r="G17" i="51" s="1"/>
  <c r="BD366" i="27" a="1"/>
  <c r="BD366" i="27" s="1"/>
  <c r="BE348" i="27" a="1"/>
  <c r="BE348" i="27" s="1"/>
  <c r="E14" i="51" s="1"/>
  <c r="H14" i="51" s="1"/>
  <c r="BE370" i="27" a="1"/>
  <c r="BE370" i="27" s="1"/>
  <c r="E30" i="51" s="1"/>
  <c r="H30" i="51" s="1"/>
  <c r="BD353" i="27" a="1"/>
  <c r="BD353" i="27" s="1"/>
  <c r="BD357" i="27" a="1"/>
  <c r="BD357" i="27" s="1"/>
  <c r="BD342" i="27" a="1"/>
  <c r="BD342" i="27" s="1"/>
  <c r="BE346" i="27" a="1"/>
  <c r="BE346" i="27" s="1"/>
  <c r="BE358" i="27" a="1"/>
  <c r="BE358" i="27" s="1"/>
  <c r="BE368" i="27" a="1"/>
  <c r="BE368" i="27" s="1"/>
  <c r="E28" i="51" s="1"/>
  <c r="H28" i="51" s="1"/>
  <c r="BE342" i="27" a="1"/>
  <c r="BE342" i="27" s="1"/>
  <c r="BD352" i="27" a="1"/>
  <c r="BD352" i="27" s="1"/>
  <c r="D18" i="51" s="1"/>
  <c r="G18" i="51" s="1"/>
  <c r="BD349" i="27" a="1"/>
  <c r="BD349" i="27" s="1"/>
  <c r="D15" i="51" s="1"/>
  <c r="G15" i="51" s="1"/>
  <c r="BD364" i="27" a="1"/>
  <c r="BD364" i="27" s="1"/>
  <c r="D27" i="51" s="1"/>
  <c r="G27" i="51" s="1"/>
  <c r="BE352" i="27" a="1"/>
  <c r="BE352" i="27" s="1"/>
  <c r="E18" i="51" s="1"/>
  <c r="H18" i="51" s="1"/>
  <c r="BE359" i="27" a="1"/>
  <c r="BE359" i="27" s="1"/>
  <c r="E22" i="51" s="1"/>
  <c r="H22" i="51" s="1"/>
  <c r="BE365" i="27" a="1"/>
  <c r="BE365" i="27" s="1"/>
  <c r="BD356" i="27" a="1"/>
  <c r="BD356" i="27" s="1"/>
  <c r="D21" i="51" s="1"/>
  <c r="G21" i="51" s="1"/>
  <c r="BE345" i="27" a="1"/>
  <c r="BE345" i="27" s="1"/>
  <c r="E12" i="51" s="1"/>
  <c r="H12" i="51" s="1"/>
  <c r="BD350" i="27" a="1"/>
  <c r="BD350" i="27" s="1"/>
  <c r="D16" i="51" s="1"/>
  <c r="G16" i="51" s="1"/>
  <c r="BE356" i="27" a="1"/>
  <c r="BE356" i="27" s="1"/>
  <c r="E21" i="51" s="1"/>
  <c r="H21" i="51" s="1"/>
  <c r="BE371" i="27" a="1"/>
  <c r="BE371" i="27" s="1"/>
  <c r="E31" i="51" s="1"/>
  <c r="H31" i="51" s="1"/>
  <c r="BE374" i="27" a="1"/>
  <c r="BE374" i="27" s="1"/>
  <c r="E34" i="51" s="1"/>
  <c r="H34" i="51" s="1"/>
  <c r="BD354" i="27" a="1"/>
  <c r="BD354" i="27" s="1"/>
  <c r="BD358" i="27" a="1"/>
  <c r="BD358" i="27" s="1"/>
  <c r="BD365" i="27" a="1"/>
  <c r="BD365" i="27" s="1"/>
  <c r="BE354" i="27" a="1"/>
  <c r="BE354" i="27" s="1"/>
  <c r="BD348" i="27" a="1"/>
  <c r="BD348" i="27" s="1"/>
  <c r="D14" i="51" s="1"/>
  <c r="G14" i="51" s="1"/>
  <c r="BE347" i="27" a="1"/>
  <c r="BE347" i="27" s="1"/>
  <c r="E13" i="51" s="1"/>
  <c r="H13" i="51" s="1"/>
  <c r="BE353" i="27" a="1"/>
  <c r="BE353" i="27" s="1"/>
  <c r="BE366" i="27" a="1"/>
  <c r="BE366" i="27" s="1"/>
  <c r="BE369" i="27" a="1"/>
  <c r="BE369" i="27" s="1"/>
  <c r="E29" i="51" s="1"/>
  <c r="H29" i="51" s="1"/>
  <c r="BE350" i="27" a="1"/>
  <c r="BE350" i="27" s="1"/>
  <c r="E16" i="51" s="1"/>
  <c r="H16" i="51" s="1"/>
  <c r="BE357" i="27" a="1"/>
  <c r="BE357" i="27" s="1"/>
  <c r="BE364" i="27" a="1"/>
  <c r="BE364" i="27" s="1"/>
  <c r="E27" i="51" s="1"/>
  <c r="H27" i="51" s="1"/>
  <c r="BE372" i="27" a="1"/>
  <c r="BE372" i="27" s="1"/>
  <c r="E32" i="51" s="1"/>
  <c r="H32" i="51" s="1"/>
  <c r="BN125" i="27" l="1" a="1"/>
  <c r="BN125" i="27" s="1"/>
  <c r="BN138" i="27" a="1"/>
  <c r="BN138" i="27" s="1"/>
  <c r="BN127" i="27" a="1"/>
  <c r="BN127" i="27" s="1"/>
  <c r="BN145" i="27" a="1"/>
  <c r="BN145" i="27" s="1"/>
  <c r="BN124" i="27" a="1"/>
  <c r="BN124" i="27" s="1"/>
  <c r="BN134" i="27" a="1"/>
  <c r="BN134" i="27" s="1"/>
  <c r="BN120" i="27" a="1"/>
  <c r="BN120" i="27" s="1"/>
  <c r="BN117" i="27" a="1"/>
  <c r="BN117" i="27" s="1"/>
  <c r="BN119" i="27" a="1"/>
  <c r="BN119" i="27" s="1"/>
  <c r="BN136" i="27" a="1"/>
  <c r="BN136" i="27" s="1"/>
  <c r="BN132" i="27" a="1"/>
  <c r="BN132" i="27" s="1"/>
  <c r="BN131" i="27" a="1"/>
  <c r="BN131" i="27" s="1"/>
  <c r="BN122" i="27" a="1"/>
  <c r="BN122" i="27" s="1"/>
  <c r="BN142" i="27" a="1"/>
  <c r="BN142" i="27" s="1"/>
  <c r="BN123" i="27" a="1"/>
  <c r="BN123" i="27" s="1"/>
  <c r="BN135" i="27" a="1"/>
  <c r="BN135" i="27" s="1"/>
  <c r="BN126" i="27" a="1"/>
  <c r="BN126" i="27" s="1"/>
  <c r="BN140" i="27" a="1"/>
  <c r="BN140" i="27" s="1"/>
  <c r="BN116" i="27" a="1"/>
  <c r="BN116" i="27" s="1"/>
  <c r="BN129" i="27" a="1"/>
  <c r="BN129" i="27" s="1"/>
  <c r="BN115" i="27" a="1"/>
  <c r="BN115" i="27" s="1"/>
  <c r="BN146" i="27" a="1"/>
  <c r="BN146" i="27" s="1"/>
  <c r="BN121" i="27" a="1"/>
  <c r="BN121" i="27" s="1"/>
  <c r="BN141" i="27" a="1"/>
  <c r="BN141" i="27" s="1"/>
  <c r="BN133" i="27" a="1"/>
  <c r="BN133" i="27" s="1"/>
  <c r="BN143" i="27" a="1"/>
  <c r="BN143" i="27" s="1"/>
  <c r="BN118" i="27" a="1"/>
  <c r="BN118" i="27" s="1"/>
  <c r="BN114" i="27" a="1"/>
  <c r="BN114" i="27" s="1"/>
  <c r="BN128" i="27" a="1"/>
  <c r="BN128" i="27" s="1"/>
  <c r="BN130" i="27" a="1"/>
  <c r="BN130" i="27" s="1"/>
  <c r="BN144" i="27" a="1"/>
  <c r="BN144" i="27" s="1"/>
  <c r="BN137" i="27" a="1"/>
  <c r="BN137" i="27" s="1"/>
  <c r="E9" i="51"/>
  <c r="H9" i="51" s="1"/>
  <c r="D9" i="51"/>
  <c r="G9" i="51" s="1"/>
  <c r="BC361" i="27" a="1"/>
  <c r="BC361" i="27" s="1"/>
  <c r="BC359" i="27" a="1"/>
  <c r="BC359" i="27" s="1"/>
  <c r="C22" i="51" s="1"/>
  <c r="BC352" i="27" a="1"/>
  <c r="BC352" i="27" s="1"/>
  <c r="C18" i="51" s="1"/>
  <c r="F18" i="51" s="1"/>
  <c r="BC369" i="27" a="1"/>
  <c r="BC369" i="27" s="1"/>
  <c r="BC345" i="27" a="1"/>
  <c r="BC345" i="27" s="1"/>
  <c r="BC354" i="27" a="1"/>
  <c r="BC354" i="27" s="1"/>
  <c r="BC353" i="27" a="1"/>
  <c r="BC353" i="27" s="1"/>
  <c r="BC355" i="27" a="1"/>
  <c r="BC355" i="27" s="1"/>
  <c r="BC362" i="27" a="1"/>
  <c r="BC362" i="27" s="1"/>
  <c r="BC343" i="27" a="1"/>
  <c r="BC343" i="27" s="1"/>
  <c r="BC372" i="27" a="1"/>
  <c r="BC372" i="27" s="1"/>
  <c r="BC371" i="27" a="1"/>
  <c r="BC371" i="27" s="1"/>
  <c r="BC351" i="27" a="1"/>
  <c r="BC351" i="27" s="1"/>
  <c r="C17" i="51" s="1"/>
  <c r="F17" i="51" s="1"/>
  <c r="BC346" i="27" a="1"/>
  <c r="BC346" i="27" s="1"/>
  <c r="BC374" i="27" a="1"/>
  <c r="BC374" i="27" s="1"/>
  <c r="BC368" i="27" a="1"/>
  <c r="BC368" i="27" s="1"/>
  <c r="C28" i="51" s="1"/>
  <c r="F28" i="51" s="1"/>
  <c r="BC373" i="27" a="1"/>
  <c r="BC373" i="27" s="1"/>
  <c r="BC363" i="27" a="1"/>
  <c r="BC363" i="27" s="1"/>
  <c r="BC344" i="27" a="1"/>
  <c r="BC344" i="27" s="1"/>
  <c r="BC348" i="27" a="1"/>
  <c r="BC348" i="27" s="1"/>
  <c r="BC349" i="27" a="1"/>
  <c r="BC349" i="27" s="1"/>
  <c r="C15" i="51" s="1"/>
  <c r="F15" i="51" s="1"/>
  <c r="BC366" i="27" a="1"/>
  <c r="BC366" i="27" s="1"/>
  <c r="BC357" i="27" a="1"/>
  <c r="BC357" i="27" s="1"/>
  <c r="BC347" i="27" a="1"/>
  <c r="BC347" i="27" s="1"/>
  <c r="BC364" i="27" a="1"/>
  <c r="BC364" i="27" s="1"/>
  <c r="BC365" i="27" a="1"/>
  <c r="BC365" i="27" s="1"/>
  <c r="BC350" i="27" a="1"/>
  <c r="BC350" i="27" s="1"/>
  <c r="C16" i="51" s="1"/>
  <c r="F16" i="51" s="1"/>
  <c r="K16" i="51" s="1"/>
  <c r="BC360" i="27" a="1"/>
  <c r="BC360" i="27" s="1"/>
  <c r="BC370" i="27" a="1"/>
  <c r="BC370" i="27" s="1"/>
  <c r="BC358" i="27" a="1"/>
  <c r="BC358" i="27" s="1"/>
  <c r="BC356" i="27" a="1"/>
  <c r="BC356" i="27" s="1"/>
  <c r="BC342" i="27" a="1"/>
  <c r="BC342" i="27" s="1"/>
  <c r="BU91" i="27"/>
  <c r="BU78" i="27"/>
  <c r="BU99" i="27"/>
  <c r="BU47" i="27"/>
  <c r="BU84" i="27"/>
  <c r="BU106" i="27"/>
  <c r="BU77" i="27"/>
  <c r="BU93" i="27"/>
  <c r="BU98" i="27"/>
  <c r="BU85" i="27"/>
  <c r="BU80" i="27"/>
  <c r="BU82" i="27"/>
  <c r="BU83" i="27"/>
  <c r="BU90" i="27"/>
  <c r="BU105" i="27"/>
  <c r="BU101" i="27"/>
  <c r="BU75" i="27"/>
  <c r="BU76" i="27"/>
  <c r="BU94" i="27"/>
  <c r="BU87" i="27"/>
  <c r="BU89" i="27"/>
  <c r="BU96" i="27"/>
  <c r="BU103" i="27"/>
  <c r="BU81" i="27"/>
  <c r="BU88" i="27"/>
  <c r="BU100" i="27"/>
  <c r="BU97" i="27"/>
  <c r="BU104" i="27"/>
  <c r="BU73" i="27"/>
  <c r="BU95" i="27"/>
  <c r="BU102" i="27"/>
  <c r="BU74" i="27"/>
  <c r="BU79" i="27"/>
  <c r="BU92" i="27"/>
  <c r="BU86" i="27"/>
  <c r="BJ239" i="27"/>
  <c r="BJ272" i="27"/>
  <c r="BJ259" i="27"/>
  <c r="BJ253" i="27"/>
  <c r="BJ261" i="27"/>
  <c r="BJ266" i="27"/>
  <c r="BJ205" i="27"/>
  <c r="BJ237" i="27"/>
  <c r="BJ268" i="27"/>
  <c r="BJ260" i="27"/>
  <c r="BJ262" i="27"/>
  <c r="BJ238" i="27"/>
  <c r="BJ269" i="27"/>
  <c r="BJ250" i="27"/>
  <c r="BJ273" i="27"/>
  <c r="BJ256" i="27"/>
  <c r="BJ252" i="27"/>
  <c r="BJ270" i="27"/>
  <c r="BJ247" i="27"/>
  <c r="BJ255" i="27"/>
  <c r="BJ242" i="27"/>
  <c r="BJ265" i="27"/>
  <c r="BJ248" i="27"/>
  <c r="BJ244" i="27"/>
  <c r="BJ249" i="27"/>
  <c r="BJ271" i="27"/>
  <c r="BJ258" i="27"/>
  <c r="BJ257" i="27"/>
  <c r="BJ240" i="27"/>
  <c r="BJ236" i="27"/>
  <c r="BJ245" i="27"/>
  <c r="BJ243" i="27"/>
  <c r="BJ263" i="27"/>
  <c r="BJ241" i="27"/>
  <c r="BJ254" i="27"/>
  <c r="BJ251" i="27"/>
  <c r="BJ264" i="27"/>
  <c r="BJ267" i="27"/>
  <c r="BJ246" i="27"/>
  <c r="BJ274" i="27"/>
  <c r="BU37" i="27"/>
  <c r="BJ201" i="27"/>
  <c r="BJ216" i="27"/>
  <c r="HO119" i="27" s="1"/>
  <c r="BJ213" i="27"/>
  <c r="HO116" i="27" s="1"/>
  <c r="BU65" i="27"/>
  <c r="BU56" i="27"/>
  <c r="BU60" i="27"/>
  <c r="BU67" i="27"/>
  <c r="BU42" i="27"/>
  <c r="BU38" i="27"/>
  <c r="BU49" i="27"/>
  <c r="BU66" i="27"/>
  <c r="HP127" i="27" s="1"/>
  <c r="BU57" i="27"/>
  <c r="BJ207" i="27"/>
  <c r="BJ209" i="27"/>
  <c r="BJ219" i="27"/>
  <c r="BJ204" i="27"/>
  <c r="BJ217" i="27"/>
  <c r="BJ224" i="27"/>
  <c r="BJ203" i="27"/>
  <c r="BJ211" i="27"/>
  <c r="BJ230" i="27"/>
  <c r="BU48" i="27"/>
  <c r="HP109" i="27" s="1"/>
  <c r="BU36" i="27"/>
  <c r="BU44" i="27"/>
  <c r="BU54" i="27"/>
  <c r="BU51" i="27"/>
  <c r="BU55" i="27"/>
  <c r="BU59" i="27"/>
  <c r="BU69" i="27"/>
  <c r="BU68" i="27"/>
  <c r="BJ202" i="27"/>
  <c r="HO105" i="27" s="1"/>
  <c r="BJ208" i="27"/>
  <c r="BJ196" i="27"/>
  <c r="BJ223" i="27"/>
  <c r="BJ229" i="27"/>
  <c r="BJ221" i="27"/>
  <c r="BU41" i="27"/>
  <c r="BU45" i="27"/>
  <c r="BU64" i="27"/>
  <c r="BU53" i="27"/>
  <c r="BU39" i="27"/>
  <c r="BU46" i="27"/>
  <c r="BU58" i="27"/>
  <c r="BU63" i="27"/>
  <c r="BU62" i="27"/>
  <c r="BU43" i="27"/>
  <c r="BU50" i="27"/>
  <c r="BU52" i="27"/>
  <c r="BU61" i="27"/>
  <c r="BJ195" i="27"/>
  <c r="BJ228" i="27"/>
  <c r="BJ220" i="27"/>
  <c r="BJ197" i="27"/>
  <c r="BJ200" i="27"/>
  <c r="BJ214" i="27"/>
  <c r="HO117" i="27" s="1"/>
  <c r="BJ222" i="27"/>
  <c r="BJ227" i="27"/>
  <c r="BJ226" i="27"/>
  <c r="BJ225" i="27"/>
  <c r="BJ212" i="27"/>
  <c r="BU40" i="27"/>
  <c r="BJ194" i="27"/>
  <c r="BJ199" i="27"/>
  <c r="BJ206" i="27"/>
  <c r="BJ210" i="27"/>
  <c r="BJ198" i="27"/>
  <c r="BJ215" i="27"/>
  <c r="HO118" i="27" s="1"/>
  <c r="BJ232" i="27"/>
  <c r="BJ231" i="27"/>
  <c r="BJ218" i="27"/>
  <c r="C27" i="51" l="1"/>
  <c r="B27" i="51" s="1"/>
  <c r="F27" i="51" s="1"/>
  <c r="C21" i="51"/>
  <c r="F21" i="51" s="1"/>
  <c r="C9" i="51"/>
  <c r="C10" i="51"/>
  <c r="B10" i="51" s="1"/>
  <c r="F10" i="51" s="1"/>
  <c r="C34" i="51"/>
  <c r="F34" i="51" s="1"/>
  <c r="HP101" i="27"/>
  <c r="C33" i="51"/>
  <c r="C25" i="51"/>
  <c r="C20" i="51"/>
  <c r="F20" i="51" s="1"/>
  <c r="C24" i="51"/>
  <c r="F24" i="51" s="1"/>
  <c r="HP126" i="27"/>
  <c r="C13" i="51"/>
  <c r="C29" i="51"/>
  <c r="C12" i="51"/>
  <c r="F12" i="51" s="1"/>
  <c r="C26" i="51"/>
  <c r="F26" i="51" s="1"/>
  <c r="C30" i="51"/>
  <c r="F30" i="51" s="1"/>
  <c r="C14" i="51"/>
  <c r="F14" i="51" s="1"/>
  <c r="HO99" i="27"/>
  <c r="C31" i="51"/>
  <c r="F31" i="51" s="1"/>
  <c r="C11" i="51"/>
  <c r="C32" i="51"/>
  <c r="C23" i="51"/>
  <c r="HO103" i="27"/>
  <c r="HO112" i="27"/>
  <c r="HO113" i="27"/>
  <c r="HO114" i="27"/>
  <c r="HO97" i="27"/>
  <c r="HO125" i="27"/>
  <c r="HO111" i="27"/>
  <c r="HO104" i="27"/>
  <c r="HO109" i="27"/>
  <c r="IB109" i="27" s="1"/>
  <c r="HO101" i="27"/>
  <c r="HO129" i="27"/>
  <c r="HO98" i="27"/>
  <c r="HO126" i="27"/>
  <c r="HO127" i="27"/>
  <c r="IB127" i="27" s="1"/>
  <c r="HO122" i="27"/>
  <c r="HP103" i="27"/>
  <c r="HO120" i="27"/>
  <c r="HO107" i="27"/>
  <c r="HO121" i="27"/>
  <c r="HO108" i="27"/>
  <c r="HO100" i="27"/>
  <c r="HO115" i="27"/>
  <c r="HO102" i="27"/>
  <c r="HO110" i="27"/>
  <c r="HO123" i="27"/>
  <c r="HO124" i="27"/>
  <c r="HO128" i="27"/>
  <c r="HO106" i="27"/>
  <c r="HP105" i="27"/>
  <c r="IB105" i="27" s="1"/>
  <c r="HP98" i="27"/>
  <c r="HP125" i="27"/>
  <c r="HP117" i="27"/>
  <c r="IB117" i="27" s="1"/>
  <c r="F23" i="57" s="1"/>
  <c r="HP129" i="27"/>
  <c r="HP120" i="27"/>
  <c r="HP114" i="27"/>
  <c r="HP119" i="27"/>
  <c r="IB119" i="27" s="1"/>
  <c r="F33" i="57" s="1"/>
  <c r="K33" i="57" s="1"/>
  <c r="HP123" i="27"/>
  <c r="HP122" i="27"/>
  <c r="HP100" i="27"/>
  <c r="HP115" i="27"/>
  <c r="HP99" i="27"/>
  <c r="HP108" i="27"/>
  <c r="HP104" i="27"/>
  <c r="HP121" i="27"/>
  <c r="HP118" i="27"/>
  <c r="IB118" i="27" s="1"/>
  <c r="HP111" i="27"/>
  <c r="HP97" i="27"/>
  <c r="HP128" i="27"/>
  <c r="HP102" i="27"/>
  <c r="HP113" i="27"/>
  <c r="HP106" i="27"/>
  <c r="HP124" i="27"/>
  <c r="HP116" i="27"/>
  <c r="IB116" i="27" s="1"/>
  <c r="HP107" i="27"/>
  <c r="HP112" i="27"/>
  <c r="HP110" i="27"/>
  <c r="B22" i="51"/>
  <c r="F22" i="51" s="1"/>
  <c r="B37" i="49"/>
  <c r="B38" i="49"/>
  <c r="I38" i="49" s="1"/>
  <c r="B48" i="49"/>
  <c r="B47" i="49"/>
  <c r="B46" i="49"/>
  <c r="B45" i="49"/>
  <c r="B44" i="49"/>
  <c r="B43" i="49"/>
  <c r="B42" i="49"/>
  <c r="B41" i="49"/>
  <c r="B40" i="49"/>
  <c r="B39" i="49"/>
  <c r="B36" i="49"/>
  <c r="B35" i="49"/>
  <c r="B34" i="49"/>
  <c r="B33" i="49"/>
  <c r="I33" i="49" s="1"/>
  <c r="B32" i="49"/>
  <c r="I32" i="49" s="1"/>
  <c r="B31" i="49"/>
  <c r="I31" i="49" s="1"/>
  <c r="B21" i="51" l="1"/>
  <c r="IB126" i="27"/>
  <c r="IB101" i="27"/>
  <c r="B11" i="51"/>
  <c r="F11" i="51" s="1"/>
  <c r="IB99" i="27"/>
  <c r="B33" i="51"/>
  <c r="F33" i="51" s="1"/>
  <c r="B20" i="51"/>
  <c r="B30" i="51"/>
  <c r="B14" i="51"/>
  <c r="B32" i="51"/>
  <c r="F32" i="51" s="1"/>
  <c r="IB112" i="27"/>
  <c r="IB113" i="27"/>
  <c r="IB103" i="27"/>
  <c r="IB97" i="27"/>
  <c r="IB104" i="27"/>
  <c r="IB111" i="27"/>
  <c r="F28" i="57" s="1"/>
  <c r="IB114" i="27"/>
  <c r="F30" i="57" s="1"/>
  <c r="IB125" i="27"/>
  <c r="IB120" i="27"/>
  <c r="IB106" i="27"/>
  <c r="IB107" i="27"/>
  <c r="F29" i="57" s="1"/>
  <c r="IB102" i="27"/>
  <c r="IB129" i="27"/>
  <c r="F26" i="57" s="1"/>
  <c r="IB108" i="27"/>
  <c r="IB122" i="27"/>
  <c r="IB98" i="27"/>
  <c r="F34" i="57" s="1"/>
  <c r="IB110" i="27"/>
  <c r="F39" i="57" s="1"/>
  <c r="K39" i="57" s="1"/>
  <c r="IB128" i="27"/>
  <c r="IB124" i="27"/>
  <c r="F27" i="57" s="1"/>
  <c r="IB100" i="27"/>
  <c r="F40" i="57" s="1"/>
  <c r="IB115" i="27"/>
  <c r="F36" i="57" s="1"/>
  <c r="K36" i="57" s="1"/>
  <c r="IB123" i="27"/>
  <c r="F38" i="57" s="1"/>
  <c r="K38" i="57" s="1"/>
  <c r="IB121" i="27"/>
  <c r="F24" i="57"/>
  <c r="B9" i="51"/>
  <c r="F9" i="51" s="1"/>
  <c r="K26" i="51"/>
  <c r="D8" i="53"/>
  <c r="B15" i="51"/>
  <c r="J15" i="51" s="1"/>
  <c r="K15" i="51" s="1"/>
  <c r="B16" i="51"/>
  <c r="B28" i="51"/>
  <c r="B12" i="51"/>
  <c r="B29" i="51"/>
  <c r="F29" i="51" s="1"/>
  <c r="B23" i="51"/>
  <c r="F23" i="51" s="1"/>
  <c r="B26" i="51"/>
  <c r="K21" i="51"/>
  <c r="B24" i="51"/>
  <c r="B13" i="51"/>
  <c r="F13" i="51" s="1"/>
  <c r="B25" i="51"/>
  <c r="F25" i="51" s="1"/>
  <c r="B31" i="51"/>
  <c r="B34" i="51"/>
  <c r="B50" i="51"/>
  <c r="B40" i="51"/>
  <c r="B45" i="51"/>
  <c r="B49" i="51"/>
  <c r="B47" i="51"/>
  <c r="B36" i="51"/>
  <c r="B44" i="51"/>
  <c r="B38" i="51"/>
  <c r="F38" i="51" s="1"/>
  <c r="B42" i="51"/>
  <c r="B35" i="51"/>
  <c r="B39" i="51"/>
  <c r="F39" i="51" s="1"/>
  <c r="B17" i="51"/>
  <c r="B18" i="51"/>
  <c r="B37" i="51"/>
  <c r="B41" i="51"/>
  <c r="F41" i="51" s="1"/>
  <c r="B48" i="51"/>
  <c r="B43" i="51"/>
  <c r="BG30" i="27"/>
  <c r="BH332" i="27" s="1"/>
  <c r="F36" i="51" l="1"/>
  <c r="G36" i="51"/>
  <c r="H36" i="51"/>
  <c r="K20" i="51"/>
  <c r="K10" i="51"/>
  <c r="K27" i="57"/>
  <c r="K27" i="51"/>
  <c r="K22" i="51"/>
  <c r="BH337" i="27"/>
  <c r="A23" i="3"/>
  <c r="A24" i="3"/>
  <c r="C28" i="3"/>
  <c r="A29" i="3"/>
  <c r="A34" i="3"/>
  <c r="B25" i="2"/>
  <c r="A27" i="2"/>
  <c r="A28" i="2"/>
  <c r="A29" i="2"/>
  <c r="A39" i="2"/>
  <c r="A49" i="2"/>
  <c r="B1" i="1"/>
  <c r="K33" i="51" l="1"/>
  <c r="K32" i="51"/>
  <c r="K14" i="51"/>
  <c r="K12" i="51"/>
  <c r="K23" i="51"/>
  <c r="K30" i="51"/>
  <c r="K18" i="51"/>
  <c r="K9" i="51"/>
  <c r="K13" i="51"/>
  <c r="K36" i="51"/>
  <c r="K40" i="51"/>
  <c r="K44" i="51"/>
  <c r="K50" i="51"/>
  <c r="K42" i="51"/>
  <c r="K37" i="51"/>
  <c r="K35" i="51"/>
  <c r="K45" i="51"/>
  <c r="K49" i="51"/>
  <c r="K38" i="51"/>
  <c r="K29" i="51"/>
  <c r="K31" i="51"/>
  <c r="K39" i="51"/>
  <c r="K48" i="51"/>
  <c r="K43" i="51"/>
  <c r="K47" i="51"/>
  <c r="K41" i="51"/>
  <c r="K34" i="51"/>
  <c r="K28" i="51"/>
  <c r="K25" i="51"/>
  <c r="B1" i="49"/>
  <c r="B42" i="52" l="1"/>
  <c r="L211" i="48" l="1"/>
  <c r="F201" i="48"/>
  <c r="DQ243" i="27" s="1" a="1"/>
  <c r="DQ243" i="27" s="1"/>
  <c r="F203" i="48"/>
  <c r="DP243" i="27" s="1" a="1"/>
  <c r="DP243" i="27" s="1"/>
  <c r="F204" i="48"/>
  <c r="F206" i="48"/>
  <c r="F202" i="48"/>
  <c r="F199" i="48"/>
  <c r="DR243" i="27" s="1" a="1"/>
  <c r="DR243" i="27" s="1"/>
  <c r="C35" i="49"/>
  <c r="E35" i="49" s="1"/>
  <c r="I35" i="49" s="1"/>
  <c r="F200" i="48"/>
  <c r="F205" i="48"/>
  <c r="DO243" i="27" s="1" a="1"/>
  <c r="DO243" i="27" s="1"/>
  <c r="DO268" i="27" l="1" a="1"/>
  <c r="DO268" i="27" s="1"/>
  <c r="DO249" i="27" a="1"/>
  <c r="DO249" i="27" s="1"/>
  <c r="DP268" i="27" a="1"/>
  <c r="DP268" i="27" s="1"/>
  <c r="DP249" i="27" a="1"/>
  <c r="DP249" i="27" s="1"/>
  <c r="DQ268" i="27" a="1"/>
  <c r="DQ268" i="27" s="1"/>
  <c r="DQ249" i="27" a="1"/>
  <c r="DQ249" i="27" s="1"/>
  <c r="DR268" i="27" a="1"/>
  <c r="DR268" i="27" s="1"/>
  <c r="DR249" i="27" a="1"/>
  <c r="DR249" i="27" s="1"/>
  <c r="DP276" i="27" a="1"/>
  <c r="DP276" i="27" s="1"/>
  <c r="DP260" i="27" a="1"/>
  <c r="DP260" i="27" s="1"/>
  <c r="DP273" i="27" a="1"/>
  <c r="DP273" i="27" s="1"/>
  <c r="DP257" i="27" a="1"/>
  <c r="DP257" i="27" s="1"/>
  <c r="DP240" i="27" a="1"/>
  <c r="DP240" i="27" s="1"/>
  <c r="DP274" i="27" a="1"/>
  <c r="DP274" i="27" s="1"/>
  <c r="DP258" i="27" a="1"/>
  <c r="DP258" i="27" s="1"/>
  <c r="DP241" i="27" a="1"/>
  <c r="DP241" i="27" s="1"/>
  <c r="DP271" i="27" a="1"/>
  <c r="DP271" i="27" s="1"/>
  <c r="DP255" i="27" a="1"/>
  <c r="DP255" i="27" s="1"/>
  <c r="DP238" i="27" a="1"/>
  <c r="DP238" i="27" s="1"/>
  <c r="DP272" i="27" a="1"/>
  <c r="DP272" i="27" s="1"/>
  <c r="DP256" i="27" a="1"/>
  <c r="DP256" i="27" s="1"/>
  <c r="DP239" i="27" a="1"/>
  <c r="DP239" i="27" s="1"/>
  <c r="DP269" i="27" a="1"/>
  <c r="DP269" i="27" s="1"/>
  <c r="DP253" i="27" a="1"/>
  <c r="DP253" i="27" s="1"/>
  <c r="DP270" i="27" a="1"/>
  <c r="DP270" i="27" s="1"/>
  <c r="DP254" i="27" a="1"/>
  <c r="DP254" i="27" s="1"/>
  <c r="DP267" i="27" a="1"/>
  <c r="DP267" i="27" s="1"/>
  <c r="DP251" i="27" a="1"/>
  <c r="DP251" i="27" s="1"/>
  <c r="DP242" i="27" a="1"/>
  <c r="DP242" i="27" s="1"/>
  <c r="DP252" i="27" a="1"/>
  <c r="DP252" i="27" s="1"/>
  <c r="DP265" i="27" a="1"/>
  <c r="DP265" i="27" s="1"/>
  <c r="DP248" i="27" a="1"/>
  <c r="DP248" i="27" s="1"/>
  <c r="DP259" i="27" a="1"/>
  <c r="DP259" i="27" s="1"/>
  <c r="DP266" i="27" a="1"/>
  <c r="DP266" i="27" s="1"/>
  <c r="DP250" i="27" a="1"/>
  <c r="DP250" i="27" s="1"/>
  <c r="DP263" i="27" a="1"/>
  <c r="DP263" i="27" s="1"/>
  <c r="D46" i="51" s="1"/>
  <c r="G46" i="51" s="1"/>
  <c r="DP246" i="27" a="1"/>
  <c r="DP246" i="27" s="1"/>
  <c r="DP264" i="27" a="1"/>
  <c r="DP264" i="27" s="1"/>
  <c r="DP247" i="27" a="1"/>
  <c r="DP247" i="27" s="1"/>
  <c r="DP261" i="27" a="1"/>
  <c r="DP261" i="27" s="1"/>
  <c r="DP244" i="27" a="1"/>
  <c r="DP244" i="27" s="1"/>
  <c r="DP262" i="27" a="1"/>
  <c r="DP262" i="27" s="1"/>
  <c r="DP245" i="27" a="1"/>
  <c r="DP245" i="27" s="1"/>
  <c r="DP275" i="27" a="1"/>
  <c r="DP275" i="27" s="1"/>
  <c r="DO266" i="27" a="1"/>
  <c r="DO266" i="27" s="1"/>
  <c r="DO250" i="27" a="1"/>
  <c r="DO250" i="27" s="1"/>
  <c r="DO265" i="27" a="1"/>
  <c r="DO265" i="27" s="1"/>
  <c r="DO248" i="27" a="1"/>
  <c r="DO248" i="27" s="1"/>
  <c r="DO264" i="27" a="1"/>
  <c r="DO264" i="27" s="1"/>
  <c r="DO247" i="27" a="1"/>
  <c r="DO247" i="27" s="1"/>
  <c r="DO263" i="27" a="1"/>
  <c r="DO263" i="27" s="1"/>
  <c r="C46" i="51" s="1"/>
  <c r="F46" i="51" s="1"/>
  <c r="DO246" i="27" a="1"/>
  <c r="DO246" i="27" s="1"/>
  <c r="DO267" i="27" a="1"/>
  <c r="DO267" i="27" s="1"/>
  <c r="DO262" i="27" a="1"/>
  <c r="DO262" i="27" s="1"/>
  <c r="DO245" i="27" a="1"/>
  <c r="DO245" i="27" s="1"/>
  <c r="DO261" i="27" a="1"/>
  <c r="DO261" i="27" s="1"/>
  <c r="DO244" i="27" a="1"/>
  <c r="DO244" i="27" s="1"/>
  <c r="DO276" i="27" a="1"/>
  <c r="DO276" i="27" s="1"/>
  <c r="DO260" i="27" a="1"/>
  <c r="DO260" i="27" s="1"/>
  <c r="DO275" i="27" a="1"/>
  <c r="DO275" i="27" s="1"/>
  <c r="DO259" i="27" a="1"/>
  <c r="DO259" i="27" s="1"/>
  <c r="DO242" i="27" a="1"/>
  <c r="DO242" i="27" s="1"/>
  <c r="DO274" i="27" a="1"/>
  <c r="DO274" i="27" s="1"/>
  <c r="DO258" i="27" a="1"/>
  <c r="DO258" i="27" s="1"/>
  <c r="DO241" i="27" a="1"/>
  <c r="DO241" i="27" s="1"/>
  <c r="DO273" i="27" a="1"/>
  <c r="DO273" i="27" s="1"/>
  <c r="DO257" i="27" a="1"/>
  <c r="DO257" i="27" s="1"/>
  <c r="DO240" i="27" a="1"/>
  <c r="DO240" i="27" s="1"/>
  <c r="DO272" i="27" a="1"/>
  <c r="DO272" i="27" s="1"/>
  <c r="DO256" i="27" a="1"/>
  <c r="DO256" i="27" s="1"/>
  <c r="DO239" i="27" a="1"/>
  <c r="DO239" i="27" s="1"/>
  <c r="DO271" i="27" a="1"/>
  <c r="DO271" i="27" s="1"/>
  <c r="DO255" i="27" a="1"/>
  <c r="DO255" i="27" s="1"/>
  <c r="DO238" i="27" a="1"/>
  <c r="DO238" i="27" s="1"/>
  <c r="DO270" i="27" a="1"/>
  <c r="DO270" i="27" s="1"/>
  <c r="DO254" i="27" a="1"/>
  <c r="DO254" i="27" s="1"/>
  <c r="DO269" i="27" a="1"/>
  <c r="DO269" i="27" s="1"/>
  <c r="DO253" i="27" a="1"/>
  <c r="DO253" i="27" s="1"/>
  <c r="DO252" i="27" a="1"/>
  <c r="DO252" i="27" s="1"/>
  <c r="DO251" i="27" a="1"/>
  <c r="DO251" i="27" s="1"/>
  <c r="DQ265" i="27" a="1"/>
  <c r="DQ265" i="27" s="1"/>
  <c r="DQ248" i="27" a="1"/>
  <c r="DQ248" i="27" s="1"/>
  <c r="DQ258" i="27" a="1"/>
  <c r="DQ258" i="27" s="1"/>
  <c r="DQ252" i="27" a="1"/>
  <c r="DQ252" i="27" s="1"/>
  <c r="DQ272" i="27" a="1"/>
  <c r="DQ272" i="27" s="1"/>
  <c r="DQ267" i="27" a="1"/>
  <c r="DQ267" i="27" s="1"/>
  <c r="DQ263" i="27" a="1"/>
  <c r="DQ263" i="27" s="1"/>
  <c r="E46" i="51" s="1"/>
  <c r="H46" i="51" s="1"/>
  <c r="DQ246" i="27" a="1"/>
  <c r="DQ246" i="27" s="1"/>
  <c r="DQ262" i="27" a="1"/>
  <c r="DQ262" i="27" s="1"/>
  <c r="DQ241" i="27" a="1"/>
  <c r="DQ241" i="27" s="1"/>
  <c r="DQ266" i="27" a="1"/>
  <c r="DQ266" i="27" s="1"/>
  <c r="DQ250" i="27" a="1"/>
  <c r="DQ250" i="27" s="1"/>
  <c r="DQ261" i="27" a="1"/>
  <c r="DQ261" i="27" s="1"/>
  <c r="DQ244" i="27" a="1"/>
  <c r="DQ244" i="27" s="1"/>
  <c r="DQ245" i="27" a="1"/>
  <c r="DQ245" i="27" s="1"/>
  <c r="DQ275" i="27" a="1"/>
  <c r="DQ275" i="27" s="1"/>
  <c r="DQ259" i="27" a="1"/>
  <c r="DQ259" i="27" s="1"/>
  <c r="DQ242" i="27" a="1"/>
  <c r="DQ242" i="27" s="1"/>
  <c r="DQ264" i="27" a="1"/>
  <c r="DQ264" i="27" s="1"/>
  <c r="DQ256" i="27" a="1"/>
  <c r="DQ256" i="27" s="1"/>
  <c r="DQ247" i="27" a="1"/>
  <c r="DQ247" i="27" s="1"/>
  <c r="DQ273" i="27" a="1"/>
  <c r="DQ273" i="27" s="1"/>
  <c r="DQ257" i="27" a="1"/>
  <c r="DQ257" i="27" s="1"/>
  <c r="DQ240" i="27" a="1"/>
  <c r="DQ240" i="27" s="1"/>
  <c r="DQ276" i="27" a="1"/>
  <c r="DQ276" i="27" s="1"/>
  <c r="DQ239" i="27" a="1"/>
  <c r="DQ239" i="27" s="1"/>
  <c r="DQ254" i="27" a="1"/>
  <c r="DQ254" i="27" s="1"/>
  <c r="DQ271" i="27" a="1"/>
  <c r="DQ271" i="27" s="1"/>
  <c r="DQ255" i="27" a="1"/>
  <c r="DQ255" i="27" s="1"/>
  <c r="DQ238" i="27" a="1"/>
  <c r="DQ238" i="27" s="1"/>
  <c r="DQ260" i="27" a="1"/>
  <c r="DQ260" i="27" s="1"/>
  <c r="DQ270" i="27" a="1"/>
  <c r="DQ270" i="27" s="1"/>
  <c r="DQ269" i="27" a="1"/>
  <c r="DQ269" i="27" s="1"/>
  <c r="DQ253" i="27" a="1"/>
  <c r="DQ253" i="27" s="1"/>
  <c r="DQ251" i="27" a="1"/>
  <c r="DQ251" i="27" s="1"/>
  <c r="DQ274" i="27" a="1"/>
  <c r="DQ274" i="27" s="1"/>
  <c r="DR273" i="27" a="1"/>
  <c r="DR273" i="27" s="1"/>
  <c r="DR257" i="27" a="1"/>
  <c r="DR257" i="27" s="1"/>
  <c r="DR240" i="27" a="1"/>
  <c r="DR240" i="27" s="1"/>
  <c r="DR272" i="27" a="1"/>
  <c r="DR272" i="27" s="1"/>
  <c r="DR256" i="27" a="1"/>
  <c r="DR256" i="27" s="1"/>
  <c r="DR239" i="27" a="1"/>
  <c r="DR239" i="27" s="1"/>
  <c r="DR241" i="27" a="1"/>
  <c r="DR241" i="27" s="1"/>
  <c r="DR271" i="27" a="1"/>
  <c r="DR271" i="27" s="1"/>
  <c r="DR255" i="27" a="1"/>
  <c r="DR255" i="27" s="1"/>
  <c r="DR238" i="27" a="1"/>
  <c r="DR238" i="27" s="1"/>
  <c r="DR270" i="27" a="1"/>
  <c r="DR270" i="27" s="1"/>
  <c r="DR254" i="27" a="1"/>
  <c r="DR254" i="27" s="1"/>
  <c r="DR269" i="27" a="1"/>
  <c r="DR269" i="27" s="1"/>
  <c r="DR253" i="27" a="1"/>
  <c r="DR253" i="27" s="1"/>
  <c r="DR252" i="27" a="1"/>
  <c r="DR252" i="27" s="1"/>
  <c r="DR259" i="27" a="1"/>
  <c r="DR259" i="27" s="1"/>
  <c r="DR274" i="27" a="1"/>
  <c r="DR274" i="27" s="1"/>
  <c r="DR267" i="27" a="1"/>
  <c r="DR267" i="27" s="1"/>
  <c r="DR251" i="27" a="1"/>
  <c r="DR251" i="27" s="1"/>
  <c r="DR266" i="27" a="1"/>
  <c r="DR266" i="27" s="1"/>
  <c r="DR250" i="27" a="1"/>
  <c r="DR250" i="27" s="1"/>
  <c r="DR265" i="27" a="1"/>
  <c r="DR265" i="27" s="1"/>
  <c r="DR248" i="27" a="1"/>
  <c r="DR248" i="27" s="1"/>
  <c r="DR264" i="27" a="1"/>
  <c r="DR264" i="27" s="1"/>
  <c r="DR247" i="27" a="1"/>
  <c r="DR247" i="27" s="1"/>
  <c r="DR263" i="27" a="1"/>
  <c r="DR263" i="27" s="1"/>
  <c r="DR246" i="27" a="1"/>
  <c r="DR246" i="27" s="1"/>
  <c r="DR262" i="27" a="1"/>
  <c r="DR262" i="27" s="1"/>
  <c r="DR245" i="27" a="1"/>
  <c r="DR245" i="27" s="1"/>
  <c r="DR275" i="27" a="1"/>
  <c r="DR275" i="27" s="1"/>
  <c r="DR242" i="27" a="1"/>
  <c r="DR242" i="27" s="1"/>
  <c r="DR258" i="27" a="1"/>
  <c r="DR258" i="27" s="1"/>
  <c r="DR261" i="27" a="1"/>
  <c r="DR261" i="27" s="1"/>
  <c r="DR244" i="27" a="1"/>
  <c r="DR244" i="27" s="1"/>
  <c r="DR276" i="27" a="1"/>
  <c r="DR276" i="27" s="1"/>
  <c r="DR260" i="27" a="1"/>
  <c r="DR260" i="27" s="1"/>
  <c r="G50" i="49"/>
  <c r="N44" i="51"/>
  <c r="B46" i="51" l="1"/>
  <c r="K46" i="51"/>
  <c r="DS260" i="27"/>
  <c r="DS245" i="27"/>
  <c r="DS240" i="27"/>
  <c r="DS273" i="27"/>
  <c r="DS249" i="27"/>
  <c r="C19" i="51" s="1"/>
  <c r="DS247" i="27"/>
  <c r="DS269" i="27"/>
  <c r="DS267" i="27"/>
  <c r="DS266" i="27"/>
  <c r="DS276" i="27"/>
  <c r="DS268" i="27"/>
  <c r="DS239" i="27"/>
  <c r="DS244" i="27"/>
  <c r="DS275" i="27"/>
  <c r="DS238" i="27"/>
  <c r="DS250" i="27"/>
  <c r="DS263" i="27"/>
  <c r="DS243" i="27"/>
  <c r="DS253" i="27"/>
  <c r="DS264" i="27"/>
  <c r="DS259" i="27"/>
  <c r="DS272" i="27"/>
  <c r="DS258" i="27"/>
  <c r="DS271" i="27"/>
  <c r="DS262" i="27"/>
  <c r="DS257" i="27"/>
  <c r="DS261" i="27"/>
  <c r="DS242" i="27"/>
  <c r="DS255" i="27"/>
  <c r="DS251" i="27"/>
  <c r="DS270" i="27"/>
  <c r="DS274" i="27"/>
  <c r="DS248" i="27"/>
  <c r="DS256" i="27"/>
  <c r="DS241" i="27"/>
  <c r="DS265" i="27"/>
  <c r="DS246" i="27"/>
  <c r="DS252" i="27"/>
  <c r="DS254" i="27"/>
  <c r="F25" i="57" l="1"/>
  <c r="F35" i="57" s="1"/>
  <c r="K35" i="57" s="1"/>
  <c r="B19" i="51"/>
  <c r="F19" i="51" s="1"/>
  <c r="J17" i="51"/>
  <c r="K17" i="51" s="1"/>
  <c r="F32" i="57" l="1"/>
  <c r="F31" i="57"/>
  <c r="K40" i="57"/>
  <c r="K29" i="57"/>
  <c r="K30" i="57"/>
  <c r="N34" i="57"/>
  <c r="K28" i="57"/>
  <c r="K26" i="57"/>
  <c r="K25" i="57"/>
  <c r="J19" i="51"/>
  <c r="J16" i="51"/>
  <c r="J24" i="51"/>
  <c r="K24" i="51" s="1"/>
  <c r="X132" i="27" l="1"/>
  <c r="U131" i="27"/>
  <c r="W131" i="27"/>
  <c r="T131" i="27"/>
  <c r="X130" i="27"/>
  <c r="T130" i="27"/>
  <c r="U130" i="27"/>
  <c r="T132" i="27"/>
  <c r="U132" i="27"/>
  <c r="W132" i="27"/>
  <c r="X131" i="27"/>
  <c r="W130" i="27"/>
  <c r="S130" i="27"/>
  <c r="V131" i="27"/>
  <c r="V133" i="27"/>
  <c r="V132" i="27"/>
  <c r="V130" i="27"/>
  <c r="S132" i="27"/>
  <c r="S131" i="27"/>
  <c r="S133" i="27"/>
  <c r="R133" i="27"/>
  <c r="R130" i="27"/>
  <c r="R135" i="27"/>
  <c r="I12" i="58" s="1"/>
  <c r="R132" i="27"/>
  <c r="R134" i="27"/>
  <c r="R131" i="27"/>
  <c r="R136" i="27"/>
  <c r="I13" i="58" s="1"/>
  <c r="N22" i="57"/>
  <c r="C43" i="57"/>
  <c r="K31" i="57"/>
  <c r="K34" i="57"/>
  <c r="K19" i="51"/>
  <c r="C42" i="57"/>
  <c r="K23" i="57"/>
  <c r="C20" i="54"/>
  <c r="F37" i="57" s="1"/>
  <c r="F41" i="57" s="1"/>
  <c r="G20" i="54"/>
  <c r="D9" i="53"/>
  <c r="D15" i="53"/>
  <c r="D10" i="53"/>
  <c r="I8" i="58" l="1"/>
  <c r="I9" i="58"/>
  <c r="N9" i="58" s="1"/>
  <c r="I7" i="58"/>
  <c r="N7" i="58" s="1"/>
  <c r="I10" i="58"/>
  <c r="N10" i="58" s="1"/>
  <c r="I11" i="58"/>
  <c r="N11" i="58" s="1"/>
  <c r="N12" i="58"/>
  <c r="N13" i="58"/>
  <c r="S128" i="27"/>
  <c r="R128" i="27"/>
  <c r="V128" i="27"/>
  <c r="C17" i="53"/>
  <c r="E59" i="51" s="1"/>
  <c r="N8" i="58" l="1"/>
  <c r="N16" i="58" s="1"/>
  <c r="K11" i="51"/>
  <c r="K53" i="51" s="1"/>
  <c r="C87" i="55" l="1"/>
</calcChain>
</file>

<file path=xl/comments1.xml><?xml version="1.0" encoding="utf-8"?>
<comments xmlns="http://schemas.openxmlformats.org/spreadsheetml/2006/main">
  <authors>
    <author>appart</author>
  </authors>
  <commentList>
    <comment ref="A18" authorId="0">
      <text>
        <r>
          <rPr>
            <sz val="10"/>
            <color indexed="81"/>
            <rFont val="Times New Roman"/>
            <family val="1"/>
          </rPr>
          <t xml:space="preserve">Toutes les cases bleues ci-dessous doivent être remplies par "oui", "non", ou "n.c." si aucun choix n'apparaît en face.
</t>
        </r>
      </text>
    </comment>
  </commentList>
</comments>
</file>

<file path=xl/comments10.xml><?xml version="1.0" encoding="utf-8"?>
<comments xmlns="http://schemas.openxmlformats.org/spreadsheetml/2006/main">
  <authors>
    <author>domercq</author>
  </authors>
  <commentList>
    <comment ref="A5" authorId="0">
      <text>
        <r>
          <rPr>
            <sz val="10"/>
            <color indexed="81"/>
            <rFont val="Times New Roman"/>
            <family val="1"/>
          </rPr>
          <t xml:space="preserve">Ici tu notes la surface totale de tout tes entrepôts normaux.
En dessous s'affichera la place nécessaire pour tout ce que tu y stockes.
</t>
        </r>
        <r>
          <rPr>
            <b/>
            <u/>
            <sz val="10"/>
            <color indexed="14"/>
            <rFont val="Times New Roman"/>
            <family val="1"/>
          </rPr>
          <t xml:space="preserve">INFO :
</t>
        </r>
        <r>
          <rPr>
            <sz val="10"/>
            <color indexed="10"/>
            <rFont val="Times New Roman"/>
            <family val="1"/>
          </rPr>
          <t>le local phyto et les entrepôts arboricoles ne sont pas pris en compte.</t>
        </r>
      </text>
    </comment>
    <comment ref="G5" authorId="0">
      <text>
        <r>
          <rPr>
            <sz val="10"/>
            <color indexed="81"/>
            <rFont val="Times New Roman"/>
            <family val="1"/>
          </rPr>
          <t xml:space="preserve">Ici tu renseignes les accessoires (semences, paille, etc…) que tu as sous hangars. Dans cette colonne, choisis la famille, puis a coté, choisis le type et renseignes la quantité.
</t>
        </r>
        <r>
          <rPr>
            <b/>
            <u/>
            <sz val="10"/>
            <color indexed="14"/>
            <rFont val="Times New Roman"/>
            <family val="1"/>
          </rPr>
          <t xml:space="preserve">INFO :
</t>
        </r>
        <r>
          <rPr>
            <sz val="10"/>
            <color indexed="10"/>
            <rFont val="Times New Roman"/>
            <family val="1"/>
          </rPr>
          <t xml:space="preserve">C'est une liste de choix à chaque fois.
</t>
        </r>
      </text>
    </comment>
    <comment ref="I5" authorId="0">
      <text>
        <r>
          <rPr>
            <b/>
            <u/>
            <sz val="10"/>
            <color indexed="14"/>
            <rFont val="Times New Roman"/>
            <family val="1"/>
          </rPr>
          <t xml:space="preserve">INFO :
</t>
        </r>
        <r>
          <rPr>
            <sz val="10"/>
            <color indexed="10"/>
            <rFont val="Times New Roman"/>
            <family val="1"/>
          </rPr>
          <t xml:space="preserve">Indiquer ici les quantités selon l'unité (litre ou kilo : rien en tonne)
</t>
        </r>
      </text>
    </comment>
    <comment ref="A8" authorId="0">
      <text>
        <r>
          <rPr>
            <b/>
            <u/>
            <sz val="10"/>
            <color indexed="14"/>
            <rFont val="Times New Roman"/>
            <family val="1"/>
          </rPr>
          <t>INFO :</t>
        </r>
        <r>
          <rPr>
            <sz val="10"/>
            <color indexed="10"/>
            <rFont val="Times New Roman"/>
            <family val="1"/>
          </rPr>
          <t xml:space="preserve">
Pour la paille et le foin, la place nécessaire est la place maximale (calculée sur des bottes de 500kg; si tu achètes des bottes de 250 ou 300kg, cela te prendra un peu moins de place).</t>
        </r>
      </text>
    </comment>
    <comment ref="A16" authorId="0">
      <text>
        <r>
          <rPr>
            <b/>
            <u/>
            <sz val="10"/>
            <color indexed="14"/>
            <rFont val="Times New Roman"/>
            <family val="1"/>
          </rPr>
          <t>INFO :</t>
        </r>
        <r>
          <rPr>
            <sz val="10"/>
            <color indexed="10"/>
            <rFont val="Times New Roman"/>
            <family val="1"/>
          </rPr>
          <t xml:space="preserve">
La place restante ne tient pas compte de la place nécessaire pour la commande, mais juste de la place prise par les accessoires de cette page.</t>
        </r>
      </text>
    </comment>
    <comment ref="A17" authorId="0">
      <text>
        <r>
          <rPr>
            <b/>
            <u/>
            <sz val="10"/>
            <color indexed="14"/>
            <rFont val="Times New Roman"/>
            <family val="1"/>
          </rPr>
          <t>INFO :</t>
        </r>
        <r>
          <rPr>
            <sz val="10"/>
            <color indexed="10"/>
            <rFont val="Times New Roman"/>
            <family val="1"/>
          </rPr>
          <t xml:space="preserve">
La place restante après commande considère que tu stockes toute ta commande ici.</t>
        </r>
      </text>
    </comment>
  </commentList>
</comments>
</file>

<file path=xl/comments11.xml><?xml version="1.0" encoding="utf-8"?>
<comments xmlns="http://schemas.openxmlformats.org/spreadsheetml/2006/main">
  <authors>
    <author>appart</author>
  </authors>
  <commentList>
    <comment ref="C4" authorId="0">
      <text>
        <r>
          <rPr>
            <sz val="10"/>
            <color indexed="81"/>
            <rFont val="Times New Roman"/>
            <family val="1"/>
          </rPr>
          <t>S</t>
        </r>
        <r>
          <rPr>
            <sz val="10"/>
            <rFont val="Times New Roman"/>
            <family val="1"/>
          </rPr>
          <t>ur cette colonne, remplis le capacité possible dans tes silos (en tonnes) et dans ta/tes cuve(s) à eau (en lit</t>
        </r>
        <r>
          <rPr>
            <sz val="10"/>
            <color indexed="81"/>
            <rFont val="Times New Roman"/>
            <family val="1"/>
          </rPr>
          <t xml:space="preserve">res), et tes différents stocks.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 à chaque fois.
BQ = Bonne Qualité
MoQ = Moyenne Qualité
MaQ = Mauvaise Qualité</t>
        </r>
      </text>
    </comment>
  </commentList>
</comments>
</file>

<file path=xl/comments2.xml><?xml version="1.0" encoding="utf-8"?>
<comments xmlns="http://schemas.openxmlformats.org/spreadsheetml/2006/main">
  <authors>
    <author>Gigi DOMERCQ</author>
    <author>appart</author>
    <author>DOMERCQ, Ghislain (ALTRAN)</author>
    <author>Administrateur HH</author>
  </authors>
  <commentList>
    <comment ref="D3" authorId="0">
      <text>
        <r>
          <rPr>
            <sz val="9"/>
            <color indexed="81"/>
            <rFont val="Tahoma"/>
            <family val="2"/>
          </rPr>
          <t>Ici tu choisis le pays de ta ferme. C'est indispensable!</t>
        </r>
      </text>
    </comment>
    <comment ref="C7" authorId="1">
      <text>
        <r>
          <rPr>
            <sz val="10"/>
            <color indexed="81"/>
            <rFont val="Times New Roman"/>
            <family val="1"/>
          </rPr>
          <t>Sur cette colonne, remplis le nombre de bovins (toutes races) que tu as, suivant sexe et tranche d'âge.</t>
        </r>
      </text>
    </comment>
    <comment ref="D7" authorId="1">
      <text>
        <r>
          <rPr>
            <sz val="10"/>
            <color indexed="81"/>
            <rFont val="Times New Roman"/>
            <family val="1"/>
          </rPr>
          <t>Sur cette colonne, remplis le nombre de bovins de races laitières que tu as, suivant sexe et tranche d'âge. Si tu ne fais que des laitières, la colonne d'à coté (nombre total) suffit.</t>
        </r>
      </text>
    </comment>
    <comment ref="E7" authorId="1">
      <text>
        <r>
          <rPr>
            <sz val="10"/>
            <color indexed="81"/>
            <rFont val="Times New Roman"/>
            <family val="1"/>
          </rPr>
          <t>Sur cette colonne, indiques la qualité générale des aliments utilisés pour tes animaux, par tranche d'âge.</t>
        </r>
      </text>
    </comment>
    <comment ref="F7" authorId="1">
      <text>
        <r>
          <rPr>
            <b/>
            <u/>
            <sz val="10"/>
            <color indexed="14"/>
            <rFont val="Times New Roman"/>
            <family val="1"/>
          </rPr>
          <t>INFO :</t>
        </r>
        <r>
          <rPr>
            <sz val="10"/>
            <color indexed="10"/>
            <rFont val="Times New Roman"/>
            <family val="1"/>
          </rPr>
          <t xml:space="preserve">
Les bovins re race allaitantes,se renseigneront directement ici dès que tu auras renseigné le nombre total de bovins, et le nombre de bovins de races laitières. Si tu ne fais que des allaitantes, ca se remplira aussi :)</t>
        </r>
      </text>
    </comment>
    <comment ref="G7" authorId="1">
      <text>
        <r>
          <rPr>
            <b/>
            <u/>
            <sz val="10"/>
            <color indexed="14"/>
            <rFont val="Times New Roman"/>
            <family val="1"/>
          </rPr>
          <t>INFO :</t>
        </r>
        <r>
          <rPr>
            <sz val="10"/>
            <color indexed="10"/>
            <rFont val="Times New Roman"/>
            <family val="1"/>
          </rPr>
          <t xml:space="preserve">
Les bovins en pâture,se renseigneront directement ici (si la page concernée a été renseignée - lien plus bas-. Penser à effacer les info relatives aux pâturages (avec le lien "tes animaux doivent aller au pré?" à la fin de la période estivale pour ne pas fausser les résultats du fichier).</t>
        </r>
      </text>
    </comment>
    <comment ref="J7" authorId="1">
      <text>
        <r>
          <rPr>
            <sz val="10"/>
            <color indexed="81"/>
            <rFont val="Times New Roman"/>
            <family val="1"/>
          </rPr>
          <t xml:space="preserve">Ici, tu choisis : 
- litière ou caillebotis.
</t>
        </r>
        <r>
          <rPr>
            <b/>
            <u/>
            <sz val="10"/>
            <color indexed="14"/>
            <rFont val="Times New Roman"/>
            <family val="1"/>
          </rPr>
          <t>INFO :</t>
        </r>
        <r>
          <rPr>
            <sz val="10"/>
            <color indexed="10"/>
            <rFont val="Times New Roman"/>
            <family val="1"/>
          </rPr>
          <t xml:space="preserve">
C'est une liste de choix.
</t>
        </r>
      </text>
    </comment>
    <comment ref="M7" authorId="2">
      <text>
        <r>
          <rPr>
            <sz val="10"/>
            <color indexed="81"/>
            <rFont val="Times New Roman"/>
            <family val="1"/>
          </rPr>
          <t xml:space="preserve">Choisis ici si tes bovins (si tu en as) passent l'été dehors.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 Ca consid-ère que TOUT TES BOVINS vont au pré l'été.</t>
        </r>
      </text>
    </comment>
    <comment ref="J10" authorId="1">
      <text>
        <r>
          <rPr>
            <sz val="10"/>
            <color indexed="81"/>
            <rFont val="Times New Roman"/>
            <family val="1"/>
          </rPr>
          <t xml:space="preserve">Choisis la ration utilisée pour nourrir les bovins.
</t>
        </r>
        <r>
          <rPr>
            <b/>
            <u/>
            <sz val="10"/>
            <color indexed="14"/>
            <rFont val="Times New Roman"/>
            <family val="1"/>
          </rPr>
          <t>INFO :</t>
        </r>
        <r>
          <rPr>
            <sz val="10"/>
            <color indexed="10"/>
            <rFont val="Times New Roman"/>
            <family val="1"/>
          </rPr>
          <t xml:space="preserve">
C'est une liste de choix. </t>
        </r>
      </text>
    </comment>
    <comment ref="M10" authorId="2">
      <text>
        <r>
          <rPr>
            <sz val="10"/>
            <color indexed="81"/>
            <rFont val="Times New Roman"/>
            <family val="1"/>
          </rPr>
          <t xml:space="preserve">Choisis ici si tes bovins allaitants (si tu en as) passent l'hiver dehors.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13"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23"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(qui s'affichera ici), il te faut renseigner le lien plus bas "assez d'aliments dans tes silos?"
</t>
        </r>
        <r>
          <rPr>
            <b/>
            <sz val="10"/>
            <color indexed="10"/>
            <rFont val="Times New Roman"/>
            <family val="1"/>
          </rPr>
          <t>ATTENTION : le choix concerne TOUTES les bêtes de l'espèce!!</t>
        </r>
      </text>
    </comment>
    <comment ref="C27" authorId="1">
      <text>
        <r>
          <rPr>
            <sz val="10"/>
            <color indexed="81"/>
            <rFont val="Times New Roman"/>
            <family val="1"/>
          </rPr>
          <t xml:space="preserve">Sur cette colonne, remplis le nombre de bisons que tu as, suivant sexe et tranche d'âge.
</t>
        </r>
        <r>
          <rPr>
            <b/>
            <u/>
            <sz val="10"/>
            <color indexed="14"/>
            <rFont val="Times New Roman"/>
            <family val="1"/>
          </rPr>
          <t>INFO :</t>
        </r>
        <r>
          <rPr>
            <sz val="10"/>
            <color indexed="10"/>
            <rFont val="Times New Roman"/>
            <family val="1"/>
          </rPr>
          <t xml:space="preserve">
Contrairement aux autres espèces, les bisons restent toute l'année au pré. Ils doivent recevoir des aliments pendant la période hivernale.</t>
        </r>
      </text>
    </comment>
    <comment ref="D27" authorId="1">
      <text>
        <r>
          <rPr>
            <sz val="10"/>
            <color indexed="81"/>
            <rFont val="Times New Roman"/>
            <family val="1"/>
          </rPr>
          <t>Sur cette colonne, indiques la qualité générale des aliments utilisés pour tes animaux, par tranche d'âge.</t>
        </r>
      </text>
    </comment>
    <comment ref="E27" authorId="1">
      <text>
        <r>
          <rPr>
            <b/>
            <u/>
            <sz val="10"/>
            <color indexed="14"/>
            <rFont val="Times New Roman"/>
            <family val="1"/>
          </rPr>
          <t>INFO :</t>
        </r>
        <r>
          <rPr>
            <sz val="10"/>
            <color indexed="10"/>
            <rFont val="Times New Roman"/>
            <family val="1"/>
          </rPr>
          <t xml:space="preserve">
Les bovins en pâture,se renseigneront directement ici (si la page concernée a été renseignée - lien plus bas-. Penser à effacer les info relatives aux pâturages (avec le lien "tes animaux doivent aller au pré?" à la fin de la période estivale pour ne pas fausser les résultats du fichier).</t>
        </r>
      </text>
    </comment>
    <comment ref="J27" authorId="1">
      <text>
        <r>
          <rPr>
            <sz val="10"/>
            <color indexed="81"/>
            <rFont val="Times New Roman"/>
            <family val="1"/>
          </rPr>
          <t xml:space="preserve">Choisis la ration utilisée pour nourrir les bisons.
</t>
        </r>
        <r>
          <rPr>
            <b/>
            <u/>
            <sz val="10"/>
            <color indexed="14"/>
            <rFont val="Times New Roman"/>
            <family val="1"/>
          </rPr>
          <t>INFO :</t>
        </r>
        <r>
          <rPr>
            <sz val="10"/>
            <color indexed="10"/>
            <rFont val="Times New Roman"/>
            <family val="1"/>
          </rPr>
          <t xml:space="preserve">
C'est une liste de choix. </t>
        </r>
      </text>
    </comment>
    <comment ref="J40" authorId="1">
      <text>
        <r>
          <rPr>
            <sz val="10"/>
            <color indexed="81"/>
            <rFont val="Times New Roman"/>
            <family val="1"/>
          </rPr>
          <t xml:space="preserve">Choisis si tu vaccines tes animaux.
</t>
        </r>
        <r>
          <rPr>
            <b/>
            <u/>
            <sz val="10"/>
            <color indexed="14"/>
            <rFont val="Times New Roman"/>
            <family val="1"/>
          </rPr>
          <t>INFO :</t>
        </r>
        <r>
          <rPr>
            <sz val="10"/>
            <color indexed="10"/>
            <rFont val="Times New Roman"/>
            <family val="1"/>
          </rPr>
          <t xml:space="preserve">
C'est une liste de choix.
Les vaccins ne sont pas obligatoire mais ils sont très conseillés pour éviter/limiter les maladies!
</t>
        </r>
        <r>
          <rPr>
            <b/>
            <sz val="10"/>
            <color indexed="10"/>
            <rFont val="Times New Roman"/>
            <family val="1"/>
          </rPr>
          <t>ATTENTION : le choix concerne TOUTES les bêtes de l'espèce!!</t>
        </r>
      </text>
    </comment>
    <comment ref="C44" authorId="1">
      <text>
        <r>
          <rPr>
            <sz val="10"/>
            <color indexed="81"/>
            <rFont val="Times New Roman"/>
            <family val="1"/>
          </rPr>
          <t>Sur cette colonne, remplis le nombre de caprins que tu as, suivant sexe et tranche d'âge.</t>
        </r>
      </text>
    </comment>
    <comment ref="D44" authorId="1">
      <text>
        <r>
          <rPr>
            <sz val="10"/>
            <color indexed="81"/>
            <rFont val="Times New Roman"/>
            <family val="1"/>
          </rPr>
          <t>Sur cette colonne, indiques la qualité générale des aliments utilisés pour tes animaux, par tranche d'âge.</t>
        </r>
      </text>
    </comment>
    <comment ref="E44" authorId="1">
      <text>
        <r>
          <rPr>
            <b/>
            <u/>
            <sz val="10"/>
            <color indexed="14"/>
            <rFont val="Times New Roman"/>
            <family val="1"/>
          </rPr>
          <t>INFO :</t>
        </r>
        <r>
          <rPr>
            <sz val="10"/>
            <color indexed="10"/>
            <rFont val="Times New Roman"/>
            <family val="1"/>
          </rPr>
          <t xml:space="preserve">
Si tu as des caprins en pâture, ils se renseigneront directement ici (si tu as renseigné la page concernée en utilisant le lien "tes animaux doivent aller au pré?" que tu trouveras ci-dessous). Attention à bien penser à les effacer (dans la page des pâturages) quand ils n'y sont plus pour ne pas fausser les résultats du fichier).</t>
        </r>
      </text>
    </comment>
    <comment ref="J44" authorId="1">
      <text>
        <r>
          <rPr>
            <sz val="10"/>
            <color indexed="81"/>
            <rFont val="Times New Roman"/>
            <family val="1"/>
          </rPr>
          <t xml:space="preserve">Choisis la ration utilisée pour nourrir les bisons.
</t>
        </r>
        <r>
          <rPr>
            <b/>
            <u/>
            <sz val="10"/>
            <color indexed="14"/>
            <rFont val="Times New Roman"/>
            <family val="1"/>
          </rPr>
          <t>INFO :</t>
        </r>
        <r>
          <rPr>
            <sz val="10"/>
            <color indexed="10"/>
            <rFont val="Times New Roman"/>
            <family val="1"/>
          </rPr>
          <t xml:space="preserve">
C'est une liste de choix. </t>
        </r>
      </text>
    </comment>
    <comment ref="M44" authorId="2">
      <text>
        <r>
          <rPr>
            <sz val="10"/>
            <color indexed="81"/>
            <rFont val="Times New Roman"/>
            <family val="1"/>
          </rPr>
          <t xml:space="preserve">Choisis ici si tes caprins (si tu en as) passent l'été dehors.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 Ca consid-ère que TOUT TES CAPRINS vont au pré l'été.</t>
        </r>
      </text>
    </comment>
    <comment ref="J47"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56"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(qui s'affichera ici), il te faut renseigner le lien plus bas "assez d'aliments dans tes silos?"
</t>
        </r>
        <r>
          <rPr>
            <b/>
            <sz val="10"/>
            <color indexed="10"/>
            <rFont val="Times New Roman"/>
            <family val="1"/>
          </rPr>
          <t>ATTENTION : le choix concerne TOUTES les bêtes de l'espèce!!</t>
        </r>
      </text>
    </comment>
    <comment ref="C60" authorId="1">
      <text>
        <r>
          <rPr>
            <sz val="10"/>
            <color indexed="81"/>
            <rFont val="Times New Roman"/>
            <family val="1"/>
          </rPr>
          <t>Sur cette colonne, remplis le nombre de porcins que tu as, suivant sexe et tranche d'âge.</t>
        </r>
      </text>
    </comment>
    <comment ref="D60" authorId="1">
      <text>
        <r>
          <rPr>
            <sz val="10"/>
            <color indexed="81"/>
            <rFont val="Times New Roman"/>
            <family val="1"/>
          </rPr>
          <t>Sur cette colonne, indiques la qualité générale des aliments utilisés pour tes animaux, par tranche d'âge.</t>
        </r>
      </text>
    </comment>
    <comment ref="J60" authorId="1">
      <text>
        <r>
          <rPr>
            <sz val="10"/>
            <color indexed="81"/>
            <rFont val="Times New Roman"/>
            <family val="1"/>
          </rPr>
          <t xml:space="preserve">Choisis la ration utilisée pour nourrir les porcins.
</t>
        </r>
        <r>
          <rPr>
            <b/>
            <u/>
            <sz val="10"/>
            <color indexed="14"/>
            <rFont val="Times New Roman"/>
            <family val="1"/>
          </rPr>
          <t>INFO :</t>
        </r>
        <r>
          <rPr>
            <sz val="10"/>
            <color indexed="10"/>
            <rFont val="Times New Roman"/>
            <family val="1"/>
          </rPr>
          <t xml:space="preserve">
C'est une liste de choix. </t>
        </r>
      </text>
    </comment>
    <comment ref="J63" authorId="1">
      <text>
        <r>
          <rPr>
            <sz val="10"/>
            <color indexed="81"/>
            <rFont val="Times New Roman"/>
            <family val="1"/>
          </rPr>
          <t xml:space="preserve">Ici, tu choisis : 
- litière (sans label), plein air (avec label) ou caillebotis.
</t>
        </r>
        <r>
          <rPr>
            <b/>
            <u/>
            <sz val="10"/>
            <color indexed="14"/>
            <rFont val="Times New Roman"/>
            <family val="1"/>
          </rPr>
          <t>INFO :</t>
        </r>
        <r>
          <rPr>
            <sz val="10"/>
            <color indexed="10"/>
            <rFont val="Times New Roman"/>
            <family val="1"/>
          </rPr>
          <t xml:space="preserve">
C'est une liste de choix.
Pour l'élevage en plein air, tu dois avoir des parcs à porcins.</t>
        </r>
      </text>
    </comment>
    <comment ref="J66"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75"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(qui s'affichera ici), il te faut renseigner le lien plus bas "assez d'aliments dans tes silos?"
</t>
        </r>
        <r>
          <rPr>
            <b/>
            <sz val="10"/>
            <color indexed="10"/>
            <rFont val="Times New Roman"/>
            <family val="1"/>
          </rPr>
          <t>ATTENTION : le choix concerne TOUTES les bêtes de l'espèce!!</t>
        </r>
      </text>
    </comment>
    <comment ref="C79" authorId="1">
      <text>
        <r>
          <rPr>
            <sz val="10"/>
            <color indexed="81"/>
            <rFont val="Times New Roman"/>
            <family val="1"/>
          </rPr>
          <t>Sur cette colonne, remplis le nombre de volailles (poules) que tu as, suivant sexe et tranche d'âge.</t>
        </r>
      </text>
    </comment>
    <comment ref="D79" authorId="1">
      <text>
        <r>
          <rPr>
            <sz val="10"/>
            <color indexed="81"/>
            <rFont val="Times New Roman"/>
            <family val="1"/>
          </rPr>
          <t>Sur cette colonne, indiques la qualité générale des aliments utilisés pour tes animaux, par tranche d'âge.</t>
        </r>
      </text>
    </comment>
    <comment ref="J79" authorId="1">
      <text>
        <r>
          <rPr>
            <sz val="10"/>
            <color indexed="81"/>
            <rFont val="Times New Roman"/>
            <family val="1"/>
          </rPr>
          <t xml:space="preserve">Choisis la ration utilisée pour nourrir les poules.
</t>
        </r>
        <r>
          <rPr>
            <b/>
            <u/>
            <sz val="10"/>
            <color indexed="14"/>
            <rFont val="Times New Roman"/>
            <family val="1"/>
          </rPr>
          <t>INFO :</t>
        </r>
        <r>
          <rPr>
            <sz val="10"/>
            <color indexed="10"/>
            <rFont val="Times New Roman"/>
            <family val="1"/>
          </rPr>
          <t xml:space="preserve">
C'est une liste de choix. </t>
        </r>
      </text>
    </comment>
    <comment ref="J82" authorId="3">
      <text>
        <r>
          <rPr>
            <sz val="10"/>
            <color indexed="81"/>
            <rFont val="Times New Roman"/>
            <family val="1"/>
          </rPr>
          <t>I</t>
        </r>
        <r>
          <rPr>
            <sz val="10"/>
            <rFont val="Times New Roman"/>
            <family val="1"/>
          </rPr>
          <t xml:space="preserve">ci, tu choisis : 
-intensif ou semi-liberté
</t>
        </r>
        <r>
          <rPr>
            <b/>
            <u/>
            <sz val="10"/>
            <color indexed="14"/>
            <rFont val="Times New Roman"/>
            <family val="1"/>
          </rPr>
          <t>INFO :</t>
        </r>
        <r>
          <rPr>
            <sz val="10"/>
            <color indexed="10"/>
            <rFont val="Times New Roman"/>
            <family val="1"/>
          </rPr>
          <t xml:space="preserve">
C'est une liste de choix.
Pour élever en semi-liberté, il te faut des parcs à volailles.</t>
        </r>
      </text>
    </comment>
    <comment ref="J85"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94"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il te faut renseigner le lien plus bas "assez d'aliments dans tes silos?"
</t>
        </r>
        <r>
          <rPr>
            <b/>
            <sz val="10"/>
            <color indexed="10"/>
            <rFont val="Times New Roman"/>
            <family val="1"/>
          </rPr>
          <t>ATTENTION : le choix concerne TOUTES les bêtes de l'espèce!!</t>
        </r>
      </text>
    </comment>
    <comment ref="C98" authorId="1">
      <text>
        <r>
          <rPr>
            <sz val="10"/>
            <color indexed="81"/>
            <rFont val="Times New Roman"/>
            <family val="1"/>
          </rPr>
          <t>Sur cette colonne, remplis le nombre de pintades que tu as, suivant sexe et tranche d'âge.</t>
        </r>
      </text>
    </comment>
    <comment ref="D98" authorId="1">
      <text>
        <r>
          <rPr>
            <sz val="10"/>
            <color indexed="81"/>
            <rFont val="Times New Roman"/>
            <family val="1"/>
          </rPr>
          <t>Sur cette colonne, indiques la qualité générale des aliments utilisés pour tes animaux, par tranche d'âge.</t>
        </r>
      </text>
    </comment>
    <comment ref="J98" authorId="1">
      <text>
        <r>
          <rPr>
            <sz val="10"/>
            <color indexed="81"/>
            <rFont val="Times New Roman"/>
            <family val="1"/>
          </rPr>
          <t xml:space="preserve">Choisis la ration utilisée pour nourrir les pintades.
</t>
        </r>
        <r>
          <rPr>
            <b/>
            <u/>
            <sz val="10"/>
            <color indexed="14"/>
            <rFont val="Times New Roman"/>
            <family val="1"/>
          </rPr>
          <t>INFO :</t>
        </r>
        <r>
          <rPr>
            <sz val="10"/>
            <color indexed="10"/>
            <rFont val="Times New Roman"/>
            <family val="1"/>
          </rPr>
          <t xml:space="preserve">
C'est une liste de choix. </t>
        </r>
      </text>
    </comment>
    <comment ref="J101" authorId="3">
      <text>
        <r>
          <rPr>
            <sz val="10"/>
            <color indexed="81"/>
            <rFont val="Times New Roman"/>
            <family val="1"/>
          </rPr>
          <t>I</t>
        </r>
        <r>
          <rPr>
            <sz val="10"/>
            <rFont val="Times New Roman"/>
            <family val="1"/>
          </rPr>
          <t xml:space="preserve">ci, tu choisis : 
-intensif ou semi-liberté
</t>
        </r>
        <r>
          <rPr>
            <b/>
            <u/>
            <sz val="10"/>
            <color indexed="14"/>
            <rFont val="Times New Roman"/>
            <family val="1"/>
          </rPr>
          <t>INFO :</t>
        </r>
        <r>
          <rPr>
            <sz val="10"/>
            <color indexed="10"/>
            <rFont val="Times New Roman"/>
            <family val="1"/>
          </rPr>
          <t xml:space="preserve">
C'est une liste de choix.
Pour élever en semi-liberté, il te faut des parcs à volailles.</t>
        </r>
      </text>
    </comment>
    <comment ref="J104"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113"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il te faut renseigner le lien plus bas "assez d'aliments dans tes silos?"
</t>
        </r>
        <r>
          <rPr>
            <b/>
            <sz val="10"/>
            <color indexed="10"/>
            <rFont val="Times New Roman"/>
            <family val="1"/>
          </rPr>
          <t>ATTENTION : le choix concerne TOUTES les bêtes de l'espèce!!</t>
        </r>
      </text>
    </comment>
    <comment ref="C117" authorId="1">
      <text>
        <r>
          <rPr>
            <sz val="10"/>
            <color indexed="81"/>
            <rFont val="Times New Roman"/>
            <family val="1"/>
          </rPr>
          <t>Sur cette colonne, remplis le nombre de lapins que tu as, suivant sexe et tranche d'âge.</t>
        </r>
      </text>
    </comment>
    <comment ref="D117" authorId="1">
      <text>
        <r>
          <rPr>
            <sz val="10"/>
            <color indexed="81"/>
            <rFont val="Times New Roman"/>
            <family val="1"/>
          </rPr>
          <t>Sur cette colonne, indiques la qualité générale des aliments utilisés pour tes animaux, par tranche d'âge.</t>
        </r>
      </text>
    </comment>
    <comment ref="J117" authorId="1">
      <text>
        <r>
          <rPr>
            <sz val="10"/>
            <color indexed="81"/>
            <rFont val="Times New Roman"/>
            <family val="1"/>
          </rPr>
          <t xml:space="preserve">Choisis la ration utilisée pour nourrir les lapins.
</t>
        </r>
        <r>
          <rPr>
            <b/>
            <u/>
            <sz val="10"/>
            <color indexed="14"/>
            <rFont val="Times New Roman"/>
            <family val="1"/>
          </rPr>
          <t>INFO :</t>
        </r>
        <r>
          <rPr>
            <sz val="10"/>
            <color indexed="10"/>
            <rFont val="Times New Roman"/>
            <family val="1"/>
          </rPr>
          <t xml:space="preserve">
C'est une liste de choix. </t>
        </r>
      </text>
    </comment>
    <comment ref="J120" authorId="3">
      <text>
        <r>
          <rPr>
            <sz val="10"/>
            <color indexed="81"/>
            <rFont val="Times New Roman"/>
            <family val="1"/>
          </rPr>
          <t>I</t>
        </r>
        <r>
          <rPr>
            <sz val="10"/>
            <rFont val="Times New Roman"/>
            <family val="1"/>
          </rPr>
          <t xml:space="preserve">ci, tu choisis : 
-conventionnel ou bio
</t>
        </r>
        <r>
          <rPr>
            <b/>
            <u/>
            <sz val="10"/>
            <color indexed="14"/>
            <rFont val="Times New Roman"/>
            <family val="1"/>
          </rPr>
          <t>INFO :</t>
        </r>
        <r>
          <rPr>
            <sz val="10"/>
            <color indexed="10"/>
            <rFont val="Times New Roman"/>
            <family val="1"/>
          </rPr>
          <t xml:space="preserve">
C'est une liste de choix.
Pour élever en bio, il te faut des parcs à lapins.</t>
        </r>
      </text>
    </comment>
    <comment ref="J123"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133"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(qui s'affichera ici), il te faut renseigner le lien plus bas "assez d'aliments dans tes silos?"
</t>
        </r>
        <r>
          <rPr>
            <b/>
            <sz val="10"/>
            <color indexed="10"/>
            <rFont val="Times New Roman"/>
            <family val="1"/>
          </rPr>
          <t>ATTENTION : le choix concerne TOUTES les bêtes de l'espèce!!</t>
        </r>
      </text>
    </comment>
    <comment ref="C137" authorId="1">
      <text>
        <r>
          <rPr>
            <sz val="10"/>
            <color indexed="81"/>
            <rFont val="Times New Roman"/>
            <family val="1"/>
          </rPr>
          <t>Sur cette colonne, remplis le nombre d'oies que tu as, suivant sexe et tranche d'âge.</t>
        </r>
      </text>
    </comment>
    <comment ref="D137" authorId="1">
      <text>
        <r>
          <rPr>
            <sz val="10"/>
            <color indexed="81"/>
            <rFont val="Times New Roman"/>
            <family val="1"/>
          </rPr>
          <t>Sur cette colonne, indiques la qualité générale des aliments utilisés pour tes animaux, par tranche d'âge.</t>
        </r>
      </text>
    </comment>
    <comment ref="J137" authorId="1">
      <text>
        <r>
          <rPr>
            <sz val="10"/>
            <color indexed="81"/>
            <rFont val="Times New Roman"/>
            <family val="1"/>
          </rPr>
          <t xml:space="preserve">Choisis la ration utilisée pour nourrir les oies.
</t>
        </r>
        <r>
          <rPr>
            <b/>
            <u/>
            <sz val="10"/>
            <color indexed="14"/>
            <rFont val="Times New Roman"/>
            <family val="1"/>
          </rPr>
          <t>INFO :</t>
        </r>
        <r>
          <rPr>
            <sz val="10"/>
            <color indexed="10"/>
            <rFont val="Times New Roman"/>
            <family val="1"/>
          </rPr>
          <t xml:space="preserve">
C'est une liste de choix. </t>
        </r>
      </text>
    </comment>
    <comment ref="J140"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149"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il te faut renseigner le lien plus bas "assez d'aliments dans tes silos?"
</t>
        </r>
        <r>
          <rPr>
            <b/>
            <sz val="10"/>
            <color indexed="10"/>
            <rFont val="Times New Roman"/>
            <family val="1"/>
          </rPr>
          <t>ATTENTION : le choix concerne TOUTES les bêtes de l'espèce!!</t>
        </r>
      </text>
    </comment>
    <comment ref="C153" authorId="1">
      <text>
        <r>
          <rPr>
            <sz val="10"/>
            <color indexed="81"/>
            <rFont val="Times New Roman"/>
            <family val="1"/>
          </rPr>
          <t>Sur cette colonne, remplis le nombre de canards que tu as, suivant sexe et tranche d'âge.</t>
        </r>
      </text>
    </comment>
    <comment ref="D153" authorId="1">
      <text>
        <r>
          <rPr>
            <sz val="10"/>
            <color indexed="81"/>
            <rFont val="Times New Roman"/>
            <family val="1"/>
          </rPr>
          <t>Sur cette colonne, indiques la qualité générale des aliments utilisés pour tes animaux, par tranche d'âge.</t>
        </r>
      </text>
    </comment>
    <comment ref="J153" authorId="1">
      <text>
        <r>
          <rPr>
            <sz val="10"/>
            <color indexed="81"/>
            <rFont val="Times New Roman"/>
            <family val="1"/>
          </rPr>
          <t xml:space="preserve">Choisis la ration utilisée pour nourrir les canards.
</t>
        </r>
        <r>
          <rPr>
            <b/>
            <u/>
            <sz val="10"/>
            <color indexed="14"/>
            <rFont val="Times New Roman"/>
            <family val="1"/>
          </rPr>
          <t>INFO :</t>
        </r>
        <r>
          <rPr>
            <sz val="10"/>
            <color indexed="10"/>
            <rFont val="Times New Roman"/>
            <family val="1"/>
          </rPr>
          <t xml:space="preserve">
C'est une liste de choix. </t>
        </r>
      </text>
    </comment>
    <comment ref="J156"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165"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il te faut renseigner le lien plus bas "assez d'aliments dans tes silos?"
</t>
        </r>
        <r>
          <rPr>
            <b/>
            <sz val="10"/>
            <color indexed="10"/>
            <rFont val="Times New Roman"/>
            <family val="1"/>
          </rPr>
          <t>ATTENTION : le choix concerne TOUTES les bêtes de l'espèce!!</t>
        </r>
      </text>
    </comment>
    <comment ref="J169" authorId="1">
      <text>
        <r>
          <rPr>
            <sz val="10"/>
            <color indexed="81"/>
            <rFont val="Times New Roman"/>
            <family val="1"/>
          </rPr>
          <t xml:space="preserve">Choisis la ration utilisée pour gaver tes oies.
</t>
        </r>
        <r>
          <rPr>
            <b/>
            <u/>
            <sz val="10"/>
            <color indexed="14"/>
            <rFont val="Times New Roman"/>
            <family val="1"/>
          </rPr>
          <t>INFO :</t>
        </r>
        <r>
          <rPr>
            <sz val="10"/>
            <color indexed="10"/>
            <rFont val="Times New Roman"/>
            <family val="1"/>
          </rPr>
          <t xml:space="preserve">
C'est une liste de choix.</t>
        </r>
      </text>
    </comment>
    <comment ref="C170" authorId="1">
      <text>
        <r>
          <rPr>
            <sz val="10"/>
            <color indexed="81"/>
            <rFont val="Times New Roman"/>
            <family val="1"/>
          </rPr>
          <t>Sur cette colonne, remplis le nombre d'oisons que tu as, par tranche d'âge entre 0 et 3 mois (pour la phase d'élevage).</t>
        </r>
      </text>
    </comment>
    <comment ref="D170" authorId="1">
      <text>
        <r>
          <rPr>
            <sz val="10"/>
            <color indexed="81"/>
            <rFont val="Times New Roman"/>
            <family val="1"/>
          </rPr>
          <t>Sur cette colonne, indiques la qualité générale des aliments utilisés pour tes animaux, par tranche d'âge.</t>
        </r>
      </text>
    </comment>
    <comment ref="G170" authorId="1">
      <text>
        <r>
          <rPr>
            <sz val="10"/>
            <color indexed="81"/>
            <rFont val="Times New Roman"/>
            <family val="1"/>
          </rPr>
          <t>Sur cette colonne, remplis le nombre de jeunes oies que tu as, de plus de 3 mois (phase de gavage).</t>
        </r>
      </text>
    </comment>
    <comment ref="H170" authorId="1">
      <text>
        <r>
          <rPr>
            <sz val="10"/>
            <color indexed="81"/>
            <rFont val="Times New Roman"/>
            <family val="1"/>
          </rPr>
          <t>Sur cette colonne, indiques la qualité générale des aliments utilisés pour tes animaux, par tranche d'âge.</t>
        </r>
      </text>
    </comment>
    <comment ref="J172"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185" authorId="1">
      <text>
        <r>
          <rPr>
            <sz val="10"/>
            <color indexed="81"/>
            <rFont val="Times New Roman"/>
            <family val="1"/>
          </rPr>
          <t xml:space="preserve">Choisis la ration utilisée pour gaver tes canards.
</t>
        </r>
        <r>
          <rPr>
            <b/>
            <u/>
            <sz val="10"/>
            <color indexed="14"/>
            <rFont val="Times New Roman"/>
            <family val="1"/>
          </rPr>
          <t>INFO :</t>
        </r>
        <r>
          <rPr>
            <sz val="10"/>
            <color indexed="10"/>
            <rFont val="Times New Roman"/>
            <family val="1"/>
          </rPr>
          <t xml:space="preserve">
C'est une liste de choix. </t>
        </r>
      </text>
    </comment>
    <comment ref="C186" authorId="1">
      <text>
        <r>
          <rPr>
            <sz val="10"/>
            <color indexed="81"/>
            <rFont val="Times New Roman"/>
            <family val="1"/>
          </rPr>
          <t>Sur cette colonne, remplis le nombre de canetons que tu as, par tranche d'âge entre 0 et 3 mois (phase d'élevage).</t>
        </r>
      </text>
    </comment>
    <comment ref="D186" authorId="1">
      <text>
        <r>
          <rPr>
            <sz val="10"/>
            <color indexed="81"/>
            <rFont val="Times New Roman"/>
            <family val="1"/>
          </rPr>
          <t>Sur cette colonne, indiques la qualité générale des aliments utilisés pour tes animaux, par tranche d'âge.</t>
        </r>
      </text>
    </comment>
    <comment ref="G186" authorId="1">
      <text>
        <r>
          <rPr>
            <sz val="10"/>
            <color indexed="81"/>
            <rFont val="Times New Roman"/>
            <family val="1"/>
          </rPr>
          <t>Sur cette colonne, remplis le nombre de jeunes canards que tu as de plus de 3 mois (phase de gavage).</t>
        </r>
      </text>
    </comment>
    <comment ref="H186" authorId="1">
      <text>
        <r>
          <rPr>
            <sz val="10"/>
            <color indexed="81"/>
            <rFont val="Times New Roman"/>
            <family val="1"/>
          </rPr>
          <t>Sur cette colonne, indiques la qualité générale des aliments utilisés pour tes animaux, par tranche d'âge.</t>
        </r>
      </text>
    </comment>
    <comment ref="J188"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C198" authorId="1">
      <text>
        <r>
          <rPr>
            <sz val="10"/>
            <color indexed="81"/>
            <rFont val="Times New Roman"/>
            <family val="1"/>
          </rPr>
          <t>Sur cette colonne, remplis le nombre d'ovins que tu as, suivant sexe et tranche d'âge.</t>
        </r>
      </text>
    </comment>
    <comment ref="D198" authorId="1">
      <text>
        <r>
          <rPr>
            <sz val="10"/>
            <color indexed="81"/>
            <rFont val="Times New Roman"/>
            <family val="1"/>
          </rPr>
          <t>Sur cette colonne, remplis le nombre d'ovins de races laitières que tu as, suivant sexe et tranche d'âge. Si tu ne fais que des laitières, la colonne d'à coté (nombre total) suffit.</t>
        </r>
      </text>
    </comment>
    <comment ref="E198" authorId="1">
      <text>
        <r>
          <rPr>
            <sz val="10"/>
            <color indexed="81"/>
            <rFont val="Times New Roman"/>
            <family val="1"/>
          </rPr>
          <t>Sur cette colonne, indiques la qualité générale des aliments utilisés pour tes animaux, par tranche d'âge.</t>
        </r>
      </text>
    </comment>
    <comment ref="F198" authorId="1">
      <text>
        <r>
          <rPr>
            <b/>
            <u/>
            <sz val="10"/>
            <color indexed="14"/>
            <rFont val="Times New Roman"/>
            <family val="1"/>
          </rPr>
          <t>INFO :</t>
        </r>
        <r>
          <rPr>
            <sz val="10"/>
            <color indexed="10"/>
            <rFont val="Times New Roman"/>
            <family val="1"/>
          </rPr>
          <t xml:space="preserve">
Les ovins re race allaitantes,se renseigneront directement ici dès que tu auras renseigné le nombre total de bovins, et le nombre de bovins de races laitières.</t>
        </r>
      </text>
    </comment>
    <comment ref="G198" authorId="1">
      <text>
        <r>
          <rPr>
            <b/>
            <u/>
            <sz val="10"/>
            <color indexed="14"/>
            <rFont val="Times New Roman"/>
            <family val="1"/>
          </rPr>
          <t>INFO :</t>
        </r>
        <r>
          <rPr>
            <sz val="10"/>
            <color indexed="10"/>
            <rFont val="Times New Roman"/>
            <family val="1"/>
          </rPr>
          <t xml:space="preserve">
Si tu as des ovins en pâture, ils se renseigneront directement ici (si tu as renseigné la page concernée en utilisant le lien que tu trouveras plus bas). Attention à bien penser à les effacer (dans la page des pâturages) quand ils n'y sont plus, pour ne pas fausser les résultats de ce fichier).</t>
        </r>
      </text>
    </comment>
    <comment ref="J198" authorId="1">
      <text>
        <r>
          <rPr>
            <sz val="10"/>
            <color indexed="81"/>
            <rFont val="Times New Roman"/>
            <family val="1"/>
          </rPr>
          <t xml:space="preserve">Choisis la ration utilisée pour nourrir les ovins.
</t>
        </r>
        <r>
          <rPr>
            <b/>
            <u/>
            <sz val="10"/>
            <color indexed="14"/>
            <rFont val="Times New Roman"/>
            <family val="1"/>
          </rPr>
          <t>INFO :</t>
        </r>
        <r>
          <rPr>
            <sz val="10"/>
            <color indexed="10"/>
            <rFont val="Times New Roman"/>
            <family val="1"/>
          </rPr>
          <t xml:space="preserve">
C'est une liste de choix. </t>
        </r>
      </text>
    </comment>
    <comment ref="M198" authorId="2">
      <text>
        <r>
          <rPr>
            <sz val="10"/>
            <color indexed="81"/>
            <rFont val="Times New Roman"/>
            <family val="1"/>
          </rPr>
          <t xml:space="preserve">Choisis ici si tes ovins (si tu en as) passent l'été dehors.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 Ca consid-ère que TOUT TES OVINS vont au pré l'été.</t>
        </r>
      </text>
    </comment>
    <comment ref="J201"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M201" authorId="2">
      <text>
        <r>
          <rPr>
            <sz val="10"/>
            <color indexed="81"/>
            <rFont val="Times New Roman"/>
            <family val="1"/>
          </rPr>
          <t xml:space="preserve">Choisis ici si tes ovins allaitants (si tu en as) passent l'hiver dehors.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M204"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210"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(qui s'affichera ici), il te faut renseigner le lien plus bas "assez d'aliments dans tes silos?"
</t>
        </r>
        <r>
          <rPr>
            <b/>
            <sz val="10"/>
            <color indexed="10"/>
            <rFont val="Times New Roman"/>
            <family val="1"/>
          </rPr>
          <t>ATTENTION : le choix concerne TOUTES les bêtes de l'espèce!!</t>
        </r>
      </text>
    </comment>
    <comment ref="C214" authorId="1">
      <text>
        <r>
          <rPr>
            <sz val="10"/>
            <color indexed="81"/>
            <rFont val="Times New Roman"/>
            <family val="1"/>
          </rPr>
          <t xml:space="preserve">Sur cette colonne, remplis le nombre de bisons que tu as, suivant sexe et tranche d'âge.
</t>
        </r>
        <r>
          <rPr>
            <b/>
            <u/>
            <sz val="10"/>
            <color indexed="14"/>
            <rFont val="Times New Roman"/>
            <family val="1"/>
          </rPr>
          <t>INFO :</t>
        </r>
        <r>
          <rPr>
            <sz val="10"/>
            <color indexed="10"/>
            <rFont val="Times New Roman"/>
            <family val="1"/>
          </rPr>
          <t xml:space="preserve">
Contrairement aux autres espèces, les daims restent toute l'année au pré. Ils doivent recevoir des aliments pendant la période hivernale.</t>
        </r>
      </text>
    </comment>
    <comment ref="D214" authorId="1">
      <text>
        <r>
          <rPr>
            <sz val="10"/>
            <color indexed="81"/>
            <rFont val="Times New Roman"/>
            <family val="1"/>
          </rPr>
          <t>Sur cette colonne, indiques la qualité générale des aliments utilisés pour tes animaux, par tranche d'âge.</t>
        </r>
      </text>
    </comment>
    <comment ref="E214" authorId="1">
      <text>
        <r>
          <rPr>
            <b/>
            <u/>
            <sz val="10"/>
            <color indexed="14"/>
            <rFont val="Times New Roman"/>
            <family val="1"/>
          </rPr>
          <t>INFO :</t>
        </r>
        <r>
          <rPr>
            <sz val="10"/>
            <color indexed="10"/>
            <rFont val="Times New Roman"/>
            <family val="1"/>
          </rPr>
          <t xml:space="preserve">
Les bovins en pâture,se renseigneront directement ici (si la page concernée a été renseignée - lien plus bas-. Penser à effacer les info relatives aux pâturages (avec le lien "tes animaux doivent aller au pré?" à la fin de la période estivale pour ne pas fausser les résultats du fichier).</t>
        </r>
      </text>
    </comment>
    <comment ref="J214" authorId="1">
      <text>
        <r>
          <rPr>
            <sz val="10"/>
            <color indexed="81"/>
            <rFont val="Times New Roman"/>
            <family val="1"/>
          </rPr>
          <t xml:space="preserve">Choisis la ration utilisée pour nourrir les daims.
</t>
        </r>
        <r>
          <rPr>
            <b/>
            <u/>
            <sz val="10"/>
            <color indexed="14"/>
            <rFont val="Times New Roman"/>
            <family val="1"/>
          </rPr>
          <t>INFO :</t>
        </r>
        <r>
          <rPr>
            <sz val="10"/>
            <color indexed="10"/>
            <rFont val="Times New Roman"/>
            <family val="1"/>
          </rPr>
          <t xml:space="preserve">
C'est une liste de choix. </t>
        </r>
      </text>
    </comment>
    <comment ref="J227" authorId="1">
      <text>
        <r>
          <rPr>
            <sz val="10"/>
            <color indexed="81"/>
            <rFont val="Times New Roman"/>
            <family val="1"/>
          </rPr>
          <t xml:space="preserve">Choisis si tu vaccines tes animaux.
</t>
        </r>
        <r>
          <rPr>
            <b/>
            <u/>
            <sz val="10"/>
            <color indexed="14"/>
            <rFont val="Times New Roman"/>
            <family val="1"/>
          </rPr>
          <t>INFO :</t>
        </r>
        <r>
          <rPr>
            <sz val="10"/>
            <color indexed="10"/>
            <rFont val="Times New Roman"/>
            <family val="1"/>
          </rPr>
          <t xml:space="preserve">
C'est une liste de choix.
Les vaccins ne sont pas obligatoire mais ils sont très conseillés pour éviter/limiter les maladies!
</t>
        </r>
        <r>
          <rPr>
            <b/>
            <sz val="10"/>
            <color indexed="10"/>
            <rFont val="Times New Roman"/>
            <family val="1"/>
          </rPr>
          <t>ATTENTION : le choix concerne TOUTES les bêtes de l'espèce!!</t>
        </r>
      </text>
    </comment>
    <comment ref="C234" authorId="1">
      <text>
        <r>
          <rPr>
            <sz val="10"/>
            <color indexed="81"/>
            <rFont val="Times New Roman"/>
            <family val="1"/>
          </rPr>
          <t>Sur cette colonne, remplis le nombre de chevaux de selle (toutes races) que tu as, suivant sexe et tranche d'âge.</t>
        </r>
      </text>
    </comment>
    <comment ref="D234" authorId="1">
      <text>
        <r>
          <rPr>
            <sz val="10"/>
            <color indexed="81"/>
            <rFont val="Times New Roman"/>
            <family val="1"/>
          </rPr>
          <t>Sur cette colonne, indiques la qualité générale des aliments utilisés pour tes animaux, par tranche d'âge.</t>
        </r>
      </text>
    </comment>
    <comment ref="E234" authorId="1">
      <text>
        <r>
          <rPr>
            <b/>
            <u/>
            <sz val="10"/>
            <color indexed="14"/>
            <rFont val="Times New Roman"/>
            <family val="1"/>
          </rPr>
          <t>INFO :</t>
        </r>
        <r>
          <rPr>
            <sz val="10"/>
            <color indexed="10"/>
            <rFont val="Times New Roman"/>
            <family val="1"/>
          </rPr>
          <t xml:space="preserve">
Les chevaux en pâture,se renseigneront directement ici (si la page concernée a été renseignée - lien plus bas-. Penser à effacer les info relatives aux pâturages (avec le lien "tes animaux doivent aller au pré?" à la fin de la période estivale, sinon les résultats ici seront faux).</t>
        </r>
      </text>
    </comment>
    <comment ref="J234" authorId="2">
      <text>
        <r>
          <rPr>
            <sz val="10"/>
            <color indexed="81"/>
            <rFont val="Times New Roman"/>
            <family val="1"/>
          </rPr>
          <t xml:space="preserve">Choisis ici si tes chevaux de selle (si tu en as) passent l'été dehors.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 Ca consid-ère que TOUT TES CHEVAUX DE SELLE vont au pré l'été.</t>
        </r>
      </text>
    </comment>
    <comment ref="M234" authorId="2">
      <text>
        <r>
          <rPr>
            <sz val="10"/>
            <color indexed="81"/>
            <rFont val="Times New Roman"/>
            <family val="1"/>
          </rPr>
          <t xml:space="preserve">Choisis ici si tes chevaux de selle passent l'hiver dehors.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237"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M237"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243"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(qui s'affichera ici), il te faut renseigner le lien plus bas "assez d'aliments dans tes silos?"
</t>
        </r>
        <r>
          <rPr>
            <b/>
            <sz val="10"/>
            <color indexed="10"/>
            <rFont val="Times New Roman"/>
            <family val="1"/>
          </rPr>
          <t>ATTENTION : le choix concerne TOUTES les bêtes de l'espèce!!</t>
        </r>
      </text>
    </comment>
    <comment ref="C248" authorId="1">
      <text>
        <r>
          <rPr>
            <sz val="10"/>
            <color indexed="81"/>
            <rFont val="Times New Roman"/>
            <family val="1"/>
          </rPr>
          <t>Sur cette colonne, remplis le nombre de chevaux de trait (toutes races) que tu as, suivant sexe et tranche d'âge.</t>
        </r>
      </text>
    </comment>
    <comment ref="D248" authorId="1">
      <text>
        <r>
          <rPr>
            <sz val="10"/>
            <color indexed="81"/>
            <rFont val="Times New Roman"/>
            <family val="1"/>
          </rPr>
          <t>Sur cette colonne, indiques la qualité générale des aliments utilisés pour tes animaux, par tranche d'âge.</t>
        </r>
      </text>
    </comment>
    <comment ref="E248" authorId="1">
      <text>
        <r>
          <rPr>
            <b/>
            <u/>
            <sz val="10"/>
            <color indexed="14"/>
            <rFont val="Times New Roman"/>
            <family val="1"/>
          </rPr>
          <t>INFO :</t>
        </r>
        <r>
          <rPr>
            <sz val="10"/>
            <color indexed="10"/>
            <rFont val="Times New Roman"/>
            <family val="1"/>
          </rPr>
          <t xml:space="preserve">
Les chevaux en pâture,se renseigneront directement ici (si la page concernée a été renseignée - lien plus bas-. Penser à effacer les info relatives aux pâturages (avec le lien "tes animaux doivent aller au pré?" à la fin de la période estivale, sinon les résultats ici seront faux).</t>
        </r>
      </text>
    </comment>
    <comment ref="J248" authorId="2">
      <text>
        <r>
          <rPr>
            <sz val="10"/>
            <color indexed="81"/>
            <rFont val="Times New Roman"/>
            <family val="1"/>
          </rPr>
          <t xml:space="preserve">Choisis ici si tes chevaux de trait (si tu en as) passent l'été dehors.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 Ca consid-ère que TOUT TES CHEVAUX DE TRAIT vont au pré l'été.</t>
        </r>
      </text>
    </comment>
    <comment ref="M248" authorId="2">
      <text>
        <r>
          <rPr>
            <sz val="10"/>
            <color indexed="81"/>
            <rFont val="Times New Roman"/>
            <family val="1"/>
          </rPr>
          <t xml:space="preserve">Choisis ici si tes chevaux de trait passent l'hiver dehors.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251"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M251"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257"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(qui s'affichera ici), il te faut renseigner le lien plus bas "assez d'aliments dans tes silos?"
</t>
        </r>
        <r>
          <rPr>
            <b/>
            <sz val="10"/>
            <color indexed="10"/>
            <rFont val="Times New Roman"/>
            <family val="1"/>
          </rPr>
          <t>ATTENTION : le choix concerne TOUTES les bêtes de l'espèce!!</t>
        </r>
      </text>
    </comment>
    <comment ref="C262" authorId="1">
      <text>
        <r>
          <rPr>
            <sz val="10"/>
            <color indexed="81"/>
            <rFont val="Times New Roman"/>
            <family val="1"/>
          </rPr>
          <t>Sur cette colonne, remplis le nombre de poneys (toutes races) que tu as, suivant sexe et tranche d'âge.</t>
        </r>
      </text>
    </comment>
    <comment ref="D262" authorId="1">
      <text>
        <r>
          <rPr>
            <sz val="10"/>
            <color indexed="81"/>
            <rFont val="Times New Roman"/>
            <family val="1"/>
          </rPr>
          <t>Sur cette colonne, indiques la qualité générale des aliments utilisés pour tes animaux, par tranche d'âge.</t>
        </r>
      </text>
    </comment>
    <comment ref="E262" authorId="1">
      <text>
        <r>
          <rPr>
            <b/>
            <u/>
            <sz val="10"/>
            <color indexed="14"/>
            <rFont val="Times New Roman"/>
            <family val="1"/>
          </rPr>
          <t>INFO :</t>
        </r>
        <r>
          <rPr>
            <sz val="10"/>
            <color indexed="10"/>
            <rFont val="Times New Roman"/>
            <family val="1"/>
          </rPr>
          <t xml:space="preserve">
Les poneys en pâture,se renseigneront directement ici (si la page concernée a été renseignée - lien plus bas-. Penser à effacer les info relatives aux pâturages (avec le lien "tes animaux doivent aller au pré?" à la fin de la période estivale, sinon les résultats ici seront faux).</t>
        </r>
      </text>
    </comment>
    <comment ref="J262" authorId="2">
      <text>
        <r>
          <rPr>
            <sz val="10"/>
            <color indexed="81"/>
            <rFont val="Times New Roman"/>
            <family val="1"/>
          </rPr>
          <t xml:space="preserve">Choisis ici si tes poneys (si tu en as) passent l'été dehors.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 Ca consid-ère que TOUT TES PONEYS vont au pré l'été.</t>
        </r>
      </text>
    </comment>
    <comment ref="M262" authorId="2">
      <text>
        <r>
          <rPr>
            <sz val="10"/>
            <color indexed="81"/>
            <rFont val="Times New Roman"/>
            <family val="1"/>
          </rPr>
          <t xml:space="preserve">Choisis ici si tes poneys passent l'hiver dehors.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265"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M265" authorId="2">
      <text>
        <r>
          <rPr>
            <sz val="10"/>
            <color indexed="81"/>
            <rFont val="Times New Roman"/>
            <family val="1"/>
          </rPr>
          <t xml:space="preserve">Choisis ici si tu achètes de la ration toute prête ou pas.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J271" authorId="1">
      <text>
        <r>
          <rPr>
            <sz val="10"/>
            <color indexed="81"/>
            <rFont val="Times New Roman"/>
            <family val="1"/>
          </rPr>
          <t xml:space="preserve">Choisis si tu pailles et/ou vaccines tes animaux.
</t>
        </r>
        <r>
          <rPr>
            <b/>
            <u/>
            <sz val="10"/>
            <color indexed="14"/>
            <rFont val="Times New Roman"/>
            <family val="1"/>
          </rPr>
          <t>INFO :</t>
        </r>
        <r>
          <rPr>
            <sz val="10"/>
            <color indexed="10"/>
            <rFont val="Times New Roman"/>
            <family val="1"/>
          </rPr>
          <t xml:space="preserve">
C'est une liste de choix.
Les vaccins ne sont pas obligatoire (tout comme pailler, mais si tu ne pailles pas, tu ne produiras pas de fumier) mais ils sont très conseillés si tu ne pailles pas!
Pour connaître le coût de paillage (qui s'affichera ici), il te faut renseigner le lien plus bas "assez d'aliments dans tes silos?"
</t>
        </r>
        <r>
          <rPr>
            <b/>
            <sz val="10"/>
            <color indexed="10"/>
            <rFont val="Times New Roman"/>
            <family val="1"/>
          </rPr>
          <t>ATTENTION : le choix concerne TOUTES les bêtes de l'espèce!!</t>
        </r>
      </text>
    </comment>
  </commentList>
</comments>
</file>

<file path=xl/comments3.xml><?xml version="1.0" encoding="utf-8"?>
<comments xmlns="http://schemas.openxmlformats.org/spreadsheetml/2006/main">
  <authors>
    <author>appart</author>
  </authors>
  <commentList>
    <comment ref="B29" authorId="0">
      <text>
        <r>
          <rPr>
            <b/>
            <u/>
            <sz val="10"/>
            <color indexed="14"/>
            <rFont val="Times New Roman"/>
            <family val="1"/>
          </rPr>
          <t xml:space="preserve">INFO : </t>
        </r>
        <r>
          <rPr>
            <sz val="10"/>
            <color indexed="10"/>
            <rFont val="Times New Roman"/>
            <family val="1"/>
          </rPr>
          <t xml:space="preserve">
Si tu as bien fait ton travail, la place nécessaire se calcule toute seule… 
S'il y a écrit "N.C.", cela veut dire que tu n'es pas concerné(e) par ce type de bâtiment.</t>
        </r>
      </text>
    </comment>
    <comment ref="E29" authorId="0">
      <text>
        <r>
          <rPr>
            <b/>
            <u/>
            <sz val="10"/>
            <color indexed="14"/>
            <rFont val="Times New Roman"/>
            <family val="1"/>
          </rPr>
          <t>INFO :</t>
        </r>
        <r>
          <rPr>
            <sz val="10"/>
            <color indexed="10"/>
            <rFont val="Times New Roman"/>
            <family val="1"/>
          </rPr>
          <t xml:space="preserve"> 
Tout se passe bien? Alors ici, tu peux voir si tu as assez de place dans les bâtiments… Si ce n'est pas le cas, cela marquera une valeur négative, qui correspondra à la surface qu'il te manque! </t>
        </r>
      </text>
    </comment>
    <comment ref="G29" authorId="0">
      <text>
        <r>
          <rPr>
            <b/>
            <u/>
            <sz val="10"/>
            <color indexed="14"/>
            <rFont val="Times New Roman"/>
            <family val="1"/>
          </rPr>
          <t>INFO :</t>
        </r>
        <r>
          <rPr>
            <sz val="10"/>
            <color indexed="10"/>
            <rFont val="Times New Roman"/>
            <family val="1"/>
          </rPr>
          <t xml:space="preserve"> 
Indiques ici le niveau d'équipement des batiments qu'il te faut rajouter pour abriter tous des animaux.
C'est une liste de choix à chaque fois.</t>
        </r>
      </text>
    </comment>
    <comment ref="I29" authorId="0">
      <text>
        <r>
          <rPr>
            <b/>
            <u/>
            <sz val="10"/>
            <color indexed="14"/>
            <rFont val="Times New Roman"/>
            <family val="1"/>
          </rPr>
          <t>INFO :</t>
        </r>
        <r>
          <rPr>
            <sz val="10"/>
            <color indexed="10"/>
            <rFont val="Times New Roman"/>
            <family val="1"/>
          </rPr>
          <t xml:space="preserve"> 
Ici se calcule automatiquement le montant des travaux à effectuer pour agrandir tes bâtiments.
</t>
        </r>
      </text>
    </comment>
  </commentList>
</comments>
</file>

<file path=xl/comments4.xml><?xml version="1.0" encoding="utf-8"?>
<comments xmlns="http://schemas.openxmlformats.org/spreadsheetml/2006/main">
  <authors>
    <author>domercq</author>
  </authors>
  <commentList>
    <comment ref="C11" authorId="0">
      <text>
        <r>
          <rPr>
            <b/>
            <u/>
            <sz val="10"/>
            <color indexed="14"/>
            <rFont val="Times New Roman"/>
            <family val="1"/>
          </rPr>
          <t>INFO :</t>
        </r>
        <r>
          <rPr>
            <sz val="10"/>
            <color indexed="10"/>
            <rFont val="Times New Roman"/>
            <family val="1"/>
          </rPr>
          <t xml:space="preserve">
Ici, cela calcule le nombre d'hectares nécessaire pour mettre tout tes animaux, par espèce, en pâture pour toute la saison concernée. Le calcul se base sur une pousse initiale de 100% sur la/les parcelles, et de 4% par jour (donc non fertilisée(s) ni aérée(s)).</t>
        </r>
      </text>
    </comment>
    <comment ref="D11" authorId="0">
      <text>
        <r>
          <rPr>
            <b/>
            <u/>
            <sz val="10"/>
            <color indexed="14"/>
            <rFont val="Times New Roman"/>
            <family val="1"/>
          </rPr>
          <t>INFO :</t>
        </r>
        <r>
          <rPr>
            <sz val="10"/>
            <color indexed="10"/>
            <rFont val="Times New Roman"/>
            <family val="1"/>
          </rPr>
          <t xml:space="preserve">
Ici, cela calcule le nombre d'hectares nécessaire pour mettre tout tes animaux, par espèce, en pâture pour toute la saison concernée. Le calcul se base sur une pousse initiale de 100% sur la/les parcelles, et de 4,5% par jour (donc non fertilisée(s) ni aérée(s) mais rouleau passé).</t>
        </r>
      </text>
    </comment>
    <comment ref="E11" authorId="0">
      <text>
        <r>
          <rPr>
            <b/>
            <u/>
            <sz val="10"/>
            <color indexed="14"/>
            <rFont val="Times New Roman"/>
            <family val="1"/>
          </rPr>
          <t>INFO :</t>
        </r>
        <r>
          <rPr>
            <sz val="10"/>
            <color indexed="10"/>
            <rFont val="Times New Roman"/>
            <family val="1"/>
          </rPr>
          <t xml:space="preserve">
Ici, cela calcule le nombre d'hectares nécessaire pour mettre tout tes animaux, par espèce, en pâture pour toute la saison concernée. Le calcul se base sur une pousse initiale de 100% sur la/les parcelles, et de 5% par jour (donc fertilisée(s) et aérée(s)).</t>
        </r>
      </text>
    </comment>
    <comment ref="F11" authorId="0">
      <text>
        <r>
          <rPr>
            <b/>
            <u/>
            <sz val="10"/>
            <color indexed="14"/>
            <rFont val="Times New Roman"/>
            <family val="1"/>
          </rPr>
          <t>INFO :</t>
        </r>
        <r>
          <rPr>
            <sz val="10"/>
            <color indexed="10"/>
            <rFont val="Times New Roman"/>
            <family val="1"/>
          </rPr>
          <t xml:space="preserve">
Ici, cela calcule le nombre d'hectares nécessaire pour mettre tout tes animaux, par espèce, en pâture pour toute la saison concernée. Le calcul se base sur une pousse initiale de 100% sur la/les parcelles, et de 5,5% par jour (donc fertilisée(s) et aérée(s) et rouleau passé).</t>
        </r>
      </text>
    </comment>
    <comment ref="G11" authorId="0">
      <text>
        <r>
          <rPr>
            <b/>
            <u/>
            <sz val="10"/>
            <color indexed="14"/>
            <rFont val="Times New Roman"/>
            <family val="1"/>
          </rPr>
          <t>INFO :</t>
        </r>
        <r>
          <rPr>
            <sz val="10"/>
            <color indexed="10"/>
            <rFont val="Times New Roman"/>
            <family val="1"/>
          </rPr>
          <t xml:space="preserve">
Ici, cela te dit combien d'hectares tu disposes par espèce, suivant ce que tu renseignes dans le tableau ci-dessous. Cela te donne la surface REELLE disponible, autrement dit, cela prend en compte le pourcentage de pousse initiale.</t>
        </r>
      </text>
    </comment>
    <comment ref="H11" authorId="0">
      <text>
        <r>
          <rPr>
            <b/>
            <u/>
            <sz val="10"/>
            <color indexed="14"/>
            <rFont val="Times New Roman"/>
            <family val="1"/>
          </rPr>
          <t>Petit rappel :</t>
        </r>
        <r>
          <rPr>
            <sz val="10"/>
            <color indexed="10"/>
            <rFont val="Times New Roman"/>
            <family val="1"/>
          </rPr>
          <t xml:space="preserve">
Durée maximale de mise au pré : 
bovins/caprins/ovins : 42 jours
bisons/daims : 84 jours (toute l'année)
chevaux selle/trait/poneys : 56 jours</t>
        </r>
      </text>
    </comment>
    <comment ref="B25" authorId="0">
      <text>
        <r>
          <rPr>
            <sz val="10"/>
            <color indexed="81"/>
            <rFont val="Times New Roman"/>
            <family val="1"/>
          </rPr>
          <t xml:space="preserve">Précise ici si la parcelle que tu renseignes est une parcelle de foin ou de la pâture.
</t>
        </r>
        <r>
          <rPr>
            <b/>
            <u/>
            <sz val="10"/>
            <color indexed="14"/>
            <rFont val="Times New Roman"/>
            <family val="1"/>
          </rPr>
          <t>INFO :</t>
        </r>
        <r>
          <rPr>
            <sz val="10"/>
            <color indexed="10"/>
            <rFont val="Times New Roman"/>
            <family val="1"/>
          </rPr>
          <t xml:space="preserve">
C'est une liste de choix.</t>
        </r>
      </text>
    </comment>
    <comment ref="B26" authorId="0">
      <text>
        <r>
          <rPr>
            <sz val="10"/>
            <color indexed="81"/>
            <rFont val="Times New Roman"/>
            <family val="1"/>
          </rPr>
          <t xml:space="preserve">Précise ici la semence utilisée sur tes parcelles de foin et tes pâtures.
</t>
        </r>
        <r>
          <rPr>
            <b/>
            <u/>
            <sz val="10"/>
            <color indexed="14"/>
            <rFont val="Times New Roman"/>
            <family val="1"/>
          </rPr>
          <t>INFO :</t>
        </r>
        <r>
          <rPr>
            <sz val="10"/>
            <color indexed="10"/>
            <rFont val="Times New Roman"/>
            <family val="1"/>
          </rPr>
          <t xml:space="preserve">
C'est une liste de choix. Cela a une influence sur le calcul de semences nécessaires et sur les surfaces nécessaires pour jouer en autonomie (onglet "semences, engrais et traitements")</t>
        </r>
      </text>
    </comment>
    <comment ref="B30" authorId="0">
      <text>
        <r>
          <rPr>
            <sz val="10"/>
            <color indexed="81"/>
            <rFont val="Times New Roman"/>
            <family val="1"/>
          </rPr>
          <t>Ici, tu dois mettre le pourcentage d'herbe qu'il y a sur chaque pâturage au moment où tu mets des animaux au pré. Par exemple, si tu as une pousse à 60% alors tu dois écrire 60</t>
        </r>
      </text>
    </comment>
    <comment ref="B31" authorId="0">
      <text>
        <r>
          <rPr>
            <sz val="10"/>
            <color indexed="81"/>
            <rFont val="Times New Roman"/>
            <family val="1"/>
          </rPr>
          <t xml:space="preserve">Ici, si tu n'as pas aéré ta prairie, tu dois choisir "4" sinon, tu mets "5".
</t>
        </r>
        <r>
          <rPr>
            <b/>
            <u/>
            <sz val="10"/>
            <color indexed="14"/>
            <rFont val="Times New Roman"/>
            <family val="1"/>
          </rPr>
          <t>INFO :</t>
        </r>
        <r>
          <rPr>
            <sz val="10"/>
            <color indexed="10"/>
            <rFont val="Times New Roman"/>
            <family val="1"/>
          </rPr>
          <t xml:space="preserve">
C'est une liste de choix.</t>
        </r>
      </text>
    </comment>
    <comment ref="C38" authorId="0">
      <text>
        <r>
          <rPr>
            <b/>
            <u/>
            <sz val="10"/>
            <color indexed="14"/>
            <rFont val="Times New Roman"/>
            <family val="1"/>
          </rPr>
          <t>INFO :</t>
        </r>
        <r>
          <rPr>
            <sz val="10"/>
            <color indexed="10"/>
            <rFont val="Times New Roman"/>
            <family val="1"/>
          </rPr>
          <t xml:space="preserve">
Pour les ovins et caprins, tu peux mettre ici les bêtes de 12 mois et +, donc out les adultes (c'est pour cela que tu peux être amené a voir des cases turquoises hachurées pour les lignes suivantes).</t>
        </r>
      </text>
    </comment>
    <comment ref="B47" authorId="0">
      <text>
        <r>
          <rPr>
            <sz val="10"/>
            <color indexed="81"/>
            <rFont val="Times New Roman"/>
            <family val="1"/>
          </rPr>
          <t xml:space="preserve">Ici tu choisis l'unité : ha ou %
</t>
        </r>
        <r>
          <rPr>
            <b/>
            <u/>
            <sz val="10"/>
            <color indexed="14"/>
            <rFont val="Times New Roman"/>
            <family val="1"/>
          </rPr>
          <t>INFO :</t>
        </r>
        <r>
          <rPr>
            <sz val="10"/>
            <color indexed="10"/>
            <rFont val="Times New Roman"/>
            <family val="1"/>
          </rPr>
          <t xml:space="preserve">
C'est une liste de choix.</t>
        </r>
      </text>
    </comment>
    <comment ref="B48" authorId="0">
      <text>
        <r>
          <rPr>
            <sz val="10"/>
            <color indexed="81"/>
            <rFont val="Times New Roman"/>
            <family val="1"/>
          </rPr>
          <t>Cette valeur est négative?? Alors c'est qu'il te manque le nombre de litres indiqués.
La valeur est positive?? Pas de soucis : tes animaux consomment moins que ce que fournit ta source : tu ne manqueras pas d'eau!!</t>
        </r>
      </text>
    </comment>
    <comment ref="B51" authorId="0">
      <text>
        <r>
          <rPr>
            <sz val="10"/>
            <color indexed="81"/>
            <rFont val="Times New Roman"/>
            <family val="1"/>
          </rPr>
          <t>Si cette valeur est négative, alors il te restera de l'herbe à la fin de la période estivale. Si la valeur est positive (donc écrite en rouge sur fond jaune), alors tu auras un souci d'herbe au bout du nombre de jours indiqués...</t>
        </r>
      </text>
    </comment>
    <comment ref="B53" authorId="0">
      <text>
        <r>
          <rPr>
            <sz val="10"/>
            <color indexed="81"/>
            <rFont val="Times New Roman"/>
            <family val="1"/>
          </rPr>
          <t>La Quantité de ration hiver concerne tout les animaux renseignés dans ce tableau. Attention donc si tu as des races laitières ET allaitantes dans la même parcelle. De même ce tableau ne différenciant pas les races, si tu ne fais que des races laitières, il t'affichera quand même une quantité de ration hiver...</t>
        </r>
      </text>
    </comment>
  </commentList>
</comments>
</file>

<file path=xl/comments5.xml><?xml version="1.0" encoding="utf-8"?>
<comments xmlns="http://schemas.openxmlformats.org/spreadsheetml/2006/main">
  <authors>
    <author>appart</author>
    <author>DOMERCQ, Ghislain (ALTRAN)</author>
  </authors>
  <commentList>
    <comment ref="B5" authorId="0">
      <text>
        <r>
          <rPr>
            <sz val="10"/>
            <color indexed="81"/>
            <rFont val="Times New Roman"/>
            <family val="1"/>
          </rPr>
          <t xml:space="preserve">Ici, tu choisis le nombre de jours pour lesquels tu veux stocker tes aliments.
</t>
        </r>
        <r>
          <rPr>
            <b/>
            <u/>
            <sz val="10"/>
            <color indexed="14"/>
            <rFont val="Times New Roman"/>
            <family val="1"/>
          </rPr>
          <t>INFO :</t>
        </r>
        <r>
          <rPr>
            <sz val="10"/>
            <color indexed="10"/>
            <rFont val="Times New Roman"/>
            <family val="1"/>
          </rPr>
          <t xml:space="preserve">
C'est une liste de choix (qui va de 1jour à 1 an).
Le résultat n'est qu'approximatif : tes animaux grandissant ne mangeant pas la même quantité d'aliments, le résultat correspond aux bêtes sous abris que tu as renseigné dans les élevages qui te concernent!
Pour la paille, si tu choisis ici "1 an", il te faut dire si tu mets en pature ou pas (en bas de ce tableau) pour avoir la bonne valeur (basée sur une mise au pré sur toute la durée de la période estivale).</t>
        </r>
      </text>
    </comment>
    <comment ref="C7" authorId="1">
      <text>
        <r>
          <rPr>
            <sz val="9"/>
            <color indexed="81"/>
            <rFont val="Tahoma"/>
            <family val="2"/>
          </rPr>
          <t xml:space="preserve">Quels que soient tes réglages, la quantité d'eau calculée ici correspond à la quantité nécessaire sur 1 saison, que ce soit au pré (= pas de source) ou dans les batiments d'élevage.
</t>
        </r>
      </text>
    </comment>
    <comment ref="J8" authorId="0">
      <text>
        <r>
          <rPr>
            <sz val="10"/>
            <color indexed="81"/>
            <rFont val="Times New Roman"/>
            <family val="1"/>
          </rPr>
          <t xml:space="preserve">Sur cette colonne,  remplis le prix de vente des aliments.
</t>
        </r>
        <r>
          <rPr>
            <b/>
            <u/>
            <sz val="10"/>
            <color indexed="14"/>
            <rFont val="Times New Roman"/>
            <family val="1"/>
          </rPr>
          <t xml:space="preserve">INFO : </t>
        </r>
        <r>
          <rPr>
            <sz val="10"/>
            <color indexed="10"/>
            <rFont val="Times New Roman"/>
            <family val="1"/>
          </rPr>
          <t xml:space="preserve">
Les cases blanches (déjà remplies) sont des prix fixes.</t>
        </r>
      </text>
    </comment>
    <comment ref="M26" authorId="0">
      <text>
        <r>
          <rPr>
            <b/>
            <u/>
            <sz val="10"/>
            <color indexed="14"/>
            <rFont val="Times New Roman"/>
            <family val="1"/>
          </rPr>
          <t>RAPPEL :</t>
        </r>
        <r>
          <rPr>
            <sz val="10"/>
            <color indexed="10"/>
            <rFont val="Times New Roman"/>
            <family val="1"/>
          </rPr>
          <t xml:space="preserve"> 
Le vaccin n'es pas obligatoire. Il ne produit pas de fumier, mais protège aussi bien les bêtes des maladies que le paillage (à condition de ne pas oublier les rappels des vaccins, 1 fois par an SIMAGRI)</t>
        </r>
      </text>
    </comment>
    <comment ref="I53" authorId="0">
      <text>
        <r>
          <rPr>
            <b/>
            <u/>
            <sz val="10"/>
            <color indexed="14"/>
            <rFont val="Times New Roman"/>
            <family val="1"/>
          </rPr>
          <t>INFO :</t>
        </r>
        <r>
          <rPr>
            <sz val="10"/>
            <color indexed="10"/>
            <rFont val="Times New Roman"/>
            <family val="1"/>
          </rPr>
          <t xml:space="preserve"> 
sur cette case, tu vois combien tu dois dépenser pour régler ta commande.
Bien entendu, à la coop, ne pouvant acheter exactement la quantité marquée ici, ce montant est MINIMUM!!
ATTENTION : ce montant correspond aux animaux que tu as renseigné dans ce fichier. Il ne tient pas compte du fait que tu auras certainement des animaux qui grandiront!!!</t>
        </r>
      </text>
    </comment>
  </commentList>
</comments>
</file>

<file path=xl/comments6.xml><?xml version="1.0" encoding="utf-8"?>
<comments xmlns="http://schemas.openxmlformats.org/spreadsheetml/2006/main">
  <authors>
    <author>Administrateur HH</author>
  </authors>
  <commentList>
    <comment ref="F3" authorId="0">
      <text>
        <r>
          <rPr>
            <sz val="10"/>
            <color indexed="81"/>
            <rFont val="Times New Roman"/>
            <family val="1"/>
          </rPr>
          <t xml:space="preserve">Indiques sur quelle période tu veux effectuer ton bilan.
</t>
        </r>
        <r>
          <rPr>
            <b/>
            <u/>
            <sz val="10"/>
            <color indexed="14"/>
            <rFont val="Times New Roman"/>
            <family val="1"/>
          </rPr>
          <t>INFO :</t>
        </r>
        <r>
          <rPr>
            <sz val="10"/>
            <color indexed="81"/>
            <rFont val="Times New Roman"/>
            <family val="1"/>
          </rPr>
          <t xml:space="preserve"> </t>
        </r>
        <r>
          <rPr>
            <sz val="10"/>
            <color indexed="10"/>
            <rFont val="Times New Roman"/>
            <family val="1"/>
          </rPr>
          <t xml:space="preserve">
c'est une liste de choix.
ATTENTION : pour le montant des dépenses, le calcul se fait comme s'il ne pleut pas du tout, et que tu dois donc payer l'eau pour tes animaux. Ceci dit, sur l'année, il prend en compte si tu as une source dans tes prés ou pas.</t>
        </r>
      </text>
    </comment>
    <comment ref="B6" authorId="0">
      <text>
        <r>
          <rPr>
            <sz val="10"/>
            <color indexed="81"/>
            <rFont val="Times New Roman"/>
            <family val="1"/>
          </rPr>
          <t xml:space="preserve">Indiques si tu mets en pâtures ou pas..
</t>
        </r>
        <r>
          <rPr>
            <b/>
            <u/>
            <sz val="10"/>
            <color indexed="14"/>
            <rFont val="Times New Roman"/>
            <family val="1"/>
          </rPr>
          <t>INFO :</t>
        </r>
        <r>
          <rPr>
            <sz val="10"/>
            <color indexed="81"/>
            <rFont val="Times New Roman"/>
            <family val="1"/>
          </rPr>
          <t xml:space="preserve"> </t>
        </r>
        <r>
          <rPr>
            <sz val="10"/>
            <color indexed="10"/>
            <rFont val="Times New Roman"/>
            <family val="1"/>
          </rPr>
          <t xml:space="preserve">
C'est une liste de choix.
ATTENTION : le résultat n'a une influance sur les dépenses à l'année uniquement!</t>
        </r>
      </text>
    </comment>
    <comment ref="C6" authorId="0">
      <text>
        <r>
          <rPr>
            <b/>
            <u/>
            <sz val="10"/>
            <color indexed="14"/>
            <rFont val="Times New Roman"/>
            <family val="1"/>
          </rPr>
          <t>INFO :</t>
        </r>
        <r>
          <rPr>
            <sz val="10"/>
            <color indexed="81"/>
            <rFont val="Times New Roman"/>
            <family val="1"/>
          </rPr>
          <t xml:space="preserve"> </t>
        </r>
        <r>
          <rPr>
            <sz val="10"/>
            <color indexed="10"/>
            <rFont val="Times New Roman"/>
            <family val="1"/>
          </rPr>
          <t xml:space="preserve">
Ici se calcule automatiquement la quantité totale d'eau qu'apporte chaque jour la source dans tout les prés de l'espèce concernée.</t>
        </r>
      </text>
    </comment>
    <comment ref="I6" authorId="0">
      <text>
        <r>
          <rPr>
            <b/>
            <u/>
            <sz val="10"/>
            <color indexed="14"/>
            <rFont val="Times New Roman"/>
            <family val="1"/>
          </rPr>
          <t>INFO :</t>
        </r>
        <r>
          <rPr>
            <sz val="10"/>
            <color indexed="81"/>
            <rFont val="Times New Roman"/>
            <family val="1"/>
          </rPr>
          <t xml:space="preserve"> </t>
        </r>
        <r>
          <rPr>
            <sz val="10"/>
            <color indexed="10"/>
            <rFont val="Times New Roman"/>
            <family val="1"/>
          </rPr>
          <t xml:space="preserve">
Le vaccin pouvant éventuellement remplacer le paillage, celui-ci rentre également en compte.
Le coût ici dépend des prix renseignés sur l'onglet "coût alimentation".</t>
        </r>
      </text>
    </comment>
    <comment ref="B24" authorId="0">
      <text>
        <r>
          <rPr>
            <sz val="10"/>
            <color indexed="81"/>
            <rFont val="Times New Roman"/>
            <family val="1"/>
          </rPr>
          <t>Indiques le nombre de vaches que tu as par race.</t>
        </r>
      </text>
    </comment>
    <comment ref="D24" authorId="0">
      <text>
        <r>
          <rPr>
            <sz val="10"/>
            <color indexed="81"/>
            <rFont val="Times New Roman"/>
            <family val="1"/>
          </rPr>
          <t>Indiques le nombre de chèvres que tu as par race.</t>
        </r>
      </text>
    </comment>
    <comment ref="F24" authorId="0">
      <text>
        <r>
          <rPr>
            <sz val="10"/>
            <color indexed="81"/>
            <rFont val="Times New Roman"/>
            <family val="1"/>
          </rPr>
          <t>Indiques le nombre de brebis que tu as par race.</t>
        </r>
      </text>
    </comment>
    <comment ref="B54" authorId="0">
      <text>
        <r>
          <rPr>
            <sz val="10"/>
            <color indexed="81"/>
            <rFont val="Times New Roman"/>
            <family val="1"/>
          </rPr>
          <t xml:space="preserve">Indiques le nombre de chèvres </t>
        </r>
        <r>
          <rPr>
            <b/>
            <sz val="10"/>
            <color indexed="10"/>
            <rFont val="Times New Roman"/>
            <family val="1"/>
          </rPr>
          <t>ET</t>
        </r>
        <r>
          <rPr>
            <sz val="10"/>
            <color indexed="81"/>
            <rFont val="Times New Roman"/>
            <family val="1"/>
          </rPr>
          <t xml:space="preserve"> boucs que tu as par race.</t>
        </r>
      </text>
    </comment>
    <comment ref="D54" authorId="0">
      <text>
        <r>
          <rPr>
            <sz val="10"/>
            <color indexed="81"/>
            <rFont val="Times New Roman"/>
            <family val="1"/>
          </rPr>
          <t xml:space="preserve">Indiques le nombre de brebis </t>
        </r>
        <r>
          <rPr>
            <b/>
            <sz val="10"/>
            <color indexed="10"/>
            <rFont val="Times New Roman"/>
            <family val="1"/>
          </rPr>
          <t>ET</t>
        </r>
        <r>
          <rPr>
            <sz val="10"/>
            <color indexed="81"/>
            <rFont val="Times New Roman"/>
            <family val="1"/>
          </rPr>
          <t xml:space="preserve"> béliers que tu as par race.</t>
        </r>
      </text>
    </comment>
    <comment ref="F54" authorId="0">
      <text>
        <r>
          <rPr>
            <sz val="10"/>
            <color indexed="81"/>
            <rFont val="Times New Roman"/>
            <family val="1"/>
          </rPr>
          <t xml:space="preserve">Indiques le nombre de lapins </t>
        </r>
        <r>
          <rPr>
            <b/>
            <sz val="10"/>
            <color indexed="10"/>
            <rFont val="Times New Roman"/>
            <family val="1"/>
          </rPr>
          <t>ET</t>
        </r>
        <r>
          <rPr>
            <sz val="10"/>
            <color indexed="81"/>
            <rFont val="Times New Roman"/>
            <family val="1"/>
          </rPr>
          <t xml:space="preserve"> lapines que tu as par race.</t>
        </r>
      </text>
    </comment>
    <comment ref="B83" authorId="0">
      <text>
        <r>
          <rPr>
            <sz val="10"/>
            <color indexed="81"/>
            <rFont val="Times New Roman"/>
            <family val="1"/>
          </rPr>
          <t>Indiques le nombre de poules que tu as par race.
Le calibre des œufs dépend de l'age de la poule : 
XL : 6 mois à 1 an
L ou XL : 1 à 2 ans
L : 2 à 3 ans
M ou L : 3 à 4 ans
M : 4 à 5 ans
S ou M : 5 à 6 ans
S : 6 ans et plus</t>
        </r>
      </text>
    </comment>
    <comment ref="E83" authorId="0">
      <text>
        <r>
          <rPr>
            <sz val="10"/>
            <color indexed="81"/>
            <rFont val="Times New Roman"/>
            <family val="1"/>
          </rPr>
          <t>Indiques le nombre de canes que tu as par race.</t>
        </r>
      </text>
    </comment>
    <comment ref="B104" authorId="0">
      <text>
        <r>
          <rPr>
            <sz val="10"/>
            <color indexed="81"/>
            <rFont val="Times New Roman"/>
            <family val="1"/>
          </rPr>
          <t>Indiques le nombre de poules que tu as par race.</t>
        </r>
      </text>
    </comment>
    <comment ref="D104" authorId="0">
      <text>
        <r>
          <rPr>
            <sz val="10"/>
            <color indexed="81"/>
            <rFont val="Times New Roman"/>
            <family val="1"/>
          </rPr>
          <t>Indiques le nombre de poules que tu as par race.</t>
        </r>
      </text>
    </comment>
  </commentList>
</comments>
</file>

<file path=xl/comments7.xml><?xml version="1.0" encoding="utf-8"?>
<comments xmlns="http://schemas.openxmlformats.org/spreadsheetml/2006/main">
  <authors>
    <author>appart</author>
  </authors>
  <commentList>
    <comment ref="I2" authorId="0">
      <text>
        <r>
          <rPr>
            <sz val="10"/>
            <color indexed="81"/>
            <rFont val="Times New Roman"/>
            <family val="1"/>
          </rPr>
          <t xml:space="preserve">Précises le pays où tu as tes cultures.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B18" authorId="0">
      <text>
        <r>
          <rPr>
            <sz val="10"/>
            <color indexed="81"/>
            <rFont val="Times New Roman"/>
            <family val="1"/>
          </rPr>
          <t xml:space="preserve">Selon le pays où tu es, cette culture change.
</t>
        </r>
        <r>
          <rPr>
            <b/>
            <u/>
            <sz val="10"/>
            <color indexed="14"/>
            <rFont val="Times New Roman"/>
            <family val="1"/>
          </rPr>
          <t>INFO :</t>
        </r>
        <r>
          <rPr>
            <sz val="10"/>
            <color indexed="81"/>
            <rFont val="Times New Roman"/>
            <family val="1"/>
          </rPr>
          <t xml:space="preserve"> 
</t>
        </r>
        <r>
          <rPr>
            <sz val="10"/>
            <color indexed="10"/>
            <rFont val="Times New Roman"/>
            <family val="1"/>
          </rPr>
          <t>Renseignes le pays concerné en haut de cette page pour que la culture s'affiche.</t>
        </r>
      </text>
    </comment>
    <comment ref="F83" authorId="0">
      <text>
        <r>
          <rPr>
            <sz val="10"/>
            <color indexed="81"/>
            <rFont val="Times New Roman"/>
            <family val="1"/>
          </rPr>
          <t xml:space="preserve">Sur ces colonnes (cases turquoises), renseignes la région/province concernée par tes parcelles (1 par 1),son type (conventionnel ou bio), la culture semée et la surface. Ca te donnera un aperçu de ce que tu peux avoir en vendant tes récoltes. 
ATTENTION : il s'agit d'une moyenne!!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 à chaque fois (96 parcelles maxi).
Si une fois rempli tu vois des ######## au lieu de l'argent, c'est que la colonne est trop petite! Dans ce cas amènes le curseur de ta souris sur la case en question et attends 1-2 secondes (sans cliquer) : la valeur devrait s'afficher.</t>
        </r>
      </text>
    </comment>
    <comment ref="A93" authorId="0">
      <text>
        <r>
          <rPr>
            <b/>
            <u/>
            <sz val="10"/>
            <color indexed="14"/>
            <rFont val="Times New Roman"/>
            <family val="1"/>
          </rPr>
          <t>INFO :</t>
        </r>
        <r>
          <rPr>
            <sz val="10"/>
            <color indexed="81"/>
            <rFont val="Times New Roman"/>
            <family val="1"/>
          </rPr>
          <t xml:space="preserve"> 
</t>
        </r>
        <r>
          <rPr>
            <sz val="10"/>
            <color indexed="10"/>
            <rFont val="Times New Roman"/>
            <family val="1"/>
          </rPr>
          <t>Le nom/identifiant des parcelles n'est pas obligatoire. Ne rien mettre comme nom ne changera aucun résultat. C'est juste une aide pour que tu t'y retrouves dans ta gestion.</t>
        </r>
      </text>
    </comment>
  </commentList>
</comments>
</file>

<file path=xl/comments8.xml><?xml version="1.0" encoding="utf-8"?>
<comments xmlns="http://schemas.openxmlformats.org/spreadsheetml/2006/main">
  <authors>
    <author>appart</author>
  </authors>
  <commentList>
    <comment ref="I2" authorId="0">
      <text>
        <r>
          <rPr>
            <sz val="10"/>
            <color indexed="81"/>
            <rFont val="Times New Roman"/>
            <family val="1"/>
          </rPr>
          <t xml:space="preserve">Précises le pays où tu as tes cultures.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E42" authorId="0">
      <text>
        <r>
          <rPr>
            <sz val="10"/>
            <color indexed="81"/>
            <rFont val="Times New Roman"/>
            <family val="1"/>
          </rPr>
          <t xml:space="preserve">Sur ces colonnes (cases turquoises), remplis la région/province concernée par tes parcelles (1 par 1); la culture semée et la surface. Ca te donnera un aperçu de ce que tu peux avoir en vendant tes récoltes. 
ATTENTION : il s'agit d'une moyenne!! et ne sont pas pris en compte les PA nécessaires pour les travaux et les récoltes...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 à chaque fois.
Si une fois rempli tu vois des ######## au lieu de l'argent, c'est que la colonne est trop petite! Dans ce cas amènes le curseur de ta souris sur la case en question et attends 1-2 secondes (sans cliquer) : la valeur devrait s'afficher.</t>
        </r>
      </text>
    </comment>
  </commentList>
</comments>
</file>

<file path=xl/comments9.xml><?xml version="1.0" encoding="utf-8"?>
<comments xmlns="http://schemas.openxmlformats.org/spreadsheetml/2006/main">
  <authors>
    <author>st22744</author>
    <author>domercq</author>
  </authors>
  <commentList>
    <comment ref="D16" authorId="0">
      <text>
        <r>
          <rPr>
            <sz val="10"/>
            <color indexed="81"/>
            <rFont val="Times New Roman"/>
            <family val="1"/>
          </rPr>
          <t>Choisis ici la région de ta ferme.</t>
        </r>
        <r>
          <rPr>
            <b/>
            <u/>
            <sz val="10"/>
            <color indexed="14"/>
            <rFont val="Times New Roman"/>
            <family val="1"/>
          </rPr>
          <t xml:space="preserve">
INFO :</t>
        </r>
        <r>
          <rPr>
            <sz val="10"/>
            <color indexed="81"/>
            <rFont val="Times New Roman"/>
            <family val="1"/>
          </rPr>
          <t xml:space="preserve">
</t>
        </r>
        <r>
          <rPr>
            <sz val="10"/>
            <color indexed="10"/>
            <rFont val="Times New Roman"/>
            <family val="1"/>
          </rPr>
          <t>C'est une liste de choix.</t>
        </r>
        <r>
          <rPr>
            <sz val="10"/>
            <color indexed="81"/>
            <rFont val="Times New Roman"/>
            <family val="1"/>
          </rPr>
          <t xml:space="preserve">
</t>
        </r>
        <r>
          <rPr>
            <sz val="10"/>
            <color indexed="10"/>
            <rFont val="Times New Roman"/>
            <family val="1"/>
          </rPr>
          <t>Il faut qu'apparaisse ci-dessus un pays.</t>
        </r>
      </text>
    </comment>
    <comment ref="F16" authorId="0">
      <text>
        <r>
          <rPr>
            <sz val="10"/>
            <color indexed="81"/>
            <rFont val="Times New Roman"/>
            <family val="1"/>
          </rPr>
          <t xml:space="preserve">Choisis ici l'espèce pour laquelle tu veux être autonome.
</t>
        </r>
        <r>
          <rPr>
            <b/>
            <u/>
            <sz val="10"/>
            <color indexed="14"/>
            <rFont val="Times New Roman"/>
            <family val="1"/>
          </rPr>
          <t>INFO :</t>
        </r>
        <r>
          <rPr>
            <sz val="10"/>
            <color indexed="81"/>
            <rFont val="Times New Roman"/>
            <family val="1"/>
          </rPr>
          <t xml:space="preserve">
</t>
        </r>
        <r>
          <rPr>
            <sz val="10"/>
            <color indexed="10"/>
            <rFont val="Times New Roman"/>
            <family val="1"/>
          </rPr>
          <t>C'est une liste de choix</t>
        </r>
      </text>
    </comment>
    <comment ref="H16" authorId="0">
      <text>
        <r>
          <rPr>
            <sz val="10"/>
            <color indexed="81"/>
            <rFont val="Times New Roman"/>
            <family val="1"/>
          </rPr>
          <t xml:space="preserve">Précises ici si oui ou non les animaux sont au pré pendant la préiode estivale.
</t>
        </r>
        <r>
          <rPr>
            <b/>
            <u/>
            <sz val="10"/>
            <color indexed="14"/>
            <rFont val="Times New Roman"/>
            <family val="1"/>
          </rPr>
          <t>INFO :</t>
        </r>
        <r>
          <rPr>
            <sz val="10"/>
            <color indexed="81"/>
            <rFont val="Times New Roman"/>
            <family val="1"/>
          </rPr>
          <t xml:space="preserve">
</t>
        </r>
        <r>
          <rPr>
            <sz val="10"/>
            <color indexed="10"/>
            <rFont val="Times New Roman"/>
            <family val="1"/>
          </rPr>
          <t>De ces réponses dépendent les valeurs ci-dessous.</t>
        </r>
      </text>
    </comment>
    <comment ref="D19" authorId="0">
      <text>
        <r>
          <rPr>
            <sz val="10"/>
            <color indexed="81"/>
            <rFont val="Times New Roman"/>
            <family val="1"/>
          </rPr>
          <t>Choisis ici la région de ta ferme.</t>
        </r>
        <r>
          <rPr>
            <b/>
            <u/>
            <sz val="10"/>
            <color indexed="14"/>
            <rFont val="Times New Roman"/>
            <family val="1"/>
          </rPr>
          <t xml:space="preserve">
INFO :</t>
        </r>
        <r>
          <rPr>
            <sz val="10"/>
            <color indexed="81"/>
            <rFont val="Times New Roman"/>
            <family val="1"/>
          </rPr>
          <t xml:space="preserve">
</t>
        </r>
        <r>
          <rPr>
            <sz val="10"/>
            <color indexed="10"/>
            <rFont val="Times New Roman"/>
            <family val="1"/>
          </rPr>
          <t>C'est une liste de choix.</t>
        </r>
        <r>
          <rPr>
            <sz val="10"/>
            <color indexed="81"/>
            <rFont val="Times New Roman"/>
            <family val="1"/>
          </rPr>
          <t xml:space="preserve">
</t>
        </r>
        <r>
          <rPr>
            <sz val="10"/>
            <color indexed="10"/>
            <rFont val="Times New Roman"/>
            <family val="1"/>
          </rPr>
          <t>Il faut qu'apparaisse ci-dessus un pays.</t>
        </r>
      </text>
    </comment>
    <comment ref="F22" authorId="0">
      <text>
        <r>
          <rPr>
            <b/>
            <u/>
            <sz val="10"/>
            <color indexed="14"/>
            <rFont val="Times New Roman"/>
            <family val="1"/>
          </rPr>
          <t>INFO :</t>
        </r>
        <r>
          <rPr>
            <sz val="10"/>
            <color indexed="81"/>
            <rFont val="Times New Roman"/>
            <family val="1"/>
          </rPr>
          <t xml:space="preserve">
</t>
        </r>
        <r>
          <rPr>
            <sz val="10"/>
            <color indexed="10"/>
            <rFont val="Times New Roman"/>
            <family val="1"/>
          </rPr>
          <t>Unités de ce tableau : hectare.</t>
        </r>
      </text>
    </comment>
    <comment ref="K22" authorId="0">
      <text>
        <r>
          <rPr>
            <b/>
            <u/>
            <sz val="10"/>
            <color indexed="14"/>
            <rFont val="Times New Roman"/>
            <family val="1"/>
          </rPr>
          <t>INFO :</t>
        </r>
        <r>
          <rPr>
            <sz val="10"/>
            <color indexed="81"/>
            <rFont val="Times New Roman"/>
            <family val="1"/>
          </rPr>
          <t xml:space="preserve">
</t>
        </r>
        <r>
          <rPr>
            <sz val="10"/>
            <color indexed="10"/>
            <rFont val="Times New Roman"/>
            <family val="1"/>
          </rPr>
          <t>Voilà le nombre d'hectare produits en trop, et que tu peux mettre en "contrat parcelle".</t>
        </r>
      </text>
    </comment>
    <comment ref="C35" authorId="1">
      <text>
        <r>
          <rPr>
            <sz val="10"/>
            <color indexed="81"/>
            <rFont val="Times New Roman"/>
            <family val="1"/>
          </rPr>
          <t>Ici, s'affiche la surface à semer avec des céréales à paille (fèverole, pois, triticale, avoine, orge et blé).</t>
        </r>
      </text>
    </comment>
    <comment ref="C37" authorId="1">
      <text>
        <r>
          <rPr>
            <b/>
            <u/>
            <sz val="10"/>
            <color indexed="14"/>
            <rFont val="Times New Roman"/>
            <family val="1"/>
          </rPr>
          <t>INFO :</t>
        </r>
        <r>
          <rPr>
            <sz val="10"/>
            <color indexed="10"/>
            <rFont val="Times New Roman"/>
            <family val="1"/>
          </rPr>
          <t xml:space="preserve">
Ici, cela calcule le nombre d'hectares nécessaire pour mettre tout tes animaux en pâture pour toute la saison concernée. Le calcul se base sur une pousse initiale de 100% sur la/les parcelles, et de 4% par jour (donc non fertilisée(s) ni aérée(s) et rouleau non passé).</t>
        </r>
      </text>
    </comment>
    <comment ref="C40" authorId="1">
      <text>
        <r>
          <rPr>
            <b/>
            <u/>
            <sz val="10"/>
            <color indexed="14"/>
            <rFont val="Times New Roman"/>
            <family val="1"/>
          </rPr>
          <t>INFO :</t>
        </r>
        <r>
          <rPr>
            <sz val="10"/>
            <color indexed="10"/>
            <rFont val="Times New Roman"/>
            <family val="1"/>
          </rPr>
          <t xml:space="preserve">
Ici, c'est particulier : tu ne peux pas donner directement de la luzerne à tes animaux. Il te faut acheter des bouchons de luzerne si besoin, pour les nourrir...</t>
        </r>
      </text>
    </comment>
  </commentList>
</comments>
</file>

<file path=xl/sharedStrings.xml><?xml version="1.0" encoding="utf-8"?>
<sst xmlns="http://schemas.openxmlformats.org/spreadsheetml/2006/main" count="21883" uniqueCount="2000">
  <si>
    <t>pulvérisateurs maraîchers</t>
  </si>
  <si>
    <t>planteuses maraîchage</t>
  </si>
  <si>
    <t>semoirs maraîchers</t>
  </si>
  <si>
    <t>récolteuses ail</t>
  </si>
  <si>
    <t>récolteuses carotte</t>
  </si>
  <si>
    <t>épandeurs à engrais maraîcher</t>
  </si>
  <si>
    <t>récolteuses poireau</t>
  </si>
  <si>
    <t>fraises rotatives</t>
  </si>
  <si>
    <t>souleveuses lin</t>
  </si>
  <si>
    <t>rouleaux</t>
  </si>
  <si>
    <t>remorques ensilage</t>
  </si>
  <si>
    <t>récolteuses haricot</t>
  </si>
  <si>
    <t>récolteuses épinard</t>
  </si>
  <si>
    <t>pieds de pruniers</t>
  </si>
  <si>
    <t>pieds de mirabelliers</t>
  </si>
  <si>
    <t>engrais pruniers</t>
  </si>
  <si>
    <t>engrais mirabelliers</t>
  </si>
  <si>
    <t>bouchons de luzerne (t)</t>
  </si>
  <si>
    <t>jeune jars 3-6 mois</t>
  </si>
  <si>
    <t>jeune oie 3-6 mois</t>
  </si>
  <si>
    <t>CANARDS</t>
  </si>
  <si>
    <t>poneys</t>
  </si>
  <si>
    <t>trait</t>
  </si>
  <si>
    <t>Bourbourg</t>
  </si>
  <si>
    <t>OUI</t>
  </si>
  <si>
    <t>NON</t>
  </si>
  <si>
    <t>nombre dans pré</t>
  </si>
  <si>
    <t>nombre total</t>
  </si>
  <si>
    <t>porcelet mâle 1-3 mois</t>
  </si>
  <si>
    <t>Pour une utilisation correcte du fichier, il te faut bien lire le mode d'emploi ci-dessous…</t>
  </si>
  <si>
    <t>traitement poiriers</t>
  </si>
  <si>
    <t>engrais poiriers</t>
  </si>
  <si>
    <t>poussin femelle 0-1 mois</t>
  </si>
  <si>
    <t>jeune coq 1-6 mois</t>
  </si>
  <si>
    <t>jeune poule 1-6 mois</t>
  </si>
  <si>
    <t>coq</t>
  </si>
  <si>
    <t>poule</t>
  </si>
  <si>
    <t>OVINS</t>
  </si>
  <si>
    <t>agneau 0-3 mois</t>
  </si>
  <si>
    <t>agnelle 0-3 mois</t>
  </si>
  <si>
    <t>agneau 3-6 mois</t>
  </si>
  <si>
    <t>agnelle 3-6 mois</t>
  </si>
  <si>
    <t>jeune bélier 6-12 mois</t>
  </si>
  <si>
    <t>reste/manque :</t>
  </si>
  <si>
    <t>coût des travaux :</t>
  </si>
  <si>
    <t>place restante sous entrepôt(s) :</t>
  </si>
  <si>
    <t>pour gérer ton/tes entrepôt(s)</t>
  </si>
  <si>
    <t>lait</t>
  </si>
  <si>
    <t>laine</t>
  </si>
  <si>
    <t>Tabac</t>
  </si>
  <si>
    <t>semences de coton</t>
  </si>
  <si>
    <t>semences de tabac</t>
  </si>
  <si>
    <t>Wallonie</t>
  </si>
  <si>
    <t>Flandre</t>
  </si>
  <si>
    <t>Terre-Neuve et Labrador</t>
  </si>
  <si>
    <t>traitement pommiers</t>
  </si>
  <si>
    <t>CAPRINS</t>
  </si>
  <si>
    <t>chevreau 0-3 mois</t>
  </si>
  <si>
    <t>chevrette 0-3 mois</t>
  </si>
  <si>
    <t>chevreau 3-6 mois</t>
  </si>
  <si>
    <t>chevrette 3-6 mois</t>
  </si>
  <si>
    <t>les concentrés?</t>
  </si>
  <si>
    <t>semences de chanvre (GP)</t>
  </si>
  <si>
    <t>Soja</t>
  </si>
  <si>
    <t>Lin</t>
  </si>
  <si>
    <t>Pomme de terre</t>
  </si>
  <si>
    <t>Bison d'Amérique</t>
  </si>
  <si>
    <t>pieds de poiriers</t>
  </si>
  <si>
    <t>Large White</t>
  </si>
  <si>
    <t>Pietrain</t>
  </si>
  <si>
    <t>intensif</t>
  </si>
  <si>
    <t>Pintade grise</t>
  </si>
  <si>
    <t>Fauve de Bourgogne</t>
  </si>
  <si>
    <t>Bleu de Vienne</t>
  </si>
  <si>
    <t>Chamois de Thuringe</t>
  </si>
  <si>
    <t>Charollais</t>
  </si>
  <si>
    <t>Triticale</t>
  </si>
  <si>
    <t>envie de faire de la culture?</t>
  </si>
  <si>
    <t>Envie de faire de l'élevage?</t>
  </si>
  <si>
    <t>Tout se fait par l'intermédiaire des cases "Cliques → ICI ←".</t>
  </si>
  <si>
    <t>Tu as des vergers?</t>
  </si>
  <si>
    <t xml:space="preserve">Historique du fichier : </t>
  </si>
  <si>
    <t>broyeurs lourds</t>
  </si>
  <si>
    <t>pulvérisateurs automoteurs</t>
  </si>
  <si>
    <t>pulvérisateurs arboricoles</t>
  </si>
  <si>
    <t>semoirs</t>
  </si>
  <si>
    <t>semoirs directs</t>
  </si>
  <si>
    <t>semoirs maïs/betteraves</t>
  </si>
  <si>
    <t>catégorie</t>
  </si>
  <si>
    <t>Matériel</t>
  </si>
  <si>
    <t>Divers</t>
  </si>
  <si>
    <t>broyeurs</t>
  </si>
  <si>
    <t>mélangeuses</t>
  </si>
  <si>
    <t>concentrés et minéraux</t>
  </si>
  <si>
    <t>type</t>
  </si>
  <si>
    <t>Est ce que tu ranges ici :</t>
  </si>
  <si>
    <t>place nécessaire :</t>
  </si>
  <si>
    <t>PDT pour plantation</t>
  </si>
  <si>
    <t>porcelet femelle 0-1 mois</t>
  </si>
  <si>
    <t>porcelet femelle 1-3 mois</t>
  </si>
  <si>
    <t>jeune verrat 3-6 mois</t>
  </si>
  <si>
    <t>jeune truie 3-6 mois</t>
  </si>
  <si>
    <t>jeune verrat 6-12 mois</t>
  </si>
  <si>
    <t>jeune truie 6-12 mois</t>
  </si>
  <si>
    <t>verrat</t>
  </si>
  <si>
    <t>truie</t>
  </si>
  <si>
    <t>LAPINS</t>
  </si>
  <si>
    <t>lapereau mâle 0-1 mois</t>
  </si>
  <si>
    <t>lapereau femelle 0-1 mois</t>
  </si>
  <si>
    <t>jeune lapin 1-3 mois</t>
  </si>
  <si>
    <t>jeune lapine 1-3 mois</t>
  </si>
  <si>
    <t>lapin</t>
  </si>
  <si>
    <t>Aubrac</t>
  </si>
  <si>
    <t xml:space="preserve">Mode d'élevage : </t>
  </si>
  <si>
    <t>bovins</t>
  </si>
  <si>
    <t>caprins</t>
  </si>
  <si>
    <t>ovins</t>
  </si>
  <si>
    <t>lapins</t>
  </si>
  <si>
    <t>Janvier</t>
  </si>
  <si>
    <t>Février</t>
  </si>
  <si>
    <t>Mars</t>
  </si>
  <si>
    <t>Avril</t>
  </si>
  <si>
    <t>Estimation des dépenses pour les frais cités ci-dessous : 
pour des bovins (vaches) : environ 30000€ maxi en bâtiments,
pour des caprins (chèvres) : environ 25000€ maxi pour les bâtiments,
pour des ovins (moutons) : environ 25000€ maxi pour les bâtiments,
pour des volailles (poules) : environ 25000€ maxi pour les bâtiments,
pour des pintades : environ 15000€ maxi pour les bâtiments,
pour des lapins : environ 18000€ maxi pour les bâtiments,
pour des bisons : environ 5000€ maxi pour les bâtiments, plus l'achat de parcelle(s) boisée(s)!!
pour des porcins (cochons) : environ 18000€ maxi pour les bâtiments.
Et entre 30000€ et 40000€ MINIMUM pour le matériel.</t>
  </si>
  <si>
    <t>Marchandises</t>
  </si>
  <si>
    <t>triticale (t)</t>
  </si>
  <si>
    <t>seigle (t)</t>
  </si>
  <si>
    <t>soja (t)</t>
  </si>
  <si>
    <t>tourteau de colza (t)</t>
  </si>
  <si>
    <t>maïs ensilé (t)</t>
  </si>
  <si>
    <t>eau (l)</t>
  </si>
  <si>
    <t>avoine (t)</t>
  </si>
  <si>
    <t>Estimation des dépenses pour les frais cités ci-dessous : 
Bâtiments : entre 1500€ et… (montant maxi suivant le nombre de silo construits)
Matériels : environ 35000€ minimum</t>
  </si>
  <si>
    <t>t</t>
  </si>
  <si>
    <t>total :</t>
  </si>
  <si>
    <t>Armoricaine</t>
  </si>
  <si>
    <t>Rove</t>
  </si>
  <si>
    <t>Brune des Alpes</t>
  </si>
  <si>
    <t>Saanen</t>
  </si>
  <si>
    <t>Vosgienne</t>
  </si>
  <si>
    <t>Blond d'Aquitaine</t>
  </si>
  <si>
    <t>Limousin</t>
  </si>
  <si>
    <t>Charolaise</t>
  </si>
  <si>
    <t>Limousine</t>
  </si>
  <si>
    <t>Blanc Bleu Belge</t>
  </si>
  <si>
    <t>Parthenaise</t>
  </si>
  <si>
    <t>Rouge de l'Ouest</t>
  </si>
  <si>
    <t>semences de dactyle</t>
  </si>
  <si>
    <t>semences de fétuque élevée</t>
  </si>
  <si>
    <t>semences de fléole</t>
  </si>
  <si>
    <t>semences de brome</t>
  </si>
  <si>
    <t>semences de ray-grass Italie</t>
  </si>
  <si>
    <t>semences de ray-grass anglais</t>
  </si>
  <si>
    <t>place prise dans tes entrepôts :</t>
  </si>
  <si>
    <t>autochargeuses</t>
  </si>
  <si>
    <t>oison mâle 0-3 mois</t>
  </si>
  <si>
    <t>oison femelle 0-3 mois</t>
  </si>
  <si>
    <t>Est-ce que tu vaccines?</t>
  </si>
  <si>
    <t>Est-ce que tu pailles?</t>
  </si>
  <si>
    <t>porcins</t>
  </si>
  <si>
    <t>litière</t>
  </si>
  <si>
    <t>Simmental</t>
  </si>
  <si>
    <t>SOMMAIRE :</t>
  </si>
  <si>
    <t>Cliques → ICI ←</t>
  </si>
  <si>
    <t>semence de moutarde</t>
  </si>
  <si>
    <t>semenses de seigle (P)</t>
  </si>
  <si>
    <t>semenses de seigle (G)</t>
  </si>
  <si>
    <t>semenses de seigle (GP)</t>
  </si>
  <si>
    <t>semences de colza</t>
  </si>
  <si>
    <t>herses</t>
  </si>
  <si>
    <t>presses balles carrées 500kg</t>
  </si>
  <si>
    <t>presses balles rondes 300kg</t>
  </si>
  <si>
    <t>presses balles carrées 250kg</t>
  </si>
  <si>
    <t>presses RB enrubanneuses</t>
  </si>
  <si>
    <t>arracheuses betteraves</t>
  </si>
  <si>
    <t>arracheuses PDT</t>
  </si>
  <si>
    <t>arracheuses lin</t>
  </si>
  <si>
    <r>
      <t>Premier choix qui se présente à toi : veux-tu faire de l'élevage, ou des cultures??</t>
    </r>
    <r>
      <rPr>
        <sz val="10"/>
        <color indexed="8"/>
        <rFont val="Times New Roman"/>
        <family val="1"/>
      </rPr>
      <t xml:space="preserve">
</t>
    </r>
    <r>
      <rPr>
        <b/>
        <u/>
        <sz val="10"/>
        <color indexed="8"/>
        <rFont val="Times New Roman"/>
        <family val="1"/>
      </rPr>
      <t>Avantages de l'élevage</t>
    </r>
    <r>
      <rPr>
        <sz val="10"/>
        <color indexed="8"/>
        <rFont val="Times New Roman"/>
        <family val="1"/>
      </rPr>
      <t xml:space="preserve"> : rentrées d'argent presque tout les jours (en vendant des animaux, ou ta production de lait, de laine ou d'oeufs).
</t>
    </r>
    <r>
      <rPr>
        <b/>
        <u/>
        <sz val="10"/>
        <color indexed="8"/>
        <rFont val="Times New Roman"/>
        <family val="1"/>
      </rPr>
      <t>Inconvénients de l'élevage</t>
    </r>
    <r>
      <rPr>
        <sz val="10"/>
        <color indexed="8"/>
        <rFont val="Times New Roman"/>
        <family val="1"/>
      </rPr>
      <t xml:space="preserve"> : tu passes plus de temps sur ton PC par jour, car il faut nourrir, soigner, traire, tondre ou ramasser les oeufs...
</t>
    </r>
    <r>
      <rPr>
        <b/>
        <u/>
        <sz val="10"/>
        <color indexed="8"/>
        <rFont val="Times New Roman"/>
        <family val="1"/>
      </rPr>
      <t>Avantages des cultures</t>
    </r>
    <r>
      <rPr>
        <sz val="10"/>
        <color indexed="8"/>
        <rFont val="Times New Roman"/>
        <family val="1"/>
      </rPr>
      <t xml:space="preserve"> : tu n'es pas obligé(e) de faire de gros achats de matériels (grâce aux ETA... (des joueurs qui se chargent de te faire les travaux. tu trouveras plus d'infos dans les règles)), tu n'as pas de travaux tout les jours, donc tu passes moins de temps sur ta ferme et, au moment des récoltes, grosses rentrées d'argent.
</t>
    </r>
    <r>
      <rPr>
        <b/>
        <u/>
        <sz val="10"/>
        <color indexed="8"/>
        <rFont val="Times New Roman"/>
        <family val="1"/>
      </rPr>
      <t>Inconvénient des cultures</t>
    </r>
    <r>
      <rPr>
        <sz val="10"/>
        <color indexed="8"/>
        <rFont val="Times New Roman"/>
        <family val="1"/>
      </rPr>
      <t xml:space="preserve"> : par de rentrées d'argent tout les jours...
</t>
    </r>
    <r>
      <rPr>
        <b/>
        <u/>
        <sz val="10"/>
        <color indexed="10"/>
        <rFont val="Times New Roman"/>
        <family val="1"/>
      </rPr>
      <t>Avantage du jeu :</t>
    </r>
    <r>
      <rPr>
        <sz val="10"/>
        <color indexed="8"/>
        <rFont val="Times New Roman"/>
        <family val="1"/>
      </rPr>
      <t xml:space="preserve"> SIMAGRI est un jeu qui ne cesse d'évoluer. De nouveaux pays, matériels, animaux... voient le jour au fur et à mesure et, pour un jeu se voulant le plus réaliste, ce n'est pas demain que ce jeu sera fini, tant il y a encore à ajouter!!
</t>
    </r>
    <r>
      <rPr>
        <b/>
        <u/>
        <sz val="10"/>
        <color indexed="10"/>
        <rFont val="Times New Roman"/>
        <family val="1"/>
      </rPr>
      <t>Inconvénient du jeu</t>
    </r>
    <r>
      <rPr>
        <sz val="10"/>
        <color indexed="8"/>
        <rFont val="Times New Roman"/>
        <family val="1"/>
      </rPr>
      <t xml:space="preserve"> : Si l'inscription est gratuite, le jeu à 100% n'est pas gratuit. Il faut payer un </t>
    </r>
    <r>
      <rPr>
        <b/>
        <sz val="10"/>
        <color indexed="8"/>
        <rFont val="Times New Roman"/>
        <family val="1"/>
      </rPr>
      <t>SIMPASS</t>
    </r>
    <r>
      <rPr>
        <sz val="10"/>
        <color indexed="8"/>
        <rFont val="Times New Roman"/>
        <family val="1"/>
      </rPr>
      <t xml:space="preserve"> (env.10€ pour 1 an réel) pour
 pouvoir vendre sa production, et donc gagner de l'argent sur le compte de la ferme... Mais qu'est ce que 10€ par an? Même pas 1€ par mois!!
 Autrement dit, c'est presque gratuit!! et cela permet d'avoir un jeu non pollué par de la pub!! </t>
    </r>
  </si>
  <si>
    <t>vergers</t>
  </si>
  <si>
    <t>poiriers</t>
  </si>
  <si>
    <t>pommiers</t>
  </si>
  <si>
    <t>pruniers</t>
  </si>
  <si>
    <t>pêchers</t>
  </si>
  <si>
    <t>mirabelliers</t>
  </si>
  <si>
    <t>traitement</t>
  </si>
  <si>
    <t>Midi-Pyrénées</t>
  </si>
  <si>
    <t>Nord</t>
  </si>
  <si>
    <t>Pays de Loire</t>
  </si>
  <si>
    <t>Picardie</t>
  </si>
  <si>
    <t>Poitou-Charentes</t>
  </si>
  <si>
    <t>Rhône-Alpes</t>
  </si>
  <si>
    <t>luzerne</t>
  </si>
  <si>
    <t>Luzerne</t>
  </si>
  <si>
    <t>Miscanthus</t>
  </si>
  <si>
    <t>élevage</t>
  </si>
  <si>
    <t>caprins (chèvres)</t>
  </si>
  <si>
    <t>fil de fer barbelé</t>
  </si>
  <si>
    <t>bobine 20000m</t>
  </si>
  <si>
    <t>bobine 10000m</t>
  </si>
  <si>
    <t>bobine 5000m</t>
  </si>
  <si>
    <t>bobine 4000m</t>
  </si>
  <si>
    <t>palox 320x20</t>
  </si>
  <si>
    <t>palox 320x10</t>
  </si>
  <si>
    <t>palox 320</t>
  </si>
  <si>
    <t>filets anti-grêle</t>
  </si>
  <si>
    <t>filet anti-grêle 2ha</t>
  </si>
  <si>
    <t>filet anti-grêle 1ha</t>
  </si>
  <si>
    <t>bac rectangle de 5000 litres</t>
  </si>
  <si>
    <t>ENTREPOTS</t>
  </si>
  <si>
    <t>LOCAL PHYTO</t>
  </si>
  <si>
    <t xml:space="preserve">Tu es débutant(e) sur SIMAGRI : </t>
  </si>
  <si>
    <t>Tu as des cultures?</t>
  </si>
  <si>
    <t>jeune bouc 6-12 mois</t>
  </si>
  <si>
    <t xml:space="preserve">fichier finalisé grâce à : </t>
  </si>
  <si>
    <t>cultures</t>
  </si>
  <si>
    <t>pintades</t>
  </si>
  <si>
    <t>bovins (vaches)</t>
  </si>
  <si>
    <t>porcins (cochons)</t>
  </si>
  <si>
    <t>enrouleuses automotrices</t>
  </si>
  <si>
    <t>CULTURES</t>
  </si>
  <si>
    <t>Foin</t>
  </si>
  <si>
    <t>Suisse Italienne</t>
  </si>
  <si>
    <t>semences de soja</t>
  </si>
  <si>
    <t>semences de lin</t>
  </si>
  <si>
    <t>semences de betterave</t>
  </si>
  <si>
    <t>semences de tournesol</t>
  </si>
  <si>
    <t>semences de maïs</t>
  </si>
  <si>
    <t>semences de blé (G)</t>
  </si>
  <si>
    <t>semences de blé (GP)</t>
  </si>
  <si>
    <t>semences de blé (P)</t>
  </si>
  <si>
    <t>défanage chimique</t>
  </si>
  <si>
    <t>jeune brebis 6-12 mois</t>
  </si>
  <si>
    <t>bélier</t>
  </si>
  <si>
    <t>brebis</t>
  </si>
  <si>
    <t>bac rectangle de 10000 litres</t>
  </si>
  <si>
    <t>jeune chèvre 6-12 mois</t>
  </si>
  <si>
    <t>bouc</t>
  </si>
  <si>
    <t>chèvre</t>
  </si>
  <si>
    <t>PORCINS</t>
  </si>
  <si>
    <t>N.C.</t>
  </si>
  <si>
    <t>fosse à fumier</t>
  </si>
  <si>
    <t>fosse à lisier</t>
  </si>
  <si>
    <t>l</t>
  </si>
  <si>
    <t>RETOUR AU SOMMAIRE?</t>
  </si>
  <si>
    <t>bacs à eau</t>
  </si>
  <si>
    <t>tracteurs</t>
  </si>
  <si>
    <t>bennes</t>
  </si>
  <si>
    <t>plateaux</t>
  </si>
  <si>
    <t>utilitaires</t>
  </si>
  <si>
    <t>ensileuses</t>
  </si>
  <si>
    <t>moissonneuses batteuses</t>
  </si>
  <si>
    <t>tonnes à eau</t>
  </si>
  <si>
    <t>charrues</t>
  </si>
  <si>
    <t>épandeurs à fumier</t>
  </si>
  <si>
    <t>Est-ce que tu sépares tes poulaillers?</t>
  </si>
  <si>
    <t>Est-ce que tu sépares tes parc à volailles?</t>
  </si>
  <si>
    <t>oies</t>
  </si>
  <si>
    <t>canards</t>
  </si>
  <si>
    <t>rateliers bovins</t>
  </si>
  <si>
    <t>14 places</t>
  </si>
  <si>
    <t>12 places</t>
  </si>
  <si>
    <t>10 places</t>
  </si>
  <si>
    <t>8 places</t>
  </si>
  <si>
    <t>rateliers ovins</t>
  </si>
  <si>
    <t>enrouleurs</t>
  </si>
  <si>
    <t>enfonces pieux</t>
  </si>
  <si>
    <t>bétaillères</t>
  </si>
  <si>
    <t>chevraux de selle :</t>
  </si>
  <si>
    <t>chevaux de trait :</t>
  </si>
  <si>
    <t>poneys :</t>
  </si>
  <si>
    <t>jeune bisonne 18-24 mois</t>
  </si>
  <si>
    <t>jeune bison 24-36 mois</t>
  </si>
  <si>
    <t>bison</t>
  </si>
  <si>
    <t>bisonne</t>
  </si>
  <si>
    <t>jeune pintade femelle 1-9 mois</t>
  </si>
  <si>
    <t>pintade femelle</t>
  </si>
  <si>
    <t>pintadeau femelle 0-1 mois</t>
  </si>
  <si>
    <t>bisonneau femelle 0-3 mois</t>
  </si>
  <si>
    <t>Mai</t>
  </si>
  <si>
    <t>Juin</t>
  </si>
  <si>
    <t>Juillet</t>
  </si>
  <si>
    <t>Août</t>
  </si>
  <si>
    <t>Septembre</t>
  </si>
  <si>
    <t>Octobre</t>
  </si>
  <si>
    <t>Novembre</t>
  </si>
  <si>
    <t>Décembre</t>
  </si>
  <si>
    <t>Blé</t>
  </si>
  <si>
    <t>balles de paille</t>
  </si>
  <si>
    <t>balles de lin</t>
  </si>
  <si>
    <t>pieds de pommiers</t>
  </si>
  <si>
    <t>pieds de pêchers</t>
  </si>
  <si>
    <t>engrais</t>
  </si>
  <si>
    <t>engrais pêchers</t>
  </si>
  <si>
    <t>engrais pommiers</t>
  </si>
  <si>
    <t>engrais pré</t>
  </si>
  <si>
    <t>traitements</t>
  </si>
  <si>
    <t>traitement pêchers</t>
  </si>
  <si>
    <t>Tournesol</t>
  </si>
  <si>
    <t>Pois</t>
  </si>
  <si>
    <t>Féverole</t>
  </si>
  <si>
    <r>
      <t>Premier choix qui se présente à toi : veux-tu faire de l'élevage, ou des cultures??</t>
    </r>
    <r>
      <rPr>
        <sz val="10"/>
        <color indexed="10"/>
        <rFont val="Times New Roman"/>
        <family val="1"/>
      </rPr>
      <t xml:space="preserve">
</t>
    </r>
    <r>
      <rPr>
        <b/>
        <u/>
        <sz val="10"/>
        <rFont val="Times New Roman"/>
        <family val="1"/>
      </rPr>
      <t xml:space="preserve">Avantages de l'élevage : </t>
    </r>
    <r>
      <rPr>
        <sz val="10"/>
        <rFont val="Times New Roman"/>
        <family val="1"/>
      </rPr>
      <t xml:space="preserve">rentrées d'argent presque tout les jours (en vendant des animaux, ou ta production de lait, de laine ou d'oeufs).
</t>
    </r>
    <r>
      <rPr>
        <b/>
        <u/>
        <sz val="10"/>
        <rFont val="Times New Roman"/>
        <family val="1"/>
      </rPr>
      <t>Inconvénients de l'élevage :</t>
    </r>
    <r>
      <rPr>
        <sz val="10"/>
        <rFont val="Times New Roman"/>
        <family val="1"/>
      </rPr>
      <t xml:space="preserve"> tu passes plus de temps sur ton PC par jour, car il faut nourrir, soigner, traire, tondre ou ramasser les oeufs...
</t>
    </r>
    <r>
      <rPr>
        <b/>
        <u/>
        <sz val="10"/>
        <rFont val="Times New Roman"/>
        <family val="1"/>
      </rPr>
      <t>Avantages des cultures :</t>
    </r>
    <r>
      <rPr>
        <sz val="10"/>
        <rFont val="Times New Roman"/>
        <family val="1"/>
      </rPr>
      <t xml:space="preserve"> tu n'es pas obligé(e) de faire de gros achats de matériels (grâce aux ETA... (des joueurs qui se chargent de te faire les travaux. tu trouveras plus d'infos dans les règles)), tu n'as pas de travaux tout les jours, donc tu passes moins de temps sur ta ferme et, au moment des récoltes, grosses rentrées d'argent.
</t>
    </r>
    <r>
      <rPr>
        <b/>
        <u/>
        <sz val="10"/>
        <rFont val="Times New Roman"/>
        <family val="1"/>
      </rPr>
      <t xml:space="preserve">Inconvénient des cultures : </t>
    </r>
    <r>
      <rPr>
        <sz val="10"/>
        <rFont val="Times New Roman"/>
        <family val="1"/>
      </rPr>
      <t xml:space="preserve">par de rentrées d'argent tout les jours...
</t>
    </r>
    <r>
      <rPr>
        <b/>
        <u/>
        <sz val="10"/>
        <rFont val="Times New Roman"/>
        <family val="1"/>
      </rPr>
      <t xml:space="preserve">Avantage du jeu : </t>
    </r>
    <r>
      <rPr>
        <sz val="10"/>
        <rFont val="Times New Roman"/>
        <family val="1"/>
      </rPr>
      <t xml:space="preserve">SIMAGRI est un jeu qui ne cesse d'évoluer. De nouveaux pays, matériels, animaux... voient le jour au fur et à mesure et, pour un jeu se voulant le plus réaliste, ce n'est pas demain que ce jeu sera fini, tant il y a encore à ajouter!!
</t>
    </r>
    <r>
      <rPr>
        <b/>
        <u/>
        <sz val="10"/>
        <rFont val="Times New Roman"/>
        <family val="1"/>
      </rPr>
      <t>Inconvénient du jeu :</t>
    </r>
    <r>
      <rPr>
        <sz val="10"/>
        <rFont val="Times New Roman"/>
        <family val="1"/>
      </rPr>
      <t xml:space="preserve"> Si l'inscription est gratuite, le jeu à 100% n'est pas gratuit. Il faut payer un SIMPASS (env.10€ pour 1 an réel) pour
 pouvoir vendre sa production, et donc gagner de l'argent sur le compte de la ferme... Mais qu'est ce que 10€ par an? Même pas 1€ par mois!!
 Autrement dit, c'est presque gratuit!! et cela permet d'avoir un jeu non pollué par de la pub!! </t>
    </r>
  </si>
  <si>
    <t>Chanvre industriel</t>
  </si>
  <si>
    <t>semences d'orge (P)</t>
  </si>
  <si>
    <t>cultivateurs</t>
  </si>
  <si>
    <t>tonnes à lisier</t>
  </si>
  <si>
    <t>cover-crops</t>
  </si>
  <si>
    <t>vibro-culteurs</t>
  </si>
  <si>
    <t>butteuses</t>
  </si>
  <si>
    <t>épandeurs à engrais</t>
  </si>
  <si>
    <t>pulvérisateurs</t>
  </si>
  <si>
    <t>faucheuses</t>
  </si>
  <si>
    <t>faneuses</t>
  </si>
  <si>
    <t>herses de prairie</t>
  </si>
  <si>
    <t>fourches</t>
  </si>
  <si>
    <t>pailleuses</t>
  </si>
  <si>
    <t>désileuses</t>
  </si>
  <si>
    <t>traitement pruniers</t>
  </si>
  <si>
    <t>traitement mirabelliers</t>
  </si>
  <si>
    <t>semences de chanvre (G)</t>
  </si>
  <si>
    <t>semences de chanvre (P)</t>
  </si>
  <si>
    <t>caneton mâle 0-3 mois</t>
  </si>
  <si>
    <t>caneton femelle 0-3 mois</t>
  </si>
  <si>
    <t>jeune canard 3-6 mois</t>
  </si>
  <si>
    <t>jeune cane 3-6 mois</t>
  </si>
  <si>
    <t>cane</t>
  </si>
  <si>
    <t>canard</t>
  </si>
  <si>
    <t>piquets de 2.50m (lot de 100)</t>
  </si>
  <si>
    <t>palox</t>
  </si>
  <si>
    <t xml:space="preserve">bac rectangle de 1000 litres </t>
  </si>
  <si>
    <t>bac rond de 500 litres</t>
  </si>
  <si>
    <t>balles de foin</t>
  </si>
  <si>
    <t>faucheuses automotrices</t>
  </si>
  <si>
    <t>Epinard</t>
  </si>
  <si>
    <t>Haricot vert</t>
  </si>
  <si>
    <t>Lentille</t>
  </si>
  <si>
    <t>http://www.simagri.com/bulletin/informations%20cultures%20maraicheres.pdf</t>
  </si>
  <si>
    <t xml:space="preserve">dates de semis et récoltes maraichage : </t>
  </si>
  <si>
    <t>http://www.simagri.com/bulletin/informations%20cultures%20maraicheres%20dates%20semis.pdf</t>
  </si>
  <si>
    <t xml:space="preserve">durées de conservations légumes : </t>
  </si>
  <si>
    <t>http://www.simagri.com/bulletin/informations%20cultures%20maraicheres%20conservation.pdf</t>
  </si>
  <si>
    <t>Maïs grain</t>
  </si>
  <si>
    <t>Maïs ensilé</t>
  </si>
  <si>
    <t>Bienvenu(e) sur SIMAGRI!!!
Les règles sont longues?? Pas envie de les lire?? Pas de chance : même avec ce fichier, tu seras obligé(e) de lire au moins des parties de ces règles, ne serait ce que pour connaître les moindres détails de ce jeu plutôt passionnant!!
Ici, tu vas trouver quelques infos pour te lancer... Quand tu seras lancé(e), alors tu pourras étudier plus profondemment les autres parties de ce fichier...
Tu es prêt(e)?? alors viens : la suite est ci-dessous!!</t>
  </si>
  <si>
    <t>balles de paille 300kg</t>
  </si>
  <si>
    <t>balles de paille 500kg</t>
  </si>
  <si>
    <t>famille</t>
  </si>
  <si>
    <t>balles de foin 250kg</t>
  </si>
  <si>
    <t>balles de foin 300kg</t>
  </si>
  <si>
    <t>balles de foin 300kg enrubanné</t>
  </si>
  <si>
    <t>balles de foin 500kg</t>
  </si>
  <si>
    <t>balles de paille 250kg</t>
  </si>
  <si>
    <t>prix unitaire</t>
  </si>
  <si>
    <t>montant de la commande</t>
  </si>
  <si>
    <t>montant total :</t>
  </si>
  <si>
    <t>SURFACE EXISTANTE :</t>
  </si>
  <si>
    <t>m²</t>
  </si>
  <si>
    <t>SURFACE NECESSAIRE :</t>
  </si>
  <si>
    <t xml:space="preserve">m²  </t>
  </si>
  <si>
    <t>Prim'holstein</t>
  </si>
  <si>
    <t>Alpine</t>
  </si>
  <si>
    <t>Lacaune Lait</t>
  </si>
  <si>
    <t>Montbéliarde</t>
  </si>
  <si>
    <t>Angora</t>
  </si>
  <si>
    <t>Duroc</t>
  </si>
  <si>
    <t>Corse</t>
  </si>
  <si>
    <t>Salers</t>
  </si>
  <si>
    <t>Poitevine</t>
  </si>
  <si>
    <t>semences de féverole (GP)</t>
  </si>
  <si>
    <t>semences de féverole (P)</t>
  </si>
  <si>
    <t>semences d'avoine (G)</t>
  </si>
  <si>
    <t>semences d'avoine (GP)</t>
  </si>
  <si>
    <t>semences d'avoine (P)</t>
  </si>
  <si>
    <t>semences de pois (G)</t>
  </si>
  <si>
    <t>semences de pois (GP)</t>
  </si>
  <si>
    <t>semences de pois (P)</t>
  </si>
  <si>
    <t>semences de triticale (G)</t>
  </si>
  <si>
    <t>semences de triticale (GP)</t>
  </si>
  <si>
    <t>semences de triticale (P)</t>
  </si>
  <si>
    <t>SEULES LES CASES TURQUOISES SONT A REMPLIR… LES AUTRES SE REMPLISSENT TOUTES SEULES, SI NECESSAIRE.</t>
  </si>
  <si>
    <t>semences de haricot vert</t>
  </si>
  <si>
    <t>semences de lentilles</t>
  </si>
  <si>
    <t>semences d'épinards</t>
  </si>
  <si>
    <t xml:space="preserve">CALCUL DE PLACE EN BATIMENTS : </t>
  </si>
  <si>
    <t>surface</t>
  </si>
  <si>
    <t>Type d'élevage :</t>
  </si>
  <si>
    <t>Tu as choisis vers quoi te tourner? Notes le ci-dessous :</t>
  </si>
  <si>
    <t>Argenté de Champagne</t>
  </si>
  <si>
    <t>Néo Zélandais Blanc</t>
  </si>
  <si>
    <t>porcelet mâle 0-1 mois</t>
  </si>
  <si>
    <t>Oies : inséminer</t>
  </si>
  <si>
    <t>Bovins : mise au pré</t>
  </si>
  <si>
    <t>Oies : naissances</t>
  </si>
  <si>
    <t>Récolte mirabelles et prunes</t>
  </si>
  <si>
    <t>volailles (poules, canards)</t>
  </si>
  <si>
    <t>volailles (pintades, oies)</t>
  </si>
  <si>
    <t>mélangeuses automotrices</t>
  </si>
  <si>
    <t>tes entrepôts?</t>
  </si>
  <si>
    <t>chargeurs</t>
  </si>
  <si>
    <t>planteuses PDT</t>
  </si>
  <si>
    <t>retourneuses lin</t>
  </si>
  <si>
    <t>semences d'orge (G)</t>
  </si>
  <si>
    <t>semences d'orge (GP)</t>
  </si>
  <si>
    <t>Québec</t>
  </si>
  <si>
    <t>Ontario</t>
  </si>
  <si>
    <t>Manitoba</t>
  </si>
  <si>
    <t>Alberta</t>
  </si>
  <si>
    <t>Suisse Romande</t>
  </si>
  <si>
    <t>Pays :</t>
  </si>
  <si>
    <t>Alaska</t>
  </si>
  <si>
    <t>Suffolk</t>
  </si>
  <si>
    <t>bisonneau mâle 0-3 mois</t>
  </si>
  <si>
    <t>bisonneau mâle 3-6 mois</t>
  </si>
  <si>
    <t>bisonneau mâle 6-12 mois</t>
  </si>
  <si>
    <t>jeune bisonne 24-36 mois</t>
  </si>
  <si>
    <t>pintadeau mâle 0-1 mois</t>
  </si>
  <si>
    <t>jeune pintade mâle 1-9 mois</t>
  </si>
  <si>
    <t>pintade mâle</t>
  </si>
  <si>
    <t>abatteuses</t>
  </si>
  <si>
    <t>débusqueurs</t>
  </si>
  <si>
    <t>porteurs forestiers</t>
  </si>
  <si>
    <t>cotton pickers</t>
  </si>
  <si>
    <t>déchaumeurs forestiers</t>
  </si>
  <si>
    <t>débroussailleuses à bras</t>
  </si>
  <si>
    <t>bineuses</t>
  </si>
  <si>
    <t>planteuses à tabac</t>
  </si>
  <si>
    <t>Etats-Unis</t>
  </si>
  <si>
    <t>1 an</t>
  </si>
  <si>
    <t>Porcins : mise en plein air</t>
  </si>
  <si>
    <t>Ovins : mise au pré</t>
  </si>
  <si>
    <t>Canes : inséminer</t>
  </si>
  <si>
    <t>Cesa : inscription candidatures</t>
  </si>
  <si>
    <t>Caprins : mise au pré</t>
  </si>
  <si>
    <t>Canes : naissances</t>
  </si>
  <si>
    <t>Récolter orge et colza</t>
  </si>
  <si>
    <t>CESA : vote candidats</t>
  </si>
  <si>
    <t>Bisons : insémination</t>
  </si>
  <si>
    <t>CESA : début mandat élus</t>
  </si>
  <si>
    <r>
      <t>Canards : 2</t>
    </r>
    <r>
      <rPr>
        <vertAlign val="superscript"/>
        <sz val="12"/>
        <rFont val="Times New Roman"/>
        <family val="1"/>
      </rPr>
      <t>e</t>
    </r>
    <r>
      <rPr>
        <sz val="12"/>
        <rFont val="Times New Roman"/>
        <family val="1"/>
      </rPr>
      <t xml:space="preserve"> récolte duvet</t>
    </r>
  </si>
  <si>
    <t>Récolter mais grain/ensilé, betterave</t>
  </si>
  <si>
    <t>Souscrire quotat laiterie</t>
  </si>
  <si>
    <t>Semer fèverole</t>
  </si>
  <si>
    <t>Broyer moutarde</t>
  </si>
  <si>
    <t>Broyer phacélie</t>
  </si>
  <si>
    <t>Planter pommiers</t>
  </si>
  <si>
    <t>Planter pêchers</t>
  </si>
  <si>
    <t>Planter poiriers</t>
  </si>
  <si>
    <t>Planter pruniers</t>
  </si>
  <si>
    <t>Planter mirabelliers</t>
  </si>
  <si>
    <t>Canes : pontes</t>
  </si>
  <si>
    <t>Semer orge</t>
  </si>
  <si>
    <t>Semer avoine</t>
  </si>
  <si>
    <t>Semer pois</t>
  </si>
  <si>
    <t>Semer betterave</t>
  </si>
  <si>
    <t>Semer tournesol</t>
  </si>
  <si>
    <t>Semer lin</t>
  </si>
  <si>
    <t>BISONS</t>
  </si>
  <si>
    <t>PINTADES</t>
  </si>
  <si>
    <t>caillebotis</t>
  </si>
  <si>
    <t>jeune bison 12-18 mois</t>
  </si>
  <si>
    <t>jeune bisonne 12-18 mois</t>
  </si>
  <si>
    <t>jeune bison 18-24 mois</t>
  </si>
  <si>
    <t>maïs grain (t)</t>
  </si>
  <si>
    <t>pois (t)</t>
  </si>
  <si>
    <t>tourteau de tournesol (t)</t>
  </si>
  <si>
    <t>betterave (t)</t>
  </si>
  <si>
    <t>capacité</t>
  </si>
  <si>
    <t>SILOS/SILOS TAUPE ET CUVES A EAU</t>
  </si>
  <si>
    <t>Belgique</t>
  </si>
  <si>
    <t>Canada</t>
  </si>
  <si>
    <t>Suisse</t>
  </si>
  <si>
    <t>BOVINS</t>
  </si>
  <si>
    <t xml:space="preserve">Choix de la ration : </t>
  </si>
  <si>
    <t xml:space="preserve">Spécificité : </t>
  </si>
  <si>
    <t>nombre</t>
  </si>
  <si>
    <t>veau mâle 0-3 mois</t>
  </si>
  <si>
    <t>veau femelle 0-3 mois</t>
  </si>
  <si>
    <t>veau mâle 3-6 mois</t>
  </si>
  <si>
    <t>veau femelle 3-6 mois</t>
  </si>
  <si>
    <t>veau mâle 6-12 mois</t>
  </si>
  <si>
    <t>veau femelle 6-12 mois</t>
  </si>
  <si>
    <t>taurillon 12-18 mois</t>
  </si>
  <si>
    <t>génisse 12-18 mois</t>
  </si>
  <si>
    <t>taurillon 18-24 mois</t>
  </si>
  <si>
    <t>génisse 18-24 mois</t>
  </si>
  <si>
    <t>taurillon 24-36 mois</t>
  </si>
  <si>
    <t>génisse 24-36 mois</t>
  </si>
  <si>
    <t>taureau</t>
  </si>
  <si>
    <t>vache</t>
  </si>
  <si>
    <t>ALIMENTS A COMMANDER</t>
  </si>
  <si>
    <t>bovins :</t>
  </si>
  <si>
    <t>bisons :</t>
  </si>
  <si>
    <t>porcins :</t>
  </si>
  <si>
    <t>caprins :</t>
  </si>
  <si>
    <t>volaille (poules) :</t>
  </si>
  <si>
    <t>pintades :</t>
  </si>
  <si>
    <t>lapins :</t>
  </si>
  <si>
    <t>ovins :</t>
  </si>
  <si>
    <t>oies :</t>
  </si>
  <si>
    <t>canards :</t>
  </si>
  <si>
    <t>Orge de printemps</t>
  </si>
  <si>
    <t>Avoine de printemps</t>
  </si>
  <si>
    <t>Seigle</t>
  </si>
  <si>
    <t>Coton</t>
  </si>
  <si>
    <t>fongicide</t>
  </si>
  <si>
    <t>herbicide</t>
  </si>
  <si>
    <t>insecticide</t>
  </si>
  <si>
    <t>par tonne</t>
  </si>
  <si>
    <t>la paille?</t>
  </si>
  <si>
    <t>le foin?</t>
  </si>
  <si>
    <t>semences de féverole (G)</t>
  </si>
  <si>
    <t>piquets de 2.50m (lot de 400)</t>
  </si>
  <si>
    <t>piquets de 2.50m (lot de 300)</t>
  </si>
  <si>
    <t>piquets de 2.50m (lot de 200)</t>
  </si>
  <si>
    <t>place restante avant commande :</t>
  </si>
  <si>
    <t>place restante après commande:</t>
  </si>
  <si>
    <t>les minéraux et vitamines?</t>
  </si>
  <si>
    <t>les semences?</t>
  </si>
  <si>
    <t>l'engrais?</t>
  </si>
  <si>
    <t>les traitements?</t>
  </si>
  <si>
    <t>le défanage chimique?</t>
  </si>
  <si>
    <t>Lorraine</t>
  </si>
  <si>
    <t>semences/engrais vert</t>
  </si>
  <si>
    <t>semences de phacélie</t>
  </si>
  <si>
    <t>andaineurs</t>
  </si>
  <si>
    <t>Betterave</t>
  </si>
  <si>
    <t>France</t>
  </si>
  <si>
    <t>Alsace</t>
  </si>
  <si>
    <t>Aquitaine</t>
  </si>
  <si>
    <t>Auvergne</t>
  </si>
  <si>
    <t>Basse-Normandie</t>
  </si>
  <si>
    <t>Bourgogne</t>
  </si>
  <si>
    <t>Bretagne</t>
  </si>
  <si>
    <t>Centre</t>
  </si>
  <si>
    <t>Champagnes-Ardennes</t>
  </si>
  <si>
    <t>Franche-Comté</t>
  </si>
  <si>
    <t>Haute-Normandie</t>
  </si>
  <si>
    <t>Ile-de-France</t>
  </si>
  <si>
    <t>Languedoc-Roussillon</t>
  </si>
  <si>
    <t>OIES</t>
  </si>
  <si>
    <t>jars</t>
  </si>
  <si>
    <t>oie</t>
  </si>
  <si>
    <t>Semer tabac (sous serre)</t>
  </si>
  <si>
    <t>Semer herbe</t>
  </si>
  <si>
    <t>Semer tabac (pleine terre)</t>
  </si>
  <si>
    <t>CESA : début campagne électorale</t>
  </si>
  <si>
    <t>CESA : désinscription candidature</t>
  </si>
  <si>
    <t>Semer maïs grain</t>
  </si>
  <si>
    <t>Semer maïs ensilé</t>
  </si>
  <si>
    <t>Semer soja</t>
  </si>
  <si>
    <t>Semer chanvre</t>
  </si>
  <si>
    <t>Semer PdT</t>
  </si>
  <si>
    <t>Récolter colza</t>
  </si>
  <si>
    <t>Récolte blé</t>
  </si>
  <si>
    <t>Récolte orge</t>
  </si>
  <si>
    <t>Récolte avoine</t>
  </si>
  <si>
    <t>Récolte triticale</t>
  </si>
  <si>
    <t>Récolte colza</t>
  </si>
  <si>
    <t>Récolte pois</t>
  </si>
  <si>
    <t>Récolte fèverole</t>
  </si>
  <si>
    <t>Récolte lin</t>
  </si>
  <si>
    <t>Récolte tabac</t>
  </si>
  <si>
    <t>Récolte pêches</t>
  </si>
  <si>
    <t>Récolte tournesol</t>
  </si>
  <si>
    <t>Semer colza</t>
  </si>
  <si>
    <t>Semer phacélie</t>
  </si>
  <si>
    <t>Semer moutarde</t>
  </si>
  <si>
    <t>Récolter soja</t>
  </si>
  <si>
    <t>Récolter chanvre</t>
  </si>
  <si>
    <t>Récolter PdT</t>
  </si>
  <si>
    <t>Récolter pommes</t>
  </si>
  <si>
    <t>Récolter poires</t>
  </si>
  <si>
    <t>Manech Noire</t>
  </si>
  <si>
    <t>Normande</t>
  </si>
  <si>
    <t>Tu veux gérer la place dans :</t>
  </si>
  <si>
    <t xml:space="preserve">place totale sous entrepôts : </t>
  </si>
  <si>
    <t>Texel</t>
  </si>
  <si>
    <t>RETOUR EN HAUT</t>
  </si>
  <si>
    <t>paille</t>
  </si>
  <si>
    <t>bisonneau femelle 3-6 mois</t>
  </si>
  <si>
    <t>bisonneau femelle 6-12 mois</t>
  </si>
  <si>
    <t>poussin mâle 0-1 mois</t>
  </si>
  <si>
    <t>bisons</t>
  </si>
  <si>
    <t>COUT POUR LE PAILLAGE (BILAN) :</t>
  </si>
  <si>
    <t>Semer blé</t>
  </si>
  <si>
    <t>Semer triticale</t>
  </si>
  <si>
    <t>Récolter mais grain</t>
  </si>
  <si>
    <t>Récolter mais ensilé</t>
  </si>
  <si>
    <t>Récolter betteraves</t>
  </si>
  <si>
    <t>ANIMAUX</t>
  </si>
  <si>
    <t>CESA</t>
  </si>
  <si>
    <t>Canards : 1e récolte duvet</t>
  </si>
  <si>
    <t>Bisons : besoin de ration (stock maxi dans la parcelle : 455kg/animal)</t>
  </si>
  <si>
    <t>Forêts : broyer entre les lignes</t>
  </si>
  <si>
    <t>Forêts : entretien pistes, routes, dépôts</t>
  </si>
  <si>
    <t>Forêts : mise en place des protections gibiers</t>
  </si>
  <si>
    <t>Forêts / marquage de coupe</t>
  </si>
  <si>
    <t>Forêts : abattage, débusquage, débardage</t>
  </si>
  <si>
    <t>FORETS</t>
  </si>
  <si>
    <t xml:space="preserve">informations générales maraichage : </t>
  </si>
  <si>
    <t>Charollaise</t>
  </si>
  <si>
    <t>Gauloise</t>
  </si>
  <si>
    <t>Coucou des Flandres</t>
  </si>
  <si>
    <t>Meusienne</t>
  </si>
  <si>
    <t>dérouleuses grillage</t>
  </si>
  <si>
    <t>bobine 3000m</t>
  </si>
  <si>
    <t>bobine 2000m</t>
  </si>
  <si>
    <t>bobine 1000m</t>
  </si>
  <si>
    <t>piquets de clôture</t>
  </si>
  <si>
    <t>piquets de 2.50m (lot de 2000)</t>
  </si>
  <si>
    <t>pquets de 2.50m (lot de 1000)</t>
  </si>
  <si>
    <t>piquets de 2.50m (lot de 500)</t>
  </si>
  <si>
    <t>semences de luzerne</t>
  </si>
  <si>
    <t>semences de miscanthus</t>
  </si>
  <si>
    <t>prix</t>
  </si>
  <si>
    <t>défanage chim.</t>
  </si>
  <si>
    <t>Azote</t>
  </si>
  <si>
    <t>Phosphore</t>
  </si>
  <si>
    <t>Potassium</t>
  </si>
  <si>
    <t>Calcium</t>
  </si>
  <si>
    <t>Magnésium</t>
  </si>
  <si>
    <t>Soufre</t>
  </si>
  <si>
    <t>pieds d'érable</t>
  </si>
  <si>
    <t>pieds d'épicéa</t>
  </si>
  <si>
    <t>pieds de bouleau</t>
  </si>
  <si>
    <t>pieds de charme</t>
  </si>
  <si>
    <t>pieds de chêne</t>
  </si>
  <si>
    <t>pieds de châtaigners</t>
  </si>
  <si>
    <t>pieds de cyprès</t>
  </si>
  <si>
    <t>pieds de douglas</t>
  </si>
  <si>
    <t>pieds de frêne</t>
  </si>
  <si>
    <t>pieds de hêtre</t>
  </si>
  <si>
    <t>pieds de mélèze</t>
  </si>
  <si>
    <t>pieds de peuplier</t>
  </si>
  <si>
    <t>pieds de pin</t>
  </si>
  <si>
    <t>pieds de sapin</t>
  </si>
  <si>
    <t>arbres fruitiers/forêts</t>
  </si>
  <si>
    <t>protections arbres</t>
  </si>
  <si>
    <t>protections contre cerfs</t>
  </si>
  <si>
    <t>protections contre chevreuils</t>
  </si>
  <si>
    <t>protections contre lapins</t>
  </si>
  <si>
    <t>PA</t>
  </si>
  <si>
    <t>kg</t>
  </si>
  <si>
    <t>DAIMS</t>
  </si>
  <si>
    <t>faon mâle 0-3 mois</t>
  </si>
  <si>
    <t>faon femelle 0-3 mois</t>
  </si>
  <si>
    <t>faon mâle 3-6 mois</t>
  </si>
  <si>
    <t>faon femelle 3-6 mois</t>
  </si>
  <si>
    <t>faon mâle 6-12 mois</t>
  </si>
  <si>
    <t>faon femelle 6-12 mois</t>
  </si>
  <si>
    <t>jeune daim 12-18 mois</t>
  </si>
  <si>
    <t>jeune daine 12-18 mois</t>
  </si>
  <si>
    <t>jeune daim 18-24 mois</t>
  </si>
  <si>
    <t>jeune daine 18-24 mois</t>
  </si>
  <si>
    <t>jeune daim 24-36 mois</t>
  </si>
  <si>
    <t>jeune daine 24-36 mois</t>
  </si>
  <si>
    <t>daim</t>
  </si>
  <si>
    <t>daine</t>
  </si>
  <si>
    <t>daims</t>
  </si>
  <si>
    <t>bisons/daims</t>
  </si>
  <si>
    <t>daims :</t>
  </si>
  <si>
    <r>
      <t xml:space="preserve">Version fichier </t>
    </r>
    <r>
      <rPr>
        <b/>
        <sz val="10"/>
        <rFont val="Times New Roman"/>
        <family val="1"/>
      </rPr>
      <t xml:space="preserve">: </t>
    </r>
  </si>
  <si>
    <t>CHEVAUX DE SELLE</t>
  </si>
  <si>
    <t>poulain 0-12 mois</t>
  </si>
  <si>
    <t>pouliche 0-12 mois</t>
  </si>
  <si>
    <t>jeune étalon 12-24 mois</t>
  </si>
  <si>
    <t>jeune étalon 24-36 mois</t>
  </si>
  <si>
    <t>jeune jument 24-36 mois</t>
  </si>
  <si>
    <t>jeune jument 12-24 mois</t>
  </si>
  <si>
    <t>étalon</t>
  </si>
  <si>
    <t>jument</t>
  </si>
  <si>
    <t>poids adulte</t>
  </si>
  <si>
    <t>PERIODE HIVERNALE:</t>
  </si>
  <si>
    <t>Sorgho ensilé</t>
  </si>
  <si>
    <t>Orge</t>
  </si>
  <si>
    <t>Avoine</t>
  </si>
  <si>
    <t>poids naissance</t>
  </si>
  <si>
    <t>Brown Swiss</t>
  </si>
  <si>
    <t>Jersiaise</t>
  </si>
  <si>
    <t>Red Holstein</t>
  </si>
  <si>
    <t>Rouge des prés</t>
  </si>
  <si>
    <t>Hangar</t>
  </si>
  <si>
    <t>Local phytosanitaire</t>
  </si>
  <si>
    <t>Entrepôt arboricole</t>
  </si>
  <si>
    <t>Chambre froide</t>
  </si>
  <si>
    <t>Salle de stockage</t>
  </si>
  <si>
    <t>Hall d'exposition</t>
  </si>
  <si>
    <t>Entrepôt</t>
  </si>
  <si>
    <t>Silo</t>
  </si>
  <si>
    <t>Silo taupe</t>
  </si>
  <si>
    <t>Fosse à fumier et écume</t>
  </si>
  <si>
    <t>Fosse à lisier</t>
  </si>
  <si>
    <t>Aire de stockage paille/foin</t>
  </si>
  <si>
    <t>Serre pépinière</t>
  </si>
  <si>
    <t>Unité tabac</t>
  </si>
  <si>
    <t>Silo de chargement</t>
  </si>
  <si>
    <t>Aire de chargement</t>
  </si>
  <si>
    <t>Porcherie</t>
  </si>
  <si>
    <t>Chèvrerie</t>
  </si>
  <si>
    <t>Bergerie</t>
  </si>
  <si>
    <t>Clapier</t>
  </si>
  <si>
    <t>Entrepôt à pommes de terre</t>
  </si>
  <si>
    <t>Consommation de base</t>
  </si>
  <si>
    <t>Construction Niveau 1</t>
  </si>
  <si>
    <t>Unité</t>
  </si>
  <si>
    <t>Coût/unité</t>
  </si>
  <si>
    <t>kWh/unité/jour</t>
  </si>
  <si>
    <t>T</t>
  </si>
  <si>
    <t>prix kWh (€)</t>
  </si>
  <si>
    <t>épandre fumier (t/ha)</t>
  </si>
  <si>
    <t>épandre lisier (m3. x1000 pour des litres)</t>
  </si>
  <si>
    <t>Fongicide :</t>
  </si>
  <si>
    <t>Herbicide :</t>
  </si>
  <si>
    <t>Insecticide :</t>
  </si>
  <si>
    <t>Prix (€/l)</t>
  </si>
  <si>
    <t>Dosage (l/ha)</t>
  </si>
  <si>
    <t>Colza</t>
  </si>
  <si>
    <t>Canola</t>
  </si>
  <si>
    <t>Quantité herbe par jour au pré :</t>
  </si>
  <si>
    <t>Taureau (m2)</t>
  </si>
  <si>
    <t>Vache (m2)</t>
  </si>
  <si>
    <t>Taurillon (m2)</t>
  </si>
  <si>
    <t>Génisse (m2)</t>
  </si>
  <si>
    <t>Veau (m2)</t>
  </si>
  <si>
    <t>Quantité ration dans stabulation (en kg et par jour):</t>
  </si>
  <si>
    <t>Ration complète</t>
  </si>
  <si>
    <t>Foin + maïs ensilé</t>
  </si>
  <si>
    <t>Paille</t>
  </si>
  <si>
    <t>Paille + maïs ensilé</t>
  </si>
  <si>
    <t>Paille + betterave</t>
  </si>
  <si>
    <t>Ensilage d'herbe</t>
  </si>
  <si>
    <t>Foin + maïs ensilé + ensilage d'herbe</t>
  </si>
  <si>
    <t>Bouchons luzerne</t>
  </si>
  <si>
    <t>Foin + maïs ensilé + sorgho ensilé</t>
  </si>
  <si>
    <t>Paille + maïs ensilé + sorgho ensilé</t>
  </si>
  <si>
    <t>Eau</t>
  </si>
  <si>
    <t>Quantité de paille pour la litière (en kg et par jour) :</t>
  </si>
  <si>
    <t>Taureau</t>
  </si>
  <si>
    <t>Vache</t>
  </si>
  <si>
    <t>Taurillon</t>
  </si>
  <si>
    <t>Génisse</t>
  </si>
  <si>
    <t>Veau</t>
  </si>
  <si>
    <t>Surface nécessaire en stabulation par animal (en m2) :</t>
  </si>
  <si>
    <t>Production de lisier par jour et par animal (en litres) :</t>
  </si>
  <si>
    <t>Ration complète?</t>
  </si>
  <si>
    <t>races laitières</t>
  </si>
  <si>
    <t>races allaitantes</t>
  </si>
  <si>
    <t>RETOUR AU SOMMAIRE</t>
  </si>
  <si>
    <t>Race</t>
  </si>
  <si>
    <t>Bison d'Europe</t>
  </si>
  <si>
    <t>10-12 ans</t>
  </si>
  <si>
    <t>20-22 ans</t>
  </si>
  <si>
    <t>début avril-fin octobre</t>
  </si>
  <si>
    <t>début avril-fin septembre</t>
  </si>
  <si>
    <t>7-8 ans</t>
  </si>
  <si>
    <t>Races</t>
  </si>
  <si>
    <t>Spanish</t>
  </si>
  <si>
    <t>Nera Verzasca</t>
  </si>
  <si>
    <t>Bouc (m2)</t>
  </si>
  <si>
    <t>Chèvre (m2)</t>
  </si>
  <si>
    <t>Jeune bouc (m2)</t>
  </si>
  <si>
    <t>Jeune chèvre (m2)</t>
  </si>
  <si>
    <t>Chevreau / Chevrette (m2)</t>
  </si>
  <si>
    <t>Maïs ensilé + foin</t>
  </si>
  <si>
    <t>Betterave + foin</t>
  </si>
  <si>
    <t>ensilage d'herbe</t>
  </si>
  <si>
    <t>Sorgho ensilé + foin</t>
  </si>
  <si>
    <t>Foin + sorgho ensilé + ensilage d'herbe</t>
  </si>
  <si>
    <t>Surface nécessaire par animal (en m2) :</t>
  </si>
  <si>
    <t>Bouc</t>
  </si>
  <si>
    <t>Chèvre</t>
  </si>
  <si>
    <t>Jeune bouc</t>
  </si>
  <si>
    <t>Jeune chèvre</t>
  </si>
  <si>
    <t>Chevreau / chevrette</t>
  </si>
  <si>
    <t>3-4 ans</t>
  </si>
  <si>
    <t>1.5</t>
  </si>
  <si>
    <t>Landrace Francais</t>
  </si>
  <si>
    <t>Penshire</t>
  </si>
  <si>
    <t>Hereford</t>
  </si>
  <si>
    <t>plein air</t>
  </si>
  <si>
    <t>Production de lisier par jour et par animal :</t>
  </si>
  <si>
    <t>Verrat</t>
  </si>
  <si>
    <t>Truie</t>
  </si>
  <si>
    <t>Jeune verrat</t>
  </si>
  <si>
    <t>Jeune truie</t>
  </si>
  <si>
    <t>Porcelet</t>
  </si>
  <si>
    <t>5-6 ans</t>
  </si>
  <si>
    <t>Lievre Belge</t>
  </si>
  <si>
    <t>Rex Castor</t>
  </si>
  <si>
    <t>Rex Blanc</t>
  </si>
  <si>
    <t>Rex Dalmatien</t>
  </si>
  <si>
    <t>Rex Bleu</t>
  </si>
  <si>
    <t>prix laine (€/kg)</t>
  </si>
  <si>
    <t>Lapin</t>
  </si>
  <si>
    <t>Lapine</t>
  </si>
  <si>
    <t>Lapereau</t>
  </si>
  <si>
    <t>volailles</t>
  </si>
  <si>
    <t>3 à 5</t>
  </si>
  <si>
    <t>œufs/jour</t>
  </si>
  <si>
    <t>2,5 / 2,9</t>
  </si>
  <si>
    <t>3,9 / 4,5</t>
  </si>
  <si>
    <t>2,75 / 3,2</t>
  </si>
  <si>
    <t>2,4 / 2,8</t>
  </si>
  <si>
    <t>production œuf/age poule</t>
  </si>
  <si>
    <t>XL : 6 mois à 1 an</t>
  </si>
  <si>
    <t>L ou XL : 1 an à 2 ans</t>
  </si>
  <si>
    <t>L : 2 ans à 3 ans</t>
  </si>
  <si>
    <t>M ou L : 3 ans à 4 ans</t>
  </si>
  <si>
    <t>M : 4 ans à 5 ans</t>
  </si>
  <si>
    <t>S ou M : 5 ans à 6 ans</t>
  </si>
  <si>
    <t>S : 6 ans à 7/8 ans </t>
  </si>
  <si>
    <t>Surface nécessaire par animal dans poulailler (en m2) :</t>
  </si>
  <si>
    <t>Surface nécessaire par animal dans parc à volailles (en m2/animal) :</t>
  </si>
  <si>
    <t>Coq</t>
  </si>
  <si>
    <t>Poule</t>
  </si>
  <si>
    <t>Jeune coq</t>
  </si>
  <si>
    <t>Jeune poule</t>
  </si>
  <si>
    <t>Poussin</t>
  </si>
  <si>
    <t>8 à 15</t>
  </si>
  <si>
    <t>semi-intensif</t>
  </si>
  <si>
    <t>Surface nécessaire par animal dans poulailler(en m2) :</t>
  </si>
  <si>
    <t>Pintade mâle et femelle</t>
  </si>
  <si>
    <t>Jeune pintade mâle et femelle</t>
  </si>
  <si>
    <t>Pintadeau</t>
  </si>
  <si>
    <t>Manech Rousse</t>
  </si>
  <si>
    <t>Ille de France</t>
  </si>
  <si>
    <t>Engadine (uniquement Partie Suisse)</t>
  </si>
  <si>
    <t>Blanche du massif Central</t>
  </si>
  <si>
    <t>Mérinos d''Arles</t>
  </si>
  <si>
    <t>Causses du Lot</t>
  </si>
  <si>
    <t>Charmoise</t>
  </si>
  <si>
    <t>Berrichon du Cher</t>
  </si>
  <si>
    <t>Quantité herbe par jour au pré (m²):</t>
  </si>
  <si>
    <t>Bélier</t>
  </si>
  <si>
    <t>Brebis</t>
  </si>
  <si>
    <t>Jeune bélier</t>
  </si>
  <si>
    <t>Jeune brebis</t>
  </si>
  <si>
    <t>Agneau</t>
  </si>
  <si>
    <t>Foin + betterave</t>
  </si>
  <si>
    <t>Foin + sorgho ensilé</t>
  </si>
  <si>
    <t>prix vente laine (€/kg)</t>
  </si>
  <si>
    <t>Gains potentiels en fonction de la qualité du réseau GPS</t>
  </si>
  <si>
    <t>Tracteur</t>
  </si>
  <si>
    <t>Pulvérisateur automoteur</t>
  </si>
  <si>
    <t>semence</t>
  </si>
  <si>
    <t>Défaner (chimiquement)</t>
  </si>
  <si>
    <t>Épandage (compost)</t>
  </si>
  <si>
    <t>Épandage (fumier)</t>
  </si>
  <si>
    <t>Épandage (lisier)</t>
  </si>
  <si>
    <t>Fertiliser avec compost</t>
  </si>
  <si>
    <t>Fertiliser avec engrais</t>
  </si>
  <si>
    <t>Fertiliser avec fumier</t>
  </si>
  <si>
    <t>Fertiliser avec lisier</t>
  </si>
  <si>
    <t>Mettre de l'engrais</t>
  </si>
  <si>
    <t>Planter tabac</t>
  </si>
  <si>
    <t>Planter</t>
  </si>
  <si>
    <t>Semer céréales</t>
  </si>
  <si>
    <t>Semoir M/B</t>
  </si>
  <si>
    <t>Traiter</t>
  </si>
  <si>
    <t>Ci-dessous les exportations d'éléments nutritifs en cas de pressage de la paille (exprimées en kilos/tonne de paille pressée) :</t>
  </si>
  <si>
    <t>Cultures</t>
  </si>
  <si>
    <t>Rendement paille</t>
  </si>
  <si>
    <t>(en tonnes/hect)</t>
  </si>
  <si>
    <t>Azote (N)</t>
  </si>
  <si>
    <t>Phosphore (p)</t>
  </si>
  <si>
    <t>Potassium (K)</t>
  </si>
  <si>
    <t>Calcium (Ca)</t>
  </si>
  <si>
    <t>Magnésium (Mg)</t>
  </si>
  <si>
    <t>Soufre (S)</t>
  </si>
  <si>
    <t>6 à 8</t>
  </si>
  <si>
    <t>11 à 13</t>
  </si>
  <si>
    <t>1 à 3</t>
  </si>
  <si>
    <t>8 à 12</t>
  </si>
  <si>
    <t>8 à 10</t>
  </si>
  <si>
    <t>18-20 ans</t>
  </si>
  <si>
    <t>Daims</t>
  </si>
  <si>
    <t>Surface nécessaire par animal dans prairie boisée (en hectare) :</t>
  </si>
  <si>
    <t>Daim</t>
  </si>
  <si>
    <t>Daine</t>
  </si>
  <si>
    <t>Jeune daim</t>
  </si>
  <si>
    <t>Jeune daine</t>
  </si>
  <si>
    <t>Faon</t>
  </si>
  <si>
    <t>8-10 ans</t>
  </si>
  <si>
    <t>Oie Blanche du Bourbonnais</t>
  </si>
  <si>
    <t>Chair</t>
  </si>
  <si>
    <t>Oie Blanche du Poitou</t>
  </si>
  <si>
    <t>Oie Normande</t>
  </si>
  <si>
    <t>Oie de Guinée</t>
  </si>
  <si>
    <t>Oie Flamande (Partie Belgique)</t>
  </si>
  <si>
    <t>Oie d'Alsace</t>
  </si>
  <si>
    <t>Foie gras + chair</t>
  </si>
  <si>
    <t>Oie de Toulouse</t>
  </si>
  <si>
    <t>Oie Grise des Landes</t>
  </si>
  <si>
    <t>recommandé pour</t>
  </si>
  <si>
    <t>duvet</t>
  </si>
  <si>
    <t>1 fois tous les 14 jours</t>
  </si>
  <si>
    <t>entre 30 et 60g/animal</t>
  </si>
  <si>
    <t>récolte : 0,025 PA/animal</t>
  </si>
  <si>
    <t>prix vente : 10€/kg</t>
  </si>
  <si>
    <t>Jars</t>
  </si>
  <si>
    <t>Oie</t>
  </si>
  <si>
    <t>Jeune jars</t>
  </si>
  <si>
    <t>Jeune oie</t>
  </si>
  <si>
    <t>Oison</t>
  </si>
  <si>
    <t>Surface nécessaire par animal dans parc à volailles (en m2) :</t>
  </si>
  <si>
    <t>6-8 ans</t>
  </si>
  <si>
    <t>Canard de Rouen Clair</t>
  </si>
  <si>
    <t>0 à 4</t>
  </si>
  <si>
    <t>Canard Duclair</t>
  </si>
  <si>
    <t>Canard de Pékin Allemand</t>
  </si>
  <si>
    <t>Canard de Pékin Américain (Partie Etats-Unis)</t>
  </si>
  <si>
    <t>Canard de Bourbourg</t>
  </si>
  <si>
    <t>Canard de Barbarie</t>
  </si>
  <si>
    <t>œuf/jour</t>
  </si>
  <si>
    <t>chevaux (selle)</t>
  </si>
  <si>
    <t>Alter Real</t>
  </si>
  <si>
    <t>Anglo-Arabe</t>
  </si>
  <si>
    <t>Appaloosa</t>
  </si>
  <si>
    <t>Arabe Shagya</t>
  </si>
  <si>
    <t>Barbe</t>
  </si>
  <si>
    <t>Cheval Canadien</t>
  </si>
  <si>
    <t>Franches-Montagnes</t>
  </si>
  <si>
    <t>Frison</t>
  </si>
  <si>
    <t>Hanovrien</t>
  </si>
  <si>
    <t>Henson</t>
  </si>
  <si>
    <t>Holsteiner</t>
  </si>
  <si>
    <t>Lipizzan</t>
  </si>
  <si>
    <t>Paint Horse</t>
  </si>
  <si>
    <t>Pur-Sang Anglais</t>
  </si>
  <si>
    <t>Pur-Sang Arabe</t>
  </si>
  <si>
    <t>Pur Race Espagnole</t>
  </si>
  <si>
    <t>Quarter Horse</t>
  </si>
  <si>
    <t>Selle Francais</t>
  </si>
  <si>
    <t>Trakehner</t>
  </si>
  <si>
    <t>Trotteur Francais</t>
  </si>
  <si>
    <t>taille adulte (m)</t>
  </si>
  <si>
    <t>de 45 à 55</t>
  </si>
  <si>
    <t>de 48 à 55</t>
  </si>
  <si>
    <t>de 400 à 500</t>
  </si>
  <si>
    <t>de 450 à 550</t>
  </si>
  <si>
    <t>de 400 à 450</t>
  </si>
  <si>
    <t>de 350 à 400</t>
  </si>
  <si>
    <t>de 400 à 550</t>
  </si>
  <si>
    <t>de 500 à 650</t>
  </si>
  <si>
    <t>de 550 à 650</t>
  </si>
  <si>
    <t>de 500 à 600</t>
  </si>
  <si>
    <t>de 600 à 800</t>
  </si>
  <si>
    <t>de 450 à 500</t>
  </si>
  <si>
    <t>de 1,50 à 1,60</t>
  </si>
  <si>
    <t>de 1,49 à 1,60</t>
  </si>
  <si>
    <t>de 1,50 à 1,63</t>
  </si>
  <si>
    <t>de 1,55 à 1,65</t>
  </si>
  <si>
    <t>de 1,53 à 1,70</t>
  </si>
  <si>
    <t>de 1,63 à 1,73</t>
  </si>
  <si>
    <t>de 1,52 à 1,60</t>
  </si>
  <si>
    <t>de 1,49 à 1,80</t>
  </si>
  <si>
    <t>de 1,50 à 1,65</t>
  </si>
  <si>
    <t>de 1,60 à 1,65</t>
  </si>
  <si>
    <t>de 1,60 à 1,70</t>
  </si>
  <si>
    <t>de 1,60 à 1,68</t>
  </si>
  <si>
    <t>de 1,52 à 1,63</t>
  </si>
  <si>
    <t>chevaux (trait)</t>
  </si>
  <si>
    <t>Ardennais</t>
  </si>
  <si>
    <t>Auxois</t>
  </si>
  <si>
    <t>Boulonnais</t>
  </si>
  <si>
    <t>Breton</t>
  </si>
  <si>
    <t>Cob Normand</t>
  </si>
  <si>
    <t>Comtois</t>
  </si>
  <si>
    <t>Percheron</t>
  </si>
  <si>
    <t>Poitevin Mulassier</t>
  </si>
  <si>
    <t>Trait du Nord</t>
  </si>
  <si>
    <t>Brabançon</t>
  </si>
  <si>
    <t>Shire</t>
  </si>
  <si>
    <t>Clydesdale</t>
  </si>
  <si>
    <t>Irish Cob</t>
  </si>
  <si>
    <t>American Cream Draft</t>
  </si>
  <si>
    <t>22-25 ans</t>
  </si>
  <si>
    <t>Camargue</t>
  </si>
  <si>
    <t>Cheval Castillonais</t>
  </si>
  <si>
    <t>Merens</t>
  </si>
  <si>
    <t>Connemara</t>
  </si>
  <si>
    <t>Dartmoor</t>
  </si>
  <si>
    <t>Fjord</t>
  </si>
  <si>
    <t>Haflinger</t>
  </si>
  <si>
    <t>Landais</t>
  </si>
  <si>
    <t>New Forest</t>
  </si>
  <si>
    <t>Poney Francais de Selle</t>
  </si>
  <si>
    <t>Pottok</t>
  </si>
  <si>
    <t>de 50 à 60</t>
  </si>
  <si>
    <t>de 15 à 25</t>
  </si>
  <si>
    <t>de 700 à 1000</t>
  </si>
  <si>
    <t>de 700 à 800</t>
  </si>
  <si>
    <t>de 650 à 700</t>
  </si>
  <si>
    <t>de 650 à 800</t>
  </si>
  <si>
    <t>de 550 à 800</t>
  </si>
  <si>
    <t>de 500 à 1200</t>
  </si>
  <si>
    <t>de 800 à 1000</t>
  </si>
  <si>
    <t>de 300 à 400</t>
  </si>
  <si>
    <t>de 380 à 420</t>
  </si>
  <si>
    <t>de 280 à 320</t>
  </si>
  <si>
    <t>de 340 à 380</t>
  </si>
  <si>
    <t>de 250 à 350</t>
  </si>
  <si>
    <t>de 350 à 450</t>
  </si>
  <si>
    <t>Shetland</t>
  </si>
  <si>
    <t>Welsh</t>
  </si>
  <si>
    <t>28-30 ans</t>
  </si>
  <si>
    <t>de 150 à 180</t>
  </si>
  <si>
    <t>de 230 à 270</t>
  </si>
  <si>
    <t>de 1,55 à 1,63</t>
  </si>
  <si>
    <t>de 1,60 à 1,75</t>
  </si>
  <si>
    <t>de 1,60 à 1,85</t>
  </si>
  <si>
    <t>de 1,65 à 1,75</t>
  </si>
  <si>
    <t>de 1,62 à 1,70</t>
  </si>
  <si>
    <t>de 1,72 à 1,80</t>
  </si>
  <si>
    <t>de 1,49 à 1,55</t>
  </si>
  <si>
    <t>de 1,55 à 1,70</t>
  </si>
  <si>
    <t>de 1,35 à 1,45</t>
  </si>
  <si>
    <t>de 1,35 à 1,48</t>
  </si>
  <si>
    <t>de 1,28 à 1,48</t>
  </si>
  <si>
    <t>de 1,18 à 1,48</t>
  </si>
  <si>
    <t>de 1,20 à 1,48</t>
  </si>
  <si>
    <t>de 1,25 à 1,48</t>
  </si>
  <si>
    <t>de 1,40 à 1,48</t>
  </si>
  <si>
    <t>de 1,20 à 1,27</t>
  </si>
  <si>
    <t>de 1,20 à 1,47</t>
  </si>
  <si>
    <t>de 1,20 à 1,38</t>
  </si>
  <si>
    <t>de 0,90 à 1,07</t>
  </si>
  <si>
    <t>Quantité herbe par jour au pré (surface par animal en m²) :</t>
  </si>
  <si>
    <t>Poulain et pouliche</t>
  </si>
  <si>
    <t>Jeune étalon</t>
  </si>
  <si>
    <t>Jeune jument</t>
  </si>
  <si>
    <t>Etalon</t>
  </si>
  <si>
    <t>Jument</t>
  </si>
  <si>
    <t>début mars-fin novembre</t>
  </si>
  <si>
    <t>Quantité ration dans écurie (en kg et par jour, de décembre à février):</t>
  </si>
  <si>
    <t>Poulain/Pouliche</t>
  </si>
  <si>
    <t>Le fumier vous apporte des éléments nutritifs lorsqu'il est épandu dans une parcelle (exprimé en kg/hectare épandu) :</t>
  </si>
  <si>
    <t>Types d'épandages</t>
  </si>
  <si>
    <t>Fumier (25 T/hect)</t>
  </si>
  <si>
    <t>137.5</t>
  </si>
  <si>
    <t>Le lisier vous apporte des éléments nutritifs lorsqu'il est épandu dans une parcelle (exprimé en kg/hectare épandu) :</t>
  </si>
  <si>
    <t>Lisier (15 m3/hect)</t>
  </si>
  <si>
    <t>Qualité Lait (QL) de votre exploitation :</t>
  </si>
  <si>
    <t>Elevage conventionnel :</t>
  </si>
  <si>
    <t>Indice Qualité Lait (QL)</t>
  </si>
  <si>
    <t>Prix pour 1000 litres (en euro)</t>
  </si>
  <si>
    <t>0-9,99</t>
  </si>
  <si>
    <t>10-19,99</t>
  </si>
  <si>
    <t>20-29,99</t>
  </si>
  <si>
    <t>30-39,99</t>
  </si>
  <si>
    <t>40-49,99</t>
  </si>
  <si>
    <t>50-59,99</t>
  </si>
  <si>
    <t>60-69,99</t>
  </si>
  <si>
    <t>70-79,99</t>
  </si>
  <si>
    <t>80-89,99</t>
  </si>
  <si>
    <t>90-100</t>
  </si>
  <si>
    <t>Prix pour 1000 litres(en euro)</t>
  </si>
  <si>
    <t>Elevage BIO :</t>
  </si>
  <si>
    <t>Prix bâtiments</t>
  </si>
  <si>
    <t>unité</t>
  </si>
  <si>
    <t>Chambre froide : (1kg de foie = 0,01m²)</t>
  </si>
  <si>
    <t>Laboratoire de transformation :</t>
  </si>
  <si>
    <t>Salle de stockage :(1kg de foie = 0,01m²)</t>
  </si>
  <si>
    <t>foie gras</t>
  </si>
  <si>
    <t>durée (jours)</t>
  </si>
  <si>
    <t>Démarrage</t>
  </si>
  <si>
    <t>0 – 1 mois</t>
  </si>
  <si>
    <t>Croissance</t>
  </si>
  <si>
    <t>1 – 2 mois</t>
  </si>
  <si>
    <t>Préparation au gavage</t>
  </si>
  <si>
    <t>2 – 3 mois</t>
  </si>
  <si>
    <t>Phase gavage :</t>
  </si>
  <si>
    <t>Tu es éleveur/éleveuse?</t>
  </si>
  <si>
    <t>stabulation</t>
  </si>
  <si>
    <t>porcherie</t>
  </si>
  <si>
    <t>chèvrerie</t>
  </si>
  <si>
    <t>bergerie</t>
  </si>
  <si>
    <t>clapier</t>
  </si>
  <si>
    <t>poulailler (poules)</t>
  </si>
  <si>
    <t>parc à volailles (poules)</t>
  </si>
  <si>
    <t>poulailler (pintades)</t>
  </si>
  <si>
    <t>parc à volailles (pintades)</t>
  </si>
  <si>
    <t>poulailler (oies)</t>
  </si>
  <si>
    <t>parc à volailles (oies)</t>
  </si>
  <si>
    <t>poulailler (canards)</t>
  </si>
  <si>
    <t>niveau d'équimement</t>
  </si>
  <si>
    <t>surcout construction</t>
  </si>
  <si>
    <t>économie d'énergie</t>
  </si>
  <si>
    <t>parc à volailles (canards)</t>
  </si>
  <si>
    <t>écurie (chevaux de selle)</t>
  </si>
  <si>
    <t>écurie (chevaux de trait)</t>
  </si>
  <si>
    <t>écurie (poneys)</t>
  </si>
  <si>
    <t>Stabulation</t>
  </si>
  <si>
    <t>Salle de traite pour vaches</t>
  </si>
  <si>
    <t>Salle de traite pour chèvres</t>
  </si>
  <si>
    <t>Salle de traite pour brebis</t>
  </si>
  <si>
    <t>Cuve à lait</t>
  </si>
  <si>
    <t>Cuve à eau</t>
  </si>
  <si>
    <t>Parc à lapins</t>
  </si>
  <si>
    <t>Salle de conditionnement</t>
  </si>
  <si>
    <t>Pièce de stockage œufs</t>
  </si>
  <si>
    <t>Pièce de stockage laine</t>
  </si>
  <si>
    <t>Cuve à carburant (HVC)</t>
  </si>
  <si>
    <t>Ligne de stockage pomme de terre</t>
  </si>
  <si>
    <t>poste</t>
  </si>
  <si>
    <t>abri</t>
  </si>
  <si>
    <t>robot</t>
  </si>
  <si>
    <t>œuf</t>
  </si>
  <si>
    <t>ligne</t>
  </si>
  <si>
    <t>par litre de lait</t>
  </si>
  <si>
    <t>par œuf</t>
  </si>
  <si>
    <t>Parc et abris à porcins</t>
  </si>
  <si>
    <t>parc à lapins</t>
  </si>
  <si>
    <t>R=1 an</t>
  </si>
  <si>
    <t>R=2 ans</t>
  </si>
  <si>
    <t>CANADA</t>
  </si>
  <si>
    <t>Ile-du-Prince-Edouard</t>
  </si>
  <si>
    <t>Nouvelle-Ecosse</t>
  </si>
  <si>
    <t>Nouveau-Brunswick</t>
  </si>
  <si>
    <t>Saskatchewan</t>
  </si>
  <si>
    <t>Colombie-Britannique</t>
  </si>
  <si>
    <t>ETATS-UNIS</t>
  </si>
  <si>
    <t>Côte Pacifique</t>
  </si>
  <si>
    <t>Nord-Ouest</t>
  </si>
  <si>
    <t>Sud-Ouest</t>
  </si>
  <si>
    <t>Nord-Est</t>
  </si>
  <si>
    <t>Sud</t>
  </si>
  <si>
    <t>R=4 ans</t>
  </si>
  <si>
    <t>R=3 ans</t>
  </si>
  <si>
    <t>R=6 ans</t>
  </si>
  <si>
    <t>Chanvre Industriel</t>
  </si>
  <si>
    <t>R=5 ans</t>
  </si>
  <si>
    <t>VOLAILLES</t>
  </si>
  <si>
    <t>CHEVAUX DE TRAIT</t>
  </si>
  <si>
    <t>PONEYS</t>
  </si>
  <si>
    <t xml:space="preserve">RATIONS : </t>
  </si>
  <si>
    <t>Ration hivernale</t>
  </si>
  <si>
    <t>RATIONS :</t>
  </si>
  <si>
    <t>prix vente récolte (€/t)</t>
  </si>
  <si>
    <t>semence (kg/ha)</t>
  </si>
  <si>
    <t>Déserbant défanage chimique</t>
  </si>
  <si>
    <t>prix (€/l)</t>
  </si>
  <si>
    <t>max 2ha</t>
  </si>
  <si>
    <t>pour 1ha il faut :</t>
  </si>
  <si>
    <t>graines</t>
  </si>
  <si>
    <t>serre vitrée (m²)</t>
  </si>
  <si>
    <t>plateaux polystyrène</t>
  </si>
  <si>
    <t>bac maraichage (m²)</t>
  </si>
  <si>
    <t>bâche plastique (m²)</t>
  </si>
  <si>
    <t>herbe</t>
  </si>
  <si>
    <t>paille/foin (€/t)</t>
  </si>
  <si>
    <t>miscanthus</t>
  </si>
  <si>
    <t>Provence-Alpes-Côtes-d'Azur</t>
  </si>
  <si>
    <t>BELGIQUE</t>
  </si>
  <si>
    <t>SUISSE</t>
  </si>
  <si>
    <t>Suisse Alémanique</t>
  </si>
  <si>
    <t>graine</t>
  </si>
  <si>
    <t>Le Ray-grass Italie</t>
  </si>
  <si>
    <t>Le Ray-grass anglais</t>
  </si>
  <si>
    <t>Le Dactyle</t>
  </si>
  <si>
    <t>La Fétuque élevée</t>
  </si>
  <si>
    <t>La Fléole</t>
  </si>
  <si>
    <t>Le Brome</t>
  </si>
  <si>
    <t>20 / 25</t>
  </si>
  <si>
    <t>15 / 20</t>
  </si>
  <si>
    <t>La Trèfle blanc</t>
  </si>
  <si>
    <t>17 / 23</t>
  </si>
  <si>
    <t>Le Trèfle violet</t>
  </si>
  <si>
    <t>6/8</t>
  </si>
  <si>
    <t>1/3</t>
  </si>
  <si>
    <t>5/7</t>
  </si>
  <si>
    <t> l'herbe a besoin d'éléments nutritifs (besoins exprimés en Kg / Tonne de rendement) :</t>
  </si>
  <si>
    <t>Graminées</t>
  </si>
  <si>
    <t>Phospore (p)</t>
  </si>
  <si>
    <t>Magnésium (Mg</t>
  </si>
  <si>
    <t>20 /30</t>
  </si>
  <si>
    <t>18 / 24</t>
  </si>
  <si>
    <t>22 / 32</t>
  </si>
  <si>
    <t>50 / 56</t>
  </si>
  <si>
    <t>77 / 87</t>
  </si>
  <si>
    <t>59 / 69</t>
  </si>
  <si>
    <t>30 / 36</t>
  </si>
  <si>
    <t>20 / 26</t>
  </si>
  <si>
    <t>52 / 62</t>
  </si>
  <si>
    <t>13 / 19</t>
  </si>
  <si>
    <t>66 / 76</t>
  </si>
  <si>
    <t>46 / 56</t>
  </si>
  <si>
    <t>41 / 51</t>
  </si>
  <si>
    <t>20 / 30</t>
  </si>
  <si>
    <t>50 / 70</t>
  </si>
  <si>
    <t>25 / 35</t>
  </si>
  <si>
    <t>70 / 90</t>
  </si>
  <si>
    <t>40 / 60</t>
  </si>
  <si>
    <t>27 / 33</t>
  </si>
  <si>
    <t>Compost (15 T/hect)</t>
  </si>
  <si>
    <t>Ecume de sucrerie (15 T/hect)</t>
  </si>
  <si>
    <t>apport d'éléments nutritifs en effectuant un épandage sur votre parcelle (exprimés en kg / hectare épandu) :</t>
  </si>
  <si>
    <t>besoins en éléments nutritifs (Kg / Tonne de rendement) :</t>
  </si>
  <si>
    <t>10/16</t>
  </si>
  <si>
    <t>4/6</t>
  </si>
  <si>
    <t>3/5</t>
  </si>
  <si>
    <t>7/11</t>
  </si>
  <si>
    <t>8/12</t>
  </si>
  <si>
    <t>10/14</t>
  </si>
  <si>
    <t>0,5 / 1,5</t>
  </si>
  <si>
    <t>0,5/ 1,5</t>
  </si>
  <si>
    <t>6,5 / 7,5</t>
  </si>
  <si>
    <t>0,5 / 1,1</t>
  </si>
  <si>
    <t>0,6 / 1,2</t>
  </si>
  <si>
    <t>12/16</t>
  </si>
  <si>
    <t>12/18</t>
  </si>
  <si>
    <t>9/13</t>
  </si>
  <si>
    <t>2/4</t>
  </si>
  <si>
    <t>7/9</t>
  </si>
  <si>
    <t>5/9</t>
  </si>
  <si>
    <t>4/8</t>
  </si>
  <si>
    <t>9/15</t>
  </si>
  <si>
    <t>11/15</t>
  </si>
  <si>
    <t>6/10</t>
  </si>
  <si>
    <t>1,2 à 2,2</t>
  </si>
  <si>
    <t>0,5 à 1,5</t>
  </si>
  <si>
    <t>rendement mini</t>
  </si>
  <si>
    <t>rendement maxi</t>
  </si>
  <si>
    <t>prix semence (€/kg)</t>
  </si>
  <si>
    <t>prix vente grain (€/t)</t>
  </si>
  <si>
    <t>prix vente balles (€/t)</t>
  </si>
  <si>
    <t>prix semence G (€/kg)</t>
  </si>
  <si>
    <t>prix semence P (€/kg)</t>
  </si>
  <si>
    <t>prix semence GP (€/kg)</t>
  </si>
  <si>
    <t>spécificité 1</t>
  </si>
  <si>
    <t>Spécificité 2</t>
  </si>
  <si>
    <t>Liste pays</t>
  </si>
  <si>
    <t>Spécificité</t>
  </si>
  <si>
    <t>Spécificité 1</t>
  </si>
  <si>
    <t>Ration</t>
  </si>
  <si>
    <t>Spécifité</t>
  </si>
  <si>
    <t>Spécifité 2</t>
  </si>
  <si>
    <t>Est-ce que tu sépares tes écuries?</t>
  </si>
  <si>
    <t>parc et abris à porcins</t>
  </si>
  <si>
    <t>Aliments nécessaire</t>
  </si>
  <si>
    <t>Aliments à commander</t>
  </si>
  <si>
    <t>Ration hivernale pour ta ferme</t>
  </si>
  <si>
    <t>Ration hivernale dans pré</t>
  </si>
  <si>
    <t>Pendant l'hiver, certains animaux peuvent soit rester au pré, soit être rentrés.
Les valeurs de cette page dépendent des indications que tu as rentré dans la page "animaux".</t>
  </si>
  <si>
    <t>OIES FOIE GRAS</t>
  </si>
  <si>
    <t>CANARDS FOIE GRAS</t>
  </si>
  <si>
    <t>oison M/F 2-3 mois</t>
  </si>
  <si>
    <t>oison M/F 0-1 mois</t>
  </si>
  <si>
    <t>oison M/F 1-2 mois</t>
  </si>
  <si>
    <t>Phase d'élevage</t>
  </si>
  <si>
    <t>Phase de gavage</t>
  </si>
  <si>
    <t>jeune de 3 mois et +</t>
  </si>
  <si>
    <t>Aliment</t>
  </si>
  <si>
    <t>Specificite</t>
  </si>
  <si>
    <t>c</t>
  </si>
  <si>
    <t>s1</t>
  </si>
  <si>
    <t>s2</t>
  </si>
  <si>
    <t>Valeur 0-3</t>
  </si>
  <si>
    <t>Valeur 3-6</t>
  </si>
  <si>
    <t>Valeur 6-12</t>
  </si>
  <si>
    <t>Valeur 12-18</t>
  </si>
  <si>
    <t>Valeur 18-24</t>
  </si>
  <si>
    <t>Valeur 24-36</t>
  </si>
  <si>
    <t>Valeur 36 et plus</t>
  </si>
  <si>
    <t>Val 0-3</t>
  </si>
  <si>
    <t>Val 3-6</t>
  </si>
  <si>
    <t>Val 6-12</t>
  </si>
  <si>
    <t>Val 12-18</t>
  </si>
  <si>
    <t>Val 18-24</t>
  </si>
  <si>
    <t>Val 24-36</t>
  </si>
  <si>
    <t>Val 36 et plus</t>
  </si>
  <si>
    <t>somme</t>
  </si>
  <si>
    <t>Chanvre</t>
  </si>
  <si>
    <t>Minéraux + vitamines</t>
  </si>
  <si>
    <t>Pulpe déshydratée de betterave</t>
  </si>
  <si>
    <t>Tourteau de colza</t>
  </si>
  <si>
    <t>Tourteau de tournesol</t>
  </si>
  <si>
    <t xml:space="preserve">Ration pour ta ferme : </t>
  </si>
  <si>
    <t>aliment</t>
  </si>
  <si>
    <t>complet</t>
  </si>
  <si>
    <t>Ration complète pour ta ferme</t>
  </si>
  <si>
    <t>Ration hivernale complète pour ta ferme</t>
  </si>
  <si>
    <t>Valeur 12 et plus</t>
  </si>
  <si>
    <t>Ration hivernale complète?</t>
  </si>
  <si>
    <t>Quantité d'aliment (en kg/jour)</t>
  </si>
  <si>
    <t>Valeur 1-3</t>
  </si>
  <si>
    <t>Valeur 0-1</t>
  </si>
  <si>
    <t>RATIONS</t>
  </si>
  <si>
    <t>Ration porcins</t>
  </si>
  <si>
    <t>Somme</t>
  </si>
  <si>
    <t>Quantité de paille pour la litière (en kg/jour) :</t>
  </si>
  <si>
    <t>Quantité ration en clapier (en kg/jour):</t>
  </si>
  <si>
    <t>Valeur 3 et plus</t>
  </si>
  <si>
    <t>mode élevage</t>
  </si>
  <si>
    <t>Ration lapins</t>
  </si>
  <si>
    <t>Ration volailles</t>
  </si>
  <si>
    <t>Ration pintades</t>
  </si>
  <si>
    <t>Valeur 6 et plus</t>
  </si>
  <si>
    <t>Valeur 1-6</t>
  </si>
  <si>
    <t>Quantité ration en poulailler (en kg/jour):</t>
  </si>
  <si>
    <t>sc</t>
  </si>
  <si>
    <t xml:space="preserve">Ration hivernale pour ta ferme : </t>
  </si>
  <si>
    <t>Ration daims</t>
  </si>
  <si>
    <t>Quantité ration (en kg/jour):</t>
  </si>
  <si>
    <t>Ration canards</t>
  </si>
  <si>
    <t>Valeur 0-12</t>
  </si>
  <si>
    <t>Valeur 12-24</t>
  </si>
  <si>
    <t>Ration gavage oies</t>
  </si>
  <si>
    <t>Ration gavage canards</t>
  </si>
  <si>
    <t xml:space="preserve">Ration gavage oies pour ta ferme : </t>
  </si>
  <si>
    <t>Ration complètegavage oies pour ta ferme</t>
  </si>
  <si>
    <t xml:space="preserve">Ration gavage canards pour ta ferme : </t>
  </si>
  <si>
    <t>Ration complète gavage canards pour ta ferme</t>
  </si>
  <si>
    <t>Valeur 1-2</t>
  </si>
  <si>
    <t>Valeur 2-3</t>
  </si>
  <si>
    <t>Phase d'élevage (jours):</t>
  </si>
  <si>
    <t>Maïs ensilé + Bouchons luzerne</t>
  </si>
  <si>
    <t>Maïs ensilé + sorgho ensilé + Bouchons luzerne</t>
  </si>
  <si>
    <t>Foin + Bouchons luzerne</t>
  </si>
  <si>
    <t>Quantité</t>
  </si>
  <si>
    <t>blé (t)</t>
  </si>
  <si>
    <t>colza (t)</t>
  </si>
  <si>
    <t>féverole (t)</t>
  </si>
  <si>
    <t>orge (t)</t>
  </si>
  <si>
    <t>sorgho ensilé (t)</t>
  </si>
  <si>
    <t>ration complète volailles (t)</t>
  </si>
  <si>
    <t>ration complète pintades (t)</t>
  </si>
  <si>
    <t>ensilage d'herbe (t)</t>
  </si>
  <si>
    <t>trournesol (t)</t>
  </si>
  <si>
    <t>ration complète bovins (t)</t>
  </si>
  <si>
    <t>ration complète hivernale bovins (t)</t>
  </si>
  <si>
    <t>ration complète hivernale bisons (t)</t>
  </si>
  <si>
    <t>ration complète caprins (t)</t>
  </si>
  <si>
    <t>ration complète porcins (t)</t>
  </si>
  <si>
    <t>ration complète lapins (t)</t>
  </si>
  <si>
    <t>ration complète oies (t)</t>
  </si>
  <si>
    <t>ration complète canards (t)</t>
  </si>
  <si>
    <t>ration complète ovins (t)</t>
  </si>
  <si>
    <t>ration complète hivernale ovins (t)</t>
  </si>
  <si>
    <t>ration complète hivernale daims (t)</t>
  </si>
  <si>
    <t>ration complète hivernale chevaux de selle (t)</t>
  </si>
  <si>
    <t>ration complète hivernale chevaux de trait (t)</t>
  </si>
  <si>
    <t>ration complète hivernale poneys (t)</t>
  </si>
  <si>
    <t>semences de chanver (GP)</t>
  </si>
  <si>
    <t>balles de lin 300kg</t>
  </si>
  <si>
    <t>concentré pour jeunes bovins</t>
  </si>
  <si>
    <t>concentré pour jeunes porcins</t>
  </si>
  <si>
    <t>concentré pour jeunes lapins</t>
  </si>
  <si>
    <t>minéraux &amp; vitamines</t>
  </si>
  <si>
    <t>place nécessaire dans batiments</t>
  </si>
  <si>
    <t>surface (m²)</t>
  </si>
  <si>
    <t/>
  </si>
  <si>
    <t>jeune lapine</t>
  </si>
  <si>
    <t>jeune lapin</t>
  </si>
  <si>
    <t>Canard</t>
  </si>
  <si>
    <t>Cane</t>
  </si>
  <si>
    <t>Jeune canard</t>
  </si>
  <si>
    <t>Jeune cane</t>
  </si>
  <si>
    <t>Caneton</t>
  </si>
  <si>
    <t>entre 20 et 40g/animal</t>
  </si>
  <si>
    <t>récolte : 0,02 PA/animal</t>
  </si>
  <si>
    <t>en juin et en octobre</t>
  </si>
  <si>
    <t>Surface nécessaire par animal dans parc à porcins (en m2/animal) :</t>
  </si>
  <si>
    <t>Surface nécessaire par animal dans les parcs (élevage bio) (en m2) :</t>
  </si>
  <si>
    <t>Prix vaccin/animal</t>
  </si>
  <si>
    <t>prix vaccin</t>
  </si>
  <si>
    <t>Batiments</t>
  </si>
  <si>
    <t>canola (t)</t>
  </si>
  <si>
    <t>Animaux</t>
  </si>
  <si>
    <t>Lisier</t>
  </si>
  <si>
    <t>Litière</t>
  </si>
  <si>
    <t>Total</t>
  </si>
  <si>
    <t>Litière tout bovins</t>
  </si>
  <si>
    <t>litière races laitières</t>
  </si>
  <si>
    <t>animaux</t>
  </si>
  <si>
    <t>lisier</t>
  </si>
  <si>
    <t>hiver dedans</t>
  </si>
  <si>
    <t>hiver dehors</t>
  </si>
  <si>
    <t>litière tout ovins</t>
  </si>
  <si>
    <t>litière ovins races laitières</t>
  </si>
  <si>
    <t>caneton M/F 0-1 mois</t>
  </si>
  <si>
    <t>caneton M/F 1-2 mois</t>
  </si>
  <si>
    <t>caneton M/F 2-3 mois</t>
  </si>
  <si>
    <t xml:space="preserve">CALCUL DE PLACE EN PATURAGES : </t>
  </si>
  <si>
    <r>
      <t xml:space="preserve">Comment marche ce tableau… C'est simple : 
Tu n'as que les cases turquoises à remplir, selon ce qui est demandé (nom du pré, espèce d'animaux concernée…)
Certaines cases (type de pâturage et de semence) te proposeront une liste de choix. </t>
    </r>
    <r>
      <rPr>
        <b/>
        <u/>
        <sz val="10"/>
        <color indexed="18"/>
        <rFont val="Times New Roman"/>
        <family val="1"/>
      </rPr>
      <t>ATTENTION : tout résultat en bas du tableau écrit en ROUGE sur fond JAUNE signifie qu'il te manquera quelque chose (de l'eau ou de l'herbe).</t>
    </r>
    <r>
      <rPr>
        <b/>
        <sz val="10"/>
        <color indexed="10"/>
        <rFont val="Times New Roman"/>
        <family val="1"/>
      </rPr>
      <t xml:space="preserve"> 
Ce tableau te permet de renseigner 50 pâturages/parcelles de foin différents, calcule le total des animaux mis au pré par espèce... et t'indiques combien d'hectares il te faut pour tout mettre et de combien tu disposes. </t>
    </r>
    <r>
      <rPr>
        <b/>
        <u/>
        <sz val="10"/>
        <color indexed="18"/>
        <rFont val="Times New Roman"/>
        <family val="1"/>
      </rPr>
      <t>ATTENTION  : cela ne prend pas en compte les naissances et les bêtes qui grandissent!!! Donc mets à jour tes données avec SIMAGRI régulièrement pour éviter les surprises...</t>
    </r>
  </si>
  <si>
    <t>surface nécessaire</t>
  </si>
  <si>
    <t>surface existante</t>
  </si>
  <si>
    <t>durée de mise au pré</t>
  </si>
  <si>
    <t>total daims au pré :</t>
  </si>
  <si>
    <t>total bisons au pré :</t>
  </si>
  <si>
    <t>total bovins au pré :</t>
  </si>
  <si>
    <t>total ovins au pré :</t>
  </si>
  <si>
    <t>total caprins au pré :</t>
  </si>
  <si>
    <t>chevaux de selle</t>
  </si>
  <si>
    <t>total chevaux de selle au pré :</t>
  </si>
  <si>
    <t>chevaux de trait</t>
  </si>
  <si>
    <t>total chevaux de trait au pré :</t>
  </si>
  <si>
    <t>total poneys au pré :</t>
  </si>
  <si>
    <t>total</t>
  </si>
  <si>
    <t>unités</t>
  </si>
  <si>
    <t>Nom de ton pré</t>
  </si>
  <si>
    <t>espèce concernée :</t>
  </si>
  <si>
    <t>type de pâturage</t>
  </si>
  <si>
    <t>Type de semence</t>
  </si>
  <si>
    <t>ha</t>
  </si>
  <si>
    <t>source</t>
  </si>
  <si>
    <t>litres</t>
  </si>
  <si>
    <t>capacité des bacs</t>
  </si>
  <si>
    <t>pourcentage pousse initiale</t>
  </si>
  <si>
    <t>pourcentage pousse/jour</t>
  </si>
  <si>
    <t>animaux mâles</t>
  </si>
  <si>
    <t>âgés de 0 à 3 mois</t>
  </si>
  <si>
    <t>animaux femelles</t>
  </si>
  <si>
    <t>âgés de 3 à 6 mois</t>
  </si>
  <si>
    <t>âgés de 6 à 12 mois</t>
  </si>
  <si>
    <t>âgés de 12 à 18 mois</t>
  </si>
  <si>
    <t>âgés de 18 à 24 mois</t>
  </si>
  <si>
    <t>âgés de 24 à 36 mois</t>
  </si>
  <si>
    <t>âgés de 3 ans et +</t>
  </si>
  <si>
    <t>animaux allaités</t>
  </si>
  <si>
    <t>herbe restante à la fin de la période</t>
  </si>
  <si>
    <t>Il te reste ou il te manque</t>
  </si>
  <si>
    <t>il te faut ajouter</t>
  </si>
  <si>
    <t>litres/jour</t>
  </si>
  <si>
    <t>il te faut pouvoir stocker</t>
  </si>
  <si>
    <t>tu n'auras plus d'herbe au bout de</t>
  </si>
  <si>
    <t>jours</t>
  </si>
  <si>
    <t>pousse/baisse par jour</t>
  </si>
  <si>
    <t>%/jour</t>
  </si>
  <si>
    <t>ration hivernale</t>
  </si>
  <si>
    <t>kg/jour</t>
  </si>
  <si>
    <t>surface finale</t>
  </si>
  <si>
    <t>%</t>
  </si>
  <si>
    <t>% restant à la fin de la saison</t>
  </si>
  <si>
    <t>3 +</t>
  </si>
  <si>
    <t>24-36</t>
  </si>
  <si>
    <t>18-24</t>
  </si>
  <si>
    <t>12 18</t>
  </si>
  <si>
    <t>6 12</t>
  </si>
  <si>
    <t>3 6</t>
  </si>
  <si>
    <t>0 3</t>
  </si>
  <si>
    <t>Ray-grass Italie</t>
  </si>
  <si>
    <t>foin</t>
  </si>
  <si>
    <t>Ray-grass anglais</t>
  </si>
  <si>
    <t>pâture</t>
  </si>
  <si>
    <t>Dactyle</t>
  </si>
  <si>
    <t>bov</t>
  </si>
  <si>
    <t>Fétuque élevée</t>
  </si>
  <si>
    <t>Fléole</t>
  </si>
  <si>
    <t>Brome</t>
  </si>
  <si>
    <t>selle</t>
  </si>
  <si>
    <t>poney</t>
  </si>
  <si>
    <t>M 0-3 mois</t>
  </si>
  <si>
    <t>F 0-3 mois</t>
  </si>
  <si>
    <t>M 3-6 mois</t>
  </si>
  <si>
    <t>F 3-6 mois</t>
  </si>
  <si>
    <t>M 6-12 mois</t>
  </si>
  <si>
    <t>F 6-12 mois</t>
  </si>
  <si>
    <t>M 12-18 mois</t>
  </si>
  <si>
    <t>F 12-18 mois</t>
  </si>
  <si>
    <t>M 18-24 mois</t>
  </si>
  <si>
    <t>F 18-24 mois</t>
  </si>
  <si>
    <t>M 24-36 mois</t>
  </si>
  <si>
    <t>F 24-36 mois</t>
  </si>
  <si>
    <t>M 3 ans et +</t>
  </si>
  <si>
    <t>F 3 ans et +</t>
  </si>
  <si>
    <t>Animaux de ta ferme au pré</t>
  </si>
  <si>
    <t>tranche d'ages</t>
  </si>
  <si>
    <t>type de pré :</t>
  </si>
  <si>
    <t>pousse journalière :</t>
  </si>
  <si>
    <t>herbe consommée par espèce et par parcelle</t>
  </si>
  <si>
    <t>surface réelle initiale</t>
  </si>
  <si>
    <t>consommation d'eau par tranche d'age et par prairie</t>
  </si>
  <si>
    <t>source dans prairies</t>
  </si>
  <si>
    <t>Pour renseigner les animaux que tu as :</t>
  </si>
  <si>
    <t>Assez d'aliments dans tes silos?</t>
  </si>
  <si>
    <t>Assez de place dans tes bâtiments d'élevages?</t>
  </si>
  <si>
    <t>Tes animaux doivent aller au pré l'été et/ou l'hiver?</t>
  </si>
  <si>
    <t>Assez d'aliments dans tes entrepôts?</t>
  </si>
  <si>
    <t>Ration oies</t>
  </si>
  <si>
    <t>Quantité de paille pour la litière pour ta ferme (en kg):</t>
  </si>
  <si>
    <t>Production de lisier dans ta ferme(en litre) :</t>
  </si>
  <si>
    <t>Production de lisier dans ta ferme :</t>
  </si>
  <si>
    <t>Ration dans écurie</t>
  </si>
  <si>
    <t>Caprins  au pré en été?</t>
  </si>
  <si>
    <t>Bovins  au pré en été?</t>
  </si>
  <si>
    <t>Bovins allaitants au pré en hiver?</t>
  </si>
  <si>
    <t>Ovins  au pré en été?</t>
  </si>
  <si>
    <t>Ovins allaitants au pré en hiver?</t>
  </si>
  <si>
    <t>Chevaux  au pré en été?</t>
  </si>
  <si>
    <t>Poneys  au pré en été?</t>
  </si>
  <si>
    <t xml:space="preserve">Ration hivernale au pré pour ta ferme : </t>
  </si>
  <si>
    <t>Ration complète en écurie pour ta ferme :</t>
  </si>
  <si>
    <t>Ration complète au pré pour ta ferme :</t>
  </si>
  <si>
    <t>Ration complète (hors hiver)?</t>
  </si>
  <si>
    <t>semences de seigle (G)</t>
  </si>
  <si>
    <t>semences de seigle (GP)</t>
  </si>
  <si>
    <t>semences de seigle (P)</t>
  </si>
  <si>
    <t>semences de moutarde</t>
  </si>
  <si>
    <t>Calculs spécifiques de place dans entrepots</t>
  </si>
  <si>
    <t>Qté</t>
  </si>
  <si>
    <t>tes silos?</t>
  </si>
  <si>
    <t>place restante dans tes silos :</t>
  </si>
  <si>
    <t>pour gérer tes silos</t>
  </si>
  <si>
    <t>pour revenir aux commandes d'aliments</t>
  </si>
  <si>
    <t>Pays concerné :</t>
  </si>
  <si>
    <t xml:space="preserve">PLANIFICATION SEMIS ET RECOLTES : </t>
  </si>
  <si>
    <t>Spec.</t>
  </si>
  <si>
    <t>r = 2                  100€/t</t>
  </si>
  <si>
    <t>Orge d'hiver</t>
  </si>
  <si>
    <t>r = 2                  105€/t</t>
  </si>
  <si>
    <t>Avoine d'hiver</t>
  </si>
  <si>
    <t>r = 2                  95€/t</t>
  </si>
  <si>
    <t>r = 2                  125€/t</t>
  </si>
  <si>
    <t>moutarde (CI)</t>
  </si>
  <si>
    <t>r = 0                  0€/t</t>
  </si>
  <si>
    <t xml:space="preserve">} </t>
  </si>
  <si>
    <t>Ces cultures ne se vendent pas et servent juste à faire de l'engrais vert.</t>
  </si>
  <si>
    <t>phacélie (CI)</t>
  </si>
  <si>
    <t>r = 2                  110€/t</t>
  </si>
  <si>
    <t>r = 2                  45€/t</t>
  </si>
  <si>
    <t>r = 4                120€/t</t>
  </si>
  <si>
    <t>r = 3                 230€/t</t>
  </si>
  <si>
    <t>r = 3                 120€/t</t>
  </si>
  <si>
    <t>r = 3                 145€/t</t>
  </si>
  <si>
    <t>r = 3                165€/t</t>
  </si>
  <si>
    <t>r = 1                350€/t et 120€/t</t>
  </si>
  <si>
    <t>r = 6                1300€/t</t>
  </si>
  <si>
    <t>r = 4                80€/t</t>
  </si>
  <si>
    <t>Herbe / herbe ensilée</t>
  </si>
  <si>
    <t xml:space="preserve"> 70€/t</t>
  </si>
  <si>
    <t>Epinard d'hiver</t>
  </si>
  <si>
    <t>r = 3                120€/t</t>
  </si>
  <si>
    <t>r = 5                195€/t</t>
  </si>
  <si>
    <t>r = 1                1220€/t</t>
  </si>
  <si>
    <t>: date de récolte</t>
  </si>
  <si>
    <t>r = 2</t>
  </si>
  <si>
    <t>: rotation sur deux ans</t>
  </si>
  <si>
    <t>Pour le lin =&gt; obligation de faire des balles de lin</t>
  </si>
  <si>
    <t>: date de semis</t>
  </si>
  <si>
    <t>70€/t</t>
  </si>
  <si>
    <t>: prix moyen de vente</t>
  </si>
  <si>
    <t>Récolte en 3 étapes (2 mois) : arracher, retourner et faire des balles</t>
  </si>
  <si>
    <t>: période de pousse</t>
  </si>
  <si>
    <t>Pour la PDT , un mois avant l'arrachage, effectuer un défanage chimique</t>
  </si>
  <si>
    <t>Pour le tabac, mettre sous serre en mars et en terre en avril et mai. 2ha maxi.</t>
  </si>
  <si>
    <t>Pour la luzerne : semée pour 4 saison maxi, la récolte se fait à 100%. 3 coupes maxi/saison. L'ensilage est exclusivement pour les usines de déshydratation.</t>
  </si>
  <si>
    <t>Pour le miscanthus : semé pour 20 saisons maxi. 1ere récolte au bout de 22 mois, puis tous les ans. La 1ere année : semer, puis passer le rouleau et la bineuse. Les autres années, un apport d'engrais annuel suffit.</t>
  </si>
  <si>
    <t>Combien vas tu gagner?</t>
  </si>
  <si>
    <t>Culture</t>
  </si>
  <si>
    <t>Moutarde (CI)</t>
  </si>
  <si>
    <t>Phacélie (CI)</t>
  </si>
  <si>
    <t>As tu assez de semences?</t>
  </si>
  <si>
    <t>TOTAL :</t>
  </si>
  <si>
    <t>MONTANT DES VENTES :</t>
  </si>
  <si>
    <t>Engrais</t>
  </si>
  <si>
    <t>Traitement</t>
  </si>
  <si>
    <t>Hectares cultivés</t>
  </si>
  <si>
    <t>Gains</t>
  </si>
  <si>
    <t>par ha</t>
  </si>
  <si>
    <t>semences</t>
  </si>
  <si>
    <t>azote</t>
  </si>
  <si>
    <t>phosphore</t>
  </si>
  <si>
    <t>potassium</t>
  </si>
  <si>
    <t>calcium</t>
  </si>
  <si>
    <t>magnésium</t>
  </si>
  <si>
    <t>soufre</t>
  </si>
  <si>
    <t>nom de la parcelle</t>
  </si>
  <si>
    <t>20/25</t>
  </si>
  <si>
    <t>Pommier</t>
  </si>
  <si>
    <t>Poirier</t>
  </si>
  <si>
    <t>Pêcher</t>
  </si>
  <si>
    <t>Cerisier</t>
  </si>
  <si>
    <t>Prunier</t>
  </si>
  <si>
    <t>Mirabellier</t>
  </si>
  <si>
    <t>Verger</t>
  </si>
  <si>
    <t>QUANTITE DE SEMENCES NECESSAIRE</t>
  </si>
  <si>
    <t>Coment ca marche?? Tu remplis ce qui est demandé dans le petit tableau sous la case "AUTOPRODUCTION", puis tu descends (2 tableaux plus bas) pour voir ce que concerne cette page : la quantité de semences, engrais et traitements (et le coût!!) pour tes parcelles  et vergers. Les quantités à semer prennent en compte tes stockes, toutes qualités confondues. Pour les engrais, les valeurs peuvent être différentes selon les réserves de tes sols.</t>
  </si>
  <si>
    <t>Pour un résultat en accord avec tes stocks :</t>
  </si>
  <si>
    <t>si aucun pays ne s'affiche Cliques → ICI ← pour le renseigner</t>
  </si>
  <si>
    <t>espèce concernée</t>
  </si>
  <si>
    <t>mise au pré bovins</t>
  </si>
  <si>
    <t>mise au pré chevaux de selle?</t>
  </si>
  <si>
    <t>mise au pré caprins</t>
  </si>
  <si>
    <t>mise au pré chevaux de trait?</t>
  </si>
  <si>
    <t>mise au pré ovins</t>
  </si>
  <si>
    <t>mise au pré poneys?</t>
  </si>
  <si>
    <t>Pour jouer en autoproduction, il te faudrait semer :</t>
  </si>
  <si>
    <t>tu sèmes réellement :</t>
  </si>
  <si>
    <t>surplus</t>
  </si>
  <si>
    <t>OU</t>
  </si>
  <si>
    <t>orge d'hiver</t>
  </si>
  <si>
    <t>orge de printemps</t>
  </si>
  <si>
    <t>blé</t>
  </si>
  <si>
    <t>herbe ensilée</t>
  </si>
  <si>
    <t>triticale</t>
  </si>
  <si>
    <t>soja</t>
  </si>
  <si>
    <t>maïs ensilé</t>
  </si>
  <si>
    <t>avoine d'hiver</t>
  </si>
  <si>
    <t>avoine de printemps</t>
  </si>
  <si>
    <t>pois</t>
  </si>
  <si>
    <t>betterave</t>
  </si>
  <si>
    <t>maïs grain</t>
  </si>
  <si>
    <t>seigle</t>
  </si>
  <si>
    <t>COUT POUR TES SEMIS :</t>
  </si>
  <si>
    <t>poules</t>
  </si>
  <si>
    <t>toute ta ferme</t>
  </si>
  <si>
    <t>Engrais &amp; traitements</t>
  </si>
  <si>
    <t>Semences (en kg)</t>
  </si>
  <si>
    <t>Azote (kg) :</t>
  </si>
  <si>
    <t>Phosphore (kg) :</t>
  </si>
  <si>
    <t>Potassium (kg) :</t>
  </si>
  <si>
    <t>Calcium (kg) :</t>
  </si>
  <si>
    <t>Magnésium (kg) :</t>
  </si>
  <si>
    <t>Soufre (kg) :</t>
  </si>
  <si>
    <t>Fongicide (lit.):</t>
  </si>
  <si>
    <t>Herbicide (lit.):</t>
  </si>
  <si>
    <t>insecticide (lit.):</t>
  </si>
  <si>
    <t>défan. Chim. (lit.) :</t>
  </si>
  <si>
    <t>engrais pêchers (kg) :</t>
  </si>
  <si>
    <t>engrais poiriers (kg) :</t>
  </si>
  <si>
    <t>engrais pommiers (kg) :</t>
  </si>
  <si>
    <t>engrais pruniers (kg) :</t>
  </si>
  <si>
    <t>engrais mirabelliers (kg) :</t>
  </si>
  <si>
    <t>besoins d'engrais et semences (BDD)</t>
  </si>
  <si>
    <t>calculs selon tes parcelles</t>
  </si>
  <si>
    <t>AUTOPRODUCTION (sur 1 saison complète)</t>
  </si>
  <si>
    <t>chevaux selle</t>
  </si>
  <si>
    <t>chevaux trait</t>
  </si>
  <si>
    <t>calcul d'aliments pour ta ferme par espèce</t>
  </si>
  <si>
    <t>Noyer</t>
  </si>
  <si>
    <t>Olivier</t>
  </si>
  <si>
    <t>Framboisier</t>
  </si>
  <si>
    <t>Groseiller</t>
  </si>
  <si>
    <t>Myrtillier</t>
  </si>
  <si>
    <t>Oeuf Calibre L</t>
  </si>
  <si>
    <t>Oeuf Calibre M</t>
  </si>
  <si>
    <t>Oeuf Calibre S</t>
  </si>
  <si>
    <t>Oeuf Calibre XL</t>
  </si>
  <si>
    <t>Oeuf de cane</t>
  </si>
  <si>
    <t>pour gérer ton/tes silo(s)</t>
  </si>
  <si>
    <t>Nombre de jour à nourrir par espèce</t>
  </si>
  <si>
    <t>Conventionnel</t>
  </si>
  <si>
    <t>Bio</t>
  </si>
  <si>
    <t>prix de vente des cultures (par tonne)</t>
  </si>
  <si>
    <t>Groseillier</t>
  </si>
  <si>
    <t>Trèfle blanc</t>
  </si>
  <si>
    <t>Trèfle violet</t>
  </si>
  <si>
    <t>prix au 2 juillet saison 63 (€/kg)</t>
  </si>
  <si>
    <t>total semences</t>
  </si>
  <si>
    <t>total engrais</t>
  </si>
  <si>
    <t>total traitements</t>
  </si>
  <si>
    <t>équins (selle, trait, poneys)</t>
  </si>
  <si>
    <t>ovins (moutons)</t>
  </si>
  <si>
    <t>V15-0</t>
  </si>
  <si>
    <r>
      <t xml:space="preserve">Salut, Ô Simagrien(ne)!
Ce fichier d'aide de gestion pour ta ferme, n'est pas trop compliqué à utiliser… car je sais qu'il peut y avoir de (très!) jeunes membres de la communauté qui l'utilisent, donc j'ai fait le plus simple possible.
Avant tout, merci à </t>
    </r>
    <r>
      <rPr>
        <b/>
        <sz val="11"/>
        <color rgb="FFFF0000"/>
        <rFont val="Times New Roman"/>
        <family val="1"/>
      </rPr>
      <t>FAILLOUB</t>
    </r>
    <r>
      <rPr>
        <b/>
        <sz val="11"/>
        <rFont val="Times New Roman"/>
        <family val="1"/>
      </rPr>
      <t xml:space="preserve"> (france1) (auteur de la partie "cultures (parcelles)"), à </t>
    </r>
    <r>
      <rPr>
        <b/>
        <sz val="11"/>
        <color rgb="FFFF0000"/>
        <rFont val="Times New Roman"/>
        <family val="1"/>
      </rPr>
      <t>*-AZER-*</t>
    </r>
    <r>
      <rPr>
        <b/>
        <sz val="11"/>
        <rFont val="Times New Roman"/>
        <family val="1"/>
      </rPr>
      <t xml:space="preserve"> (france2?) (auteur de la partie "planification des semis et récoltes") et à </t>
    </r>
    <r>
      <rPr>
        <b/>
        <sz val="11"/>
        <color rgb="FFFF0000"/>
        <rFont val="Times New Roman"/>
        <family val="1"/>
      </rPr>
      <t>KINSLAYERJ</t>
    </r>
    <r>
      <rPr>
        <b/>
        <sz val="11"/>
        <rFont val="Times New Roman"/>
        <family val="1"/>
      </rPr>
      <t xml:space="preserve"> (france1) (auteur de la partie " cultures (semences)"), parties complétées, améliorées et retouchées par mes soins (ajout de la fèverole, triticale, de la Belgique, la Suisse et des vergers entr'autre). 
</t>
    </r>
    <r>
      <rPr>
        <b/>
        <u/>
        <sz val="11"/>
        <color rgb="FFFF0000"/>
        <rFont val="Times New Roman"/>
        <family val="1"/>
      </rPr>
      <t>Merci également à tout les joueurs qui ont souhaité tester les différentes versions de ce fichier, ce qui permet aujourd'hui de fournir quelque chose sans trop de bugs.</t>
    </r>
    <r>
      <rPr>
        <b/>
        <sz val="11"/>
        <rFont val="Times New Roman"/>
        <family val="1"/>
      </rPr>
      <t xml:space="preserve">
</t>
    </r>
    <r>
      <rPr>
        <b/>
        <u/>
        <sz val="11"/>
        <color rgb="FFFF0000"/>
        <rFont val="Times New Roman"/>
        <family val="1"/>
      </rPr>
      <t>MODE D'EMPLOI :</t>
    </r>
    <r>
      <rPr>
        <b/>
        <sz val="11"/>
        <rFont val="Times New Roman"/>
        <family val="1"/>
      </rPr>
      <t xml:space="preserve"> 
Tu sais lire le français (le vrai : pas le français SMS)? Alors tu devrais t'en sortir ici sans trop de difficulté!
Etant donné le nombre de posts sur le forum de SIMAGRI où il y a des questions (dont les réponses sont dans les règles!!) sur comment faire ceci ou cela, je vais faire bref ici:
Là où il y a écrit "</t>
    </r>
    <r>
      <rPr>
        <b/>
        <sz val="11"/>
        <color rgb="FF0070C0"/>
        <rFont val="Times New Roman"/>
        <family val="1"/>
      </rPr>
      <t>Cliques → ICI ←</t>
    </r>
    <r>
      <rPr>
        <b/>
        <sz val="11"/>
        <rFont val="Times New Roman"/>
        <family val="1"/>
      </rPr>
      <t xml:space="preserve">", eh bien... cliques si cela te concerne!
</t>
    </r>
    <r>
      <rPr>
        <b/>
        <u/>
        <sz val="11"/>
        <color rgb="FFFF0000"/>
        <rFont val="Times New Roman"/>
        <family val="1"/>
      </rPr>
      <t>Pour les utilisateurs d'OpenOffice si les liens ne marchent pas allez dans le menu Outils &gt; Autocorrection, onglet Options et cocher Détecter les URL.</t>
    </r>
    <r>
      <rPr>
        <b/>
        <sz val="11"/>
        <rFont val="Times New Roman"/>
        <family val="1"/>
      </rPr>
      <t xml:space="preserve">
Si tu vois des cases où il y a marqué "</t>
    </r>
    <r>
      <rPr>
        <b/>
        <sz val="11"/>
        <color rgb="FFFF0000"/>
        <rFont val="Times New Roman"/>
        <family val="1"/>
      </rPr>
      <t>invalide</t>
    </r>
    <r>
      <rPr>
        <b/>
        <sz val="11"/>
        <rFont val="Times New Roman"/>
        <family val="1"/>
      </rPr>
      <t>", "</t>
    </r>
    <r>
      <rPr>
        <b/>
        <sz val="11"/>
        <color rgb="FFFF0000"/>
        <rFont val="Times New Roman"/>
        <family val="1"/>
      </rPr>
      <t>ERREUR</t>
    </r>
    <r>
      <rPr>
        <b/>
        <sz val="11"/>
        <rFont val="Times New Roman"/>
        <family val="1"/>
      </rPr>
      <t>" ou "</t>
    </r>
    <r>
      <rPr>
        <b/>
        <sz val="11"/>
        <color rgb="FFFF0000"/>
        <rFont val="Times New Roman"/>
        <family val="1"/>
      </rPr>
      <t>#VALEUR!</t>
    </r>
    <r>
      <rPr>
        <b/>
        <sz val="11"/>
        <rFont val="Times New Roman"/>
        <family val="1"/>
      </rPr>
      <t>", et bien dis toi que tu as oublié quelque chose...et si tu vois"</t>
    </r>
    <r>
      <rPr>
        <b/>
        <sz val="11"/>
        <color rgb="FFFF0000"/>
        <rFont val="Times New Roman"/>
        <family val="1"/>
      </rPr>
      <t>N.C.</t>
    </r>
    <r>
      <rPr>
        <b/>
        <sz val="11"/>
        <rFont val="Times New Roman"/>
        <family val="1"/>
      </rPr>
      <t>", cela veut dire "Non Concerné" (par ta ferme ou le pays) ou ou "</t>
    </r>
    <r>
      <rPr>
        <b/>
        <sz val="11"/>
        <color rgb="FFFF0000"/>
        <rFont val="Times New Roman"/>
        <family val="1"/>
      </rPr>
      <t>#N/A</t>
    </r>
    <r>
      <rPr>
        <b/>
        <sz val="11"/>
        <rFont val="Times New Roman"/>
        <family val="1"/>
      </rPr>
      <t xml:space="preserve">", cela veut dire qu'il y a quelque chose qui cloche dans tes données. Par ex, si tu n'as pas de bovins, la surface nécessaire sous abris est "N.C.", sinon, la valeur réelle s'affiche!
Sinon, voila LA règle : </t>
    </r>
    <r>
      <rPr>
        <b/>
        <sz val="11"/>
        <color rgb="FFFF0000"/>
        <rFont val="Times New Roman"/>
        <family val="1"/>
      </rPr>
      <t xml:space="preserve">NE REMPLIS </t>
    </r>
    <r>
      <rPr>
        <b/>
        <u/>
        <sz val="11"/>
        <color rgb="FFFF0000"/>
        <rFont val="Times New Roman"/>
        <family val="1"/>
      </rPr>
      <t>QUE LES CASES TURQUOISES</t>
    </r>
    <r>
      <rPr>
        <b/>
        <sz val="11"/>
        <color rgb="FFFF0000"/>
        <rFont val="Times New Roman"/>
        <family val="1"/>
      </rPr>
      <t xml:space="preserve"> QUI TE CONCERNENT!!!</t>
    </r>
    <r>
      <rPr>
        <b/>
        <sz val="11"/>
        <rFont val="Times New Roman"/>
        <family val="1"/>
      </rPr>
      <t xml:space="preserve"> Sinon, bonjour les résultats...
</t>
    </r>
    <r>
      <rPr>
        <b/>
        <sz val="11"/>
        <color rgb="FFFF0000"/>
        <rFont val="Times New Roman"/>
        <family val="1"/>
      </rPr>
      <t>Tu ne sais pas ce que tu dois mettre dans les cases turquoises? c'est simple :</t>
    </r>
    <r>
      <rPr>
        <b/>
        <sz val="11"/>
        <rFont val="Times New Roman"/>
        <family val="1"/>
      </rPr>
      <t xml:space="preserve">
tu trouveras des cases avec un fond gris clair et un petit triangle rouge dans le coin en haut à droite de la case grise. Amènes le curseur de ta souris dessus : une aide apparaîtra!
Maintenant, fais toi plaisir!!
Pour toute question, bug repéré, faute d'orthographe (ou de frappe) ou même suggestion pouvant compléter ou optimiser ce fichier, écris-moi! 
Mon pseudo : </t>
    </r>
    <r>
      <rPr>
        <b/>
        <sz val="11"/>
        <color theme="7"/>
        <rFont val="Times New Roman"/>
        <family val="1"/>
      </rPr>
      <t>EARL LARROUQUETTE</t>
    </r>
    <r>
      <rPr>
        <b/>
        <sz val="11"/>
        <rFont val="Times New Roman"/>
        <family val="1"/>
      </rPr>
      <t xml:space="preserve"> (sur france1)
P.S. : Pour te déplacer d'un endroit à l'autre, il n'y a qu'un seul moyen à utiliser : les cases "Cliques → ICI ←" que tu trouveras... 
Utilises les et n'essayes pas de te déplacer tout seul d'une page à l'autre... : tu pourrais réellement te perdre, suivant les pages... et oublier de renseigner des choses importantes!</t>
    </r>
  </si>
  <si>
    <t>ton aire de paille/foin?</t>
  </si>
  <si>
    <t>place restante dans l'aire/les aires de stockage paille/foin :</t>
  </si>
  <si>
    <t>pour gérer ton/tes aire(s)</t>
  </si>
  <si>
    <t>niveau d'équipement</t>
  </si>
  <si>
    <t>niv. d'équipement</t>
  </si>
  <si>
    <t>ATTENTION : IL TE FAUT 1 HECTARE PAR BISON ET PAR DAIM</t>
  </si>
  <si>
    <t>Qualité des aliments</t>
  </si>
  <si>
    <t>BONNE</t>
  </si>
  <si>
    <t>MOYENNE</t>
  </si>
  <si>
    <t>MAUVAISE</t>
  </si>
  <si>
    <t>BONNE QUALITE</t>
  </si>
  <si>
    <t>MOYENNE QUALITE</t>
  </si>
  <si>
    <t>MAUVAISE QUALITE</t>
  </si>
  <si>
    <t>1 jour</t>
  </si>
  <si>
    <t>2 jours</t>
  </si>
  <si>
    <t>3 jours</t>
  </si>
  <si>
    <t>4 jours</t>
  </si>
  <si>
    <t>5 jours</t>
  </si>
  <si>
    <t>6 jours</t>
  </si>
  <si>
    <t>7 jours</t>
  </si>
  <si>
    <t>8 jours</t>
  </si>
  <si>
    <t>9 jours</t>
  </si>
  <si>
    <t>10 jours</t>
  </si>
  <si>
    <t>11 jours</t>
  </si>
  <si>
    <t>12 jours</t>
  </si>
  <si>
    <t>13 jours</t>
  </si>
  <si>
    <t>14 jours</t>
  </si>
  <si>
    <t>15 jours</t>
  </si>
  <si>
    <t>3 mois</t>
  </si>
  <si>
    <t>4 mois</t>
  </si>
  <si>
    <t>5 mois</t>
  </si>
  <si>
    <t>6 mois</t>
  </si>
  <si>
    <t>7 mois</t>
  </si>
  <si>
    <t>8 mois</t>
  </si>
  <si>
    <t>9 mois</t>
  </si>
  <si>
    <t>10 mois</t>
  </si>
  <si>
    <t>11 mois</t>
  </si>
  <si>
    <t>autres (lapins, porcins, volailles, pintades)</t>
  </si>
  <si>
    <t>Tu veux stocker pour combien de jours?</t>
  </si>
  <si>
    <t>Valeur 12 et plus (M)</t>
  </si>
  <si>
    <t>Valeur 12 et plus (F)</t>
  </si>
  <si>
    <t>Valeur 6-12 (M)</t>
  </si>
  <si>
    <t>Valeur 6-12 (F)</t>
  </si>
  <si>
    <t>Valeur 3-6 (M)</t>
  </si>
  <si>
    <t>Valeur 3-6 (F)</t>
  </si>
  <si>
    <t>Valeur 0-3 (M)</t>
  </si>
  <si>
    <t>Valeur 0-3 (F)</t>
  </si>
  <si>
    <t>Qualité ration complète (hors hiver):</t>
  </si>
  <si>
    <t>Qualité ration hivernale complète:</t>
  </si>
  <si>
    <t>Qualité ration complète :</t>
  </si>
  <si>
    <t>Ration hivernale pour tes mâles</t>
  </si>
  <si>
    <t>Ration hivernale pour ta femelles</t>
  </si>
  <si>
    <t>Ration pour tes mâles</t>
  </si>
  <si>
    <t>Ration pour tes femelles</t>
  </si>
  <si>
    <t>lapine</t>
  </si>
  <si>
    <t xml:space="preserve">Ration pour tes mâles : </t>
  </si>
  <si>
    <t xml:space="preserve">Ration pour tes femelles : </t>
  </si>
  <si>
    <t>Valeur 1-9</t>
  </si>
  <si>
    <t>Valeur 9 et plus</t>
  </si>
  <si>
    <t>Ration pour tes mâles :</t>
  </si>
  <si>
    <t>Ration pour tes femelles :</t>
  </si>
  <si>
    <t xml:space="preserve">Ration en écurie pour tes mâles : </t>
  </si>
  <si>
    <t xml:space="preserve">Ration en écurie pour tes femelles : </t>
  </si>
  <si>
    <t>concentré jeunes porcins</t>
  </si>
  <si>
    <t>concentré jeunes bovins</t>
  </si>
  <si>
    <t>concentré jeunes lapins</t>
  </si>
  <si>
    <t>balles de foin 250kg BQ</t>
  </si>
  <si>
    <t>balles de foin 300kg BQ</t>
  </si>
  <si>
    <t>balles de foin 300kg enrubanné BQ</t>
  </si>
  <si>
    <t>balles de foin 500kg BQ</t>
  </si>
  <si>
    <t>balles de foin 300kg MoQ</t>
  </si>
  <si>
    <t>balles de foin 300kg enrubanné MoQ</t>
  </si>
  <si>
    <t>balles de foin 500kg MoQ</t>
  </si>
  <si>
    <t>balles de foin 250kg MaQ</t>
  </si>
  <si>
    <t>balles de foin 300kg MaQ</t>
  </si>
  <si>
    <t>balles de foin 300kg enrubanné MaQ</t>
  </si>
  <si>
    <t>balles de foin 500kg MaQ</t>
  </si>
  <si>
    <t>balles de paille 250kg BQ</t>
  </si>
  <si>
    <t>balles de paille 300kg BQ</t>
  </si>
  <si>
    <t>balles de paille 500kg BQ</t>
  </si>
  <si>
    <t>balles de paille 250kg MoQ</t>
  </si>
  <si>
    <t>balles de paille 300kg MoQ</t>
  </si>
  <si>
    <t>balles de paille 500kg MoQ</t>
  </si>
  <si>
    <t>balles de paille 300kg MaQ</t>
  </si>
  <si>
    <t>balles de paille 250kg MaQ</t>
  </si>
  <si>
    <t>balles de paille 500kg MaQ</t>
  </si>
  <si>
    <t>balles de foin 250kg MoQ</t>
  </si>
  <si>
    <t>minéraux &amp; vitamines BQ</t>
  </si>
  <si>
    <t>minéraux &amp; vitamines MoQ</t>
  </si>
  <si>
    <t>minéraux &amp; vitamines MaQ</t>
  </si>
  <si>
    <t>création de la V15-0 à partir de la V2-0 light. :) Suppression de la gestion des hangars (maintenant que les bovins ont leur propre stabu) vu que le stockage sous hangar engendre une légère perte avec le temps je ne vois plus l'utilité de cette partie (qui pourra revenir si le besoin est là)...</t>
  </si>
  <si>
    <t>Mise à jour des rendements des cultures. Début des modifications pour l'ajout des qualités des aliments (un peu comme sur la V14.0)</t>
  </si>
  <si>
    <t>***</t>
  </si>
  <si>
    <t>**</t>
  </si>
  <si>
    <t>*</t>
  </si>
  <si>
    <t>Qualité aliments pour ta ferme</t>
  </si>
  <si>
    <t>25</t>
  </si>
  <si>
    <t xml:space="preserve"> </t>
  </si>
  <si>
    <t>35000</t>
  </si>
  <si>
    <t>durée de mise au pré max</t>
  </si>
  <si>
    <t>Tarifs engrais et traitements</t>
  </si>
  <si>
    <t>engrais cerisiers</t>
  </si>
  <si>
    <t>engrais framboisiers</t>
  </si>
  <si>
    <t>engrais groseillers</t>
  </si>
  <si>
    <t>engrais myrtillers</t>
  </si>
  <si>
    <t>engrais noyers</t>
  </si>
  <si>
    <t>engrais oliviers</t>
  </si>
  <si>
    <t>fumier</t>
  </si>
  <si>
    <t>digestat solide</t>
  </si>
  <si>
    <t>digestat liquide</t>
  </si>
  <si>
    <t>compost</t>
  </si>
  <si>
    <t>écume de sucrerie</t>
  </si>
  <si>
    <t>traitement cerisiers</t>
  </si>
  <si>
    <t>traitement framboisiers</t>
  </si>
  <si>
    <t>traitement groseillers</t>
  </si>
  <si>
    <t>traitement myrtillers</t>
  </si>
  <si>
    <t>traitement noyers</t>
  </si>
  <si>
    <t>traitement oliviers</t>
  </si>
  <si>
    <t>engrais cerisiers (kg) :</t>
  </si>
  <si>
    <t>engrais noyers (kg) :</t>
  </si>
  <si>
    <t>engrais oliviers (kg) :</t>
  </si>
  <si>
    <t>engrais framboisiers (kg) :</t>
  </si>
  <si>
    <t>engrais groseillers (lit.) :</t>
  </si>
  <si>
    <t>engrais myrtillers (lit.) :</t>
  </si>
  <si>
    <t>traitement poiriers (kg) :</t>
  </si>
  <si>
    <t>traitement pêchers (kg) :</t>
  </si>
  <si>
    <t>traitement cerisiers (kg) :</t>
  </si>
  <si>
    <t>traitement pruniers (kg) :</t>
  </si>
  <si>
    <t>traitement mirabelliers (kg) :</t>
  </si>
  <si>
    <t>traitement noyers (kg) :</t>
  </si>
  <si>
    <t>traitement oliviers (kg) :</t>
  </si>
  <si>
    <t>traitement framboisiers (kg) :</t>
  </si>
  <si>
    <t>traitement groseillers (lit.) :</t>
  </si>
  <si>
    <t>traitement myrtillers (lit.) :</t>
  </si>
  <si>
    <t>traitement pommiers (kg) :</t>
  </si>
  <si>
    <t>prix semence</t>
  </si>
  <si>
    <t>Quantité ***</t>
  </si>
  <si>
    <t>Quantité **</t>
  </si>
  <si>
    <t>Quantité *</t>
  </si>
  <si>
    <t>production</t>
  </si>
  <si>
    <t xml:space="preserve">VENTE DE LAIT (par traite) : </t>
  </si>
  <si>
    <t>Duvet d'oie</t>
  </si>
  <si>
    <t>Duvet de canard</t>
  </si>
  <si>
    <t>Laine angora</t>
  </si>
  <si>
    <t>vaches</t>
  </si>
  <si>
    <t>chèvres</t>
  </si>
  <si>
    <t>Laine mohair</t>
  </si>
  <si>
    <t>race</t>
  </si>
  <si>
    <t>Laine ovin</t>
  </si>
  <si>
    <t>lait de vaches</t>
  </si>
  <si>
    <t>lait de chèvres</t>
  </si>
  <si>
    <t>lait de brebis</t>
  </si>
  <si>
    <t>Lait de brebis</t>
  </si>
  <si>
    <t>QL      0-9,99</t>
  </si>
  <si>
    <t>Lait de chèvre</t>
  </si>
  <si>
    <t>QL    10-19,99</t>
  </si>
  <si>
    <t>Lait de vache</t>
  </si>
  <si>
    <t>QL    20-29,99</t>
  </si>
  <si>
    <t>Mirabelles 22/25</t>
  </si>
  <si>
    <t>QL    30-39,99</t>
  </si>
  <si>
    <t>Mirabelles 26/30</t>
  </si>
  <si>
    <t>QL    40-49,99</t>
  </si>
  <si>
    <t>QL    50-59,99</t>
  </si>
  <si>
    <t>QL    60-69,99</t>
  </si>
  <si>
    <t>QL    70-79,99</t>
  </si>
  <si>
    <t>QL    80-89,99</t>
  </si>
  <si>
    <t>QL    90-100</t>
  </si>
  <si>
    <t>Production moyenne :</t>
  </si>
  <si>
    <t>Poires 55/60</t>
  </si>
  <si>
    <t>Poires 60/65</t>
  </si>
  <si>
    <t>Poires 65/70</t>
  </si>
  <si>
    <t>Pommes 70/75</t>
  </si>
  <si>
    <r>
      <t xml:space="preserve">ATTENTION : 
</t>
    </r>
    <r>
      <rPr>
        <b/>
        <sz val="12"/>
        <color indexed="10"/>
        <rFont val="Times New Roman"/>
        <family val="1"/>
      </rPr>
      <t>Les montants calculés sont des moyennes basées sur les données présentes dans les règles du jeu!!</t>
    </r>
  </si>
  <si>
    <t>Pommes 75/80</t>
  </si>
  <si>
    <t>Prunes 35/40</t>
  </si>
  <si>
    <t>Prunes 40/45</t>
  </si>
  <si>
    <t>Prunes 45/50</t>
  </si>
  <si>
    <t xml:space="preserve">VENTE DE LAINE (par an simagri) : </t>
  </si>
  <si>
    <t>chèvres/boucs :</t>
  </si>
  <si>
    <t>brebis/béliers :</t>
  </si>
  <si>
    <t>lapins/lapines :</t>
  </si>
  <si>
    <t>VENTE DES ŒUFS (par jour) :</t>
  </si>
  <si>
    <t>canes</t>
  </si>
  <si>
    <t>poules :</t>
  </si>
  <si>
    <t>œuf(s)</t>
  </si>
  <si>
    <t>canes :</t>
  </si>
  <si>
    <t>calibre S</t>
  </si>
  <si>
    <t>calibre M</t>
  </si>
  <si>
    <t>calibre L</t>
  </si>
  <si>
    <t>calibre XL</t>
  </si>
  <si>
    <t>1 traite/jour</t>
  </si>
  <si>
    <t>2 traites/jour</t>
  </si>
  <si>
    <t>3 traites/jour</t>
  </si>
  <si>
    <t>4 traites/jour</t>
  </si>
  <si>
    <t>VENTE DE DUVET (par an SIMAGRI)</t>
  </si>
  <si>
    <t>oies/jars</t>
  </si>
  <si>
    <t>canes/canards</t>
  </si>
  <si>
    <t xml:space="preserve">Production : </t>
  </si>
  <si>
    <t>par jour</t>
  </si>
  <si>
    <t>par mois</t>
  </si>
  <si>
    <t>par année</t>
  </si>
  <si>
    <t>période :</t>
  </si>
  <si>
    <t xml:space="preserve">mise au pré : </t>
  </si>
  <si>
    <t>source dans le pré?</t>
  </si>
  <si>
    <t>espèce animale</t>
  </si>
  <si>
    <t>dépense nourriture/litière</t>
  </si>
  <si>
    <t>vente lait</t>
  </si>
  <si>
    <t>vente laine/duvet</t>
  </si>
  <si>
    <t>vente œufs</t>
  </si>
  <si>
    <t>bilan par espèce</t>
  </si>
  <si>
    <t xml:space="preserve">total : </t>
  </si>
  <si>
    <t>cout/an si source=0</t>
  </si>
  <si>
    <t>lait vaches</t>
  </si>
  <si>
    <t>jour?mois?année?</t>
  </si>
  <si>
    <t>coût bovins</t>
  </si>
  <si>
    <t>coût caprins</t>
  </si>
  <si>
    <t>coût lapins</t>
  </si>
  <si>
    <t>coût volaille</t>
  </si>
  <si>
    <t>coût ovins</t>
  </si>
  <si>
    <t>cout oies</t>
  </si>
  <si>
    <t>cout canard</t>
  </si>
  <si>
    <t>œufs</t>
  </si>
  <si>
    <t>lait chèvres</t>
  </si>
  <si>
    <t>lait brebis</t>
  </si>
  <si>
    <t>specy</t>
  </si>
  <si>
    <t>BILAN FINANCIER DE TA FERME</t>
  </si>
  <si>
    <t>Qualité lait/calibre œufs</t>
  </si>
  <si>
    <t>Nbre de traites/jour</t>
  </si>
  <si>
    <t>conventionnel</t>
  </si>
  <si>
    <t>bio</t>
  </si>
  <si>
    <t>type d'élevage</t>
  </si>
  <si>
    <t>ou</t>
  </si>
  <si>
    <t>Intégration du passage du rouleau sur l'herbe (qui permet de gagner 0,5% de croissance)</t>
  </si>
  <si>
    <t xml:space="preserve">RENDEMENTS MOYENS CONVENTIONNELS (en tonnes/ha) : </t>
  </si>
  <si>
    <t>Type de parcelle</t>
  </si>
  <si>
    <t>conv</t>
  </si>
  <si>
    <t>paille : 120</t>
  </si>
  <si>
    <t>gains ventes conv</t>
  </si>
  <si>
    <t>production conv</t>
  </si>
  <si>
    <t>production bio</t>
  </si>
  <si>
    <t>Type de culture</t>
  </si>
  <si>
    <t>féverole</t>
  </si>
  <si>
    <t>17/06/2011 :</t>
  </si>
  <si>
    <t>Fin des comparatifs entre VF et US. Protection des fichiers : la V14 est officiellement cloturée!</t>
  </si>
  <si>
    <t>23/05/2011 :</t>
  </si>
  <si>
    <t>Création de la V14.0 : Ajout des matériels des 25 et 26e salons (saisons 27 et 28). Ajout des chevaux et poneys. Mise à jour des onglets "hangars" (nouveaux matériels), "pâtures et foin" (chevaux/poneys), "coût" (chevaux/poneys) et "aires et silos" (chevaux/poneys).</t>
  </si>
  <si>
    <t>23/02/2011 :</t>
  </si>
  <si>
    <t>Fin des comparatifs entre VF et US. Protection des fichiers : la V13 est officiellement cloturée!</t>
  </si>
  <si>
    <t>23/12/2010 :</t>
  </si>
  <si>
    <t>Création de la V13.0 : Ajout des matériels des 23 et 24e salon (saisons 25 et 26). Ajout des daims. Mise à jour des onglets "bisons" (ajout surface prairie nécessaire), "hangars" (nouveaux matériels), "pâtures et foin" (daims), "coût" (daims) et "aires et silos" (daims).</t>
  </si>
  <si>
    <t>16/09/2010 :</t>
  </si>
  <si>
    <t>Ajout des matériels du 23e salon (saison 25). Fin des comparatifs entre VF et US. Protection des fichiers : la V12 est officiellement cloturée!</t>
  </si>
  <si>
    <t>06/08/2010 :</t>
  </si>
  <si>
    <t>MAJ de l'onglet "abris" (pour prendre en compte les animaux liés au foie gras) et MAJ de l'onglet "semences, engrais et traitement" (possibilité d'indiquer une autre région, pour les cultures semées, dont le rendement est nul dans la région de la ferme)</t>
  </si>
  <si>
    <t>19/06/2010 :</t>
  </si>
  <si>
    <t>Création de la V12.0 : ajout du foie gras, MAJ surfaces à semer pour jouer en autoproduction (maintenant les stocks sont pris en compte)</t>
  </si>
  <si>
    <t>07/06/2010 :</t>
  </si>
  <si>
    <t>Fin des comparatifs entre VF et US. Protection des fichiers : la V11 est officiellement cloturée!</t>
  </si>
  <si>
    <t>24/05/2010 :</t>
  </si>
  <si>
    <t>Version francaise checkée (liens hypertextes uniquement). Ajout des matériels du 22e salon (saison 24), ainsi que de tous les matériels maraichage. Avancement de la traduction anglaise : environ 70%</t>
  </si>
  <si>
    <t>14/05/2010 :</t>
  </si>
  <si>
    <t>Création de la V11.0 : Ajout des matériels du 22e salon, et de la luzerne et miscanthus. Ajout des 5e rations pour les bovins et ovins. Début de la traduction en englais du "nouveau fichier".</t>
  </si>
  <si>
    <t>21/04/2010 :</t>
  </si>
  <si>
    <t>Ajout des matériels des 19e, 20e et 21e salons (saisons 21 à 23). Refonte totale du fichier (onglets renommés et contenus revus)</t>
  </si>
  <si>
    <t>05/12/2009 :</t>
  </si>
  <si>
    <t>Création de la V10.0 : Ajout des matériels présentés au 18e salon, des dernières cultures (haricots verts, épinards et lentilles) et corrections de quelques bugs N'apparaissent pas : les matériels des 19e et 20e salons (saisons 21 et 22), le foie gras et le maraichage.</t>
  </si>
  <si>
    <t>19/04/2009 :</t>
  </si>
  <si>
    <t>Ajout des derniers utilitaires et corrections de quelques bugs.</t>
  </si>
  <si>
    <t>02/01/2009 :</t>
  </si>
  <si>
    <t>Ajout des matériels présentés au 16e salon, et de la race Aubrac (bovins).</t>
  </si>
  <si>
    <t>17/11/2008 :</t>
  </si>
  <si>
    <t>Création de la version V9.0 : Ajout des rations hivernales (bovins et ovins). Refonte de la page "bisons". Optimisation/modification/améliorations de diverses pages.</t>
  </si>
  <si>
    <t>03/10/2008 :</t>
  </si>
  <si>
    <r>
      <t xml:space="preserve">Mise à jour de diverses valeurs de la page "semences" (Merci </t>
    </r>
    <r>
      <rPr>
        <b/>
        <sz val="10"/>
        <color indexed="10"/>
        <rFont val="Times New Roman"/>
        <family val="1"/>
      </rPr>
      <t>Andreas</t>
    </r>
    <r>
      <rPr>
        <sz val="10"/>
        <rFont val="Times New Roman"/>
        <family val="1"/>
      </rPr>
      <t>!!). Ajout d'une page "mémo" préremplie en français mais 100% éditable par les utilisateurs du fichier (donc à chaque version du fichier, penses à copier/coller tes données!). Cette page a été créée dans le but de te permettre de noter ce que tu veux. La mise en page actuelle est sous forme de calendrier et reprend les grandes étapes que j'ai trouvé dans les règles. A toi d'en faire ce que tu veux! Divers bugs de traductions (version en anglais) corrigés.</t>
    </r>
  </si>
  <si>
    <t>27/07/2008 :</t>
  </si>
  <si>
    <t>Création de la version V8.0 : Ajout des matériels présentés au 15e salon. Ajout des nouvelles races (caprins) apparues en saison 15. Intégration de l'ensilage d'herbe dans les rations. Ajout des canards et des oies. Optimisation/modification/améliorations de diverses pages.</t>
  </si>
  <si>
    <t>10/06/2008 :</t>
  </si>
  <si>
    <t>Corrections de bugs "alimentaires" chez les bovins, porcins, ovins (problème dans le choix colza/canola) et lapins (pois/féverole). Correction de bug (onglet "semences") pour le calcul de culture à paille à semer (pour les versions en anglais et espagnol. Pas d'erreur sur la version française). Mise à jour des pages "parcelles" et "vergers" pour l'ensemble des cultures et pays.</t>
  </si>
  <si>
    <t>27/03/2008 :</t>
  </si>
  <si>
    <t>Création de la version V7.0 : Ajout des matériels présentés au 14e salon. Ajout des Etats-Unis. Fin de la traduction espagnole du fichier. Optimisation/modification/améliorations de diverses choses.</t>
  </si>
  <si>
    <t>10/01/2008 :</t>
  </si>
  <si>
    <t>Création de la version V6.0 : Ajout des matériels présentés au 13e salon et ajout du chanvre industriel, pruniers et mirabelliers. Début de la traduction espagnole du fichier.</t>
  </si>
  <si>
    <t>02/12/2007 :</t>
  </si>
  <si>
    <t>Création de la version V5.0 : Ajout des matériels manquants, notament la marque CNH. Ajout de la nouvelle race d'ovins (Rouge de l'Ouest). Optimisation/modification/améliorations de diverses choses.</t>
  </si>
  <si>
    <t>05/11/2007 :</t>
  </si>
  <si>
    <t>Fin de la traduction du fichier à 100%. Début du contrôle des bugs pouvant apparaître sur la version anglaise.</t>
  </si>
  <si>
    <t>11/09/2007 :</t>
  </si>
  <si>
    <t>Possibilité de connaître le coût de paillage et de vaccin par espèce. Ajout des nouveaux matériels présentés au salon 11. Améliorations de certains détails (page "pâtures nécessaire"). Ajout des engrais vert et mise à jour des gains pour les caprins et ovins suite à l'indice QL.</t>
  </si>
  <si>
    <t>09/07/2007 :</t>
  </si>
  <si>
    <t>Création de la V4.0 : Intégration de tout les pays dans 1 seul et même fichier, pour une facilité au niveau des retouches et améliorations (c'est pour cela que les V1.0 Canada, Suisse et Belgique n'ont jamais été mises à disposition). Modification des listes de races pour intégrer les races spécifiques selon le pays. Pages "cultures (parcelles)" et "cultures (vergers)" : il faut maintenant sélectionner le pays concerné pour faire apparaître les informations. Page "cultures (semences)" : un tableau indique la quantité d'hectares à semer si tu veux produire tout les aliments par espèce ou pour toute ta ferme.</t>
  </si>
  <si>
    <t>11/06/2007 :</t>
  </si>
  <si>
    <r>
      <t xml:space="preserve">Fin de la partie "gestion hangars" (ajout des derniers matériels : ceux présentés au salon saison 11). Merci à </t>
    </r>
    <r>
      <rPr>
        <b/>
        <sz val="10"/>
        <color indexed="10"/>
        <rFont val="Times New Roman"/>
        <family val="1"/>
      </rPr>
      <t>MICHEL95</t>
    </r>
    <r>
      <rPr>
        <sz val="10"/>
        <rFont val="Times New Roman"/>
        <family val="1"/>
      </rPr>
      <t xml:space="preserve"> pour les bugs repérés, et pour ses conseils.</t>
    </r>
  </si>
  <si>
    <t>19/05/2007 :</t>
  </si>
  <si>
    <t>Page "coût" corrigée (bug avec rations 2 et 3 caprins). Page "gestion hangars" complétée (calcul de place nécessaire pour le reste du matériel, excepté pour le matériel présenté au salon). Page "cultures (semences)" optimisée (remplissage des stocks automatique). Page "gains" complétée (ajout des productions moyennes (lait, laine et oeufs) en prenant en compte les différentes races élevées) et mise en place du calibrage d'oeufs.</t>
  </si>
  <si>
    <t>20/04/2007 :</t>
  </si>
  <si>
    <t>Amélioration de la partie "cultures (semences)" et corrections de quelques bugs autour des pâturages.</t>
  </si>
  <si>
    <t>09/04/2007 :</t>
  </si>
  <si>
    <t xml:space="preserve">Optimisation de la partie "gestion entrepôts" (correction de bugs de calculs). Page "coût" complétée (possibilité de voir le coût d'un animal selon sexe et tranche d'âge). 1e partie de la page "gestion hangars" terminée (calcul de place nécessaire pour le divers et le matériel motorisé). Pages "cultures (semences)" et "pâturages nécessaire" complétées. </t>
  </si>
  <si>
    <t>31/03/2007 :</t>
  </si>
  <si>
    <t>Arrivée du Canada : séparation de la France (en 2 parties identiques, une par serveur), Suisse et Belgique, afin de permettre aux joueurs qui possèdent une ferme sur chaque pays de pouvoir la gérer indépendemment."aide simagri v2.1bêta" passe en "aide simagri v3.0-france1" et "aide simagri v3.0-france2" et naissance d'"aide simagri v1.0-belgique", "aide simagri v1.0-suisse" et "aide simagri v1.0-canada". Correction des bugs en page "gains".</t>
  </si>
  <si>
    <t>28/03/2007 :</t>
  </si>
  <si>
    <r>
      <t xml:space="preserve">Fin des corrections de bugs. Passage à la V.2.1 bêta. Ajout de la partie "gestion entrepôts" (partie opérationnelle depuis cette version). Correction des liens hypertextes. Mise à jour du mode d'emploi. Partie "gestion hangars" toujours en cours d'étude (fin prévue à la sortie de la prochaine version du fichier, pour l'été 2007). Merci à </t>
    </r>
    <r>
      <rPr>
        <b/>
        <sz val="10"/>
        <color indexed="10"/>
        <rFont val="Times New Roman"/>
        <family val="1"/>
      </rPr>
      <t>GAEC DU COLOMBIER</t>
    </r>
    <r>
      <rPr>
        <sz val="10"/>
        <rFont val="Times New Roman"/>
        <family val="1"/>
      </rPr>
      <t xml:space="preserve"> pour son idée de rajouter une partie pour l'entrepôt, partie non prévue à la base... et à </t>
    </r>
    <r>
      <rPr>
        <b/>
        <sz val="10"/>
        <color indexed="10"/>
        <rFont val="Times New Roman"/>
        <family val="1"/>
      </rPr>
      <t>EDMONDO</t>
    </r>
    <r>
      <rPr>
        <sz val="10"/>
        <rFont val="Times New Roman"/>
        <family val="1"/>
      </rPr>
      <t xml:space="preserve"> pour les bugs repérés, notament sur les parties "débutants".</t>
    </r>
  </si>
  <si>
    <t>28/02/2007 :</t>
  </si>
  <si>
    <t>Passage à la version V.2.0 bêta (la V.1.0 n'est jamais passée officielle pour cause de fermeture de SIMCALCULS). Refonte du fichier. Ajout des bisons, pintades, triticale, Suisse. Divers ajouts dans les espèces existantes en V.1.0 et partie "pâturages" optimisée et revue entièrement. Ajout des parties "spécial débutants", "gestion hangars".</t>
  </si>
  <si>
    <t>11/08/2006 :</t>
  </si>
  <si>
    <t>Vérification de la place sous abris et de toutes les quantités d'aliments pour toute espèce et ration. Correction apportées chez les bovins (alimentation) et les volailles (place nécessaire sous abris), et ajout du calcul de production de lisier journalier (élevage de porcins sur caillebotis). Fin des retouches "personnelles" et début officiel des tests avant officialisation (prévue pour mi septembre 2006).</t>
  </si>
  <si>
    <t>10/08/2006 :</t>
  </si>
  <si>
    <t>Correction de liens hypertextes défectueux et mise à jour du bilan financier.</t>
  </si>
  <si>
    <t>09/08/2006 :</t>
  </si>
  <si>
    <t>Refonte totale du fichier. Mise à jour des données suivant les règles. Passage en version "01-provisoire".</t>
  </si>
  <si>
    <t>08/08/2006 :</t>
  </si>
  <si>
    <t>Refonte de la page "calcul aliments" suite au repérage de plusieurs bugs.</t>
  </si>
  <si>
    <t>06/08/2006 :</t>
  </si>
  <si>
    <t>Correction du bug sur les liens hypertextes.</t>
  </si>
  <si>
    <t>02/08/2006 :</t>
  </si>
  <si>
    <r>
      <t>Mise à disposition d' "</t>
    </r>
    <r>
      <rPr>
        <b/>
        <sz val="10"/>
        <rFont val="Times New Roman"/>
        <family val="1"/>
      </rPr>
      <t>aide simagri</t>
    </r>
    <r>
      <rPr>
        <sz val="10"/>
        <rFont val="Times New Roman"/>
        <family val="1"/>
      </rPr>
      <t>" en version "test", appelée "</t>
    </r>
    <r>
      <rPr>
        <b/>
        <sz val="10"/>
        <rFont val="Times New Roman"/>
        <family val="1"/>
      </rPr>
      <t>bouffe simagri</t>
    </r>
    <r>
      <rPr>
        <sz val="10"/>
        <rFont val="Times New Roman"/>
        <family val="1"/>
      </rPr>
      <t>", sur le forum général de SIMAGRI, via le site www.megaupload.com</t>
    </r>
  </si>
  <si>
    <t>prix au 2 mai S65</t>
  </si>
  <si>
    <t>Grosses cerises</t>
  </si>
  <si>
    <t>Grosses framboises</t>
  </si>
  <si>
    <t>Grosses groseilles</t>
  </si>
  <si>
    <t>Grosses myrtilles</t>
  </si>
  <si>
    <t>Grosses noix</t>
  </si>
  <si>
    <t>Grosses olives</t>
  </si>
  <si>
    <t>Moyennes cerises</t>
  </si>
  <si>
    <t>Moyennes framboises</t>
  </si>
  <si>
    <t>Moyennes groseilles</t>
  </si>
  <si>
    <t>Moyennes myrtilles</t>
  </si>
  <si>
    <t>Moyennes noix</t>
  </si>
  <si>
    <t>Moyennes olives</t>
  </si>
  <si>
    <t>Pêches calibre A</t>
  </si>
  <si>
    <t>Pêches calibre B</t>
  </si>
  <si>
    <t>Pêches calibre C</t>
  </si>
  <si>
    <t>Petites cerises</t>
  </si>
  <si>
    <t>Petites framboises</t>
  </si>
  <si>
    <t>Petites groseilles</t>
  </si>
  <si>
    <t>Petites myrtilles</t>
  </si>
  <si>
    <t>Petites noix</t>
  </si>
  <si>
    <t>Petites Olives</t>
  </si>
  <si>
    <t>Betterave à sucre</t>
  </si>
  <si>
    <t>Pomme de terre de conservation</t>
  </si>
  <si>
    <t>Chevaux  au pré en hiver?</t>
  </si>
  <si>
    <t>Chevaux au pré en été?</t>
  </si>
  <si>
    <t>Chevaux au pré en hiver?</t>
  </si>
  <si>
    <t>Poneys au pré en hiver?</t>
  </si>
  <si>
    <t>spécificité 2</t>
  </si>
  <si>
    <t>Fin des checks individuels… A priori on est bon :)</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</si>
</sst>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0.00\ &quot;€&quot;&quot;/&quot;\t"/>
    <numFmt numFmtId="165" formatCode="#,##0.00\ &quot;€&quot;"/>
    <numFmt numFmtId="166" formatCode="#,##0.00\ &quot;€&quot;&quot;/&quot;\k&quot;g&quot;"/>
    <numFmt numFmtId="167" formatCode="#,##0.0000\ &quot;€&quot;&quot;/&quot;\l"/>
    <numFmt numFmtId="168" formatCode="####&quot; en trop&quot;"/>
    <numFmt numFmtId="169" formatCode="####0&quot; m2&quot;"/>
    <numFmt numFmtId="170" formatCode="0.00&quot; m2&quot;"/>
    <numFmt numFmtId="171" formatCode="####0.00&quot; m2&quot;"/>
    <numFmt numFmtId="172" formatCode="####0&quot; ha&quot;"/>
    <numFmt numFmtId="173" formatCode="0.0"/>
    <numFmt numFmtId="174" formatCode="#,##0.00_-\ [$€-1]"/>
    <numFmt numFmtId="175" formatCode="0.000"/>
    <numFmt numFmtId="176" formatCode="[$-40C]d\-mmm;@"/>
    <numFmt numFmtId="177" formatCode="####0.00&quot; kg&quot;"/>
    <numFmt numFmtId="178" formatCode="####0.00&quot; litres&quot;"/>
    <numFmt numFmtId="179" formatCode="####0.00&quot; ha&quot;"/>
  </numFmts>
  <fonts count="71" x14ac:knownFonts="1">
    <font>
      <sz val="10"/>
      <name val="Arial"/>
    </font>
    <font>
      <u/>
      <sz val="10"/>
      <color indexed="12"/>
      <name val="Arial"/>
      <family val="2"/>
    </font>
    <font>
      <sz val="12"/>
      <name val="Times New Roman"/>
      <family val="1"/>
    </font>
    <font>
      <b/>
      <sz val="12"/>
      <name val="Times New Roman"/>
      <family val="1"/>
    </font>
    <font>
      <b/>
      <sz val="10"/>
      <name val="Times New Roman"/>
      <family val="1"/>
    </font>
    <font>
      <sz val="10"/>
      <name val="Times New Roman"/>
      <family val="1"/>
    </font>
    <font>
      <sz val="10"/>
      <color indexed="9"/>
      <name val="Times New Roman"/>
      <family val="1"/>
    </font>
    <font>
      <sz val="8"/>
      <name val="Times New Roman"/>
      <family val="1"/>
    </font>
    <font>
      <b/>
      <sz val="10"/>
      <color indexed="10"/>
      <name val="Times New Roman"/>
      <family val="1"/>
    </font>
    <font>
      <sz val="10"/>
      <color indexed="8"/>
      <name val="Times New Roman"/>
      <family val="1"/>
    </font>
    <font>
      <b/>
      <u/>
      <sz val="10"/>
      <color indexed="8"/>
      <name val="Times New Roman"/>
      <family val="1"/>
    </font>
    <font>
      <b/>
      <u/>
      <sz val="10"/>
      <color indexed="10"/>
      <name val="Times New Roman"/>
      <family val="1"/>
    </font>
    <font>
      <b/>
      <sz val="10"/>
      <color indexed="8"/>
      <name val="Times New Roman"/>
      <family val="1"/>
    </font>
    <font>
      <b/>
      <u/>
      <sz val="10"/>
      <color indexed="12"/>
      <name val="Times New Roman"/>
      <family val="1"/>
    </font>
    <font>
      <b/>
      <sz val="10"/>
      <color indexed="9"/>
      <name val="Times New Roman"/>
      <family val="1"/>
    </font>
    <font>
      <u/>
      <sz val="10"/>
      <color indexed="8"/>
      <name val="Times New Roman"/>
      <family val="1"/>
    </font>
    <font>
      <b/>
      <sz val="10"/>
      <color indexed="12"/>
      <name val="Times New Roman"/>
      <family val="1"/>
    </font>
    <font>
      <b/>
      <u/>
      <sz val="10"/>
      <name val="Times New Roman"/>
      <family val="1"/>
    </font>
    <font>
      <sz val="10"/>
      <color indexed="10"/>
      <name val="Times New Roman"/>
      <family val="1"/>
    </font>
    <font>
      <b/>
      <sz val="16"/>
      <color indexed="41"/>
      <name val="Times New Roman"/>
      <family val="1"/>
    </font>
    <font>
      <b/>
      <sz val="16"/>
      <color indexed="15"/>
      <name val="Times New Roman"/>
      <family val="1"/>
    </font>
    <font>
      <b/>
      <u/>
      <sz val="10"/>
      <color indexed="9"/>
      <name val="Times New Roman"/>
      <family val="1"/>
    </font>
    <font>
      <sz val="10"/>
      <color indexed="81"/>
      <name val="Times New Roman"/>
      <family val="1"/>
    </font>
    <font>
      <b/>
      <u/>
      <sz val="10"/>
      <color indexed="14"/>
      <name val="Times New Roman"/>
      <family val="1"/>
    </font>
    <font>
      <sz val="10"/>
      <color indexed="16"/>
      <name val="Times New Roman"/>
      <family val="1"/>
    </font>
    <font>
      <sz val="10"/>
      <color indexed="9"/>
      <name val="Arial"/>
      <family val="2"/>
    </font>
    <font>
      <b/>
      <sz val="14"/>
      <color indexed="10"/>
      <name val="Times New Roman"/>
      <family val="1"/>
    </font>
    <font>
      <sz val="14"/>
      <name val="Times New Roman"/>
      <family val="1"/>
    </font>
    <font>
      <b/>
      <sz val="18"/>
      <color indexed="10"/>
      <name val="Times New Roman"/>
      <family val="1"/>
    </font>
    <font>
      <u/>
      <sz val="14"/>
      <color indexed="12"/>
      <name val="Times New Roman"/>
      <family val="1"/>
    </font>
    <font>
      <sz val="10"/>
      <color indexed="9"/>
      <name val="Arial"/>
      <family val="2"/>
    </font>
    <font>
      <vertAlign val="superscript"/>
      <sz val="12"/>
      <name val="Times New Roman"/>
      <family val="1"/>
    </font>
    <font>
      <b/>
      <sz val="14"/>
      <name val="Arial"/>
      <family val="2"/>
    </font>
    <font>
      <b/>
      <sz val="16"/>
      <name val="Arial"/>
      <family val="2"/>
    </font>
    <font>
      <b/>
      <sz val="11"/>
      <color indexed="10"/>
      <name val="Times New Roman"/>
      <family val="1"/>
    </font>
    <font>
      <i/>
      <sz val="10"/>
      <color indexed="9"/>
      <name val="Times New Roman"/>
      <family val="1"/>
    </font>
    <font>
      <u/>
      <sz val="10"/>
      <color indexed="9"/>
      <name val="Times New Roman"/>
      <family val="1"/>
    </font>
    <font>
      <sz val="10"/>
      <color indexed="9"/>
      <name val="Times New Roman"/>
      <family val="1"/>
    </font>
    <font>
      <sz val="10"/>
      <color rgb="FFFF0000"/>
      <name val="Times New Roman"/>
      <family val="1"/>
    </font>
    <font>
      <b/>
      <sz val="10"/>
      <color theme="0"/>
      <name val="Times New Roman"/>
      <family val="1"/>
    </font>
    <font>
      <sz val="10"/>
      <color theme="0"/>
      <name val="Times New Roman"/>
      <family val="1"/>
    </font>
    <font>
      <sz val="10"/>
      <name val="Arial"/>
      <family val="2"/>
    </font>
    <font>
      <sz val="10"/>
      <color theme="0"/>
      <name val="Arial"/>
      <family val="2"/>
    </font>
    <font>
      <sz val="10"/>
      <color theme="6" tint="0.59999389629810485"/>
      <name val="Times New Roman"/>
      <family val="1"/>
    </font>
    <font>
      <sz val="10"/>
      <color theme="9" tint="0.79998168889431442"/>
      <name val="Times New Roman"/>
      <family val="1"/>
    </font>
    <font>
      <b/>
      <sz val="10"/>
      <color rgb="FF0070C0"/>
      <name val="Times New Roman"/>
      <family val="1"/>
    </font>
    <font>
      <sz val="10"/>
      <color theme="1"/>
      <name val="Times New Roman"/>
      <family val="1"/>
    </font>
    <font>
      <b/>
      <sz val="10"/>
      <color theme="1"/>
      <name val="Times New Roman"/>
      <family val="1"/>
    </font>
    <font>
      <sz val="9"/>
      <color indexed="81"/>
      <name val="Tahoma"/>
      <family val="2"/>
    </font>
    <font>
      <b/>
      <u/>
      <sz val="10"/>
      <color indexed="18"/>
      <name val="Times New Roman"/>
      <family val="1"/>
    </font>
    <font>
      <b/>
      <sz val="14"/>
      <color indexed="15"/>
      <name val="Times New Roman"/>
      <family val="1"/>
    </font>
    <font>
      <b/>
      <sz val="10"/>
      <color indexed="57"/>
      <name val="Times New Roman"/>
      <family val="1"/>
    </font>
    <font>
      <b/>
      <u/>
      <sz val="10"/>
      <color rgb="FFFF0000"/>
      <name val="Times New Roman"/>
      <family val="1"/>
    </font>
    <font>
      <b/>
      <sz val="11"/>
      <name val="Times New Roman"/>
      <family val="1"/>
    </font>
    <font>
      <sz val="42"/>
      <name val="Times New Roman"/>
      <family val="1"/>
    </font>
    <font>
      <b/>
      <sz val="14"/>
      <name val="Times New Roman"/>
      <family val="1"/>
    </font>
    <font>
      <b/>
      <sz val="10"/>
      <color indexed="13"/>
      <name val="Times New Roman"/>
      <family val="1"/>
    </font>
    <font>
      <b/>
      <u/>
      <sz val="10"/>
      <color theme="0"/>
      <name val="Times New Roman"/>
      <family val="1"/>
    </font>
    <font>
      <sz val="10"/>
      <color rgb="FFFF0000"/>
      <name val="Arial"/>
      <family val="2"/>
    </font>
    <font>
      <b/>
      <sz val="10"/>
      <color rgb="FFFF0000"/>
      <name val="Times New Roman"/>
      <family val="1"/>
    </font>
    <font>
      <b/>
      <sz val="11"/>
      <color rgb="FFFF0000"/>
      <name val="Times New Roman"/>
      <family val="1"/>
    </font>
    <font>
      <b/>
      <u/>
      <sz val="11"/>
      <color rgb="FFFF0000"/>
      <name val="Times New Roman"/>
      <family val="1"/>
    </font>
    <font>
      <b/>
      <sz val="11"/>
      <color rgb="FF0070C0"/>
      <name val="Times New Roman"/>
      <family val="1"/>
    </font>
    <font>
      <b/>
      <sz val="11"/>
      <color theme="7"/>
      <name val="Times New Roman"/>
      <family val="1"/>
    </font>
    <font>
      <b/>
      <sz val="10"/>
      <name val="Arial"/>
      <family val="2"/>
    </font>
    <font>
      <b/>
      <u/>
      <sz val="12"/>
      <color indexed="10"/>
      <name val="Times New Roman"/>
      <family val="1"/>
    </font>
    <font>
      <b/>
      <sz val="12"/>
      <color indexed="10"/>
      <name val="Times New Roman"/>
      <family val="1"/>
    </font>
    <font>
      <b/>
      <sz val="10"/>
      <color theme="7" tint="0.59999389629810485"/>
      <name val="Times New Roman"/>
      <family val="1"/>
    </font>
    <font>
      <b/>
      <sz val="10"/>
      <color theme="2" tint="-9.9978637043366805E-2"/>
      <name val="Times New Roman"/>
      <family val="1"/>
    </font>
    <font>
      <b/>
      <sz val="10"/>
      <color theme="9" tint="0.79998168889431442"/>
      <name val="Times New Roman"/>
      <family val="1"/>
    </font>
    <font>
      <b/>
      <sz val="10"/>
      <color theme="6" tint="0.59999389629810485"/>
      <name val="Times New Roman"/>
      <family val="1"/>
    </font>
  </fonts>
  <fills count="45">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2"/>
        <bgColor indexed="64"/>
      </patternFill>
    </fill>
    <fill>
      <patternFill patternType="solid">
        <fgColor indexed="57"/>
        <bgColor indexed="64"/>
      </patternFill>
    </fill>
    <fill>
      <patternFill patternType="solid">
        <fgColor indexed="41"/>
        <bgColor indexed="64"/>
      </patternFill>
    </fill>
    <fill>
      <patternFill patternType="lightUp">
        <bgColor indexed="42"/>
      </patternFill>
    </fill>
    <fill>
      <patternFill patternType="darkUp">
        <bgColor indexed="42"/>
      </patternFill>
    </fill>
    <fill>
      <patternFill patternType="darkUp"/>
    </fill>
    <fill>
      <patternFill patternType="darkUp">
        <bgColor indexed="9"/>
      </patternFill>
    </fill>
    <fill>
      <patternFill patternType="solid">
        <fgColor indexed="61"/>
        <bgColor indexed="64"/>
      </patternFill>
    </fill>
    <fill>
      <patternFill patternType="solid">
        <fgColor theme="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9" tint="0.79998168889431442"/>
        <bgColor theme="9" tint="0.79998168889431442"/>
      </patternFill>
    </fill>
    <fill>
      <patternFill patternType="solid">
        <fgColor theme="0" tint="-0.249977111117893"/>
        <bgColor indexed="64"/>
      </patternFill>
    </fill>
    <fill>
      <patternFill patternType="solid">
        <fgColor indexed="45"/>
        <bgColor indexed="64"/>
      </patternFill>
    </fill>
    <fill>
      <patternFill patternType="lightUp">
        <bgColor indexed="9"/>
      </patternFill>
    </fill>
    <fill>
      <patternFill patternType="lightUp"/>
    </fill>
    <fill>
      <patternFill patternType="solid">
        <fgColor theme="2" tint="-0.499984740745262"/>
        <bgColor indexed="64"/>
      </patternFill>
    </fill>
    <fill>
      <patternFill patternType="solid">
        <fgColor theme="6" tint="0.79998168889431442"/>
        <bgColor indexed="64"/>
      </patternFill>
    </fill>
    <fill>
      <patternFill patternType="lightVertical"/>
    </fill>
    <fill>
      <patternFill patternType="solid">
        <fgColor indexed="10"/>
        <bgColor indexed="64"/>
      </patternFill>
    </fill>
    <fill>
      <patternFill patternType="solid">
        <fgColor indexed="12"/>
        <bgColor indexed="64"/>
      </patternFill>
    </fill>
    <fill>
      <patternFill patternType="solid">
        <fgColor indexed="17"/>
        <bgColor indexed="64"/>
      </patternFill>
    </fill>
    <fill>
      <patternFill patternType="lightTrellis">
        <bgColor indexed="9"/>
      </patternFill>
    </fill>
    <fill>
      <patternFill patternType="solid">
        <fgColor theme="8" tint="0.39997558519241921"/>
        <bgColor indexed="64"/>
      </patternFill>
    </fill>
    <fill>
      <patternFill patternType="solid">
        <fgColor rgb="FF00FFFF"/>
        <bgColor indexed="64"/>
      </patternFill>
    </fill>
    <fill>
      <patternFill patternType="solid">
        <fgColor indexed="65"/>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bgColor indexed="64"/>
      </patternFill>
    </fill>
    <fill>
      <patternFill patternType="lightUp">
        <bgColor theme="4" tint="0.59999389629810485"/>
      </patternFill>
    </fill>
    <fill>
      <patternFill patternType="solid">
        <fgColor theme="3" tint="0.39997558519241921"/>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right/>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double">
        <color indexed="10"/>
      </top>
      <bottom style="thin">
        <color indexed="64"/>
      </bottom>
      <diagonal/>
    </border>
    <border>
      <left style="thin">
        <color indexed="64"/>
      </left>
      <right style="thin">
        <color indexed="64"/>
      </right>
      <top style="thin">
        <color indexed="64"/>
      </top>
      <bottom style="double">
        <color indexed="10"/>
      </bottom>
      <diagonal/>
    </border>
    <border>
      <left style="thin">
        <color indexed="64"/>
      </left>
      <right style="medium">
        <color indexed="10"/>
      </right>
      <top/>
      <bottom style="double">
        <color indexed="1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double">
        <color indexed="10"/>
      </left>
      <right style="medium">
        <color indexed="64"/>
      </right>
      <top/>
      <bottom style="thin">
        <color indexed="64"/>
      </bottom>
      <diagonal/>
    </border>
    <border>
      <left style="double">
        <color indexed="10"/>
      </left>
      <right style="medium">
        <color indexed="64"/>
      </right>
      <top style="thin">
        <color indexed="64"/>
      </top>
      <bottom style="thin">
        <color indexed="64"/>
      </bottom>
      <diagonal/>
    </border>
    <border>
      <left style="double">
        <color indexed="10"/>
      </left>
      <right style="medium">
        <color indexed="64"/>
      </right>
      <top/>
      <bottom style="medium">
        <color indexed="64"/>
      </bottom>
      <diagonal/>
    </border>
    <border>
      <left style="thin">
        <color indexed="64"/>
      </left>
      <right style="thin">
        <color indexed="64"/>
      </right>
      <top/>
      <bottom style="double">
        <color indexed="10"/>
      </bottom>
      <diagonal/>
    </border>
    <border>
      <left/>
      <right style="thin">
        <color indexed="64"/>
      </right>
      <top style="double">
        <color indexed="10"/>
      </top>
      <bottom style="thin">
        <color indexed="64"/>
      </bottom>
      <diagonal/>
    </border>
    <border>
      <left/>
      <right style="thin">
        <color indexed="64"/>
      </right>
      <top style="thin">
        <color indexed="64"/>
      </top>
      <bottom style="double">
        <color indexed="10"/>
      </bottom>
      <diagonal/>
    </border>
    <border>
      <left style="medium">
        <color indexed="64"/>
      </left>
      <right style="thin">
        <color indexed="64"/>
      </right>
      <top style="double">
        <color indexed="10"/>
      </top>
      <bottom style="thin">
        <color indexed="64"/>
      </bottom>
      <diagonal/>
    </border>
    <border>
      <left style="thin">
        <color indexed="64"/>
      </left>
      <right style="medium">
        <color indexed="10"/>
      </right>
      <top style="double">
        <color indexed="10"/>
      </top>
      <bottom style="thin">
        <color indexed="64"/>
      </bottom>
      <diagonal/>
    </border>
    <border>
      <left style="thin">
        <color indexed="64"/>
      </left>
      <right style="medium">
        <color indexed="10"/>
      </right>
      <top style="thin">
        <color indexed="64"/>
      </top>
      <bottom style="double">
        <color indexed="10"/>
      </bottom>
      <diagonal/>
    </border>
    <border>
      <left style="thin">
        <color indexed="64"/>
      </left>
      <right style="medium">
        <color indexed="10"/>
      </right>
      <top style="thin">
        <color indexed="64"/>
      </top>
      <bottom style="thin">
        <color indexed="64"/>
      </bottom>
      <diagonal/>
    </border>
    <border>
      <left style="thin">
        <color indexed="64"/>
      </left>
      <right style="medium">
        <color indexed="64"/>
      </right>
      <top/>
      <bottom style="thin">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bottom style="thin">
        <color indexed="64"/>
      </bottom>
      <diagonal/>
    </border>
    <border>
      <left style="medium">
        <color indexed="64"/>
      </left>
      <right style="thin">
        <color indexed="64"/>
      </right>
      <top style="thin">
        <color indexed="64"/>
      </top>
      <bottom style="mediumDashDot">
        <color indexed="64"/>
      </bottom>
      <diagonal/>
    </border>
    <border>
      <left style="thin">
        <color indexed="64"/>
      </left>
      <right style="thin">
        <color indexed="64"/>
      </right>
      <top style="thin">
        <color indexed="64"/>
      </top>
      <bottom style="mediumDashDot">
        <color indexed="64"/>
      </bottom>
      <diagonal/>
    </border>
    <border>
      <left style="thin">
        <color indexed="64"/>
      </left>
      <right/>
      <top style="thin">
        <color indexed="64"/>
      </top>
      <bottom style="mediumDashDot">
        <color indexed="64"/>
      </bottom>
      <diagonal/>
    </border>
    <border>
      <left style="double">
        <color indexed="64"/>
      </left>
      <right style="medium">
        <color indexed="64"/>
      </right>
      <top style="thin">
        <color indexed="64"/>
      </top>
      <bottom style="mediumDashDot">
        <color indexed="64"/>
      </bottom>
      <diagonal/>
    </border>
    <border>
      <left style="thin">
        <color indexed="64"/>
      </left>
      <right style="double">
        <color indexed="10"/>
      </right>
      <top style="thin">
        <color indexed="64"/>
      </top>
      <bottom style="medium">
        <color indexed="64"/>
      </bottom>
      <diagonal/>
    </border>
    <border>
      <left style="thin">
        <color indexed="64"/>
      </left>
      <right style="double">
        <color indexed="10"/>
      </right>
      <top style="thin">
        <color indexed="64"/>
      </top>
      <bottom style="thin">
        <color indexed="64"/>
      </bottom>
      <diagonal/>
    </border>
    <border>
      <left style="thin">
        <color indexed="64"/>
      </left>
      <right style="double">
        <color indexed="10"/>
      </right>
      <top style="medium">
        <color indexed="64"/>
      </top>
      <bottom/>
      <diagonal/>
    </border>
    <border>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10"/>
      </left>
      <right style="medium">
        <color indexed="64"/>
      </right>
      <top style="double">
        <color indexed="10"/>
      </top>
      <bottom style="thin">
        <color indexed="64"/>
      </bottom>
      <diagonal/>
    </border>
    <border>
      <left style="medium">
        <color indexed="10"/>
      </left>
      <right style="medium">
        <color indexed="64"/>
      </right>
      <top style="thin">
        <color indexed="64"/>
      </top>
      <bottom style="double">
        <color indexed="10"/>
      </bottom>
      <diagonal/>
    </border>
    <border>
      <left style="medium">
        <color indexed="10"/>
      </left>
      <right style="medium">
        <color indexed="64"/>
      </right>
      <top style="double">
        <color indexed="10"/>
      </top>
      <bottom/>
      <diagonal/>
    </border>
    <border>
      <left style="medium">
        <color indexed="10"/>
      </left>
      <right style="medium">
        <color indexed="64"/>
      </right>
      <top/>
      <bottom/>
      <diagonal/>
    </border>
    <border>
      <left style="medium">
        <color indexed="10"/>
      </left>
      <right style="medium">
        <color indexed="64"/>
      </right>
      <top/>
      <bottom style="double">
        <color indexed="10"/>
      </bottom>
      <diagonal/>
    </border>
    <border>
      <left style="medium">
        <color indexed="64"/>
      </left>
      <right style="medium">
        <color indexed="64"/>
      </right>
      <top style="double">
        <color indexed="10"/>
      </top>
      <bottom/>
      <diagonal/>
    </border>
    <border>
      <left style="thin">
        <color indexed="64"/>
      </left>
      <right/>
      <top style="double">
        <color indexed="10"/>
      </top>
      <bottom style="thin">
        <color indexed="64"/>
      </bottom>
      <diagonal/>
    </border>
    <border>
      <left/>
      <right style="medium">
        <color indexed="10"/>
      </right>
      <top style="thin">
        <color indexed="64"/>
      </top>
      <bottom style="thin">
        <color indexed="64"/>
      </bottom>
      <diagonal/>
    </border>
    <border>
      <left style="medium">
        <color indexed="64"/>
      </left>
      <right/>
      <top style="thin">
        <color indexed="64"/>
      </top>
      <bottom style="double">
        <color indexed="10"/>
      </bottom>
      <diagonal/>
    </border>
    <border>
      <left/>
      <right style="thin">
        <color theme="0"/>
      </right>
      <top style="thin">
        <color theme="0"/>
      </top>
      <bottom style="thin">
        <color theme="0"/>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double">
        <color indexed="10"/>
      </bottom>
      <diagonal/>
    </border>
    <border>
      <left style="thin">
        <color indexed="64"/>
      </left>
      <right/>
      <top/>
      <bottom style="double">
        <color indexed="10"/>
      </bottom>
      <diagonal/>
    </border>
    <border>
      <left style="thin">
        <color indexed="64"/>
      </left>
      <right style="medium">
        <color indexed="64"/>
      </right>
      <top/>
      <bottom style="double">
        <color indexed="10"/>
      </bottom>
      <diagonal/>
    </border>
    <border>
      <left style="double">
        <color indexed="10"/>
      </left>
      <right/>
      <top style="double">
        <color indexed="10"/>
      </top>
      <bottom style="double">
        <color indexed="10"/>
      </bottom>
      <diagonal/>
    </border>
    <border>
      <left style="thin">
        <color indexed="64"/>
      </left>
      <right/>
      <top style="double">
        <color indexed="10"/>
      </top>
      <bottom style="double">
        <color indexed="10"/>
      </bottom>
      <diagonal/>
    </border>
    <border>
      <left style="thin">
        <color indexed="64"/>
      </left>
      <right style="thin">
        <color indexed="64"/>
      </right>
      <top style="double">
        <color indexed="10"/>
      </top>
      <bottom style="double">
        <color indexed="10"/>
      </bottom>
      <diagonal/>
    </border>
    <border>
      <left style="thin">
        <color indexed="64"/>
      </left>
      <right style="medium">
        <color indexed="64"/>
      </right>
      <top style="double">
        <color indexed="10"/>
      </top>
      <bottom style="double">
        <color indexed="10"/>
      </bottom>
      <diagonal/>
    </border>
    <border>
      <left style="dashDotDot">
        <color indexed="9"/>
      </left>
      <right/>
      <top style="thin">
        <color indexed="64"/>
      </top>
      <bottom style="thin">
        <color indexed="64"/>
      </bottom>
      <diagonal/>
    </border>
    <border>
      <left style="thin">
        <color indexed="64"/>
      </left>
      <right style="medium">
        <color indexed="64"/>
      </right>
      <top/>
      <bottom/>
      <diagonal/>
    </border>
    <border>
      <left style="dashDotDot">
        <color indexed="9"/>
      </left>
      <right style="thin">
        <color indexed="64"/>
      </right>
      <top style="thin">
        <color indexed="64"/>
      </top>
      <bottom style="thin">
        <color indexed="64"/>
      </bottom>
      <diagonal/>
    </border>
    <border>
      <left style="dashDotDot">
        <color indexed="9"/>
      </left>
      <right/>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thin">
        <color theme="9" tint="0.39997558519241921"/>
      </top>
      <bottom style="thin">
        <color theme="9" tint="0.39997558519241921"/>
      </bottom>
      <diagonal/>
    </border>
    <border>
      <left style="medium">
        <color indexed="64"/>
      </left>
      <right/>
      <top style="thin">
        <color theme="9" tint="0.39997558519241921"/>
      </top>
      <bottom/>
      <diagonal/>
    </border>
  </borders>
  <cellStyleXfs count="3">
    <xf numFmtId="0" fontId="0" fillId="0" borderId="0"/>
    <xf numFmtId="0" fontId="1" fillId="0" borderId="0" applyNumberFormat="0" applyFill="0" applyBorder="0" applyAlignment="0" applyProtection="0">
      <alignment vertical="top"/>
      <protection locked="0"/>
    </xf>
    <xf numFmtId="0" fontId="41" fillId="0" borderId="0"/>
  </cellStyleXfs>
  <cellXfs count="1742">
    <xf numFmtId="0" fontId="0" fillId="0" borderId="0" xfId="0"/>
    <xf numFmtId="0" fontId="7" fillId="3" borderId="0" xfId="0" applyFont="1" applyFill="1" applyProtection="1"/>
    <xf numFmtId="0" fontId="5" fillId="3" borderId="0" xfId="0" applyFont="1" applyFill="1" applyProtection="1"/>
    <xf numFmtId="0" fontId="5" fillId="0" borderId="0" xfId="0" applyFont="1" applyProtection="1"/>
    <xf numFmtId="0" fontId="4" fillId="3" borderId="0" xfId="0" applyFont="1" applyFill="1" applyBorder="1" applyAlignment="1" applyProtection="1">
      <alignment vertical="center" wrapText="1"/>
    </xf>
    <xf numFmtId="0" fontId="5" fillId="3" borderId="0" xfId="0" applyFont="1" applyFill="1" applyBorder="1" applyProtection="1"/>
    <xf numFmtId="0" fontId="5" fillId="0" borderId="0" xfId="0" applyFont="1" applyBorder="1" applyProtection="1"/>
    <xf numFmtId="0" fontId="5" fillId="2" borderId="1" xfId="0" applyFont="1" applyFill="1" applyBorder="1" applyProtection="1">
      <protection locked="0"/>
    </xf>
    <xf numFmtId="0" fontId="8" fillId="3" borderId="0" xfId="0" applyFont="1" applyFill="1" applyBorder="1" applyAlignment="1" applyProtection="1">
      <alignment horizontal="left" wrapText="1"/>
    </xf>
    <xf numFmtId="0" fontId="8" fillId="3" borderId="0" xfId="0" applyFont="1" applyFill="1" applyProtection="1"/>
    <xf numFmtId="0" fontId="9" fillId="3" borderId="0" xfId="0" applyFont="1" applyFill="1" applyProtection="1"/>
    <xf numFmtId="0" fontId="10" fillId="3" borderId="0" xfId="0" applyFont="1" applyFill="1" applyProtection="1"/>
    <xf numFmtId="0" fontId="15" fillId="3" borderId="0" xfId="0" applyFont="1" applyFill="1" applyProtection="1"/>
    <xf numFmtId="0" fontId="9" fillId="0" borderId="0" xfId="0" applyFont="1" applyProtection="1"/>
    <xf numFmtId="0" fontId="8" fillId="3" borderId="0" xfId="0" applyFont="1" applyFill="1" applyBorder="1" applyAlignment="1" applyProtection="1">
      <alignment vertical="center" wrapText="1"/>
    </xf>
    <xf numFmtId="0" fontId="18" fillId="3" borderId="0" xfId="0" applyFont="1" applyFill="1" applyProtection="1"/>
    <xf numFmtId="0" fontId="4" fillId="5" borderId="11" xfId="0" applyFont="1" applyFill="1" applyBorder="1" applyAlignment="1" applyProtection="1">
      <alignment horizontal="center" vertical="center" wrapText="1"/>
    </xf>
    <xf numFmtId="0" fontId="4" fillId="2" borderId="19" xfId="0" applyFont="1" applyFill="1" applyBorder="1" applyAlignment="1" applyProtection="1">
      <alignment vertical="center"/>
      <protection locked="0"/>
    </xf>
    <xf numFmtId="0" fontId="18" fillId="0" borderId="0" xfId="0" applyFont="1" applyProtection="1"/>
    <xf numFmtId="0" fontId="4" fillId="5" borderId="23" xfId="0" applyFont="1" applyFill="1" applyBorder="1" applyAlignment="1" applyProtection="1">
      <alignment horizontal="center" vertical="center" wrapText="1"/>
    </xf>
    <xf numFmtId="0" fontId="4" fillId="5" borderId="24" xfId="0" applyFont="1" applyFill="1" applyBorder="1" applyAlignment="1" applyProtection="1">
      <alignment horizontal="center" vertical="center" wrapText="1"/>
    </xf>
    <xf numFmtId="0" fontId="6" fillId="3" borderId="0" xfId="0" applyFont="1" applyFill="1" applyProtection="1"/>
    <xf numFmtId="0" fontId="6" fillId="0" borderId="0" xfId="0" applyFont="1" applyProtection="1"/>
    <xf numFmtId="0" fontId="5" fillId="0" borderId="0" xfId="0" applyFont="1" applyFill="1" applyBorder="1" applyAlignment="1" applyProtection="1">
      <alignment horizontal="center" vertical="center"/>
    </xf>
    <xf numFmtId="0" fontId="4" fillId="0" borderId="17"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17" xfId="0" applyFont="1" applyBorder="1" applyAlignment="1" applyProtection="1">
      <alignment vertical="center"/>
    </xf>
    <xf numFmtId="0" fontId="4" fillId="0" borderId="10" xfId="0" applyFont="1" applyBorder="1" applyAlignment="1" applyProtection="1">
      <alignment vertical="center"/>
    </xf>
    <xf numFmtId="0" fontId="4" fillId="7" borderId="17" xfId="0" applyFont="1" applyFill="1" applyBorder="1" applyAlignment="1" applyProtection="1">
      <alignment vertical="center"/>
    </xf>
    <xf numFmtId="0" fontId="4" fillId="7" borderId="10" xfId="0" applyFont="1" applyFill="1" applyBorder="1" applyAlignment="1" applyProtection="1">
      <alignment vertical="center"/>
    </xf>
    <xf numFmtId="0" fontId="5" fillId="3" borderId="0" xfId="0" applyFont="1" applyFill="1" applyAlignment="1" applyProtection="1">
      <alignment vertical="center"/>
    </xf>
    <xf numFmtId="0" fontId="4" fillId="4" borderId="6" xfId="0" applyFont="1" applyFill="1" applyBorder="1" applyAlignment="1" applyProtection="1">
      <alignment vertical="center"/>
    </xf>
    <xf numFmtId="0" fontId="5" fillId="0" borderId="0" xfId="0" applyFont="1" applyFill="1" applyAlignment="1" applyProtection="1">
      <alignment vertical="center"/>
    </xf>
    <xf numFmtId="0" fontId="8" fillId="3" borderId="0" xfId="0" applyFont="1" applyFill="1" applyAlignment="1" applyProtection="1">
      <alignment vertical="center"/>
    </xf>
    <xf numFmtId="0" fontId="4" fillId="5" borderId="1" xfId="0" applyFont="1" applyFill="1" applyBorder="1" applyAlignment="1" applyProtection="1">
      <alignment horizontal="right" vertical="center"/>
    </xf>
    <xf numFmtId="0" fontId="4" fillId="0" borderId="1" xfId="0" applyFont="1" applyFill="1" applyBorder="1" applyAlignment="1" applyProtection="1">
      <alignment horizontal="right" vertical="center"/>
    </xf>
    <xf numFmtId="0" fontId="4" fillId="0" borderId="27" xfId="0" applyFont="1" applyBorder="1" applyAlignment="1" applyProtection="1">
      <alignment vertical="center"/>
    </xf>
    <xf numFmtId="0" fontId="4" fillId="0" borderId="42" xfId="0" applyFont="1" applyBorder="1" applyAlignment="1" applyProtection="1">
      <alignment vertical="center"/>
    </xf>
    <xf numFmtId="0" fontId="4" fillId="7" borderId="27" xfId="0" applyFont="1" applyFill="1" applyBorder="1" applyAlignment="1" applyProtection="1">
      <alignment vertical="center"/>
    </xf>
    <xf numFmtId="0" fontId="4" fillId="7" borderId="32" xfId="0" applyFont="1" applyFill="1" applyBorder="1" applyAlignment="1" applyProtection="1">
      <alignment vertical="center"/>
    </xf>
    <xf numFmtId="0" fontId="4" fillId="0" borderId="43" xfId="0" applyFont="1" applyBorder="1" applyAlignment="1" applyProtection="1">
      <alignment vertical="center"/>
    </xf>
    <xf numFmtId="0" fontId="4" fillId="0" borderId="32" xfId="0" applyFont="1" applyBorder="1" applyAlignment="1" applyProtection="1">
      <alignment vertical="center"/>
    </xf>
    <xf numFmtId="0" fontId="4" fillId="0" borderId="9" xfId="0" applyFont="1" applyBorder="1" applyAlignment="1" applyProtection="1">
      <alignment vertical="center"/>
    </xf>
    <xf numFmtId="0" fontId="4" fillId="7" borderId="9" xfId="0" applyFont="1" applyFill="1" applyBorder="1" applyAlignment="1" applyProtection="1">
      <alignment vertical="center"/>
    </xf>
    <xf numFmtId="0" fontId="4" fillId="0" borderId="7" xfId="0" applyFont="1" applyBorder="1" applyAlignment="1" applyProtection="1">
      <alignment vertical="center"/>
    </xf>
    <xf numFmtId="0" fontId="4" fillId="0" borderId="8" xfId="0" applyFont="1" applyBorder="1" applyAlignment="1" applyProtection="1">
      <alignment vertical="center"/>
    </xf>
    <xf numFmtId="0" fontId="4" fillId="0" borderId="43" xfId="0" applyFont="1" applyFill="1" applyBorder="1" applyAlignment="1" applyProtection="1">
      <alignment vertical="center"/>
    </xf>
    <xf numFmtId="0" fontId="4" fillId="0" borderId="42" xfId="0" applyFont="1" applyFill="1" applyBorder="1" applyAlignment="1" applyProtection="1">
      <alignment vertical="center"/>
    </xf>
    <xf numFmtId="0" fontId="4" fillId="0" borderId="32" xfId="0" applyFont="1" applyFill="1" applyBorder="1" applyAlignment="1" applyProtection="1">
      <alignment vertical="center"/>
    </xf>
    <xf numFmtId="0" fontId="4" fillId="5" borderId="23" xfId="0" applyFont="1" applyFill="1" applyBorder="1" applyAlignment="1" applyProtection="1">
      <alignment horizontal="center" vertical="center"/>
    </xf>
    <xf numFmtId="0" fontId="6" fillId="3" borderId="0" xfId="0" applyFont="1" applyFill="1" applyAlignment="1" applyProtection="1">
      <alignment vertical="center"/>
    </xf>
    <xf numFmtId="0" fontId="5" fillId="3" borderId="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7" fillId="3" borderId="0" xfId="0" applyFont="1" applyFill="1" applyBorder="1" applyProtection="1"/>
    <xf numFmtId="0" fontId="30" fillId="3" borderId="0" xfId="0" applyFont="1" applyFill="1" applyBorder="1" applyAlignment="1" applyProtection="1">
      <alignment vertical="center"/>
    </xf>
    <xf numFmtId="0" fontId="30" fillId="3" borderId="0" xfId="0" applyFont="1" applyFill="1" applyProtection="1"/>
    <xf numFmtId="0" fontId="30" fillId="3" borderId="0" xfId="0" applyNumberFormat="1" applyFont="1" applyFill="1" applyBorder="1" applyAlignment="1" applyProtection="1">
      <alignment vertical="center"/>
    </xf>
    <xf numFmtId="0" fontId="28" fillId="3" borderId="0" xfId="0" applyFont="1" applyFill="1" applyBorder="1" applyAlignment="1" applyProtection="1">
      <alignment horizontal="center" vertical="center" wrapText="1"/>
    </xf>
    <xf numFmtId="0" fontId="7" fillId="3" borderId="0" xfId="0" applyFont="1" applyFill="1" applyAlignment="1" applyProtection="1"/>
    <xf numFmtId="0" fontId="32" fillId="0" borderId="0" xfId="0" applyFont="1" applyBorder="1" applyAlignment="1" applyProtection="1">
      <alignment horizontal="center" vertical="center" textRotation="255"/>
      <protection locked="0"/>
    </xf>
    <xf numFmtId="0" fontId="4" fillId="0" borderId="17" xfId="0" applyFont="1" applyBorder="1" applyAlignment="1" applyProtection="1">
      <alignment horizontal="left" vertical="center"/>
    </xf>
    <xf numFmtId="0" fontId="4" fillId="5" borderId="24" xfId="0" applyFont="1" applyFill="1" applyBorder="1" applyAlignment="1" applyProtection="1">
      <alignment horizontal="left" vertical="center"/>
    </xf>
    <xf numFmtId="0" fontId="4" fillId="0" borderId="19" xfId="0" applyFont="1" applyBorder="1" applyAlignment="1" applyProtection="1">
      <alignment horizontal="center" vertical="center" wrapText="1"/>
    </xf>
    <xf numFmtId="0" fontId="4" fillId="3" borderId="10" xfId="0" applyFont="1" applyFill="1" applyBorder="1" applyAlignment="1" applyProtection="1">
      <alignment horizontal="left" vertical="center"/>
    </xf>
    <xf numFmtId="0" fontId="40" fillId="3" borderId="0" xfId="0" applyFont="1" applyFill="1" applyBorder="1" applyAlignment="1" applyProtection="1">
      <alignment vertical="center"/>
    </xf>
    <xf numFmtId="0" fontId="4" fillId="17" borderId="91" xfId="0" applyFont="1" applyFill="1" applyBorder="1" applyAlignment="1" applyProtection="1">
      <alignment vertical="center"/>
    </xf>
    <xf numFmtId="0" fontId="4" fillId="16" borderId="91" xfId="0" applyFont="1" applyFill="1" applyBorder="1" applyAlignment="1" applyProtection="1">
      <alignment vertical="center"/>
    </xf>
    <xf numFmtId="0" fontId="8" fillId="6" borderId="6" xfId="0" applyFont="1" applyFill="1" applyBorder="1" applyAlignment="1" applyProtection="1">
      <alignment vertical="center"/>
    </xf>
    <xf numFmtId="0" fontId="5" fillId="17" borderId="57" xfId="0" applyFont="1" applyFill="1" applyBorder="1" applyAlignment="1" applyProtection="1">
      <alignment horizontal="left" vertical="center"/>
    </xf>
    <xf numFmtId="0" fontId="3" fillId="2" borderId="19" xfId="0" applyFont="1" applyFill="1" applyBorder="1" applyAlignment="1" applyProtection="1">
      <alignment vertical="center"/>
      <protection locked="0"/>
    </xf>
    <xf numFmtId="0" fontId="3" fillId="2" borderId="16" xfId="0" applyFont="1" applyFill="1" applyBorder="1" applyAlignment="1" applyProtection="1">
      <alignment vertical="center"/>
      <protection locked="0"/>
    </xf>
    <xf numFmtId="0" fontId="5" fillId="16" borderId="57" xfId="0" applyFont="1" applyFill="1" applyBorder="1" applyAlignment="1" applyProtection="1">
      <alignment vertical="center"/>
    </xf>
    <xf numFmtId="0" fontId="5" fillId="17" borderId="57" xfId="0" applyFont="1" applyFill="1" applyBorder="1" applyAlignment="1" applyProtection="1">
      <alignment vertical="center"/>
    </xf>
    <xf numFmtId="0" fontId="4" fillId="17" borderId="91" xfId="0" applyFont="1" applyFill="1" applyBorder="1" applyAlignment="1" applyProtection="1">
      <alignment horizontal="right" vertical="center"/>
    </xf>
    <xf numFmtId="0" fontId="5" fillId="17" borderId="47" xfId="0" applyFont="1" applyFill="1" applyBorder="1" applyAlignment="1" applyProtection="1">
      <alignment vertical="center"/>
    </xf>
    <xf numFmtId="0" fontId="8" fillId="16" borderId="0" xfId="0" applyFont="1" applyFill="1" applyBorder="1" applyAlignment="1" applyProtection="1">
      <alignment vertical="center"/>
    </xf>
    <xf numFmtId="0" fontId="5" fillId="16" borderId="0" xfId="0" applyFont="1" applyFill="1" applyBorder="1" applyAlignment="1" applyProtection="1">
      <alignment vertical="center"/>
    </xf>
    <xf numFmtId="0" fontId="5" fillId="16" borderId="44" xfId="0" applyFont="1" applyFill="1" applyBorder="1" applyAlignment="1" applyProtection="1">
      <alignment horizontal="left" vertical="center"/>
    </xf>
    <xf numFmtId="0" fontId="4" fillId="17" borderId="0" xfId="0" applyFont="1" applyFill="1" applyBorder="1" applyAlignment="1" applyProtection="1">
      <alignment horizontal="right" vertical="center"/>
    </xf>
    <xf numFmtId="0" fontId="5" fillId="17" borderId="0" xfId="0" applyFont="1" applyFill="1" applyBorder="1" applyAlignment="1" applyProtection="1">
      <alignment horizontal="left" vertical="center"/>
    </xf>
    <xf numFmtId="0" fontId="5" fillId="17" borderId="0" xfId="0" applyFont="1" applyFill="1" applyBorder="1" applyAlignment="1" applyProtection="1">
      <alignment vertical="center"/>
    </xf>
    <xf numFmtId="0" fontId="5" fillId="17" borderId="91" xfId="0" applyFont="1" applyFill="1" applyBorder="1" applyAlignment="1" applyProtection="1">
      <alignment vertical="center"/>
    </xf>
    <xf numFmtId="0" fontId="5" fillId="17" borderId="44" xfId="0" applyFont="1" applyFill="1" applyBorder="1" applyAlignment="1" applyProtection="1">
      <alignment horizontal="left" vertical="center"/>
    </xf>
    <xf numFmtId="0" fontId="5" fillId="16" borderId="57" xfId="0" applyFont="1" applyFill="1" applyBorder="1" applyAlignment="1" applyProtection="1">
      <alignment horizontal="left" vertical="center"/>
    </xf>
    <xf numFmtId="0" fontId="5" fillId="16" borderId="0" xfId="0" applyFont="1" applyFill="1" applyBorder="1" applyAlignment="1" applyProtection="1">
      <alignment horizontal="left" vertical="center"/>
    </xf>
    <xf numFmtId="0" fontId="38" fillId="0" borderId="0" xfId="0" applyFont="1" applyFill="1" applyAlignment="1" applyProtection="1">
      <alignment vertical="center"/>
    </xf>
    <xf numFmtId="0" fontId="14" fillId="0" borderId="0" xfId="0"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7"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24"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6" fillId="0" borderId="0" xfId="0" applyFont="1" applyFill="1" applyBorder="1" applyAlignment="1" applyProtection="1">
      <alignment horizontal="center" vertical="center"/>
    </xf>
    <xf numFmtId="0" fontId="4" fillId="0" borderId="13" xfId="0" applyFont="1" applyBorder="1" applyAlignment="1" applyProtection="1">
      <alignment vertical="center"/>
    </xf>
    <xf numFmtId="0" fontId="4" fillId="7" borderId="21" xfId="0" applyFont="1" applyFill="1" applyBorder="1" applyAlignment="1" applyProtection="1">
      <alignment vertical="center"/>
    </xf>
    <xf numFmtId="0" fontId="4" fillId="7" borderId="20" xfId="0" applyFont="1" applyFill="1" applyBorder="1" applyAlignment="1" applyProtection="1">
      <alignment vertical="center"/>
    </xf>
    <xf numFmtId="0" fontId="4" fillId="5" borderId="19" xfId="0" applyFont="1" applyFill="1" applyBorder="1" applyAlignment="1" applyProtection="1">
      <alignment horizontal="center" vertical="center"/>
    </xf>
    <xf numFmtId="0" fontId="4" fillId="15" borderId="10" xfId="0" applyFont="1" applyFill="1" applyBorder="1" applyAlignment="1" applyProtection="1">
      <alignment vertical="center"/>
    </xf>
    <xf numFmtId="0" fontId="4" fillId="7" borderId="24" xfId="0" applyFont="1" applyFill="1" applyBorder="1" applyAlignment="1" applyProtection="1">
      <alignment vertical="center"/>
    </xf>
    <xf numFmtId="0" fontId="4" fillId="7" borderId="23" xfId="0" applyFont="1" applyFill="1" applyBorder="1" applyAlignment="1" applyProtection="1">
      <alignment vertical="center"/>
    </xf>
    <xf numFmtId="0" fontId="4" fillId="15" borderId="16" xfId="0" applyFont="1" applyFill="1" applyBorder="1" applyAlignment="1" applyProtection="1">
      <alignment vertical="center"/>
    </xf>
    <xf numFmtId="0" fontId="4" fillId="0" borderId="1"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4" fillId="18" borderId="0" xfId="0" applyFont="1" applyFill="1" applyBorder="1" applyAlignment="1" applyProtection="1">
      <alignment horizontal="center" vertical="center" wrapText="1"/>
    </xf>
    <xf numFmtId="0" fontId="8" fillId="6" borderId="61" xfId="0" applyFont="1" applyFill="1" applyBorder="1" applyAlignment="1" applyProtection="1">
      <alignment vertical="center"/>
    </xf>
    <xf numFmtId="0" fontId="38" fillId="18" borderId="39" xfId="0" applyFont="1" applyFill="1" applyBorder="1" applyAlignment="1" applyProtection="1">
      <alignment vertical="center"/>
    </xf>
    <xf numFmtId="0" fontId="8" fillId="17" borderId="0" xfId="0" applyFont="1" applyFill="1" applyBorder="1" applyAlignment="1" applyProtection="1">
      <alignment vertical="center"/>
    </xf>
    <xf numFmtId="0" fontId="5" fillId="3" borderId="0" xfId="2" applyFont="1" applyFill="1" applyBorder="1" applyAlignment="1" applyProtection="1">
      <alignment horizontal="center" vertical="center"/>
    </xf>
    <xf numFmtId="0" fontId="5" fillId="3" borderId="0" xfId="2" applyFont="1" applyFill="1" applyBorder="1" applyAlignment="1" applyProtection="1">
      <alignment vertical="center"/>
    </xf>
    <xf numFmtId="0" fontId="4" fillId="3" borderId="0" xfId="2" applyFont="1" applyFill="1" applyBorder="1" applyAlignment="1" applyProtection="1">
      <alignment vertical="center"/>
    </xf>
    <xf numFmtId="0" fontId="4" fillId="23" borderId="1" xfId="0" applyFont="1" applyFill="1" applyBorder="1" applyAlignment="1" applyProtection="1">
      <alignment horizontal="center" vertical="center" wrapText="1"/>
    </xf>
    <xf numFmtId="0" fontId="4" fillId="23" borderId="23" xfId="0" applyFont="1" applyFill="1" applyBorder="1" applyAlignment="1" applyProtection="1">
      <alignment horizontal="center" vertical="center" wrapText="1"/>
    </xf>
    <xf numFmtId="0" fontId="4" fillId="23" borderId="1" xfId="0" applyFont="1" applyFill="1" applyBorder="1" applyAlignment="1" applyProtection="1">
      <alignment horizontal="right" vertical="center"/>
    </xf>
    <xf numFmtId="0" fontId="3" fillId="2" borderId="13" xfId="0" applyFont="1" applyFill="1" applyBorder="1" applyAlignment="1" applyProtection="1">
      <alignment vertical="center"/>
      <protection locked="0"/>
    </xf>
    <xf numFmtId="0" fontId="2" fillId="2" borderId="1" xfId="2" applyFont="1" applyFill="1" applyBorder="1" applyAlignment="1" applyProtection="1">
      <alignment horizontal="center" vertical="center" wrapText="1"/>
      <protection locked="0"/>
    </xf>
    <xf numFmtId="0" fontId="5" fillId="5" borderId="6" xfId="2" applyFont="1" applyFill="1" applyBorder="1" applyAlignment="1" applyProtection="1">
      <alignment vertical="center"/>
    </xf>
    <xf numFmtId="0" fontId="5" fillId="5" borderId="37" xfId="2" applyFont="1" applyFill="1" applyBorder="1" applyAlignment="1" applyProtection="1">
      <alignment vertical="center"/>
    </xf>
    <xf numFmtId="0" fontId="5" fillId="2" borderId="22" xfId="2" applyFont="1" applyFill="1" applyBorder="1" applyAlignment="1" applyProtection="1">
      <alignment vertical="center"/>
      <protection locked="0"/>
    </xf>
    <xf numFmtId="2" fontId="5" fillId="0" borderId="22" xfId="2" applyNumberFormat="1" applyFont="1" applyBorder="1" applyAlignment="1" applyProtection="1">
      <alignment horizontal="right" vertical="center" wrapText="1"/>
    </xf>
    <xf numFmtId="0" fontId="8" fillId="3" borderId="0" xfId="0" applyFont="1" applyFill="1" applyBorder="1" applyAlignment="1" applyProtection="1">
      <alignment horizontal="left" vertical="center" wrapText="1"/>
    </xf>
    <xf numFmtId="0" fontId="5" fillId="3" borderId="0" xfId="0" applyFont="1" applyFill="1" applyBorder="1" applyAlignment="1" applyProtection="1">
      <alignment vertical="center"/>
    </xf>
    <xf numFmtId="0" fontId="24" fillId="0" borderId="0" xfId="0" applyFont="1" applyFill="1" applyAlignment="1" applyProtection="1">
      <alignment vertical="center"/>
    </xf>
    <xf numFmtId="0" fontId="6" fillId="0" borderId="0" xfId="0" applyFont="1" applyFill="1" applyAlignment="1" applyProtection="1">
      <alignment vertical="center"/>
    </xf>
    <xf numFmtId="0" fontId="38" fillId="0" borderId="0" xfId="0" applyFont="1" applyFill="1" applyAlignment="1" applyProtection="1">
      <alignment horizontal="right" vertical="center"/>
    </xf>
    <xf numFmtId="0" fontId="18" fillId="0" borderId="0" xfId="0" applyFont="1" applyFill="1" applyAlignment="1" applyProtection="1">
      <alignment vertical="center"/>
    </xf>
    <xf numFmtId="0" fontId="5" fillId="0" borderId="0" xfId="0" applyFont="1" applyAlignment="1" applyProtection="1">
      <alignment vertical="center"/>
    </xf>
    <xf numFmtId="0" fontId="38" fillId="0" borderId="0" xfId="0" applyFont="1" applyFill="1" applyBorder="1" applyAlignment="1" applyProtection="1">
      <alignment vertical="center"/>
    </xf>
    <xf numFmtId="0" fontId="5" fillId="2" borderId="22" xfId="0" applyFont="1" applyFill="1" applyBorder="1" applyAlignment="1" applyProtection="1">
      <alignment vertical="center"/>
      <protection locked="0"/>
    </xf>
    <xf numFmtId="0" fontId="4" fillId="16" borderId="17" xfId="0" applyFont="1" applyFill="1" applyBorder="1" applyAlignment="1" applyProtection="1">
      <alignment vertical="center"/>
    </xf>
    <xf numFmtId="0" fontId="5" fillId="16" borderId="63" xfId="0" applyFont="1" applyFill="1" applyBorder="1" applyAlignment="1" applyProtection="1">
      <alignment vertical="center"/>
    </xf>
    <xf numFmtId="0" fontId="5" fillId="16" borderId="65" xfId="0" applyFont="1" applyFill="1" applyBorder="1" applyAlignment="1" applyProtection="1">
      <alignment vertical="center"/>
    </xf>
    <xf numFmtId="0" fontId="5" fillId="0" borderId="0" xfId="0" applyFont="1" applyFill="1" applyBorder="1" applyAlignment="1" applyProtection="1">
      <alignment vertical="center"/>
    </xf>
    <xf numFmtId="0" fontId="5" fillId="16" borderId="39" xfId="0" applyFont="1" applyFill="1" applyBorder="1" applyAlignment="1" applyProtection="1">
      <alignment vertical="center"/>
    </xf>
    <xf numFmtId="0" fontId="4" fillId="23" borderId="1" xfId="0" applyFont="1" applyFill="1" applyBorder="1" applyAlignment="1" applyProtection="1">
      <alignment horizontal="center" vertical="center"/>
    </xf>
    <xf numFmtId="0" fontId="4" fillId="2" borderId="39" xfId="0" applyFont="1" applyFill="1" applyBorder="1" applyAlignment="1" applyProtection="1">
      <alignment vertical="center"/>
      <protection locked="0"/>
    </xf>
    <xf numFmtId="0" fontId="4" fillId="9" borderId="19" xfId="0" applyFont="1" applyFill="1" applyBorder="1" applyAlignment="1" applyProtection="1">
      <alignment vertical="center"/>
    </xf>
    <xf numFmtId="0" fontId="4" fillId="2" borderId="8" xfId="0" applyFont="1" applyFill="1" applyBorder="1" applyAlignment="1" applyProtection="1">
      <alignment vertical="center"/>
      <protection locked="0"/>
    </xf>
    <xf numFmtId="0" fontId="4" fillId="9" borderId="16" xfId="0" applyFont="1" applyFill="1" applyBorder="1" applyAlignment="1" applyProtection="1">
      <alignment vertical="center"/>
    </xf>
    <xf numFmtId="0" fontId="43" fillId="16" borderId="0" xfId="0" applyFont="1" applyFill="1" applyBorder="1" applyAlignment="1" applyProtection="1">
      <alignment vertical="center"/>
    </xf>
    <xf numFmtId="0" fontId="4" fillId="2" borderId="17" xfId="0" applyFont="1" applyFill="1" applyBorder="1" applyAlignment="1" applyProtection="1">
      <alignment vertical="center"/>
      <protection locked="0"/>
    </xf>
    <xf numFmtId="0" fontId="4" fillId="2" borderId="10" xfId="0" applyFont="1" applyFill="1" applyBorder="1" applyAlignment="1" applyProtection="1">
      <alignment vertical="center"/>
      <protection locked="0"/>
    </xf>
    <xf numFmtId="0" fontId="4" fillId="2" borderId="1" xfId="0" applyFont="1" applyFill="1" applyBorder="1" applyAlignment="1" applyProtection="1">
      <alignment vertical="center"/>
      <protection locked="0"/>
    </xf>
    <xf numFmtId="0" fontId="5" fillId="16" borderId="55" xfId="0" applyFont="1" applyFill="1" applyBorder="1" applyAlignment="1" applyProtection="1">
      <alignment vertical="center"/>
    </xf>
    <xf numFmtId="0" fontId="5" fillId="16" borderId="91" xfId="0" applyFont="1" applyFill="1" applyBorder="1" applyAlignment="1" applyProtection="1">
      <alignment vertical="center"/>
    </xf>
    <xf numFmtId="0" fontId="5" fillId="16" borderId="47" xfId="0" applyFont="1" applyFill="1" applyBorder="1" applyAlignment="1" applyProtection="1">
      <alignment vertical="center"/>
    </xf>
    <xf numFmtId="0" fontId="4" fillId="17" borderId="17" xfId="0" applyFont="1" applyFill="1" applyBorder="1" applyAlignment="1" applyProtection="1">
      <alignment vertical="center"/>
    </xf>
    <xf numFmtId="0" fontId="5" fillId="17" borderId="63" xfId="0" applyFont="1" applyFill="1" applyBorder="1" applyAlignment="1" applyProtection="1">
      <alignment vertical="center"/>
    </xf>
    <xf numFmtId="0" fontId="5" fillId="17" borderId="39" xfId="0" applyFont="1" applyFill="1" applyBorder="1" applyAlignment="1" applyProtection="1">
      <alignment vertical="center"/>
    </xf>
    <xf numFmtId="0" fontId="5" fillId="17" borderId="0" xfId="0" applyFont="1" applyFill="1" applyBorder="1" applyAlignment="1" applyProtection="1">
      <alignment vertical="center"/>
      <protection locked="0"/>
    </xf>
    <xf numFmtId="0" fontId="4" fillId="2" borderId="14" xfId="0" applyFont="1" applyFill="1" applyBorder="1" applyAlignment="1" applyProtection="1">
      <alignment vertical="center"/>
      <protection locked="0"/>
    </xf>
    <xf numFmtId="0" fontId="4" fillId="2" borderId="15" xfId="0" applyFont="1" applyFill="1" applyBorder="1" applyAlignment="1" applyProtection="1">
      <alignment vertical="center"/>
      <protection locked="0"/>
    </xf>
    <xf numFmtId="0" fontId="4" fillId="2" borderId="13" xfId="0" applyFont="1" applyFill="1" applyBorder="1" applyAlignment="1" applyProtection="1">
      <alignment vertical="center"/>
      <protection locked="0"/>
    </xf>
    <xf numFmtId="0" fontId="44" fillId="17" borderId="0" xfId="0" applyFont="1" applyFill="1" applyBorder="1" applyAlignment="1" applyProtection="1">
      <alignment vertical="center"/>
    </xf>
    <xf numFmtId="0" fontId="5" fillId="17" borderId="55" xfId="0" applyFont="1" applyFill="1" applyBorder="1" applyAlignment="1" applyProtection="1">
      <alignment vertical="center"/>
    </xf>
    <xf numFmtId="0" fontId="4" fillId="17" borderId="91" xfId="0" applyFont="1" applyFill="1" applyBorder="1" applyAlignment="1" applyProtection="1">
      <alignment vertical="center"/>
      <protection locked="0"/>
    </xf>
    <xf numFmtId="0" fontId="5" fillId="16" borderId="0" xfId="0" applyFont="1" applyFill="1" applyBorder="1" applyAlignment="1" applyProtection="1">
      <alignment vertical="center"/>
      <protection locked="0"/>
    </xf>
    <xf numFmtId="0" fontId="4" fillId="9" borderId="13" xfId="0" applyFont="1" applyFill="1" applyBorder="1" applyAlignment="1" applyProtection="1">
      <alignment vertical="center"/>
    </xf>
    <xf numFmtId="0" fontId="4" fillId="9" borderId="51" xfId="0" applyFont="1" applyFill="1" applyBorder="1" applyAlignment="1" applyProtection="1">
      <alignment vertical="center"/>
    </xf>
    <xf numFmtId="0" fontId="4" fillId="9" borderId="56" xfId="0" applyFont="1" applyFill="1" applyBorder="1" applyAlignment="1" applyProtection="1">
      <alignment vertical="center"/>
    </xf>
    <xf numFmtId="0" fontId="5" fillId="16" borderId="91" xfId="0" applyFont="1" applyFill="1" applyBorder="1" applyAlignment="1" applyProtection="1">
      <alignment vertical="center"/>
      <protection locked="0"/>
    </xf>
    <xf numFmtId="0" fontId="4" fillId="0" borderId="0" xfId="0" applyFont="1" applyFill="1" applyBorder="1" applyAlignment="1" applyProtection="1">
      <alignment vertical="center"/>
    </xf>
    <xf numFmtId="0" fontId="5" fillId="17" borderId="18" xfId="0" applyFont="1" applyFill="1" applyBorder="1" applyAlignment="1" applyProtection="1">
      <alignment vertical="center"/>
    </xf>
    <xf numFmtId="0" fontId="18" fillId="17" borderId="0" xfId="0" applyFont="1" applyFill="1" applyBorder="1" applyAlignment="1" applyProtection="1">
      <alignment vertical="center"/>
    </xf>
    <xf numFmtId="0" fontId="3" fillId="2" borderId="14" xfId="0" applyFont="1" applyFill="1" applyBorder="1" applyAlignment="1" applyProtection="1">
      <alignment vertical="center"/>
      <protection locked="0"/>
    </xf>
    <xf numFmtId="0" fontId="3" fillId="2" borderId="15" xfId="0" applyFont="1" applyFill="1" applyBorder="1" applyAlignment="1" applyProtection="1">
      <alignment vertical="center"/>
      <protection locked="0"/>
    </xf>
    <xf numFmtId="0" fontId="4" fillId="16" borderId="0" xfId="0" applyFont="1" applyFill="1" applyBorder="1" applyAlignment="1" applyProtection="1">
      <alignment vertical="center"/>
      <protection locked="0"/>
    </xf>
    <xf numFmtId="0" fontId="4" fillId="16" borderId="0" xfId="0" applyFont="1" applyFill="1" applyBorder="1" applyAlignment="1" applyProtection="1">
      <alignment vertical="center"/>
    </xf>
    <xf numFmtId="0" fontId="18" fillId="17" borderId="0" xfId="0" applyFont="1" applyFill="1" applyBorder="1" applyAlignment="1" applyProtection="1">
      <alignment horizontal="center" vertical="center"/>
    </xf>
    <xf numFmtId="0" fontId="6" fillId="17" borderId="0" xfId="0" applyFont="1" applyFill="1" applyBorder="1" applyAlignment="1" applyProtection="1">
      <alignment horizontal="center" vertical="center"/>
    </xf>
    <xf numFmtId="0" fontId="37" fillId="0" borderId="0" xfId="0" applyFont="1" applyFill="1" applyAlignment="1" applyProtection="1">
      <alignment vertical="center"/>
    </xf>
    <xf numFmtId="0" fontId="4" fillId="17" borderId="0" xfId="0" applyFont="1" applyFill="1" applyBorder="1" applyAlignment="1" applyProtection="1">
      <alignment vertical="center"/>
    </xf>
    <xf numFmtId="0" fontId="4" fillId="0" borderId="0" xfId="0" applyFont="1" applyFill="1" applyBorder="1" applyAlignment="1" applyProtection="1">
      <alignment horizontal="right" vertical="center"/>
    </xf>
    <xf numFmtId="0" fontId="4" fillId="0" borderId="0" xfId="0" applyFont="1" applyFill="1" applyAlignment="1" applyProtection="1">
      <alignment horizontal="left" vertical="center"/>
    </xf>
    <xf numFmtId="0" fontId="4" fillId="0" borderId="0" xfId="0" applyFont="1" applyFill="1" applyAlignment="1" applyProtection="1">
      <alignment horizontal="right" vertical="center"/>
    </xf>
    <xf numFmtId="0" fontId="14" fillId="0" borderId="0" xfId="0" applyFont="1" applyFill="1" applyAlignment="1" applyProtection="1">
      <alignment horizontal="right" vertical="center"/>
    </xf>
    <xf numFmtId="0" fontId="4" fillId="0" borderId="0" xfId="0" applyNumberFormat="1" applyFont="1" applyFill="1" applyBorder="1" applyAlignment="1" applyProtection="1">
      <alignment horizontal="right" vertical="center"/>
    </xf>
    <xf numFmtId="168" fontId="4" fillId="0" borderId="0" xfId="0" applyNumberFormat="1" applyFont="1" applyFill="1" applyBorder="1" applyAlignment="1" applyProtection="1">
      <alignment horizontal="right" vertical="center"/>
    </xf>
    <xf numFmtId="0" fontId="5" fillId="17" borderId="65" xfId="0" applyFont="1" applyFill="1" applyBorder="1" applyAlignment="1" applyProtection="1">
      <alignment vertical="center"/>
    </xf>
    <xf numFmtId="0" fontId="3" fillId="2" borderId="23" xfId="0" applyFont="1" applyFill="1" applyBorder="1" applyAlignment="1" applyProtection="1">
      <alignment vertical="center"/>
      <protection locked="0"/>
    </xf>
    <xf numFmtId="0" fontId="4" fillId="17" borderId="47" xfId="0" applyFont="1" applyFill="1" applyBorder="1" applyAlignment="1" applyProtection="1">
      <alignment vertical="center"/>
    </xf>
    <xf numFmtId="0" fontId="4" fillId="2" borderId="7" xfId="0" applyFont="1" applyFill="1" applyBorder="1" applyAlignment="1" applyProtection="1">
      <alignment vertical="center"/>
      <protection locked="0"/>
    </xf>
    <xf numFmtId="0" fontId="4" fillId="2" borderId="9" xfId="0" applyFont="1" applyFill="1" applyBorder="1" applyAlignment="1" applyProtection="1">
      <alignment vertical="center"/>
      <protection locked="0"/>
    </xf>
    <xf numFmtId="0" fontId="11" fillId="6" borderId="61" xfId="0" applyFont="1" applyFill="1" applyBorder="1" applyAlignment="1" applyProtection="1">
      <alignment vertical="center"/>
    </xf>
    <xf numFmtId="0" fontId="11" fillId="16" borderId="0" xfId="0" applyFont="1" applyFill="1" applyBorder="1" applyAlignment="1" applyProtection="1">
      <alignment vertical="center" wrapText="1"/>
    </xf>
    <xf numFmtId="0" fontId="11" fillId="16" borderId="0" xfId="0" applyFont="1" applyFill="1" applyBorder="1" applyAlignment="1" applyProtection="1">
      <alignment vertical="center"/>
    </xf>
    <xf numFmtId="0" fontId="4" fillId="21" borderId="13" xfId="0" applyFont="1" applyFill="1" applyBorder="1" applyAlignment="1" applyProtection="1">
      <alignment vertical="center"/>
    </xf>
    <xf numFmtId="0" fontId="4" fillId="0" borderId="21" xfId="0" applyFont="1" applyFill="1" applyBorder="1" applyAlignment="1" applyProtection="1">
      <alignment vertical="center"/>
    </xf>
    <xf numFmtId="0" fontId="4" fillId="2" borderId="21" xfId="0" applyFont="1" applyFill="1" applyBorder="1" applyAlignment="1" applyProtection="1">
      <alignment vertical="center"/>
      <protection locked="0"/>
    </xf>
    <xf numFmtId="0" fontId="4" fillId="21" borderId="21" xfId="0" applyFont="1" applyFill="1" applyBorder="1" applyAlignment="1" applyProtection="1">
      <alignment vertical="center"/>
    </xf>
    <xf numFmtId="165" fontId="5" fillId="16" borderId="48" xfId="0" applyNumberFormat="1" applyFont="1" applyFill="1" applyBorder="1" applyAlignment="1" applyProtection="1">
      <alignment vertical="center"/>
    </xf>
    <xf numFmtId="165" fontId="5" fillId="16" borderId="0" xfId="0" applyNumberFormat="1" applyFont="1" applyFill="1" applyBorder="1" applyAlignment="1" applyProtection="1">
      <alignment vertical="center"/>
    </xf>
    <xf numFmtId="0" fontId="5" fillId="16" borderId="0" xfId="0" applyFont="1" applyFill="1" applyBorder="1" applyAlignment="1" applyProtection="1">
      <alignment horizontal="right" vertical="center"/>
    </xf>
    <xf numFmtId="165" fontId="5" fillId="16" borderId="0" xfId="0" applyNumberFormat="1" applyFont="1" applyFill="1" applyBorder="1" applyAlignment="1" applyProtection="1">
      <alignment horizontal="left" vertical="center"/>
    </xf>
    <xf numFmtId="0" fontId="4" fillId="21" borderId="56" xfId="0" applyFont="1" applyFill="1" applyBorder="1" applyAlignment="1" applyProtection="1">
      <alignment vertical="center"/>
    </xf>
    <xf numFmtId="0" fontId="4" fillId="2" borderId="56" xfId="0" applyFont="1" applyFill="1" applyBorder="1" applyAlignment="1" applyProtection="1">
      <alignment vertical="center"/>
      <protection locked="0"/>
    </xf>
    <xf numFmtId="0" fontId="4" fillId="0" borderId="16" xfId="0" applyFont="1" applyFill="1" applyBorder="1" applyAlignment="1" applyProtection="1">
      <alignment vertical="center"/>
    </xf>
    <xf numFmtId="0" fontId="4" fillId="21" borderId="27" xfId="0" applyFont="1" applyFill="1" applyBorder="1" applyAlignment="1" applyProtection="1">
      <alignment vertical="center"/>
    </xf>
    <xf numFmtId="0" fontId="11" fillId="5" borderId="0" xfId="0" applyFont="1" applyFill="1" applyBorder="1" applyAlignment="1" applyProtection="1">
      <alignment vertical="center"/>
    </xf>
    <xf numFmtId="0" fontId="4" fillId="5" borderId="0" xfId="0" applyFont="1" applyFill="1" applyBorder="1" applyAlignment="1" applyProtection="1">
      <alignment vertical="center"/>
    </xf>
    <xf numFmtId="0" fontId="4" fillId="5" borderId="0" xfId="0" applyFont="1" applyFill="1" applyBorder="1" applyAlignment="1" applyProtection="1">
      <alignment horizontal="center" vertical="center"/>
    </xf>
    <xf numFmtId="0" fontId="4" fillId="0" borderId="13" xfId="0" applyNumberFormat="1" applyFont="1" applyBorder="1" applyAlignment="1" applyProtection="1">
      <alignment vertical="center"/>
    </xf>
    <xf numFmtId="165" fontId="5" fillId="21" borderId="13" xfId="0" applyNumberFormat="1" applyFont="1" applyFill="1" applyBorder="1" applyAlignment="1" applyProtection="1">
      <alignment vertical="center"/>
    </xf>
    <xf numFmtId="0" fontId="4" fillId="0" borderId="21" xfId="0" applyNumberFormat="1" applyFont="1" applyBorder="1" applyAlignment="1" applyProtection="1">
      <alignment vertical="center"/>
    </xf>
    <xf numFmtId="0" fontId="4" fillId="0" borderId="21" xfId="0" applyFont="1" applyBorder="1" applyAlignment="1" applyProtection="1">
      <alignment vertical="center"/>
    </xf>
    <xf numFmtId="165" fontId="5" fillId="0" borderId="21" xfId="0" applyNumberFormat="1" applyFont="1" applyBorder="1" applyAlignment="1" applyProtection="1">
      <alignment vertical="center"/>
    </xf>
    <xf numFmtId="165" fontId="5" fillId="21" borderId="21" xfId="0" applyNumberFormat="1" applyFont="1" applyFill="1" applyBorder="1" applyAlignment="1" applyProtection="1">
      <alignment vertical="center"/>
    </xf>
    <xf numFmtId="0" fontId="4" fillId="0" borderId="56" xfId="0" applyNumberFormat="1" applyFont="1" applyBorder="1" applyAlignment="1" applyProtection="1">
      <alignment vertical="center"/>
    </xf>
    <xf numFmtId="0" fontId="4" fillId="0" borderId="56" xfId="0" applyFont="1" applyBorder="1" applyAlignment="1" applyProtection="1">
      <alignment vertical="center"/>
    </xf>
    <xf numFmtId="0" fontId="4" fillId="0" borderId="51" xfId="0" applyFont="1" applyFill="1" applyBorder="1" applyAlignment="1" applyProtection="1">
      <alignment vertical="center"/>
    </xf>
    <xf numFmtId="0" fontId="4" fillId="0" borderId="51" xfId="0" applyNumberFormat="1" applyFont="1" applyBorder="1" applyAlignment="1" applyProtection="1">
      <alignment vertical="center"/>
    </xf>
    <xf numFmtId="0" fontId="4" fillId="0" borderId="51" xfId="0" applyFont="1" applyBorder="1" applyAlignment="1" applyProtection="1">
      <alignment vertical="center"/>
    </xf>
    <xf numFmtId="165" fontId="5" fillId="0" borderId="16" xfId="0" applyNumberFormat="1" applyFont="1" applyBorder="1" applyAlignment="1" applyProtection="1">
      <alignment vertical="center"/>
    </xf>
    <xf numFmtId="0" fontId="13" fillId="16" borderId="0" xfId="1" applyFont="1" applyFill="1" applyBorder="1" applyAlignment="1" applyProtection="1">
      <alignment horizontal="center" vertical="center"/>
    </xf>
    <xf numFmtId="0" fontId="4" fillId="16" borderId="0" xfId="0" applyFont="1" applyFill="1" applyBorder="1" applyAlignment="1" applyProtection="1">
      <alignment horizontal="right" vertical="center"/>
    </xf>
    <xf numFmtId="165" fontId="5" fillId="15" borderId="0" xfId="0" applyNumberFormat="1" applyFont="1" applyFill="1" applyBorder="1" applyAlignment="1" applyProtection="1">
      <alignment vertical="center"/>
    </xf>
    <xf numFmtId="0" fontId="4" fillId="16" borderId="0" xfId="0" applyNumberFormat="1" applyFont="1" applyFill="1" applyBorder="1" applyAlignment="1" applyProtection="1">
      <alignment vertical="center"/>
    </xf>
    <xf numFmtId="0" fontId="5" fillId="18" borderId="63" xfId="0" applyFont="1" applyFill="1" applyBorder="1" applyAlignment="1" applyProtection="1">
      <alignment vertical="center"/>
    </xf>
    <xf numFmtId="0" fontId="6" fillId="18" borderId="63" xfId="0" applyFont="1" applyFill="1" applyBorder="1" applyAlignment="1" applyProtection="1">
      <alignment vertical="center"/>
    </xf>
    <xf numFmtId="0" fontId="8" fillId="18" borderId="63" xfId="0" applyFont="1" applyFill="1" applyBorder="1" applyAlignment="1" applyProtection="1">
      <alignment vertical="center"/>
    </xf>
    <xf numFmtId="0" fontId="5" fillId="18" borderId="0" xfId="0" applyFont="1" applyFill="1" applyBorder="1" applyAlignment="1" applyProtection="1">
      <alignment vertical="center"/>
    </xf>
    <xf numFmtId="0" fontId="5" fillId="18" borderId="65" xfId="0" applyFont="1" applyFill="1" applyBorder="1" applyAlignment="1" applyProtection="1">
      <alignment vertical="center"/>
    </xf>
    <xf numFmtId="0" fontId="18" fillId="3" borderId="0" xfId="0" applyFont="1" applyFill="1" applyAlignment="1" applyProtection="1">
      <alignment vertical="center"/>
    </xf>
    <xf numFmtId="0" fontId="5" fillId="18" borderId="39" xfId="0" applyFont="1" applyFill="1" applyBorder="1" applyAlignment="1" applyProtection="1">
      <alignment vertical="center"/>
    </xf>
    <xf numFmtId="0" fontId="6" fillId="18" borderId="0" xfId="0" applyFont="1" applyFill="1" applyBorder="1" applyAlignment="1" applyProtection="1">
      <alignment vertical="center"/>
    </xf>
    <xf numFmtId="0" fontId="5" fillId="18" borderId="57" xfId="0" applyFont="1" applyFill="1" applyBorder="1" applyAlignment="1" applyProtection="1">
      <alignment vertical="center"/>
    </xf>
    <xf numFmtId="0" fontId="11" fillId="18" borderId="0" xfId="0" applyFont="1" applyFill="1" applyBorder="1" applyAlignment="1" applyProtection="1">
      <alignment vertical="center"/>
    </xf>
    <xf numFmtId="0" fontId="18" fillId="18" borderId="0" xfId="0" applyFont="1" applyFill="1" applyBorder="1" applyAlignment="1" applyProtection="1">
      <alignment vertical="center"/>
    </xf>
    <xf numFmtId="0" fontId="4" fillId="18" borderId="0" xfId="0" applyFont="1" applyFill="1" applyBorder="1" applyAlignment="1" applyProtection="1">
      <alignment horizontal="center" vertical="center"/>
    </xf>
    <xf numFmtId="0" fontId="5" fillId="18" borderId="47" xfId="0" applyFont="1" applyFill="1" applyBorder="1" applyAlignment="1" applyProtection="1">
      <alignment vertical="center"/>
    </xf>
    <xf numFmtId="165" fontId="5" fillId="18" borderId="0" xfId="0" applyNumberFormat="1" applyFont="1" applyFill="1" applyBorder="1" applyAlignment="1" applyProtection="1">
      <alignment vertical="center"/>
    </xf>
    <xf numFmtId="0" fontId="4" fillId="20" borderId="13" xfId="0" applyFont="1" applyFill="1" applyBorder="1" applyAlignment="1" applyProtection="1">
      <alignment vertical="center"/>
    </xf>
    <xf numFmtId="164" fontId="5" fillId="20" borderId="9" xfId="0" applyNumberFormat="1" applyFont="1" applyFill="1" applyBorder="1" applyAlignment="1" applyProtection="1">
      <alignment vertical="center"/>
      <protection locked="0"/>
    </xf>
    <xf numFmtId="165" fontId="5" fillId="20" borderId="13" xfId="0" applyNumberFormat="1" applyFont="1" applyFill="1" applyBorder="1" applyAlignment="1" applyProtection="1">
      <alignment vertical="center"/>
    </xf>
    <xf numFmtId="0" fontId="4" fillId="0" borderId="14" xfId="0" applyFont="1" applyFill="1" applyBorder="1" applyAlignment="1" applyProtection="1">
      <alignment vertical="center"/>
    </xf>
    <xf numFmtId="164" fontId="5" fillId="0" borderId="7" xfId="0" applyNumberFormat="1" applyFont="1" applyFill="1" applyBorder="1" applyAlignment="1" applyProtection="1">
      <alignment vertical="center"/>
      <protection locked="0"/>
    </xf>
    <xf numFmtId="0" fontId="4" fillId="20" borderId="14" xfId="0" applyFont="1" applyFill="1" applyBorder="1" applyAlignment="1" applyProtection="1">
      <alignment vertical="center"/>
    </xf>
    <xf numFmtId="164" fontId="5" fillId="20" borderId="7" xfId="0" applyNumberFormat="1" applyFont="1" applyFill="1" applyBorder="1" applyAlignment="1" applyProtection="1">
      <alignment vertical="center"/>
      <protection locked="0"/>
    </xf>
    <xf numFmtId="165" fontId="5" fillId="20" borderId="21" xfId="0" applyNumberFormat="1" applyFont="1" applyFill="1" applyBorder="1" applyAlignment="1" applyProtection="1">
      <alignment vertical="center"/>
    </xf>
    <xf numFmtId="166" fontId="5" fillId="20" borderId="7" xfId="0" applyNumberFormat="1" applyFont="1" applyFill="1" applyBorder="1" applyAlignment="1" applyProtection="1">
      <alignment vertical="center"/>
    </xf>
    <xf numFmtId="166" fontId="5" fillId="3" borderId="7" xfId="0" applyNumberFormat="1" applyFont="1" applyFill="1" applyBorder="1" applyAlignment="1" applyProtection="1">
      <alignment vertical="center"/>
    </xf>
    <xf numFmtId="0" fontId="4" fillId="20" borderId="21" xfId="0" applyFont="1" applyFill="1" applyBorder="1" applyAlignment="1" applyProtection="1">
      <alignment vertical="center"/>
    </xf>
    <xf numFmtId="167" fontId="5" fillId="20" borderId="7" xfId="0" applyNumberFormat="1" applyFont="1" applyFill="1" applyBorder="1" applyAlignment="1" applyProtection="1">
      <alignment vertical="center"/>
    </xf>
    <xf numFmtId="0" fontId="4" fillId="0" borderId="15" xfId="0" applyFont="1" applyFill="1" applyBorder="1" applyAlignment="1" applyProtection="1">
      <alignment vertical="center"/>
    </xf>
    <xf numFmtId="0" fontId="4" fillId="20" borderId="15" xfId="0" applyFont="1" applyFill="1" applyBorder="1" applyAlignment="1" applyProtection="1">
      <alignment vertical="center"/>
    </xf>
    <xf numFmtId="0" fontId="5" fillId="18" borderId="0" xfId="0" applyFont="1" applyFill="1" applyBorder="1" applyAlignment="1" applyProtection="1">
      <alignment horizontal="left" vertical="center"/>
    </xf>
    <xf numFmtId="0" fontId="45" fillId="5" borderId="0" xfId="0" applyFont="1" applyFill="1" applyBorder="1" applyAlignment="1" applyProtection="1">
      <alignment vertical="center"/>
    </xf>
    <xf numFmtId="164" fontId="5" fillId="20" borderId="20" xfId="0" applyNumberFormat="1" applyFont="1" applyFill="1" applyBorder="1" applyAlignment="1" applyProtection="1">
      <alignment vertical="center"/>
      <protection locked="0"/>
    </xf>
    <xf numFmtId="164" fontId="5" fillId="0" borderId="20" xfId="0" applyNumberFormat="1" applyFont="1" applyFill="1" applyBorder="1" applyAlignment="1" applyProtection="1">
      <alignment vertical="center"/>
      <protection locked="0"/>
    </xf>
    <xf numFmtId="164" fontId="5" fillId="0" borderId="10" xfId="0" applyNumberFormat="1" applyFont="1" applyFill="1" applyBorder="1" applyAlignment="1" applyProtection="1">
      <alignment vertical="center"/>
      <protection locked="0"/>
    </xf>
    <xf numFmtId="0" fontId="4" fillId="18" borderId="0" xfId="0" applyFont="1" applyFill="1" applyBorder="1" applyAlignment="1" applyProtection="1">
      <alignment vertical="center"/>
    </xf>
    <xf numFmtId="164" fontId="5" fillId="18" borderId="0" xfId="0" applyNumberFormat="1" applyFont="1" applyFill="1" applyBorder="1" applyAlignment="1" applyProtection="1">
      <alignment vertical="center"/>
    </xf>
    <xf numFmtId="0" fontId="16" fillId="18" borderId="0" xfId="0" applyFont="1" applyFill="1" applyBorder="1" applyAlignment="1" applyProtection="1">
      <alignment vertical="center"/>
    </xf>
    <xf numFmtId="165" fontId="4" fillId="0" borderId="1" xfId="0" applyNumberFormat="1" applyFont="1" applyBorder="1" applyAlignment="1" applyProtection="1">
      <alignment vertical="center"/>
    </xf>
    <xf numFmtId="0" fontId="5" fillId="0" borderId="0" xfId="0" applyFont="1" applyFill="1" applyBorder="1" applyAlignment="1" applyProtection="1">
      <alignment horizontal="right" vertical="center"/>
    </xf>
    <xf numFmtId="0" fontId="18" fillId="0" borderId="0" xfId="0" applyFont="1" applyFill="1" applyBorder="1" applyAlignment="1" applyProtection="1">
      <alignment vertical="center"/>
    </xf>
    <xf numFmtId="165" fontId="4" fillId="15" borderId="0" xfId="0" applyNumberFormat="1" applyFont="1" applyFill="1" applyBorder="1" applyAlignment="1" applyProtection="1">
      <alignment horizontal="left" vertical="center"/>
    </xf>
    <xf numFmtId="0" fontId="5" fillId="15" borderId="0" xfId="0" applyFont="1" applyFill="1" applyBorder="1" applyAlignment="1" applyProtection="1">
      <alignment vertical="center"/>
    </xf>
    <xf numFmtId="0" fontId="18" fillId="15" borderId="0" xfId="0" applyFont="1" applyFill="1" applyBorder="1" applyAlignment="1" applyProtection="1">
      <alignment vertical="center"/>
    </xf>
    <xf numFmtId="171" fontId="5" fillId="3" borderId="0" xfId="0" applyNumberFormat="1" applyFont="1" applyFill="1" applyBorder="1" applyAlignment="1" applyProtection="1">
      <alignment horizontal="right" vertical="center"/>
    </xf>
    <xf numFmtId="165" fontId="8" fillId="0" borderId="0" xfId="0" applyNumberFormat="1" applyFont="1" applyFill="1" applyBorder="1" applyAlignment="1" applyProtection="1">
      <alignment horizontal="left" vertical="center"/>
    </xf>
    <xf numFmtId="0" fontId="6" fillId="18" borderId="0" xfId="0" applyFont="1" applyFill="1" applyBorder="1" applyAlignment="1" applyProtection="1">
      <alignment horizontal="right" vertical="center"/>
    </xf>
    <xf numFmtId="0" fontId="5" fillId="18" borderId="55" xfId="0" applyFont="1" applyFill="1" applyBorder="1" applyAlignment="1" applyProtection="1">
      <alignment vertical="center"/>
    </xf>
    <xf numFmtId="0" fontId="5" fillId="18" borderId="91" xfId="0" applyFont="1" applyFill="1" applyBorder="1" applyAlignment="1" applyProtection="1">
      <alignment vertical="center"/>
    </xf>
    <xf numFmtId="0" fontId="6" fillId="3" borderId="0" xfId="0" applyFont="1" applyFill="1" applyBorder="1" applyAlignment="1" applyProtection="1">
      <alignment vertical="center"/>
    </xf>
    <xf numFmtId="0" fontId="5" fillId="19" borderId="63" xfId="2" applyFont="1" applyFill="1" applyBorder="1" applyAlignment="1" applyProtection="1">
      <alignment vertical="center"/>
    </xf>
    <xf numFmtId="0" fontId="11" fillId="19" borderId="63" xfId="2" applyFont="1" applyFill="1" applyBorder="1" applyAlignment="1" applyProtection="1">
      <alignment vertical="center"/>
    </xf>
    <xf numFmtId="0" fontId="5" fillId="19" borderId="65" xfId="2" applyFont="1" applyFill="1" applyBorder="1" applyAlignment="1" applyProtection="1">
      <alignment vertical="center"/>
    </xf>
    <xf numFmtId="0" fontId="5" fillId="3" borderId="0" xfId="2" applyFont="1" applyFill="1" applyAlignment="1" applyProtection="1">
      <alignment vertical="center"/>
    </xf>
    <xf numFmtId="0" fontId="5" fillId="3" borderId="0" xfId="2" applyFont="1" applyFill="1" applyBorder="1" applyAlignment="1" applyProtection="1">
      <alignment horizontal="left" vertical="center"/>
    </xf>
    <xf numFmtId="0" fontId="6" fillId="3" borderId="0" xfId="2" applyFont="1" applyFill="1" applyAlignment="1" applyProtection="1">
      <alignment vertical="center"/>
    </xf>
    <xf numFmtId="0" fontId="40" fillId="3" borderId="0" xfId="2" applyFont="1" applyFill="1" applyAlignment="1" applyProtection="1">
      <alignment vertical="center"/>
    </xf>
    <xf numFmtId="0" fontId="5" fillId="19" borderId="39" xfId="2" applyFont="1" applyFill="1" applyBorder="1" applyAlignment="1" applyProtection="1">
      <alignment vertical="center"/>
    </xf>
    <xf numFmtId="0" fontId="5" fillId="19" borderId="0" xfId="2" applyFont="1" applyFill="1" applyBorder="1" applyAlignment="1" applyProtection="1">
      <alignment vertical="center"/>
    </xf>
    <xf numFmtId="0" fontId="5" fillId="19" borderId="57" xfId="2" applyFont="1" applyFill="1" applyBorder="1" applyAlignment="1" applyProtection="1">
      <alignment vertical="center"/>
    </xf>
    <xf numFmtId="0" fontId="41" fillId="3" borderId="0" xfId="2" applyFont="1" applyFill="1" applyBorder="1" applyAlignment="1" applyProtection="1">
      <alignment horizontal="left" vertical="center"/>
    </xf>
    <xf numFmtId="0" fontId="4" fillId="19" borderId="0" xfId="2" applyFont="1" applyFill="1" applyBorder="1" applyAlignment="1" applyProtection="1">
      <alignment horizontal="center" vertical="center"/>
    </xf>
    <xf numFmtId="169" fontId="5" fillId="2" borderId="12" xfId="0" applyNumberFormat="1" applyFont="1" applyFill="1" applyBorder="1" applyAlignment="1" applyProtection="1">
      <alignment horizontal="right" vertical="center"/>
      <protection locked="0"/>
    </xf>
    <xf numFmtId="0" fontId="6" fillId="19" borderId="0" xfId="0" applyFont="1" applyFill="1" applyBorder="1" applyAlignment="1" applyProtection="1">
      <alignment vertical="center"/>
    </xf>
    <xf numFmtId="0" fontId="4" fillId="4" borderId="11" xfId="0" applyFont="1" applyFill="1" applyBorder="1" applyAlignment="1" applyProtection="1">
      <alignment horizontal="center" vertical="center"/>
    </xf>
    <xf numFmtId="0" fontId="4" fillId="5" borderId="3" xfId="0" applyFont="1" applyFill="1" applyBorder="1" applyAlignment="1" applyProtection="1">
      <alignment horizontal="center" vertical="center"/>
    </xf>
    <xf numFmtId="0" fontId="4" fillId="4" borderId="33" xfId="0" applyFont="1" applyFill="1" applyBorder="1" applyAlignment="1" applyProtection="1">
      <alignment horizontal="center" vertical="center"/>
    </xf>
    <xf numFmtId="2" fontId="5" fillId="3" borderId="0" xfId="2" applyNumberFormat="1" applyFont="1" applyFill="1" applyAlignment="1" applyProtection="1">
      <alignment vertical="center"/>
    </xf>
    <xf numFmtId="171" fontId="5" fillId="3" borderId="12" xfId="0" applyNumberFormat="1" applyFont="1" applyFill="1" applyBorder="1" applyAlignment="1" applyProtection="1">
      <alignment horizontal="right" vertical="center"/>
    </xf>
    <xf numFmtId="0" fontId="5" fillId="0" borderId="43" xfId="0" applyFont="1" applyFill="1" applyBorder="1" applyAlignment="1" applyProtection="1">
      <alignment vertical="center"/>
    </xf>
    <xf numFmtId="0" fontId="5" fillId="2" borderId="89" xfId="0" applyFont="1" applyFill="1" applyBorder="1" applyAlignment="1" applyProtection="1">
      <alignment vertical="center"/>
      <protection locked="0"/>
    </xf>
    <xf numFmtId="0" fontId="5" fillId="2" borderId="67" xfId="0" applyFont="1" applyFill="1" applyBorder="1" applyAlignment="1" applyProtection="1">
      <alignment vertical="center"/>
      <protection locked="0"/>
    </xf>
    <xf numFmtId="0" fontId="4" fillId="19" borderId="0" xfId="0" applyFont="1" applyFill="1" applyBorder="1" applyAlignment="1" applyProtection="1">
      <alignment horizontal="left" vertical="center"/>
    </xf>
    <xf numFmtId="0" fontId="5" fillId="7" borderId="43" xfId="0" applyFont="1" applyFill="1" applyBorder="1" applyAlignment="1" applyProtection="1">
      <alignment vertical="center"/>
    </xf>
    <xf numFmtId="0" fontId="5" fillId="2" borderId="1" xfId="0" applyFont="1" applyFill="1" applyBorder="1" applyAlignment="1" applyProtection="1">
      <alignment vertical="center"/>
      <protection locked="0"/>
    </xf>
    <xf numFmtId="0" fontId="5" fillId="2" borderId="88" xfId="0" applyFont="1" applyFill="1" applyBorder="1" applyAlignment="1" applyProtection="1">
      <alignment vertical="center"/>
      <protection locked="0"/>
    </xf>
    <xf numFmtId="0" fontId="5" fillId="2" borderId="68" xfId="0" applyFont="1" applyFill="1" applyBorder="1" applyAlignment="1" applyProtection="1">
      <alignment vertical="center"/>
      <protection locked="0"/>
    </xf>
    <xf numFmtId="170" fontId="5" fillId="2" borderId="1" xfId="0" applyNumberFormat="1" applyFont="1" applyFill="1" applyBorder="1" applyAlignment="1" applyProtection="1">
      <alignment horizontal="right" vertical="center"/>
      <protection locked="0"/>
    </xf>
    <xf numFmtId="170" fontId="5" fillId="3" borderId="12" xfId="0" applyNumberFormat="1" applyFont="1" applyFill="1" applyBorder="1" applyAlignment="1" applyProtection="1">
      <alignment horizontal="right" vertical="center"/>
    </xf>
    <xf numFmtId="0" fontId="5" fillId="19" borderId="0" xfId="0" applyFont="1" applyFill="1" applyBorder="1" applyAlignment="1" applyProtection="1">
      <alignment vertical="center"/>
    </xf>
    <xf numFmtId="170" fontId="5" fillId="19" borderId="0" xfId="0" applyNumberFormat="1" applyFont="1" applyFill="1" applyBorder="1" applyAlignment="1" applyProtection="1">
      <alignment horizontal="right" vertical="center"/>
    </xf>
    <xf numFmtId="0" fontId="5" fillId="19" borderId="39" xfId="0" applyFont="1" applyFill="1" applyBorder="1" applyAlignment="1" applyProtection="1">
      <alignment vertical="center"/>
    </xf>
    <xf numFmtId="0" fontId="4" fillId="4" borderId="24" xfId="0" applyFont="1" applyFill="1" applyBorder="1" applyAlignment="1" applyProtection="1">
      <alignment horizontal="center" vertical="center"/>
    </xf>
    <xf numFmtId="0" fontId="4" fillId="4" borderId="78" xfId="0" applyFont="1" applyFill="1" applyBorder="1" applyAlignment="1" applyProtection="1">
      <alignment horizontal="center" vertical="center"/>
    </xf>
    <xf numFmtId="0" fontId="5" fillId="0" borderId="22" xfId="0" applyFont="1" applyFill="1" applyBorder="1" applyAlignment="1" applyProtection="1">
      <alignment vertical="center"/>
    </xf>
    <xf numFmtId="0" fontId="5" fillId="0" borderId="37" xfId="0" applyFont="1" applyFill="1" applyBorder="1" applyAlignment="1" applyProtection="1">
      <alignment vertical="center"/>
    </xf>
    <xf numFmtId="0" fontId="5" fillId="2" borderId="79" xfId="0" applyFont="1" applyFill="1" applyBorder="1" applyAlignment="1" applyProtection="1">
      <alignment vertical="center"/>
      <protection locked="0"/>
    </xf>
    <xf numFmtId="0" fontId="5" fillId="0" borderId="29" xfId="0" applyFont="1" applyFill="1" applyBorder="1" applyAlignment="1" applyProtection="1">
      <alignment vertical="center"/>
    </xf>
    <xf numFmtId="0" fontId="5" fillId="0" borderId="1" xfId="0" applyFont="1" applyFill="1" applyBorder="1" applyAlignment="1" applyProtection="1">
      <alignment vertical="center"/>
    </xf>
    <xf numFmtId="0" fontId="5" fillId="0" borderId="6" xfId="0" applyFont="1" applyFill="1" applyBorder="1" applyAlignment="1" applyProtection="1">
      <alignment vertical="center"/>
    </xf>
    <xf numFmtId="0" fontId="5" fillId="2" borderId="80" xfId="0" applyFont="1" applyFill="1" applyBorder="1" applyAlignment="1" applyProtection="1">
      <alignment vertical="center"/>
      <protection locked="0"/>
    </xf>
    <xf numFmtId="0" fontId="5" fillId="0" borderId="83" xfId="0" applyFont="1" applyFill="1" applyBorder="1" applyAlignment="1" applyProtection="1">
      <alignment vertical="center"/>
    </xf>
    <xf numFmtId="0" fontId="5" fillId="0" borderId="84" xfId="0" applyFont="1" applyFill="1" applyBorder="1" applyAlignment="1" applyProtection="1">
      <alignment vertical="center"/>
    </xf>
    <xf numFmtId="0" fontId="5" fillId="0" borderId="85" xfId="0" applyFont="1" applyFill="1" applyBorder="1" applyAlignment="1" applyProtection="1">
      <alignment vertical="center"/>
    </xf>
    <xf numFmtId="0" fontId="5" fillId="2" borderId="86" xfId="0" applyFont="1" applyFill="1" applyBorder="1" applyAlignment="1" applyProtection="1">
      <alignment vertical="center"/>
      <protection locked="0"/>
    </xf>
    <xf numFmtId="0" fontId="5" fillId="2" borderId="82" xfId="0" applyFont="1" applyFill="1" applyBorder="1" applyAlignment="1" applyProtection="1">
      <alignment vertical="center"/>
      <protection locked="0"/>
    </xf>
    <xf numFmtId="0" fontId="5" fillId="0" borderId="32" xfId="0" applyFont="1" applyFill="1" applyBorder="1" applyAlignment="1" applyProtection="1">
      <alignment vertical="center"/>
    </xf>
    <xf numFmtId="0" fontId="5" fillId="0" borderId="38" xfId="0" applyFont="1" applyFill="1" applyBorder="1" applyAlignment="1" applyProtection="1">
      <alignment vertical="center"/>
    </xf>
    <xf numFmtId="0" fontId="5" fillId="0" borderId="62" xfId="0" applyFont="1" applyFill="1" applyBorder="1" applyAlignment="1" applyProtection="1">
      <alignment vertical="center"/>
    </xf>
    <xf numFmtId="0" fontId="5" fillId="2" borderId="81" xfId="0" applyFont="1" applyFill="1" applyBorder="1" applyAlignment="1" applyProtection="1">
      <alignment vertical="center"/>
      <protection locked="0"/>
    </xf>
    <xf numFmtId="0" fontId="5" fillId="7" borderId="29" xfId="0" applyFont="1" applyFill="1" applyBorder="1" applyAlignment="1" applyProtection="1">
      <alignment vertical="center"/>
    </xf>
    <xf numFmtId="0" fontId="5" fillId="3" borderId="29" xfId="0" applyFont="1" applyFill="1" applyBorder="1" applyAlignment="1" applyProtection="1">
      <alignment vertical="center"/>
    </xf>
    <xf numFmtId="0" fontId="5" fillId="7" borderId="41" xfId="0" applyFont="1" applyFill="1" applyBorder="1" applyAlignment="1" applyProtection="1">
      <alignment vertical="center"/>
    </xf>
    <xf numFmtId="0" fontId="5" fillId="2" borderId="38" xfId="0" applyFont="1" applyFill="1" applyBorder="1" applyAlignment="1" applyProtection="1">
      <alignment vertical="center"/>
      <protection locked="0"/>
    </xf>
    <xf numFmtId="0" fontId="5" fillId="2" borderId="87" xfId="0" applyFont="1" applyFill="1" applyBorder="1" applyAlignment="1" applyProtection="1">
      <alignment vertical="center"/>
      <protection locked="0"/>
    </xf>
    <xf numFmtId="0" fontId="5" fillId="2" borderId="69" xfId="0" applyFont="1" applyFill="1" applyBorder="1" applyAlignment="1" applyProtection="1">
      <alignment vertical="center"/>
      <protection locked="0"/>
    </xf>
    <xf numFmtId="0" fontId="5" fillId="19" borderId="55" xfId="2" applyFont="1" applyFill="1" applyBorder="1" applyAlignment="1" applyProtection="1">
      <alignment vertical="center"/>
    </xf>
    <xf numFmtId="0" fontId="5" fillId="19" borderId="91" xfId="2" applyFont="1" applyFill="1" applyBorder="1" applyAlignment="1" applyProtection="1">
      <alignment vertical="center"/>
    </xf>
    <xf numFmtId="0" fontId="5" fillId="19" borderId="47" xfId="2" applyFont="1" applyFill="1" applyBorder="1" applyAlignment="1" applyProtection="1">
      <alignment vertical="center"/>
    </xf>
    <xf numFmtId="0" fontId="5" fillId="0" borderId="0" xfId="2" applyFont="1" applyAlignment="1" applyProtection="1">
      <alignment vertical="center"/>
    </xf>
    <xf numFmtId="0" fontId="42" fillId="0" borderId="0" xfId="0" applyFont="1" applyAlignment="1" applyProtection="1">
      <alignment vertical="center"/>
    </xf>
    <xf numFmtId="0" fontId="40" fillId="0" borderId="0" xfId="0" applyFont="1" applyAlignment="1" applyProtection="1">
      <alignment vertical="center"/>
    </xf>
    <xf numFmtId="0" fontId="18" fillId="17" borderId="65" xfId="0" applyFont="1" applyFill="1" applyBorder="1" applyAlignment="1" applyProtection="1">
      <alignment vertical="center"/>
    </xf>
    <xf numFmtId="0" fontId="35" fillId="3" borderId="0" xfId="0" applyFont="1" applyFill="1" applyBorder="1" applyAlignment="1" applyProtection="1">
      <alignment vertical="center"/>
    </xf>
    <xf numFmtId="0" fontId="0" fillId="0" borderId="0" xfId="0" applyAlignment="1" applyProtection="1">
      <alignment vertical="center"/>
    </xf>
    <xf numFmtId="0" fontId="18" fillId="17" borderId="57" xfId="0" applyFont="1" applyFill="1" applyBorder="1" applyAlignment="1" applyProtection="1">
      <alignment vertical="center"/>
    </xf>
    <xf numFmtId="0" fontId="25"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36" fillId="3" borderId="0" xfId="0" applyFont="1" applyFill="1" applyBorder="1" applyAlignment="1" applyProtection="1">
      <alignment vertical="center"/>
    </xf>
    <xf numFmtId="0" fontId="6" fillId="3" borderId="0" xfId="0" applyFont="1" applyFill="1" applyBorder="1" applyAlignment="1" applyProtection="1">
      <alignment horizontal="left" vertical="center"/>
    </xf>
    <xf numFmtId="0" fontId="18" fillId="3" borderId="0" xfId="0" applyFont="1" applyFill="1" applyBorder="1" applyAlignment="1" applyProtection="1">
      <alignment vertical="center"/>
    </xf>
    <xf numFmtId="0" fontId="4" fillId="4" borderId="19" xfId="0" applyFont="1" applyFill="1" applyBorder="1" applyAlignment="1" applyProtection="1">
      <alignment vertical="center"/>
    </xf>
    <xf numFmtId="0" fontId="5" fillId="4" borderId="23" xfId="0" applyFont="1" applyFill="1" applyBorder="1" applyAlignment="1" applyProtection="1">
      <alignment vertical="center"/>
    </xf>
    <xf numFmtId="0" fontId="5" fillId="2" borderId="13" xfId="0" applyFont="1" applyFill="1" applyBorder="1" applyAlignment="1" applyProtection="1">
      <alignment vertical="center"/>
      <protection locked="0"/>
    </xf>
    <xf numFmtId="0" fontId="5" fillId="2" borderId="53" xfId="0" applyFont="1" applyFill="1" applyBorder="1" applyAlignment="1" applyProtection="1">
      <alignment vertical="center"/>
      <protection locked="0"/>
    </xf>
    <xf numFmtId="0" fontId="5" fillId="2" borderId="21" xfId="0" applyFont="1" applyFill="1" applyBorder="1" applyAlignment="1" applyProtection="1">
      <alignment vertical="center"/>
      <protection locked="0"/>
    </xf>
    <xf numFmtId="0" fontId="5" fillId="2" borderId="54" xfId="0" applyFont="1" applyFill="1" applyBorder="1" applyAlignment="1" applyProtection="1">
      <alignment vertical="center"/>
      <protection locked="0"/>
    </xf>
    <xf numFmtId="0" fontId="21" fillId="3" borderId="0" xfId="1" applyFont="1" applyFill="1" applyBorder="1" applyAlignment="1" applyProtection="1">
      <alignment vertical="center"/>
    </xf>
    <xf numFmtId="0" fontId="6" fillId="3" borderId="0" xfId="1" applyFont="1" applyFill="1" applyBorder="1" applyAlignment="1" applyProtection="1">
      <alignment vertical="center"/>
    </xf>
    <xf numFmtId="0" fontId="4" fillId="3" borderId="21" xfId="0" applyFont="1" applyFill="1" applyBorder="1" applyAlignment="1" applyProtection="1">
      <alignment vertical="center"/>
    </xf>
    <xf numFmtId="0" fontId="38" fillId="3" borderId="0" xfId="0" applyFont="1" applyFill="1" applyBorder="1" applyAlignment="1" applyProtection="1">
      <alignment vertical="center"/>
    </xf>
    <xf numFmtId="0" fontId="38" fillId="3" borderId="0" xfId="0" applyFont="1" applyFill="1" applyAlignment="1" applyProtection="1">
      <alignment vertical="center"/>
    </xf>
    <xf numFmtId="0" fontId="4" fillId="7" borderId="16" xfId="0" applyFont="1" applyFill="1" applyBorder="1" applyAlignment="1" applyProtection="1">
      <alignment vertical="center"/>
    </xf>
    <xf numFmtId="0" fontId="5" fillId="2" borderId="16" xfId="0" applyFont="1" applyFill="1" applyBorder="1" applyAlignment="1" applyProtection="1">
      <alignment vertical="center"/>
      <protection locked="0"/>
    </xf>
    <xf numFmtId="0" fontId="5" fillId="2" borderId="66" xfId="0" applyFont="1" applyFill="1" applyBorder="1" applyAlignment="1" applyProtection="1">
      <alignment vertical="center"/>
      <protection locked="0"/>
    </xf>
    <xf numFmtId="0" fontId="18" fillId="17" borderId="47" xfId="0" applyFont="1" applyFill="1" applyBorder="1" applyAlignment="1" applyProtection="1">
      <alignment vertical="center"/>
    </xf>
    <xf numFmtId="0" fontId="5" fillId="5" borderId="1" xfId="2" applyFont="1" applyFill="1" applyBorder="1" applyAlignment="1" applyProtection="1">
      <alignment vertical="center" wrapText="1"/>
    </xf>
    <xf numFmtId="0" fontId="5" fillId="3" borderId="6" xfId="2" applyFont="1" applyFill="1" applyBorder="1" applyAlignment="1" applyProtection="1">
      <alignment vertical="center"/>
    </xf>
    <xf numFmtId="0" fontId="5" fillId="3" borderId="1" xfId="2" applyFont="1" applyFill="1" applyBorder="1" applyAlignment="1" applyProtection="1">
      <alignment horizontal="center" vertical="center"/>
    </xf>
    <xf numFmtId="0" fontId="4" fillId="2" borderId="1" xfId="2" applyFont="1" applyFill="1" applyBorder="1" applyAlignment="1" applyProtection="1">
      <alignment horizontal="center" vertical="center" wrapText="1"/>
      <protection locked="0"/>
    </xf>
    <xf numFmtId="0" fontId="4" fillId="2" borderId="1" xfId="2" applyFont="1" applyFill="1" applyBorder="1" applyAlignment="1" applyProtection="1">
      <alignment horizontal="center" vertical="center"/>
      <protection locked="0"/>
    </xf>
    <xf numFmtId="0" fontId="4" fillId="3" borderId="1" xfId="2" applyFont="1" applyFill="1" applyBorder="1" applyAlignment="1" applyProtection="1">
      <alignment horizontal="center" vertical="center"/>
    </xf>
    <xf numFmtId="0" fontId="5" fillId="3" borderId="1" xfId="2" applyFont="1" applyFill="1" applyBorder="1" applyAlignment="1" applyProtection="1">
      <alignment vertical="center"/>
    </xf>
    <xf numFmtId="0" fontId="16" fillId="24" borderId="6" xfId="2" applyFont="1" applyFill="1" applyBorder="1" applyAlignment="1" applyProtection="1">
      <alignment vertical="center"/>
    </xf>
    <xf numFmtId="0" fontId="16" fillId="24" borderId="1" xfId="2" applyFont="1" applyFill="1" applyBorder="1" applyAlignment="1" applyProtection="1">
      <alignment horizontal="center" vertical="center"/>
    </xf>
    <xf numFmtId="0" fontId="18" fillId="3" borderId="0" xfId="2" applyFont="1" applyFill="1" applyAlignment="1" applyProtection="1">
      <alignment vertical="center"/>
    </xf>
    <xf numFmtId="0" fontId="5" fillId="25" borderId="22" xfId="2" applyFont="1" applyFill="1" applyBorder="1" applyAlignment="1" applyProtection="1">
      <alignment vertical="center"/>
    </xf>
    <xf numFmtId="0" fontId="2" fillId="2" borderId="1" xfId="2" applyFont="1" applyFill="1" applyBorder="1" applyAlignment="1" applyProtection="1">
      <alignment vertical="center" wrapText="1"/>
      <protection locked="0"/>
    </xf>
    <xf numFmtId="0" fontId="5" fillId="2" borderId="1" xfId="2" applyNumberFormat="1" applyFont="1" applyFill="1" applyBorder="1" applyAlignment="1" applyProtection="1">
      <alignment vertical="center" wrapText="1"/>
      <protection locked="0"/>
    </xf>
    <xf numFmtId="0" fontId="5" fillId="0" borderId="6" xfId="2" applyFont="1" applyBorder="1" applyAlignment="1" applyProtection="1">
      <alignment vertical="center"/>
    </xf>
    <xf numFmtId="0" fontId="5" fillId="26" borderId="1" xfId="2" applyFont="1" applyFill="1" applyBorder="1" applyAlignment="1" applyProtection="1">
      <alignment vertical="center"/>
    </xf>
    <xf numFmtId="0" fontId="2" fillId="2" borderId="1" xfId="2" applyFont="1" applyFill="1" applyBorder="1" applyAlignment="1" applyProtection="1">
      <alignment vertical="center"/>
      <protection locked="0"/>
    </xf>
    <xf numFmtId="0" fontId="5" fillId="26" borderId="6" xfId="2" applyFont="1" applyFill="1" applyBorder="1" applyAlignment="1" applyProtection="1">
      <alignment vertical="center"/>
    </xf>
    <xf numFmtId="172" fontId="2" fillId="2" borderId="1" xfId="2" applyNumberFormat="1" applyFont="1" applyFill="1" applyBorder="1" applyAlignment="1" applyProtection="1">
      <alignment vertical="center"/>
      <protection locked="0"/>
    </xf>
    <xf numFmtId="0" fontId="5" fillId="0" borderId="1" xfId="2" applyFont="1" applyBorder="1" applyAlignment="1" applyProtection="1">
      <alignment vertical="center"/>
    </xf>
    <xf numFmtId="0" fontId="5" fillId="5" borderId="49" xfId="2" applyFont="1" applyFill="1" applyBorder="1" applyAlignment="1" applyProtection="1">
      <alignment vertical="center"/>
    </xf>
    <xf numFmtId="0" fontId="5" fillId="26" borderId="2" xfId="2" applyFont="1" applyFill="1" applyBorder="1" applyAlignment="1" applyProtection="1">
      <alignment vertical="center"/>
    </xf>
    <xf numFmtId="0" fontId="2" fillId="2" borderId="2" xfId="2" applyFont="1" applyFill="1" applyBorder="1" applyAlignment="1" applyProtection="1">
      <alignment vertical="center"/>
      <protection locked="0"/>
    </xf>
    <xf numFmtId="0" fontId="5" fillId="0" borderId="9" xfId="2" applyFont="1" applyBorder="1" applyAlignment="1" applyProtection="1">
      <alignment vertical="center"/>
    </xf>
    <xf numFmtId="0" fontId="2" fillId="2" borderId="106" xfId="2" applyFont="1" applyFill="1" applyBorder="1" applyAlignment="1" applyProtection="1">
      <alignment vertical="center"/>
      <protection locked="0"/>
    </xf>
    <xf numFmtId="0" fontId="2" fillId="2" borderId="107" xfId="2" applyFont="1" applyFill="1" applyBorder="1" applyAlignment="1" applyProtection="1">
      <alignment vertical="center"/>
      <protection locked="0"/>
    </xf>
    <xf numFmtId="0" fontId="5" fillId="0" borderId="42" xfId="2" applyFont="1" applyBorder="1" applyAlignment="1" applyProtection="1">
      <alignment vertical="center"/>
    </xf>
    <xf numFmtId="0" fontId="2" fillId="2" borderId="38" xfId="2" applyFont="1" applyFill="1" applyBorder="1" applyAlignment="1" applyProtection="1">
      <alignment vertical="center"/>
      <protection locked="0"/>
    </xf>
    <xf numFmtId="0" fontId="2" fillId="2" borderId="26" xfId="2" applyFont="1" applyFill="1" applyBorder="1" applyAlignment="1" applyProtection="1">
      <alignment vertical="center"/>
      <protection locked="0"/>
    </xf>
    <xf numFmtId="0" fontId="5" fillId="0" borderId="27" xfId="2" applyFont="1" applyBorder="1" applyAlignment="1" applyProtection="1">
      <alignment vertical="center"/>
    </xf>
    <xf numFmtId="0" fontId="5" fillId="0" borderId="32" xfId="2" applyFont="1" applyBorder="1" applyAlignment="1" applyProtection="1">
      <alignment vertical="center"/>
    </xf>
    <xf numFmtId="0" fontId="2" fillId="3" borderId="0" xfId="2" applyFont="1" applyFill="1" applyBorder="1" applyAlignment="1" applyProtection="1">
      <alignment vertical="center"/>
    </xf>
    <xf numFmtId="0" fontId="2" fillId="2" borderId="5" xfId="2" applyFont="1" applyFill="1" applyBorder="1" applyAlignment="1" applyProtection="1">
      <alignment vertical="center"/>
      <protection locked="0"/>
    </xf>
    <xf numFmtId="0" fontId="2" fillId="2" borderId="35" xfId="2" applyFont="1" applyFill="1" applyBorder="1" applyAlignment="1" applyProtection="1">
      <alignment vertical="center"/>
      <protection locked="0"/>
    </xf>
    <xf numFmtId="0" fontId="5" fillId="0" borderId="109" xfId="2" applyFont="1" applyBorder="1" applyAlignment="1" applyProtection="1">
      <alignment vertical="center"/>
    </xf>
    <xf numFmtId="0" fontId="2" fillId="2" borderId="70" xfId="2" applyFont="1" applyFill="1" applyBorder="1" applyAlignment="1" applyProtection="1">
      <alignment vertical="center"/>
      <protection locked="0"/>
    </xf>
    <xf numFmtId="0" fontId="2" fillId="2" borderId="111" xfId="2" applyFont="1" applyFill="1" applyBorder="1" applyAlignment="1" applyProtection="1">
      <alignment vertical="center"/>
      <protection locked="0"/>
    </xf>
    <xf numFmtId="0" fontId="5" fillId="0" borderId="112" xfId="2" applyFont="1" applyBorder="1" applyAlignment="1" applyProtection="1">
      <alignment vertical="center"/>
    </xf>
    <xf numFmtId="0" fontId="5" fillId="0" borderId="113" xfId="2" applyFont="1" applyBorder="1" applyAlignment="1" applyProtection="1">
      <alignment horizontal="center" vertical="center" wrapText="1"/>
    </xf>
    <xf numFmtId="0" fontId="2" fillId="2" borderId="114" xfId="2" applyFont="1" applyFill="1" applyBorder="1" applyAlignment="1" applyProtection="1">
      <alignment vertical="center"/>
      <protection locked="0"/>
    </xf>
    <xf numFmtId="0" fontId="2" fillId="2" borderId="115" xfId="2" applyFont="1" applyFill="1" applyBorder="1" applyAlignment="1" applyProtection="1">
      <alignment vertical="center"/>
      <protection locked="0"/>
    </xf>
    <xf numFmtId="0" fontId="5" fillId="0" borderId="1" xfId="2" applyNumberFormat="1" applyFont="1" applyBorder="1" applyAlignment="1" applyProtection="1">
      <alignment vertical="center" wrapText="1"/>
    </xf>
    <xf numFmtId="0" fontId="5" fillId="3" borderId="1" xfId="2" applyNumberFormat="1" applyFont="1" applyFill="1" applyBorder="1" applyAlignment="1" applyProtection="1">
      <alignment vertical="center" wrapText="1"/>
    </xf>
    <xf numFmtId="173" fontId="5" fillId="3" borderId="1" xfId="2" applyNumberFormat="1" applyFont="1" applyFill="1" applyBorder="1" applyAlignment="1" applyProtection="1">
      <alignment vertical="center" wrapText="1"/>
    </xf>
    <xf numFmtId="2" fontId="51" fillId="3" borderId="1" xfId="2" applyNumberFormat="1" applyFont="1" applyFill="1" applyBorder="1" applyAlignment="1" applyProtection="1">
      <alignment vertical="center" wrapText="1"/>
    </xf>
    <xf numFmtId="0" fontId="5" fillId="5" borderId="1" xfId="2" applyFont="1" applyFill="1" applyBorder="1" applyAlignment="1" applyProtection="1">
      <alignment vertical="center"/>
    </xf>
    <xf numFmtId="173" fontId="51" fillId="3" borderId="1" xfId="2" applyNumberFormat="1" applyFont="1" applyFill="1" applyBorder="1" applyAlignment="1" applyProtection="1">
      <alignment vertical="center" wrapText="1"/>
    </xf>
    <xf numFmtId="0" fontId="18" fillId="0" borderId="0" xfId="2" applyFont="1" applyAlignment="1" applyProtection="1">
      <alignment vertical="center"/>
    </xf>
    <xf numFmtId="0" fontId="0" fillId="0" borderId="0" xfId="0" applyAlignment="1" applyProtection="1">
      <alignment vertical="center"/>
      <protection locked="0"/>
    </xf>
    <xf numFmtId="0" fontId="0" fillId="0" borderId="0" xfId="0" applyBorder="1" applyAlignment="1" applyProtection="1">
      <alignment vertical="center"/>
      <protection locked="0"/>
    </xf>
    <xf numFmtId="0" fontId="0" fillId="0" borderId="57" xfId="0" applyBorder="1" applyAlignment="1" applyProtection="1">
      <alignment vertical="center"/>
      <protection locked="0"/>
    </xf>
    <xf numFmtId="0" fontId="2" fillId="7" borderId="58" xfId="0" applyFont="1" applyFill="1" applyBorder="1" applyAlignment="1" applyProtection="1">
      <alignment vertical="center"/>
      <protection locked="0"/>
    </xf>
    <xf numFmtId="0" fontId="2" fillId="0" borderId="59" xfId="0" applyFont="1" applyFill="1" applyBorder="1" applyAlignment="1" applyProtection="1">
      <alignment vertical="center"/>
      <protection locked="0"/>
    </xf>
    <xf numFmtId="0" fontId="2" fillId="7" borderId="36" xfId="0" applyFont="1" applyFill="1" applyBorder="1" applyAlignment="1" applyProtection="1">
      <alignment vertical="center"/>
      <protection locked="0"/>
    </xf>
    <xf numFmtId="0" fontId="2" fillId="7" borderId="22" xfId="0" applyFont="1" applyFill="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1" xfId="0" applyFont="1" applyBorder="1" applyAlignment="1" applyProtection="1">
      <alignment vertical="center"/>
      <protection locked="0"/>
    </xf>
    <xf numFmtId="0" fontId="2" fillId="0" borderId="1" xfId="0" applyFont="1" applyFill="1" applyBorder="1" applyAlignment="1" applyProtection="1">
      <alignment vertical="center"/>
      <protection locked="0"/>
    </xf>
    <xf numFmtId="0" fontId="2" fillId="0" borderId="30" xfId="0" applyFont="1" applyBorder="1" applyAlignment="1" applyProtection="1">
      <alignment vertical="center"/>
      <protection locked="0"/>
    </xf>
    <xf numFmtId="0" fontId="2" fillId="7" borderId="12" xfId="0" applyFont="1" applyFill="1" applyBorder="1" applyAlignment="1" applyProtection="1">
      <alignment vertical="center"/>
      <protection locked="0"/>
    </xf>
    <xf numFmtId="0" fontId="2" fillId="7" borderId="1" xfId="0" applyFont="1" applyFill="1" applyBorder="1" applyAlignment="1" applyProtection="1">
      <alignment vertical="center"/>
      <protection locked="0"/>
    </xf>
    <xf numFmtId="0" fontId="2" fillId="7" borderId="30" xfId="0" applyFont="1" applyFill="1" applyBorder="1" applyAlignment="1" applyProtection="1">
      <alignment vertical="center"/>
      <protection locked="0"/>
    </xf>
    <xf numFmtId="0" fontId="2" fillId="12" borderId="1" xfId="0" applyFont="1" applyFill="1" applyBorder="1" applyAlignment="1" applyProtection="1">
      <alignment horizontal="center" vertical="center"/>
      <protection locked="0"/>
    </xf>
    <xf numFmtId="0" fontId="2" fillId="11" borderId="2" xfId="0" applyFont="1" applyFill="1" applyBorder="1" applyAlignment="1" applyProtection="1">
      <alignment vertical="center"/>
      <protection locked="0"/>
    </xf>
    <xf numFmtId="0" fontId="2" fillId="13" borderId="58" xfId="0" applyFont="1" applyFill="1" applyBorder="1" applyAlignment="1" applyProtection="1">
      <alignment horizontal="center" vertical="center"/>
      <protection locked="0"/>
    </xf>
    <xf numFmtId="0" fontId="2" fillId="13" borderId="1" xfId="0" applyFont="1" applyFill="1" applyBorder="1" applyAlignment="1" applyProtection="1">
      <alignment horizontal="center" vertical="center"/>
      <protection locked="0"/>
    </xf>
    <xf numFmtId="0" fontId="2" fillId="11" borderId="1" xfId="0"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locked="0"/>
    </xf>
    <xf numFmtId="0" fontId="2" fillId="13" borderId="70" xfId="0" applyFont="1" applyFill="1" applyBorder="1" applyAlignment="1" applyProtection="1">
      <alignment vertical="center"/>
      <protection locked="0"/>
    </xf>
    <xf numFmtId="0" fontId="2" fillId="13" borderId="70" xfId="0" applyFont="1" applyFill="1" applyBorder="1" applyAlignment="1" applyProtection="1">
      <alignment horizontal="center" vertical="center"/>
      <protection locked="0"/>
    </xf>
    <xf numFmtId="0" fontId="2" fillId="13" borderId="1" xfId="0" applyFont="1" applyFill="1" applyBorder="1" applyAlignment="1" applyProtection="1">
      <alignment vertical="center"/>
      <protection locked="0"/>
    </xf>
    <xf numFmtId="0" fontId="1" fillId="0" borderId="0" xfId="1" applyAlignment="1" applyProtection="1">
      <alignment vertical="center"/>
      <protection locked="0"/>
    </xf>
    <xf numFmtId="0" fontId="5" fillId="0" borderId="0" xfId="0" applyFont="1" applyBorder="1" applyAlignment="1" applyProtection="1">
      <alignment vertical="center"/>
    </xf>
    <xf numFmtId="0" fontId="9" fillId="3" borderId="0" xfId="0" applyFont="1" applyFill="1" applyAlignment="1" applyProtection="1">
      <alignment vertical="center"/>
    </xf>
    <xf numFmtId="0" fontId="10" fillId="3" borderId="0" xfId="0" applyFont="1" applyFill="1" applyAlignment="1" applyProtection="1">
      <alignment vertical="center"/>
    </xf>
    <xf numFmtId="0" fontId="15" fillId="3" borderId="0" xfId="0" applyFont="1" applyFill="1" applyAlignment="1" applyProtection="1">
      <alignment vertical="center"/>
    </xf>
    <xf numFmtId="0" fontId="9" fillId="0" borderId="0" xfId="0" applyFont="1" applyAlignment="1" applyProtection="1">
      <alignment vertical="center"/>
    </xf>
    <xf numFmtId="0" fontId="5" fillId="27" borderId="39" xfId="0" applyFont="1" applyFill="1" applyBorder="1" applyAlignment="1" applyProtection="1">
      <alignment vertical="center"/>
    </xf>
    <xf numFmtId="0" fontId="5" fillId="27" borderId="0" xfId="0" applyFont="1" applyFill="1" applyBorder="1" applyAlignment="1" applyProtection="1">
      <alignment vertical="center"/>
    </xf>
    <xf numFmtId="0" fontId="5" fillId="27" borderId="57" xfId="0" applyFont="1" applyFill="1" applyBorder="1" applyAlignment="1" applyProtection="1">
      <alignment vertical="center"/>
    </xf>
    <xf numFmtId="0" fontId="5" fillId="27" borderId="55" xfId="0" applyFont="1" applyFill="1" applyBorder="1" applyAlignment="1" applyProtection="1">
      <alignment vertical="center"/>
    </xf>
    <xf numFmtId="0" fontId="5" fillId="27" borderId="91" xfId="0" applyFont="1" applyFill="1" applyBorder="1" applyAlignment="1" applyProtection="1">
      <alignment vertical="center"/>
    </xf>
    <xf numFmtId="0" fontId="5" fillId="27" borderId="47" xfId="0" applyFont="1" applyFill="1" applyBorder="1" applyAlignment="1" applyProtection="1">
      <alignment vertical="center"/>
    </xf>
    <xf numFmtId="0" fontId="5" fillId="28" borderId="65" xfId="2" applyFont="1" applyFill="1" applyBorder="1" applyAlignment="1" applyProtection="1">
      <alignment vertical="center"/>
    </xf>
    <xf numFmtId="0" fontId="5" fillId="28" borderId="57" xfId="2" applyFont="1" applyFill="1" applyBorder="1" applyAlignment="1" applyProtection="1">
      <alignment vertical="center"/>
    </xf>
    <xf numFmtId="0" fontId="18" fillId="28" borderId="57" xfId="2" applyFont="1" applyFill="1" applyBorder="1" applyAlignment="1" applyProtection="1">
      <alignment vertical="center"/>
    </xf>
    <xf numFmtId="0" fontId="5" fillId="28" borderId="47" xfId="2" applyFont="1" applyFill="1" applyBorder="1" applyAlignment="1" applyProtection="1">
      <alignment vertical="center"/>
    </xf>
    <xf numFmtId="0" fontId="5" fillId="28" borderId="39" xfId="2" applyFont="1" applyFill="1" applyBorder="1" applyAlignment="1" applyProtection="1">
      <alignment vertical="center"/>
    </xf>
    <xf numFmtId="0" fontId="5" fillId="28" borderId="0" xfId="2" applyFont="1" applyFill="1" applyBorder="1" applyAlignment="1" applyProtection="1">
      <alignment vertical="center"/>
    </xf>
    <xf numFmtId="0" fontId="18" fillId="28" borderId="39" xfId="2" applyFont="1" applyFill="1" applyBorder="1" applyAlignment="1" applyProtection="1">
      <alignment vertical="center"/>
    </xf>
    <xf numFmtId="0" fontId="18" fillId="28" borderId="0" xfId="2" applyFont="1" applyFill="1" applyBorder="1" applyAlignment="1" applyProtection="1">
      <alignment vertical="center"/>
    </xf>
    <xf numFmtId="2" fontId="18" fillId="28" borderId="0" xfId="2" applyNumberFormat="1" applyFont="1" applyFill="1" applyBorder="1" applyAlignment="1" applyProtection="1">
      <alignment vertical="center"/>
    </xf>
    <xf numFmtId="0" fontId="18" fillId="28" borderId="55" xfId="2" applyFont="1" applyFill="1" applyBorder="1" applyAlignment="1" applyProtection="1">
      <alignment vertical="center"/>
    </xf>
    <xf numFmtId="0" fontId="18" fillId="28" borderId="91" xfId="2" applyFont="1" applyFill="1" applyBorder="1" applyAlignment="1" applyProtection="1">
      <alignment vertical="center"/>
    </xf>
    <xf numFmtId="2" fontId="18" fillId="28" borderId="91" xfId="2" applyNumberFormat="1" applyFont="1" applyFill="1" applyBorder="1" applyAlignment="1" applyProtection="1">
      <alignment vertical="center"/>
    </xf>
    <xf numFmtId="0" fontId="5" fillId="28" borderId="91" xfId="2" applyFont="1" applyFill="1" applyBorder="1" applyAlignment="1" applyProtection="1">
      <alignment vertical="center"/>
    </xf>
    <xf numFmtId="0" fontId="11" fillId="28" borderId="0" xfId="2" applyFont="1" applyFill="1" applyBorder="1" applyAlignment="1" applyProtection="1">
      <alignment vertical="center"/>
    </xf>
    <xf numFmtId="0" fontId="5" fillId="28" borderId="63" xfId="2" applyFont="1" applyFill="1" applyBorder="1" applyAlignment="1" applyProtection="1">
      <alignment vertical="center"/>
    </xf>
    <xf numFmtId="0" fontId="8" fillId="28" borderId="63" xfId="2" applyFont="1" applyFill="1" applyBorder="1" applyAlignment="1" applyProtection="1">
      <alignment vertical="center"/>
    </xf>
    <xf numFmtId="0" fontId="8" fillId="28" borderId="48" xfId="2" applyFont="1" applyFill="1" applyBorder="1" applyAlignment="1" applyProtection="1">
      <alignment horizontal="left" vertical="center" wrapText="1"/>
    </xf>
    <xf numFmtId="0" fontId="8" fillId="28" borderId="0" xfId="2" applyFont="1" applyFill="1" applyBorder="1" applyAlignment="1" applyProtection="1">
      <alignment horizontal="left" vertical="center" wrapText="1"/>
    </xf>
    <xf numFmtId="0" fontId="5" fillId="28" borderId="48" xfId="2" applyFont="1" applyFill="1" applyBorder="1" applyAlignment="1" applyProtection="1">
      <alignment vertical="center"/>
    </xf>
    <xf numFmtId="0" fontId="4" fillId="28" borderId="49" xfId="2" applyFont="1" applyFill="1" applyBorder="1" applyAlignment="1" applyProtection="1">
      <alignment horizontal="center" vertical="center"/>
      <protection locked="0"/>
    </xf>
    <xf numFmtId="0" fontId="6" fillId="28" borderId="0" xfId="2" applyFont="1" applyFill="1" applyBorder="1" applyAlignment="1" applyProtection="1">
      <alignment vertical="center"/>
    </xf>
    <xf numFmtId="0" fontId="50" fillId="28" borderId="0" xfId="2" applyFont="1" applyFill="1" applyBorder="1" applyAlignment="1" applyProtection="1">
      <alignment vertical="center"/>
    </xf>
    <xf numFmtId="0" fontId="5" fillId="28" borderId="0" xfId="2" applyFont="1" applyFill="1" applyBorder="1" applyAlignment="1" applyProtection="1">
      <alignment horizontal="left" vertical="center"/>
    </xf>
    <xf numFmtId="0" fontId="40" fillId="0" borderId="0" xfId="2" applyFont="1" applyAlignment="1" applyProtection="1">
      <alignment vertical="center"/>
    </xf>
    <xf numFmtId="0" fontId="38" fillId="3" borderId="0" xfId="2" applyFont="1" applyFill="1" applyAlignment="1" applyProtection="1">
      <alignment vertical="center"/>
    </xf>
    <xf numFmtId="0" fontId="38" fillId="3" borderId="0" xfId="2" applyFont="1" applyFill="1" applyAlignment="1" applyProtection="1">
      <alignment horizontal="center" vertical="center"/>
    </xf>
    <xf numFmtId="0" fontId="38" fillId="3" borderId="0" xfId="2" applyFont="1" applyFill="1" applyBorder="1" applyAlignment="1" applyProtection="1">
      <alignment vertical="center"/>
    </xf>
    <xf numFmtId="0" fontId="38" fillId="15" borderId="0" xfId="2" applyFont="1" applyFill="1" applyBorder="1" applyAlignment="1" applyProtection="1">
      <alignment vertical="center"/>
    </xf>
    <xf numFmtId="2" fontId="38" fillId="15" borderId="0" xfId="2" applyNumberFormat="1" applyFont="1" applyFill="1" applyBorder="1" applyAlignment="1" applyProtection="1">
      <alignment vertical="center"/>
    </xf>
    <xf numFmtId="0" fontId="38" fillId="15" borderId="0" xfId="2" applyFont="1" applyFill="1" applyAlignment="1" applyProtection="1">
      <alignment vertical="center"/>
    </xf>
    <xf numFmtId="0" fontId="6" fillId="3" borderId="0" xfId="0" applyFont="1" applyFill="1" applyBorder="1" applyProtection="1"/>
    <xf numFmtId="0" fontId="5" fillId="0" borderId="0" xfId="0" applyFont="1" applyFill="1" applyProtection="1"/>
    <xf numFmtId="0" fontId="6" fillId="8" borderId="1" xfId="0" applyFont="1" applyFill="1" applyBorder="1" applyAlignment="1" applyProtection="1">
      <alignment horizontal="center" vertical="center"/>
    </xf>
    <xf numFmtId="0" fontId="5" fillId="0" borderId="46" xfId="0" applyFont="1" applyBorder="1" applyAlignment="1" applyProtection="1">
      <alignment horizontal="center" vertical="center" wrapText="1"/>
    </xf>
    <xf numFmtId="0" fontId="5" fillId="29" borderId="6" xfId="0" applyFont="1" applyFill="1" applyBorder="1" applyAlignment="1" applyProtection="1">
      <alignment horizontal="center" vertical="center"/>
    </xf>
    <xf numFmtId="0" fontId="5" fillId="29" borderId="18" xfId="0" applyFont="1" applyFill="1" applyBorder="1" applyAlignment="1" applyProtection="1">
      <alignment horizontal="center" vertical="center"/>
    </xf>
    <xf numFmtId="0" fontId="5" fillId="30" borderId="18" xfId="0" applyFont="1" applyFill="1" applyBorder="1" applyAlignment="1" applyProtection="1">
      <alignment horizontal="center" vertical="center"/>
    </xf>
    <xf numFmtId="0" fontId="5" fillId="30" borderId="116"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0" fontId="5" fillId="31" borderId="18" xfId="0" applyFont="1" applyFill="1" applyBorder="1" applyAlignment="1" applyProtection="1">
      <alignment horizontal="center" vertical="center"/>
    </xf>
    <xf numFmtId="0" fontId="5" fillId="31" borderId="116" xfId="0" applyFont="1" applyFill="1" applyBorder="1" applyAlignment="1" applyProtection="1">
      <alignment horizontal="center" vertical="center"/>
    </xf>
    <xf numFmtId="0" fontId="5" fillId="29" borderId="12"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5" fillId="29" borderId="49" xfId="0" applyFont="1" applyFill="1" applyBorder="1" applyAlignment="1" applyProtection="1">
      <alignment horizontal="center" vertical="center"/>
    </xf>
    <xf numFmtId="0" fontId="5" fillId="29" borderId="48" xfId="0" applyFont="1" applyFill="1" applyBorder="1" applyAlignment="1" applyProtection="1">
      <alignment horizontal="center" vertical="center"/>
    </xf>
    <xf numFmtId="0" fontId="5" fillId="0" borderId="48" xfId="0" applyFont="1" applyFill="1" applyBorder="1" applyAlignment="1" applyProtection="1">
      <alignment horizontal="center" vertical="center"/>
    </xf>
    <xf numFmtId="0" fontId="5" fillId="31" borderId="48" xfId="0" applyFont="1" applyFill="1" applyBorder="1" applyAlignment="1" applyProtection="1">
      <alignment horizontal="center" vertical="center"/>
    </xf>
    <xf numFmtId="0" fontId="5" fillId="29" borderId="50" xfId="0" applyFont="1" applyFill="1" applyBorder="1" applyAlignment="1" applyProtection="1">
      <alignment horizontal="center" vertical="center"/>
    </xf>
    <xf numFmtId="0" fontId="5" fillId="30" borderId="6" xfId="0" applyFont="1" applyFill="1" applyBorder="1" applyAlignment="1" applyProtection="1">
      <alignment horizontal="center" vertical="center"/>
    </xf>
    <xf numFmtId="0" fontId="54" fillId="29" borderId="12" xfId="0" applyFont="1" applyFill="1" applyBorder="1" applyAlignment="1" applyProtection="1">
      <alignment horizontal="center" vertical="center"/>
    </xf>
    <xf numFmtId="0" fontId="5" fillId="0" borderId="44" xfId="0" applyFont="1" applyFill="1" applyBorder="1" applyAlignment="1" applyProtection="1">
      <alignment horizontal="center" vertical="center"/>
    </xf>
    <xf numFmtId="0" fontId="5" fillId="31" borderId="0" xfId="0" applyFont="1" applyFill="1" applyBorder="1" applyAlignment="1" applyProtection="1">
      <alignment horizontal="center" vertical="center"/>
    </xf>
    <xf numFmtId="0" fontId="5" fillId="29" borderId="0" xfId="0" applyFont="1" applyFill="1" applyBorder="1" applyAlignment="1" applyProtection="1">
      <alignment horizontal="center" vertical="center"/>
    </xf>
    <xf numFmtId="0" fontId="5" fillId="30" borderId="0"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5" fillId="0" borderId="1" xfId="0" applyFont="1" applyBorder="1" applyAlignment="1" applyProtection="1">
      <alignment horizontal="center" vertical="center" wrapText="1"/>
    </xf>
    <xf numFmtId="0" fontId="5" fillId="31" borderId="118" xfId="0" applyFont="1" applyFill="1" applyBorder="1" applyAlignment="1" applyProtection="1">
      <alignment horizontal="center" vertical="center"/>
    </xf>
    <xf numFmtId="0" fontId="5" fillId="0" borderId="49" xfId="0" applyFont="1" applyFill="1" applyBorder="1" applyAlignment="1" applyProtection="1">
      <alignment horizontal="center" vertical="center"/>
    </xf>
    <xf numFmtId="0" fontId="5" fillId="0" borderId="50" xfId="0" applyFont="1" applyFill="1" applyBorder="1" applyAlignment="1" applyProtection="1">
      <alignment horizontal="center" vertical="center"/>
    </xf>
    <xf numFmtId="0" fontId="5" fillId="30" borderId="6" xfId="0" applyFont="1" applyFill="1" applyBorder="1" applyProtection="1"/>
    <xf numFmtId="0" fontId="5" fillId="30" borderId="18" xfId="0" applyFont="1" applyFill="1" applyBorder="1" applyProtection="1"/>
    <xf numFmtId="0" fontId="5" fillId="30" borderId="12" xfId="0" applyFont="1" applyFill="1" applyBorder="1" applyProtection="1"/>
    <xf numFmtId="0" fontId="5" fillId="0" borderId="18" xfId="0" applyFont="1" applyBorder="1" applyProtection="1"/>
    <xf numFmtId="0" fontId="6" fillId="8" borderId="46" xfId="0" applyFont="1" applyFill="1" applyBorder="1" applyAlignment="1" applyProtection="1">
      <alignment horizontal="center" vertical="center" wrapText="1"/>
    </xf>
    <xf numFmtId="0" fontId="5" fillId="31" borderId="46" xfId="0" applyFont="1" applyFill="1" applyBorder="1" applyAlignment="1" applyProtection="1">
      <alignment horizontal="center" vertical="center"/>
    </xf>
    <xf numFmtId="0" fontId="5" fillId="0" borderId="46" xfId="0" applyFont="1" applyFill="1" applyBorder="1" applyAlignment="1" applyProtection="1">
      <alignment horizontal="center" vertical="center"/>
    </xf>
    <xf numFmtId="0" fontId="5" fillId="31" borderId="119" xfId="0" applyFont="1" applyFill="1" applyBorder="1" applyAlignment="1" applyProtection="1">
      <alignment horizontal="center" vertical="center"/>
    </xf>
    <xf numFmtId="0" fontId="5" fillId="0" borderId="12" xfId="0" applyFont="1" applyBorder="1" applyAlignment="1" applyProtection="1">
      <alignment horizontal="center" vertical="center" wrapText="1"/>
    </xf>
    <xf numFmtId="0" fontId="18" fillId="30" borderId="1" xfId="0" applyFont="1" applyFill="1" applyBorder="1" applyProtection="1"/>
    <xf numFmtId="0" fontId="5" fillId="3" borderId="1" xfId="0" applyFont="1" applyFill="1" applyBorder="1" applyAlignment="1" applyProtection="1">
      <alignment horizontal="center"/>
    </xf>
    <xf numFmtId="0" fontId="5" fillId="31" borderId="1" xfId="0" applyFont="1" applyFill="1" applyBorder="1" applyAlignment="1" applyProtection="1">
      <alignment horizontal="center" vertical="center"/>
    </xf>
    <xf numFmtId="0" fontId="5" fillId="29" borderId="1" xfId="0" applyFont="1" applyFill="1" applyBorder="1" applyAlignment="1" applyProtection="1">
      <alignment horizontal="center" vertical="center"/>
    </xf>
    <xf numFmtId="0" fontId="6" fillId="8" borderId="2" xfId="0" applyFont="1" applyFill="1" applyBorder="1" applyAlignment="1" applyProtection="1">
      <alignment horizontal="center" wrapText="1"/>
    </xf>
    <xf numFmtId="0" fontId="9" fillId="32" borderId="6" xfId="0" applyFont="1" applyFill="1" applyBorder="1" applyAlignment="1" applyProtection="1">
      <alignment horizontal="center" wrapText="1"/>
    </xf>
    <xf numFmtId="0" fontId="9" fillId="32" borderId="18" xfId="0" applyFont="1" applyFill="1" applyBorder="1" applyAlignment="1" applyProtection="1">
      <alignment horizontal="center" wrapText="1"/>
    </xf>
    <xf numFmtId="0" fontId="5" fillId="32" borderId="18" xfId="0" applyFont="1" applyFill="1" applyBorder="1" applyProtection="1"/>
    <xf numFmtId="0" fontId="5" fillId="32" borderId="12" xfId="0" applyFont="1" applyFill="1" applyBorder="1" applyProtection="1"/>
    <xf numFmtId="0" fontId="9" fillId="0" borderId="44" xfId="0" applyFont="1" applyFill="1" applyBorder="1" applyAlignment="1" applyProtection="1">
      <alignment horizontal="center" wrapText="1"/>
    </xf>
    <xf numFmtId="0" fontId="9" fillId="3" borderId="0" xfId="0" applyFont="1" applyFill="1" applyBorder="1" applyAlignment="1" applyProtection="1">
      <alignment horizontal="center" wrapText="1"/>
    </xf>
    <xf numFmtId="0" fontId="5" fillId="3" borderId="52" xfId="0" applyFont="1" applyFill="1" applyBorder="1" applyProtection="1"/>
    <xf numFmtId="0" fontId="17" fillId="3" borderId="0" xfId="0" applyFont="1" applyFill="1" applyAlignment="1" applyProtection="1">
      <alignment horizontal="center"/>
    </xf>
    <xf numFmtId="0" fontId="9" fillId="3" borderId="1" xfId="0" applyFont="1" applyFill="1" applyBorder="1" applyAlignment="1" applyProtection="1">
      <alignment horizontal="center" wrapText="1"/>
    </xf>
    <xf numFmtId="2" fontId="9" fillId="3" borderId="1" xfId="0" applyNumberFormat="1" applyFont="1" applyFill="1" applyBorder="1" applyAlignment="1" applyProtection="1">
      <alignment horizontal="center" wrapText="1"/>
    </xf>
    <xf numFmtId="0" fontId="4" fillId="5" borderId="1" xfId="0" applyFont="1" applyFill="1" applyBorder="1" applyAlignment="1" applyProtection="1">
      <alignment horizontal="center" wrapText="1"/>
    </xf>
    <xf numFmtId="0" fontId="5" fillId="3" borderId="6" xfId="0" applyFont="1" applyFill="1" applyBorder="1" applyAlignment="1" applyProtection="1">
      <alignment horizontal="right"/>
    </xf>
    <xf numFmtId="0" fontId="6" fillId="8" borderId="1" xfId="0" applyFont="1" applyFill="1" applyBorder="1" applyAlignment="1" applyProtection="1">
      <alignment horizontal="center" wrapText="1"/>
    </xf>
    <xf numFmtId="0" fontId="4" fillId="3" borderId="1" xfId="0" applyFont="1" applyFill="1" applyBorder="1" applyAlignment="1" applyProtection="1">
      <alignment horizontal="center" wrapText="1"/>
    </xf>
    <xf numFmtId="0" fontId="56" fillId="8" borderId="1" xfId="0" applyFont="1" applyFill="1" applyBorder="1" applyAlignment="1" applyProtection="1">
      <alignment horizontal="center" wrapText="1"/>
    </xf>
    <xf numFmtId="0" fontId="6" fillId="3" borderId="0" xfId="0" applyFont="1" applyFill="1" applyBorder="1" applyAlignment="1" applyProtection="1">
      <alignment horizontal="center"/>
    </xf>
    <xf numFmtId="0" fontId="18" fillId="3" borderId="0" xfId="0" applyFont="1" applyFill="1" applyBorder="1" applyProtection="1"/>
    <xf numFmtId="0" fontId="9" fillId="32" borderId="49" xfId="0" applyFont="1" applyFill="1" applyBorder="1" applyAlignment="1" applyProtection="1">
      <alignment horizontal="center" wrapText="1"/>
    </xf>
    <xf numFmtId="0" fontId="9" fillId="32" borderId="48" xfId="0" applyFont="1" applyFill="1" applyBorder="1" applyAlignment="1" applyProtection="1">
      <alignment horizontal="center" wrapText="1"/>
    </xf>
    <xf numFmtId="0" fontId="9" fillId="32" borderId="50" xfId="0" applyFont="1" applyFill="1" applyBorder="1" applyAlignment="1" applyProtection="1">
      <alignment horizontal="center" wrapText="1"/>
    </xf>
    <xf numFmtId="0" fontId="9" fillId="0" borderId="6" xfId="0" applyFont="1" applyFill="1" applyBorder="1" applyAlignment="1" applyProtection="1">
      <alignment horizontal="center" wrapText="1"/>
    </xf>
    <xf numFmtId="0" fontId="9" fillId="3" borderId="6" xfId="0" applyFont="1" applyFill="1" applyBorder="1" applyAlignment="1" applyProtection="1">
      <alignment horizontal="center" wrapText="1"/>
    </xf>
    <xf numFmtId="0" fontId="9" fillId="3" borderId="18" xfId="0" applyFont="1" applyFill="1" applyBorder="1" applyAlignment="1" applyProtection="1">
      <alignment horizontal="center" wrapText="1"/>
    </xf>
    <xf numFmtId="0" fontId="9" fillId="3" borderId="12" xfId="0" applyFont="1" applyFill="1" applyBorder="1" applyAlignment="1" applyProtection="1">
      <alignment horizontal="center" wrapText="1"/>
    </xf>
    <xf numFmtId="0" fontId="9" fillId="2" borderId="1" xfId="0" applyFont="1" applyFill="1" applyBorder="1" applyAlignment="1" applyProtection="1">
      <alignment horizontal="center" wrapText="1"/>
      <protection locked="0"/>
    </xf>
    <xf numFmtId="174" fontId="5" fillId="2" borderId="22" xfId="0" applyNumberFormat="1" applyFont="1" applyFill="1" applyBorder="1" applyAlignment="1" applyProtection="1">
      <alignment horizontal="center" wrapText="1"/>
      <protection locked="0"/>
    </xf>
    <xf numFmtId="0" fontId="5" fillId="2" borderId="22" xfId="0" applyNumberFormat="1" applyFont="1" applyFill="1" applyBorder="1" applyAlignment="1" applyProtection="1">
      <alignment horizontal="center"/>
      <protection locked="0"/>
    </xf>
    <xf numFmtId="174" fontId="5" fillId="0" borderId="22" xfId="0" applyNumberFormat="1" applyFont="1" applyFill="1" applyBorder="1" applyAlignment="1" applyProtection="1">
      <alignment horizontal="center"/>
    </xf>
    <xf numFmtId="174" fontId="5" fillId="3" borderId="0" xfId="0" applyNumberFormat="1" applyFont="1" applyFill="1" applyBorder="1" applyAlignment="1" applyProtection="1">
      <alignment horizontal="center"/>
    </xf>
    <xf numFmtId="0" fontId="18" fillId="3" borderId="0" xfId="0" applyNumberFormat="1" applyFont="1" applyFill="1" applyBorder="1" applyProtection="1"/>
    <xf numFmtId="0" fontId="5" fillId="3" borderId="0" xfId="0" applyFont="1" applyFill="1" applyAlignment="1" applyProtection="1">
      <alignment horizontal="right"/>
    </xf>
    <xf numFmtId="0" fontId="6" fillId="32" borderId="6" xfId="0" applyFont="1" applyFill="1" applyBorder="1" applyAlignment="1" applyProtection="1">
      <alignment horizontal="center" wrapText="1"/>
    </xf>
    <xf numFmtId="0" fontId="6" fillId="32" borderId="18" xfId="0" applyFont="1" applyFill="1" applyBorder="1" applyAlignment="1" applyProtection="1">
      <alignment horizontal="center" wrapText="1"/>
    </xf>
    <xf numFmtId="0" fontId="6" fillId="32" borderId="12" xfId="0" applyFont="1" applyFill="1" applyBorder="1" applyAlignment="1" applyProtection="1">
      <alignment horizontal="center" wrapText="1"/>
    </xf>
    <xf numFmtId="0" fontId="5" fillId="0" borderId="46" xfId="0" applyFont="1" applyBorder="1" applyProtection="1"/>
    <xf numFmtId="0" fontId="4" fillId="0" borderId="46" xfId="0" applyFont="1" applyBorder="1" applyAlignment="1" applyProtection="1">
      <alignment horizontal="center" vertical="center" textRotation="255"/>
    </xf>
    <xf numFmtId="0" fontId="5" fillId="0" borderId="46" xfId="0" quotePrefix="1" applyFont="1" applyBorder="1" applyProtection="1"/>
    <xf numFmtId="0" fontId="5" fillId="0" borderId="1" xfId="0" quotePrefix="1"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2" borderId="1" xfId="0" applyNumberFormat="1" applyFont="1" applyFill="1" applyBorder="1" applyAlignment="1" applyProtection="1">
      <alignment horizontal="center"/>
      <protection locked="0"/>
    </xf>
    <xf numFmtId="0" fontId="5" fillId="2" borderId="1" xfId="0" applyNumberFormat="1" applyFont="1" applyFill="1" applyBorder="1" applyProtection="1">
      <protection locked="0"/>
    </xf>
    <xf numFmtId="0" fontId="25" fillId="3" borderId="0" xfId="0" applyFont="1" applyFill="1" applyProtection="1"/>
    <xf numFmtId="0" fontId="6" fillId="3" borderId="0" xfId="0" applyFont="1" applyFill="1" applyBorder="1" applyAlignment="1" applyProtection="1">
      <alignment horizontal="left" wrapText="1"/>
    </xf>
    <xf numFmtId="0" fontId="6" fillId="3" borderId="0" xfId="0" applyFont="1" applyFill="1" applyBorder="1" applyAlignment="1" applyProtection="1">
      <alignment horizontal="left" vertical="center" wrapText="1"/>
    </xf>
    <xf numFmtId="0" fontId="5" fillId="2" borderId="1" xfId="0" applyFont="1" applyFill="1" applyBorder="1" applyAlignment="1" applyProtection="1">
      <alignment horizontal="right"/>
      <protection locked="0"/>
    </xf>
    <xf numFmtId="0" fontId="5" fillId="5" borderId="1"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5" fillId="3" borderId="0" xfId="0" applyFont="1" applyFill="1" applyAlignment="1" applyProtection="1">
      <alignment horizontal="center" vertical="center"/>
    </xf>
    <xf numFmtId="0" fontId="5" fillId="0" borderId="0" xfId="0" applyFont="1" applyAlignment="1" applyProtection="1">
      <alignment horizontal="center" vertical="center"/>
    </xf>
    <xf numFmtId="0" fontId="18" fillId="3" borderId="0" xfId="0" applyFont="1" applyFill="1" applyAlignment="1" applyProtection="1">
      <alignment horizontal="center" vertical="center"/>
    </xf>
    <xf numFmtId="0" fontId="5" fillId="3" borderId="27" xfId="0" applyFont="1" applyFill="1" applyBorder="1" applyAlignment="1" applyProtection="1">
      <alignment vertical="center"/>
    </xf>
    <xf numFmtId="0" fontId="5" fillId="3" borderId="107" xfId="0" applyFont="1" applyFill="1" applyBorder="1" applyAlignment="1" applyProtection="1">
      <alignment vertical="center"/>
    </xf>
    <xf numFmtId="0" fontId="5" fillId="7" borderId="77" xfId="0" applyFont="1" applyFill="1" applyBorder="1" applyAlignment="1" applyProtection="1">
      <alignment vertical="center"/>
    </xf>
    <xf numFmtId="0" fontId="5" fillId="3" borderId="30" xfId="0" applyFont="1" applyFill="1" applyBorder="1" applyAlignment="1" applyProtection="1">
      <alignment vertical="center"/>
    </xf>
    <xf numFmtId="0" fontId="5" fillId="3" borderId="43" xfId="0" applyFont="1" applyFill="1" applyBorder="1" applyAlignment="1" applyProtection="1">
      <alignment vertical="center"/>
    </xf>
    <xf numFmtId="0" fontId="5" fillId="3" borderId="77" xfId="0" applyFont="1" applyFill="1" applyBorder="1" applyAlignment="1" applyProtection="1">
      <alignment vertical="center"/>
    </xf>
    <xf numFmtId="0" fontId="5" fillId="7" borderId="30" xfId="0" applyFont="1" applyFill="1" applyBorder="1" applyAlignment="1" applyProtection="1">
      <alignment vertical="center"/>
    </xf>
    <xf numFmtId="0" fontId="6" fillId="3" borderId="0" xfId="0" applyFont="1" applyFill="1" applyAlignment="1" applyProtection="1">
      <alignment horizontal="left" vertical="center"/>
    </xf>
    <xf numFmtId="0" fontId="5" fillId="33" borderId="29" xfId="0" applyFont="1" applyFill="1" applyBorder="1" applyAlignment="1" applyProtection="1">
      <alignment vertical="center"/>
    </xf>
    <xf numFmtId="0" fontId="5" fillId="33" borderId="30" xfId="0" applyFont="1" applyFill="1" applyBorder="1" applyAlignment="1" applyProtection="1">
      <alignment vertical="center"/>
    </xf>
    <xf numFmtId="0" fontId="14" fillId="3" borderId="0" xfId="0" applyFont="1" applyFill="1" applyBorder="1" applyAlignment="1" applyProtection="1">
      <alignment horizontal="center"/>
    </xf>
    <xf numFmtId="0" fontId="5" fillId="3" borderId="41" xfId="0" applyFont="1" applyFill="1" applyBorder="1" applyAlignment="1" applyProtection="1">
      <alignment vertical="center"/>
    </xf>
    <xf numFmtId="0" fontId="5" fillId="3" borderId="120" xfId="0" applyFont="1" applyFill="1" applyBorder="1" applyAlignment="1" applyProtection="1">
      <alignment vertical="center"/>
    </xf>
    <xf numFmtId="0" fontId="5" fillId="0" borderId="42" xfId="0" applyFont="1" applyFill="1" applyBorder="1" applyAlignment="1" applyProtection="1">
      <alignment vertical="center"/>
    </xf>
    <xf numFmtId="0" fontId="5" fillId="3" borderId="25" xfId="0" applyFont="1" applyFill="1" applyBorder="1" applyAlignment="1" applyProtection="1">
      <alignment vertical="center"/>
    </xf>
    <xf numFmtId="0" fontId="5" fillId="3" borderId="26" xfId="0" applyFont="1" applyFill="1" applyBorder="1" applyAlignment="1" applyProtection="1">
      <alignment vertical="center"/>
    </xf>
    <xf numFmtId="0" fontId="6" fillId="3" borderId="0" xfId="0" applyFont="1" applyFill="1" applyAlignment="1" applyProtection="1">
      <alignment horizontal="left"/>
    </xf>
    <xf numFmtId="0" fontId="38" fillId="3" borderId="0" xfId="0" applyFont="1" applyFill="1" applyProtection="1"/>
    <xf numFmtId="0" fontId="5" fillId="5" borderId="29" xfId="0" applyFont="1" applyFill="1" applyBorder="1" applyAlignment="1" applyProtection="1">
      <alignment horizontal="left"/>
    </xf>
    <xf numFmtId="0" fontId="5" fillId="2" borderId="29" xfId="0" applyFont="1" applyFill="1" applyBorder="1" applyProtection="1">
      <protection locked="0"/>
    </xf>
    <xf numFmtId="0" fontId="5" fillId="20" borderId="39" xfId="0" applyFont="1" applyFill="1" applyBorder="1" applyProtection="1"/>
    <xf numFmtId="0" fontId="5" fillId="20" borderId="0" xfId="0" applyFont="1" applyFill="1" applyBorder="1" applyProtection="1">
      <protection locked="0"/>
    </xf>
    <xf numFmtId="0" fontId="5" fillId="20" borderId="0" xfId="0" applyFont="1" applyFill="1" applyBorder="1" applyProtection="1"/>
    <xf numFmtId="0" fontId="38" fillId="20" borderId="0" xfId="0" applyFont="1" applyFill="1" applyBorder="1" applyProtection="1"/>
    <xf numFmtId="0" fontId="5" fillId="20" borderId="0" xfId="0" applyFont="1" applyFill="1" applyBorder="1" applyAlignment="1" applyProtection="1">
      <alignment horizontal="left"/>
    </xf>
    <xf numFmtId="0" fontId="5" fillId="20" borderId="0" xfId="0" applyFont="1" applyFill="1" applyBorder="1" applyAlignment="1" applyProtection="1">
      <alignment horizontal="left"/>
      <protection locked="0"/>
    </xf>
    <xf numFmtId="0" fontId="6" fillId="20" borderId="0" xfId="0" applyFont="1" applyFill="1" applyBorder="1" applyAlignment="1" applyProtection="1">
      <alignment horizontal="left"/>
    </xf>
    <xf numFmtId="0" fontId="6" fillId="20" borderId="0" xfId="0" applyFont="1" applyFill="1" applyBorder="1" applyProtection="1"/>
    <xf numFmtId="0" fontId="6" fillId="20" borderId="57" xfId="0" applyFont="1" applyFill="1" applyBorder="1" applyProtection="1"/>
    <xf numFmtId="0" fontId="5" fillId="20" borderId="55" xfId="0" applyFont="1" applyFill="1" applyBorder="1" applyProtection="1"/>
    <xf numFmtId="0" fontId="5" fillId="20" borderId="91" xfId="0" applyFont="1" applyFill="1" applyBorder="1" applyProtection="1"/>
    <xf numFmtId="0" fontId="5" fillId="20" borderId="91" xfId="0" applyFont="1" applyFill="1" applyBorder="1" applyAlignment="1" applyProtection="1">
      <alignment horizontal="right"/>
    </xf>
    <xf numFmtId="0" fontId="6" fillId="20" borderId="91" xfId="0" applyFont="1" applyFill="1" applyBorder="1" applyProtection="1"/>
    <xf numFmtId="0" fontId="6" fillId="20" borderId="47" xfId="0" applyFont="1" applyFill="1" applyBorder="1" applyProtection="1"/>
    <xf numFmtId="0" fontId="5" fillId="20" borderId="57" xfId="0" applyFont="1" applyFill="1" applyBorder="1" applyProtection="1"/>
    <xf numFmtId="0" fontId="18" fillId="20" borderId="0" xfId="0" applyFont="1" applyFill="1" applyBorder="1" applyProtection="1"/>
    <xf numFmtId="0" fontId="5" fillId="20" borderId="0" xfId="0" applyFont="1" applyFill="1" applyProtection="1"/>
    <xf numFmtId="0" fontId="6" fillId="20" borderId="0" xfId="0" applyFont="1" applyFill="1" applyBorder="1" applyAlignment="1" applyProtection="1">
      <alignment horizontal="center" wrapText="1"/>
    </xf>
    <xf numFmtId="174" fontId="6" fillId="20" borderId="57" xfId="0" applyNumberFormat="1" applyFont="1" applyFill="1" applyBorder="1" applyAlignment="1" applyProtection="1">
      <alignment horizontal="center"/>
    </xf>
    <xf numFmtId="0" fontId="5" fillId="20" borderId="63" xfId="0" applyFont="1" applyFill="1" applyBorder="1" applyProtection="1"/>
    <xf numFmtId="0" fontId="18" fillId="20" borderId="0" xfId="0" applyFont="1" applyFill="1" applyBorder="1" applyAlignment="1" applyProtection="1">
      <alignment horizontal="center" vertical="center" wrapText="1"/>
    </xf>
    <xf numFmtId="0" fontId="5" fillId="20" borderId="65" xfId="0" applyFont="1" applyFill="1" applyBorder="1" applyProtection="1"/>
    <xf numFmtId="2" fontId="9" fillId="20" borderId="0" xfId="0" quotePrefix="1" applyNumberFormat="1" applyFont="1" applyFill="1" applyBorder="1" applyAlignment="1" applyProtection="1">
      <alignment horizontal="center" wrapText="1"/>
    </xf>
    <xf numFmtId="2" fontId="9" fillId="20" borderId="0" xfId="0" applyNumberFormat="1" applyFont="1" applyFill="1" applyBorder="1" applyAlignment="1" applyProtection="1">
      <alignment horizontal="center" wrapText="1"/>
    </xf>
    <xf numFmtId="0" fontId="9" fillId="20" borderId="0" xfId="0" applyFont="1" applyFill="1" applyBorder="1" applyAlignment="1" applyProtection="1">
      <alignment horizontal="center" wrapText="1"/>
    </xf>
    <xf numFmtId="0" fontId="46" fillId="20" borderId="0" xfId="0" applyFont="1" applyFill="1" applyBorder="1" applyAlignment="1" applyProtection="1">
      <alignment horizontal="left"/>
    </xf>
    <xf numFmtId="0" fontId="4" fillId="20" borderId="0" xfId="0" applyFont="1" applyFill="1" applyBorder="1" applyAlignment="1" applyProtection="1">
      <alignment horizontal="left"/>
    </xf>
    <xf numFmtId="0" fontId="13" fillId="20" borderId="0" xfId="1" applyFont="1" applyFill="1" applyBorder="1" applyAlignment="1" applyProtection="1">
      <alignment horizontal="center"/>
    </xf>
    <xf numFmtId="0" fontId="5" fillId="20" borderId="0" xfId="0" applyFont="1" applyFill="1" applyBorder="1" applyAlignment="1" applyProtection="1"/>
    <xf numFmtId="0" fontId="5" fillId="20" borderId="36" xfId="0" applyFont="1" applyFill="1" applyBorder="1" applyAlignment="1" applyProtection="1">
      <alignment horizontal="center" vertical="center"/>
    </xf>
    <xf numFmtId="0" fontId="11" fillId="20" borderId="63" xfId="0" applyFont="1" applyFill="1" applyBorder="1" applyAlignment="1" applyProtection="1"/>
    <xf numFmtId="0" fontId="8" fillId="20" borderId="63" xfId="0" applyFont="1" applyFill="1" applyBorder="1" applyAlignment="1" applyProtection="1"/>
    <xf numFmtId="0" fontId="38" fillId="3" borderId="0" xfId="0" applyFont="1" applyFill="1" applyBorder="1" applyAlignment="1" applyProtection="1">
      <alignment horizontal="left"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left" vertical="center"/>
    </xf>
    <xf numFmtId="0" fontId="38" fillId="3" borderId="0" xfId="0" applyFont="1" applyFill="1" applyAlignment="1" applyProtection="1">
      <alignment horizontal="left" vertical="center"/>
    </xf>
    <xf numFmtId="0" fontId="40" fillId="15" borderId="0" xfId="2" applyFont="1" applyFill="1" applyBorder="1" applyAlignment="1" applyProtection="1">
      <alignment vertical="center"/>
    </xf>
    <xf numFmtId="2" fontId="40" fillId="15" borderId="0" xfId="2" applyNumberFormat="1" applyFont="1" applyFill="1" applyBorder="1" applyAlignment="1" applyProtection="1">
      <alignment vertical="center"/>
    </xf>
    <xf numFmtId="0" fontId="40" fillId="15" borderId="0" xfId="2" applyFont="1" applyFill="1" applyAlignment="1" applyProtection="1">
      <alignment vertical="center"/>
    </xf>
    <xf numFmtId="2" fontId="40" fillId="3" borderId="0" xfId="2" applyNumberFormat="1" applyFont="1" applyFill="1" applyBorder="1" applyAlignment="1" applyProtection="1">
      <alignment vertical="center"/>
    </xf>
    <xf numFmtId="0" fontId="40" fillId="3" borderId="0" xfId="2" applyFont="1" applyFill="1" applyAlignment="1" applyProtection="1">
      <alignment horizontal="right" vertical="center"/>
    </xf>
    <xf numFmtId="2" fontId="40" fillId="3" borderId="0" xfId="2" applyNumberFormat="1" applyFont="1" applyFill="1" applyAlignment="1" applyProtection="1">
      <alignment vertical="center"/>
    </xf>
    <xf numFmtId="2" fontId="40" fillId="3" borderId="0" xfId="2" applyNumberFormat="1" applyFont="1" applyFill="1" applyBorder="1" applyAlignment="1" applyProtection="1">
      <alignment horizontal="right" vertical="center"/>
    </xf>
    <xf numFmtId="16" fontId="40" fillId="3" borderId="0" xfId="2" applyNumberFormat="1" applyFont="1" applyFill="1" applyBorder="1" applyAlignment="1" applyProtection="1">
      <alignment horizontal="right" vertical="center"/>
    </xf>
    <xf numFmtId="0" fontId="40" fillId="3" borderId="0" xfId="2" applyFont="1" applyFill="1" applyBorder="1" applyAlignment="1" applyProtection="1">
      <alignment horizontal="center" vertical="center"/>
    </xf>
    <xf numFmtId="0" fontId="40" fillId="3" borderId="0" xfId="2" applyFont="1" applyFill="1" applyAlignment="1" applyProtection="1">
      <alignment horizontal="center" vertical="center"/>
    </xf>
    <xf numFmtId="0" fontId="40" fillId="15" borderId="0" xfId="2" applyFont="1" applyFill="1" applyAlignment="1" applyProtection="1">
      <alignment horizontal="center" vertical="center"/>
    </xf>
    <xf numFmtId="0" fontId="40" fillId="3" borderId="0" xfId="2" applyFont="1" applyFill="1" applyBorder="1" applyAlignment="1" applyProtection="1">
      <alignment vertical="center"/>
    </xf>
    <xf numFmtId="0" fontId="6" fillId="0" borderId="0" xfId="0" applyFont="1" applyFill="1" applyBorder="1" applyProtection="1"/>
    <xf numFmtId="0" fontId="38" fillId="3" borderId="0" xfId="0" applyFont="1" applyFill="1" applyBorder="1" applyAlignment="1" applyProtection="1">
      <alignment horizontal="center" wrapText="1"/>
    </xf>
    <xf numFmtId="0" fontId="38" fillId="3" borderId="0" xfId="0" applyFont="1" applyFill="1" applyBorder="1" applyAlignment="1" applyProtection="1">
      <alignment horizontal="center"/>
    </xf>
    <xf numFmtId="2" fontId="38" fillId="3" borderId="0" xfId="0" applyNumberFormat="1" applyFont="1" applyFill="1" applyBorder="1" applyAlignment="1" applyProtection="1">
      <alignment vertical="center"/>
    </xf>
    <xf numFmtId="0" fontId="58" fillId="3" borderId="0" xfId="0" applyNumberFormat="1" applyFont="1" applyFill="1" applyBorder="1" applyAlignment="1" applyProtection="1">
      <alignment horizontal="center" wrapText="1"/>
    </xf>
    <xf numFmtId="13" fontId="58" fillId="3" borderId="0" xfId="0" applyNumberFormat="1" applyFont="1" applyFill="1" applyBorder="1" applyAlignment="1" applyProtection="1">
      <alignment horizontal="center" wrapText="1"/>
    </xf>
    <xf numFmtId="0" fontId="38" fillId="3" borderId="0" xfId="0" applyFont="1" applyFill="1" applyBorder="1" applyAlignment="1" applyProtection="1">
      <alignment horizontal="center" vertical="center" wrapText="1"/>
    </xf>
    <xf numFmtId="13" fontId="38" fillId="3" borderId="0" xfId="0" applyNumberFormat="1" applyFont="1" applyFill="1" applyBorder="1" applyAlignment="1" applyProtection="1">
      <alignment horizontal="center"/>
    </xf>
    <xf numFmtId="13" fontId="38" fillId="3" borderId="0" xfId="0" applyNumberFormat="1" applyFont="1" applyFill="1" applyBorder="1" applyAlignment="1" applyProtection="1"/>
    <xf numFmtId="2" fontId="38" fillId="3" borderId="0" xfId="0" applyNumberFormat="1" applyFont="1" applyFill="1" applyBorder="1" applyAlignment="1" applyProtection="1">
      <alignment horizontal="right" vertical="center"/>
    </xf>
    <xf numFmtId="13" fontId="38" fillId="3" borderId="0" xfId="0" applyNumberFormat="1" applyFont="1" applyFill="1" applyBorder="1" applyAlignment="1" applyProtection="1">
      <alignment horizontal="center" vertical="center"/>
    </xf>
    <xf numFmtId="0" fontId="38" fillId="3" borderId="0" xfId="0" applyFont="1" applyFill="1" applyBorder="1" applyProtection="1"/>
    <xf numFmtId="0" fontId="5" fillId="21" borderId="39" xfId="0" applyFont="1" applyFill="1" applyBorder="1" applyProtection="1"/>
    <xf numFmtId="0" fontId="5" fillId="21" borderId="0" xfId="0" applyFont="1" applyFill="1" applyBorder="1" applyProtection="1"/>
    <xf numFmtId="0" fontId="11" fillId="21" borderId="0" xfId="0" applyFont="1" applyFill="1" applyBorder="1" applyAlignment="1" applyProtection="1"/>
    <xf numFmtId="0" fontId="11" fillId="21" borderId="63" xfId="0" applyFont="1" applyFill="1" applyBorder="1" applyAlignment="1" applyProtection="1"/>
    <xf numFmtId="0" fontId="5" fillId="21" borderId="63" xfId="0" applyFont="1" applyFill="1" applyBorder="1" applyProtection="1"/>
    <xf numFmtId="0" fontId="5" fillId="21" borderId="65" xfId="0" applyFont="1" applyFill="1" applyBorder="1" applyProtection="1"/>
    <xf numFmtId="0" fontId="5" fillId="21" borderId="57" xfId="0" applyFont="1" applyFill="1" applyBorder="1" applyProtection="1"/>
    <xf numFmtId="0" fontId="5" fillId="21" borderId="0" xfId="0" applyFont="1" applyFill="1" applyBorder="1" applyProtection="1">
      <protection locked="0"/>
    </xf>
    <xf numFmtId="0" fontId="8" fillId="21" borderId="0" xfId="0" applyFont="1" applyFill="1" applyBorder="1" applyProtection="1"/>
    <xf numFmtId="0" fontId="4" fillId="21" borderId="0" xfId="0" applyFont="1" applyFill="1" applyBorder="1" applyAlignment="1" applyProtection="1">
      <alignment horizontal="center" wrapText="1"/>
    </xf>
    <xf numFmtId="0" fontId="56" fillId="21" borderId="0" xfId="0" applyFont="1" applyFill="1" applyBorder="1" applyAlignment="1" applyProtection="1">
      <alignment horizontal="center" wrapText="1"/>
    </xf>
    <xf numFmtId="0" fontId="6" fillId="21" borderId="0" xfId="0" applyFont="1" applyFill="1" applyBorder="1" applyAlignment="1" applyProtection="1">
      <alignment horizontal="center"/>
    </xf>
    <xf numFmtId="0" fontId="9" fillId="21" borderId="0" xfId="0" applyFont="1" applyFill="1" applyBorder="1" applyAlignment="1" applyProtection="1">
      <alignment horizontal="center" wrapText="1"/>
    </xf>
    <xf numFmtId="0" fontId="5" fillId="21" borderId="0" xfId="0" applyFont="1" applyFill="1" applyBorder="1" applyAlignment="1" applyProtection="1"/>
    <xf numFmtId="0" fontId="5" fillId="21" borderId="0" xfId="0" applyFont="1" applyFill="1" applyBorder="1" applyAlignment="1" applyProtection="1">
      <alignment horizontal="left"/>
    </xf>
    <xf numFmtId="0" fontId="5" fillId="21" borderId="91" xfId="0" applyFont="1" applyFill="1" applyBorder="1" applyProtection="1"/>
    <xf numFmtId="0" fontId="5" fillId="21" borderId="47" xfId="0" applyFont="1" applyFill="1" applyBorder="1" applyProtection="1"/>
    <xf numFmtId="0" fontId="5" fillId="21" borderId="55" xfId="0" applyFont="1" applyFill="1" applyBorder="1" applyProtection="1"/>
    <xf numFmtId="0" fontId="11" fillId="21" borderId="0" xfId="0" applyFont="1" applyFill="1" applyBorder="1" applyAlignment="1" applyProtection="1">
      <alignment wrapText="1"/>
    </xf>
    <xf numFmtId="0" fontId="4" fillId="21" borderId="0" xfId="0" applyFont="1" applyFill="1" applyBorder="1" applyAlignment="1" applyProtection="1">
      <alignment horizontal="center"/>
    </xf>
    <xf numFmtId="0" fontId="6" fillId="21" borderId="0" xfId="0" applyFont="1" applyFill="1" applyBorder="1" applyAlignment="1" applyProtection="1">
      <alignment horizontal="center" wrapText="1"/>
    </xf>
    <xf numFmtId="0" fontId="4" fillId="5" borderId="4" xfId="0" applyFont="1" applyFill="1" applyBorder="1" applyAlignment="1" applyProtection="1">
      <alignment horizontal="center" vertical="center"/>
    </xf>
    <xf numFmtId="0" fontId="11" fillId="6" borderId="61" xfId="0" applyFont="1" applyFill="1" applyBorder="1" applyAlignment="1" applyProtection="1"/>
    <xf numFmtId="0" fontId="11" fillId="6" borderId="90" xfId="0" applyFont="1" applyFill="1" applyBorder="1" applyAlignment="1" applyProtection="1"/>
    <xf numFmtId="0" fontId="5" fillId="34" borderId="0" xfId="0" applyFont="1" applyFill="1" applyBorder="1" applyAlignment="1" applyProtection="1">
      <alignment vertical="center"/>
    </xf>
    <xf numFmtId="0" fontId="5" fillId="34" borderId="0" xfId="0" applyFont="1" applyFill="1" applyBorder="1" applyAlignment="1" applyProtection="1">
      <alignment horizontal="center" vertical="center"/>
    </xf>
    <xf numFmtId="0" fontId="6" fillId="34" borderId="0" xfId="0" applyFont="1" applyFill="1" applyBorder="1" applyAlignment="1" applyProtection="1">
      <alignment horizontal="center" vertical="center"/>
    </xf>
    <xf numFmtId="0" fontId="6" fillId="34" borderId="57" xfId="0" applyFont="1" applyFill="1" applyBorder="1" applyAlignment="1" applyProtection="1">
      <alignment horizontal="center" vertical="center"/>
    </xf>
    <xf numFmtId="0" fontId="18" fillId="34" borderId="0" xfId="0" applyFont="1" applyFill="1" applyBorder="1" applyAlignment="1" applyProtection="1">
      <alignment horizontal="center" vertical="center"/>
    </xf>
    <xf numFmtId="0" fontId="38" fillId="34" borderId="0" xfId="0" applyFont="1" applyFill="1" applyBorder="1" applyAlignment="1" applyProtection="1">
      <alignment vertical="center"/>
    </xf>
    <xf numFmtId="0" fontId="5" fillId="34" borderId="0" xfId="0" applyFont="1" applyFill="1" applyBorder="1" applyAlignment="1" applyProtection="1">
      <alignment horizontal="left" vertical="center"/>
    </xf>
    <xf numFmtId="0" fontId="6" fillId="34" borderId="0" xfId="0" applyFont="1" applyFill="1" applyBorder="1" applyAlignment="1" applyProtection="1">
      <alignment vertical="center"/>
    </xf>
    <xf numFmtId="0" fontId="18" fillId="34" borderId="0" xfId="0" applyFont="1" applyFill="1" applyBorder="1" applyAlignment="1" applyProtection="1">
      <alignment vertical="center"/>
    </xf>
    <xf numFmtId="0" fontId="38" fillId="34" borderId="0" xfId="0" applyFont="1" applyFill="1" applyBorder="1" applyAlignment="1" applyProtection="1">
      <alignment horizontal="left" vertical="center"/>
    </xf>
    <xf numFmtId="0" fontId="18" fillId="34" borderId="57" xfId="0" applyFont="1" applyFill="1" applyBorder="1" applyAlignment="1" applyProtection="1">
      <alignment horizontal="center" vertical="center"/>
    </xf>
    <xf numFmtId="0" fontId="5" fillId="34" borderId="57" xfId="0" applyFont="1" applyFill="1" applyBorder="1" applyAlignment="1" applyProtection="1">
      <alignment horizontal="center" vertical="center"/>
    </xf>
    <xf numFmtId="0" fontId="18" fillId="34" borderId="0" xfId="0" applyFont="1" applyFill="1" applyBorder="1" applyProtection="1"/>
    <xf numFmtId="0" fontId="5" fillId="34" borderId="0" xfId="0" applyFont="1" applyFill="1" applyBorder="1" applyProtection="1"/>
    <xf numFmtId="0" fontId="5" fillId="34" borderId="57" xfId="0" applyFont="1" applyFill="1" applyBorder="1" applyProtection="1"/>
    <xf numFmtId="0" fontId="5" fillId="34" borderId="91" xfId="0" applyFont="1" applyFill="1" applyBorder="1" applyProtection="1"/>
    <xf numFmtId="0" fontId="5" fillId="34" borderId="47" xfId="0" applyFont="1" applyFill="1" applyBorder="1" applyProtection="1"/>
    <xf numFmtId="0" fontId="5" fillId="34" borderId="55" xfId="0" applyFont="1" applyFill="1" applyBorder="1" applyProtection="1"/>
    <xf numFmtId="0" fontId="5" fillId="34" borderId="39" xfId="0" applyFont="1" applyFill="1" applyBorder="1" applyProtection="1"/>
    <xf numFmtId="0" fontId="5" fillId="34" borderId="39" xfId="0" applyFont="1" applyFill="1" applyBorder="1" applyAlignment="1" applyProtection="1">
      <alignment horizontal="center" vertical="center"/>
    </xf>
    <xf numFmtId="0" fontId="4" fillId="34" borderId="39" xfId="0" applyFont="1" applyFill="1" applyBorder="1" applyAlignment="1" applyProtection="1">
      <alignment vertical="top"/>
    </xf>
    <xf numFmtId="0" fontId="5" fillId="34" borderId="39" xfId="0" applyFont="1" applyFill="1" applyBorder="1" applyAlignment="1" applyProtection="1">
      <alignment vertical="top"/>
    </xf>
    <xf numFmtId="1" fontId="5" fillId="34" borderId="39" xfId="0" applyNumberFormat="1" applyFont="1" applyFill="1" applyBorder="1" applyAlignment="1" applyProtection="1">
      <alignment horizontal="left" vertical="center"/>
    </xf>
    <xf numFmtId="0" fontId="4" fillId="34" borderId="39" xfId="0" applyFont="1" applyFill="1" applyBorder="1" applyAlignment="1" applyProtection="1">
      <alignment horizontal="center" vertical="center"/>
    </xf>
    <xf numFmtId="0" fontId="6" fillId="34" borderId="39" xfId="0" applyFont="1" applyFill="1" applyBorder="1" applyAlignment="1" applyProtection="1">
      <alignment horizontal="center" vertical="center"/>
    </xf>
    <xf numFmtId="0" fontId="4" fillId="34" borderId="0" xfId="0" applyFont="1" applyFill="1" applyBorder="1" applyAlignment="1" applyProtection="1">
      <alignment horizontal="center" vertical="center"/>
    </xf>
    <xf numFmtId="0" fontId="11" fillId="34" borderId="0" xfId="0" applyFont="1" applyFill="1" applyBorder="1" applyAlignment="1" applyProtection="1">
      <alignment horizontal="center" vertical="center"/>
    </xf>
    <xf numFmtId="0" fontId="8" fillId="34" borderId="0" xfId="0" applyFont="1" applyFill="1" applyBorder="1" applyAlignment="1" applyProtection="1">
      <alignment horizontal="right" vertical="center"/>
    </xf>
    <xf numFmtId="0" fontId="8" fillId="34" borderId="0" xfId="0" applyFont="1" applyFill="1" applyBorder="1" applyAlignment="1" applyProtection="1">
      <alignment vertical="center" wrapText="1"/>
    </xf>
    <xf numFmtId="0" fontId="8" fillId="34" borderId="0" xfId="0" applyFont="1" applyFill="1" applyBorder="1" applyAlignment="1" applyProtection="1">
      <alignment vertical="center"/>
    </xf>
    <xf numFmtId="0" fontId="5" fillId="34" borderId="0" xfId="0" applyFont="1" applyFill="1" applyBorder="1" applyAlignment="1" applyProtection="1">
      <alignment horizontal="right" vertical="center"/>
    </xf>
    <xf numFmtId="0" fontId="6" fillId="34" borderId="57" xfId="0" applyFont="1" applyFill="1" applyBorder="1" applyAlignment="1" applyProtection="1">
      <alignment vertical="center"/>
    </xf>
    <xf numFmtId="0" fontId="5" fillId="34" borderId="65" xfId="0" applyFont="1" applyFill="1" applyBorder="1" applyProtection="1"/>
    <xf numFmtId="0" fontId="6" fillId="34" borderId="57" xfId="0" applyFont="1" applyFill="1" applyBorder="1" applyProtection="1"/>
    <xf numFmtId="0" fontId="38" fillId="34" borderId="57" xfId="0" applyFont="1" applyFill="1" applyBorder="1" applyAlignment="1" applyProtection="1">
      <alignment vertical="center"/>
    </xf>
    <xf numFmtId="0" fontId="8" fillId="34" borderId="0" xfId="0" applyFont="1" applyFill="1" applyBorder="1" applyAlignment="1" applyProtection="1">
      <alignment horizontal="center" vertical="center"/>
    </xf>
    <xf numFmtId="0" fontId="5" fillId="34" borderId="63" xfId="0" applyFont="1" applyFill="1" applyBorder="1" applyProtection="1"/>
    <xf numFmtId="0" fontId="11" fillId="34" borderId="63" xfId="0" applyFont="1" applyFill="1" applyBorder="1" applyAlignment="1" applyProtection="1"/>
    <xf numFmtId="0" fontId="4" fillId="34" borderId="0" xfId="0" applyFont="1" applyFill="1" applyBorder="1" applyAlignment="1" applyProtection="1">
      <alignment horizontal="right"/>
    </xf>
    <xf numFmtId="0" fontId="11" fillId="34" borderId="0" xfId="0" applyFont="1" applyFill="1" applyBorder="1" applyAlignment="1" applyProtection="1">
      <alignment vertical="center"/>
    </xf>
    <xf numFmtId="1" fontId="5" fillId="34" borderId="0" xfId="0" applyNumberFormat="1" applyFont="1" applyFill="1" applyBorder="1" applyAlignment="1" applyProtection="1">
      <alignment horizontal="left" vertical="center"/>
    </xf>
    <xf numFmtId="0" fontId="4" fillId="34" borderId="0" xfId="0" applyFont="1" applyFill="1" applyBorder="1" applyAlignment="1" applyProtection="1">
      <alignment horizontal="left" vertical="center"/>
    </xf>
    <xf numFmtId="0" fontId="6" fillId="34" borderId="0" xfId="0" applyFont="1" applyFill="1" applyBorder="1" applyProtection="1"/>
    <xf numFmtId="0" fontId="5" fillId="34" borderId="0" xfId="0" applyFont="1" applyFill="1" applyBorder="1" applyAlignment="1" applyProtection="1">
      <alignment horizontal="center"/>
    </xf>
    <xf numFmtId="0" fontId="5" fillId="0" borderId="0" xfId="0" applyFont="1" applyBorder="1" applyAlignment="1" applyProtection="1">
      <alignment horizontal="center" vertical="center" textRotation="255"/>
    </xf>
    <xf numFmtId="0" fontId="5" fillId="0" borderId="18" xfId="0" applyFont="1" applyBorder="1" applyAlignment="1" applyProtection="1">
      <alignment horizontal="center" vertical="center" textRotation="255"/>
    </xf>
    <xf numFmtId="0" fontId="5" fillId="0" borderId="52" xfId="0" applyFont="1" applyBorder="1" applyAlignment="1" applyProtection="1">
      <alignment horizontal="center" vertical="center" textRotation="255"/>
    </xf>
    <xf numFmtId="0" fontId="5" fillId="0" borderId="18" xfId="0" quotePrefix="1" applyFont="1" applyBorder="1" applyProtection="1"/>
    <xf numFmtId="0" fontId="2" fillId="0" borderId="34" xfId="0" applyFont="1" applyBorder="1" applyAlignment="1" applyProtection="1">
      <alignment vertical="center"/>
      <protection locked="0"/>
    </xf>
    <xf numFmtId="0" fontId="2" fillId="0" borderId="5" xfId="0" applyFont="1" applyBorder="1" applyAlignment="1" applyProtection="1">
      <alignment vertical="center"/>
      <protection locked="0"/>
    </xf>
    <xf numFmtId="0" fontId="2" fillId="0" borderId="35" xfId="0" applyFont="1" applyBorder="1" applyAlignment="1" applyProtection="1">
      <alignment vertical="center"/>
      <protection locked="0"/>
    </xf>
    <xf numFmtId="0" fontId="2" fillId="11" borderId="71" xfId="0" applyFont="1" applyFill="1" applyBorder="1" applyAlignment="1" applyProtection="1">
      <alignment vertical="center"/>
      <protection locked="0"/>
    </xf>
    <xf numFmtId="0" fontId="2" fillId="11" borderId="58" xfId="0" applyFont="1" applyFill="1" applyBorder="1" applyAlignment="1" applyProtection="1">
      <alignment vertical="center"/>
      <protection locked="0"/>
    </xf>
    <xf numFmtId="0" fontId="2" fillId="11" borderId="74" xfId="0" applyFont="1" applyFill="1" applyBorder="1" applyAlignment="1" applyProtection="1">
      <alignment vertical="center"/>
      <protection locked="0"/>
    </xf>
    <xf numFmtId="0" fontId="2" fillId="12" borderId="72" xfId="0" applyFont="1" applyFill="1" applyBorder="1" applyAlignment="1" applyProtection="1">
      <alignment vertical="center"/>
      <protection locked="0"/>
    </xf>
    <xf numFmtId="0" fontId="2" fillId="12" borderId="59" xfId="0" applyFont="1" applyFill="1" applyBorder="1" applyAlignment="1" applyProtection="1">
      <alignment vertical="center"/>
      <protection locked="0"/>
    </xf>
    <xf numFmtId="0" fontId="2" fillId="12" borderId="75" xfId="0" applyFont="1" applyFill="1" applyBorder="1" applyAlignment="1" applyProtection="1">
      <alignment vertical="center"/>
      <protection locked="0"/>
    </xf>
    <xf numFmtId="0" fontId="2" fillId="12" borderId="22" xfId="0" applyFont="1" applyFill="1" applyBorder="1" applyAlignment="1" applyProtection="1">
      <alignment vertical="center"/>
      <protection locked="0"/>
    </xf>
    <xf numFmtId="0" fontId="2" fillId="12" borderId="1" xfId="0" applyFont="1" applyFill="1" applyBorder="1" applyAlignment="1" applyProtection="1">
      <alignment vertical="center"/>
      <protection locked="0"/>
    </xf>
    <xf numFmtId="0" fontId="2" fillId="10" borderId="1" xfId="0" applyFont="1" applyFill="1" applyBorder="1" applyAlignment="1" applyProtection="1">
      <alignment vertical="center"/>
      <protection locked="0"/>
    </xf>
    <xf numFmtId="0" fontId="2" fillId="11" borderId="12" xfId="0" applyFont="1" applyFill="1" applyBorder="1" applyAlignment="1" applyProtection="1">
      <alignment vertical="center"/>
      <protection locked="0"/>
    </xf>
    <xf numFmtId="0" fontId="2" fillId="11" borderId="30" xfId="0" applyFont="1" applyFill="1" applyBorder="1" applyAlignment="1" applyProtection="1">
      <alignment vertical="center"/>
      <protection locked="0"/>
    </xf>
    <xf numFmtId="0" fontId="2" fillId="12" borderId="12" xfId="0" applyFont="1" applyFill="1" applyBorder="1" applyAlignment="1" applyProtection="1">
      <alignment vertical="center"/>
      <protection locked="0"/>
    </xf>
    <xf numFmtId="0" fontId="2" fillId="13" borderId="30" xfId="0" applyFont="1" applyFill="1" applyBorder="1" applyAlignment="1" applyProtection="1">
      <alignment vertical="center"/>
      <protection locked="0"/>
    </xf>
    <xf numFmtId="0" fontId="2" fillId="11" borderId="50" xfId="0" applyFont="1" applyFill="1" applyBorder="1" applyAlignment="1" applyProtection="1">
      <alignment vertical="center"/>
      <protection locked="0"/>
    </xf>
    <xf numFmtId="0" fontId="2" fillId="10" borderId="2" xfId="0" applyFont="1" applyFill="1" applyBorder="1" applyAlignment="1" applyProtection="1">
      <alignment vertical="center"/>
      <protection locked="0"/>
    </xf>
    <xf numFmtId="0" fontId="2" fillId="11" borderId="25" xfId="0" applyFont="1" applyFill="1" applyBorder="1" applyAlignment="1" applyProtection="1">
      <alignment vertical="center"/>
      <protection locked="0"/>
    </xf>
    <xf numFmtId="0" fontId="2" fillId="13" borderId="73" xfId="0" applyFont="1" applyFill="1" applyBorder="1" applyAlignment="1" applyProtection="1">
      <alignment vertical="center"/>
      <protection locked="0"/>
    </xf>
    <xf numFmtId="0" fontId="2" fillId="13" borderId="58" xfId="0" applyFont="1" applyFill="1" applyBorder="1" applyAlignment="1" applyProtection="1">
      <alignment vertical="center"/>
      <protection locked="0"/>
    </xf>
    <xf numFmtId="0" fontId="2" fillId="13" borderId="74" xfId="0" applyFont="1" applyFill="1" applyBorder="1" applyAlignment="1" applyProtection="1">
      <alignment vertical="center"/>
      <protection locked="0"/>
    </xf>
    <xf numFmtId="0" fontId="2" fillId="11" borderId="52" xfId="0" applyFont="1" applyFill="1" applyBorder="1" applyAlignment="1" applyProtection="1">
      <alignment vertical="center"/>
      <protection locked="0"/>
    </xf>
    <xf numFmtId="0" fontId="2" fillId="11" borderId="40" xfId="0" applyFont="1" applyFill="1" applyBorder="1" applyAlignment="1" applyProtection="1">
      <alignment vertical="center"/>
      <protection locked="0"/>
    </xf>
    <xf numFmtId="0" fontId="2" fillId="13" borderId="29" xfId="0" applyFont="1" applyFill="1" applyBorder="1" applyAlignment="1" applyProtection="1">
      <alignment vertical="center"/>
      <protection locked="0"/>
    </xf>
    <xf numFmtId="0" fontId="2" fillId="13" borderId="76" xfId="0" applyFont="1" applyFill="1" applyBorder="1" applyAlignment="1" applyProtection="1">
      <alignment vertical="center"/>
      <protection locked="0"/>
    </xf>
    <xf numFmtId="0" fontId="2" fillId="11" borderId="29" xfId="0" applyFont="1" applyFill="1" applyBorder="1" applyAlignment="1" applyProtection="1">
      <alignment vertical="center"/>
      <protection locked="0"/>
    </xf>
    <xf numFmtId="0" fontId="2" fillId="11" borderId="76" xfId="0" applyFont="1" applyFill="1" applyBorder="1" applyAlignment="1" applyProtection="1">
      <alignment vertical="center"/>
      <protection locked="0"/>
    </xf>
    <xf numFmtId="0" fontId="2" fillId="0" borderId="60" xfId="0" applyFont="1" applyFill="1" applyBorder="1" applyAlignment="1" applyProtection="1">
      <alignment vertical="center"/>
      <protection locked="0"/>
    </xf>
    <xf numFmtId="0" fontId="2" fillId="13" borderId="22" xfId="0" applyFont="1" applyFill="1" applyBorder="1" applyAlignment="1" applyProtection="1">
      <alignment vertical="center"/>
      <protection locked="0"/>
    </xf>
    <xf numFmtId="0" fontId="2" fillId="11" borderId="31" xfId="0" applyFont="1" applyFill="1" applyBorder="1" applyAlignment="1" applyProtection="1">
      <alignment vertical="center"/>
      <protection locked="0"/>
    </xf>
    <xf numFmtId="0" fontId="2" fillId="11" borderId="38" xfId="0" applyFont="1" applyFill="1" applyBorder="1" applyAlignment="1" applyProtection="1">
      <alignment vertical="center"/>
      <protection locked="0"/>
    </xf>
    <xf numFmtId="0" fontId="2" fillId="11" borderId="26" xfId="0" applyFont="1" applyFill="1" applyBorder="1" applyAlignment="1" applyProtection="1">
      <alignment vertical="center"/>
      <protection locked="0"/>
    </xf>
    <xf numFmtId="0" fontId="46" fillId="34" borderId="0" xfId="0" applyFont="1" applyFill="1" applyBorder="1" applyAlignment="1" applyProtection="1">
      <alignment vertical="center"/>
    </xf>
    <xf numFmtId="0" fontId="46" fillId="34" borderId="0" xfId="0" applyFont="1" applyFill="1" applyBorder="1" applyAlignment="1" applyProtection="1">
      <alignment vertical="center"/>
      <protection locked="0"/>
    </xf>
    <xf numFmtId="0" fontId="4" fillId="2" borderId="16" xfId="0" applyFont="1" applyFill="1" applyBorder="1" applyAlignment="1" applyProtection="1">
      <alignment vertical="center"/>
      <protection locked="0"/>
    </xf>
    <xf numFmtId="0" fontId="5" fillId="18" borderId="0" xfId="0" applyFont="1" applyFill="1" applyBorder="1" applyAlignment="1" applyProtection="1">
      <alignment horizontal="right"/>
    </xf>
    <xf numFmtId="0" fontId="4" fillId="15" borderId="23" xfId="0" applyFont="1" applyFill="1" applyBorder="1" applyAlignment="1" applyProtection="1">
      <alignment horizontal="center" vertical="center"/>
    </xf>
    <xf numFmtId="0" fontId="4" fillId="16" borderId="0" xfId="0" applyFont="1" applyFill="1" applyBorder="1" applyAlignment="1" applyProtection="1">
      <alignment horizontal="center" vertical="center" wrapText="1"/>
    </xf>
    <xf numFmtId="0" fontId="4" fillId="17" borderId="0" xfId="0" applyFont="1" applyFill="1" applyBorder="1" applyAlignment="1" applyProtection="1">
      <alignment horizontal="center" vertical="center" wrapText="1"/>
    </xf>
    <xf numFmtId="0" fontId="4" fillId="2" borderId="23" xfId="0" applyFont="1" applyFill="1" applyBorder="1" applyAlignment="1" applyProtection="1">
      <alignment vertical="center"/>
      <protection locked="0"/>
    </xf>
    <xf numFmtId="0" fontId="3" fillId="2" borderId="9" xfId="0" applyFont="1" applyFill="1" applyBorder="1" applyAlignment="1" applyProtection="1">
      <alignment vertical="center"/>
      <protection locked="0"/>
    </xf>
    <xf numFmtId="0" fontId="3" fillId="2" borderId="20" xfId="0" applyFont="1" applyFill="1" applyBorder="1" applyAlignment="1" applyProtection="1">
      <alignment vertical="center"/>
      <protection locked="0"/>
    </xf>
    <xf numFmtId="0" fontId="3" fillId="2" borderId="10" xfId="0" applyFont="1" applyFill="1" applyBorder="1" applyAlignment="1" applyProtection="1">
      <alignment vertical="center"/>
      <protection locked="0"/>
    </xf>
    <xf numFmtId="0" fontId="4" fillId="23" borderId="19" xfId="0" applyFont="1" applyFill="1" applyBorder="1" applyAlignment="1" applyProtection="1">
      <alignment horizontal="center" vertical="center" wrapText="1"/>
    </xf>
    <xf numFmtId="0" fontId="5" fillId="2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xf>
    <xf numFmtId="0" fontId="5" fillId="20" borderId="9" xfId="0" applyNumberFormat="1" applyFont="1" applyFill="1" applyBorder="1" applyAlignment="1" applyProtection="1">
      <alignment horizontal="center" vertical="center"/>
    </xf>
    <xf numFmtId="0" fontId="5" fillId="20" borderId="106" xfId="0" applyNumberFormat="1" applyFont="1" applyFill="1" applyBorder="1" applyAlignment="1" applyProtection="1">
      <alignment horizontal="center" vertical="center"/>
    </xf>
    <xf numFmtId="0" fontId="5" fillId="20" borderId="107" xfId="0" applyNumberFormat="1" applyFont="1" applyFill="1" applyBorder="1" applyAlignment="1" applyProtection="1">
      <alignment horizontal="center" vertical="center"/>
    </xf>
    <xf numFmtId="0" fontId="5" fillId="0" borderId="20" xfId="0" applyNumberFormat="1" applyFont="1" applyFill="1" applyBorder="1" applyAlignment="1" applyProtection="1">
      <alignment horizontal="center" vertical="center"/>
    </xf>
    <xf numFmtId="0" fontId="5" fillId="0" borderId="30" xfId="0" applyNumberFormat="1" applyFont="1" applyFill="1" applyBorder="1" applyAlignment="1" applyProtection="1">
      <alignment horizontal="center" vertical="center"/>
    </xf>
    <xf numFmtId="0" fontId="5" fillId="20" borderId="30"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0" fontId="5" fillId="0" borderId="38" xfId="0" applyNumberFormat="1" applyFont="1" applyFill="1" applyBorder="1" applyAlignment="1" applyProtection="1">
      <alignment horizontal="center" vertical="center"/>
    </xf>
    <xf numFmtId="0" fontId="5" fillId="0" borderId="26" xfId="0" applyNumberFormat="1" applyFont="1" applyFill="1" applyBorder="1" applyAlignment="1" applyProtection="1">
      <alignment horizontal="center" vertical="center"/>
    </xf>
    <xf numFmtId="0" fontId="5" fillId="3" borderId="17"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0" fontId="4" fillId="5" borderId="1" xfId="0" applyFont="1" applyFill="1" applyBorder="1" applyAlignment="1" applyProtection="1"/>
    <xf numFmtId="0" fontId="4" fillId="2" borderId="1" xfId="0" applyFont="1" applyFill="1" applyBorder="1" applyAlignment="1" applyProtection="1">
      <alignment horizontal="center"/>
      <protection locked="0"/>
    </xf>
    <xf numFmtId="175" fontId="5" fillId="0" borderId="29" xfId="0" applyNumberFormat="1" applyFont="1" applyFill="1" applyBorder="1" applyAlignment="1" applyProtection="1">
      <alignment horizontal="center" vertical="center"/>
    </xf>
    <xf numFmtId="175" fontId="5" fillId="20" borderId="29" xfId="0" applyNumberFormat="1" applyFont="1" applyFill="1" applyBorder="1" applyAlignment="1" applyProtection="1">
      <alignment horizontal="center" vertical="center"/>
    </xf>
    <xf numFmtId="175" fontId="5" fillId="0" borderId="42" xfId="0" applyNumberFormat="1" applyFont="1" applyFill="1" applyBorder="1" applyAlignment="1" applyProtection="1">
      <alignment horizontal="center" vertical="center"/>
    </xf>
    <xf numFmtId="175" fontId="5" fillId="20" borderId="42" xfId="0" applyNumberFormat="1" applyFont="1" applyFill="1" applyBorder="1" applyAlignment="1" applyProtection="1">
      <alignment horizontal="center" vertical="center"/>
    </xf>
    <xf numFmtId="175" fontId="5" fillId="0" borderId="32" xfId="0" applyNumberFormat="1" applyFont="1" applyFill="1" applyBorder="1" applyAlignment="1" applyProtection="1">
      <alignment horizontal="center" vertical="center"/>
    </xf>
    <xf numFmtId="175" fontId="5" fillId="0" borderId="1" xfId="0" applyNumberFormat="1" applyFont="1" applyFill="1" applyBorder="1" applyAlignment="1" applyProtection="1">
      <alignment horizontal="center" vertical="center"/>
    </xf>
    <xf numFmtId="175" fontId="5" fillId="0" borderId="30" xfId="0" applyNumberFormat="1" applyFont="1" applyFill="1" applyBorder="1" applyAlignment="1" applyProtection="1">
      <alignment horizontal="center" vertical="center"/>
    </xf>
    <xf numFmtId="175" fontId="5" fillId="20" borderId="1" xfId="0" applyNumberFormat="1" applyFont="1" applyFill="1" applyBorder="1" applyAlignment="1" applyProtection="1">
      <alignment horizontal="center" vertical="center"/>
    </xf>
    <xf numFmtId="175" fontId="5" fillId="20" borderId="30" xfId="0" applyNumberFormat="1" applyFont="1" applyFill="1" applyBorder="1" applyAlignment="1" applyProtection="1">
      <alignment horizontal="center" vertical="center"/>
    </xf>
    <xf numFmtId="175" fontId="5" fillId="0" borderId="2" xfId="0" applyNumberFormat="1" applyFont="1" applyFill="1" applyBorder="1" applyAlignment="1" applyProtection="1">
      <alignment horizontal="center" vertical="center"/>
    </xf>
    <xf numFmtId="175" fontId="5" fillId="0" borderId="25" xfId="0" applyNumberFormat="1" applyFont="1" applyFill="1" applyBorder="1" applyAlignment="1" applyProtection="1">
      <alignment horizontal="center" vertical="center"/>
    </xf>
    <xf numFmtId="175" fontId="5" fillId="20" borderId="2" xfId="0" applyNumberFormat="1" applyFont="1" applyFill="1" applyBorder="1" applyAlignment="1" applyProtection="1">
      <alignment horizontal="center" vertical="center"/>
    </xf>
    <xf numFmtId="175" fontId="5" fillId="20" borderId="25" xfId="0" applyNumberFormat="1" applyFont="1" applyFill="1" applyBorder="1" applyAlignment="1" applyProtection="1">
      <alignment horizontal="center" vertical="center"/>
    </xf>
    <xf numFmtId="175" fontId="5" fillId="0" borderId="38" xfId="0" applyNumberFormat="1" applyFont="1" applyFill="1" applyBorder="1" applyAlignment="1" applyProtection="1">
      <alignment horizontal="center" vertical="center"/>
    </xf>
    <xf numFmtId="175" fontId="5" fillId="0" borderId="26" xfId="0" applyNumberFormat="1" applyFont="1" applyFill="1" applyBorder="1" applyAlignment="1" applyProtection="1">
      <alignment horizontal="center" vertical="center"/>
    </xf>
    <xf numFmtId="175" fontId="5" fillId="20" borderId="43" xfId="0" applyNumberFormat="1" applyFont="1" applyFill="1" applyBorder="1" applyAlignment="1" applyProtection="1">
      <alignment horizontal="center" vertical="center"/>
    </xf>
    <xf numFmtId="175" fontId="5" fillId="20" borderId="22" xfId="0" applyNumberFormat="1" applyFont="1" applyFill="1" applyBorder="1" applyAlignment="1" applyProtection="1">
      <alignment horizontal="center" vertical="center"/>
    </xf>
    <xf numFmtId="175" fontId="5" fillId="20" borderId="77" xfId="0" applyNumberFormat="1" applyFont="1" applyFill="1" applyBorder="1" applyAlignment="1" applyProtection="1">
      <alignment horizontal="center" vertical="center"/>
    </xf>
    <xf numFmtId="0" fontId="5" fillId="3" borderId="24" xfId="0" applyFont="1" applyFill="1" applyBorder="1" applyAlignment="1" applyProtection="1">
      <alignment horizontal="center" vertical="center" wrapText="1"/>
    </xf>
    <xf numFmtId="0" fontId="46" fillId="0" borderId="0" xfId="0" applyFont="1" applyFill="1" applyBorder="1" applyProtection="1"/>
    <xf numFmtId="0" fontId="5" fillId="0" borderId="1" xfId="0" applyFont="1" applyFill="1" applyBorder="1" applyProtection="1"/>
    <xf numFmtId="0" fontId="46" fillId="0" borderId="36" xfId="0" applyFont="1" applyFill="1" applyBorder="1" applyProtection="1"/>
    <xf numFmtId="0" fontId="46" fillId="0" borderId="22" xfId="0" applyFont="1" applyFill="1" applyBorder="1" applyProtection="1"/>
    <xf numFmtId="0" fontId="46" fillId="0" borderId="37" xfId="0" applyFont="1" applyFill="1" applyBorder="1" applyProtection="1"/>
    <xf numFmtId="0" fontId="5" fillId="0" borderId="50" xfId="0" applyFont="1" applyFill="1" applyBorder="1" applyProtection="1"/>
    <xf numFmtId="0" fontId="5" fillId="0" borderId="2" xfId="0" applyFont="1" applyFill="1" applyBorder="1" applyAlignment="1" applyProtection="1">
      <alignment wrapText="1"/>
    </xf>
    <xf numFmtId="0" fontId="5" fillId="0" borderId="49" xfId="0" applyFont="1" applyFill="1" applyBorder="1" applyAlignment="1" applyProtection="1">
      <alignment horizontal="left" vertical="center"/>
    </xf>
    <xf numFmtId="0" fontId="47" fillId="0" borderId="36" xfId="0" applyFont="1" applyFill="1" applyBorder="1" applyProtection="1"/>
    <xf numFmtId="0" fontId="46" fillId="0" borderId="37" xfId="0" applyFont="1" applyFill="1" applyBorder="1" applyAlignment="1" applyProtection="1">
      <alignment horizontal="center"/>
    </xf>
    <xf numFmtId="0" fontId="4" fillId="0" borderId="12" xfId="0" applyFont="1" applyFill="1" applyBorder="1" applyProtection="1"/>
    <xf numFmtId="0" fontId="5" fillId="0" borderId="6" xfId="0" applyFont="1" applyFill="1" applyBorder="1" applyAlignment="1" applyProtection="1">
      <alignment horizontal="center"/>
    </xf>
    <xf numFmtId="0" fontId="47" fillId="0" borderId="50" xfId="0" applyFont="1" applyFill="1" applyBorder="1" applyProtection="1"/>
    <xf numFmtId="0" fontId="46" fillId="0" borderId="49" xfId="0" applyFont="1" applyFill="1" applyBorder="1" applyAlignment="1" applyProtection="1">
      <alignment horizontal="center"/>
    </xf>
    <xf numFmtId="0" fontId="46" fillId="0" borderId="22" xfId="0" applyFont="1" applyFill="1" applyBorder="1" applyAlignment="1" applyProtection="1">
      <alignment horizontal="center"/>
    </xf>
    <xf numFmtId="0" fontId="5" fillId="0" borderId="1" xfId="0" applyFont="1" applyFill="1" applyBorder="1" applyAlignment="1" applyProtection="1">
      <alignment horizontal="center"/>
    </xf>
    <xf numFmtId="0" fontId="5" fillId="0" borderId="6" xfId="0" applyFont="1" applyFill="1" applyBorder="1" applyProtection="1"/>
    <xf numFmtId="0" fontId="46" fillId="0" borderId="2" xfId="0" applyFont="1" applyFill="1" applyBorder="1" applyAlignment="1" applyProtection="1">
      <alignment horizontal="center"/>
    </xf>
    <xf numFmtId="0" fontId="5" fillId="0" borderId="2" xfId="0" applyFont="1" applyFill="1" applyBorder="1" applyProtection="1"/>
    <xf numFmtId="0" fontId="5" fillId="0" borderId="2" xfId="0" applyFont="1" applyFill="1" applyBorder="1" applyAlignment="1" applyProtection="1">
      <alignment horizontal="left"/>
    </xf>
    <xf numFmtId="0" fontId="5" fillId="0" borderId="49" xfId="0" applyFont="1" applyFill="1" applyBorder="1" applyProtection="1"/>
    <xf numFmtId="0" fontId="5" fillId="0" borderId="12" xfId="0" applyFont="1" applyFill="1" applyBorder="1" applyProtection="1"/>
    <xf numFmtId="0" fontId="46" fillId="0" borderId="50" xfId="0" applyFont="1" applyFill="1" applyBorder="1" applyProtection="1"/>
    <xf numFmtId="0" fontId="46" fillId="0" borderId="49" xfId="0" applyFont="1" applyFill="1" applyBorder="1" applyProtection="1"/>
    <xf numFmtId="0" fontId="46" fillId="0" borderId="36" xfId="0" applyFont="1" applyFill="1" applyBorder="1" applyAlignment="1" applyProtection="1"/>
    <xf numFmtId="0" fontId="5" fillId="0" borderId="6" xfId="0" applyNumberFormat="1" applyFont="1" applyFill="1" applyBorder="1" applyProtection="1"/>
    <xf numFmtId="0" fontId="5" fillId="0" borderId="12" xfId="0" applyFont="1" applyFill="1" applyBorder="1" applyAlignment="1" applyProtection="1"/>
    <xf numFmtId="0" fontId="5" fillId="0" borderId="50" xfId="0" applyFont="1" applyFill="1" applyBorder="1" applyAlignment="1" applyProtection="1"/>
    <xf numFmtId="0" fontId="5" fillId="0" borderId="2" xfId="0" applyNumberFormat="1" applyFont="1" applyFill="1" applyBorder="1" applyProtection="1"/>
    <xf numFmtId="0" fontId="5" fillId="0" borderId="49" xfId="0" applyNumberFormat="1" applyFont="1" applyFill="1" applyBorder="1" applyProtection="1"/>
    <xf numFmtId="0" fontId="5" fillId="0" borderId="1" xfId="0" applyFont="1" applyFill="1" applyBorder="1" applyAlignment="1" applyProtection="1">
      <alignment wrapText="1"/>
    </xf>
    <xf numFmtId="0" fontId="5" fillId="0" borderId="6" xfId="0" applyNumberFormat="1" applyFont="1" applyFill="1" applyBorder="1" applyAlignment="1" applyProtection="1">
      <alignment wrapText="1"/>
    </xf>
    <xf numFmtId="0" fontId="5" fillId="0" borderId="49" xfId="0" applyNumberFormat="1" applyFont="1" applyFill="1" applyBorder="1" applyAlignment="1" applyProtection="1">
      <alignment wrapText="1"/>
    </xf>
    <xf numFmtId="0" fontId="5" fillId="0" borderId="49" xfId="0" applyFont="1" applyFill="1" applyBorder="1" applyAlignment="1" applyProtection="1">
      <alignment wrapText="1"/>
    </xf>
    <xf numFmtId="0" fontId="5" fillId="0" borderId="1" xfId="0" applyNumberFormat="1" applyFont="1" applyFill="1" applyBorder="1" applyAlignment="1" applyProtection="1">
      <alignment wrapText="1"/>
    </xf>
    <xf numFmtId="0" fontId="46" fillId="0" borderId="22" xfId="0" applyFont="1" applyFill="1" applyBorder="1" applyAlignment="1" applyProtection="1">
      <alignment horizontal="right"/>
    </xf>
    <xf numFmtId="0" fontId="46" fillId="0" borderId="12" xfId="0" applyFont="1" applyFill="1" applyBorder="1" applyProtection="1"/>
    <xf numFmtId="0" fontId="46" fillId="0" borderId="1" xfId="0" applyFont="1" applyFill="1" applyBorder="1" applyProtection="1"/>
    <xf numFmtId="0" fontId="46" fillId="0" borderId="6" xfId="0" applyFont="1" applyFill="1" applyBorder="1" applyProtection="1"/>
    <xf numFmtId="0" fontId="46" fillId="0" borderId="2" xfId="0" applyFont="1" applyFill="1" applyBorder="1" applyProtection="1"/>
    <xf numFmtId="0" fontId="46" fillId="0" borderId="22" xfId="0" applyFont="1" applyFill="1" applyBorder="1" applyAlignment="1" applyProtection="1">
      <alignment horizontal="left"/>
    </xf>
    <xf numFmtId="0" fontId="46" fillId="0" borderId="1" xfId="0" applyFont="1" applyFill="1" applyBorder="1" applyAlignment="1" applyProtection="1">
      <alignment wrapText="1"/>
    </xf>
    <xf numFmtId="0" fontId="46" fillId="0" borderId="6" xfId="0" applyNumberFormat="1" applyFont="1" applyFill="1" applyBorder="1" applyAlignment="1" applyProtection="1">
      <alignment wrapText="1"/>
    </xf>
    <xf numFmtId="0" fontId="46" fillId="0" borderId="2" xfId="0" applyFont="1" applyFill="1" applyBorder="1" applyAlignment="1" applyProtection="1">
      <alignment wrapText="1"/>
    </xf>
    <xf numFmtId="0" fontId="46" fillId="0" borderId="49" xfId="0" applyNumberFormat="1" applyFont="1" applyFill="1" applyBorder="1" applyAlignment="1" applyProtection="1">
      <alignment wrapText="1"/>
    </xf>
    <xf numFmtId="0" fontId="46" fillId="0" borderId="49" xfId="0" applyFont="1" applyFill="1" applyBorder="1" applyAlignment="1" applyProtection="1">
      <alignment wrapText="1"/>
    </xf>
    <xf numFmtId="0" fontId="47" fillId="0" borderId="22" xfId="0" applyFont="1" applyFill="1" applyBorder="1" applyProtection="1"/>
    <xf numFmtId="0" fontId="0" fillId="3" borderId="0" xfId="0" applyFill="1" applyAlignment="1" applyProtection="1">
      <alignment horizontal="center" wrapText="1"/>
    </xf>
    <xf numFmtId="0" fontId="5" fillId="5" borderId="39" xfId="0" applyFont="1" applyFill="1" applyBorder="1" applyProtection="1"/>
    <xf numFmtId="0" fontId="5" fillId="0" borderId="25" xfId="0" applyFont="1" applyBorder="1" applyProtection="1"/>
    <xf numFmtId="0" fontId="5" fillId="5" borderId="0" xfId="0" applyFont="1" applyFill="1" applyBorder="1" applyProtection="1"/>
    <xf numFmtId="0" fontId="5" fillId="0" borderId="117" xfId="0" applyFont="1" applyBorder="1" applyProtection="1"/>
    <xf numFmtId="0" fontId="5" fillId="0" borderId="120" xfId="0" applyFont="1" applyBorder="1" applyProtection="1"/>
    <xf numFmtId="0" fontId="5" fillId="2" borderId="27" xfId="0" applyFont="1" applyFill="1" applyBorder="1" applyProtection="1">
      <protection locked="0"/>
    </xf>
    <xf numFmtId="0" fontId="9" fillId="0" borderId="107" xfId="0" applyFont="1" applyBorder="1" applyProtection="1"/>
    <xf numFmtId="0" fontId="5" fillId="2" borderId="28" xfId="0" applyFont="1" applyFill="1" applyBorder="1" applyProtection="1">
      <protection locked="0"/>
    </xf>
    <xf numFmtId="0" fontId="5" fillId="3" borderId="1" xfId="0" applyFont="1" applyFill="1" applyBorder="1" applyProtection="1"/>
    <xf numFmtId="0" fontId="9" fillId="0" borderId="30" xfId="0" applyFont="1" applyBorder="1" applyProtection="1"/>
    <xf numFmtId="0" fontId="5" fillId="2" borderId="12" xfId="0" applyFont="1" applyFill="1" applyBorder="1" applyProtection="1">
      <protection locked="0"/>
    </xf>
    <xf numFmtId="0" fontId="5" fillId="2" borderId="31" xfId="0" applyFont="1" applyFill="1" applyBorder="1" applyProtection="1">
      <protection locked="0"/>
    </xf>
    <xf numFmtId="0" fontId="9" fillId="0" borderId="26" xfId="0" applyFont="1" applyBorder="1" applyProtection="1"/>
    <xf numFmtId="0" fontId="9" fillId="0" borderId="1" xfId="0" applyFont="1" applyBorder="1" applyProtection="1"/>
    <xf numFmtId="165" fontId="4" fillId="0" borderId="1" xfId="0" applyNumberFormat="1" applyFont="1" applyBorder="1" applyProtection="1"/>
    <xf numFmtId="165" fontId="4" fillId="3" borderId="1" xfId="0" applyNumberFormat="1" applyFont="1" applyFill="1" applyBorder="1" applyProtection="1"/>
    <xf numFmtId="0" fontId="5" fillId="2" borderId="50" xfId="0" applyFont="1" applyFill="1" applyBorder="1" applyProtection="1">
      <protection locked="0"/>
    </xf>
    <xf numFmtId="0" fontId="9" fillId="0" borderId="25" xfId="0" applyFont="1" applyBorder="1" applyProtection="1"/>
    <xf numFmtId="0" fontId="9" fillId="0" borderId="47" xfId="0" applyFont="1" applyBorder="1" applyProtection="1"/>
    <xf numFmtId="0" fontId="5" fillId="2" borderId="32" xfId="0" applyFont="1" applyFill="1" applyBorder="1" applyProtection="1">
      <protection locked="0"/>
    </xf>
    <xf numFmtId="0" fontId="0" fillId="0" borderId="0" xfId="0" applyProtection="1"/>
    <xf numFmtId="0" fontId="5" fillId="0" borderId="26" xfId="0" applyFont="1" applyBorder="1" applyProtection="1"/>
    <xf numFmtId="0" fontId="5" fillId="2" borderId="11" xfId="0" applyFont="1" applyFill="1" applyBorder="1" applyProtection="1">
      <protection locked="0"/>
    </xf>
    <xf numFmtId="0" fontId="9" fillId="0" borderId="33" xfId="0" applyFont="1" applyBorder="1" applyProtection="1"/>
    <xf numFmtId="0" fontId="5" fillId="2" borderId="121" xfId="0" applyFont="1" applyFill="1" applyBorder="1" applyProtection="1">
      <protection locked="0"/>
    </xf>
    <xf numFmtId="0" fontId="5" fillId="0" borderId="4" xfId="0" applyFont="1" applyBorder="1" applyProtection="1"/>
    <xf numFmtId="0" fontId="4" fillId="0" borderId="1" xfId="0" applyFont="1" applyBorder="1" applyAlignment="1" applyProtection="1">
      <alignment horizontal="right"/>
    </xf>
    <xf numFmtId="0" fontId="5" fillId="2" borderId="20" xfId="0" applyFont="1" applyFill="1" applyBorder="1" applyProtection="1">
      <protection locked="0"/>
    </xf>
    <xf numFmtId="0" fontId="5" fillId="3" borderId="1" xfId="0" applyFont="1" applyFill="1" applyBorder="1" applyAlignment="1" applyProtection="1">
      <alignment horizontal="right"/>
    </xf>
    <xf numFmtId="0" fontId="5" fillId="3" borderId="47" xfId="0" applyFont="1" applyFill="1" applyBorder="1" applyProtection="1"/>
    <xf numFmtId="0" fontId="5" fillId="2" borderId="22" xfId="0" applyFont="1" applyFill="1" applyBorder="1" applyProtection="1">
      <protection locked="0"/>
    </xf>
    <xf numFmtId="0" fontId="5" fillId="5" borderId="23" xfId="0" applyFont="1" applyFill="1" applyBorder="1" applyProtection="1"/>
    <xf numFmtId="0" fontId="5" fillId="5" borderId="24" xfId="0" applyFont="1" applyFill="1" applyBorder="1" applyProtection="1"/>
    <xf numFmtId="0" fontId="5" fillId="0" borderId="3" xfId="0" applyFont="1" applyBorder="1" applyProtection="1"/>
    <xf numFmtId="0" fontId="5" fillId="0" borderId="33" xfId="0" applyFont="1" applyBorder="1" applyProtection="1"/>
    <xf numFmtId="0" fontId="5" fillId="0" borderId="23" xfId="0" applyFont="1" applyBorder="1" applyProtection="1"/>
    <xf numFmtId="165" fontId="5" fillId="0" borderId="106" xfId="0" applyNumberFormat="1" applyFont="1" applyBorder="1" applyAlignment="1" applyProtection="1">
      <alignment horizontal="right"/>
    </xf>
    <xf numFmtId="165" fontId="5" fillId="26" borderId="106" xfId="0" applyNumberFormat="1" applyFont="1" applyFill="1" applyBorder="1" applyProtection="1"/>
    <xf numFmtId="165" fontId="5" fillId="0" borderId="13" xfId="0" applyNumberFormat="1" applyFont="1" applyBorder="1" applyProtection="1"/>
    <xf numFmtId="165" fontId="5" fillId="0" borderId="22" xfId="0" applyNumberFormat="1" applyFont="1" applyBorder="1" applyAlignment="1" applyProtection="1">
      <alignment horizontal="right"/>
    </xf>
    <xf numFmtId="165" fontId="5" fillId="0" borderId="1" xfId="0" applyNumberFormat="1" applyFont="1" applyBorder="1" applyProtection="1"/>
    <xf numFmtId="165" fontId="5" fillId="0" borderId="21" xfId="0" applyNumberFormat="1" applyFont="1" applyBorder="1" applyProtection="1"/>
    <xf numFmtId="165" fontId="5" fillId="26" borderId="1" xfId="0" applyNumberFormat="1" applyFont="1" applyFill="1" applyBorder="1" applyProtection="1"/>
    <xf numFmtId="165" fontId="5" fillId="26" borderId="2" xfId="0" applyNumberFormat="1" applyFont="1" applyFill="1" applyBorder="1" applyProtection="1"/>
    <xf numFmtId="165" fontId="5" fillId="0" borderId="2" xfId="0" applyNumberFormat="1" applyFont="1" applyBorder="1" applyProtection="1"/>
    <xf numFmtId="165" fontId="5" fillId="0" borderId="15" xfId="0" applyNumberFormat="1" applyFont="1" applyBorder="1" applyProtection="1"/>
    <xf numFmtId="165" fontId="5" fillId="0" borderId="1" xfId="0" applyNumberFormat="1" applyFont="1" applyBorder="1" applyAlignment="1" applyProtection="1">
      <alignment horizontal="right"/>
    </xf>
    <xf numFmtId="165" fontId="5" fillId="26" borderId="38" xfId="0" applyNumberFormat="1" applyFont="1" applyFill="1" applyBorder="1" applyProtection="1"/>
    <xf numFmtId="165" fontId="5" fillId="0" borderId="38" xfId="0" applyNumberFormat="1" applyFont="1" applyBorder="1" applyAlignment="1" applyProtection="1">
      <alignment horizontal="right"/>
    </xf>
    <xf numFmtId="165" fontId="5" fillId="0" borderId="16" xfId="0" applyNumberFormat="1" applyFont="1" applyBorder="1" applyProtection="1"/>
    <xf numFmtId="165" fontId="5" fillId="0" borderId="23" xfId="0" applyNumberFormat="1" applyFont="1" applyBorder="1" applyProtection="1"/>
    <xf numFmtId="165" fontId="18" fillId="3" borderId="0" xfId="0" applyNumberFormat="1" applyFont="1" applyFill="1" applyBorder="1" applyProtection="1"/>
    <xf numFmtId="165" fontId="6" fillId="3" borderId="0" xfId="0" applyNumberFormat="1" applyFont="1" applyFill="1" applyBorder="1" applyProtection="1"/>
    <xf numFmtId="0" fontId="6" fillId="3" borderId="0" xfId="0" applyFont="1" applyFill="1" applyAlignment="1" applyProtection="1">
      <alignment horizontal="center"/>
    </xf>
    <xf numFmtId="0" fontId="5" fillId="2" borderId="123" xfId="0" applyFont="1" applyFill="1" applyBorder="1" applyProtection="1">
      <protection locked="0"/>
    </xf>
    <xf numFmtId="0" fontId="9" fillId="0" borderId="120" xfId="0" applyFont="1" applyBorder="1" applyProtection="1"/>
    <xf numFmtId="0" fontId="5" fillId="3" borderId="0" xfId="0" applyFont="1" applyFill="1" applyAlignment="1" applyProtection="1">
      <alignment horizontal="left"/>
    </xf>
    <xf numFmtId="0" fontId="41" fillId="3" borderId="0" xfId="0" applyFont="1" applyFill="1" applyAlignment="1" applyProtection="1">
      <alignment horizontal="center" wrapText="1"/>
    </xf>
    <xf numFmtId="2" fontId="41" fillId="3" borderId="0" xfId="0" applyNumberFormat="1" applyFont="1" applyFill="1" applyAlignment="1" applyProtection="1">
      <alignment horizontal="center" wrapText="1"/>
    </xf>
    <xf numFmtId="2" fontId="5" fillId="3" borderId="0" xfId="0" applyNumberFormat="1" applyFont="1" applyFill="1" applyProtection="1"/>
    <xf numFmtId="0" fontId="5" fillId="26" borderId="12" xfId="0" applyFont="1" applyFill="1" applyBorder="1" applyProtection="1"/>
    <xf numFmtId="0" fontId="5" fillId="26" borderId="50" xfId="0" applyFont="1" applyFill="1" applyBorder="1" applyProtection="1"/>
    <xf numFmtId="0" fontId="5" fillId="26" borderId="31" xfId="0" applyFont="1" applyFill="1" applyBorder="1" applyProtection="1"/>
    <xf numFmtId="0" fontId="5" fillId="26" borderId="1" xfId="0" applyFont="1" applyFill="1" applyBorder="1" applyProtection="1"/>
    <xf numFmtId="165" fontId="5" fillId="26" borderId="107" xfId="0" applyNumberFormat="1" applyFont="1" applyFill="1" applyBorder="1" applyProtection="1"/>
    <xf numFmtId="165" fontId="5" fillId="26" borderId="30" xfId="0" applyNumberFormat="1" applyFont="1" applyFill="1" applyBorder="1" applyProtection="1"/>
    <xf numFmtId="165" fontId="5" fillId="0" borderId="30" xfId="0" applyNumberFormat="1" applyFont="1" applyBorder="1" applyProtection="1"/>
    <xf numFmtId="165" fontId="5" fillId="26" borderId="25" xfId="0" applyNumberFormat="1" applyFont="1" applyFill="1" applyBorder="1" applyProtection="1"/>
    <xf numFmtId="165" fontId="5" fillId="36" borderId="26" xfId="0" applyNumberFormat="1" applyFont="1" applyFill="1" applyBorder="1" applyAlignment="1" applyProtection="1">
      <alignment horizontal="right"/>
    </xf>
    <xf numFmtId="0" fontId="5" fillId="2" borderId="10" xfId="0" applyFont="1" applyFill="1" applyBorder="1" applyProtection="1">
      <protection locked="0"/>
    </xf>
    <xf numFmtId="0" fontId="5" fillId="2" borderId="9" xfId="0" applyFont="1" applyFill="1" applyBorder="1" applyProtection="1">
      <protection locked="0"/>
    </xf>
    <xf numFmtId="0" fontId="9" fillId="0" borderId="13" xfId="0" applyFont="1" applyBorder="1" applyProtection="1"/>
    <xf numFmtId="0" fontId="9" fillId="0" borderId="21" xfId="0" applyFont="1" applyBorder="1" applyProtection="1"/>
    <xf numFmtId="0" fontId="9" fillId="0" borderId="16" xfId="0" applyFont="1" applyBorder="1" applyProtection="1"/>
    <xf numFmtId="0" fontId="5" fillId="3" borderId="13" xfId="0" applyFont="1" applyFill="1" applyBorder="1" applyProtection="1"/>
    <xf numFmtId="0" fontId="5" fillId="3" borderId="21" xfId="0" applyFont="1" applyFill="1" applyBorder="1" applyProtection="1"/>
    <xf numFmtId="0" fontId="5" fillId="3" borderId="16" xfId="0" applyFont="1" applyFill="1" applyBorder="1" applyProtection="1"/>
    <xf numFmtId="0" fontId="5" fillId="2" borderId="13" xfId="0" applyFont="1" applyFill="1" applyBorder="1" applyProtection="1">
      <protection locked="0"/>
    </xf>
    <xf numFmtId="0" fontId="5" fillId="2" borderId="21" xfId="0" applyFont="1" applyFill="1" applyBorder="1" applyProtection="1">
      <protection locked="0"/>
    </xf>
    <xf numFmtId="0" fontId="5" fillId="2" borderId="16" xfId="0" applyFont="1" applyFill="1" applyBorder="1" applyProtection="1">
      <protection locked="0"/>
    </xf>
    <xf numFmtId="0" fontId="5" fillId="2" borderId="90" xfId="0" applyFont="1" applyFill="1" applyBorder="1" applyAlignment="1" applyProtection="1">
      <protection locked="0"/>
    </xf>
    <xf numFmtId="0" fontId="5" fillId="2" borderId="18" xfId="0" applyFont="1" applyFill="1" applyBorder="1" applyProtection="1">
      <protection locked="0"/>
    </xf>
    <xf numFmtId="0" fontId="5" fillId="2" borderId="45" xfId="0" applyFont="1" applyFill="1" applyBorder="1" applyProtection="1">
      <protection locked="0"/>
    </xf>
    <xf numFmtId="0" fontId="5" fillId="0" borderId="13" xfId="0" applyFont="1" applyBorder="1" applyAlignment="1" applyProtection="1"/>
    <xf numFmtId="0" fontId="5" fillId="0" borderId="21" xfId="0" applyFont="1" applyBorder="1" applyAlignment="1" applyProtection="1"/>
    <xf numFmtId="0" fontId="5" fillId="0" borderId="16" xfId="0" applyFont="1" applyBorder="1" applyAlignment="1" applyProtection="1"/>
    <xf numFmtId="0" fontId="5" fillId="37" borderId="17" xfId="0" applyFont="1" applyFill="1" applyBorder="1" applyProtection="1">
      <protection locked="0"/>
    </xf>
    <xf numFmtId="0" fontId="5" fillId="37" borderId="39" xfId="0" applyFont="1" applyFill="1" applyBorder="1" applyProtection="1"/>
    <xf numFmtId="0" fontId="5" fillId="37" borderId="39" xfId="0" applyFont="1" applyFill="1" applyBorder="1" applyProtection="1">
      <protection locked="0"/>
    </xf>
    <xf numFmtId="0" fontId="5" fillId="37" borderId="39" xfId="0" applyFont="1" applyFill="1" applyBorder="1" applyAlignment="1" applyProtection="1">
      <alignment horizontal="right"/>
    </xf>
    <xf numFmtId="0" fontId="5" fillId="37" borderId="55" xfId="0" applyFont="1" applyFill="1" applyBorder="1" applyProtection="1"/>
    <xf numFmtId="0" fontId="65" fillId="37" borderId="0" xfId="0" applyFont="1" applyFill="1" applyBorder="1" applyAlignment="1" applyProtection="1">
      <alignment horizontal="center" vertical="center" wrapText="1"/>
    </xf>
    <xf numFmtId="0" fontId="5" fillId="37" borderId="0" xfId="0" applyFont="1" applyFill="1" applyBorder="1" applyAlignment="1" applyProtection="1"/>
    <xf numFmtId="0" fontId="5" fillId="37" borderId="0" xfId="0" applyFont="1" applyFill="1" applyBorder="1" applyProtection="1"/>
    <xf numFmtId="0" fontId="5" fillId="37" borderId="57" xfId="0" applyFont="1" applyFill="1" applyBorder="1" applyProtection="1"/>
    <xf numFmtId="0" fontId="4" fillId="37" borderId="0" xfId="0" applyFont="1" applyFill="1" applyBorder="1" applyAlignment="1" applyProtection="1">
      <alignment horizontal="right"/>
    </xf>
    <xf numFmtId="0" fontId="11" fillId="37" borderId="0" xfId="0" applyFont="1" applyFill="1" applyBorder="1" applyAlignment="1" applyProtection="1">
      <alignment horizontal="center" vertical="center" wrapText="1"/>
    </xf>
    <xf numFmtId="0" fontId="4" fillId="37" borderId="0" xfId="0" applyFont="1" applyFill="1" applyBorder="1" applyAlignment="1" applyProtection="1"/>
    <xf numFmtId="0" fontId="4" fillId="37" borderId="0" xfId="0" applyFont="1" applyFill="1" applyBorder="1" applyProtection="1"/>
    <xf numFmtId="0" fontId="4" fillId="37" borderId="0" xfId="0" applyFont="1" applyFill="1" applyBorder="1" applyAlignment="1" applyProtection="1">
      <alignment horizontal="left"/>
    </xf>
    <xf numFmtId="0" fontId="13" fillId="37" borderId="0" xfId="1" applyFont="1" applyFill="1" applyBorder="1" applyAlignment="1" applyProtection="1">
      <alignment horizontal="left"/>
    </xf>
    <xf numFmtId="0" fontId="4" fillId="37" borderId="0" xfId="0" applyNumberFormat="1" applyFont="1" applyFill="1" applyBorder="1" applyProtection="1"/>
    <xf numFmtId="0" fontId="5" fillId="37" borderId="91" xfId="0" applyFont="1" applyFill="1" applyBorder="1" applyProtection="1"/>
    <xf numFmtId="0" fontId="5" fillId="37" borderId="47" xfId="0" applyFont="1" applyFill="1" applyBorder="1" applyProtection="1"/>
    <xf numFmtId="0" fontId="8" fillId="37" borderId="0" xfId="0" applyFont="1" applyFill="1" applyBorder="1" applyAlignment="1" applyProtection="1">
      <alignment horizontal="center"/>
    </xf>
    <xf numFmtId="0" fontId="18" fillId="37" borderId="0" xfId="0" applyFont="1" applyFill="1" applyBorder="1" applyProtection="1"/>
    <xf numFmtId="0" fontId="18" fillId="37" borderId="57" xfId="0" applyFont="1" applyFill="1" applyBorder="1" applyProtection="1"/>
    <xf numFmtId="0" fontId="8" fillId="37" borderId="0" xfId="0" applyFont="1" applyFill="1" applyBorder="1" applyAlignment="1" applyProtection="1">
      <alignment horizontal="center"/>
      <protection locked="0"/>
    </xf>
    <xf numFmtId="0" fontId="5" fillId="37" borderId="0" xfId="0" applyFont="1" applyFill="1" applyBorder="1" applyAlignment="1" applyProtection="1">
      <alignment horizontal="right"/>
    </xf>
    <xf numFmtId="165" fontId="4" fillId="37" borderId="0" xfId="0" applyNumberFormat="1" applyFont="1" applyFill="1" applyBorder="1" applyProtection="1"/>
    <xf numFmtId="0" fontId="11" fillId="37" borderId="0" xfId="0" applyFont="1" applyFill="1" applyBorder="1" applyAlignment="1" applyProtection="1"/>
    <xf numFmtId="165" fontId="6" fillId="37" borderId="0" xfId="0" applyNumberFormat="1" applyFont="1" applyFill="1" applyBorder="1" applyAlignment="1" applyProtection="1">
      <alignment horizontal="right"/>
    </xf>
    <xf numFmtId="0" fontId="5" fillId="37" borderId="0" xfId="0" applyFont="1" applyFill="1" applyBorder="1" applyProtection="1">
      <protection locked="0"/>
    </xf>
    <xf numFmtId="0" fontId="11" fillId="37" borderId="0" xfId="0" applyFont="1" applyFill="1" applyBorder="1" applyAlignment="1" applyProtection="1">
      <alignment vertical="center" wrapText="1"/>
    </xf>
    <xf numFmtId="0" fontId="13" fillId="37" borderId="0" xfId="1" applyFont="1" applyFill="1" applyBorder="1" applyAlignment="1" applyProtection="1">
      <alignment horizontal="left" wrapText="1"/>
    </xf>
    <xf numFmtId="177" fontId="4" fillId="37" borderId="0" xfId="0" applyNumberFormat="1" applyFont="1" applyFill="1" applyBorder="1" applyProtection="1"/>
    <xf numFmtId="0" fontId="13" fillId="37" borderId="0" xfId="1" applyFont="1" applyFill="1" applyBorder="1" applyAlignment="1" applyProtection="1">
      <alignment horizontal="center"/>
    </xf>
    <xf numFmtId="0" fontId="11" fillId="37" borderId="0" xfId="0" applyFont="1" applyFill="1" applyBorder="1" applyAlignment="1" applyProtection="1">
      <alignment horizontal="left"/>
    </xf>
    <xf numFmtId="2" fontId="4" fillId="37" borderId="0" xfId="0" applyNumberFormat="1" applyFont="1" applyFill="1" applyBorder="1" applyProtection="1"/>
    <xf numFmtId="165" fontId="5" fillId="37" borderId="0" xfId="0" applyNumberFormat="1" applyFont="1" applyFill="1" applyBorder="1" applyProtection="1"/>
    <xf numFmtId="0" fontId="17" fillId="37" borderId="0" xfId="0" applyFont="1" applyFill="1" applyBorder="1" applyAlignment="1" applyProtection="1">
      <alignment horizontal="right"/>
      <protection locked="0"/>
    </xf>
    <xf numFmtId="0" fontId="5" fillId="37" borderId="65" xfId="0" applyFont="1" applyFill="1" applyBorder="1" applyProtection="1"/>
    <xf numFmtId="0" fontId="5" fillId="37" borderId="63" xfId="0" applyFont="1" applyFill="1" applyBorder="1" applyProtection="1"/>
    <xf numFmtId="178" fontId="5" fillId="37" borderId="0" xfId="0" applyNumberFormat="1" applyFont="1" applyFill="1" applyBorder="1" applyProtection="1"/>
    <xf numFmtId="0" fontId="4" fillId="0" borderId="37" xfId="0" applyFont="1" applyFill="1" applyBorder="1" applyProtection="1">
      <protection locked="0"/>
    </xf>
    <xf numFmtId="0" fontId="13" fillId="4" borderId="12" xfId="1" applyFont="1" applyFill="1" applyBorder="1" applyAlignment="1" applyProtection="1">
      <alignment vertical="center"/>
      <protection locked="0"/>
    </xf>
    <xf numFmtId="0" fontId="4" fillId="5" borderId="1" xfId="0" applyFont="1" applyFill="1" applyBorder="1" applyAlignment="1" applyProtection="1">
      <alignment horizontal="center" vertical="center"/>
    </xf>
    <xf numFmtId="0" fontId="4" fillId="2" borderId="1" xfId="0" applyFont="1" applyFill="1" applyBorder="1" applyAlignment="1" applyProtection="1">
      <alignment horizontal="center" vertical="center"/>
      <protection locked="0"/>
    </xf>
    <xf numFmtId="0" fontId="5" fillId="18" borderId="0" xfId="0" applyFont="1" applyFill="1" applyBorder="1" applyAlignment="1" applyProtection="1">
      <alignment horizontal="right" vertical="center"/>
    </xf>
    <xf numFmtId="0" fontId="5" fillId="20" borderId="20" xfId="0" applyNumberFormat="1" applyFont="1" applyFill="1" applyBorder="1" applyAlignment="1" applyProtection="1">
      <alignment horizontal="center" vertical="center"/>
    </xf>
    <xf numFmtId="0" fontId="5" fillId="3" borderId="12" xfId="0" applyFont="1" applyFill="1" applyBorder="1" applyAlignment="1" applyProtection="1">
      <alignment horizontal="left"/>
    </xf>
    <xf numFmtId="0" fontId="5" fillId="30" borderId="48" xfId="0" applyFont="1" applyFill="1" applyBorder="1" applyAlignment="1" applyProtection="1">
      <alignment horizontal="center" vertical="center"/>
    </xf>
    <xf numFmtId="0" fontId="6" fillId="8" borderId="1" xfId="0" applyFont="1" applyFill="1" applyBorder="1" applyAlignment="1" applyProtection="1">
      <alignment horizontal="center" vertical="center" wrapText="1"/>
    </xf>
    <xf numFmtId="0" fontId="18" fillId="20" borderId="0" xfId="0" applyFont="1" applyFill="1" applyBorder="1" applyAlignment="1" applyProtection="1">
      <alignment horizontal="center" vertical="center"/>
    </xf>
    <xf numFmtId="0" fontId="38" fillId="3" borderId="0" xfId="0" applyFont="1" applyFill="1" applyBorder="1" applyAlignment="1" applyProtection="1">
      <alignment horizontal="center" vertical="center"/>
    </xf>
    <xf numFmtId="0" fontId="38" fillId="3" borderId="0" xfId="0" applyFont="1" applyFill="1" applyAlignment="1" applyProtection="1">
      <alignment horizontal="center" vertical="center"/>
    </xf>
    <xf numFmtId="0" fontId="38" fillId="34" borderId="0" xfId="0" applyFont="1" applyFill="1" applyBorder="1" applyAlignment="1" applyProtection="1">
      <alignment horizontal="center" vertical="center"/>
    </xf>
    <xf numFmtId="0" fontId="38" fillId="34" borderId="57" xfId="0" applyFont="1" applyFill="1" applyBorder="1" applyAlignment="1" applyProtection="1">
      <alignment horizontal="center" vertical="center"/>
    </xf>
    <xf numFmtId="0" fontId="5" fillId="5" borderId="6" xfId="0"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13" fillId="4" borderId="20" xfId="1" applyFont="1" applyFill="1" applyBorder="1" applyAlignment="1" applyProtection="1">
      <alignment vertical="center"/>
      <protection locked="0"/>
    </xf>
    <xf numFmtId="0" fontId="11" fillId="6" borderId="29" xfId="0" applyFont="1" applyFill="1" applyBorder="1" applyAlignment="1" applyProtection="1">
      <alignment horizontal="center" vertical="center"/>
    </xf>
    <xf numFmtId="0" fontId="4" fillId="4" borderId="20" xfId="0" applyFont="1" applyFill="1" applyBorder="1" applyAlignment="1" applyProtection="1">
      <alignment vertical="center"/>
    </xf>
    <xf numFmtId="0" fontId="4" fillId="4" borderId="20" xfId="2" applyFont="1" applyFill="1" applyBorder="1" applyAlignment="1" applyProtection="1">
      <alignment vertical="center"/>
    </xf>
    <xf numFmtId="0" fontId="26" fillId="28" borderId="17" xfId="0" applyFont="1" applyFill="1" applyBorder="1" applyAlignment="1" applyProtection="1">
      <alignment vertical="center"/>
    </xf>
    <xf numFmtId="0" fontId="29" fillId="28" borderId="63" xfId="1" applyFont="1" applyFill="1" applyBorder="1" applyAlignment="1" applyProtection="1">
      <alignment vertical="center"/>
    </xf>
    <xf numFmtId="0" fontId="7" fillId="28" borderId="63" xfId="0" applyFont="1" applyFill="1" applyBorder="1" applyProtection="1"/>
    <xf numFmtId="0" fontId="28" fillId="28" borderId="63" xfId="0" applyFont="1" applyFill="1" applyBorder="1" applyAlignment="1" applyProtection="1">
      <alignment horizontal="center" vertical="center" wrapText="1"/>
    </xf>
    <xf numFmtId="0" fontId="28" fillId="28" borderId="65" xfId="0" applyFont="1" applyFill="1" applyBorder="1" applyAlignment="1" applyProtection="1">
      <alignment horizontal="center" vertical="center" wrapText="1"/>
    </xf>
    <xf numFmtId="0" fontId="26" fillId="28" borderId="39" xfId="0" applyFont="1" applyFill="1" applyBorder="1" applyAlignment="1" applyProtection="1">
      <alignment horizontal="center" vertical="center"/>
    </xf>
    <xf numFmtId="0" fontId="26" fillId="28" borderId="0" xfId="0" applyFont="1" applyFill="1" applyBorder="1" applyAlignment="1" applyProtection="1">
      <alignment horizontal="center" vertical="center"/>
    </xf>
    <xf numFmtId="0" fontId="27" fillId="28" borderId="0" xfId="0" applyFont="1" applyFill="1" applyBorder="1" applyAlignment="1" applyProtection="1">
      <alignment horizontal="center" vertical="center"/>
    </xf>
    <xf numFmtId="0" fontId="7" fillId="28" borderId="0" xfId="0" applyFont="1" applyFill="1" applyBorder="1" applyAlignment="1" applyProtection="1"/>
    <xf numFmtId="0" fontId="28" fillId="28" borderId="0" xfId="0" applyFont="1" applyFill="1" applyBorder="1" applyAlignment="1" applyProtection="1">
      <alignment horizontal="center" vertical="center" wrapText="1"/>
    </xf>
    <xf numFmtId="0" fontId="28" fillId="28" borderId="57" xfId="0" applyFont="1" applyFill="1" applyBorder="1" applyAlignment="1" applyProtection="1">
      <alignment horizontal="center" vertical="center" wrapText="1"/>
    </xf>
    <xf numFmtId="0" fontId="5" fillId="28" borderId="39" xfId="0" applyFont="1" applyFill="1" applyBorder="1" applyProtection="1"/>
    <xf numFmtId="0" fontId="5" fillId="28" borderId="0" xfId="0" applyFont="1" applyFill="1" applyBorder="1" applyProtection="1"/>
    <xf numFmtId="0" fontId="5" fillId="28" borderId="57" xfId="0" applyFont="1" applyFill="1" applyBorder="1" applyProtection="1"/>
    <xf numFmtId="0" fontId="4" fillId="28" borderId="0" xfId="0" applyFont="1" applyFill="1" applyBorder="1" applyAlignment="1" applyProtection="1"/>
    <xf numFmtId="0" fontId="4" fillId="28" borderId="0" xfId="0" applyFont="1" applyFill="1" applyBorder="1" applyAlignment="1" applyProtection="1">
      <alignment vertical="center" wrapText="1"/>
    </xf>
    <xf numFmtId="0" fontId="4" fillId="28" borderId="57" xfId="0" applyFont="1" applyFill="1" applyBorder="1" applyAlignment="1" applyProtection="1">
      <alignment vertical="center" wrapText="1"/>
    </xf>
    <xf numFmtId="0" fontId="4" fillId="28" borderId="39" xfId="0" applyFont="1" applyFill="1" applyBorder="1" applyAlignment="1" applyProtection="1">
      <alignment vertical="center" wrapText="1"/>
    </xf>
    <xf numFmtId="0" fontId="17" fillId="28" borderId="39" xfId="0" applyFont="1" applyFill="1" applyBorder="1" applyAlignment="1" applyProtection="1">
      <alignment vertical="center"/>
    </xf>
    <xf numFmtId="0" fontId="7" fillId="28" borderId="0" xfId="0" applyFont="1" applyFill="1" applyBorder="1" applyProtection="1"/>
    <xf numFmtId="0" fontId="17" fillId="28" borderId="39" xfId="0" applyFont="1" applyFill="1" applyBorder="1" applyProtection="1"/>
    <xf numFmtId="0" fontId="5" fillId="28" borderId="0" xfId="0" applyFont="1" applyFill="1" applyBorder="1" applyAlignment="1" applyProtection="1"/>
    <xf numFmtId="0" fontId="4" fillId="28" borderId="20" xfId="0" applyFont="1" applyFill="1" applyBorder="1" applyAlignment="1" applyProtection="1">
      <alignment vertical="center"/>
    </xf>
    <xf numFmtId="0" fontId="4" fillId="28" borderId="39" xfId="0" applyFont="1" applyFill="1" applyBorder="1" applyProtection="1"/>
    <xf numFmtId="0" fontId="13" fillId="28" borderId="0" xfId="1" applyFont="1" applyFill="1" applyBorder="1" applyAlignment="1" applyProtection="1">
      <alignment vertical="center"/>
    </xf>
    <xf numFmtId="0" fontId="4" fillId="28" borderId="39" xfId="0" applyFont="1" applyFill="1" applyBorder="1" applyAlignment="1" applyProtection="1">
      <alignment vertical="center"/>
    </xf>
    <xf numFmtId="0" fontId="8" fillId="28" borderId="0" xfId="0" applyFont="1" applyFill="1" applyBorder="1" applyAlignment="1" applyProtection="1">
      <alignment vertical="center" wrapText="1"/>
    </xf>
    <xf numFmtId="0" fontId="7" fillId="28" borderId="39" xfId="0" applyFont="1" applyFill="1" applyBorder="1" applyProtection="1"/>
    <xf numFmtId="14" fontId="4" fillId="28" borderId="39" xfId="0" applyNumberFormat="1" applyFont="1" applyFill="1" applyBorder="1" applyAlignment="1" applyProtection="1">
      <alignment horizontal="right" vertical="center"/>
    </xf>
    <xf numFmtId="0" fontId="5" fillId="28" borderId="0" xfId="0" applyFont="1" applyFill="1" applyBorder="1" applyAlignment="1" applyProtection="1">
      <alignment horizontal="left" vertical="center" wrapText="1"/>
    </xf>
    <xf numFmtId="0" fontId="7" fillId="28" borderId="57" xfId="0" applyFont="1" applyFill="1" applyBorder="1" applyProtection="1"/>
    <xf numFmtId="0" fontId="7" fillId="28" borderId="91" xfId="0" applyFont="1" applyFill="1" applyBorder="1" applyProtection="1"/>
    <xf numFmtId="0" fontId="7" fillId="28" borderId="47" xfId="0" applyFont="1" applyFill="1" applyBorder="1" applyProtection="1"/>
    <xf numFmtId="0" fontId="7" fillId="28" borderId="55" xfId="0" applyFont="1" applyFill="1" applyBorder="1" applyProtection="1"/>
    <xf numFmtId="0" fontId="5" fillId="5" borderId="29" xfId="0" applyFont="1" applyFill="1" applyBorder="1" applyAlignment="1" applyProtection="1">
      <alignment vertical="center"/>
    </xf>
    <xf numFmtId="0" fontId="4" fillId="2" borderId="29" xfId="0" applyFont="1" applyFill="1" applyBorder="1" applyAlignment="1" applyProtection="1">
      <alignment horizontal="center" vertical="center"/>
      <protection locked="0"/>
    </xf>
    <xf numFmtId="0" fontId="5" fillId="3" borderId="29" xfId="0" applyFont="1" applyFill="1" applyBorder="1" applyAlignment="1" applyProtection="1">
      <alignment vertical="center" wrapText="1"/>
    </xf>
    <xf numFmtId="0" fontId="8" fillId="3" borderId="29" xfId="0" applyFont="1" applyFill="1" applyBorder="1" applyAlignment="1" applyProtection="1">
      <alignment vertical="center" wrapText="1"/>
    </xf>
    <xf numFmtId="0" fontId="8" fillId="3" borderId="39" xfId="0" applyFont="1" applyFill="1" applyBorder="1" applyAlignment="1" applyProtection="1">
      <alignment vertical="center"/>
    </xf>
    <xf numFmtId="0" fontId="9" fillId="3" borderId="29" xfId="0" applyFont="1" applyFill="1" applyBorder="1" applyAlignment="1" applyProtection="1">
      <alignment vertical="center"/>
    </xf>
    <xf numFmtId="0" fontId="8" fillId="0" borderId="29" xfId="0" applyFont="1" applyFill="1" applyBorder="1" applyAlignment="1" applyProtection="1">
      <alignment vertical="center" wrapText="1"/>
    </xf>
    <xf numFmtId="0" fontId="5" fillId="38" borderId="17" xfId="0" applyFont="1" applyFill="1" applyBorder="1" applyProtection="1"/>
    <xf numFmtId="0" fontId="5" fillId="38" borderId="63" xfId="0" applyFont="1" applyFill="1" applyBorder="1" applyProtection="1"/>
    <xf numFmtId="0" fontId="5" fillId="38" borderId="65" xfId="0" applyFont="1" applyFill="1" applyBorder="1" applyProtection="1"/>
    <xf numFmtId="0" fontId="5" fillId="38" borderId="39" xfId="0" applyFont="1" applyFill="1" applyBorder="1" applyProtection="1"/>
    <xf numFmtId="0" fontId="5" fillId="38" borderId="0" xfId="0" applyFont="1" applyFill="1" applyBorder="1" applyProtection="1"/>
    <xf numFmtId="0" fontId="4" fillId="38" borderId="0" xfId="0" applyFont="1" applyFill="1" applyBorder="1" applyAlignment="1" applyProtection="1">
      <alignment vertical="center" wrapText="1"/>
    </xf>
    <xf numFmtId="0" fontId="4" fillId="38" borderId="57" xfId="0" applyFont="1" applyFill="1" applyBorder="1" applyAlignment="1" applyProtection="1">
      <alignment vertical="center" wrapText="1"/>
    </xf>
    <xf numFmtId="0" fontId="5" fillId="38" borderId="57" xfId="0" applyFont="1" applyFill="1" applyBorder="1" applyProtection="1"/>
    <xf numFmtId="0" fontId="18" fillId="38" borderId="57" xfId="0" applyFont="1" applyFill="1" applyBorder="1" applyProtection="1"/>
    <xf numFmtId="0" fontId="5" fillId="38" borderId="8" xfId="0" applyFont="1" applyFill="1" applyBorder="1" applyProtection="1"/>
    <xf numFmtId="0" fontId="5" fillId="38" borderId="48" xfId="0" applyFont="1" applyFill="1" applyBorder="1" applyProtection="1"/>
    <xf numFmtId="0" fontId="5" fillId="38" borderId="45" xfId="0" applyFont="1" applyFill="1" applyBorder="1" applyProtection="1"/>
    <xf numFmtId="0" fontId="38" fillId="38" borderId="0" xfId="0" applyFont="1" applyFill="1" applyBorder="1" applyAlignment="1" applyProtection="1">
      <alignment vertical="center"/>
    </xf>
    <xf numFmtId="0" fontId="38" fillId="38" borderId="57" xfId="0" applyFont="1" applyFill="1" applyBorder="1" applyAlignment="1" applyProtection="1">
      <alignment vertical="center"/>
    </xf>
    <xf numFmtId="0" fontId="38" fillId="38" borderId="57" xfId="0" applyFont="1" applyFill="1" applyBorder="1" applyProtection="1"/>
    <xf numFmtId="0" fontId="5" fillId="38" borderId="39" xfId="0" applyFont="1" applyFill="1" applyBorder="1" applyAlignment="1" applyProtection="1">
      <alignment vertical="center"/>
    </xf>
    <xf numFmtId="0" fontId="8" fillId="38" borderId="0" xfId="0" applyFont="1" applyFill="1" applyBorder="1" applyAlignment="1" applyProtection="1">
      <alignment wrapText="1"/>
    </xf>
    <xf numFmtId="0" fontId="59" fillId="38" borderId="0" xfId="0" applyFont="1" applyFill="1" applyBorder="1" applyAlignment="1" applyProtection="1">
      <alignment wrapText="1"/>
    </xf>
    <xf numFmtId="0" fontId="38" fillId="38" borderId="0" xfId="0" applyFont="1" applyFill="1" applyBorder="1" applyAlignment="1" applyProtection="1">
      <alignment wrapText="1"/>
    </xf>
    <xf numFmtId="0" fontId="38" fillId="38" borderId="0" xfId="0" applyFont="1" applyFill="1" applyBorder="1" applyProtection="1"/>
    <xf numFmtId="0" fontId="8" fillId="38" borderId="0" xfId="0" applyFont="1" applyFill="1" applyBorder="1" applyAlignment="1" applyProtection="1">
      <alignment horizontal="left" wrapText="1"/>
    </xf>
    <xf numFmtId="0" fontId="6" fillId="38" borderId="57" xfId="0" applyFont="1" applyFill="1" applyBorder="1" applyProtection="1"/>
    <xf numFmtId="0" fontId="6" fillId="38" borderId="0" xfId="0" applyFont="1" applyFill="1" applyBorder="1" applyProtection="1"/>
    <xf numFmtId="0" fontId="8" fillId="38" borderId="39" xfId="0" applyFont="1" applyFill="1" applyBorder="1" applyAlignment="1" applyProtection="1">
      <alignment vertical="center"/>
    </xf>
    <xf numFmtId="0" fontId="5" fillId="38" borderId="0" xfId="0" applyFont="1" applyFill="1" applyBorder="1" applyProtection="1">
      <protection locked="0"/>
    </xf>
    <xf numFmtId="0" fontId="9" fillId="38" borderId="39" xfId="0" applyFont="1" applyFill="1" applyBorder="1" applyProtection="1"/>
    <xf numFmtId="0" fontId="8" fillId="38" borderId="0" xfId="0" applyFont="1" applyFill="1" applyBorder="1" applyProtection="1">
      <protection locked="0"/>
    </xf>
    <xf numFmtId="0" fontId="8" fillId="38" borderId="0" xfId="0" applyFont="1" applyFill="1" applyBorder="1" applyProtection="1"/>
    <xf numFmtId="0" fontId="9" fillId="38" borderId="55" xfId="0" applyFont="1" applyFill="1" applyBorder="1" applyProtection="1"/>
    <xf numFmtId="0" fontId="5" fillId="38" borderId="91" xfId="0" applyFont="1" applyFill="1" applyBorder="1" applyProtection="1"/>
    <xf numFmtId="0" fontId="5" fillId="38" borderId="47" xfId="0" applyFont="1" applyFill="1" applyBorder="1" applyProtection="1"/>
    <xf numFmtId="0" fontId="5" fillId="2" borderId="29" xfId="0" applyFont="1" applyFill="1" applyBorder="1" applyAlignment="1" applyProtection="1">
      <alignment vertical="center"/>
      <protection locked="0"/>
    </xf>
    <xf numFmtId="0" fontId="5" fillId="3" borderId="0" xfId="0" applyFont="1" applyFill="1" applyBorder="1" applyAlignment="1" applyProtection="1">
      <alignment vertical="center"/>
      <protection locked="0"/>
    </xf>
    <xf numFmtId="0" fontId="9" fillId="3" borderId="29" xfId="0" applyFont="1" applyFill="1" applyBorder="1" applyAlignment="1" applyProtection="1">
      <alignment vertical="center" wrapText="1"/>
    </xf>
    <xf numFmtId="0" fontId="5" fillId="3" borderId="29" xfId="0" applyFont="1" applyFill="1" applyBorder="1" applyAlignment="1" applyProtection="1">
      <alignment horizontal="left" vertical="center" wrapText="1"/>
    </xf>
    <xf numFmtId="0" fontId="5" fillId="19" borderId="17" xfId="0" applyFont="1" applyFill="1" applyBorder="1" applyAlignment="1" applyProtection="1">
      <alignment vertical="center"/>
    </xf>
    <xf numFmtId="0" fontId="5" fillId="19" borderId="63" xfId="0" applyFont="1" applyFill="1" applyBorder="1" applyAlignment="1" applyProtection="1">
      <alignment vertical="center"/>
    </xf>
    <xf numFmtId="0" fontId="5" fillId="19" borderId="65" xfId="0" applyFont="1" applyFill="1" applyBorder="1" applyAlignment="1" applyProtection="1">
      <alignment vertical="center"/>
    </xf>
    <xf numFmtId="0" fontId="4" fillId="19" borderId="57" xfId="0" applyFont="1" applyFill="1" applyBorder="1" applyAlignment="1" applyProtection="1">
      <alignment vertical="center" wrapText="1"/>
    </xf>
    <xf numFmtId="0" fontId="5" fillId="19" borderId="57" xfId="0" applyFont="1" applyFill="1" applyBorder="1" applyAlignment="1" applyProtection="1">
      <alignment vertical="center"/>
    </xf>
    <xf numFmtId="0" fontId="6" fillId="19" borderId="57" xfId="0" applyFont="1" applyFill="1" applyBorder="1" applyAlignment="1" applyProtection="1">
      <alignment vertical="center"/>
    </xf>
    <xf numFmtId="0" fontId="8" fillId="19" borderId="0" xfId="0" applyFont="1" applyFill="1" applyBorder="1" applyAlignment="1" applyProtection="1">
      <alignment vertical="center" wrapText="1"/>
    </xf>
    <xf numFmtId="0" fontId="5" fillId="19" borderId="39" xfId="0" applyFont="1" applyFill="1" applyBorder="1" applyAlignment="1" applyProtection="1">
      <alignment vertical="center" wrapText="1"/>
    </xf>
    <xf numFmtId="0" fontId="8" fillId="19" borderId="0" xfId="0" applyFont="1" applyFill="1" applyBorder="1" applyAlignment="1" applyProtection="1">
      <alignment horizontal="left" vertical="center" wrapText="1"/>
    </xf>
    <xf numFmtId="0" fontId="8" fillId="19" borderId="57" xfId="0" applyFont="1" applyFill="1" applyBorder="1" applyAlignment="1" applyProtection="1">
      <alignment vertical="center" wrapText="1"/>
    </xf>
    <xf numFmtId="0" fontId="8" fillId="19" borderId="0" xfId="0" applyFont="1" applyFill="1" applyBorder="1" applyAlignment="1" applyProtection="1">
      <alignment vertical="center" wrapText="1"/>
      <protection locked="0"/>
    </xf>
    <xf numFmtId="0" fontId="8" fillId="19" borderId="39" xfId="0" applyFont="1" applyFill="1" applyBorder="1" applyAlignment="1" applyProtection="1">
      <alignment vertical="center"/>
    </xf>
    <xf numFmtId="0" fontId="5" fillId="19" borderId="91" xfId="0" applyFont="1" applyFill="1" applyBorder="1" applyAlignment="1" applyProtection="1">
      <alignment vertical="center"/>
    </xf>
    <xf numFmtId="0" fontId="5" fillId="19" borderId="47" xfId="0" applyFont="1" applyFill="1" applyBorder="1" applyAlignment="1" applyProtection="1">
      <alignment vertical="center"/>
    </xf>
    <xf numFmtId="0" fontId="5" fillId="19" borderId="55" xfId="0" applyFont="1" applyFill="1" applyBorder="1" applyAlignment="1" applyProtection="1">
      <alignment vertical="center"/>
    </xf>
    <xf numFmtId="2" fontId="5" fillId="10" borderId="1" xfId="0" applyNumberFormat="1" applyFont="1" applyFill="1" applyBorder="1" applyAlignment="1" applyProtection="1">
      <alignment horizontal="center" vertical="center"/>
    </xf>
    <xf numFmtId="179" fontId="5" fillId="7" borderId="1" xfId="0" applyNumberFormat="1" applyFont="1" applyFill="1" applyBorder="1" applyAlignment="1" applyProtection="1">
      <alignment horizontal="center" vertical="center"/>
    </xf>
    <xf numFmtId="179" fontId="5" fillId="3" borderId="1" xfId="0" applyNumberFormat="1" applyFont="1" applyFill="1" applyBorder="1" applyAlignment="1" applyProtection="1">
      <alignment horizontal="center" vertical="center"/>
    </xf>
    <xf numFmtId="0" fontId="4" fillId="2" borderId="1" xfId="0" applyFont="1" applyFill="1" applyBorder="1" applyAlignment="1" applyProtection="1">
      <alignment horizontal="center" vertical="center"/>
      <protection locked="0"/>
    </xf>
    <xf numFmtId="0" fontId="5" fillId="40" borderId="1" xfId="0" applyFont="1" applyFill="1" applyBorder="1" applyAlignment="1" applyProtection="1">
      <alignment horizontal="center"/>
    </xf>
    <xf numFmtId="0" fontId="5" fillId="41" borderId="1" xfId="0" applyFont="1" applyFill="1" applyBorder="1" applyProtection="1"/>
    <xf numFmtId="0" fontId="5" fillId="39" borderId="1" xfId="0" applyFont="1" applyFill="1" applyBorder="1" applyProtection="1"/>
    <xf numFmtId="0" fontId="4" fillId="42" borderId="0" xfId="0" applyFont="1" applyFill="1" applyBorder="1" applyProtection="1"/>
    <xf numFmtId="0" fontId="4" fillId="42" borderId="0" xfId="0" applyFont="1" applyFill="1" applyBorder="1" applyAlignment="1" applyProtection="1">
      <alignment horizontal="center"/>
    </xf>
    <xf numFmtId="0" fontId="4" fillId="42" borderId="1" xfId="0" applyFont="1" applyFill="1" applyBorder="1" applyProtection="1"/>
    <xf numFmtId="0" fontId="5" fillId="41" borderId="1" xfId="0" applyFont="1" applyFill="1" applyBorder="1" applyAlignment="1" applyProtection="1">
      <alignment horizontal="center"/>
    </xf>
    <xf numFmtId="0" fontId="5" fillId="39" borderId="1" xfId="0" applyFont="1" applyFill="1" applyBorder="1" applyAlignment="1" applyProtection="1">
      <alignment horizontal="center"/>
    </xf>
    <xf numFmtId="0" fontId="46" fillId="39" borderId="1" xfId="0" applyFont="1" applyFill="1" applyBorder="1" applyProtection="1"/>
    <xf numFmtId="0" fontId="46" fillId="41" borderId="1" xfId="0" applyFont="1" applyFill="1" applyBorder="1" applyProtection="1"/>
    <xf numFmtId="0" fontId="46" fillId="41" borderId="1" xfId="0" applyFont="1" applyFill="1" applyBorder="1" applyAlignment="1" applyProtection="1">
      <alignment horizontal="center" vertical="center"/>
    </xf>
    <xf numFmtId="0" fontId="46" fillId="39" borderId="1" xfId="0" applyFont="1" applyFill="1" applyBorder="1" applyAlignment="1" applyProtection="1">
      <alignment horizontal="center" vertical="center"/>
    </xf>
    <xf numFmtId="0" fontId="46" fillId="41" borderId="1" xfId="0" applyFont="1" applyFill="1" applyBorder="1" applyAlignment="1" applyProtection="1">
      <alignment horizontal="center"/>
    </xf>
    <xf numFmtId="0" fontId="5" fillId="3" borderId="0" xfId="0" applyFont="1" applyFill="1" applyBorder="1" applyAlignment="1" applyProtection="1"/>
    <xf numFmtId="0" fontId="5" fillId="3" borderId="0" xfId="0" applyFont="1" applyFill="1" applyBorder="1" applyAlignment="1" applyProtection="1">
      <alignment wrapText="1"/>
    </xf>
    <xf numFmtId="0" fontId="47" fillId="39" borderId="11" xfId="0" applyFont="1" applyFill="1" applyBorder="1" applyAlignment="1" applyProtection="1">
      <alignment horizontal="center" vertical="center"/>
    </xf>
    <xf numFmtId="0" fontId="47" fillId="39" borderId="3" xfId="0" applyFont="1" applyFill="1" applyBorder="1" applyAlignment="1" applyProtection="1">
      <alignment horizontal="center" vertical="center"/>
    </xf>
    <xf numFmtId="0" fontId="47" fillId="39" borderId="4" xfId="0" applyFont="1" applyFill="1" applyBorder="1" applyAlignment="1" applyProtection="1">
      <alignment horizontal="center" vertical="center"/>
    </xf>
    <xf numFmtId="0" fontId="46" fillId="39" borderId="12" xfId="0" applyFont="1" applyFill="1" applyBorder="1" applyAlignment="1" applyProtection="1">
      <alignment horizontal="center" vertical="center"/>
    </xf>
    <xf numFmtId="0" fontId="46" fillId="41" borderId="2" xfId="0" applyFont="1" applyFill="1" applyBorder="1" applyAlignment="1" applyProtection="1">
      <alignment horizontal="center" vertical="center"/>
    </xf>
    <xf numFmtId="0" fontId="46" fillId="41" borderId="22" xfId="0" applyFont="1" applyFill="1" applyBorder="1" applyAlignment="1" applyProtection="1">
      <alignment horizontal="center" vertical="center"/>
    </xf>
    <xf numFmtId="0" fontId="46" fillId="41" borderId="12" xfId="0" applyFont="1" applyFill="1" applyBorder="1" applyAlignment="1" applyProtection="1">
      <alignment horizontal="center" vertical="center"/>
    </xf>
    <xf numFmtId="0" fontId="46" fillId="43" borderId="1" xfId="0" applyFont="1" applyFill="1" applyBorder="1" applyAlignment="1" applyProtection="1">
      <alignment horizontal="center" vertical="center"/>
    </xf>
    <xf numFmtId="0" fontId="46" fillId="43" borderId="6" xfId="0" applyFont="1" applyFill="1" applyBorder="1" applyAlignment="1" applyProtection="1">
      <alignment horizontal="center" vertical="center"/>
    </xf>
    <xf numFmtId="0" fontId="46" fillId="43" borderId="12" xfId="0" applyFont="1" applyFill="1" applyBorder="1" applyAlignment="1" applyProtection="1">
      <alignment horizontal="center" vertical="center"/>
    </xf>
    <xf numFmtId="0" fontId="46" fillId="39" borderId="1" xfId="0" applyFont="1" applyFill="1" applyBorder="1" applyAlignment="1" applyProtection="1">
      <alignment vertical="center"/>
    </xf>
    <xf numFmtId="0" fontId="46" fillId="41" borderId="1" xfId="0" applyFont="1" applyFill="1" applyBorder="1" applyAlignment="1" applyProtection="1">
      <alignment vertical="center"/>
    </xf>
    <xf numFmtId="14" fontId="47" fillId="0" borderId="124" xfId="0" applyNumberFormat="1" applyFont="1" applyBorder="1" applyAlignment="1" applyProtection="1">
      <alignment horizontal="right" vertical="center"/>
    </xf>
    <xf numFmtId="14" fontId="47" fillId="22" borderId="125" xfId="0" applyNumberFormat="1" applyFont="1" applyFill="1" applyBorder="1" applyAlignment="1" applyProtection="1">
      <alignment horizontal="right" vertical="center"/>
    </xf>
    <xf numFmtId="0" fontId="24" fillId="0" borderId="0" xfId="0" applyFont="1" applyFill="1" applyBorder="1" applyAlignment="1" applyProtection="1">
      <alignment vertical="center"/>
    </xf>
    <xf numFmtId="0" fontId="0" fillId="16" borderId="17" xfId="0" applyFill="1" applyBorder="1" applyAlignment="1" applyProtection="1">
      <alignment vertical="center"/>
    </xf>
    <xf numFmtId="0" fontId="0" fillId="16" borderId="63" xfId="0" applyFill="1" applyBorder="1" applyAlignment="1" applyProtection="1">
      <alignment vertical="center"/>
    </xf>
    <xf numFmtId="0" fontId="0" fillId="16" borderId="65" xfId="0" applyFill="1" applyBorder="1" applyAlignment="1" applyProtection="1">
      <alignment vertical="center"/>
    </xf>
    <xf numFmtId="0" fontId="0" fillId="16" borderId="39" xfId="0" applyFill="1" applyBorder="1" applyAlignment="1" applyProtection="1">
      <alignment vertical="center"/>
    </xf>
    <xf numFmtId="0" fontId="0" fillId="16" borderId="0" xfId="0" applyFill="1" applyBorder="1" applyAlignment="1" applyProtection="1">
      <alignment vertical="center"/>
    </xf>
    <xf numFmtId="0" fontId="0" fillId="16" borderId="57" xfId="0" applyFill="1" applyBorder="1" applyAlignment="1" applyProtection="1">
      <alignment vertical="center"/>
    </xf>
    <xf numFmtId="0" fontId="42" fillId="16" borderId="57" xfId="0" applyFont="1" applyFill="1" applyBorder="1" applyAlignment="1" applyProtection="1">
      <alignment vertical="center"/>
    </xf>
    <xf numFmtId="0" fontId="64" fillId="15" borderId="23" xfId="0" applyFont="1" applyFill="1" applyBorder="1" applyAlignment="1" applyProtection="1">
      <alignment horizontal="center" vertical="center"/>
    </xf>
    <xf numFmtId="0" fontId="0" fillId="16" borderId="55" xfId="0" applyFill="1" applyBorder="1" applyAlignment="1" applyProtection="1">
      <alignment vertical="center"/>
    </xf>
    <xf numFmtId="0" fontId="0" fillId="16" borderId="91" xfId="0" applyFill="1" applyBorder="1" applyAlignment="1" applyProtection="1">
      <alignment vertical="center"/>
    </xf>
    <xf numFmtId="0" fontId="0" fillId="16" borderId="47" xfId="0" applyFill="1" applyBorder="1" applyAlignment="1" applyProtection="1">
      <alignment vertical="center"/>
    </xf>
    <xf numFmtId="0" fontId="0" fillId="0" borderId="0" xfId="0" applyFill="1" applyAlignment="1" applyProtection="1">
      <alignment vertical="center"/>
    </xf>
    <xf numFmtId="0" fontId="0" fillId="15" borderId="0" xfId="0" applyFill="1" applyAlignment="1" applyProtection="1">
      <alignment vertical="center"/>
    </xf>
    <xf numFmtId="0" fontId="4" fillId="35" borderId="13" xfId="0" applyFont="1" applyFill="1" applyBorder="1" applyAlignment="1" applyProtection="1">
      <alignment vertical="center"/>
      <protection locked="0"/>
    </xf>
    <xf numFmtId="0" fontId="4" fillId="35" borderId="21" xfId="0" applyFont="1" applyFill="1" applyBorder="1" applyAlignment="1" applyProtection="1">
      <alignment vertical="center"/>
      <protection locked="0"/>
    </xf>
    <xf numFmtId="0" fontId="4" fillId="35" borderId="16" xfId="0" applyFont="1" applyFill="1" applyBorder="1" applyAlignment="1" applyProtection="1">
      <alignment vertical="center"/>
      <protection locked="0"/>
    </xf>
    <xf numFmtId="0" fontId="5" fillId="28" borderId="17" xfId="2" applyFont="1" applyFill="1" applyBorder="1" applyAlignment="1" applyProtection="1">
      <alignment vertical="center"/>
    </xf>
    <xf numFmtId="0" fontId="13" fillId="28" borderId="91" xfId="1" applyFont="1" applyFill="1" applyBorder="1" applyAlignment="1" applyProtection="1">
      <alignment vertical="center"/>
    </xf>
    <xf numFmtId="0" fontId="52" fillId="15" borderId="0" xfId="1" applyFont="1" applyFill="1" applyBorder="1" applyAlignment="1" applyProtection="1">
      <alignment vertical="center"/>
    </xf>
    <xf numFmtId="0" fontId="57" fillId="15" borderId="0" xfId="1" applyFont="1" applyFill="1" applyBorder="1" applyAlignment="1" applyProtection="1">
      <alignment vertical="center"/>
    </xf>
    <xf numFmtId="0" fontId="5" fillId="28" borderId="0" xfId="2" applyFont="1" applyFill="1" applyBorder="1" applyAlignment="1" applyProtection="1">
      <alignment vertical="center"/>
      <protection locked="0"/>
    </xf>
    <xf numFmtId="0" fontId="5" fillId="18" borderId="17" xfId="0" applyFont="1" applyFill="1" applyBorder="1" applyAlignment="1" applyProtection="1">
      <alignment vertical="center"/>
    </xf>
    <xf numFmtId="0" fontId="5" fillId="18" borderId="0" xfId="0" applyNumberFormat="1" applyFont="1" applyFill="1" applyBorder="1" applyAlignment="1" applyProtection="1">
      <alignment vertical="center"/>
      <protection locked="0"/>
    </xf>
    <xf numFmtId="0" fontId="5" fillId="20" borderId="17" xfId="0" applyFont="1" applyFill="1" applyBorder="1" applyProtection="1"/>
    <xf numFmtId="0" fontId="5" fillId="20" borderId="39" xfId="0" applyFont="1" applyFill="1" applyBorder="1" applyProtection="1">
      <protection locked="0"/>
    </xf>
    <xf numFmtId="0" fontId="5" fillId="21" borderId="17" xfId="0" applyFont="1" applyFill="1" applyBorder="1" applyProtection="1"/>
    <xf numFmtId="0" fontId="5" fillId="34" borderId="17" xfId="0" applyFont="1" applyFill="1" applyBorder="1" applyProtection="1"/>
    <xf numFmtId="0" fontId="5" fillId="19" borderId="17" xfId="2" applyFont="1" applyFill="1" applyBorder="1" applyAlignment="1" applyProtection="1">
      <alignment vertical="center"/>
    </xf>
    <xf numFmtId="0" fontId="40" fillId="15" borderId="102" xfId="0" applyFont="1" applyFill="1" applyBorder="1" applyAlignment="1" applyProtection="1">
      <alignment vertical="center"/>
    </xf>
    <xf numFmtId="0" fontId="5" fillId="19" borderId="0" xfId="2" applyFont="1" applyFill="1" applyBorder="1" applyAlignment="1" applyProtection="1">
      <alignment vertical="center"/>
      <protection locked="0"/>
    </xf>
    <xf numFmtId="0" fontId="5" fillId="17" borderId="17" xfId="0" applyFont="1" applyFill="1" applyBorder="1" applyAlignment="1" applyProtection="1">
      <alignment vertical="center"/>
    </xf>
    <xf numFmtId="0" fontId="6" fillId="17" borderId="0" xfId="0" applyFont="1" applyFill="1" applyBorder="1" applyAlignment="1" applyProtection="1">
      <alignment vertical="center"/>
      <protection locked="0"/>
    </xf>
    <xf numFmtId="0" fontId="39" fillId="0" borderId="0" xfId="0" applyFont="1" applyFill="1" applyBorder="1" applyProtection="1">
      <protection locked="0"/>
    </xf>
    <xf numFmtId="0" fontId="40" fillId="0" borderId="0" xfId="0" applyFont="1" applyFill="1" applyBorder="1" applyAlignment="1" applyProtection="1">
      <alignment horizontal="center"/>
      <protection locked="0"/>
    </xf>
    <xf numFmtId="0" fontId="40" fillId="0" borderId="0" xfId="0" applyFont="1" applyFill="1" applyProtection="1">
      <protection locked="0"/>
    </xf>
    <xf numFmtId="0" fontId="59" fillId="42" borderId="1" xfId="0" applyFont="1" applyFill="1" applyBorder="1" applyProtection="1">
      <protection locked="0"/>
    </xf>
    <xf numFmtId="0" fontId="40" fillId="0" borderId="0" xfId="0" applyFont="1" applyFill="1" applyAlignment="1" applyProtection="1">
      <alignment horizontal="left"/>
      <protection locked="0"/>
    </xf>
    <xf numFmtId="0" fontId="40" fillId="0" borderId="0" xfId="0" applyFont="1" applyFill="1" applyAlignment="1" applyProtection="1">
      <alignment horizontal="right"/>
      <protection locked="0"/>
    </xf>
    <xf numFmtId="0" fontId="40" fillId="0" borderId="0" xfId="0" applyFont="1" applyFill="1" applyBorder="1" applyProtection="1">
      <protection locked="0"/>
    </xf>
    <xf numFmtId="0" fontId="38" fillId="39" borderId="1" xfId="0" applyFont="1" applyFill="1" applyBorder="1" applyProtection="1">
      <protection locked="0"/>
    </xf>
    <xf numFmtId="0" fontId="38" fillId="39" borderId="6" xfId="0" applyFont="1" applyFill="1" applyBorder="1" applyProtection="1">
      <protection locked="0"/>
    </xf>
    <xf numFmtId="0" fontId="38" fillId="40" borderId="1" xfId="0" applyFont="1" applyFill="1" applyBorder="1" applyAlignment="1" applyProtection="1">
      <alignment horizontal="center"/>
      <protection locked="0"/>
    </xf>
    <xf numFmtId="0" fontId="38" fillId="39" borderId="49" xfId="0" applyFont="1" applyFill="1" applyBorder="1" applyProtection="1">
      <protection locked="0"/>
    </xf>
    <xf numFmtId="0" fontId="38" fillId="39" borderId="2" xfId="0" applyFont="1" applyFill="1" applyBorder="1" applyAlignment="1" applyProtection="1">
      <alignment horizontal="center"/>
      <protection locked="0"/>
    </xf>
    <xf numFmtId="0" fontId="38" fillId="0" borderId="0" xfId="0" applyFont="1" applyFill="1" applyBorder="1" applyProtection="1">
      <protection locked="0"/>
    </xf>
    <xf numFmtId="0" fontId="38" fillId="41" borderId="1" xfId="0" applyFont="1" applyFill="1" applyBorder="1" applyProtection="1">
      <protection locked="0"/>
    </xf>
    <xf numFmtId="0" fontId="38" fillId="41" borderId="6" xfId="0" applyFont="1" applyFill="1" applyBorder="1" applyProtection="1">
      <protection locked="0"/>
    </xf>
    <xf numFmtId="0" fontId="46" fillId="39" borderId="1" xfId="0" applyFont="1" applyFill="1" applyBorder="1" applyAlignment="1" applyProtection="1">
      <alignment horizontal="center" vertical="center"/>
      <protection locked="0"/>
    </xf>
    <xf numFmtId="165" fontId="38" fillId="39" borderId="1" xfId="0" applyNumberFormat="1" applyFont="1" applyFill="1" applyBorder="1" applyProtection="1">
      <protection locked="0"/>
    </xf>
    <xf numFmtId="0" fontId="59" fillId="42" borderId="1" xfId="0" applyFont="1" applyFill="1" applyBorder="1" applyAlignment="1" applyProtection="1">
      <alignment horizontal="center" vertical="center"/>
      <protection locked="0"/>
    </xf>
    <xf numFmtId="0" fontId="40" fillId="0" borderId="0" xfId="0" applyFont="1" applyFill="1" applyAlignment="1" applyProtection="1">
      <alignment horizontal="center"/>
      <protection locked="0"/>
    </xf>
    <xf numFmtId="0" fontId="38" fillId="41" borderId="1" xfId="0" applyFont="1" applyFill="1" applyBorder="1" applyAlignment="1" applyProtection="1">
      <alignment horizontal="center"/>
      <protection locked="0"/>
    </xf>
    <xf numFmtId="0" fontId="38" fillId="39" borderId="1" xfId="0" applyFont="1" applyFill="1" applyBorder="1" applyAlignment="1" applyProtection="1">
      <alignment horizontal="left"/>
      <protection locked="0"/>
    </xf>
    <xf numFmtId="0" fontId="38" fillId="39" borderId="12" xfId="0" applyFont="1" applyFill="1" applyBorder="1" applyProtection="1">
      <protection locked="0"/>
    </xf>
    <xf numFmtId="0" fontId="46" fillId="41" borderId="1" xfId="0" applyFont="1" applyFill="1" applyBorder="1" applyAlignment="1" applyProtection="1">
      <alignment horizontal="center" vertical="center"/>
      <protection locked="0"/>
    </xf>
    <xf numFmtId="165" fontId="38" fillId="41" borderId="1" xfId="0" applyNumberFormat="1" applyFont="1" applyFill="1" applyBorder="1" applyProtection="1">
      <protection locked="0"/>
    </xf>
    <xf numFmtId="0" fontId="38" fillId="40" borderId="1" xfId="0" applyFont="1" applyFill="1" applyBorder="1" applyAlignment="1" applyProtection="1">
      <alignment horizontal="center" vertical="center"/>
      <protection locked="0"/>
    </xf>
    <xf numFmtId="0" fontId="59" fillId="0" borderId="2" xfId="0" applyFont="1" applyFill="1" applyBorder="1" applyProtection="1">
      <protection locked="0"/>
    </xf>
    <xf numFmtId="0" fontId="38" fillId="40" borderId="1" xfId="0" applyFont="1" applyFill="1" applyBorder="1" applyProtection="1">
      <protection locked="0"/>
    </xf>
    <xf numFmtId="0" fontId="38" fillId="42" borderId="1" xfId="0" applyFont="1" applyFill="1" applyBorder="1" applyAlignment="1" applyProtection="1">
      <alignment horizontal="center"/>
      <protection locked="0"/>
    </xf>
    <xf numFmtId="0" fontId="38" fillId="42" borderId="1" xfId="0" applyFont="1" applyFill="1" applyBorder="1" applyProtection="1">
      <protection locked="0"/>
    </xf>
    <xf numFmtId="0" fontId="38" fillId="41" borderId="1" xfId="0" applyFont="1" applyFill="1" applyBorder="1" applyAlignment="1" applyProtection="1">
      <alignment horizontal="center" vertical="center"/>
      <protection locked="0"/>
    </xf>
    <xf numFmtId="12" fontId="38" fillId="41" borderId="1" xfId="0" applyNumberFormat="1" applyFont="1" applyFill="1" applyBorder="1" applyAlignment="1" applyProtection="1">
      <alignment horizontal="center" vertical="center"/>
      <protection locked="0"/>
    </xf>
    <xf numFmtId="0" fontId="59" fillId="0" borderId="36" xfId="0" applyFont="1" applyFill="1" applyBorder="1" applyProtection="1">
      <protection locked="0"/>
    </xf>
    <xf numFmtId="0" fontId="59" fillId="0" borderId="22" xfId="0" applyFont="1" applyFill="1" applyBorder="1" applyProtection="1">
      <protection locked="0"/>
    </xf>
    <xf numFmtId="0" fontId="59" fillId="0" borderId="37" xfId="0" applyFont="1" applyFill="1" applyBorder="1" applyProtection="1">
      <protection locked="0"/>
    </xf>
    <xf numFmtId="0" fontId="38" fillId="0" borderId="22" xfId="0" applyFont="1" applyFill="1" applyBorder="1" applyAlignment="1" applyProtection="1">
      <alignment horizontal="center"/>
      <protection locked="0"/>
    </xf>
    <xf numFmtId="0" fontId="38" fillId="0" borderId="22" xfId="0" applyFont="1" applyFill="1" applyBorder="1" applyProtection="1">
      <protection locked="0"/>
    </xf>
    <xf numFmtId="0" fontId="38" fillId="0" borderId="37" xfId="0" applyFont="1" applyFill="1" applyBorder="1" applyProtection="1">
      <protection locked="0"/>
    </xf>
    <xf numFmtId="0" fontId="59" fillId="39" borderId="1" xfId="0" applyFont="1" applyFill="1" applyBorder="1" applyProtection="1">
      <protection locked="0"/>
    </xf>
    <xf numFmtId="0" fontId="38" fillId="39" borderId="1" xfId="0" applyFont="1" applyFill="1" applyBorder="1" applyAlignment="1" applyProtection="1">
      <alignment horizontal="center"/>
      <protection locked="0"/>
    </xf>
    <xf numFmtId="12" fontId="38" fillId="40" borderId="1" xfId="0" applyNumberFormat="1" applyFont="1" applyFill="1" applyBorder="1" applyAlignment="1" applyProtection="1">
      <alignment horizontal="center" vertical="center"/>
      <protection locked="0"/>
    </xf>
    <xf numFmtId="0" fontId="38" fillId="0" borderId="12" xfId="0" applyFont="1" applyFill="1" applyBorder="1" applyProtection="1">
      <protection locked="0"/>
    </xf>
    <xf numFmtId="0" fontId="38" fillId="0" borderId="1" xfId="0" applyFont="1" applyFill="1" applyBorder="1" applyProtection="1">
      <protection locked="0"/>
    </xf>
    <xf numFmtId="0" fontId="38" fillId="0" borderId="6" xfId="0" applyFont="1" applyFill="1" applyBorder="1" applyProtection="1">
      <protection locked="0"/>
    </xf>
    <xf numFmtId="0" fontId="59" fillId="0" borderId="12" xfId="0" applyFont="1" applyFill="1" applyBorder="1" applyProtection="1">
      <protection locked="0"/>
    </xf>
    <xf numFmtId="0" fontId="59" fillId="0" borderId="1" xfId="0" applyFont="1" applyFill="1" applyBorder="1" applyProtection="1">
      <protection locked="0"/>
    </xf>
    <xf numFmtId="0" fontId="38" fillId="0" borderId="1" xfId="0" applyFont="1" applyFill="1" applyBorder="1" applyAlignment="1" applyProtection="1">
      <alignment horizontal="right"/>
      <protection locked="0"/>
    </xf>
    <xf numFmtId="0" fontId="38" fillId="41" borderId="12" xfId="0" applyFont="1" applyFill="1" applyBorder="1" applyProtection="1">
      <protection locked="0"/>
    </xf>
    <xf numFmtId="0" fontId="40" fillId="0" borderId="0" xfId="0" applyFont="1" applyFill="1" applyBorder="1" applyAlignment="1" applyProtection="1">
      <alignment horizontal="left"/>
      <protection locked="0"/>
    </xf>
    <xf numFmtId="0" fontId="38" fillId="42" borderId="1" xfId="0" applyFont="1" applyFill="1" applyBorder="1" applyAlignment="1" applyProtection="1">
      <protection locked="0"/>
    </xf>
    <xf numFmtId="0" fontId="59" fillId="42" borderId="1" xfId="0" applyFont="1" applyFill="1" applyBorder="1" applyAlignment="1" applyProtection="1">
      <protection locked="0"/>
    </xf>
    <xf numFmtId="0" fontId="59" fillId="42" borderId="2" xfId="0" applyFont="1" applyFill="1" applyBorder="1" applyAlignment="1" applyProtection="1">
      <protection locked="0"/>
    </xf>
    <xf numFmtId="0" fontId="38" fillId="0" borderId="36" xfId="0" applyFont="1" applyFill="1" applyBorder="1" applyProtection="1">
      <protection locked="0"/>
    </xf>
    <xf numFmtId="0" fontId="38" fillId="0" borderId="37" xfId="0" applyFont="1" applyFill="1" applyBorder="1" applyAlignment="1" applyProtection="1">
      <alignment horizontal="left"/>
      <protection locked="0"/>
    </xf>
    <xf numFmtId="0" fontId="38" fillId="0" borderId="12" xfId="0" applyFont="1" applyFill="1" applyBorder="1" applyAlignment="1" applyProtection="1">
      <protection locked="0"/>
    </xf>
    <xf numFmtId="0" fontId="38" fillId="0" borderId="1" xfId="0" applyFont="1" applyFill="1" applyBorder="1" applyAlignment="1" applyProtection="1">
      <alignment horizontal="left" vertical="center"/>
      <protection locked="0"/>
    </xf>
    <xf numFmtId="0" fontId="38" fillId="0" borderId="6" xfId="0" applyFont="1" applyFill="1" applyBorder="1" applyAlignment="1" applyProtection="1">
      <alignment horizontal="left"/>
      <protection locked="0"/>
    </xf>
    <xf numFmtId="0" fontId="38" fillId="0" borderId="22" xfId="0" applyFont="1" applyFill="1" applyBorder="1" applyAlignment="1" applyProtection="1">
      <alignment horizontal="left"/>
      <protection locked="0"/>
    </xf>
    <xf numFmtId="0" fontId="59" fillId="42" borderId="2" xfId="0" applyFont="1" applyFill="1" applyBorder="1" applyProtection="1">
      <protection locked="0"/>
    </xf>
    <xf numFmtId="0" fontId="39" fillId="42" borderId="6" xfId="0" applyFont="1" applyFill="1" applyBorder="1" applyProtection="1">
      <protection locked="0"/>
    </xf>
    <xf numFmtId="0" fontId="39" fillId="42" borderId="18" xfId="0" applyFont="1" applyFill="1" applyBorder="1" applyProtection="1">
      <protection locked="0"/>
    </xf>
    <xf numFmtId="0" fontId="59" fillId="42" borderId="18" xfId="0" applyFont="1" applyFill="1" applyBorder="1" applyProtection="1">
      <protection locked="0"/>
    </xf>
    <xf numFmtId="0" fontId="39" fillId="42" borderId="0" xfId="0" applyFont="1" applyFill="1" applyBorder="1" applyProtection="1">
      <protection locked="0"/>
    </xf>
    <xf numFmtId="0" fontId="38" fillId="0" borderId="1" xfId="0" applyFont="1" applyFill="1" applyBorder="1" applyAlignment="1" applyProtection="1">
      <protection locked="0"/>
    </xf>
    <xf numFmtId="0" fontId="38" fillId="0" borderId="6" xfId="0" applyFont="1" applyFill="1" applyBorder="1" applyAlignment="1" applyProtection="1">
      <protection locked="0"/>
    </xf>
    <xf numFmtId="0" fontId="38" fillId="0" borderId="50" xfId="0" applyFont="1" applyFill="1" applyBorder="1" applyProtection="1">
      <protection locked="0"/>
    </xf>
    <xf numFmtId="0" fontId="38" fillId="0" borderId="2" xfId="0" applyFont="1" applyFill="1" applyBorder="1" applyProtection="1">
      <protection locked="0"/>
    </xf>
    <xf numFmtId="0" fontId="38" fillId="0" borderId="49" xfId="0" applyFont="1" applyFill="1" applyBorder="1" applyProtection="1">
      <protection locked="0"/>
    </xf>
    <xf numFmtId="0" fontId="38" fillId="42" borderId="0" xfId="0" applyFont="1" applyFill="1" applyBorder="1" applyAlignment="1" applyProtection="1">
      <alignment horizontal="left"/>
      <protection locked="0"/>
    </xf>
    <xf numFmtId="0" fontId="38" fillId="39" borderId="1" xfId="0" applyFont="1" applyFill="1" applyBorder="1" applyAlignment="1" applyProtection="1">
      <alignment horizontal="center" vertical="center"/>
      <protection locked="0"/>
    </xf>
    <xf numFmtId="12" fontId="38" fillId="39" borderId="1" xfId="0" applyNumberFormat="1" applyFont="1" applyFill="1" applyBorder="1" applyAlignment="1" applyProtection="1">
      <alignment horizontal="center" vertical="center"/>
      <protection locked="0"/>
    </xf>
    <xf numFmtId="0" fontId="59" fillId="0" borderId="36" xfId="0" applyFont="1" applyFill="1" applyBorder="1" applyAlignment="1" applyProtection="1">
      <alignment horizontal="center"/>
      <protection locked="0"/>
    </xf>
    <xf numFmtId="0" fontId="59" fillId="0" borderId="37" xfId="0" applyFont="1" applyFill="1" applyBorder="1" applyAlignment="1" applyProtection="1">
      <alignment horizontal="center"/>
      <protection locked="0"/>
    </xf>
    <xf numFmtId="165" fontId="38" fillId="39" borderId="1" xfId="0" applyNumberFormat="1" applyFont="1" applyFill="1" applyBorder="1" applyAlignment="1" applyProtection="1">
      <alignment horizontal="left"/>
      <protection locked="0"/>
    </xf>
    <xf numFmtId="0" fontId="38" fillId="0" borderId="6" xfId="0" applyFont="1" applyFill="1" applyBorder="1" applyAlignment="1" applyProtection="1">
      <alignment horizontal="center"/>
      <protection locked="0"/>
    </xf>
    <xf numFmtId="0" fontId="38" fillId="39" borderId="1" xfId="0" applyFont="1" applyFill="1" applyBorder="1" applyAlignment="1" applyProtection="1">
      <protection locked="0"/>
    </xf>
    <xf numFmtId="0" fontId="38" fillId="39" borderId="1" xfId="0" applyFont="1" applyFill="1" applyBorder="1" applyAlignment="1" applyProtection="1">
      <alignment horizontal="right"/>
      <protection locked="0"/>
    </xf>
    <xf numFmtId="0" fontId="59" fillId="0" borderId="50" xfId="0" applyFont="1" applyFill="1" applyBorder="1" applyProtection="1">
      <protection locked="0"/>
    </xf>
    <xf numFmtId="0" fontId="38" fillId="0" borderId="49" xfId="0" applyFont="1" applyFill="1" applyBorder="1" applyAlignment="1" applyProtection="1">
      <alignment horizontal="center"/>
      <protection locked="0"/>
    </xf>
    <xf numFmtId="0" fontId="38" fillId="41" borderId="1" xfId="0" applyFont="1" applyFill="1" applyBorder="1" applyAlignment="1" applyProtection="1">
      <protection locked="0"/>
    </xf>
    <xf numFmtId="0" fontId="38" fillId="41" borderId="1" xfId="0" applyFont="1" applyFill="1" applyBorder="1" applyAlignment="1" applyProtection="1">
      <alignment horizontal="right"/>
      <protection locked="0"/>
    </xf>
    <xf numFmtId="0" fontId="38" fillId="39" borderId="2" xfId="0" applyFont="1" applyFill="1" applyBorder="1" applyAlignment="1" applyProtection="1">
      <alignment horizontal="right"/>
      <protection locked="0"/>
    </xf>
    <xf numFmtId="0" fontId="38" fillId="0" borderId="12" xfId="0" applyFont="1" applyFill="1" applyBorder="1" applyAlignment="1" applyProtection="1">
      <alignment horizontal="left"/>
      <protection locked="0"/>
    </xf>
    <xf numFmtId="0" fontId="38" fillId="41" borderId="49" xfId="0" applyFont="1" applyFill="1" applyBorder="1" applyProtection="1">
      <protection locked="0"/>
    </xf>
    <xf numFmtId="0" fontId="38" fillId="41" borderId="2" xfId="0" applyFont="1" applyFill="1" applyBorder="1" applyProtection="1">
      <protection locked="0"/>
    </xf>
    <xf numFmtId="0" fontId="38" fillId="41" borderId="1" xfId="0" applyFont="1" applyFill="1" applyBorder="1" applyAlignment="1" applyProtection="1">
      <alignment horizontal="left"/>
      <protection locked="0"/>
    </xf>
    <xf numFmtId="165" fontId="38" fillId="41" borderId="1" xfId="0" applyNumberFormat="1" applyFont="1" applyFill="1" applyBorder="1" applyAlignment="1" applyProtection="1">
      <alignment horizontal="left"/>
      <protection locked="0"/>
    </xf>
    <xf numFmtId="0" fontId="38" fillId="0" borderId="1" xfId="0" applyFont="1" applyFill="1" applyBorder="1" applyAlignment="1" applyProtection="1">
      <alignment horizontal="left"/>
      <protection locked="0"/>
    </xf>
    <xf numFmtId="0" fontId="38" fillId="39" borderId="2" xfId="0" applyFont="1" applyFill="1" applyBorder="1" applyProtection="1">
      <protection locked="0"/>
    </xf>
    <xf numFmtId="0" fontId="59" fillId="42" borderId="0" xfId="0" applyFont="1" applyFill="1" applyBorder="1" applyProtection="1">
      <protection locked="0"/>
    </xf>
    <xf numFmtId="0" fontId="59" fillId="42" borderId="0" xfId="0" applyFont="1" applyFill="1" applyBorder="1" applyAlignment="1" applyProtection="1">
      <alignment horizontal="left"/>
      <protection locked="0"/>
    </xf>
    <xf numFmtId="0" fontId="38" fillId="0" borderId="2" xfId="0" applyFont="1" applyFill="1" applyBorder="1" applyAlignment="1" applyProtection="1">
      <alignment horizontal="left"/>
      <protection locked="0"/>
    </xf>
    <xf numFmtId="0" fontId="38" fillId="0" borderId="49" xfId="0" applyFont="1" applyFill="1" applyBorder="1" applyAlignment="1" applyProtection="1">
      <alignment horizontal="left"/>
      <protection locked="0"/>
    </xf>
    <xf numFmtId="0" fontId="59" fillId="41" borderId="1" xfId="0" applyFont="1" applyFill="1" applyBorder="1" applyProtection="1">
      <protection locked="0"/>
    </xf>
    <xf numFmtId="0" fontId="38" fillId="0" borderId="37" xfId="0" applyFont="1" applyFill="1" applyBorder="1" applyAlignment="1" applyProtection="1">
      <alignment horizontal="center"/>
      <protection locked="0"/>
    </xf>
    <xf numFmtId="0" fontId="40" fillId="0" borderId="0" xfId="0" applyFont="1" applyFill="1" applyBorder="1" applyAlignment="1" applyProtection="1">
      <alignment vertical="center"/>
      <protection locked="0"/>
    </xf>
    <xf numFmtId="0" fontId="38" fillId="0" borderId="50" xfId="0" applyFont="1" applyFill="1" applyBorder="1" applyAlignment="1" applyProtection="1">
      <protection locked="0"/>
    </xf>
    <xf numFmtId="9" fontId="38" fillId="0" borderId="1" xfId="0" applyNumberFormat="1" applyFont="1" applyFill="1" applyBorder="1" applyAlignment="1" applyProtection="1">
      <alignment horizontal="center"/>
      <protection locked="0"/>
    </xf>
    <xf numFmtId="9" fontId="38" fillId="0" borderId="6" xfId="0" applyNumberFormat="1" applyFont="1" applyFill="1" applyBorder="1" applyProtection="1">
      <protection locked="0"/>
    </xf>
    <xf numFmtId="9" fontId="38" fillId="0" borderId="2" xfId="0" applyNumberFormat="1" applyFont="1" applyFill="1" applyBorder="1" applyAlignment="1" applyProtection="1">
      <alignment horizontal="center"/>
      <protection locked="0"/>
    </xf>
    <xf numFmtId="9" fontId="38" fillId="0" borderId="49" xfId="0" applyNumberFormat="1" applyFont="1" applyFill="1" applyBorder="1" applyProtection="1">
      <protection locked="0"/>
    </xf>
    <xf numFmtId="0" fontId="38" fillId="0" borderId="12" xfId="0" applyFont="1" applyFill="1" applyBorder="1" applyAlignment="1" applyProtection="1">
      <alignment horizontal="left" vertical="center"/>
      <protection locked="0"/>
    </xf>
    <xf numFmtId="0" fontId="38" fillId="0" borderId="1" xfId="0" applyFont="1" applyFill="1" applyBorder="1" applyAlignment="1" applyProtection="1">
      <alignment vertical="center"/>
      <protection locked="0"/>
    </xf>
    <xf numFmtId="0" fontId="38" fillId="0" borderId="6" xfId="0" applyFont="1" applyFill="1" applyBorder="1" applyAlignment="1" applyProtection="1">
      <alignment vertical="center"/>
      <protection locked="0"/>
    </xf>
    <xf numFmtId="0" fontId="59" fillId="42" borderId="22" xfId="0" applyFont="1" applyFill="1" applyBorder="1" applyProtection="1">
      <protection locked="0"/>
    </xf>
    <xf numFmtId="0" fontId="38" fillId="42" borderId="37" xfId="0" applyFont="1" applyFill="1" applyBorder="1" applyAlignment="1" applyProtection="1">
      <alignment horizontal="center"/>
      <protection locked="0"/>
    </xf>
    <xf numFmtId="0" fontId="38" fillId="0" borderId="6" xfId="0" applyFont="1" applyFill="1" applyBorder="1" applyAlignment="1" applyProtection="1">
      <alignment horizontal="center" vertical="center"/>
      <protection locked="0"/>
    </xf>
    <xf numFmtId="0" fontId="38" fillId="0" borderId="37" xfId="0" applyFont="1" applyFill="1" applyBorder="1" applyAlignment="1" applyProtection="1">
      <protection locked="0"/>
    </xf>
    <xf numFmtId="0" fontId="38" fillId="0" borderId="6" xfId="0" applyFont="1" applyFill="1" applyBorder="1" applyAlignment="1" applyProtection="1">
      <alignment horizontal="right"/>
      <protection locked="0"/>
    </xf>
    <xf numFmtId="16" fontId="38" fillId="39" borderId="1" xfId="0" quotePrefix="1" applyNumberFormat="1" applyFont="1" applyFill="1" applyBorder="1" applyProtection="1">
      <protection locked="0"/>
    </xf>
    <xf numFmtId="16" fontId="38" fillId="41" borderId="1" xfId="0" quotePrefix="1" applyNumberFormat="1" applyFont="1" applyFill="1" applyBorder="1" applyProtection="1">
      <protection locked="0"/>
    </xf>
    <xf numFmtId="17" fontId="38" fillId="39" borderId="1" xfId="0" quotePrefix="1" applyNumberFormat="1" applyFont="1" applyFill="1" applyBorder="1" applyProtection="1">
      <protection locked="0"/>
    </xf>
    <xf numFmtId="17" fontId="38" fillId="41" borderId="1" xfId="0" quotePrefix="1" applyNumberFormat="1" applyFont="1" applyFill="1" applyBorder="1" applyProtection="1">
      <protection locked="0"/>
    </xf>
    <xf numFmtId="0" fontId="38" fillId="0" borderId="49" xfId="0" applyFont="1" applyFill="1" applyBorder="1" applyAlignment="1" applyProtection="1">
      <protection locked="0"/>
    </xf>
    <xf numFmtId="176" fontId="38" fillId="39" borderId="1" xfId="0" applyNumberFormat="1" applyFont="1" applyFill="1" applyBorder="1" applyProtection="1">
      <protection locked="0"/>
    </xf>
    <xf numFmtId="176" fontId="38" fillId="41" borderId="1" xfId="0" applyNumberFormat="1" applyFont="1" applyFill="1" applyBorder="1" applyProtection="1">
      <protection locked="0"/>
    </xf>
    <xf numFmtId="0" fontId="41" fillId="39" borderId="1" xfId="0" applyFont="1" applyFill="1" applyBorder="1" applyAlignment="1" applyProtection="1">
      <alignment horizontal="right"/>
      <protection locked="0"/>
    </xf>
    <xf numFmtId="0" fontId="41" fillId="39" borderId="1" xfId="0" applyFont="1" applyFill="1" applyBorder="1" applyAlignment="1" applyProtection="1">
      <alignment horizontal="center" wrapText="1"/>
      <protection locked="0"/>
    </xf>
    <xf numFmtId="0" fontId="41" fillId="41" borderId="1" xfId="0" applyFont="1" applyFill="1" applyBorder="1" applyAlignment="1" applyProtection="1">
      <alignment horizontal="right"/>
      <protection locked="0"/>
    </xf>
    <xf numFmtId="0" fontId="41" fillId="41" borderId="1" xfId="0" applyFont="1" applyFill="1" applyBorder="1" applyAlignment="1" applyProtection="1">
      <alignment horizontal="center" wrapText="1"/>
      <protection locked="0"/>
    </xf>
    <xf numFmtId="0" fontId="38" fillId="0" borderId="50" xfId="0" applyFont="1" applyFill="1" applyBorder="1" applyAlignment="1" applyProtection="1">
      <alignment horizontal="left" vertical="center"/>
      <protection locked="0"/>
    </xf>
    <xf numFmtId="0" fontId="38" fillId="0" borderId="2" xfId="0" applyFont="1" applyFill="1" applyBorder="1" applyAlignment="1" applyProtection="1">
      <alignment horizontal="left" vertical="center"/>
      <protection locked="0"/>
    </xf>
    <xf numFmtId="0" fontId="38" fillId="0" borderId="2" xfId="0" applyFont="1" applyFill="1" applyBorder="1" applyAlignment="1" applyProtection="1">
      <alignment vertical="center"/>
      <protection locked="0"/>
    </xf>
    <xf numFmtId="0" fontId="38" fillId="0" borderId="49" xfId="0" applyFont="1" applyFill="1" applyBorder="1" applyAlignment="1" applyProtection="1">
      <alignment vertical="center"/>
      <protection locked="0"/>
    </xf>
    <xf numFmtId="0" fontId="40" fillId="0" borderId="0" xfId="0" applyFont="1" applyFill="1" applyBorder="1" applyAlignment="1" applyProtection="1">
      <alignment horizontal="left" vertical="center"/>
      <protection locked="0"/>
    </xf>
    <xf numFmtId="0" fontId="39" fillId="0" borderId="0" xfId="0" applyFont="1" applyFill="1" applyBorder="1" applyAlignment="1" applyProtection="1">
      <protection locked="0"/>
    </xf>
    <xf numFmtId="0" fontId="40" fillId="0" borderId="0" xfId="1" applyFont="1" applyFill="1" applyBorder="1" applyAlignment="1" applyProtection="1">
      <alignment horizontal="center"/>
      <protection locked="0"/>
    </xf>
    <xf numFmtId="0" fontId="40" fillId="0" borderId="0" xfId="0" applyFont="1" applyFill="1" applyBorder="1" applyAlignment="1" applyProtection="1">
      <alignment horizontal="right"/>
      <protection locked="0"/>
    </xf>
    <xf numFmtId="0" fontId="40" fillId="0" borderId="0" xfId="0" applyFont="1" applyFill="1" applyBorder="1" applyAlignment="1" applyProtection="1">
      <alignment horizontal="right" vertical="center"/>
      <protection locked="0"/>
    </xf>
    <xf numFmtId="0" fontId="40" fillId="0" borderId="0"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xf>
    <xf numFmtId="0" fontId="4" fillId="42" borderId="1" xfId="0" applyFont="1" applyFill="1" applyBorder="1" applyAlignment="1" applyProtection="1">
      <alignment horizontal="center"/>
    </xf>
    <xf numFmtId="0" fontId="5" fillId="39" borderId="1" xfId="0" applyFont="1" applyFill="1" applyBorder="1" applyAlignment="1" applyProtection="1">
      <alignment wrapText="1"/>
    </xf>
    <xf numFmtId="0" fontId="5" fillId="39" borderId="1" xfId="0" applyFont="1" applyFill="1" applyBorder="1" applyAlignment="1" applyProtection="1">
      <alignment horizontal="left" vertical="center"/>
    </xf>
    <xf numFmtId="0" fontId="5" fillId="41" borderId="1" xfId="0" applyFont="1" applyFill="1" applyBorder="1" applyAlignment="1" applyProtection="1">
      <alignment wrapText="1"/>
    </xf>
    <xf numFmtId="0" fontId="5" fillId="41" borderId="1" xfId="0" applyFont="1" applyFill="1" applyBorder="1" applyAlignment="1" applyProtection="1">
      <alignment horizontal="left" vertical="center"/>
    </xf>
    <xf numFmtId="0" fontId="4" fillId="42" borderId="1" xfId="0" applyFont="1" applyFill="1" applyBorder="1" applyAlignment="1" applyProtection="1">
      <alignment horizontal="center" vertical="center"/>
    </xf>
    <xf numFmtId="0" fontId="4" fillId="42" borderId="1" xfId="0" applyFont="1" applyFill="1" applyBorder="1" applyAlignment="1" applyProtection="1"/>
    <xf numFmtId="0" fontId="4" fillId="42" borderId="1" xfId="0" applyFont="1" applyFill="1" applyBorder="1" applyAlignment="1" applyProtection="1">
      <alignment horizontal="left"/>
    </xf>
    <xf numFmtId="0" fontId="5" fillId="41" borderId="1" xfId="0" applyNumberFormat="1" applyFont="1" applyFill="1" applyBorder="1" applyProtection="1"/>
    <xf numFmtId="0" fontId="5" fillId="39" borderId="1" xfId="0" applyNumberFormat="1" applyFont="1" applyFill="1" applyBorder="1" applyProtection="1"/>
    <xf numFmtId="0" fontId="5" fillId="41" borderId="1" xfId="0" applyFont="1" applyFill="1" applyBorder="1" applyAlignment="1" applyProtection="1"/>
    <xf numFmtId="0" fontId="47" fillId="0" borderId="37" xfId="0" applyFont="1" applyFill="1" applyBorder="1" applyProtection="1"/>
    <xf numFmtId="0" fontId="4" fillId="42" borderId="1" xfId="0" applyFont="1" applyFill="1" applyBorder="1" applyAlignment="1" applyProtection="1">
      <alignment horizontal="right"/>
    </xf>
    <xf numFmtId="0" fontId="5" fillId="39" borderId="1" xfId="0" applyNumberFormat="1" applyFont="1" applyFill="1" applyBorder="1" applyAlignment="1" applyProtection="1">
      <alignment wrapText="1"/>
    </xf>
    <xf numFmtId="0" fontId="5" fillId="41" borderId="1" xfId="0" applyNumberFormat="1" applyFont="1" applyFill="1" applyBorder="1" applyAlignment="1" applyProtection="1">
      <alignment wrapText="1"/>
    </xf>
    <xf numFmtId="0" fontId="47" fillId="42" borderId="1" xfId="0" applyFont="1" applyFill="1" applyBorder="1" applyProtection="1"/>
    <xf numFmtId="0" fontId="46" fillId="39" borderId="1" xfId="0" applyFont="1" applyFill="1" applyBorder="1" applyAlignment="1" applyProtection="1">
      <alignment wrapText="1"/>
    </xf>
    <xf numFmtId="0" fontId="46" fillId="41" borderId="1" xfId="0" applyFont="1" applyFill="1" applyBorder="1" applyAlignment="1" applyProtection="1">
      <alignment wrapText="1"/>
    </xf>
    <xf numFmtId="0" fontId="47" fillId="42" borderId="1" xfId="0" applyFont="1" applyFill="1" applyBorder="1" applyAlignment="1" applyProtection="1">
      <alignment horizontal="left"/>
    </xf>
    <xf numFmtId="0" fontId="46" fillId="39" borderId="1" xfId="0" applyNumberFormat="1" applyFont="1" applyFill="1" applyBorder="1" applyAlignment="1" applyProtection="1">
      <alignment wrapText="1"/>
    </xf>
    <xf numFmtId="0" fontId="46" fillId="41" borderId="1" xfId="0" applyNumberFormat="1" applyFont="1" applyFill="1" applyBorder="1" applyAlignment="1" applyProtection="1">
      <alignment wrapText="1"/>
    </xf>
    <xf numFmtId="0" fontId="46" fillId="41" borderId="1" xfId="0" applyFont="1" applyFill="1" applyBorder="1" applyAlignment="1" applyProtection="1">
      <alignment horizontal="right"/>
      <protection locked="0"/>
    </xf>
    <xf numFmtId="0" fontId="46" fillId="39" borderId="1" xfId="0" applyFont="1" applyFill="1" applyBorder="1" applyAlignment="1" applyProtection="1">
      <alignment horizontal="right"/>
      <protection locked="0"/>
    </xf>
    <xf numFmtId="0" fontId="47" fillId="42" borderId="1" xfId="0" applyFont="1" applyFill="1" applyBorder="1" applyAlignment="1" applyProtection="1">
      <alignment horizontal="center" vertical="center"/>
    </xf>
    <xf numFmtId="0" fontId="38" fillId="39" borderId="6" xfId="0" applyFont="1" applyFill="1" applyBorder="1" applyAlignment="1" applyProtection="1">
      <alignment horizontal="center"/>
      <protection locked="0"/>
    </xf>
    <xf numFmtId="0" fontId="59" fillId="42" borderId="1" xfId="0" applyFont="1" applyFill="1" applyBorder="1" applyAlignment="1" applyProtection="1">
      <alignment horizontal="center"/>
      <protection locked="0"/>
    </xf>
    <xf numFmtId="0" fontId="5" fillId="35" borderId="5" xfId="0" applyFont="1" applyFill="1" applyBorder="1" applyProtection="1"/>
    <xf numFmtId="0" fontId="5" fillId="35" borderId="2" xfId="0" applyFont="1" applyFill="1" applyBorder="1" applyProtection="1"/>
    <xf numFmtId="0" fontId="5" fillId="35" borderId="1" xfId="0" applyFont="1" applyFill="1" applyBorder="1" applyProtection="1"/>
    <xf numFmtId="0" fontId="5" fillId="35" borderId="122" xfId="0" applyFont="1" applyFill="1" applyBorder="1" applyProtection="1"/>
    <xf numFmtId="0" fontId="5" fillId="35" borderId="63" xfId="0" applyFont="1" applyFill="1" applyBorder="1" applyProtection="1"/>
    <xf numFmtId="0" fontId="5" fillId="35" borderId="38" xfId="0" applyFont="1" applyFill="1" applyBorder="1" applyProtection="1"/>
    <xf numFmtId="0" fontId="46" fillId="0" borderId="0" xfId="0" applyNumberFormat="1" applyFont="1" applyFill="1" applyBorder="1" applyProtection="1">
      <protection locked="0"/>
    </xf>
    <xf numFmtId="0" fontId="59" fillId="42" borderId="106" xfId="0" applyFont="1" applyFill="1" applyBorder="1" applyProtection="1">
      <protection locked="0"/>
    </xf>
    <xf numFmtId="0" fontId="59" fillId="42" borderId="61" xfId="0" applyFont="1" applyFill="1" applyBorder="1" applyProtection="1">
      <protection locked="0"/>
    </xf>
    <xf numFmtId="0" fontId="59" fillId="42" borderId="63" xfId="0" applyFont="1" applyFill="1" applyBorder="1" applyProtection="1">
      <protection locked="0"/>
    </xf>
    <xf numFmtId="0" fontId="38" fillId="42" borderId="0" xfId="0" applyFont="1" applyFill="1" applyBorder="1" applyProtection="1">
      <protection locked="0"/>
    </xf>
    <xf numFmtId="0" fontId="47" fillId="42" borderId="0" xfId="0" applyFont="1" applyFill="1" applyBorder="1" applyProtection="1"/>
    <xf numFmtId="0" fontId="47" fillId="42" borderId="0" xfId="0" applyFont="1" applyFill="1" applyBorder="1" applyAlignment="1" applyProtection="1">
      <alignment horizontal="center" vertical="center"/>
    </xf>
    <xf numFmtId="0" fontId="38" fillId="40" borderId="29" xfId="0" applyFont="1" applyFill="1" applyBorder="1" applyProtection="1">
      <protection locked="0"/>
    </xf>
    <xf numFmtId="0" fontId="59" fillId="0" borderId="43" xfId="0" applyFont="1" applyFill="1" applyBorder="1" applyProtection="1">
      <protection locked="0"/>
    </xf>
    <xf numFmtId="0" fontId="38" fillId="0" borderId="29" xfId="0" applyFont="1" applyFill="1" applyBorder="1" applyProtection="1">
      <protection locked="0"/>
    </xf>
    <xf numFmtId="0" fontId="40" fillId="42" borderId="0" xfId="0" applyFont="1" applyFill="1" applyBorder="1" applyProtection="1">
      <protection locked="0"/>
    </xf>
    <xf numFmtId="0" fontId="39" fillId="42" borderId="0" xfId="0" applyFont="1" applyFill="1" applyBorder="1" applyAlignment="1" applyProtection="1">
      <alignment horizontal="center"/>
      <protection locked="0"/>
    </xf>
    <xf numFmtId="0" fontId="59" fillId="42" borderId="0" xfId="0" applyFont="1" applyFill="1" applyBorder="1" applyAlignment="1" applyProtection="1">
      <alignment horizontal="center"/>
      <protection locked="0"/>
    </xf>
    <xf numFmtId="0" fontId="40" fillId="43" borderId="0" xfId="0" applyFont="1" applyFill="1" applyBorder="1" applyProtection="1"/>
    <xf numFmtId="0" fontId="38" fillId="0" borderId="42" xfId="0" applyFont="1" applyFill="1" applyBorder="1" applyProtection="1">
      <protection locked="0"/>
    </xf>
    <xf numFmtId="0" fontId="38" fillId="0" borderId="43" xfId="0" applyFont="1" applyFill="1" applyBorder="1" applyProtection="1">
      <protection locked="0"/>
    </xf>
    <xf numFmtId="0" fontId="47" fillId="42" borderId="0" xfId="0" applyFont="1" applyFill="1" applyBorder="1" applyProtection="1">
      <protection locked="0"/>
    </xf>
    <xf numFmtId="0" fontId="38" fillId="0" borderId="29" xfId="0" applyFont="1" applyFill="1" applyBorder="1" applyAlignment="1" applyProtection="1">
      <alignment horizontal="left"/>
      <protection locked="0"/>
    </xf>
    <xf numFmtId="0" fontId="4" fillId="42" borderId="0" xfId="0" applyFont="1" applyFill="1" applyBorder="1" applyAlignment="1" applyProtection="1">
      <alignment horizontal="right"/>
      <protection locked="0"/>
    </xf>
    <xf numFmtId="0" fontId="4" fillId="42" borderId="0" xfId="0" applyFont="1" applyFill="1" applyBorder="1" applyAlignment="1" applyProtection="1">
      <alignment horizontal="left"/>
      <protection locked="0"/>
    </xf>
    <xf numFmtId="0" fontId="40" fillId="18" borderId="0" xfId="0" applyFont="1" applyFill="1" applyBorder="1" applyProtection="1">
      <protection locked="0"/>
    </xf>
    <xf numFmtId="0" fontId="46" fillId="18" borderId="39" xfId="0" applyFont="1" applyFill="1" applyBorder="1" applyProtection="1">
      <protection locked="0"/>
    </xf>
    <xf numFmtId="0" fontId="46" fillId="18" borderId="0" xfId="0" applyFont="1" applyFill="1" applyBorder="1" applyAlignment="1" applyProtection="1">
      <alignment horizontal="center"/>
      <protection locked="0"/>
    </xf>
    <xf numFmtId="0" fontId="46" fillId="18" borderId="0" xfId="0" applyFont="1" applyFill="1" applyBorder="1" applyProtection="1">
      <protection locked="0"/>
    </xf>
    <xf numFmtId="0" fontId="47" fillId="18" borderId="39" xfId="0" applyFont="1" applyFill="1" applyBorder="1" applyProtection="1">
      <protection locked="0"/>
    </xf>
    <xf numFmtId="0" fontId="46" fillId="18" borderId="55" xfId="0" applyFont="1" applyFill="1" applyBorder="1" applyProtection="1">
      <protection locked="0"/>
    </xf>
    <xf numFmtId="0" fontId="46" fillId="18" borderId="91" xfId="0" applyFont="1" applyFill="1" applyBorder="1" applyProtection="1">
      <protection locked="0"/>
    </xf>
    <xf numFmtId="9" fontId="46" fillId="18" borderId="0" xfId="0" applyNumberFormat="1" applyFont="1" applyFill="1" applyBorder="1" applyAlignment="1" applyProtection="1">
      <alignment horizontal="center"/>
      <protection locked="0"/>
    </xf>
    <xf numFmtId="0" fontId="39" fillId="18" borderId="0" xfId="0" applyFont="1" applyFill="1" applyBorder="1" applyProtection="1">
      <protection locked="0"/>
    </xf>
    <xf numFmtId="0" fontId="47" fillId="18" borderId="0" xfId="0" applyFont="1" applyFill="1" applyBorder="1" applyProtection="1">
      <protection locked="0"/>
    </xf>
    <xf numFmtId="0" fontId="38" fillId="18" borderId="0" xfId="0" applyFont="1" applyFill="1" applyBorder="1" applyProtection="1">
      <protection locked="0"/>
    </xf>
    <xf numFmtId="0" fontId="46" fillId="18" borderId="63" xfId="0" applyFont="1" applyFill="1" applyBorder="1" applyProtection="1">
      <protection locked="0"/>
    </xf>
    <xf numFmtId="0" fontId="47" fillId="18" borderId="52" xfId="0" applyFont="1" applyFill="1" applyBorder="1" applyProtection="1">
      <protection locked="0"/>
    </xf>
    <xf numFmtId="0" fontId="47" fillId="18" borderId="17" xfId="0" applyFont="1" applyFill="1" applyBorder="1" applyProtection="1">
      <protection locked="0"/>
    </xf>
    <xf numFmtId="0" fontId="46" fillId="18" borderId="63" xfId="0" applyFont="1" applyFill="1" applyBorder="1" applyAlignment="1" applyProtection="1">
      <alignment horizontal="center"/>
      <protection locked="0"/>
    </xf>
    <xf numFmtId="0" fontId="59" fillId="18" borderId="0" xfId="0" applyFont="1" applyFill="1" applyBorder="1" applyProtection="1">
      <protection locked="0"/>
    </xf>
    <xf numFmtId="16" fontId="46" fillId="18" borderId="0" xfId="0" applyNumberFormat="1" applyFont="1" applyFill="1" applyBorder="1" applyProtection="1">
      <protection locked="0"/>
    </xf>
    <xf numFmtId="0" fontId="5" fillId="18" borderId="0" xfId="0" applyFont="1" applyFill="1" applyBorder="1" applyProtection="1"/>
    <xf numFmtId="0" fontId="46" fillId="18" borderId="0" xfId="0" applyFont="1" applyFill="1" applyBorder="1" applyProtection="1"/>
    <xf numFmtId="0" fontId="47" fillId="18" borderId="91" xfId="0" applyFont="1" applyFill="1" applyBorder="1" applyProtection="1">
      <protection locked="0"/>
    </xf>
    <xf numFmtId="0" fontId="46" fillId="18" borderId="91" xfId="0" applyFont="1" applyFill="1" applyBorder="1" applyAlignment="1" applyProtection="1">
      <alignment horizontal="center"/>
      <protection locked="0"/>
    </xf>
    <xf numFmtId="0" fontId="47" fillId="18" borderId="0" xfId="0" applyFont="1" applyFill="1" applyBorder="1" applyProtection="1"/>
    <xf numFmtId="0" fontId="46" fillId="18" borderId="0" xfId="0" applyFont="1" applyFill="1" applyBorder="1" applyAlignment="1" applyProtection="1">
      <alignment horizontal="center"/>
    </xf>
    <xf numFmtId="0" fontId="46" fillId="18" borderId="0" xfId="0" applyFont="1" applyFill="1" applyBorder="1" applyAlignment="1" applyProtection="1">
      <alignment wrapText="1"/>
    </xf>
    <xf numFmtId="0" fontId="38" fillId="18" borderId="0" xfId="0" applyFont="1" applyFill="1" applyBorder="1" applyAlignment="1" applyProtection="1">
      <alignment horizontal="center"/>
      <protection locked="0"/>
    </xf>
    <xf numFmtId="0" fontId="46" fillId="18" borderId="63" xfId="0" applyFont="1" applyFill="1" applyBorder="1" applyAlignment="1" applyProtection="1">
      <alignment horizontal="left"/>
      <protection locked="0"/>
    </xf>
    <xf numFmtId="0" fontId="46" fillId="18" borderId="63" xfId="0" applyFont="1" applyFill="1" applyBorder="1" applyAlignment="1" applyProtection="1">
      <alignment horizontal="right"/>
      <protection locked="0"/>
    </xf>
    <xf numFmtId="0" fontId="46" fillId="18" borderId="0" xfId="0" applyFont="1" applyFill="1" applyBorder="1" applyAlignment="1" applyProtection="1">
      <alignment horizontal="left"/>
      <protection locked="0"/>
    </xf>
    <xf numFmtId="0" fontId="46" fillId="18" borderId="0" xfId="0" applyFont="1" applyFill="1" applyBorder="1" applyAlignment="1" applyProtection="1">
      <alignment horizontal="right"/>
      <protection locked="0"/>
    </xf>
    <xf numFmtId="0" fontId="5" fillId="18" borderId="0" xfId="0" applyFont="1" applyFill="1" applyBorder="1" applyAlignment="1" applyProtection="1"/>
    <xf numFmtId="0" fontId="46" fillId="18" borderId="0" xfId="0" applyFont="1" applyFill="1" applyBorder="1" applyAlignment="1" applyProtection="1">
      <alignment vertical="center"/>
      <protection locked="0"/>
    </xf>
    <xf numFmtId="0" fontId="46" fillId="18" borderId="0" xfId="0" applyFont="1" applyFill="1" applyBorder="1" applyAlignment="1" applyProtection="1"/>
    <xf numFmtId="0" fontId="46" fillId="18" borderId="0" xfId="0" applyFont="1" applyFill="1" applyBorder="1" applyAlignment="1" applyProtection="1">
      <protection locked="0"/>
    </xf>
    <xf numFmtId="0" fontId="46" fillId="18" borderId="0" xfId="0" applyFont="1" applyFill="1" applyBorder="1" applyAlignment="1" applyProtection="1">
      <alignment horizontal="left" vertical="center"/>
    </xf>
    <xf numFmtId="0" fontId="46" fillId="18" borderId="91" xfId="0" applyFont="1" applyFill="1" applyBorder="1" applyAlignment="1" applyProtection="1">
      <alignment horizontal="left"/>
      <protection locked="0"/>
    </xf>
    <xf numFmtId="0" fontId="46" fillId="18" borderId="91" xfId="0" applyFont="1" applyFill="1" applyBorder="1" applyAlignment="1" applyProtection="1">
      <alignment horizontal="right"/>
      <protection locked="0"/>
    </xf>
    <xf numFmtId="0" fontId="46" fillId="18" borderId="0" xfId="0" applyNumberFormat="1" applyFont="1" applyFill="1" applyBorder="1" applyProtection="1"/>
    <xf numFmtId="0" fontId="46" fillId="18" borderId="0" xfId="0" applyNumberFormat="1" applyFont="1" applyFill="1" applyBorder="1" applyProtection="1">
      <protection locked="0"/>
    </xf>
    <xf numFmtId="0" fontId="47" fillId="18" borderId="0" xfId="0" applyFont="1" applyFill="1" applyBorder="1" applyAlignment="1" applyProtection="1">
      <alignment horizontal="left"/>
      <protection locked="0"/>
    </xf>
    <xf numFmtId="0" fontId="59" fillId="44" borderId="6" xfId="0" applyFont="1" applyFill="1" applyBorder="1" applyProtection="1">
      <protection locked="0"/>
    </xf>
    <xf numFmtId="0" fontId="59" fillId="44" borderId="1" xfId="0" applyFont="1" applyFill="1" applyBorder="1" applyProtection="1">
      <protection locked="0"/>
    </xf>
    <xf numFmtId="0" fontId="46" fillId="18" borderId="0" xfId="0" applyFont="1" applyFill="1" applyBorder="1" applyAlignment="1" applyProtection="1">
      <alignment horizontal="left"/>
    </xf>
    <xf numFmtId="0" fontId="46" fillId="39" borderId="1" xfId="0" applyFont="1" applyFill="1" applyBorder="1" applyAlignment="1" applyProtection="1"/>
    <xf numFmtId="0" fontId="46" fillId="39" borderId="1" xfId="0" applyNumberFormat="1" applyFont="1" applyFill="1" applyBorder="1" applyProtection="1"/>
    <xf numFmtId="0" fontId="46" fillId="18" borderId="0" xfId="0" quotePrefix="1" applyFont="1" applyFill="1" applyBorder="1" applyProtection="1">
      <protection locked="0"/>
    </xf>
    <xf numFmtId="0" fontId="38" fillId="18" borderId="0" xfId="0" applyFont="1" applyFill="1" applyBorder="1" applyAlignment="1" applyProtection="1">
      <alignment horizontal="left"/>
      <protection locked="0"/>
    </xf>
    <xf numFmtId="0" fontId="46" fillId="18" borderId="0" xfId="0" applyNumberFormat="1" applyFont="1" applyFill="1" applyBorder="1" applyAlignment="1" applyProtection="1">
      <alignment wrapText="1"/>
      <protection locked="0"/>
    </xf>
    <xf numFmtId="0" fontId="46" fillId="18" borderId="0" xfId="0" quotePrefix="1" applyFont="1" applyFill="1" applyBorder="1" applyAlignment="1" applyProtection="1">
      <alignment horizontal="left"/>
      <protection locked="0"/>
    </xf>
    <xf numFmtId="0" fontId="46" fillId="18" borderId="0" xfId="0" applyFont="1" applyFill="1" applyBorder="1" applyAlignment="1" applyProtection="1">
      <alignment wrapText="1"/>
      <protection locked="0"/>
    </xf>
    <xf numFmtId="0" fontId="46" fillId="18" borderId="65" xfId="0" applyFont="1" applyFill="1" applyBorder="1" applyProtection="1">
      <protection locked="0"/>
    </xf>
    <xf numFmtId="0" fontId="46" fillId="18" borderId="57" xfId="0" applyFont="1" applyFill="1" applyBorder="1" applyProtection="1">
      <protection locked="0"/>
    </xf>
    <xf numFmtId="12" fontId="46" fillId="18" borderId="0" xfId="0" applyNumberFormat="1" applyFont="1" applyFill="1" applyBorder="1" applyProtection="1">
      <protection locked="0"/>
    </xf>
    <xf numFmtId="0" fontId="46" fillId="18" borderId="47" xfId="0" applyFont="1" applyFill="1" applyBorder="1" applyProtection="1">
      <protection locked="0"/>
    </xf>
    <xf numFmtId="0" fontId="5" fillId="28" borderId="0" xfId="0" applyFont="1" applyFill="1" applyBorder="1" applyAlignment="1" applyProtection="1">
      <alignment horizontal="left" vertical="center" wrapText="1"/>
    </xf>
    <xf numFmtId="0" fontId="13" fillId="4" borderId="18" xfId="1" applyFont="1" applyFill="1" applyBorder="1" applyAlignment="1" applyProtection="1">
      <alignment vertical="center"/>
      <protection locked="0"/>
    </xf>
    <xf numFmtId="0" fontId="13" fillId="4" borderId="12" xfId="1" applyFont="1" applyFill="1" applyBorder="1" applyAlignment="1" applyProtection="1">
      <alignment vertical="center"/>
      <protection locked="0"/>
    </xf>
    <xf numFmtId="0" fontId="13" fillId="4" borderId="18" xfId="1" applyFont="1" applyFill="1" applyBorder="1" applyAlignment="1" applyProtection="1">
      <alignment horizontal="left" vertical="center"/>
      <protection locked="0"/>
    </xf>
    <xf numFmtId="0" fontId="13" fillId="4" borderId="12" xfId="1" applyFont="1" applyFill="1" applyBorder="1" applyAlignment="1" applyProtection="1">
      <alignment horizontal="left" vertical="center"/>
      <protection locked="0"/>
    </xf>
    <xf numFmtId="0" fontId="46" fillId="0" borderId="103" xfId="0" applyFont="1" applyBorder="1" applyAlignment="1" applyProtection="1">
      <alignment horizontal="left" vertical="center" wrapText="1"/>
    </xf>
    <xf numFmtId="0" fontId="46" fillId="0" borderId="104" xfId="0" applyFont="1" applyBorder="1" applyAlignment="1" applyProtection="1">
      <alignment horizontal="left" vertical="center" wrapText="1"/>
    </xf>
    <xf numFmtId="0" fontId="46" fillId="22" borderId="103" xfId="0" applyFont="1" applyFill="1" applyBorder="1" applyAlignment="1" applyProtection="1">
      <alignment horizontal="left" vertical="center" wrapText="1"/>
    </xf>
    <xf numFmtId="0" fontId="46" fillId="22" borderId="104" xfId="0" applyFont="1" applyFill="1" applyBorder="1" applyAlignment="1" applyProtection="1">
      <alignment horizontal="left" vertical="center" wrapText="1"/>
    </xf>
    <xf numFmtId="0" fontId="19" fillId="14" borderId="49" xfId="0" applyFont="1" applyFill="1" applyBorder="1" applyAlignment="1" applyProtection="1">
      <alignment horizontal="center" vertical="center" wrapText="1"/>
    </xf>
    <xf numFmtId="0" fontId="19" fillId="14" borderId="48" xfId="0" applyFont="1" applyFill="1" applyBorder="1" applyAlignment="1" applyProtection="1">
      <alignment horizontal="center" vertical="center" wrapText="1"/>
    </xf>
    <xf numFmtId="0" fontId="19" fillId="14" borderId="50" xfId="0" applyFont="1" applyFill="1" applyBorder="1" applyAlignment="1" applyProtection="1">
      <alignment horizontal="center" vertical="center" wrapText="1"/>
    </xf>
    <xf numFmtId="0" fontId="19" fillId="14" borderId="44" xfId="0" applyFont="1" applyFill="1" applyBorder="1" applyAlignment="1" applyProtection="1">
      <alignment horizontal="center" vertical="center" wrapText="1"/>
    </xf>
    <xf numFmtId="0" fontId="19" fillId="14" borderId="0" xfId="0" applyFont="1" applyFill="1" applyBorder="1" applyAlignment="1" applyProtection="1">
      <alignment horizontal="center" vertical="center" wrapText="1"/>
    </xf>
    <xf numFmtId="0" fontId="19" fillId="14" borderId="52" xfId="0" applyFont="1" applyFill="1" applyBorder="1" applyAlignment="1" applyProtection="1">
      <alignment horizontal="center" vertical="center" wrapText="1"/>
    </xf>
    <xf numFmtId="0" fontId="19" fillId="14" borderId="37" xfId="0" applyFont="1" applyFill="1" applyBorder="1" applyAlignment="1" applyProtection="1">
      <alignment horizontal="center" vertical="center" wrapText="1"/>
    </xf>
    <xf numFmtId="0" fontId="19" fillId="14" borderId="46" xfId="0" applyFont="1" applyFill="1" applyBorder="1" applyAlignment="1" applyProtection="1">
      <alignment horizontal="center" vertical="center" wrapText="1"/>
    </xf>
    <xf numFmtId="0" fontId="19" fillId="14" borderId="36" xfId="0" applyFont="1" applyFill="1" applyBorder="1" applyAlignment="1" applyProtection="1">
      <alignment horizontal="center" vertical="center" wrapText="1"/>
    </xf>
    <xf numFmtId="0" fontId="53" fillId="3" borderId="8" xfId="0" applyFont="1" applyFill="1" applyBorder="1" applyAlignment="1" applyProtection="1">
      <alignment horizontal="left" vertical="center" wrapText="1"/>
    </xf>
    <xf numFmtId="0" fontId="53" fillId="3" borderId="48" xfId="0" applyFont="1" applyFill="1" applyBorder="1" applyAlignment="1" applyProtection="1">
      <alignment horizontal="left" vertical="center" wrapText="1"/>
    </xf>
    <xf numFmtId="0" fontId="53" fillId="3" borderId="50" xfId="0" applyFont="1" applyFill="1" applyBorder="1" applyAlignment="1" applyProtection="1">
      <alignment horizontal="left" vertical="center" wrapText="1"/>
    </xf>
    <xf numFmtId="0" fontId="53" fillId="3" borderId="39" xfId="0" applyFont="1" applyFill="1" applyBorder="1" applyAlignment="1" applyProtection="1">
      <alignment horizontal="left" vertical="center" wrapText="1"/>
    </xf>
    <xf numFmtId="0" fontId="53" fillId="3" borderId="0" xfId="0" applyFont="1" applyFill="1" applyBorder="1" applyAlignment="1" applyProtection="1">
      <alignment horizontal="left" vertical="center" wrapText="1"/>
    </xf>
    <xf numFmtId="0" fontId="53" fillId="3" borderId="52" xfId="0" applyFont="1" applyFill="1" applyBorder="1" applyAlignment="1" applyProtection="1">
      <alignment horizontal="left" vertical="center" wrapText="1"/>
    </xf>
    <xf numFmtId="0" fontId="53" fillId="3" borderId="7" xfId="0" applyFont="1" applyFill="1" applyBorder="1" applyAlignment="1" applyProtection="1">
      <alignment horizontal="left" vertical="center" wrapText="1"/>
    </xf>
    <xf numFmtId="0" fontId="53" fillId="3" borderId="46" xfId="0" applyFont="1" applyFill="1" applyBorder="1" applyAlignment="1" applyProtection="1">
      <alignment horizontal="left" vertical="center" wrapText="1"/>
    </xf>
    <xf numFmtId="0" fontId="53" fillId="3" borderId="36" xfId="0" applyFont="1" applyFill="1" applyBorder="1" applyAlignment="1" applyProtection="1">
      <alignment horizontal="left" vertical="center" wrapText="1"/>
    </xf>
    <xf numFmtId="0" fontId="8" fillId="7" borderId="6" xfId="0" applyFont="1" applyFill="1" applyBorder="1" applyAlignment="1" applyProtection="1">
      <alignment horizontal="left"/>
    </xf>
    <xf numFmtId="0" fontId="8" fillId="7" borderId="12" xfId="0" applyFont="1" applyFill="1" applyBorder="1" applyAlignment="1" applyProtection="1">
      <alignment horizontal="left"/>
    </xf>
    <xf numFmtId="0" fontId="13" fillId="28" borderId="46" xfId="1" applyFont="1" applyFill="1" applyBorder="1" applyAlignment="1" applyProtection="1">
      <alignment vertical="center"/>
    </xf>
    <xf numFmtId="0" fontId="20" fillId="14" borderId="49" xfId="0" applyFont="1" applyFill="1" applyBorder="1" applyAlignment="1" applyProtection="1">
      <alignment horizontal="center" vertical="center"/>
    </xf>
    <xf numFmtId="0" fontId="20" fillId="14" borderId="48" xfId="0" applyFont="1" applyFill="1" applyBorder="1" applyAlignment="1" applyProtection="1">
      <alignment horizontal="center" vertical="center"/>
    </xf>
    <xf numFmtId="0" fontId="20" fillId="14" borderId="50" xfId="0" applyFont="1" applyFill="1" applyBorder="1" applyAlignment="1" applyProtection="1">
      <alignment horizontal="center" vertical="center"/>
    </xf>
    <xf numFmtId="0" fontId="20" fillId="14" borderId="44" xfId="0" applyFont="1" applyFill="1" applyBorder="1" applyAlignment="1" applyProtection="1">
      <alignment horizontal="center" vertical="center"/>
    </xf>
    <xf numFmtId="0" fontId="20" fillId="14" borderId="0" xfId="0" applyFont="1" applyFill="1" applyBorder="1" applyAlignment="1" applyProtection="1">
      <alignment horizontal="center" vertical="center"/>
    </xf>
    <xf numFmtId="0" fontId="20" fillId="14" borderId="52" xfId="0" applyFont="1" applyFill="1" applyBorder="1" applyAlignment="1" applyProtection="1">
      <alignment horizontal="center" vertical="center"/>
    </xf>
    <xf numFmtId="0" fontId="20" fillId="14" borderId="37" xfId="0" applyFont="1" applyFill="1" applyBorder="1" applyAlignment="1" applyProtection="1">
      <alignment horizontal="center" vertical="center"/>
    </xf>
    <xf numFmtId="0" fontId="20" fillId="14" borderId="46" xfId="0" applyFont="1" applyFill="1" applyBorder="1" applyAlignment="1" applyProtection="1">
      <alignment horizontal="center" vertical="center"/>
    </xf>
    <xf numFmtId="0" fontId="20" fillId="14" borderId="36" xfId="0" applyFont="1" applyFill="1" applyBorder="1" applyAlignment="1" applyProtection="1">
      <alignment horizontal="center" vertical="center"/>
    </xf>
    <xf numFmtId="0" fontId="13" fillId="4" borderId="48" xfId="1" applyFont="1" applyFill="1" applyBorder="1" applyAlignment="1" applyProtection="1">
      <alignment vertical="center"/>
      <protection locked="0"/>
    </xf>
    <xf numFmtId="0" fontId="13" fillId="4" borderId="50" xfId="1" applyFont="1" applyFill="1" applyBorder="1" applyAlignment="1" applyProtection="1">
      <alignment vertical="center"/>
      <protection locked="0"/>
    </xf>
    <xf numFmtId="0" fontId="0" fillId="28" borderId="18" xfId="0" applyFill="1" applyBorder="1" applyProtection="1"/>
    <xf numFmtId="0" fontId="13" fillId="28" borderId="48" xfId="1" applyFont="1" applyFill="1" applyBorder="1" applyAlignment="1" applyProtection="1">
      <alignment vertical="center"/>
    </xf>
    <xf numFmtId="0" fontId="13" fillId="28" borderId="0" xfId="1" applyFont="1" applyFill="1" applyBorder="1" applyAlignment="1" applyProtection="1">
      <alignment vertical="center"/>
    </xf>
    <xf numFmtId="0" fontId="4" fillId="3" borderId="8" xfId="0" applyFont="1" applyFill="1" applyBorder="1" applyAlignment="1" applyProtection="1">
      <alignment horizontal="left" vertical="center" wrapText="1"/>
    </xf>
    <xf numFmtId="0" fontId="4" fillId="3" borderId="48" xfId="0" applyFont="1" applyFill="1" applyBorder="1" applyAlignment="1" applyProtection="1">
      <alignment horizontal="left" vertical="center" wrapText="1"/>
    </xf>
    <xf numFmtId="0" fontId="4" fillId="3" borderId="50" xfId="0" applyFont="1" applyFill="1" applyBorder="1" applyAlignment="1" applyProtection="1">
      <alignment horizontal="left" vertical="center" wrapText="1"/>
    </xf>
    <xf numFmtId="0" fontId="4" fillId="3" borderId="39" xfId="0" applyFont="1" applyFill="1" applyBorder="1" applyAlignment="1" applyProtection="1">
      <alignment horizontal="left" vertical="center" wrapText="1"/>
    </xf>
    <xf numFmtId="0" fontId="4" fillId="3" borderId="0" xfId="0" applyFont="1" applyFill="1" applyBorder="1" applyAlignment="1" applyProtection="1">
      <alignment horizontal="left" vertical="center" wrapText="1"/>
    </xf>
    <xf numFmtId="0" fontId="4" fillId="3" borderId="52" xfId="0" applyFont="1" applyFill="1" applyBorder="1" applyAlignment="1" applyProtection="1">
      <alignment horizontal="left" vertical="center" wrapText="1"/>
    </xf>
    <xf numFmtId="0" fontId="4" fillId="3" borderId="7" xfId="0" applyFont="1" applyFill="1" applyBorder="1" applyAlignment="1" applyProtection="1">
      <alignment horizontal="left" vertical="center" wrapText="1"/>
    </xf>
    <xf numFmtId="0" fontId="4" fillId="3" borderId="46" xfId="0" applyFont="1" applyFill="1" applyBorder="1" applyAlignment="1" applyProtection="1">
      <alignment horizontal="left" vertical="center" wrapText="1"/>
    </xf>
    <xf numFmtId="0" fontId="4" fillId="3" borderId="36"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3" borderId="48" xfId="0" applyFont="1" applyFill="1" applyBorder="1" applyAlignment="1" applyProtection="1">
      <alignment horizontal="left" vertical="center" wrapText="1"/>
    </xf>
    <xf numFmtId="0" fontId="8" fillId="3" borderId="50" xfId="0" applyFont="1" applyFill="1" applyBorder="1" applyAlignment="1" applyProtection="1">
      <alignment horizontal="left" vertical="center" wrapText="1"/>
    </xf>
    <xf numFmtId="0" fontId="8" fillId="3" borderId="39"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0" fontId="8" fillId="3" borderId="52" xfId="0" applyFont="1" applyFill="1" applyBorder="1" applyAlignment="1" applyProtection="1">
      <alignment horizontal="left" vertical="center" wrapText="1"/>
    </xf>
    <xf numFmtId="0" fontId="8" fillId="3" borderId="46" xfId="0" applyFont="1" applyFill="1" applyBorder="1" applyAlignment="1" applyProtection="1">
      <alignment horizontal="left" vertical="center" wrapText="1"/>
    </xf>
    <xf numFmtId="0" fontId="8" fillId="3" borderId="36" xfId="0" applyFont="1" applyFill="1" applyBorder="1" applyAlignment="1" applyProtection="1">
      <alignment horizontal="left" vertical="center" wrapText="1"/>
    </xf>
    <xf numFmtId="0" fontId="8" fillId="38" borderId="39" xfId="0" applyFont="1" applyFill="1" applyBorder="1" applyAlignment="1" applyProtection="1">
      <alignment horizontal="left" vertical="center" wrapText="1"/>
    </xf>
    <xf numFmtId="0" fontId="8" fillId="38" borderId="0" xfId="0" applyFont="1" applyFill="1" applyBorder="1" applyAlignment="1" applyProtection="1">
      <alignment horizontal="left" vertical="center" wrapText="1"/>
    </xf>
    <xf numFmtId="0" fontId="8" fillId="6" borderId="17" xfId="0" applyFont="1" applyFill="1" applyBorder="1" applyAlignment="1" applyProtection="1">
      <alignment horizontal="center" vertical="center" wrapText="1"/>
    </xf>
    <xf numFmtId="0" fontId="8" fillId="6" borderId="63" xfId="0" applyFont="1" applyFill="1" applyBorder="1" applyAlignment="1" applyProtection="1">
      <alignment horizontal="center" vertical="center" wrapText="1"/>
    </xf>
    <xf numFmtId="0" fontId="8" fillId="6" borderId="65" xfId="0" applyFont="1" applyFill="1" applyBorder="1" applyAlignment="1" applyProtection="1">
      <alignment horizontal="center" vertical="center" wrapText="1"/>
    </xf>
    <xf numFmtId="0" fontId="8" fillId="6" borderId="55" xfId="0" applyFont="1" applyFill="1" applyBorder="1" applyAlignment="1" applyProtection="1">
      <alignment horizontal="center" vertical="center" wrapText="1"/>
    </xf>
    <xf numFmtId="0" fontId="8" fillId="6" borderId="91" xfId="0" applyFont="1" applyFill="1" applyBorder="1" applyAlignment="1" applyProtection="1">
      <alignment horizontal="center" vertical="center" wrapText="1"/>
    </xf>
    <xf numFmtId="0" fontId="8" fillId="6" borderId="47" xfId="0" applyFont="1" applyFill="1" applyBorder="1" applyAlignment="1" applyProtection="1">
      <alignment horizontal="center" vertical="center" wrapText="1"/>
    </xf>
    <xf numFmtId="0" fontId="5" fillId="38" borderId="0" xfId="0" applyFont="1" applyFill="1" applyBorder="1" applyAlignment="1" applyProtection="1">
      <alignment horizontal="left" vertical="center" wrapText="1"/>
    </xf>
    <xf numFmtId="0" fontId="13" fillId="38" borderId="0" xfId="1" applyFont="1" applyFill="1" applyBorder="1" applyAlignment="1" applyProtection="1">
      <alignment horizontal="center"/>
      <protection locked="0"/>
    </xf>
    <xf numFmtId="0" fontId="67" fillId="38" borderId="39" xfId="0" applyFont="1" applyFill="1" applyBorder="1" applyAlignment="1" applyProtection="1">
      <alignment horizontal="left" vertical="center" wrapText="1"/>
    </xf>
    <xf numFmtId="0" fontId="67" fillId="38" borderId="0" xfId="0" applyFont="1" applyFill="1" applyBorder="1" applyAlignment="1" applyProtection="1">
      <alignment horizontal="left" vertical="center" wrapText="1"/>
    </xf>
    <xf numFmtId="0" fontId="8" fillId="38" borderId="44" xfId="0" applyFont="1" applyFill="1" applyBorder="1" applyAlignment="1" applyProtection="1">
      <alignment horizontal="center" vertical="center" wrapText="1"/>
    </xf>
    <xf numFmtId="0" fontId="8" fillId="38" borderId="0" xfId="0" applyFont="1" applyFill="1" applyBorder="1" applyAlignment="1" applyProtection="1">
      <alignment horizontal="center" vertical="center" wrapText="1"/>
    </xf>
    <xf numFmtId="0" fontId="8" fillId="38" borderId="57" xfId="0" applyFont="1" applyFill="1" applyBorder="1" applyAlignment="1" applyProtection="1">
      <alignment horizontal="center" vertical="center" wrapText="1"/>
    </xf>
    <xf numFmtId="0" fontId="5" fillId="38" borderId="39" xfId="0" applyFont="1" applyFill="1" applyBorder="1" applyAlignment="1" applyProtection="1">
      <alignment horizontal="left" vertical="center" wrapText="1"/>
    </xf>
    <xf numFmtId="0" fontId="34" fillId="38" borderId="44" xfId="0" applyFont="1" applyFill="1" applyBorder="1" applyAlignment="1" applyProtection="1">
      <alignment horizontal="center" vertical="center" wrapText="1"/>
    </xf>
    <xf numFmtId="0" fontId="34" fillId="38" borderId="0" xfId="0" applyFont="1" applyFill="1" applyBorder="1" applyAlignment="1" applyProtection="1">
      <alignment horizontal="center" vertical="center" wrapText="1"/>
    </xf>
    <xf numFmtId="0" fontId="8" fillId="19" borderId="0" xfId="0" applyFont="1" applyFill="1" applyBorder="1" applyAlignment="1" applyProtection="1">
      <alignment horizontal="center" vertical="center" wrapText="1"/>
    </xf>
    <xf numFmtId="0" fontId="8" fillId="3" borderId="7" xfId="0" applyFont="1" applyFill="1" applyBorder="1" applyAlignment="1" applyProtection="1">
      <alignment horizontal="left" vertical="center" wrapText="1"/>
    </xf>
    <xf numFmtId="0" fontId="8" fillId="19" borderId="39" xfId="0" applyFont="1" applyFill="1" applyBorder="1" applyAlignment="1" applyProtection="1">
      <alignment horizontal="left" vertical="center" wrapText="1"/>
    </xf>
    <xf numFmtId="0" fontId="8" fillId="19" borderId="0" xfId="0" applyFont="1" applyFill="1" applyBorder="1" applyAlignment="1" applyProtection="1">
      <alignment horizontal="left" vertical="center" wrapText="1"/>
    </xf>
    <xf numFmtId="0" fontId="13" fillId="19" borderId="0" xfId="1" applyFont="1" applyFill="1" applyBorder="1" applyAlignment="1" applyProtection="1">
      <alignment vertical="center"/>
      <protection locked="0"/>
    </xf>
    <xf numFmtId="0" fontId="68" fillId="19" borderId="39" xfId="0" applyFont="1" applyFill="1" applyBorder="1" applyAlignment="1" applyProtection="1">
      <alignment horizontal="left" vertical="center" wrapText="1"/>
    </xf>
    <xf numFmtId="0" fontId="68" fillId="19" borderId="0" xfId="0" applyFont="1" applyFill="1" applyBorder="1" applyAlignment="1" applyProtection="1">
      <alignment horizontal="left" vertical="center" wrapText="1"/>
    </xf>
    <xf numFmtId="0" fontId="4" fillId="2" borderId="6" xfId="0" applyFont="1" applyFill="1" applyBorder="1" applyAlignment="1" applyProtection="1">
      <alignment horizontal="center" vertical="center"/>
      <protection locked="0"/>
    </xf>
    <xf numFmtId="0" fontId="4" fillId="2" borderId="12" xfId="0" applyFont="1" applyFill="1" applyBorder="1" applyAlignment="1" applyProtection="1">
      <alignment horizontal="center" vertical="center"/>
      <protection locked="0"/>
    </xf>
    <xf numFmtId="0" fontId="4" fillId="23" borderId="6" xfId="0" applyFont="1" applyFill="1" applyBorder="1" applyAlignment="1" applyProtection="1">
      <alignment horizontal="center" vertical="center"/>
    </xf>
    <xf numFmtId="0" fontId="4" fillId="23" borderId="12" xfId="0" applyFont="1" applyFill="1" applyBorder="1" applyAlignment="1" applyProtection="1">
      <alignment horizontal="center" vertical="center"/>
    </xf>
    <xf numFmtId="0" fontId="4" fillId="5" borderId="1" xfId="0" applyFont="1" applyFill="1" applyBorder="1" applyAlignment="1" applyProtection="1">
      <alignment horizontal="center" vertical="center"/>
    </xf>
    <xf numFmtId="0" fontId="4" fillId="5" borderId="6" xfId="0" applyFont="1" applyFill="1" applyBorder="1" applyAlignment="1" applyProtection="1">
      <alignment horizontal="center" vertical="center"/>
    </xf>
    <xf numFmtId="0" fontId="4" fillId="5" borderId="12" xfId="0" applyFont="1" applyFill="1" applyBorder="1" applyAlignment="1" applyProtection="1">
      <alignment horizontal="center" vertical="center"/>
    </xf>
    <xf numFmtId="0" fontId="70" fillId="16" borderId="0" xfId="0" applyFont="1" applyFill="1" applyBorder="1" applyAlignment="1" applyProtection="1">
      <alignment horizontal="center" vertical="center"/>
      <protection locked="0"/>
    </xf>
    <xf numFmtId="0" fontId="70" fillId="16" borderId="0"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0" fontId="4" fillId="2" borderId="12" xfId="0" applyFont="1" applyFill="1" applyBorder="1" applyAlignment="1" applyProtection="1">
      <alignment horizontal="center" vertical="center"/>
    </xf>
    <xf numFmtId="0" fontId="4" fillId="2" borderId="1" xfId="0" applyFont="1" applyFill="1" applyBorder="1" applyAlignment="1" applyProtection="1">
      <alignment horizontal="center" vertical="center"/>
      <protection locked="0"/>
    </xf>
    <xf numFmtId="0" fontId="69" fillId="17" borderId="0" xfId="0" applyFont="1" applyFill="1" applyBorder="1" applyAlignment="1" applyProtection="1">
      <alignment horizontal="center" vertical="center"/>
      <protection locked="0"/>
    </xf>
    <xf numFmtId="0" fontId="11" fillId="6" borderId="18" xfId="1" applyFont="1" applyFill="1" applyBorder="1" applyAlignment="1" applyProtection="1">
      <alignment horizontal="left" vertical="center"/>
      <protection locked="0"/>
    </xf>
    <xf numFmtId="0" fontId="11" fillId="6" borderId="12" xfId="1" applyFont="1" applyFill="1" applyBorder="1" applyAlignment="1" applyProtection="1">
      <alignment horizontal="left" vertical="center"/>
      <protection locked="0"/>
    </xf>
    <xf numFmtId="0" fontId="69" fillId="17" borderId="0" xfId="0" applyFont="1" applyFill="1" applyBorder="1" applyAlignment="1" applyProtection="1">
      <alignment horizontal="center" vertical="center"/>
    </xf>
    <xf numFmtId="0" fontId="4" fillId="4" borderId="6" xfId="0" applyFont="1" applyFill="1" applyBorder="1" applyAlignment="1" applyProtection="1">
      <alignment horizontal="left" vertical="center"/>
    </xf>
    <xf numFmtId="0" fontId="4" fillId="4" borderId="18" xfId="0" applyFont="1" applyFill="1" applyBorder="1" applyAlignment="1" applyProtection="1">
      <alignment horizontal="left" vertical="center"/>
    </xf>
    <xf numFmtId="0" fontId="4" fillId="2" borderId="37" xfId="0" applyFont="1" applyFill="1" applyBorder="1" applyAlignment="1" applyProtection="1">
      <alignment horizontal="center" vertical="center"/>
      <protection locked="0"/>
    </xf>
    <xf numFmtId="0" fontId="4" fillId="2" borderId="36" xfId="0" applyFont="1" applyFill="1" applyBorder="1" applyAlignment="1" applyProtection="1">
      <alignment horizontal="center" vertical="center"/>
      <protection locked="0"/>
    </xf>
    <xf numFmtId="0" fontId="11" fillId="6" borderId="90" xfId="1" applyFont="1" applyFill="1" applyBorder="1" applyAlignment="1" applyProtection="1">
      <alignment horizontal="left" vertical="center"/>
      <protection locked="0"/>
    </xf>
    <xf numFmtId="0" fontId="11" fillId="6" borderId="28" xfId="1" applyFont="1" applyFill="1" applyBorder="1" applyAlignment="1" applyProtection="1">
      <alignment horizontal="left" vertical="center"/>
      <protection locked="0"/>
    </xf>
    <xf numFmtId="0" fontId="11" fillId="6" borderId="6" xfId="0" applyFont="1" applyFill="1" applyBorder="1" applyAlignment="1" applyProtection="1">
      <alignment horizontal="left" vertical="center"/>
    </xf>
    <xf numFmtId="0" fontId="11" fillId="6" borderId="18" xfId="0" applyFont="1" applyFill="1" applyBorder="1" applyAlignment="1" applyProtection="1">
      <alignment horizontal="left" vertical="center"/>
    </xf>
    <xf numFmtId="0" fontId="11" fillId="6" borderId="12" xfId="0" applyFont="1" applyFill="1" applyBorder="1" applyAlignment="1" applyProtection="1">
      <alignment horizontal="left" vertical="center"/>
    </xf>
    <xf numFmtId="0" fontId="5" fillId="3" borderId="1" xfId="0" applyFont="1" applyFill="1" applyBorder="1" applyAlignment="1" applyProtection="1">
      <alignment horizontal="left" vertical="center"/>
    </xf>
    <xf numFmtId="0" fontId="5" fillId="15" borderId="49" xfId="0" applyFont="1" applyFill="1" applyBorder="1" applyAlignment="1" applyProtection="1">
      <alignment horizontal="center" vertical="center" wrapText="1"/>
    </xf>
    <xf numFmtId="0" fontId="5" fillId="15" borderId="48" xfId="0" applyFont="1" applyFill="1" applyBorder="1" applyAlignment="1" applyProtection="1">
      <alignment horizontal="center" vertical="center" wrapText="1"/>
    </xf>
    <xf numFmtId="0" fontId="5" fillId="15" borderId="50" xfId="0" applyFont="1" applyFill="1" applyBorder="1" applyAlignment="1" applyProtection="1">
      <alignment horizontal="center" vertical="center" wrapText="1"/>
    </xf>
    <xf numFmtId="0" fontId="5" fillId="15" borderId="44" xfId="0" applyFont="1" applyFill="1" applyBorder="1" applyAlignment="1" applyProtection="1">
      <alignment horizontal="center" vertical="center" wrapText="1"/>
    </xf>
    <xf numFmtId="0" fontId="5" fillId="15" borderId="0" xfId="0" applyFont="1" applyFill="1" applyBorder="1" applyAlignment="1" applyProtection="1">
      <alignment horizontal="center" vertical="center" wrapText="1"/>
    </xf>
    <xf numFmtId="0" fontId="5" fillId="15" borderId="52" xfId="0" applyFont="1" applyFill="1" applyBorder="1" applyAlignment="1" applyProtection="1">
      <alignment horizontal="center" vertical="center" wrapText="1"/>
    </xf>
    <xf numFmtId="0" fontId="5" fillId="15" borderId="37" xfId="0" applyFont="1" applyFill="1" applyBorder="1" applyAlignment="1" applyProtection="1">
      <alignment horizontal="center" vertical="center" wrapText="1"/>
    </xf>
    <xf numFmtId="0" fontId="5" fillId="15" borderId="46" xfId="0" applyFont="1" applyFill="1" applyBorder="1" applyAlignment="1" applyProtection="1">
      <alignment horizontal="center" vertical="center" wrapText="1"/>
    </xf>
    <xf numFmtId="0" fontId="5" fillId="15" borderId="36" xfId="0" applyFont="1" applyFill="1" applyBorder="1" applyAlignment="1" applyProtection="1">
      <alignment horizontal="center" vertical="center" wrapText="1"/>
    </xf>
    <xf numFmtId="0" fontId="47" fillId="16" borderId="0" xfId="0" applyFont="1" applyFill="1" applyBorder="1" applyAlignment="1" applyProtection="1">
      <alignment horizontal="center" vertical="center" wrapText="1"/>
    </xf>
    <xf numFmtId="0" fontId="5" fillId="0" borderId="105" xfId="2" applyFont="1" applyBorder="1" applyAlignment="1" applyProtection="1">
      <alignment horizontal="center" vertical="center" wrapText="1"/>
    </xf>
    <xf numFmtId="0" fontId="5" fillId="0" borderId="108" xfId="2" applyFont="1" applyBorder="1" applyAlignment="1" applyProtection="1">
      <alignment horizontal="center" vertical="center" wrapText="1"/>
    </xf>
    <xf numFmtId="0" fontId="5" fillId="0" borderId="110" xfId="2" applyFont="1" applyBorder="1" applyAlignment="1" applyProtection="1">
      <alignment horizontal="center" vertical="center" wrapText="1"/>
    </xf>
    <xf numFmtId="0" fontId="5" fillId="28" borderId="0" xfId="2" applyFont="1" applyFill="1" applyBorder="1" applyAlignment="1" applyProtection="1">
      <alignment horizontal="right" vertical="center"/>
    </xf>
    <xf numFmtId="0" fontId="5" fillId="5" borderId="105" xfId="2" applyFont="1" applyFill="1" applyBorder="1" applyAlignment="1" applyProtection="1">
      <alignment horizontal="center" vertical="center" wrapText="1"/>
    </xf>
    <xf numFmtId="0" fontId="5" fillId="5" borderId="108" xfId="2" applyFont="1" applyFill="1" applyBorder="1" applyAlignment="1" applyProtection="1">
      <alignment horizontal="center" vertical="center" wrapText="1"/>
    </xf>
    <xf numFmtId="0" fontId="50" fillId="14" borderId="24" xfId="0" applyFont="1" applyFill="1" applyBorder="1" applyAlignment="1" applyProtection="1">
      <alignment horizontal="center" vertical="center"/>
    </xf>
    <xf numFmtId="0" fontId="50" fillId="14" borderId="92" xfId="0" applyFont="1" applyFill="1" applyBorder="1" applyAlignment="1" applyProtection="1">
      <alignment horizontal="center" vertical="center"/>
    </xf>
    <xf numFmtId="0" fontId="50" fillId="14" borderId="64" xfId="0" applyFont="1" applyFill="1" applyBorder="1" applyAlignment="1" applyProtection="1">
      <alignment horizontal="center" vertical="center"/>
    </xf>
    <xf numFmtId="0" fontId="8" fillId="6" borderId="61" xfId="0" applyFont="1" applyFill="1" applyBorder="1" applyAlignment="1" applyProtection="1">
      <alignment horizontal="center" vertical="center"/>
    </xf>
    <xf numFmtId="0" fontId="8" fillId="6" borderId="90" xfId="0" applyFont="1" applyFill="1" applyBorder="1" applyAlignment="1" applyProtection="1">
      <alignment horizontal="center" vertical="center"/>
    </xf>
    <xf numFmtId="0" fontId="11" fillId="6" borderId="6" xfId="2" applyFont="1" applyFill="1" applyBorder="1" applyAlignment="1" applyProtection="1">
      <alignment horizontal="left" vertical="center"/>
    </xf>
    <xf numFmtId="0" fontId="11" fillId="6" borderId="12" xfId="2" applyFont="1" applyFill="1" applyBorder="1" applyAlignment="1" applyProtection="1">
      <alignment horizontal="left" vertical="center"/>
    </xf>
    <xf numFmtId="0" fontId="8" fillId="7" borderId="49" xfId="2" applyFont="1" applyFill="1" applyBorder="1" applyAlignment="1" applyProtection="1">
      <alignment horizontal="left" vertical="center" wrapText="1"/>
    </xf>
    <xf numFmtId="0" fontId="8" fillId="7" borderId="48" xfId="2" applyFont="1" applyFill="1" applyBorder="1" applyAlignment="1" applyProtection="1">
      <alignment horizontal="left" vertical="center" wrapText="1"/>
    </xf>
    <xf numFmtId="0" fontId="8" fillId="7" borderId="50" xfId="2" applyFont="1" applyFill="1" applyBorder="1" applyAlignment="1" applyProtection="1">
      <alignment horizontal="left" vertical="center" wrapText="1"/>
    </xf>
    <xf numFmtId="0" fontId="8" fillId="7" borderId="44" xfId="2" applyFont="1" applyFill="1" applyBorder="1" applyAlignment="1" applyProtection="1">
      <alignment horizontal="left" vertical="center" wrapText="1"/>
    </xf>
    <xf numFmtId="0" fontId="8" fillId="7" borderId="0" xfId="2" applyFont="1" applyFill="1" applyBorder="1" applyAlignment="1" applyProtection="1">
      <alignment horizontal="left" vertical="center" wrapText="1"/>
    </xf>
    <xf numFmtId="0" fontId="8" fillId="7" borderId="52" xfId="2" applyFont="1" applyFill="1" applyBorder="1" applyAlignment="1" applyProtection="1">
      <alignment horizontal="left" vertical="center" wrapText="1"/>
    </xf>
    <xf numFmtId="0" fontId="8" fillId="7" borderId="37" xfId="2" applyFont="1" applyFill="1" applyBorder="1" applyAlignment="1" applyProtection="1">
      <alignment horizontal="left" vertical="center" wrapText="1"/>
    </xf>
    <xf numFmtId="0" fontId="8" fillId="7" borderId="46" xfId="2" applyFont="1" applyFill="1" applyBorder="1" applyAlignment="1" applyProtection="1">
      <alignment horizontal="left" vertical="center" wrapText="1"/>
    </xf>
    <xf numFmtId="0" fontId="8" fillId="7" borderId="36" xfId="2" applyFont="1" applyFill="1" applyBorder="1" applyAlignment="1" applyProtection="1">
      <alignment horizontal="left" vertical="center" wrapText="1"/>
    </xf>
    <xf numFmtId="0" fontId="4" fillId="23" borderId="24" xfId="0" applyFont="1" applyFill="1" applyBorder="1" applyAlignment="1" applyProtection="1">
      <alignment horizontal="center" vertical="center" wrapText="1"/>
    </xf>
    <xf numFmtId="0" fontId="4" fillId="23" borderId="92" xfId="0" applyFont="1" applyFill="1" applyBorder="1" applyAlignment="1" applyProtection="1">
      <alignment horizontal="center" vertical="center" wrapText="1"/>
    </xf>
    <xf numFmtId="0" fontId="4" fillId="23" borderId="64" xfId="0" applyFont="1" applyFill="1" applyBorder="1" applyAlignment="1" applyProtection="1">
      <alignment horizontal="center" vertical="center" wrapText="1"/>
    </xf>
    <xf numFmtId="0" fontId="4" fillId="0" borderId="24" xfId="0" applyFont="1" applyBorder="1" applyAlignment="1" applyProtection="1">
      <alignment horizontal="center" vertical="center" wrapText="1"/>
    </xf>
    <xf numFmtId="0" fontId="4" fillId="0" borderId="92" xfId="0" applyFont="1" applyBorder="1" applyAlignment="1" applyProtection="1">
      <alignment horizontal="center" vertical="center" wrapText="1"/>
    </xf>
    <xf numFmtId="0" fontId="4" fillId="0" borderId="64" xfId="0" applyFont="1" applyBorder="1" applyAlignment="1" applyProtection="1">
      <alignment horizontal="center" vertical="center" wrapText="1"/>
    </xf>
    <xf numFmtId="1" fontId="5" fillId="20" borderId="20" xfId="0" applyNumberFormat="1" applyFont="1" applyFill="1" applyBorder="1" applyAlignment="1" applyProtection="1">
      <alignment horizontal="center" vertical="center"/>
    </xf>
    <xf numFmtId="1" fontId="5" fillId="20" borderId="18" xfId="0" applyNumberFormat="1" applyFont="1" applyFill="1" applyBorder="1" applyAlignment="1" applyProtection="1">
      <alignment horizontal="center" vertical="center"/>
    </xf>
    <xf numFmtId="1" fontId="5" fillId="20" borderId="54" xfId="0" applyNumberFormat="1" applyFont="1" applyFill="1" applyBorder="1" applyAlignment="1" applyProtection="1">
      <alignment horizontal="center" vertical="center"/>
    </xf>
    <xf numFmtId="0" fontId="5" fillId="20" borderId="20" xfId="0" applyNumberFormat="1" applyFont="1" applyFill="1" applyBorder="1" applyAlignment="1" applyProtection="1">
      <alignment horizontal="center" vertical="center"/>
    </xf>
    <xf numFmtId="0" fontId="5" fillId="20" borderId="18" xfId="0" applyNumberFormat="1" applyFont="1" applyFill="1" applyBorder="1" applyAlignment="1" applyProtection="1">
      <alignment horizontal="center" vertical="center"/>
    </xf>
    <xf numFmtId="0" fontId="5" fillId="20" borderId="54" xfId="0" applyNumberFormat="1" applyFont="1" applyFill="1" applyBorder="1" applyAlignment="1" applyProtection="1">
      <alignment horizontal="center" vertical="center"/>
    </xf>
    <xf numFmtId="0" fontId="8" fillId="18" borderId="0" xfId="0" applyFont="1" applyFill="1" applyBorder="1" applyAlignment="1" applyProtection="1">
      <alignment horizontal="left" vertical="center"/>
    </xf>
    <xf numFmtId="0" fontId="13" fillId="4" borderId="6" xfId="1" applyFont="1" applyFill="1" applyBorder="1" applyAlignment="1" applyProtection="1">
      <alignment vertical="center"/>
      <protection locked="0"/>
    </xf>
    <xf numFmtId="0" fontId="5" fillId="4" borderId="18" xfId="0" applyFont="1" applyFill="1" applyBorder="1" applyAlignment="1" applyProtection="1">
      <alignment horizontal="left" vertical="center"/>
    </xf>
    <xf numFmtId="0" fontId="5" fillId="4" borderId="12" xfId="0" applyFont="1" applyFill="1" applyBorder="1" applyAlignment="1" applyProtection="1">
      <alignment horizontal="left" vertical="center"/>
    </xf>
    <xf numFmtId="0" fontId="5" fillId="18" borderId="0" xfId="0" applyFont="1" applyFill="1" applyBorder="1" applyAlignment="1" applyProtection="1">
      <alignment horizontal="right" vertical="center"/>
    </xf>
    <xf numFmtId="0" fontId="5" fillId="4" borderId="48" xfId="0" applyFont="1" applyFill="1" applyBorder="1" applyAlignment="1" applyProtection="1">
      <alignment horizontal="left" vertical="center"/>
    </xf>
    <xf numFmtId="0" fontId="5" fillId="4" borderId="50" xfId="0" applyFont="1" applyFill="1" applyBorder="1" applyAlignment="1" applyProtection="1">
      <alignment horizontal="left" vertical="center"/>
    </xf>
    <xf numFmtId="0" fontId="5" fillId="4" borderId="18" xfId="0" applyFont="1" applyFill="1" applyBorder="1" applyAlignment="1" applyProtection="1">
      <alignment horizontal="left"/>
    </xf>
    <xf numFmtId="0" fontId="5" fillId="4" borderId="12" xfId="0" applyFont="1" applyFill="1" applyBorder="1" applyAlignment="1" applyProtection="1">
      <alignment horizontal="left"/>
    </xf>
    <xf numFmtId="0" fontId="4" fillId="0" borderId="9" xfId="0" applyFont="1" applyBorder="1" applyAlignment="1" applyProtection="1">
      <alignment horizontal="center"/>
    </xf>
    <xf numFmtId="0" fontId="4" fillId="0" borderId="53" xfId="0" applyFont="1" applyBorder="1" applyAlignment="1" applyProtection="1">
      <alignment horizontal="center"/>
    </xf>
    <xf numFmtId="0" fontId="5" fillId="0" borderId="20" xfId="0" applyFont="1" applyBorder="1" applyAlignment="1" applyProtection="1"/>
    <xf numFmtId="0" fontId="5" fillId="0" borderId="18" xfId="0" applyFont="1" applyBorder="1" applyAlignment="1" applyProtection="1"/>
    <xf numFmtId="0" fontId="5" fillId="0" borderId="10" xfId="0" applyFont="1" applyBorder="1" applyAlignment="1" applyProtection="1"/>
    <xf numFmtId="0" fontId="5" fillId="0" borderId="31" xfId="0" applyFont="1" applyBorder="1" applyAlignment="1" applyProtection="1"/>
    <xf numFmtId="0" fontId="11" fillId="6" borderId="61" xfId="0" applyFont="1" applyFill="1" applyBorder="1" applyAlignment="1" applyProtection="1">
      <alignment horizontal="left"/>
    </xf>
    <xf numFmtId="0" fontId="11" fillId="6" borderId="90" xfId="0" applyFont="1" applyFill="1" applyBorder="1" applyAlignment="1" applyProtection="1">
      <alignment horizontal="left"/>
    </xf>
    <xf numFmtId="0" fontId="11" fillId="6" borderId="6" xfId="0" applyFont="1" applyFill="1" applyBorder="1" applyAlignment="1" applyProtection="1">
      <alignment horizontal="left"/>
    </xf>
    <xf numFmtId="0" fontId="11" fillId="6" borderId="12" xfId="0" applyFont="1" applyFill="1" applyBorder="1" applyAlignment="1" applyProtection="1">
      <alignment horizontal="left"/>
    </xf>
    <xf numFmtId="0" fontId="5" fillId="0" borderId="24" xfId="0" applyFont="1" applyBorder="1" applyAlignment="1" applyProtection="1">
      <alignment horizontal="center"/>
    </xf>
    <xf numFmtId="0" fontId="5" fillId="0" borderId="92" xfId="0" applyFont="1" applyBorder="1" applyAlignment="1" applyProtection="1">
      <alignment horizontal="center"/>
    </xf>
    <xf numFmtId="0" fontId="5" fillId="0" borderId="9" xfId="0" applyFont="1" applyBorder="1" applyAlignment="1" applyProtection="1"/>
    <xf numFmtId="0" fontId="5" fillId="0" borderId="90" xfId="0" applyFont="1" applyBorder="1" applyAlignment="1" applyProtection="1"/>
    <xf numFmtId="0" fontId="8" fillId="37" borderId="0" xfId="0" applyFont="1" applyFill="1" applyBorder="1" applyAlignment="1" applyProtection="1">
      <alignment horizontal="center"/>
    </xf>
    <xf numFmtId="165" fontId="5" fillId="0" borderId="6" xfId="0" applyNumberFormat="1" applyFont="1" applyBorder="1" applyAlignment="1" applyProtection="1"/>
    <xf numFmtId="165" fontId="5" fillId="0" borderId="12" xfId="0" applyNumberFormat="1" applyFont="1" applyBorder="1" applyAlignment="1" applyProtection="1"/>
    <xf numFmtId="165" fontId="5" fillId="0" borderId="62" xfId="0" applyNumberFormat="1" applyFont="1" applyBorder="1" applyAlignment="1" applyProtection="1"/>
    <xf numFmtId="165" fontId="5" fillId="0" borderId="31" xfId="0" applyNumberFormat="1" applyFont="1" applyBorder="1" applyAlignment="1" applyProtection="1"/>
    <xf numFmtId="0" fontId="65" fillId="6" borderId="49" xfId="0" applyFont="1" applyFill="1" applyBorder="1" applyAlignment="1" applyProtection="1">
      <alignment horizontal="center" vertical="center" wrapText="1"/>
    </xf>
    <xf numFmtId="0" fontId="65" fillId="6" borderId="48" xfId="0" applyFont="1" applyFill="1" applyBorder="1" applyAlignment="1" applyProtection="1">
      <alignment horizontal="center" vertical="center" wrapText="1"/>
    </xf>
    <xf numFmtId="0" fontId="65" fillId="6" borderId="50" xfId="0" applyFont="1" applyFill="1" applyBorder="1" applyAlignment="1" applyProtection="1">
      <alignment horizontal="center" vertical="center" wrapText="1"/>
    </xf>
    <xf numFmtId="0" fontId="65" fillId="6" borderId="44" xfId="0" applyFont="1" applyFill="1" applyBorder="1" applyAlignment="1" applyProtection="1">
      <alignment horizontal="center" vertical="center" wrapText="1"/>
    </xf>
    <xf numFmtId="0" fontId="65" fillId="6" borderId="0" xfId="0" applyFont="1" applyFill="1" applyBorder="1" applyAlignment="1" applyProtection="1">
      <alignment horizontal="center" vertical="center" wrapText="1"/>
    </xf>
    <xf numFmtId="0" fontId="65" fillId="6" borderId="52" xfId="0" applyFont="1" applyFill="1" applyBorder="1" applyAlignment="1" applyProtection="1">
      <alignment horizontal="center" vertical="center" wrapText="1"/>
    </xf>
    <xf numFmtId="0" fontId="65" fillId="6" borderId="37" xfId="0" applyFont="1" applyFill="1" applyBorder="1" applyAlignment="1" applyProtection="1">
      <alignment horizontal="center" vertical="center" wrapText="1"/>
    </xf>
    <xf numFmtId="0" fontId="65" fillId="6" borderId="46" xfId="0" applyFont="1" applyFill="1" applyBorder="1" applyAlignment="1" applyProtection="1">
      <alignment horizontal="center" vertical="center" wrapText="1"/>
    </xf>
    <xf numFmtId="0" fontId="65" fillId="6" borderId="36" xfId="0" applyFont="1" applyFill="1" applyBorder="1" applyAlignment="1" applyProtection="1">
      <alignment horizontal="center" vertical="center" wrapText="1"/>
    </xf>
    <xf numFmtId="0" fontId="4" fillId="0" borderId="24" xfId="0" applyFont="1" applyBorder="1" applyAlignment="1" applyProtection="1">
      <alignment horizontal="center"/>
    </xf>
    <xf numFmtId="0" fontId="4" fillId="0" borderId="64" xfId="0" applyFont="1" applyBorder="1" applyAlignment="1" applyProtection="1">
      <alignment horizontal="center"/>
    </xf>
    <xf numFmtId="0" fontId="5" fillId="5" borderId="92" xfId="0" applyFont="1" applyFill="1" applyBorder="1" applyAlignment="1" applyProtection="1">
      <alignment horizontal="center"/>
    </xf>
    <xf numFmtId="0" fontId="5" fillId="5" borderId="121" xfId="0" applyFont="1" applyFill="1" applyBorder="1" applyAlignment="1" applyProtection="1">
      <alignment horizontal="center"/>
    </xf>
    <xf numFmtId="165" fontId="5" fillId="0" borderId="61" xfId="0" applyNumberFormat="1" applyFont="1" applyBorder="1" applyAlignment="1" applyProtection="1"/>
    <xf numFmtId="165" fontId="5" fillId="0" borderId="28" xfId="0" applyNumberFormat="1" applyFont="1" applyBorder="1" applyAlignment="1" applyProtection="1"/>
    <xf numFmtId="0" fontId="55" fillId="3" borderId="17" xfId="0" applyFont="1" applyFill="1" applyBorder="1" applyAlignment="1" applyProtection="1">
      <alignment horizontal="center" vertical="center" wrapText="1"/>
    </xf>
    <xf numFmtId="0" fontId="55" fillId="3" borderId="63" xfId="0" applyFont="1" applyFill="1" applyBorder="1" applyAlignment="1" applyProtection="1">
      <alignment horizontal="center" vertical="center" wrapText="1"/>
    </xf>
    <xf numFmtId="0" fontId="55" fillId="3" borderId="65" xfId="0" applyFont="1" applyFill="1" applyBorder="1" applyAlignment="1" applyProtection="1">
      <alignment horizontal="center" vertical="center" wrapText="1"/>
    </xf>
    <xf numFmtId="0" fontId="55" fillId="3" borderId="55" xfId="0" applyFont="1" applyFill="1" applyBorder="1" applyAlignment="1" applyProtection="1">
      <alignment horizontal="center" vertical="center" wrapText="1"/>
    </xf>
    <xf numFmtId="0" fontId="55" fillId="3" borderId="91" xfId="0" applyFont="1" applyFill="1" applyBorder="1" applyAlignment="1" applyProtection="1">
      <alignment horizontal="center" vertical="center" wrapText="1"/>
    </xf>
    <xf numFmtId="0" fontId="55" fillId="3" borderId="47" xfId="0" applyFont="1" applyFill="1" applyBorder="1" applyAlignment="1" applyProtection="1">
      <alignment horizontal="center" vertical="center" wrapText="1"/>
    </xf>
    <xf numFmtId="0" fontId="5" fillId="5" borderId="6" xfId="0" applyFont="1" applyFill="1" applyBorder="1" applyAlignment="1" applyProtection="1">
      <alignment horizontal="center"/>
    </xf>
    <xf numFmtId="0" fontId="5" fillId="5" borderId="12" xfId="0" applyFont="1" applyFill="1" applyBorder="1" applyAlignment="1" applyProtection="1">
      <alignment horizontal="center"/>
    </xf>
    <xf numFmtId="0" fontId="11" fillId="6" borderId="6" xfId="0" applyFont="1" applyFill="1" applyBorder="1" applyAlignment="1" applyProtection="1">
      <alignment horizontal="center"/>
    </xf>
    <xf numFmtId="0" fontId="11" fillId="6" borderId="18" xfId="0" applyFont="1" applyFill="1" applyBorder="1" applyAlignment="1" applyProtection="1">
      <alignment horizontal="center"/>
    </xf>
    <xf numFmtId="0" fontId="11" fillId="6" borderId="12" xfId="0" applyFont="1" applyFill="1" applyBorder="1" applyAlignment="1" applyProtection="1">
      <alignment horizontal="center"/>
    </xf>
    <xf numFmtId="0" fontId="54" fillId="20" borderId="117" xfId="0" applyFont="1" applyFill="1" applyBorder="1" applyAlignment="1" applyProtection="1">
      <alignment horizontal="center" vertical="center" wrapText="1"/>
    </xf>
    <xf numFmtId="0" fontId="18" fillId="20" borderId="0" xfId="0" applyFont="1" applyFill="1" applyBorder="1" applyAlignment="1" applyProtection="1">
      <alignment horizontal="center" vertical="center"/>
    </xf>
    <xf numFmtId="0" fontId="6" fillId="8" borderId="49" xfId="0" applyFont="1" applyFill="1" applyBorder="1" applyAlignment="1" applyProtection="1">
      <alignment horizontal="center" vertical="center" wrapText="1"/>
    </xf>
    <xf numFmtId="0" fontId="6" fillId="8" borderId="37" xfId="0" applyFont="1" applyFill="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30" borderId="48" xfId="0" applyFont="1" applyFill="1" applyBorder="1" applyAlignment="1" applyProtection="1">
      <alignment horizontal="center" vertical="center"/>
    </xf>
    <xf numFmtId="0" fontId="5" fillId="30" borderId="46" xfId="0" applyFont="1" applyFill="1" applyBorder="1" applyAlignment="1" applyProtection="1">
      <alignment horizontal="center" vertical="center"/>
    </xf>
    <xf numFmtId="0" fontId="6" fillId="8" borderId="1" xfId="0" applyFont="1" applyFill="1" applyBorder="1" applyAlignment="1" applyProtection="1">
      <alignment horizontal="center" vertical="center" wrapText="1"/>
    </xf>
    <xf numFmtId="0" fontId="5" fillId="0" borderId="50" xfId="0" applyFont="1" applyBorder="1" applyAlignment="1" applyProtection="1">
      <alignment horizontal="center" vertical="center" wrapText="1"/>
    </xf>
    <xf numFmtId="0" fontId="5" fillId="0" borderId="36" xfId="0" applyFont="1" applyBorder="1" applyAlignment="1" applyProtection="1">
      <alignment horizontal="center" vertical="center" wrapText="1"/>
    </xf>
    <xf numFmtId="0" fontId="5" fillId="3" borderId="6" xfId="0" applyFont="1" applyFill="1" applyBorder="1" applyAlignment="1" applyProtection="1">
      <alignment horizontal="left"/>
    </xf>
    <xf numFmtId="0" fontId="5" fillId="3" borderId="12" xfId="0" applyFont="1" applyFill="1" applyBorder="1" applyAlignment="1" applyProtection="1">
      <alignment horizontal="left"/>
    </xf>
    <xf numFmtId="0" fontId="4" fillId="20" borderId="0" xfId="0" applyFont="1" applyFill="1" applyBorder="1" applyProtection="1"/>
    <xf numFmtId="0" fontId="13" fillId="20" borderId="0" xfId="1" applyFont="1" applyFill="1" applyBorder="1" applyAlignment="1" applyProtection="1"/>
    <xf numFmtId="0" fontId="5" fillId="2" borderId="1" xfId="0" applyFont="1" applyFill="1" applyBorder="1" applyAlignment="1" applyProtection="1">
      <alignment horizontal="center"/>
      <protection locked="0"/>
    </xf>
    <xf numFmtId="0" fontId="4" fillId="4" borderId="6" xfId="0" applyFont="1" applyFill="1" applyBorder="1" applyAlignment="1" applyProtection="1">
      <alignment horizontal="left"/>
    </xf>
    <xf numFmtId="0" fontId="4" fillId="4" borderId="18" xfId="0" applyFont="1" applyFill="1" applyBorder="1" applyAlignment="1" applyProtection="1">
      <alignment horizontal="left"/>
    </xf>
    <xf numFmtId="0" fontId="13" fillId="4" borderId="18" xfId="1" applyFont="1" applyFill="1" applyBorder="1" applyAlignment="1" applyProtection="1">
      <alignment vertical="center"/>
    </xf>
    <xf numFmtId="0" fontId="13" fillId="4" borderId="12" xfId="1" applyFont="1" applyFill="1" applyBorder="1" applyAlignment="1" applyProtection="1">
      <alignment vertical="center"/>
    </xf>
    <xf numFmtId="174" fontId="5" fillId="3" borderId="18" xfId="0" applyNumberFormat="1" applyFont="1" applyFill="1" applyBorder="1" applyAlignment="1" applyProtection="1">
      <alignment horizontal="right"/>
    </xf>
    <xf numFmtId="174" fontId="5" fillId="3" borderId="12" xfId="0" applyNumberFormat="1" applyFont="1" applyFill="1" applyBorder="1" applyAlignment="1" applyProtection="1">
      <alignment horizontal="right"/>
    </xf>
    <xf numFmtId="0" fontId="11" fillId="6" borderId="6" xfId="0" applyFont="1" applyFill="1" applyBorder="1" applyAlignment="1" applyProtection="1">
      <alignment horizontal="left" wrapText="1"/>
    </xf>
    <xf numFmtId="0" fontId="11" fillId="6" borderId="18" xfId="0" applyFont="1" applyFill="1" applyBorder="1" applyAlignment="1" applyProtection="1">
      <alignment horizontal="left" wrapText="1"/>
    </xf>
    <xf numFmtId="0" fontId="11" fillId="6" borderId="12" xfId="0" applyFont="1" applyFill="1" applyBorder="1" applyAlignment="1" applyProtection="1">
      <alignment horizontal="left" wrapText="1"/>
    </xf>
    <xf numFmtId="0" fontId="11" fillId="6" borderId="18" xfId="0" applyFont="1" applyFill="1" applyBorder="1" applyAlignment="1" applyProtection="1">
      <alignment horizontal="left"/>
    </xf>
    <xf numFmtId="0" fontId="5" fillId="3" borderId="1" xfId="0" applyFont="1" applyFill="1" applyBorder="1" applyAlignment="1" applyProtection="1">
      <alignment horizontal="left"/>
    </xf>
    <xf numFmtId="0" fontId="5" fillId="2" borderId="6" xfId="0" applyFont="1" applyFill="1" applyBorder="1" applyAlignment="1" applyProtection="1">
      <alignment horizontal="center"/>
      <protection locked="0"/>
    </xf>
    <xf numFmtId="0" fontId="5" fillId="2" borderId="12" xfId="0" applyFont="1" applyFill="1" applyBorder="1" applyAlignment="1" applyProtection="1">
      <alignment horizontal="center"/>
      <protection locked="0"/>
    </xf>
    <xf numFmtId="0" fontId="5" fillId="5" borderId="18" xfId="0" applyFont="1" applyFill="1" applyBorder="1" applyAlignment="1" applyProtection="1">
      <alignment horizontal="center"/>
    </xf>
    <xf numFmtId="0" fontId="17" fillId="3" borderId="0" xfId="0" applyFont="1" applyFill="1" applyAlignment="1" applyProtection="1">
      <alignment horizontal="left"/>
    </xf>
    <xf numFmtId="0" fontId="38" fillId="3" borderId="0" xfId="0" applyFont="1" applyFill="1" applyAlignment="1" applyProtection="1">
      <alignment horizontal="center" vertical="center"/>
    </xf>
    <xf numFmtId="0" fontId="11" fillId="6" borderId="6" xfId="0" applyFont="1" applyFill="1" applyBorder="1" applyAlignment="1" applyProtection="1">
      <alignment horizontal="center" vertical="center"/>
    </xf>
    <xf numFmtId="0" fontId="11" fillId="6" borderId="18" xfId="0" applyFont="1" applyFill="1" applyBorder="1" applyAlignment="1" applyProtection="1">
      <alignment horizontal="center" vertical="center"/>
    </xf>
    <xf numFmtId="0" fontId="11" fillId="6" borderId="12" xfId="0" applyFont="1" applyFill="1" applyBorder="1" applyAlignment="1" applyProtection="1">
      <alignment horizontal="center" vertical="center"/>
    </xf>
    <xf numFmtId="0" fontId="5" fillId="3" borderId="6" xfId="0" applyFont="1" applyFill="1" applyBorder="1" applyAlignment="1" applyProtection="1">
      <alignment horizontal="center"/>
    </xf>
    <xf numFmtId="0" fontId="5" fillId="3" borderId="18" xfId="0" applyFont="1" applyFill="1" applyBorder="1" applyAlignment="1" applyProtection="1">
      <alignment horizontal="center"/>
    </xf>
    <xf numFmtId="0" fontId="13" fillId="34" borderId="44" xfId="1" applyFont="1" applyFill="1" applyBorder="1" applyAlignment="1" applyProtection="1">
      <alignment horizontal="center" vertical="center"/>
    </xf>
    <xf numFmtId="0" fontId="13" fillId="34" borderId="0" xfId="1" applyFont="1" applyFill="1" applyBorder="1" applyAlignment="1" applyProtection="1">
      <alignment horizontal="center" vertical="center"/>
    </xf>
    <xf numFmtId="0" fontId="5" fillId="5" borderId="6" xfId="0" applyFont="1" applyFill="1" applyBorder="1" applyAlignment="1" applyProtection="1">
      <alignment horizontal="center" vertical="center"/>
    </xf>
    <xf numFmtId="0" fontId="5" fillId="5" borderId="12" xfId="0" applyFont="1" applyFill="1" applyBorder="1" applyAlignment="1" applyProtection="1">
      <alignment horizontal="center" vertical="center"/>
    </xf>
    <xf numFmtId="0" fontId="5" fillId="5" borderId="18" xfId="0"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5" fillId="3" borderId="18" xfId="0" applyFont="1" applyFill="1" applyBorder="1" applyAlignment="1" applyProtection="1">
      <alignment horizontal="center" vertical="center"/>
    </xf>
    <xf numFmtId="0" fontId="5" fillId="3" borderId="12" xfId="0" applyFont="1" applyFill="1" applyBorder="1" applyAlignment="1" applyProtection="1">
      <alignment horizontal="center" vertical="center"/>
    </xf>
    <xf numFmtId="0" fontId="5" fillId="7" borderId="6" xfId="0" applyFont="1" applyFill="1" applyBorder="1" applyAlignment="1" applyProtection="1">
      <alignment vertical="center"/>
    </xf>
    <xf numFmtId="0" fontId="5" fillId="7" borderId="18" xfId="0" applyFont="1" applyFill="1" applyBorder="1" applyAlignment="1" applyProtection="1">
      <alignment vertical="center"/>
    </xf>
    <xf numFmtId="0" fontId="5" fillId="7" borderId="12" xfId="0" applyFont="1" applyFill="1" applyBorder="1" applyAlignment="1" applyProtection="1">
      <alignment vertical="center"/>
    </xf>
    <xf numFmtId="179" fontId="5" fillId="7" borderId="6" xfId="0" applyNumberFormat="1" applyFont="1" applyFill="1" applyBorder="1" applyAlignment="1" applyProtection="1">
      <alignment horizontal="center" vertical="center"/>
    </xf>
    <xf numFmtId="179" fontId="5" fillId="7" borderId="18" xfId="0" applyNumberFormat="1" applyFont="1" applyFill="1" applyBorder="1" applyAlignment="1" applyProtection="1">
      <alignment horizontal="center" vertical="center"/>
    </xf>
    <xf numFmtId="179" fontId="5" fillId="7" borderId="12" xfId="0" applyNumberFormat="1" applyFont="1" applyFill="1" applyBorder="1" applyAlignment="1" applyProtection="1">
      <alignment horizontal="center" vertical="center"/>
    </xf>
    <xf numFmtId="0" fontId="5" fillId="3" borderId="6" xfId="0" applyFont="1" applyFill="1" applyBorder="1" applyAlignment="1" applyProtection="1">
      <alignment vertical="center"/>
    </xf>
    <xf numFmtId="0" fontId="5" fillId="3" borderId="18" xfId="0" applyFont="1" applyFill="1" applyBorder="1" applyAlignment="1" applyProtection="1">
      <alignment vertical="center"/>
    </xf>
    <xf numFmtId="0" fontId="5" fillId="3" borderId="12" xfId="0" applyFont="1" applyFill="1" applyBorder="1" applyAlignment="1" applyProtection="1">
      <alignment vertical="center"/>
    </xf>
    <xf numFmtId="179" fontId="5" fillId="3" borderId="6" xfId="0" applyNumberFormat="1" applyFont="1" applyFill="1" applyBorder="1" applyAlignment="1" applyProtection="1">
      <alignment horizontal="center" vertical="center"/>
    </xf>
    <xf numFmtId="179" fontId="5" fillId="3" borderId="18" xfId="0" applyNumberFormat="1" applyFont="1" applyFill="1" applyBorder="1" applyAlignment="1" applyProtection="1">
      <alignment horizontal="center" vertical="center"/>
    </xf>
    <xf numFmtId="179" fontId="5" fillId="3" borderId="12" xfId="0" applyNumberFormat="1" applyFont="1" applyFill="1" applyBorder="1" applyAlignment="1" applyProtection="1">
      <alignment horizontal="center" vertical="center"/>
    </xf>
    <xf numFmtId="0" fontId="4" fillId="7" borderId="17" xfId="0" applyFont="1" applyFill="1" applyBorder="1" applyAlignment="1" applyProtection="1">
      <alignment horizontal="left" vertical="center" wrapText="1"/>
    </xf>
    <xf numFmtId="0" fontId="4" fillId="7" borderId="63" xfId="0" applyFont="1" applyFill="1" applyBorder="1" applyAlignment="1" applyProtection="1">
      <alignment horizontal="left" vertical="center" wrapText="1"/>
    </xf>
    <xf numFmtId="0" fontId="4" fillId="7" borderId="65" xfId="0" applyFont="1" applyFill="1" applyBorder="1" applyAlignment="1" applyProtection="1">
      <alignment horizontal="left" vertical="center" wrapText="1"/>
    </xf>
    <xf numFmtId="0" fontId="4" fillId="7" borderId="39" xfId="0" applyFont="1" applyFill="1" applyBorder="1" applyAlignment="1" applyProtection="1">
      <alignment horizontal="left" vertical="center" wrapText="1"/>
    </xf>
    <xf numFmtId="0" fontId="4" fillId="7" borderId="0" xfId="0" applyFont="1" applyFill="1" applyBorder="1" applyAlignment="1" applyProtection="1">
      <alignment horizontal="left" vertical="center" wrapText="1"/>
    </xf>
    <xf numFmtId="0" fontId="4" fillId="7" borderId="57" xfId="0" applyFont="1" applyFill="1" applyBorder="1" applyAlignment="1" applyProtection="1">
      <alignment horizontal="left" vertical="center" wrapText="1"/>
    </xf>
    <xf numFmtId="0" fontId="4" fillId="7" borderId="55" xfId="0" applyFont="1" applyFill="1" applyBorder="1" applyAlignment="1" applyProtection="1">
      <alignment horizontal="left" vertical="center" wrapText="1"/>
    </xf>
    <xf numFmtId="0" fontId="4" fillId="7" borderId="91" xfId="0" applyFont="1" applyFill="1" applyBorder="1" applyAlignment="1" applyProtection="1">
      <alignment horizontal="left" vertical="center" wrapText="1"/>
    </xf>
    <xf numFmtId="0" fontId="4" fillId="7" borderId="47" xfId="0" applyFont="1" applyFill="1" applyBorder="1" applyAlignment="1" applyProtection="1">
      <alignment horizontal="left" vertical="center" wrapText="1"/>
    </xf>
    <xf numFmtId="0" fontId="8" fillId="6" borderId="1" xfId="0" applyFont="1" applyFill="1" applyBorder="1" applyAlignment="1" applyProtection="1">
      <alignment horizontal="center" vertical="center"/>
    </xf>
    <xf numFmtId="0" fontId="5" fillId="4" borderId="18" xfId="0" applyFont="1" applyFill="1" applyBorder="1" applyAlignment="1" applyProtection="1">
      <alignment horizontal="center" vertical="center"/>
    </xf>
    <xf numFmtId="0" fontId="5" fillId="4" borderId="12" xfId="0" applyFont="1" applyFill="1" applyBorder="1" applyAlignment="1" applyProtection="1">
      <alignment horizontal="center" vertical="center"/>
    </xf>
    <xf numFmtId="0" fontId="5" fillId="3" borderId="2" xfId="0" applyFont="1" applyFill="1" applyBorder="1" applyAlignment="1" applyProtection="1">
      <alignment horizontal="right" vertical="center"/>
    </xf>
    <xf numFmtId="0" fontId="5" fillId="3" borderId="22" xfId="0" applyFont="1" applyFill="1" applyBorder="1" applyAlignment="1" applyProtection="1">
      <alignment horizontal="right" vertical="center"/>
    </xf>
    <xf numFmtId="0" fontId="5" fillId="2" borderId="6" xfId="0" applyFont="1" applyFill="1" applyBorder="1" applyAlignment="1" applyProtection="1">
      <alignment horizontal="center" vertical="center"/>
      <protection locked="0"/>
    </xf>
    <xf numFmtId="0" fontId="5" fillId="2" borderId="12" xfId="0" applyFont="1" applyFill="1" applyBorder="1" applyAlignment="1" applyProtection="1">
      <alignment horizontal="center" vertical="center"/>
      <protection locked="0"/>
    </xf>
    <xf numFmtId="179" fontId="5" fillId="7" borderId="1" xfId="0" applyNumberFormat="1" applyFont="1" applyFill="1" applyBorder="1" applyAlignment="1" applyProtection="1">
      <alignment horizontal="center" vertical="center"/>
    </xf>
    <xf numFmtId="0" fontId="5" fillId="3" borderId="6" xfId="0" applyFont="1" applyFill="1" applyBorder="1" applyAlignment="1" applyProtection="1">
      <alignment horizontal="left" vertical="center"/>
    </xf>
    <xf numFmtId="0" fontId="5" fillId="3" borderId="18" xfId="0" applyFont="1" applyFill="1" applyBorder="1" applyAlignment="1" applyProtection="1">
      <alignment horizontal="left" vertical="center"/>
    </xf>
    <xf numFmtId="0" fontId="5" fillId="3" borderId="12" xfId="0" applyFont="1" applyFill="1" applyBorder="1" applyAlignment="1" applyProtection="1">
      <alignment horizontal="left" vertical="center"/>
    </xf>
    <xf numFmtId="0" fontId="5" fillId="5" borderId="6" xfId="0" applyFont="1" applyFill="1" applyBorder="1" applyAlignment="1" applyProtection="1">
      <alignment vertical="center"/>
    </xf>
    <xf numFmtId="0" fontId="5" fillId="5" borderId="18" xfId="0" applyFont="1" applyFill="1" applyBorder="1" applyAlignment="1" applyProtection="1">
      <alignment vertical="center"/>
    </xf>
    <xf numFmtId="0" fontId="5" fillId="5" borderId="12" xfId="0" applyFont="1" applyFill="1" applyBorder="1" applyAlignment="1" applyProtection="1">
      <alignment vertical="center"/>
    </xf>
    <xf numFmtId="179" fontId="5" fillId="3" borderId="1" xfId="0" applyNumberFormat="1" applyFont="1" applyFill="1" applyBorder="1" applyAlignment="1" applyProtection="1">
      <alignment horizontal="center" vertical="center"/>
    </xf>
    <xf numFmtId="0" fontId="5" fillId="7" borderId="6" xfId="0" applyFont="1" applyFill="1" applyBorder="1" applyAlignment="1" applyProtection="1">
      <alignment horizontal="left" vertical="center"/>
    </xf>
    <xf numFmtId="0" fontId="5" fillId="7" borderId="18" xfId="0" applyFont="1" applyFill="1" applyBorder="1" applyAlignment="1" applyProtection="1">
      <alignment horizontal="left" vertical="center"/>
    </xf>
    <xf numFmtId="0" fontId="5" fillId="7" borderId="12"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5" borderId="18" xfId="0" applyFont="1" applyFill="1" applyBorder="1" applyAlignment="1" applyProtection="1">
      <alignment horizontal="left" vertical="center"/>
    </xf>
    <xf numFmtId="0" fontId="5" fillId="5" borderId="12" xfId="0" applyFont="1" applyFill="1" applyBorder="1" applyAlignment="1" applyProtection="1">
      <alignment horizontal="left" vertical="center"/>
    </xf>
    <xf numFmtId="0" fontId="5" fillId="7" borderId="6" xfId="0" applyFont="1" applyFill="1" applyBorder="1" applyAlignment="1" applyProtection="1">
      <alignment horizontal="center" vertical="center"/>
    </xf>
    <xf numFmtId="0" fontId="5" fillId="7" borderId="18" xfId="0" applyFont="1" applyFill="1" applyBorder="1" applyAlignment="1" applyProtection="1">
      <alignment horizontal="center" vertical="center"/>
    </xf>
    <xf numFmtId="1" fontId="5" fillId="7" borderId="6" xfId="0" applyNumberFormat="1" applyFont="1" applyFill="1" applyBorder="1" applyAlignment="1" applyProtection="1">
      <alignment horizontal="center" vertical="center"/>
    </xf>
    <xf numFmtId="1" fontId="5" fillId="7" borderId="12" xfId="0" applyNumberFormat="1" applyFont="1" applyFill="1" applyBorder="1" applyAlignment="1" applyProtection="1">
      <alignment horizontal="center" vertical="center"/>
    </xf>
    <xf numFmtId="0" fontId="11" fillId="6" borderId="1" xfId="0" applyFont="1" applyFill="1" applyBorder="1" applyAlignment="1" applyProtection="1">
      <alignment horizontal="center" vertical="center"/>
    </xf>
    <xf numFmtId="0" fontId="5" fillId="4" borderId="11"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38" fillId="34" borderId="0" xfId="0" applyFont="1" applyFill="1" applyBorder="1" applyAlignment="1" applyProtection="1">
      <alignment horizontal="center" vertical="center"/>
    </xf>
    <xf numFmtId="0" fontId="38" fillId="34" borderId="57" xfId="0" applyFont="1" applyFill="1" applyBorder="1" applyAlignment="1" applyProtection="1">
      <alignment horizontal="center" vertical="center"/>
    </xf>
    <xf numFmtId="0" fontId="13" fillId="4" borderId="37" xfId="1" applyFont="1" applyFill="1" applyBorder="1" applyAlignment="1" applyProtection="1">
      <alignment horizontal="center" vertical="center"/>
      <protection locked="0"/>
    </xf>
    <xf numFmtId="0" fontId="13" fillId="4" borderId="36" xfId="1" applyFont="1" applyFill="1" applyBorder="1" applyAlignment="1" applyProtection="1">
      <alignment horizontal="center" vertical="center"/>
      <protection locked="0"/>
    </xf>
    <xf numFmtId="0" fontId="38" fillId="3" borderId="0" xfId="0" applyFont="1" applyFill="1" applyBorder="1" applyAlignment="1" applyProtection="1">
      <alignment horizontal="center" vertical="center"/>
    </xf>
    <xf numFmtId="0" fontId="4" fillId="4" borderId="49" xfId="0" applyFont="1" applyFill="1" applyBorder="1" applyAlignment="1" applyProtection="1">
      <alignment horizontal="center"/>
    </xf>
    <xf numFmtId="0" fontId="4" fillId="4" borderId="50" xfId="0" applyFont="1" applyFill="1" applyBorder="1" applyAlignment="1" applyProtection="1">
      <alignment horizontal="center"/>
    </xf>
    <xf numFmtId="0" fontId="8" fillId="6" borderId="61" xfId="2" applyFont="1" applyFill="1" applyBorder="1" applyAlignment="1" applyProtection="1">
      <alignment horizontal="center" vertical="center"/>
    </xf>
    <xf numFmtId="0" fontId="8" fillId="6" borderId="90" xfId="2" applyFont="1" applyFill="1" applyBorder="1" applyAlignment="1" applyProtection="1">
      <alignment horizontal="center" vertical="center"/>
    </xf>
    <xf numFmtId="0" fontId="11" fillId="6" borderId="90" xfId="1" applyFont="1" applyFill="1" applyBorder="1" applyAlignment="1" applyProtection="1">
      <alignment horizontal="center" vertical="center"/>
      <protection locked="0"/>
    </xf>
    <xf numFmtId="0" fontId="11" fillId="6" borderId="28" xfId="1" applyFont="1" applyFill="1" applyBorder="1" applyAlignment="1" applyProtection="1">
      <alignment horizontal="center" vertical="center"/>
      <protection locked="0"/>
    </xf>
    <xf numFmtId="0" fontId="5" fillId="5" borderId="20" xfId="0" applyFont="1" applyFill="1" applyBorder="1" applyAlignment="1" applyProtection="1">
      <alignment horizontal="left" vertical="center"/>
    </xf>
    <xf numFmtId="0" fontId="5" fillId="3" borderId="20" xfId="0" applyFont="1" applyFill="1" applyBorder="1" applyAlignment="1" applyProtection="1">
      <alignment horizontal="left" vertical="center"/>
    </xf>
    <xf numFmtId="0" fontId="13" fillId="4" borderId="20" xfId="1" applyFont="1" applyFill="1" applyBorder="1" applyAlignment="1" applyProtection="1">
      <alignment vertical="center"/>
      <protection locked="0"/>
    </xf>
    <xf numFmtId="0" fontId="5" fillId="3" borderId="24" xfId="0" applyFont="1" applyFill="1" applyBorder="1" applyAlignment="1" applyProtection="1">
      <alignment horizontal="center" vertical="center"/>
    </xf>
    <xf numFmtId="0" fontId="5" fillId="3" borderId="92" xfId="0" applyFont="1" applyFill="1" applyBorder="1" applyAlignment="1" applyProtection="1">
      <alignment horizontal="center" vertical="center"/>
    </xf>
    <xf numFmtId="0" fontId="5" fillId="3" borderId="64" xfId="0" applyFont="1" applyFill="1" applyBorder="1" applyAlignment="1" applyProtection="1">
      <alignment horizontal="center" vertical="center"/>
    </xf>
    <xf numFmtId="0" fontId="4" fillId="3" borderId="20" xfId="0" applyFont="1" applyFill="1" applyBorder="1" applyAlignment="1" applyProtection="1">
      <alignment horizontal="left" vertical="center"/>
    </xf>
    <xf numFmtId="0" fontId="4" fillId="3" borderId="18" xfId="0" applyFont="1" applyFill="1" applyBorder="1" applyAlignment="1" applyProtection="1">
      <alignment horizontal="left" vertical="center"/>
    </xf>
    <xf numFmtId="0" fontId="4" fillId="3" borderId="12" xfId="0" applyFont="1" applyFill="1" applyBorder="1" applyAlignment="1" applyProtection="1">
      <alignment horizontal="left" vertical="center"/>
    </xf>
    <xf numFmtId="0" fontId="5" fillId="3" borderId="11"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5" fillId="3" borderId="4" xfId="0" applyFont="1" applyFill="1" applyBorder="1" applyAlignment="1" applyProtection="1">
      <alignment horizontal="center" vertical="center"/>
    </xf>
    <xf numFmtId="0" fontId="4" fillId="0" borderId="24" xfId="0" applyFont="1" applyBorder="1" applyAlignment="1" applyProtection="1">
      <alignment horizontal="center" vertical="center"/>
    </xf>
    <xf numFmtId="0" fontId="4" fillId="0" borderId="92" xfId="0" applyFont="1" applyBorder="1" applyAlignment="1" applyProtection="1">
      <alignment horizontal="center" vertical="center"/>
    </xf>
    <xf numFmtId="0" fontId="4" fillId="0" borderId="64" xfId="0" applyFont="1" applyBorder="1" applyAlignment="1" applyProtection="1">
      <alignment horizontal="center" vertical="center"/>
    </xf>
    <xf numFmtId="0" fontId="2" fillId="7" borderId="22" xfId="0" applyFont="1" applyFill="1" applyBorder="1" applyAlignment="1" applyProtection="1">
      <alignment horizontal="center" vertical="center"/>
      <protection locked="0"/>
    </xf>
    <xf numFmtId="0" fontId="2" fillId="7" borderId="77" xfId="0" applyFont="1" applyFill="1" applyBorder="1" applyAlignment="1" applyProtection="1">
      <alignment horizontal="center" vertical="center"/>
      <protection locked="0"/>
    </xf>
    <xf numFmtId="0" fontId="2" fillId="7" borderId="1" xfId="0" applyFont="1" applyFill="1" applyBorder="1" applyAlignment="1" applyProtection="1">
      <alignment horizontal="center" vertical="center"/>
      <protection locked="0"/>
    </xf>
    <xf numFmtId="0" fontId="2" fillId="7" borderId="6" xfId="0" applyFont="1" applyFill="1" applyBorder="1" applyAlignment="1" applyProtection="1">
      <alignment horizontal="center" vertical="center"/>
      <protection locked="0"/>
    </xf>
    <xf numFmtId="0" fontId="2" fillId="7" borderId="18" xfId="0" applyFont="1" applyFill="1" applyBorder="1" applyAlignment="1" applyProtection="1">
      <alignment horizontal="center" vertical="center"/>
      <protection locked="0"/>
    </xf>
    <xf numFmtId="0" fontId="2" fillId="7" borderId="12"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7" borderId="100"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0" fontId="2" fillId="7" borderId="38" xfId="0" applyFont="1" applyFill="1" applyBorder="1" applyAlignment="1" applyProtection="1">
      <alignment horizontal="center" vertical="center"/>
      <protection locked="0"/>
    </xf>
    <xf numFmtId="0" fontId="2" fillId="7" borderId="36" xfId="0" applyFont="1" applyFill="1" applyBorder="1" applyAlignment="1" applyProtection="1">
      <alignment horizontal="center" vertical="center"/>
      <protection locked="0"/>
    </xf>
    <xf numFmtId="0" fontId="2" fillId="0" borderId="101" xfId="0" applyFont="1" applyFill="1" applyBorder="1" applyAlignment="1" applyProtection="1">
      <alignment horizontal="center" vertical="center"/>
      <protection locked="0"/>
    </xf>
    <xf numFmtId="0" fontId="2" fillId="0" borderId="72" xfId="0" applyFont="1" applyFill="1" applyBorder="1" applyAlignment="1" applyProtection="1">
      <alignment horizontal="center" vertical="center"/>
      <protection locked="0"/>
    </xf>
    <xf numFmtId="0" fontId="32" fillId="0" borderId="14" xfId="0" applyFont="1" applyBorder="1" applyAlignment="1" applyProtection="1">
      <alignment horizontal="center" vertical="center" textRotation="255"/>
      <protection locked="0"/>
    </xf>
    <xf numFmtId="0" fontId="32" fillId="0" borderId="21" xfId="0" applyFont="1" applyBorder="1" applyAlignment="1" applyProtection="1">
      <alignment horizontal="center" vertical="center" textRotation="255"/>
      <protection locked="0"/>
    </xf>
    <xf numFmtId="0" fontId="32" fillId="0" borderId="16" xfId="0" applyFont="1" applyBorder="1" applyAlignment="1" applyProtection="1">
      <alignment horizontal="center" vertical="center" textRotation="255"/>
      <protection locked="0"/>
    </xf>
    <xf numFmtId="0" fontId="2" fillId="0" borderId="6"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33" fillId="0" borderId="95" xfId="0" applyFont="1" applyBorder="1" applyAlignment="1" applyProtection="1">
      <alignment horizontal="center" vertical="center" textRotation="135"/>
      <protection locked="0"/>
    </xf>
    <xf numFmtId="0" fontId="33" fillId="0" borderId="96" xfId="0" applyFont="1" applyBorder="1" applyAlignment="1" applyProtection="1">
      <alignment horizontal="center" vertical="center" textRotation="135"/>
      <protection locked="0"/>
    </xf>
    <xf numFmtId="0" fontId="33" fillId="0" borderId="97" xfId="0" applyFont="1" applyBorder="1" applyAlignment="1" applyProtection="1">
      <alignment horizontal="center" vertical="center" textRotation="135"/>
      <protection locked="0"/>
    </xf>
    <xf numFmtId="0" fontId="2" fillId="7" borderId="40" xfId="0" applyFont="1" applyFill="1" applyBorder="1" applyAlignment="1" applyProtection="1">
      <alignment horizontal="center" vertical="center"/>
      <protection locked="0"/>
    </xf>
    <xf numFmtId="0" fontId="32" fillId="0" borderId="98" xfId="0" applyFont="1" applyBorder="1" applyAlignment="1" applyProtection="1">
      <alignment horizontal="center" vertical="center" textRotation="255"/>
      <protection locked="0"/>
    </xf>
    <xf numFmtId="0" fontId="32" fillId="0" borderId="56" xfId="0" applyFont="1" applyBorder="1" applyAlignment="1" applyProtection="1">
      <alignment horizontal="center" vertical="center" textRotation="255"/>
      <protection locked="0"/>
    </xf>
    <xf numFmtId="0" fontId="2" fillId="0" borderId="99" xfId="0" applyFont="1" applyFill="1" applyBorder="1" applyAlignment="1" applyProtection="1">
      <alignment horizontal="center" vertical="center"/>
      <protection locked="0"/>
    </xf>
    <xf numFmtId="0" fontId="2" fillId="0" borderId="71" xfId="0" applyFont="1" applyFill="1" applyBorder="1" applyAlignment="1" applyProtection="1">
      <alignment horizontal="center" vertical="center"/>
      <protection locked="0"/>
    </xf>
    <xf numFmtId="0" fontId="32" fillId="0" borderId="93" xfId="0" applyFont="1" applyBorder="1" applyAlignment="1" applyProtection="1">
      <alignment horizontal="center" vertical="center"/>
      <protection locked="0"/>
    </xf>
    <xf numFmtId="0" fontId="32" fillId="0" borderId="94" xfId="0" applyFont="1" applyBorder="1" applyAlignment="1" applyProtection="1">
      <alignment horizontal="center" vertical="center"/>
      <protection locked="0"/>
    </xf>
    <xf numFmtId="0" fontId="2" fillId="11" borderId="58" xfId="0" applyFont="1" applyFill="1" applyBorder="1" applyAlignment="1" applyProtection="1">
      <alignment horizontal="center" vertical="center"/>
      <protection locked="0"/>
    </xf>
    <xf numFmtId="0" fontId="2" fillId="13" borderId="59" xfId="0" applyFont="1" applyFill="1" applyBorder="1" applyAlignment="1" applyProtection="1">
      <alignment horizontal="center" vertical="center"/>
      <protection locked="0"/>
    </xf>
    <xf numFmtId="0" fontId="59" fillId="42" borderId="1" xfId="0" applyFont="1" applyFill="1" applyBorder="1" applyAlignment="1" applyProtection="1">
      <alignment horizontal="center"/>
      <protection locked="0"/>
    </xf>
    <xf numFmtId="0" fontId="59" fillId="42" borderId="6" xfId="0" applyFont="1" applyFill="1" applyBorder="1" applyAlignment="1" applyProtection="1">
      <alignment horizontal="center"/>
      <protection locked="0"/>
    </xf>
    <xf numFmtId="0" fontId="59" fillId="42" borderId="12" xfId="0" applyFont="1" applyFill="1" applyBorder="1" applyAlignment="1" applyProtection="1">
      <alignment horizontal="center"/>
      <protection locked="0"/>
    </xf>
    <xf numFmtId="0" fontId="38" fillId="39" borderId="6" xfId="0" applyFont="1" applyFill="1" applyBorder="1" applyAlignment="1" applyProtection="1">
      <alignment horizontal="center"/>
      <protection locked="0"/>
    </xf>
    <xf numFmtId="0" fontId="38" fillId="39" borderId="12" xfId="0" applyFont="1" applyFill="1" applyBorder="1" applyAlignment="1" applyProtection="1">
      <alignment horizontal="center"/>
      <protection locked="0"/>
    </xf>
    <xf numFmtId="0" fontId="38" fillId="41" borderId="6" xfId="0" applyFont="1" applyFill="1" applyBorder="1" applyAlignment="1" applyProtection="1">
      <alignment horizontal="center"/>
      <protection locked="0"/>
    </xf>
    <xf numFmtId="0" fontId="38" fillId="41" borderId="12" xfId="0" applyFont="1" applyFill="1" applyBorder="1" applyAlignment="1" applyProtection="1">
      <alignment horizontal="center"/>
      <protection locked="0"/>
    </xf>
    <xf numFmtId="0" fontId="59" fillId="0" borderId="2" xfId="0" applyFont="1" applyFill="1" applyBorder="1" applyAlignment="1" applyProtection="1">
      <alignment horizontal="center"/>
      <protection locked="0"/>
    </xf>
    <xf numFmtId="0" fontId="59" fillId="42" borderId="46" xfId="0" applyFont="1" applyFill="1" applyBorder="1" applyAlignment="1" applyProtection="1">
      <alignment horizontal="center"/>
      <protection locked="0"/>
    </xf>
    <xf numFmtId="0" fontId="59" fillId="42" borderId="18" xfId="0" applyFont="1" applyFill="1" applyBorder="1" applyAlignment="1" applyProtection="1">
      <alignment horizontal="center"/>
      <protection locked="0"/>
    </xf>
    <xf numFmtId="0" fontId="47" fillId="42" borderId="1" xfId="0" applyFont="1" applyFill="1" applyBorder="1" applyAlignment="1" applyProtection="1">
      <alignment horizontal="center" vertical="center"/>
    </xf>
  </cellXfs>
  <cellStyles count="3">
    <cellStyle name="Lien hypertexte" xfId="1" builtinId="8"/>
    <cellStyle name="Normal" xfId="0" builtinId="0"/>
    <cellStyle name="Normal 2" xfId="2"/>
  </cellStyles>
  <dxfs count="129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0"/>
      </font>
      <fill>
        <patternFill>
          <bgColor indexed="13"/>
        </patternFill>
      </fill>
    </dxf>
    <dxf>
      <font>
        <b/>
        <i val="0"/>
        <condense val="0"/>
        <extend val="0"/>
        <color indexed="18"/>
      </font>
      <fill>
        <patternFill>
          <bgColor indexed="46"/>
        </patternFill>
      </fill>
    </dxf>
    <dxf>
      <font>
        <b/>
        <i val="0"/>
        <condense val="0"/>
        <extend val="0"/>
        <color indexed="18"/>
      </font>
      <fill>
        <patternFill>
          <bgColor indexed="46"/>
        </patternFill>
      </fill>
    </dxf>
    <dxf>
      <font>
        <color rgb="FF9C0006"/>
      </font>
      <fill>
        <patternFill>
          <bgColor rgb="FFFFC7CE"/>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color theme="0"/>
      </font>
    </dxf>
    <dxf>
      <font>
        <b/>
        <i val="0"/>
        <condense val="0"/>
        <extend val="0"/>
        <color indexed="10"/>
      </font>
      <fill>
        <patternFill>
          <bgColor indexed="13"/>
        </patternFill>
      </fill>
    </dxf>
    <dxf>
      <font>
        <b/>
        <i val="0"/>
        <condense val="0"/>
        <extend val="0"/>
        <color indexed="10"/>
      </font>
      <fill>
        <patternFill>
          <bgColor indexed="13"/>
        </patternFill>
      </fill>
    </dxf>
    <dxf>
      <font>
        <b val="0"/>
        <i val="0"/>
        <color theme="1"/>
      </font>
      <fill>
        <patternFill patternType="none">
          <bgColor auto="1"/>
        </patternFill>
      </fill>
      <border>
        <left style="thin">
          <color auto="1"/>
        </left>
        <right style="thin">
          <color auto="1"/>
        </right>
        <top style="thin">
          <color auto="1"/>
        </top>
        <bottom style="thin">
          <color auto="1"/>
        </bottom>
        <vertical/>
        <horizontal/>
      </border>
    </dxf>
    <dxf>
      <font>
        <b val="0"/>
        <i val="0"/>
        <color theme="1"/>
      </font>
      <fill>
        <patternFill patternType="none">
          <bgColor auto="1"/>
        </patternFill>
      </fill>
      <border>
        <left style="thin">
          <color auto="1"/>
        </left>
        <right style="thin">
          <color auto="1"/>
        </right>
        <top style="thin">
          <color auto="1"/>
        </top>
        <bottom style="thin">
          <color auto="1"/>
        </bottom>
        <vertical/>
        <horizontal/>
      </border>
    </dxf>
    <dxf>
      <font>
        <b val="0"/>
        <i val="0"/>
        <color theme="1"/>
      </font>
      <fill>
        <patternFill>
          <bgColor rgb="FF00FFFF"/>
        </patternFill>
      </fill>
      <border>
        <left style="thin">
          <color auto="1"/>
        </left>
        <right style="thin">
          <color auto="1"/>
        </right>
        <top style="thin">
          <color auto="1"/>
        </top>
        <bottom style="thin">
          <color auto="1"/>
        </bottom>
        <vertical/>
        <horizontal/>
      </border>
    </dxf>
    <dxf>
      <font>
        <b val="0"/>
        <i val="0"/>
        <color theme="1"/>
      </font>
      <fill>
        <patternFill patternType="none">
          <bgColor auto="1"/>
        </patternFill>
      </fill>
      <border>
        <left style="thin">
          <color auto="1"/>
        </left>
        <right style="thin">
          <color auto="1"/>
        </right>
        <top style="thin">
          <color auto="1"/>
        </top>
        <bottom style="thin">
          <color auto="1"/>
        </bottom>
        <vertical/>
        <horizontal/>
      </border>
    </dxf>
    <dxf>
      <font>
        <b val="0"/>
        <i val="0"/>
        <color theme="1"/>
      </font>
      <fill>
        <patternFill>
          <bgColor rgb="FF00FFFF"/>
        </patternFill>
      </fill>
      <border>
        <left style="thin">
          <color auto="1"/>
        </left>
        <right style="thin">
          <color auto="1"/>
        </right>
        <top style="thin">
          <color auto="1"/>
        </top>
        <bottom style="thin">
          <color auto="1"/>
        </bottom>
        <vertical/>
        <horizontal/>
      </border>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57"/>
      </font>
    </dxf>
    <dxf>
      <font>
        <b/>
        <i val="0"/>
        <condense val="0"/>
        <extend val="0"/>
        <color indexed="10"/>
      </font>
    </dxf>
    <dxf>
      <font>
        <condense val="0"/>
        <extend val="0"/>
        <color indexed="8"/>
      </font>
      <fill>
        <patternFill>
          <bgColor theme="0"/>
        </patternFill>
      </fill>
      <border>
        <left style="thin">
          <color indexed="64"/>
        </left>
        <right style="thin">
          <color indexed="64"/>
        </right>
        <top style="thin">
          <color indexed="64"/>
        </top>
        <bottom style="thin">
          <color indexed="64"/>
        </bottom>
      </border>
    </dxf>
    <dxf>
      <font>
        <color theme="1"/>
      </font>
      <fill>
        <patternFill>
          <bgColor rgb="FFC0C0C0"/>
        </patternFill>
      </fill>
      <border>
        <left style="thin">
          <color auto="1"/>
        </left>
        <right style="thin">
          <color auto="1"/>
        </right>
        <top style="thin">
          <color auto="1"/>
        </top>
        <bottom style="thin">
          <color auto="1"/>
        </bottom>
        <vertical/>
        <horizontal/>
      </border>
    </dxf>
    <dxf>
      <font>
        <b/>
        <i val="0"/>
        <condense val="0"/>
        <extend val="0"/>
        <color indexed="57"/>
      </font>
    </dxf>
    <dxf>
      <font>
        <b/>
        <i val="0"/>
        <condense val="0"/>
        <extend val="0"/>
        <color indexed="10"/>
      </font>
    </dxf>
    <dxf>
      <font>
        <b/>
        <i val="0"/>
        <condense val="0"/>
        <extend val="0"/>
        <color indexed="10"/>
      </font>
    </dxf>
    <dxf>
      <font>
        <b/>
        <i val="0"/>
        <condense val="0"/>
        <extend val="0"/>
        <color indexed="57"/>
      </font>
    </dxf>
    <dxf>
      <font>
        <b/>
        <i val="0"/>
        <condense val="0"/>
        <extend val="0"/>
        <color indexed="57"/>
      </font>
    </dxf>
    <dxf>
      <font>
        <b/>
        <i val="0"/>
        <condense val="0"/>
        <extend val="0"/>
        <color indexed="10"/>
      </font>
    </dxf>
    <dxf>
      <font>
        <b/>
        <i val="0"/>
        <condense val="0"/>
        <extend val="0"/>
        <color indexed="57"/>
      </font>
    </dxf>
    <dxf>
      <font>
        <b/>
        <i val="0"/>
        <condense val="0"/>
        <extend val="0"/>
        <color indexed="57"/>
      </font>
    </dxf>
    <dxf>
      <font>
        <b/>
        <i val="0"/>
        <condense val="0"/>
        <extend val="0"/>
        <color indexed="57"/>
      </font>
    </dxf>
    <dxf>
      <font>
        <b/>
        <i val="0"/>
        <condense val="0"/>
        <extend val="0"/>
        <color indexed="10"/>
      </font>
    </dxf>
    <dxf>
      <font>
        <b/>
        <i val="0"/>
        <condense val="0"/>
        <extend val="0"/>
        <color indexed="10"/>
      </font>
    </dxf>
    <dxf>
      <font>
        <b/>
        <i val="0"/>
        <condense val="0"/>
        <extend val="0"/>
        <color indexed="57"/>
      </font>
    </dxf>
    <dxf>
      <font>
        <b/>
        <i val="0"/>
        <condense val="0"/>
        <extend val="0"/>
        <color indexed="57"/>
      </font>
    </dxf>
    <dxf>
      <font>
        <b/>
        <i val="0"/>
        <condense val="0"/>
        <extend val="0"/>
        <color indexed="57"/>
      </font>
    </dxf>
    <dxf>
      <font>
        <b/>
        <i val="0"/>
        <condense val="0"/>
        <extend val="0"/>
        <color indexed="10"/>
      </font>
    </dxf>
    <dxf>
      <font>
        <b/>
        <i val="0"/>
        <condense val="0"/>
        <extend val="0"/>
        <color indexed="57"/>
      </font>
    </dxf>
    <dxf>
      <font>
        <b/>
        <i val="0"/>
        <condense val="0"/>
        <extend val="0"/>
        <color indexed="10"/>
      </font>
    </dxf>
    <dxf>
      <font>
        <b/>
        <i val="0"/>
        <condense val="0"/>
        <extend val="0"/>
        <color indexed="10"/>
      </font>
    </dxf>
    <dxf>
      <font>
        <b/>
        <i val="0"/>
        <condense val="0"/>
        <extend val="0"/>
        <color indexed="57"/>
      </font>
    </dxf>
    <dxf>
      <font>
        <b/>
        <i val="0"/>
        <condense val="0"/>
        <extend val="0"/>
        <color indexed="57"/>
      </font>
    </dxf>
    <dxf>
      <font>
        <b/>
        <i val="0"/>
        <condense val="0"/>
        <extend val="0"/>
        <color indexed="57"/>
      </font>
    </dxf>
    <dxf>
      <font>
        <b/>
        <i val="0"/>
        <condense val="0"/>
        <extend val="0"/>
        <color indexed="10"/>
      </font>
    </dxf>
    <dxf>
      <font>
        <b/>
        <i val="0"/>
        <condense val="0"/>
        <extend val="0"/>
        <color indexed="57"/>
      </font>
    </dxf>
    <dxf>
      <font>
        <b/>
        <i val="0"/>
        <condense val="0"/>
        <extend val="0"/>
        <color indexed="10"/>
      </font>
    </dxf>
    <dxf>
      <font>
        <b/>
        <i val="0"/>
        <condense val="0"/>
        <extend val="0"/>
        <color indexed="57"/>
      </font>
    </dxf>
    <dxf>
      <font>
        <b/>
        <i val="0"/>
        <condense val="0"/>
        <extend val="0"/>
        <color indexed="10"/>
      </font>
    </dxf>
    <dxf>
      <font>
        <b/>
        <i val="0"/>
        <condense val="0"/>
        <extend val="0"/>
        <color indexed="57"/>
      </font>
    </dxf>
    <dxf>
      <font>
        <b/>
        <i val="0"/>
        <condense val="0"/>
        <extend val="0"/>
        <color indexed="10"/>
      </font>
    </dxf>
    <dxf>
      <font>
        <b/>
        <i val="0"/>
        <condense val="0"/>
        <extend val="0"/>
        <color indexed="57"/>
      </font>
    </dxf>
    <dxf>
      <font>
        <b/>
        <i val="0"/>
        <condense val="0"/>
        <extend val="0"/>
        <color indexed="10"/>
      </font>
    </dxf>
    <dxf>
      <font>
        <b/>
        <i val="0"/>
        <condense val="0"/>
        <extend val="0"/>
        <color indexed="57"/>
      </font>
    </dxf>
    <dxf>
      <font>
        <b/>
        <i val="0"/>
        <condense val="0"/>
        <extend val="0"/>
        <color indexed="10"/>
      </font>
    </dxf>
    <dxf>
      <font>
        <b/>
        <i val="0"/>
        <condense val="0"/>
        <extend val="0"/>
        <color indexed="57"/>
      </font>
    </dxf>
    <dxf>
      <font>
        <b/>
        <i val="0"/>
        <condense val="0"/>
        <extend val="0"/>
        <color indexed="10"/>
      </font>
    </dxf>
    <dxf>
      <font>
        <b/>
        <i val="0"/>
        <condense val="0"/>
        <extend val="0"/>
        <color indexed="57"/>
      </font>
    </dxf>
    <dxf>
      <font>
        <b/>
        <i val="0"/>
        <condense val="0"/>
        <extend val="0"/>
        <color indexed="10"/>
      </font>
    </dxf>
    <dxf>
      <font>
        <b/>
        <i val="0"/>
        <condense val="0"/>
        <extend val="0"/>
        <color indexed="57"/>
      </font>
    </dxf>
    <dxf>
      <font>
        <b/>
        <i val="0"/>
        <condense val="0"/>
        <extend val="0"/>
        <color indexed="10"/>
      </font>
    </dxf>
    <dxf>
      <font>
        <b/>
        <i val="0"/>
        <condense val="0"/>
        <extend val="0"/>
        <color indexed="12"/>
      </font>
      <fill>
        <patternFill>
          <bgColor indexed="47"/>
        </patternFill>
      </fill>
    </dxf>
    <dxf>
      <font>
        <b/>
        <i val="0"/>
        <condense val="0"/>
        <extend val="0"/>
        <color indexed="18"/>
      </font>
      <fill>
        <patternFill>
          <bgColor indexed="46"/>
        </patternFill>
      </fill>
    </dxf>
    <dxf>
      <font>
        <b/>
        <i val="0"/>
        <condense val="0"/>
        <extend val="0"/>
        <color indexed="18"/>
      </font>
      <fill>
        <patternFill>
          <bgColor indexed="46"/>
        </patternFill>
      </fill>
    </dxf>
    <dxf>
      <font>
        <b/>
        <i val="0"/>
        <condense val="0"/>
        <extend val="0"/>
        <color indexed="57"/>
      </font>
    </dxf>
    <dxf>
      <font>
        <b/>
        <i val="0"/>
        <condense val="0"/>
        <extend val="0"/>
        <color indexed="10"/>
      </font>
    </dxf>
    <dxf>
      <font>
        <b/>
        <i val="0"/>
        <condense val="0"/>
        <extend val="0"/>
        <color indexed="10"/>
      </font>
      <fill>
        <patternFill>
          <bgColor indexed="13"/>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22"/>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22"/>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13"/>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lightVertical"/>
      </fill>
    </dxf>
    <dxf>
      <fill>
        <patternFill>
          <bgColor indexed="12"/>
        </patternFill>
      </fill>
    </dxf>
    <dxf>
      <font>
        <condense val="0"/>
        <extend val="0"/>
        <color indexed="9"/>
      </font>
      <fill>
        <patternFill>
          <bgColor theme="2" tint="-0.24994659260841701"/>
        </patternFill>
      </fill>
    </dxf>
    <dxf>
      <font>
        <condense val="0"/>
        <extend val="0"/>
        <color indexed="9"/>
      </font>
      <fill>
        <patternFill>
          <bgColor theme="2" tint="-0.24994659260841701"/>
        </patternFill>
      </fill>
    </dxf>
    <dxf>
      <font>
        <condense val="0"/>
        <extend val="0"/>
        <color auto="1"/>
      </font>
      <fill>
        <patternFill>
          <bgColor indexed="15"/>
        </patternFill>
      </fill>
    </dxf>
    <dxf>
      <font>
        <b/>
        <i val="0"/>
        <condense val="0"/>
        <extend val="0"/>
        <color indexed="10"/>
      </font>
      <fill>
        <patternFill>
          <bgColor indexed="13"/>
        </patternFill>
      </fill>
    </dxf>
    <dxf>
      <font>
        <b/>
        <i val="0"/>
        <condense val="0"/>
        <extend val="0"/>
        <color indexed="57"/>
      </font>
    </dxf>
    <dxf>
      <font>
        <color theme="0"/>
      </font>
    </dxf>
    <dxf>
      <font>
        <color theme="7" tint="0.79998168889431442"/>
      </font>
    </dxf>
    <dxf>
      <fill>
        <patternFill patternType="darkUp"/>
      </fill>
    </dxf>
    <dxf>
      <font>
        <color theme="0"/>
      </font>
    </dxf>
    <dxf>
      <font>
        <color theme="7" tint="0.79998168889431442"/>
      </font>
    </dxf>
    <dxf>
      <font>
        <color theme="0"/>
      </font>
    </dxf>
    <dxf>
      <font>
        <b/>
        <i val="0"/>
        <condense val="0"/>
        <extend val="0"/>
      </font>
      <fill>
        <patternFill>
          <bgColor indexed="42"/>
        </patternFill>
      </fill>
    </dxf>
    <dxf>
      <font>
        <b/>
        <i val="0"/>
        <condense val="0"/>
        <extend val="0"/>
        <color indexed="10"/>
      </font>
      <fill>
        <patternFill>
          <bgColor indexed="13"/>
        </patternFill>
      </fill>
    </dxf>
    <dxf>
      <font>
        <b/>
        <i val="0"/>
        <condense val="0"/>
        <extend val="0"/>
      </font>
      <fill>
        <patternFill>
          <bgColor indexed="42"/>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ill>
        <patternFill>
          <bgColor indexed="15"/>
        </patternFill>
      </fill>
    </dxf>
    <dxf>
      <font>
        <b/>
        <i val="0"/>
        <condense val="0"/>
        <extend val="0"/>
      </font>
      <fill>
        <patternFill>
          <bgColor indexed="42"/>
        </patternFill>
      </fill>
    </dxf>
    <dxf>
      <font>
        <b/>
        <i val="0"/>
        <condense val="0"/>
        <extend val="0"/>
        <color indexed="10"/>
      </font>
      <fill>
        <patternFill>
          <bgColor indexed="13"/>
        </patternFill>
      </fill>
    </dxf>
    <dxf>
      <font>
        <b/>
        <i val="0"/>
        <condense val="0"/>
        <extend val="0"/>
      </font>
      <fill>
        <patternFill>
          <bgColor indexed="42"/>
        </patternFill>
      </fill>
    </dxf>
    <dxf>
      <font>
        <b/>
        <i val="0"/>
        <condense val="0"/>
        <extend val="0"/>
        <color indexed="10"/>
      </font>
      <fill>
        <patternFill>
          <bgColor indexed="13"/>
        </patternFill>
      </fill>
    </dxf>
    <dxf>
      <fill>
        <patternFill patternType="lightUp"/>
      </fill>
    </dxf>
    <dxf>
      <font>
        <b/>
        <i val="0"/>
        <condense val="0"/>
        <extend val="0"/>
        <color auto="1"/>
      </font>
      <fill>
        <patternFill>
          <bgColor indexed="45"/>
        </patternFill>
      </fill>
    </dxf>
    <dxf>
      <font>
        <b/>
        <i val="0"/>
        <condense val="0"/>
        <extend val="0"/>
        <color indexed="10"/>
      </font>
      <fill>
        <patternFill>
          <bgColor indexed="13"/>
        </patternFill>
      </fill>
    </dxf>
    <dxf>
      <fill>
        <patternFill patternType="lightUp"/>
      </fill>
    </dxf>
    <dxf>
      <font>
        <b/>
        <i val="0"/>
        <condense val="0"/>
        <extend val="0"/>
        <color indexed="10"/>
      </font>
      <fill>
        <patternFill>
          <bgColor indexed="13"/>
        </patternFill>
      </fill>
    </dxf>
    <dxf>
      <font>
        <b/>
        <i val="0"/>
        <condense val="0"/>
        <extend val="0"/>
        <color indexed="53"/>
      </font>
      <fill>
        <patternFill patternType="none">
          <bgColor indexed="65"/>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53"/>
      </font>
    </dxf>
    <dxf>
      <font>
        <b/>
        <i val="0"/>
        <condense val="0"/>
        <extend val="0"/>
        <color indexed="10"/>
      </font>
      <fill>
        <patternFill>
          <bgColor indexed="13"/>
        </patternFill>
      </fill>
    </dxf>
    <dxf>
      <font>
        <b/>
        <i val="0"/>
        <condense val="0"/>
        <extend val="0"/>
        <color auto="1"/>
      </font>
      <fill>
        <patternFill>
          <bgColor indexed="42"/>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auto="1"/>
      </font>
      <fill>
        <patternFill>
          <bgColor indexed="42"/>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auto="1"/>
      </font>
      <fill>
        <patternFill>
          <bgColor indexed="42"/>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auto="1"/>
      </font>
      <fill>
        <patternFill>
          <bgColor indexed="42"/>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font>
      <fill>
        <patternFill>
          <bgColor indexed="42"/>
        </patternFill>
      </fill>
    </dxf>
    <dxf>
      <font>
        <b/>
        <i val="0"/>
        <condense val="0"/>
        <extend val="0"/>
        <color indexed="10"/>
      </font>
      <fill>
        <patternFill>
          <bgColor indexed="13"/>
        </patternFill>
      </fill>
    </dxf>
    <dxf>
      <font>
        <b/>
        <i val="0"/>
        <condense val="0"/>
        <extend val="0"/>
        <color indexed="10"/>
      </font>
      <fill>
        <patternFill>
          <bgColor indexed="13"/>
        </patternFill>
      </fill>
    </dxf>
    <dxf>
      <fill>
        <patternFill>
          <bgColor theme="0"/>
        </patternFill>
      </fill>
      <border>
        <left style="thin">
          <color indexed="64"/>
        </left>
        <right style="thin">
          <color indexed="64"/>
        </right>
        <top style="thin">
          <color indexed="64"/>
        </top>
        <bottom style="thin">
          <color indexed="64"/>
        </bottom>
      </border>
    </dxf>
    <dxf>
      <fill>
        <patternFill>
          <bgColor indexed="15"/>
        </patternFill>
      </fill>
      <border>
        <left style="thin">
          <color indexed="64"/>
        </left>
        <right style="thin">
          <color indexed="64"/>
        </right>
        <top style="thin">
          <color indexed="64"/>
        </top>
        <bottom style="thin">
          <color indexed="64"/>
        </bottom>
      </border>
    </dxf>
    <dxf>
      <fill>
        <patternFill>
          <bgColor theme="0"/>
        </patternFill>
      </fill>
      <border>
        <right style="thin">
          <color auto="1"/>
        </right>
        <top style="thin">
          <color auto="1"/>
        </top>
        <bottom style="thin">
          <color auto="1"/>
        </bottom>
        <vertical/>
        <horizontal/>
      </border>
    </dxf>
    <dxf>
      <fill>
        <patternFill>
          <bgColor theme="0"/>
        </patternFill>
      </fill>
      <border>
        <right style="thin">
          <color auto="1"/>
        </right>
        <top style="thin">
          <color auto="1"/>
        </top>
        <bottom style="thin">
          <color auto="1"/>
        </bottom>
        <vertical/>
        <horizontal/>
      </border>
    </dxf>
    <dxf>
      <fill>
        <patternFill>
          <bgColor theme="0"/>
        </patternFill>
      </fill>
      <border>
        <left style="thin">
          <color auto="1"/>
        </left>
        <top style="thin">
          <color auto="1"/>
        </top>
        <bottom style="thin">
          <color auto="1"/>
        </bottom>
        <vertical/>
        <horizontal/>
      </border>
    </dxf>
    <dxf>
      <fill>
        <patternFill>
          <bgColor theme="0"/>
        </patternFill>
      </fill>
      <border>
        <left style="thin">
          <color auto="1"/>
        </left>
        <top style="thin">
          <color auto="1"/>
        </top>
        <bottom style="thin">
          <color auto="1"/>
        </bottom>
        <vertical/>
        <horizontal/>
      </border>
    </dxf>
    <dxf>
      <fill>
        <patternFill>
          <bgColor theme="0"/>
        </patternFill>
      </fill>
      <border>
        <right style="thin">
          <color auto="1"/>
        </right>
        <top style="thin">
          <color auto="1"/>
        </top>
        <bottom style="thin">
          <color auto="1"/>
        </bottom>
        <vertical/>
        <horizontal/>
      </border>
    </dxf>
    <dxf>
      <fill>
        <patternFill>
          <bgColor theme="0"/>
        </patternFill>
      </fill>
      <border>
        <left style="thin">
          <color auto="1"/>
        </left>
        <top style="thin">
          <color auto="1"/>
        </top>
        <bottom style="thin">
          <color auto="1"/>
        </bottom>
        <vertical/>
        <horizontal/>
      </border>
    </dxf>
    <dxf>
      <fill>
        <patternFill>
          <bgColor theme="0"/>
        </patternFill>
      </fill>
      <border>
        <right style="thin">
          <color auto="1"/>
        </right>
        <top style="thin">
          <color auto="1"/>
        </top>
        <bottom style="thin">
          <color auto="1"/>
        </bottom>
        <vertical/>
        <horizontal/>
      </border>
    </dxf>
    <dxf>
      <fill>
        <patternFill>
          <bgColor theme="0"/>
        </patternFill>
      </fill>
      <border>
        <left style="thin">
          <color auto="1"/>
        </left>
        <top style="thin">
          <color auto="1"/>
        </top>
        <bottom style="thin">
          <color auto="1"/>
        </bottom>
        <vertical/>
        <horizontal/>
      </border>
    </dxf>
    <dxf>
      <font>
        <color auto="1"/>
      </font>
      <fill>
        <patternFill>
          <bgColor theme="0"/>
        </patternFill>
      </fill>
      <border>
        <left/>
        <right style="thin">
          <color auto="1"/>
        </right>
        <top style="thin">
          <color auto="1"/>
        </top>
        <bottom style="thin">
          <color auto="1"/>
        </bottom>
      </border>
    </dxf>
    <dxf>
      <font>
        <color auto="1"/>
      </font>
      <fill>
        <patternFill>
          <bgColor theme="0"/>
        </patternFill>
      </fill>
      <border>
        <left style="thin">
          <color auto="1"/>
        </left>
        <right/>
        <top style="thin">
          <color auto="1"/>
        </top>
        <bottom style="thin">
          <color auto="1"/>
        </bottom>
      </border>
    </dxf>
    <dxf>
      <fill>
        <patternFill>
          <bgColor theme="0"/>
        </patternFill>
      </fill>
      <border>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border>
    </dxf>
    <dxf>
      <fill>
        <patternFill>
          <bgColor theme="0"/>
        </patternFill>
      </fill>
      <border>
        <left style="thin">
          <color indexed="64"/>
        </left>
        <right style="thin">
          <color indexed="64"/>
        </right>
        <top style="thin">
          <color indexed="64"/>
        </top>
        <bottom style="thin">
          <color indexed="64"/>
        </bottom>
      </border>
    </dxf>
    <dxf>
      <fill>
        <patternFill>
          <bgColor indexed="15"/>
        </patternFill>
      </fill>
      <border>
        <left style="thin">
          <color indexed="64"/>
        </left>
        <right style="thin">
          <color indexed="64"/>
        </right>
        <top style="thin">
          <color indexed="64"/>
        </top>
        <bottom style="thin">
          <color indexed="64"/>
        </bottom>
      </border>
    </dxf>
    <dxf>
      <fill>
        <patternFill>
          <bgColor theme="0"/>
        </patternFill>
      </fill>
      <border>
        <left style="thin">
          <color indexed="64"/>
        </left>
        <right style="thin">
          <color indexed="64"/>
        </right>
        <top style="thin">
          <color indexed="64"/>
        </top>
        <bottom style="thin">
          <color indexed="64"/>
        </bottom>
      </border>
    </dxf>
    <dxf>
      <fill>
        <patternFill>
          <bgColor indexed="15"/>
        </patternFill>
      </fill>
      <border>
        <left style="thin">
          <color indexed="64"/>
        </left>
        <right style="thin">
          <color indexed="64"/>
        </right>
        <top style="thin">
          <color indexed="64"/>
        </top>
        <bottom style="thin">
          <color indexed="64"/>
        </bottom>
      </border>
    </dxf>
    <dxf>
      <font>
        <color theme="0"/>
      </font>
    </dxf>
    <dxf>
      <font>
        <color theme="0" tint="-0.14996795556505021"/>
      </font>
    </dxf>
    <dxf>
      <font>
        <color theme="0" tint="-0.14996795556505021"/>
      </font>
    </dxf>
    <dxf>
      <font>
        <color theme="0"/>
      </font>
    </dxf>
    <dxf>
      <font>
        <color theme="0"/>
      </font>
    </dxf>
    <dxf>
      <font>
        <color theme="0"/>
      </font>
    </dxf>
    <dxf>
      <font>
        <color theme="0"/>
      </font>
    </dxf>
    <dxf>
      <font>
        <color theme="0"/>
      </font>
    </dxf>
    <dxf>
      <font>
        <b/>
        <i val="0"/>
        <condense val="0"/>
        <extend val="0"/>
        <color indexed="10"/>
      </font>
      <fill>
        <patternFill>
          <bgColor indexed="43"/>
        </patternFill>
      </fill>
    </dxf>
    <dxf>
      <font>
        <b/>
        <i val="0"/>
        <condense val="0"/>
        <extend val="0"/>
        <color indexed="10"/>
      </font>
      <fill>
        <patternFill>
          <bgColor indexed="43"/>
        </patternFill>
      </fill>
    </dxf>
    <dxf>
      <font>
        <b/>
        <i val="0"/>
        <condense val="0"/>
        <extend val="0"/>
        <color indexed="10"/>
      </font>
      <fill>
        <patternFill>
          <bgColor indexed="43"/>
        </patternFill>
      </fill>
    </dxf>
    <dxf>
      <font>
        <strike val="0"/>
        <color theme="9" tint="0.79998168889431442"/>
      </font>
      <fill>
        <patternFill>
          <bgColor theme="9" tint="0.79998168889431442"/>
        </patternFill>
      </fill>
      <border>
        <left/>
        <right/>
        <top/>
        <bottom/>
        <vertical/>
        <horizontal/>
      </border>
    </dxf>
    <dxf>
      <font>
        <strike val="0"/>
        <color theme="6" tint="0.59996337778862885"/>
      </font>
      <fill>
        <patternFill>
          <bgColor theme="6" tint="0.59996337778862885"/>
        </patternFill>
      </fill>
      <border>
        <left/>
        <right/>
        <top/>
        <bottom/>
        <vertical/>
        <horizontal/>
      </border>
    </dxf>
    <dxf>
      <font>
        <strike val="0"/>
        <color theme="9" tint="0.79998168889431442"/>
      </font>
      <fill>
        <patternFill>
          <bgColor theme="9" tint="0.79998168889431442"/>
        </patternFill>
      </fill>
      <border>
        <left/>
        <right/>
        <top/>
        <bottom/>
        <vertical/>
        <horizontal/>
      </border>
    </dxf>
    <dxf>
      <font>
        <strike val="0"/>
        <color theme="9" tint="0.79998168889431442"/>
      </font>
      <fill>
        <patternFill>
          <bgColor theme="9" tint="0.79998168889431442"/>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9" tint="0.79998168889431442"/>
      </font>
      <fill>
        <patternFill>
          <bgColor theme="9" tint="0.79998168889431442"/>
        </patternFill>
      </fill>
      <border>
        <left/>
        <right/>
        <top/>
        <bottom/>
        <vertical/>
        <horizontal/>
      </border>
    </dxf>
    <dxf>
      <font>
        <strike val="0"/>
        <color theme="6" tint="0.59996337778862885"/>
      </font>
      <fill>
        <patternFill>
          <bgColor theme="6" tint="0.59996337778862885"/>
        </patternFill>
      </fill>
      <border>
        <left/>
        <right/>
        <top/>
        <bottom/>
        <vertical/>
        <horizontal/>
      </border>
    </dxf>
    <dxf>
      <font>
        <strike val="0"/>
        <color theme="6" tint="0.59996337778862885"/>
      </font>
      <fill>
        <patternFill>
          <bgColor theme="6" tint="0.59996337778862885"/>
        </patternFill>
      </fill>
      <border>
        <left/>
        <right/>
        <top/>
        <bottom/>
        <vertical/>
        <horizontal/>
      </border>
    </dxf>
    <dxf>
      <font>
        <strike val="0"/>
        <color theme="6" tint="0.59996337778862885"/>
      </font>
      <fill>
        <patternFill>
          <bgColor theme="6" tint="0.59996337778862885"/>
        </patternFill>
      </fill>
      <border>
        <left/>
        <right/>
        <top/>
        <bottom/>
        <vertical/>
        <horizontal/>
      </border>
    </dxf>
    <dxf>
      <font>
        <strike val="0"/>
        <color theme="6" tint="0.59996337778862885"/>
      </font>
      <fill>
        <patternFill>
          <bgColor theme="6" tint="0.59996337778862885"/>
        </patternFill>
      </fill>
      <border>
        <left/>
        <right/>
        <top/>
        <bottom/>
        <vertical/>
        <horizontal/>
      </border>
    </dxf>
    <dxf>
      <font>
        <strike val="0"/>
        <color theme="6" tint="0.59996337778862885"/>
      </font>
      <fill>
        <patternFill>
          <bgColor theme="6" tint="0.59996337778862885"/>
        </patternFill>
      </fill>
      <border>
        <left/>
        <right/>
        <top/>
        <bottom/>
        <vertical/>
        <horizontal/>
      </border>
    </dxf>
    <dxf>
      <font>
        <strike val="0"/>
        <color theme="6" tint="0.59996337778862885"/>
      </font>
      <fill>
        <patternFill>
          <bgColor theme="6" tint="0.59996337778862885"/>
        </patternFill>
      </fill>
      <border>
        <left/>
        <right/>
        <top/>
        <bottom/>
        <vertical/>
        <horizontal/>
      </border>
    </dxf>
    <dxf>
      <font>
        <strike val="0"/>
        <color theme="6" tint="0.59996337778862885"/>
      </font>
      <fill>
        <patternFill>
          <bgColor theme="6" tint="0.59996337778862885"/>
        </patternFill>
      </fill>
      <border>
        <left/>
        <right/>
        <top/>
        <bottom/>
        <vertical/>
        <horizontal/>
      </border>
    </dxf>
    <dxf>
      <font>
        <strike val="0"/>
        <color theme="6" tint="0.59996337778862885"/>
      </font>
      <fill>
        <patternFill>
          <bgColor theme="6" tint="0.59996337778862885"/>
        </patternFill>
      </fill>
      <border>
        <left/>
        <right/>
        <top/>
        <bottom/>
        <vertical/>
        <horizontal/>
      </border>
    </dxf>
    <dxf>
      <font>
        <color rgb="FF00FFFF"/>
      </font>
      <fill>
        <patternFill patternType="lightUp">
          <bgColor rgb="FF00FFFF"/>
        </patternFill>
      </fill>
    </dxf>
    <dxf>
      <font>
        <strike val="0"/>
        <color theme="6" tint="0.59996337778862885"/>
      </font>
      <fill>
        <patternFill>
          <bgColor theme="6" tint="0.59996337778862885"/>
        </patternFill>
      </fill>
      <border>
        <left/>
        <right/>
        <top/>
        <bottom/>
        <vertical/>
        <horizontal/>
      </border>
    </dxf>
    <dxf>
      <font>
        <color theme="9" tint="0.79998168889431442"/>
      </font>
      <fill>
        <patternFill>
          <bgColor theme="9" tint="0.79998168889431442"/>
        </patternFill>
      </fill>
      <border>
        <left/>
        <right/>
        <top/>
        <bottom style="thin">
          <color auto="1"/>
        </bottom>
        <vertical/>
        <horizontal/>
      </border>
    </dxf>
    <dxf>
      <font>
        <color theme="9" tint="0.79998168889431442"/>
      </font>
      <fill>
        <patternFill>
          <bgColor theme="9" tint="0.79998168889431442"/>
        </patternFill>
      </fill>
      <border>
        <left/>
        <right/>
        <top/>
        <bottom/>
        <vertical/>
        <horizontal/>
      </border>
    </dxf>
    <dxf>
      <font>
        <color theme="6" tint="0.59996337778862885"/>
      </font>
      <fill>
        <patternFill>
          <bgColor theme="6" tint="0.59996337778862885"/>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6" tint="0.59996337778862885"/>
      </font>
      <fill>
        <patternFill>
          <bgColor theme="6" tint="0.59996337778862885"/>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6" tint="0.59996337778862885"/>
      </font>
      <fill>
        <patternFill>
          <bgColor theme="6" tint="0.59996337778862885"/>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6" tint="0.59996337778862885"/>
      </font>
      <fill>
        <patternFill>
          <bgColor theme="6" tint="0.59996337778862885"/>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6" tint="0.59996337778862885"/>
      </font>
      <fill>
        <patternFill>
          <bgColor theme="6" tint="0.59996337778862885"/>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6" tint="0.59996337778862885"/>
      </font>
      <fill>
        <patternFill>
          <bgColor theme="6" tint="0.59996337778862885"/>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6" tint="0.59996337778862885"/>
      </font>
      <fill>
        <patternFill>
          <bgColor theme="6" tint="0.59996337778862885"/>
        </patternFill>
      </fill>
      <border>
        <left/>
        <right/>
        <top/>
        <bottom/>
        <vertical/>
        <horizontal/>
      </border>
    </dxf>
    <dxf>
      <font>
        <color theme="9" tint="0.79998168889431442"/>
      </font>
      <fill>
        <patternFill>
          <bgColor theme="9" tint="0.79998168889431442"/>
        </patternFill>
      </fill>
      <border>
        <left/>
        <right/>
        <top/>
        <bottom/>
        <vertical/>
        <horizontal/>
      </border>
    </dxf>
    <dxf>
      <font>
        <color theme="6" tint="0.59996337778862885"/>
      </font>
      <fill>
        <patternFill>
          <bgColor theme="6" tint="0.59996337778862885"/>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fill>
        <patternFill>
          <bgColor indexed="9"/>
        </patternFill>
      </fill>
      <border>
        <left/>
        <right/>
        <top/>
        <bottom/>
      </border>
    </dxf>
    <dxf>
      <font>
        <color theme="0"/>
      </font>
    </dxf>
    <dxf>
      <font>
        <condense val="0"/>
        <extend val="0"/>
        <color indexed="9"/>
      </font>
      <fill>
        <patternFill>
          <bgColor indexed="9"/>
        </patternFill>
      </fill>
      <border>
        <left/>
        <right/>
        <top/>
        <bottom/>
      </border>
    </dxf>
    <dxf>
      <font>
        <b/>
        <i val="0"/>
        <condense val="0"/>
        <extend val="0"/>
        <color indexed="48"/>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color indexed="12"/>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color indexed="12"/>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indexed="65"/>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0"/>
        <color rgb="FFFF0000"/>
        <name val="Times New Roman"/>
        <scheme val="none"/>
      </font>
      <fill>
        <patternFill patternType="none">
          <fgColor indexed="64"/>
          <bgColor indexed="65"/>
        </patternFill>
      </fill>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font>
        <b/>
        <i val="0"/>
        <strike val="0"/>
        <condense val="0"/>
        <extend val="0"/>
        <outline val="0"/>
        <shadow val="0"/>
        <u val="none"/>
        <vertAlign val="baseline"/>
        <sz val="10"/>
        <color rgb="FFFF0000"/>
        <name val="Times New Roman"/>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indexed="65"/>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0"/>
        <color rgb="FFFF0000"/>
        <name val="Times New Roman"/>
        <scheme val="none"/>
      </font>
      <fill>
        <patternFill patternType="none">
          <fgColor indexed="64"/>
          <bgColor indexed="65"/>
        </patternFill>
      </fill>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protection locked="0" hidden="0"/>
    </dxf>
    <dxf>
      <border outline="0">
        <bottom style="thin">
          <color indexed="64"/>
        </bottom>
      </border>
    </dxf>
    <dxf>
      <font>
        <b/>
        <i val="0"/>
        <strike val="0"/>
        <condense val="0"/>
        <extend val="0"/>
        <outline val="0"/>
        <shadow val="0"/>
        <u val="none"/>
        <vertAlign val="baseline"/>
        <sz val="10"/>
        <color rgb="FFFF0000"/>
        <name val="Times New Roman"/>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indexed="65"/>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indexed="65"/>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indexed="65"/>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indexed="65"/>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indexed="65"/>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indexed="65"/>
        </patternFill>
      </fill>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indexed="65"/>
        </patternFill>
      </fill>
      <protection locked="0" hidden="0"/>
    </dxf>
    <dxf>
      <border outline="0">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indexed="65"/>
        </patternFill>
      </fill>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0" indent="0" justifyLastLine="0" shrinkToFit="0" readingOrder="0"/>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0" indent="0" justifyLastLine="0" shrinkToFit="0" readingOrder="0"/>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0"/>
        <color theme="1"/>
        <name val="Times New Roman"/>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indexed="65"/>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auto="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font>
        <b/>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strike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numFmt numFmtId="13" formatCode="0%"/>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numFmt numFmtId="13"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i val="0"/>
        <strike val="0"/>
        <condense val="0"/>
        <extend val="0"/>
        <outline val="0"/>
        <shadow val="0"/>
        <u val="none"/>
        <vertAlign val="baseline"/>
        <sz val="10"/>
        <color theme="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general" vertical="bottom" textRotation="0" wrapText="1" indent="0" justifyLastLine="0" shrinkToFit="0" readingOrder="0"/>
      <protection locked="1" hidden="0"/>
    </dxf>
    <dxf>
      <border>
        <bottom style="thin">
          <color indexed="64"/>
        </bottom>
      </border>
    </dxf>
    <dxf>
      <font>
        <b val="0"/>
        <i val="0"/>
        <strike val="0"/>
        <condense val="0"/>
        <extend val="0"/>
        <outline val="0"/>
        <shadow val="0"/>
        <u val="none"/>
        <vertAlign val="baseline"/>
        <sz val="10"/>
        <color theme="1"/>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general" vertical="bottom" textRotation="0" wrapText="0" indent="0" justifyLastLine="0" shrinkToFit="0" readingOrder="0"/>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left" vertical="center" textRotation="0" wrapText="0" indent="0" justifyLastLine="0" shrinkToFit="0" readingOrder="0"/>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alignment horizontal="left" vertical="center" textRotation="0" wrapText="0" indent="0" justifyLastLine="0" shrinkToFit="0" readingOrder="0"/>
      <protection locked="0" hidden="0"/>
    </dxf>
    <dxf>
      <border>
        <bottom style="thin">
          <color indexed="64"/>
        </bottom>
      </border>
    </dxf>
    <dxf>
      <font>
        <b val="0"/>
        <i val="0"/>
        <strike val="0"/>
        <condense val="0"/>
        <extend val="0"/>
        <outline val="0"/>
        <shadow val="0"/>
        <u val="none"/>
        <vertAlign val="baseline"/>
        <sz val="10"/>
        <color rgb="FFFF0000"/>
        <name val="Times New Roman"/>
        <scheme val="none"/>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vertical="center" textRotation="0" indent="0" justifyLastLine="0" shrinkToFit="0" readingOrder="0"/>
      <protection locked="1" hidden="0"/>
    </dxf>
    <dxf>
      <font>
        <b val="0"/>
        <i val="0"/>
        <strike val="0"/>
        <condense val="0"/>
        <extend val="0"/>
        <outline val="0"/>
        <shadow val="0"/>
        <u val="none"/>
        <vertAlign val="baseline"/>
        <sz val="10"/>
        <color indexed="10"/>
        <name val="Times New Roman"/>
        <scheme val="none"/>
      </font>
      <fill>
        <patternFill patternType="solid">
          <fgColor indexed="64"/>
          <bgColor theme="7" tint="0.39997558519241921"/>
        </patternFill>
      </fill>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vertical="center" textRotation="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7" tint="0.39997558519241921"/>
        </patternFill>
      </fill>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vertical="center" textRotation="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7" tint="0.39997558519241921"/>
        </patternFill>
      </fill>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vertical="center" textRotation="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7" tint="0.39997558519241921"/>
        </patternFill>
      </fill>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7" tint="0.39997558519241921"/>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vertical="center" textRotation="0" indent="0" justifyLastLine="0" shrinkToFit="0" readingOrder="0"/>
      <protection locked="1" hidden="0"/>
    </dxf>
    <dxf>
      <font>
        <b val="0"/>
        <i val="0"/>
        <strike val="0"/>
        <condense val="0"/>
        <extend val="0"/>
        <outline val="0"/>
        <shadow val="0"/>
        <u val="none"/>
        <vertAlign val="baseline"/>
        <sz val="10"/>
        <color auto="1"/>
        <name val="Times New Roman"/>
        <scheme val="none"/>
      </font>
      <fill>
        <patternFill patternType="none">
          <fgColor indexed="64"/>
          <bgColor auto="1"/>
        </patternFill>
      </fill>
      <alignment vertical="center" textRotation="0" indent="0" justifyLastLine="0" shrinkToFit="0" readingOrder="0"/>
      <protection locked="1" hidden="0"/>
    </dxf>
  </dxfs>
  <tableStyles count="0" defaultTableStyle="TableStyleMedium9" defaultPivotStyle="PivotStyleLight16"/>
  <colors>
    <mruColors>
      <color rgb="FF00FFFF"/>
      <color rgb="FFC0C0C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8" Type="http://schemas.openxmlformats.org/officeDocument/2006/relationships/hyperlink" Target="http://france1.simagri.com/coop_voir_detail.php?type=1&amp;id=21" TargetMode="External"/><Relationship Id="rId13" Type="http://schemas.openxmlformats.org/officeDocument/2006/relationships/hyperlink" Target="http://france1.simagri.com/coop_voir_detail.php?type=1&amp;id=94" TargetMode="External"/><Relationship Id="rId18" Type="http://schemas.openxmlformats.org/officeDocument/2006/relationships/hyperlink" Target="http://france1.simagri.com/coop_voir_detail.php?type=1&amp;id=73" TargetMode="External"/><Relationship Id="rId26" Type="http://schemas.openxmlformats.org/officeDocument/2006/relationships/hyperlink" Target="http://france1.simagri.com/coop_voir_detail.php?type=1&amp;id=112" TargetMode="External"/><Relationship Id="rId3" Type="http://schemas.openxmlformats.org/officeDocument/2006/relationships/hyperlink" Target="http://france1.simagri.com/coop_voir_detail.php?type=1&amp;id=67" TargetMode="External"/><Relationship Id="rId21" Type="http://schemas.openxmlformats.org/officeDocument/2006/relationships/hyperlink" Target="http://france1.simagri.com/coop_voir_detail.php?type=1&amp;id=91" TargetMode="External"/><Relationship Id="rId7" Type="http://schemas.openxmlformats.org/officeDocument/2006/relationships/hyperlink" Target="http://france1.simagri.com/coop_voir_detail.php?type=1&amp;id=27" TargetMode="External"/><Relationship Id="rId12" Type="http://schemas.openxmlformats.org/officeDocument/2006/relationships/hyperlink" Target="http://france1.simagri.com/coop_voir_detail.php?type=1&amp;id=95" TargetMode="External"/><Relationship Id="rId17" Type="http://schemas.openxmlformats.org/officeDocument/2006/relationships/hyperlink" Target="http://france1.simagri.com/coop_voir_detail.php?type=1&amp;id=72" TargetMode="External"/><Relationship Id="rId25" Type="http://schemas.openxmlformats.org/officeDocument/2006/relationships/hyperlink" Target="http://france1.simagri.com/coop_voir_detail.php?type=1&amp;id=113" TargetMode="External"/><Relationship Id="rId2" Type="http://schemas.openxmlformats.org/officeDocument/2006/relationships/hyperlink" Target="http://france1.simagri.com/coop_voir_detail.php?type=1&amp;id=171" TargetMode="External"/><Relationship Id="rId16" Type="http://schemas.openxmlformats.org/officeDocument/2006/relationships/hyperlink" Target="http://france1.simagri.com/coop_voir_detail.php?type=1&amp;id=71" TargetMode="External"/><Relationship Id="rId20" Type="http://schemas.openxmlformats.org/officeDocument/2006/relationships/hyperlink" Target="http://france1.simagri.com/coop_voir_detail.php?type=1&amp;id=92" TargetMode="External"/><Relationship Id="rId1" Type="http://schemas.openxmlformats.org/officeDocument/2006/relationships/hyperlink" Target="http://france1.simagri.com/coop_voir_detail.php?type=1&amp;id=170" TargetMode="External"/><Relationship Id="rId6" Type="http://schemas.openxmlformats.org/officeDocument/2006/relationships/hyperlink" Target="http://france1.simagri.com/coop_voir_detail.php?type=1&amp;id=42" TargetMode="External"/><Relationship Id="rId11" Type="http://schemas.openxmlformats.org/officeDocument/2006/relationships/hyperlink" Target="http://france1.simagri.com/coop_voir_detail.php?type=1&amp;id=96" TargetMode="External"/><Relationship Id="rId24" Type="http://schemas.openxmlformats.org/officeDocument/2006/relationships/hyperlink" Target="http://france1.simagri.com/coop_voir_detail.php?type=1&amp;id=114" TargetMode="External"/><Relationship Id="rId5" Type="http://schemas.openxmlformats.org/officeDocument/2006/relationships/hyperlink" Target="http://france1.simagri.com/coop_voir_detail.php?type=1&amp;id=43" TargetMode="External"/><Relationship Id="rId15" Type="http://schemas.openxmlformats.org/officeDocument/2006/relationships/hyperlink" Target="http://france1.simagri.com/coop_voir_detail.php?type=1&amp;id=169" TargetMode="External"/><Relationship Id="rId23" Type="http://schemas.openxmlformats.org/officeDocument/2006/relationships/hyperlink" Target="http://france1.simagri.com/coop_voir_detail.php?type=1&amp;id=64" TargetMode="External"/><Relationship Id="rId10" Type="http://schemas.openxmlformats.org/officeDocument/2006/relationships/hyperlink" Target="http://france1.simagri.com/coop_voir_detail.php?type=1&amp;id=118" TargetMode="External"/><Relationship Id="rId19" Type="http://schemas.openxmlformats.org/officeDocument/2006/relationships/hyperlink" Target="http://france1.simagri.com/coop_voir_detail.php?type=1&amp;id=93" TargetMode="External"/><Relationship Id="rId4" Type="http://schemas.openxmlformats.org/officeDocument/2006/relationships/hyperlink" Target="http://france1.simagri.com/coop_voir_detail.php?type=1&amp;id=60" TargetMode="External"/><Relationship Id="rId9" Type="http://schemas.openxmlformats.org/officeDocument/2006/relationships/hyperlink" Target="http://france1.simagri.com/coop_voir_detail.php?type=1&amp;id=119" TargetMode="External"/><Relationship Id="rId14" Type="http://schemas.openxmlformats.org/officeDocument/2006/relationships/hyperlink" Target="http://france1.simagri.com/coop_voir_detail.php?type=1&amp;id=41" TargetMode="External"/><Relationship Id="rId22" Type="http://schemas.openxmlformats.org/officeDocument/2006/relationships/hyperlink" Target="http://france1.simagri.com/coop_voir_detail.php?type=1&amp;id=65" TargetMode="External"/></Relationships>
</file>

<file path=xl/drawings/drawing1.xml><?xml version="1.0" encoding="utf-8"?>
<xdr:wsDr xmlns:xdr="http://schemas.openxmlformats.org/drawingml/2006/spreadsheetDrawing" xmlns:a="http://schemas.openxmlformats.org/drawingml/2006/main">
  <xdr:oneCellAnchor>
    <xdr:from>
      <xdr:col>4</xdr:col>
      <xdr:colOff>544285</xdr:colOff>
      <xdr:row>32</xdr:row>
      <xdr:rowOff>27215</xdr:rowOff>
    </xdr:from>
    <xdr:ext cx="6177644" cy="1407308"/>
    <xdr:sp macro="" textlink="">
      <xdr:nvSpPr>
        <xdr:cNvPr id="2" name="Rectangle 1"/>
        <xdr:cNvSpPr/>
      </xdr:nvSpPr>
      <xdr:spPr>
        <a:xfrm>
          <a:off x="6082392" y="6640286"/>
          <a:ext cx="6177644" cy="1407308"/>
        </a:xfrm>
        <a:prstGeom prst="rect">
          <a:avLst/>
        </a:prstGeom>
        <a:solidFill>
          <a:srgbClr val="FFFF00"/>
        </a:solidFill>
      </xdr:spPr>
      <xdr:txBody>
        <a:bodyPr wrap="square" lIns="91440" tIns="45720" rIns="91440" bIns="45720">
          <a:spAutoFit/>
        </a:bodyPr>
        <a:lstStyle/>
        <a:p>
          <a:pPr algn="ctr"/>
          <a:r>
            <a:rPr lang="fr-FR" sz="2800" b="1" cap="none" spc="0">
              <a:ln w="22225">
                <a:solidFill>
                  <a:schemeClr val="accent2"/>
                </a:solidFill>
                <a:prstDash val="solid"/>
              </a:ln>
              <a:solidFill>
                <a:schemeClr val="accent2">
                  <a:lumMod val="40000"/>
                  <a:lumOff val="60000"/>
                </a:schemeClr>
              </a:solidFill>
              <a:effectLst/>
            </a:rPr>
            <a:t>Pour cause de règles incomplètes,</a:t>
          </a:r>
          <a:br>
            <a:rPr lang="fr-FR" sz="2800" b="1" cap="none" spc="0">
              <a:ln w="22225">
                <a:solidFill>
                  <a:schemeClr val="accent2"/>
                </a:solidFill>
                <a:prstDash val="solid"/>
              </a:ln>
              <a:solidFill>
                <a:schemeClr val="accent2">
                  <a:lumMod val="40000"/>
                  <a:lumOff val="60000"/>
                </a:schemeClr>
              </a:solidFill>
              <a:effectLst/>
            </a:rPr>
          </a:br>
          <a:r>
            <a:rPr lang="fr-FR" sz="2800" b="1" cap="none" spc="0">
              <a:ln w="22225">
                <a:solidFill>
                  <a:schemeClr val="accent2"/>
                </a:solidFill>
                <a:prstDash val="solid"/>
              </a:ln>
              <a:solidFill>
                <a:schemeClr val="accent2">
                  <a:lumMod val="40000"/>
                  <a:lumOff val="60000"/>
                </a:schemeClr>
              </a:solidFill>
              <a:effectLst/>
            </a:rPr>
            <a:t> certaines rations complètes sont manquantes dans ce fichier!!</a:t>
          </a:r>
        </a:p>
      </xdr:txBody>
    </xdr:sp>
    <xdr:clientData/>
  </xdr:oneCellAnchor>
  <xdr:twoCellAnchor>
    <xdr:from>
      <xdr:col>1</xdr:col>
      <xdr:colOff>952500</xdr:colOff>
      <xdr:row>50</xdr:row>
      <xdr:rowOff>10583</xdr:rowOff>
    </xdr:from>
    <xdr:to>
      <xdr:col>12</xdr:col>
      <xdr:colOff>390525</xdr:colOff>
      <xdr:row>54</xdr:row>
      <xdr:rowOff>70907</xdr:rowOff>
    </xdr:to>
    <xdr:sp macro="" textlink="">
      <xdr:nvSpPr>
        <xdr:cNvPr id="3" name="WordArt 116"/>
        <xdr:cNvSpPr>
          <a:spLocks noChangeArrowheads="1" noChangeShapeType="1" noTextEdit="1"/>
        </xdr:cNvSpPr>
      </xdr:nvSpPr>
      <xdr:spPr bwMode="auto">
        <a:xfrm>
          <a:off x="3735917" y="9704916"/>
          <a:ext cx="9534525" cy="674158"/>
        </a:xfrm>
        <a:prstGeom prst="rect">
          <a:avLst/>
        </a:prstGeom>
      </xdr:spPr>
      <xdr:txBody>
        <a:bodyPr wrap="none" fromWordArt="1">
          <a:prstTxWarp prst="textPlain">
            <a:avLst>
              <a:gd name="adj" fmla="val 50000"/>
            </a:avLst>
          </a:prstTxWarp>
        </a:bodyPr>
        <a:lstStyle/>
        <a:p>
          <a:pPr algn="ctr" rtl="0">
            <a:buNone/>
          </a:pPr>
          <a:r>
            <a:rPr lang="fr-FR" sz="1400" kern="10" spc="0">
              <a:ln w="6350">
                <a:solidFill>
                  <a:srgbClr xmlns:mc="http://schemas.openxmlformats.org/markup-compatibility/2006" xmlns:a14="http://schemas.microsoft.com/office/drawing/2010/main" val="000000" mc:Ignorable="a14" a14:legacySpreadsheetColorIndex="8"/>
                </a:solidFill>
                <a:round/>
                <a:headEnd/>
                <a:tailEnd/>
              </a:ln>
              <a:gradFill rotWithShape="0">
                <a:gsLst>
                  <a:gs pos="0">
                    <a:srgbClr val="A603AB"/>
                  </a:gs>
                  <a:gs pos="10501">
                    <a:srgbClr val="0819FB"/>
                  </a:gs>
                  <a:gs pos="17501">
                    <a:srgbClr val="1A8D48"/>
                  </a:gs>
                  <a:gs pos="26000">
                    <a:srgbClr val="FFFF00"/>
                  </a:gs>
                  <a:gs pos="36500">
                    <a:srgbClr val="EE3F17"/>
                  </a:gs>
                  <a:gs pos="44000">
                    <a:srgbClr val="E81766"/>
                  </a:gs>
                  <a:gs pos="50000">
                    <a:srgbClr val="A603AB"/>
                  </a:gs>
                  <a:gs pos="56000">
                    <a:srgbClr val="E81766"/>
                  </a:gs>
                  <a:gs pos="63500">
                    <a:srgbClr val="EE3F17"/>
                  </a:gs>
                  <a:gs pos="74000">
                    <a:srgbClr val="FFFF00"/>
                  </a:gs>
                  <a:gs pos="82500">
                    <a:srgbClr val="1A8D48"/>
                  </a:gs>
                  <a:gs pos="89500">
                    <a:srgbClr val="0819FB"/>
                  </a:gs>
                  <a:gs pos="100000">
                    <a:srgbClr val="A603AB"/>
                  </a:gs>
                </a:gsLst>
                <a:lin ang="0" scaled="1"/>
              </a:gradFill>
              <a:effectLst>
                <a:outerShdw dist="35921" dir="2700000" sy="50000" kx="2115830" algn="bl" rotWithShape="0">
                  <a:srgbClr val="C0C0C0"/>
                </a:outerShdw>
              </a:effectLst>
              <a:latin typeface="Arial Black"/>
            </a:rPr>
            <a:t>Merci à tou(te)s pour vos remarques et suggestions... relevées par vos téléchargements,</a:t>
          </a:r>
        </a:p>
        <a:p>
          <a:pPr algn="ctr" rtl="0">
            <a:buNone/>
          </a:pPr>
          <a:r>
            <a:rPr lang="fr-FR" sz="1400" kern="10" spc="0">
              <a:ln w="6350">
                <a:solidFill>
                  <a:srgbClr xmlns:mc="http://schemas.openxmlformats.org/markup-compatibility/2006" xmlns:a14="http://schemas.microsoft.com/office/drawing/2010/main" val="000000" mc:Ignorable="a14" a14:legacySpreadsheetColorIndex="8"/>
                </a:solidFill>
                <a:round/>
                <a:headEnd/>
                <a:tailEnd/>
              </a:ln>
              <a:gradFill rotWithShape="0">
                <a:gsLst>
                  <a:gs pos="0">
                    <a:srgbClr val="A603AB"/>
                  </a:gs>
                  <a:gs pos="10501">
                    <a:srgbClr val="0819FB"/>
                  </a:gs>
                  <a:gs pos="17501">
                    <a:srgbClr val="1A8D48"/>
                  </a:gs>
                  <a:gs pos="26000">
                    <a:srgbClr val="FFFF00"/>
                  </a:gs>
                  <a:gs pos="36500">
                    <a:srgbClr val="EE3F17"/>
                  </a:gs>
                  <a:gs pos="44000">
                    <a:srgbClr val="E81766"/>
                  </a:gs>
                  <a:gs pos="50000">
                    <a:srgbClr val="A603AB"/>
                  </a:gs>
                  <a:gs pos="56000">
                    <a:srgbClr val="E81766"/>
                  </a:gs>
                  <a:gs pos="63500">
                    <a:srgbClr val="EE3F17"/>
                  </a:gs>
                  <a:gs pos="74000">
                    <a:srgbClr val="FFFF00"/>
                  </a:gs>
                  <a:gs pos="82500">
                    <a:srgbClr val="1A8D48"/>
                  </a:gs>
                  <a:gs pos="89500">
                    <a:srgbClr val="0819FB"/>
                  </a:gs>
                  <a:gs pos="100000">
                    <a:srgbClr val="A603AB"/>
                  </a:gs>
                </a:gsLst>
                <a:lin ang="0" scaled="1"/>
              </a:gradFill>
              <a:effectLst>
                <a:outerShdw dist="35921" dir="2700000" sy="50000" kx="2115830" algn="bl" rotWithShape="0">
                  <a:srgbClr val="C0C0C0"/>
                </a:outerShdw>
              </a:effectLst>
              <a:latin typeface="Arial Black"/>
            </a:rPr>
            <a:t>Je reste ouvert pour des éventuelles corrections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1</xdr:row>
      <xdr:rowOff>0</xdr:rowOff>
    </xdr:from>
    <xdr:to>
      <xdr:col>21</xdr:col>
      <xdr:colOff>304800</xdr:colOff>
      <xdr:row>2</xdr:row>
      <xdr:rowOff>138792</xdr:rowOff>
    </xdr:to>
    <xdr:sp macro="" textlink="">
      <xdr:nvSpPr>
        <xdr:cNvPr id="2" name="AutoShape 6069" descr="loupe">
          <a:hlinkClick xmlns:r="http://schemas.openxmlformats.org/officeDocument/2006/relationships" r:id="rId1"/>
        </xdr:cNvPr>
        <xdr:cNvSpPr>
          <a:spLocks noChangeAspect="1" noChangeArrowheads="1"/>
        </xdr:cNvSpPr>
      </xdr:nvSpPr>
      <xdr:spPr bwMode="auto">
        <a:xfrm>
          <a:off x="25412700" y="1619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19</xdr:row>
      <xdr:rowOff>0</xdr:rowOff>
    </xdr:from>
    <xdr:to>
      <xdr:col>21</xdr:col>
      <xdr:colOff>304800</xdr:colOff>
      <xdr:row>21</xdr:row>
      <xdr:rowOff>1</xdr:rowOff>
    </xdr:to>
    <xdr:sp macro="" textlink="">
      <xdr:nvSpPr>
        <xdr:cNvPr id="3" name="AutoShape 6071" descr="loupe">
          <a:hlinkClick xmlns:r="http://schemas.openxmlformats.org/officeDocument/2006/relationships" r:id="rId2"/>
        </xdr:cNvPr>
        <xdr:cNvSpPr>
          <a:spLocks noChangeAspect="1" noChangeArrowheads="1"/>
        </xdr:cNvSpPr>
      </xdr:nvSpPr>
      <xdr:spPr bwMode="auto">
        <a:xfrm>
          <a:off x="25412700" y="3238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20</xdr:row>
      <xdr:rowOff>0</xdr:rowOff>
    </xdr:from>
    <xdr:to>
      <xdr:col>21</xdr:col>
      <xdr:colOff>304800</xdr:colOff>
      <xdr:row>21</xdr:row>
      <xdr:rowOff>152400</xdr:rowOff>
    </xdr:to>
    <xdr:sp macro="" textlink="">
      <xdr:nvSpPr>
        <xdr:cNvPr id="4" name="AutoShape 6073" descr="loupe">
          <a:hlinkClick xmlns:r="http://schemas.openxmlformats.org/officeDocument/2006/relationships" r:id="rId3"/>
        </xdr:cNvPr>
        <xdr:cNvSpPr>
          <a:spLocks noChangeAspect="1" noChangeArrowheads="1"/>
        </xdr:cNvSpPr>
      </xdr:nvSpPr>
      <xdr:spPr bwMode="auto">
        <a:xfrm>
          <a:off x="25412700" y="4857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21</xdr:row>
      <xdr:rowOff>0</xdr:rowOff>
    </xdr:from>
    <xdr:to>
      <xdr:col>21</xdr:col>
      <xdr:colOff>304800</xdr:colOff>
      <xdr:row>22</xdr:row>
      <xdr:rowOff>133350</xdr:rowOff>
    </xdr:to>
    <xdr:sp macro="" textlink="">
      <xdr:nvSpPr>
        <xdr:cNvPr id="5" name="AutoShape 6075" descr="loupe">
          <a:hlinkClick xmlns:r="http://schemas.openxmlformats.org/officeDocument/2006/relationships" r:id="rId4"/>
        </xdr:cNvPr>
        <xdr:cNvSpPr>
          <a:spLocks noChangeAspect="1" noChangeArrowheads="1"/>
        </xdr:cNvSpPr>
      </xdr:nvSpPr>
      <xdr:spPr bwMode="auto">
        <a:xfrm>
          <a:off x="25412700" y="6477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22</xdr:row>
      <xdr:rowOff>0</xdr:rowOff>
    </xdr:from>
    <xdr:to>
      <xdr:col>21</xdr:col>
      <xdr:colOff>304800</xdr:colOff>
      <xdr:row>23</xdr:row>
      <xdr:rowOff>152399</xdr:rowOff>
    </xdr:to>
    <xdr:sp macro="" textlink="">
      <xdr:nvSpPr>
        <xdr:cNvPr id="6" name="AutoShape 6077" descr="loupe">
          <a:hlinkClick xmlns:r="http://schemas.openxmlformats.org/officeDocument/2006/relationships" r:id="rId5"/>
        </xdr:cNvPr>
        <xdr:cNvSpPr>
          <a:spLocks noChangeAspect="1" noChangeArrowheads="1"/>
        </xdr:cNvSpPr>
      </xdr:nvSpPr>
      <xdr:spPr bwMode="auto">
        <a:xfrm>
          <a:off x="25412700" y="8191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23</xdr:row>
      <xdr:rowOff>0</xdr:rowOff>
    </xdr:from>
    <xdr:to>
      <xdr:col>21</xdr:col>
      <xdr:colOff>304800</xdr:colOff>
      <xdr:row>24</xdr:row>
      <xdr:rowOff>133351</xdr:rowOff>
    </xdr:to>
    <xdr:sp macro="" textlink="">
      <xdr:nvSpPr>
        <xdr:cNvPr id="7" name="AutoShape 6079" descr="loupe">
          <a:hlinkClick xmlns:r="http://schemas.openxmlformats.org/officeDocument/2006/relationships" r:id="rId6"/>
        </xdr:cNvPr>
        <xdr:cNvSpPr>
          <a:spLocks noChangeAspect="1" noChangeArrowheads="1"/>
        </xdr:cNvSpPr>
      </xdr:nvSpPr>
      <xdr:spPr bwMode="auto">
        <a:xfrm>
          <a:off x="25412700" y="9810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24</xdr:row>
      <xdr:rowOff>0</xdr:rowOff>
    </xdr:from>
    <xdr:to>
      <xdr:col>21</xdr:col>
      <xdr:colOff>304800</xdr:colOff>
      <xdr:row>26</xdr:row>
      <xdr:rowOff>0</xdr:rowOff>
    </xdr:to>
    <xdr:sp macro="" textlink="">
      <xdr:nvSpPr>
        <xdr:cNvPr id="8" name="AutoShape 6081" descr="loupe">
          <a:hlinkClick xmlns:r="http://schemas.openxmlformats.org/officeDocument/2006/relationships" r:id="rId7"/>
        </xdr:cNvPr>
        <xdr:cNvSpPr>
          <a:spLocks noChangeAspect="1" noChangeArrowheads="1"/>
        </xdr:cNvSpPr>
      </xdr:nvSpPr>
      <xdr:spPr bwMode="auto">
        <a:xfrm>
          <a:off x="25412700" y="11525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25</xdr:row>
      <xdr:rowOff>0</xdr:rowOff>
    </xdr:from>
    <xdr:to>
      <xdr:col>21</xdr:col>
      <xdr:colOff>304800</xdr:colOff>
      <xdr:row>26</xdr:row>
      <xdr:rowOff>143933</xdr:rowOff>
    </xdr:to>
    <xdr:sp macro="" textlink="">
      <xdr:nvSpPr>
        <xdr:cNvPr id="9" name="AutoShape 6083" descr="loupe">
          <a:hlinkClick xmlns:r="http://schemas.openxmlformats.org/officeDocument/2006/relationships" r:id="rId8"/>
        </xdr:cNvPr>
        <xdr:cNvSpPr>
          <a:spLocks noChangeAspect="1" noChangeArrowheads="1"/>
        </xdr:cNvSpPr>
      </xdr:nvSpPr>
      <xdr:spPr bwMode="auto">
        <a:xfrm>
          <a:off x="25412700" y="13144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26</xdr:row>
      <xdr:rowOff>0</xdr:rowOff>
    </xdr:from>
    <xdr:to>
      <xdr:col>21</xdr:col>
      <xdr:colOff>304800</xdr:colOff>
      <xdr:row>27</xdr:row>
      <xdr:rowOff>141817</xdr:rowOff>
    </xdr:to>
    <xdr:sp macro="" textlink="">
      <xdr:nvSpPr>
        <xdr:cNvPr id="10" name="AutoShape 6085" descr="loupe">
          <a:hlinkClick xmlns:r="http://schemas.openxmlformats.org/officeDocument/2006/relationships" r:id="rId9"/>
        </xdr:cNvPr>
        <xdr:cNvSpPr>
          <a:spLocks noChangeAspect="1" noChangeArrowheads="1"/>
        </xdr:cNvSpPr>
      </xdr:nvSpPr>
      <xdr:spPr bwMode="auto">
        <a:xfrm>
          <a:off x="25412700" y="14859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27</xdr:row>
      <xdr:rowOff>0</xdr:rowOff>
    </xdr:from>
    <xdr:to>
      <xdr:col>21</xdr:col>
      <xdr:colOff>304800</xdr:colOff>
      <xdr:row>29</xdr:row>
      <xdr:rowOff>0</xdr:rowOff>
    </xdr:to>
    <xdr:sp macro="" textlink="">
      <xdr:nvSpPr>
        <xdr:cNvPr id="11" name="AutoShape 6087" descr="loupe">
          <a:hlinkClick xmlns:r="http://schemas.openxmlformats.org/officeDocument/2006/relationships" r:id="rId10"/>
        </xdr:cNvPr>
        <xdr:cNvSpPr>
          <a:spLocks noChangeAspect="1" noChangeArrowheads="1"/>
        </xdr:cNvSpPr>
      </xdr:nvSpPr>
      <xdr:spPr bwMode="auto">
        <a:xfrm>
          <a:off x="25412700" y="16478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28</xdr:row>
      <xdr:rowOff>0</xdr:rowOff>
    </xdr:from>
    <xdr:to>
      <xdr:col>21</xdr:col>
      <xdr:colOff>304800</xdr:colOff>
      <xdr:row>30</xdr:row>
      <xdr:rowOff>0</xdr:rowOff>
    </xdr:to>
    <xdr:sp macro="" textlink="">
      <xdr:nvSpPr>
        <xdr:cNvPr id="12" name="AutoShape 6089" descr="loupe">
          <a:hlinkClick xmlns:r="http://schemas.openxmlformats.org/officeDocument/2006/relationships" r:id="rId11"/>
        </xdr:cNvPr>
        <xdr:cNvSpPr>
          <a:spLocks noChangeAspect="1" noChangeArrowheads="1"/>
        </xdr:cNvSpPr>
      </xdr:nvSpPr>
      <xdr:spPr bwMode="auto">
        <a:xfrm>
          <a:off x="25412700" y="18097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29</xdr:row>
      <xdr:rowOff>0</xdr:rowOff>
    </xdr:from>
    <xdr:to>
      <xdr:col>21</xdr:col>
      <xdr:colOff>304800</xdr:colOff>
      <xdr:row>31</xdr:row>
      <xdr:rowOff>0</xdr:rowOff>
    </xdr:to>
    <xdr:sp macro="" textlink="">
      <xdr:nvSpPr>
        <xdr:cNvPr id="13" name="AutoShape 6091" descr="loupe">
          <a:hlinkClick xmlns:r="http://schemas.openxmlformats.org/officeDocument/2006/relationships" r:id="rId12"/>
        </xdr:cNvPr>
        <xdr:cNvSpPr>
          <a:spLocks noChangeAspect="1" noChangeArrowheads="1"/>
        </xdr:cNvSpPr>
      </xdr:nvSpPr>
      <xdr:spPr bwMode="auto">
        <a:xfrm>
          <a:off x="25412700" y="19716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30</xdr:row>
      <xdr:rowOff>0</xdr:rowOff>
    </xdr:from>
    <xdr:to>
      <xdr:col>21</xdr:col>
      <xdr:colOff>304800</xdr:colOff>
      <xdr:row>31</xdr:row>
      <xdr:rowOff>152399</xdr:rowOff>
    </xdr:to>
    <xdr:sp macro="" textlink="">
      <xdr:nvSpPr>
        <xdr:cNvPr id="14" name="AutoShape 6093" descr="loupe">
          <a:hlinkClick xmlns:r="http://schemas.openxmlformats.org/officeDocument/2006/relationships" r:id="rId13"/>
        </xdr:cNvPr>
        <xdr:cNvSpPr>
          <a:spLocks noChangeAspect="1" noChangeArrowheads="1"/>
        </xdr:cNvSpPr>
      </xdr:nvSpPr>
      <xdr:spPr bwMode="auto">
        <a:xfrm>
          <a:off x="25412700" y="21336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31</xdr:row>
      <xdr:rowOff>0</xdr:rowOff>
    </xdr:from>
    <xdr:to>
      <xdr:col>21</xdr:col>
      <xdr:colOff>304800</xdr:colOff>
      <xdr:row>32</xdr:row>
      <xdr:rowOff>133351</xdr:rowOff>
    </xdr:to>
    <xdr:sp macro="" textlink="">
      <xdr:nvSpPr>
        <xdr:cNvPr id="15" name="AutoShape 6095" descr="loupe">
          <a:hlinkClick xmlns:r="http://schemas.openxmlformats.org/officeDocument/2006/relationships" r:id="rId14"/>
        </xdr:cNvPr>
        <xdr:cNvSpPr>
          <a:spLocks noChangeAspect="1" noChangeArrowheads="1"/>
        </xdr:cNvSpPr>
      </xdr:nvSpPr>
      <xdr:spPr bwMode="auto">
        <a:xfrm>
          <a:off x="25412700" y="2295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32</xdr:row>
      <xdr:rowOff>0</xdr:rowOff>
    </xdr:from>
    <xdr:to>
      <xdr:col>21</xdr:col>
      <xdr:colOff>304800</xdr:colOff>
      <xdr:row>34</xdr:row>
      <xdr:rowOff>0</xdr:rowOff>
    </xdr:to>
    <xdr:sp macro="" textlink="">
      <xdr:nvSpPr>
        <xdr:cNvPr id="16" name="AutoShape 6097" descr="loupe">
          <a:hlinkClick xmlns:r="http://schemas.openxmlformats.org/officeDocument/2006/relationships" r:id="rId15"/>
        </xdr:cNvPr>
        <xdr:cNvSpPr>
          <a:spLocks noChangeAspect="1" noChangeArrowheads="1"/>
        </xdr:cNvSpPr>
      </xdr:nvSpPr>
      <xdr:spPr bwMode="auto">
        <a:xfrm>
          <a:off x="25412700" y="24669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33</xdr:row>
      <xdr:rowOff>0</xdr:rowOff>
    </xdr:from>
    <xdr:to>
      <xdr:col>21</xdr:col>
      <xdr:colOff>304800</xdr:colOff>
      <xdr:row>35</xdr:row>
      <xdr:rowOff>0</xdr:rowOff>
    </xdr:to>
    <xdr:sp macro="" textlink="">
      <xdr:nvSpPr>
        <xdr:cNvPr id="17" name="AutoShape 6099" descr="loupe">
          <a:hlinkClick xmlns:r="http://schemas.openxmlformats.org/officeDocument/2006/relationships" r:id="rId16"/>
        </xdr:cNvPr>
        <xdr:cNvSpPr>
          <a:spLocks noChangeAspect="1" noChangeArrowheads="1"/>
        </xdr:cNvSpPr>
      </xdr:nvSpPr>
      <xdr:spPr bwMode="auto">
        <a:xfrm>
          <a:off x="25412700" y="26289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34</xdr:row>
      <xdr:rowOff>0</xdr:rowOff>
    </xdr:from>
    <xdr:to>
      <xdr:col>21</xdr:col>
      <xdr:colOff>304800</xdr:colOff>
      <xdr:row>36</xdr:row>
      <xdr:rowOff>1017</xdr:rowOff>
    </xdr:to>
    <xdr:sp macro="" textlink="">
      <xdr:nvSpPr>
        <xdr:cNvPr id="18" name="AutoShape 6101" descr="loupe">
          <a:hlinkClick xmlns:r="http://schemas.openxmlformats.org/officeDocument/2006/relationships" r:id="rId17"/>
        </xdr:cNvPr>
        <xdr:cNvSpPr>
          <a:spLocks noChangeAspect="1" noChangeArrowheads="1"/>
        </xdr:cNvSpPr>
      </xdr:nvSpPr>
      <xdr:spPr bwMode="auto">
        <a:xfrm>
          <a:off x="25412700" y="27908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35</xdr:row>
      <xdr:rowOff>0</xdr:rowOff>
    </xdr:from>
    <xdr:to>
      <xdr:col>21</xdr:col>
      <xdr:colOff>304800</xdr:colOff>
      <xdr:row>37</xdr:row>
      <xdr:rowOff>1</xdr:rowOff>
    </xdr:to>
    <xdr:sp macro="" textlink="">
      <xdr:nvSpPr>
        <xdr:cNvPr id="19" name="AutoShape 6103" descr="loupe">
          <a:hlinkClick xmlns:r="http://schemas.openxmlformats.org/officeDocument/2006/relationships" r:id="rId18"/>
        </xdr:cNvPr>
        <xdr:cNvSpPr>
          <a:spLocks noChangeAspect="1" noChangeArrowheads="1"/>
        </xdr:cNvSpPr>
      </xdr:nvSpPr>
      <xdr:spPr bwMode="auto">
        <a:xfrm>
          <a:off x="25412700" y="29527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36</xdr:row>
      <xdr:rowOff>0</xdr:rowOff>
    </xdr:from>
    <xdr:to>
      <xdr:col>21</xdr:col>
      <xdr:colOff>304800</xdr:colOff>
      <xdr:row>38</xdr:row>
      <xdr:rowOff>0</xdr:rowOff>
    </xdr:to>
    <xdr:sp macro="" textlink="">
      <xdr:nvSpPr>
        <xdr:cNvPr id="20" name="AutoShape 6105" descr="loupe">
          <a:hlinkClick xmlns:r="http://schemas.openxmlformats.org/officeDocument/2006/relationships" r:id="rId19"/>
        </xdr:cNvPr>
        <xdr:cNvSpPr>
          <a:spLocks noChangeAspect="1" noChangeArrowheads="1"/>
        </xdr:cNvSpPr>
      </xdr:nvSpPr>
      <xdr:spPr bwMode="auto">
        <a:xfrm>
          <a:off x="25412700" y="31146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37</xdr:row>
      <xdr:rowOff>0</xdr:rowOff>
    </xdr:from>
    <xdr:to>
      <xdr:col>21</xdr:col>
      <xdr:colOff>304800</xdr:colOff>
      <xdr:row>39</xdr:row>
      <xdr:rowOff>0</xdr:rowOff>
    </xdr:to>
    <xdr:sp macro="" textlink="">
      <xdr:nvSpPr>
        <xdr:cNvPr id="21" name="AutoShape 6107" descr="loupe">
          <a:hlinkClick xmlns:r="http://schemas.openxmlformats.org/officeDocument/2006/relationships" r:id="rId20"/>
        </xdr:cNvPr>
        <xdr:cNvSpPr>
          <a:spLocks noChangeAspect="1" noChangeArrowheads="1"/>
        </xdr:cNvSpPr>
      </xdr:nvSpPr>
      <xdr:spPr bwMode="auto">
        <a:xfrm>
          <a:off x="25412700" y="327660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38</xdr:row>
      <xdr:rowOff>0</xdr:rowOff>
    </xdr:from>
    <xdr:to>
      <xdr:col>21</xdr:col>
      <xdr:colOff>304800</xdr:colOff>
      <xdr:row>40</xdr:row>
      <xdr:rowOff>0</xdr:rowOff>
    </xdr:to>
    <xdr:sp macro="" textlink="">
      <xdr:nvSpPr>
        <xdr:cNvPr id="22" name="AutoShape 6109" descr="loupe">
          <a:hlinkClick xmlns:r="http://schemas.openxmlformats.org/officeDocument/2006/relationships" r:id="rId21"/>
        </xdr:cNvPr>
        <xdr:cNvSpPr>
          <a:spLocks noChangeAspect="1" noChangeArrowheads="1"/>
        </xdr:cNvSpPr>
      </xdr:nvSpPr>
      <xdr:spPr bwMode="auto">
        <a:xfrm>
          <a:off x="25412700" y="34385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39</xdr:row>
      <xdr:rowOff>0</xdr:rowOff>
    </xdr:from>
    <xdr:to>
      <xdr:col>21</xdr:col>
      <xdr:colOff>304800</xdr:colOff>
      <xdr:row>41</xdr:row>
      <xdr:rowOff>0</xdr:rowOff>
    </xdr:to>
    <xdr:sp macro="" textlink="">
      <xdr:nvSpPr>
        <xdr:cNvPr id="23" name="AutoShape 6111" descr="loupe">
          <a:hlinkClick xmlns:r="http://schemas.openxmlformats.org/officeDocument/2006/relationships" r:id="rId22"/>
        </xdr:cNvPr>
        <xdr:cNvSpPr>
          <a:spLocks noChangeAspect="1" noChangeArrowheads="1"/>
        </xdr:cNvSpPr>
      </xdr:nvSpPr>
      <xdr:spPr bwMode="auto">
        <a:xfrm>
          <a:off x="25412700" y="3600450"/>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40</xdr:row>
      <xdr:rowOff>0</xdr:rowOff>
    </xdr:from>
    <xdr:to>
      <xdr:col>21</xdr:col>
      <xdr:colOff>304800</xdr:colOff>
      <xdr:row>41</xdr:row>
      <xdr:rowOff>143934</xdr:rowOff>
    </xdr:to>
    <xdr:sp macro="" textlink="">
      <xdr:nvSpPr>
        <xdr:cNvPr id="24" name="AutoShape 6113" descr="loupe">
          <a:hlinkClick xmlns:r="http://schemas.openxmlformats.org/officeDocument/2006/relationships" r:id="rId23"/>
        </xdr:cNvPr>
        <xdr:cNvSpPr>
          <a:spLocks noChangeAspect="1" noChangeArrowheads="1"/>
        </xdr:cNvSpPr>
      </xdr:nvSpPr>
      <xdr:spPr bwMode="auto">
        <a:xfrm>
          <a:off x="25412700" y="37623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41</xdr:row>
      <xdr:rowOff>0</xdr:rowOff>
    </xdr:from>
    <xdr:to>
      <xdr:col>21</xdr:col>
      <xdr:colOff>304800</xdr:colOff>
      <xdr:row>42</xdr:row>
      <xdr:rowOff>152399</xdr:rowOff>
    </xdr:to>
    <xdr:sp macro="" textlink="">
      <xdr:nvSpPr>
        <xdr:cNvPr id="25" name="AutoShape 6115" descr="loupe">
          <a:hlinkClick xmlns:r="http://schemas.openxmlformats.org/officeDocument/2006/relationships" r:id="rId24"/>
        </xdr:cNvPr>
        <xdr:cNvSpPr>
          <a:spLocks noChangeAspect="1" noChangeArrowheads="1"/>
        </xdr:cNvSpPr>
      </xdr:nvSpPr>
      <xdr:spPr bwMode="auto">
        <a:xfrm>
          <a:off x="25412700" y="39338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42</xdr:row>
      <xdr:rowOff>0</xdr:rowOff>
    </xdr:from>
    <xdr:to>
      <xdr:col>21</xdr:col>
      <xdr:colOff>304800</xdr:colOff>
      <xdr:row>43</xdr:row>
      <xdr:rowOff>104775</xdr:rowOff>
    </xdr:to>
    <xdr:sp macro="" textlink="">
      <xdr:nvSpPr>
        <xdr:cNvPr id="26" name="AutoShape 6117" descr="loupe">
          <a:hlinkClick xmlns:r="http://schemas.openxmlformats.org/officeDocument/2006/relationships" r:id="rId25"/>
        </xdr:cNvPr>
        <xdr:cNvSpPr>
          <a:spLocks noChangeAspect="1" noChangeArrowheads="1"/>
        </xdr:cNvSpPr>
      </xdr:nvSpPr>
      <xdr:spPr bwMode="auto">
        <a:xfrm>
          <a:off x="25412700" y="40957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43</xdr:row>
      <xdr:rowOff>0</xdr:rowOff>
    </xdr:from>
    <xdr:to>
      <xdr:col>21</xdr:col>
      <xdr:colOff>304800</xdr:colOff>
      <xdr:row>44</xdr:row>
      <xdr:rowOff>104775</xdr:rowOff>
    </xdr:to>
    <xdr:sp macro="" textlink="">
      <xdr:nvSpPr>
        <xdr:cNvPr id="27" name="AutoShape 6119" descr="loupe">
          <a:hlinkClick xmlns:r="http://schemas.openxmlformats.org/officeDocument/2006/relationships" r:id="rId26"/>
        </xdr:cNvPr>
        <xdr:cNvSpPr>
          <a:spLocks noChangeAspect="1" noChangeArrowheads="1"/>
        </xdr:cNvSpPr>
      </xdr:nvSpPr>
      <xdr:spPr bwMode="auto">
        <a:xfrm>
          <a:off x="25412700" y="42957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38100</xdr:colOff>
      <xdr:row>83</xdr:row>
      <xdr:rowOff>57150</xdr:rowOff>
    </xdr:from>
    <xdr:to>
      <xdr:col>5</xdr:col>
      <xdr:colOff>66675</xdr:colOff>
      <xdr:row>89</xdr:row>
      <xdr:rowOff>66675</xdr:rowOff>
    </xdr:to>
    <xdr:sp macro="" textlink="">
      <xdr:nvSpPr>
        <xdr:cNvPr id="2" name="Line 4"/>
        <xdr:cNvSpPr>
          <a:spLocks noChangeShapeType="1"/>
        </xdr:cNvSpPr>
      </xdr:nvSpPr>
      <xdr:spPr bwMode="auto">
        <a:xfrm flipH="1">
          <a:off x="4171950" y="35985450"/>
          <a:ext cx="962025" cy="981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66675</xdr:colOff>
      <xdr:row>82</xdr:row>
      <xdr:rowOff>28575</xdr:rowOff>
    </xdr:from>
    <xdr:to>
      <xdr:col>10</xdr:col>
      <xdr:colOff>28575</xdr:colOff>
      <xdr:row>91</xdr:row>
      <xdr:rowOff>9525</xdr:rowOff>
    </xdr:to>
    <xdr:sp macro="" textlink="">
      <xdr:nvSpPr>
        <xdr:cNvPr id="3" name="Line 223"/>
        <xdr:cNvSpPr>
          <a:spLocks noChangeShapeType="1"/>
        </xdr:cNvSpPr>
      </xdr:nvSpPr>
      <xdr:spPr bwMode="auto">
        <a:xfrm>
          <a:off x="5886450" y="19735800"/>
          <a:ext cx="2743200" cy="1676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1666489</xdr:colOff>
      <xdr:row>20</xdr:row>
      <xdr:rowOff>89428</xdr:rowOff>
    </xdr:from>
    <xdr:ext cx="18166641" cy="6276515"/>
    <xdr:sp macro="" textlink="">
      <xdr:nvSpPr>
        <xdr:cNvPr id="2" name="Rectangle 1"/>
        <xdr:cNvSpPr/>
      </xdr:nvSpPr>
      <xdr:spPr>
        <a:xfrm rot="20282570">
          <a:off x="1666489" y="3355142"/>
          <a:ext cx="18166641" cy="6276515"/>
        </a:xfrm>
        <a:prstGeom prst="rect">
          <a:avLst/>
        </a:prstGeom>
        <a:noFill/>
        <a:ln>
          <a:noFill/>
        </a:ln>
      </xdr:spPr>
      <xdr:txBody>
        <a:bodyPr wrap="none" lIns="91440" tIns="45720" rIns="91440" bIns="45720">
          <a:noAutofit/>
        </a:bodyPr>
        <a:lstStyle/>
        <a:p>
          <a:pPr algn="ctr"/>
          <a:r>
            <a:rPr lang="fr-FR" sz="4800" b="1" cap="none" spc="0">
              <a:ln w="6600">
                <a:solidFill>
                  <a:schemeClr val="accent2"/>
                </a:solidFill>
                <a:prstDash val="solid"/>
              </a:ln>
              <a:solidFill>
                <a:srgbClr val="FFC000"/>
              </a:solidFill>
              <a:effectLst>
                <a:outerShdw dist="38100" dir="2700000" algn="tl" rotWithShape="0">
                  <a:schemeClr val="accent2"/>
                </a:outerShdw>
              </a:effectLst>
            </a:rPr>
            <a:t>Ne modifier cette page que si tu sais ce</a:t>
          </a:r>
          <a:r>
            <a:rPr lang="fr-FR" sz="4800" b="1" cap="none" spc="0" baseline="0">
              <a:ln w="6600">
                <a:solidFill>
                  <a:schemeClr val="accent2"/>
                </a:solidFill>
                <a:prstDash val="solid"/>
              </a:ln>
              <a:solidFill>
                <a:srgbClr val="FFC000"/>
              </a:solidFill>
              <a:effectLst>
                <a:outerShdw dist="38100" dir="2700000" algn="tl" rotWithShape="0">
                  <a:schemeClr val="accent2"/>
                </a:outerShdw>
              </a:effectLst>
            </a:rPr>
            <a:t> que tu fais :</a:t>
          </a:r>
          <a:br>
            <a:rPr lang="fr-FR" sz="4800" b="1" cap="none" spc="0" baseline="0">
              <a:ln w="6600">
                <a:solidFill>
                  <a:schemeClr val="accent2"/>
                </a:solidFill>
                <a:prstDash val="solid"/>
              </a:ln>
              <a:solidFill>
                <a:srgbClr val="FFC000"/>
              </a:solidFill>
              <a:effectLst>
                <a:outerShdw dist="38100" dir="2700000" algn="tl" rotWithShape="0">
                  <a:schemeClr val="accent2"/>
                </a:outerShdw>
              </a:effectLst>
            </a:rPr>
          </a:br>
          <a:r>
            <a:rPr lang="fr-FR" sz="4800" b="1" cap="none" spc="0" baseline="0">
              <a:ln w="6600">
                <a:solidFill>
                  <a:schemeClr val="accent2"/>
                </a:solidFill>
                <a:prstDash val="solid"/>
              </a:ln>
              <a:solidFill>
                <a:srgbClr val="FFC000"/>
              </a:solidFill>
              <a:effectLst>
                <a:outerShdw dist="38100" dir="2700000" algn="tl" rotWithShape="0">
                  <a:schemeClr val="accent2"/>
                </a:outerShdw>
              </a:effectLst>
            </a:rPr>
            <a:t>Le fichier dépend totalement de cette page!</a:t>
          </a:r>
          <a:br>
            <a:rPr lang="fr-FR" sz="4800" b="1" cap="none" spc="0" baseline="0">
              <a:ln w="6600">
                <a:solidFill>
                  <a:schemeClr val="accent2"/>
                </a:solidFill>
                <a:prstDash val="solid"/>
              </a:ln>
              <a:solidFill>
                <a:srgbClr val="FFC000"/>
              </a:solidFill>
              <a:effectLst>
                <a:outerShdw dist="38100" dir="2700000" algn="tl" rotWithShape="0">
                  <a:schemeClr val="accent2"/>
                </a:outerShdw>
              </a:effectLst>
            </a:rPr>
          </a:br>
          <a:r>
            <a:rPr lang="fr-FR" sz="4800" b="1" cap="none" spc="0" baseline="0">
              <a:ln w="6600">
                <a:solidFill>
                  <a:schemeClr val="accent2"/>
                </a:solidFill>
                <a:prstDash val="solid"/>
              </a:ln>
              <a:solidFill>
                <a:srgbClr val="FFC000"/>
              </a:solidFill>
              <a:effectLst>
                <a:outerShdw dist="38100" dir="2700000" algn="tl" rotWithShape="0">
                  <a:schemeClr val="accent2"/>
                </a:outerShdw>
              </a:effectLst>
            </a:rPr>
            <a:t>Les textes en rouge = règles du jeu (mais pas forcément tout utilisé...) : modifiables</a:t>
          </a:r>
          <a:br>
            <a:rPr lang="fr-FR" sz="4800" b="1" cap="none" spc="0" baseline="0">
              <a:ln w="6600">
                <a:solidFill>
                  <a:schemeClr val="accent2"/>
                </a:solidFill>
                <a:prstDash val="solid"/>
              </a:ln>
              <a:solidFill>
                <a:srgbClr val="FFC000"/>
              </a:solidFill>
              <a:effectLst>
                <a:outerShdw dist="38100" dir="2700000" algn="tl" rotWithShape="0">
                  <a:schemeClr val="accent2"/>
                </a:outerShdw>
              </a:effectLst>
            </a:rPr>
          </a:br>
          <a:r>
            <a:rPr lang="fr-FR" sz="4800" b="1" cap="none" spc="0" baseline="0">
              <a:ln w="6600">
                <a:solidFill>
                  <a:schemeClr val="accent2"/>
                </a:solidFill>
                <a:prstDash val="solid"/>
              </a:ln>
              <a:solidFill>
                <a:srgbClr val="FFC000"/>
              </a:solidFill>
              <a:effectLst>
                <a:outerShdw dist="38100" dir="2700000" algn="tl" rotWithShape="0">
                  <a:schemeClr val="accent2"/>
                </a:outerShdw>
              </a:effectLst>
            </a:rPr>
            <a:t>Les textes en noir = calculs intermédiaires : non modifiables</a:t>
          </a:r>
          <a:endParaRPr lang="fr-FR" sz="4800" b="1" cap="none" spc="0">
            <a:ln w="6600">
              <a:solidFill>
                <a:schemeClr val="accent2"/>
              </a:solidFill>
              <a:prstDash val="solid"/>
            </a:ln>
            <a:solidFill>
              <a:srgbClr val="FFC000"/>
            </a:solidFill>
            <a:effectLst>
              <a:outerShdw dist="38100" dir="2700000" algn="tl" rotWithShape="0">
                <a:schemeClr val="accent2"/>
              </a:outerShdw>
            </a:effectLst>
          </a:endParaRPr>
        </a:p>
      </xdr:txBody>
    </xdr:sp>
    <xdr:clientData/>
  </xdr:oneCellAnchor>
  <xdr:oneCellAnchor>
    <xdr:from>
      <xdr:col>228</xdr:col>
      <xdr:colOff>460591</xdr:colOff>
      <xdr:row>17</xdr:row>
      <xdr:rowOff>7434</xdr:rowOff>
    </xdr:from>
    <xdr:ext cx="7886647" cy="937629"/>
    <xdr:sp macro="" textlink="">
      <xdr:nvSpPr>
        <xdr:cNvPr id="3" name="Rectangle 2"/>
        <xdr:cNvSpPr/>
      </xdr:nvSpPr>
      <xdr:spPr>
        <a:xfrm rot="19816335">
          <a:off x="196003238" y="2674434"/>
          <a:ext cx="7886647" cy="937629"/>
        </a:xfrm>
        <a:prstGeom prst="rect">
          <a:avLst/>
        </a:prstGeom>
        <a:noFill/>
      </xdr:spPr>
      <xdr:txBody>
        <a:bodyPr wrap="none" lIns="91440" tIns="45720" rIns="91440" bIns="45720">
          <a:spAutoFit/>
        </a:bodyPr>
        <a:lstStyle/>
        <a:p>
          <a:pPr algn="ctr"/>
          <a:r>
            <a:rPr lang="fr-FR"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PARCELLES HORS VERGERS</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ide_simagri_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ide_simagri_V14-0%20(R&#233;par&#2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éleveurs"/>
      <sheetName val="cultivateurs"/>
      <sheetName val="bovins"/>
      <sheetName val="bisons"/>
      <sheetName val="caprins"/>
      <sheetName val="porcins"/>
      <sheetName val="poules"/>
      <sheetName val="pintades"/>
      <sheetName val="lapins"/>
      <sheetName val="oies"/>
      <sheetName val="canards"/>
      <sheetName val="foie gras"/>
      <sheetName val="ovins"/>
      <sheetName val="daims"/>
      <sheetName val="chevaux de selle"/>
      <sheetName val="chevaux de trait"/>
      <sheetName val="poneys"/>
      <sheetName val="abris"/>
      <sheetName val="pâtures et foin"/>
      <sheetName val="coût"/>
      <sheetName val="gains"/>
      <sheetName val="parcelles"/>
      <sheetName val="vergers"/>
      <sheetName val="semences, engrais et traitement"/>
      <sheetName val="hangars"/>
      <sheetName val="entrepôts et local phyto"/>
      <sheetName val="aires et silos"/>
      <sheetName val="memo"/>
      <sheetName val="bilan ferme"/>
    </sheetNames>
    <sheetDataSet>
      <sheetData sheetId="0" refreshError="1"/>
      <sheetData sheetId="1" refreshError="1"/>
      <sheetData sheetId="2" refreshError="1"/>
      <sheetData sheetId="3">
        <row r="3">
          <cell r="AB3" t="str">
            <v>Belgique</v>
          </cell>
          <cell r="AC3" t="str">
            <v>Canada</v>
          </cell>
          <cell r="AD3" t="str">
            <v>France</v>
          </cell>
          <cell r="AE3" t="str">
            <v>Etats-Unis</v>
          </cell>
          <cell r="AF3" t="str">
            <v>Suisse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AC3" t="str">
            <v>Belgique</v>
          </cell>
        </row>
        <row r="4">
          <cell r="AC4" t="str">
            <v xml:space="preserve">Alter Real </v>
          </cell>
        </row>
        <row r="5">
          <cell r="AC5" t="str">
            <v xml:space="preserve">Anglo-Arabe </v>
          </cell>
        </row>
        <row r="6">
          <cell r="AC6" t="str">
            <v xml:space="preserve">Appaloosa </v>
          </cell>
        </row>
        <row r="7">
          <cell r="AC7" t="str">
            <v xml:space="preserve">Arabe Shagya </v>
          </cell>
        </row>
        <row r="8">
          <cell r="AC8" t="str">
            <v xml:space="preserve">Barbe </v>
          </cell>
        </row>
        <row r="9">
          <cell r="AC9" t="str">
            <v xml:space="preserve">Cheval Canadien </v>
          </cell>
        </row>
        <row r="10">
          <cell r="AC10" t="str">
            <v xml:space="preserve">Franches-Montagnes </v>
          </cell>
        </row>
        <row r="11">
          <cell r="AC11" t="str">
            <v xml:space="preserve">Frison </v>
          </cell>
        </row>
        <row r="12">
          <cell r="AC12" t="str">
            <v xml:space="preserve">Hanovrien </v>
          </cell>
        </row>
        <row r="13">
          <cell r="AC13" t="str">
            <v xml:space="preserve">Henson </v>
          </cell>
        </row>
        <row r="14">
          <cell r="AC14" t="str">
            <v xml:space="preserve">Holsteiner </v>
          </cell>
        </row>
        <row r="15">
          <cell r="AC15" t="str">
            <v xml:space="preserve">Lipizzan </v>
          </cell>
        </row>
        <row r="16">
          <cell r="AC16" t="str">
            <v xml:space="preserve">Paint Horse </v>
          </cell>
        </row>
        <row r="17">
          <cell r="AC17" t="str">
            <v xml:space="preserve">Pur-Sang Anglais </v>
          </cell>
        </row>
        <row r="18">
          <cell r="AC18" t="str">
            <v xml:space="preserve">Pur-Sang Arabe </v>
          </cell>
        </row>
        <row r="19">
          <cell r="AC19" t="str">
            <v xml:space="preserve">Pur Race Espagnole </v>
          </cell>
        </row>
        <row r="20">
          <cell r="AC20" t="str">
            <v xml:space="preserve">Quarter Horse </v>
          </cell>
        </row>
        <row r="21">
          <cell r="AC21" t="str">
            <v xml:space="preserve">Selle Francais </v>
          </cell>
        </row>
        <row r="22">
          <cell r="AC22" t="str">
            <v xml:space="preserve">Trakehner </v>
          </cell>
        </row>
        <row r="23">
          <cell r="AC23" t="str">
            <v xml:space="preserve">Trotteur Francais </v>
          </cell>
        </row>
      </sheetData>
      <sheetData sheetId="16">
        <row r="3">
          <cell r="AC3" t="str">
            <v>Belgique</v>
          </cell>
        </row>
        <row r="4">
          <cell r="AC4" t="str">
            <v xml:space="preserve">Ardennais </v>
          </cell>
        </row>
        <row r="5">
          <cell r="AC5" t="str">
            <v xml:space="preserve">Auxois </v>
          </cell>
        </row>
        <row r="6">
          <cell r="AC6" t="str">
            <v xml:space="preserve">Boulonnais </v>
          </cell>
        </row>
        <row r="7">
          <cell r="AC7" t="str">
            <v xml:space="preserve">Breton </v>
          </cell>
        </row>
        <row r="8">
          <cell r="AC8" t="str">
            <v xml:space="preserve">Cob Normand </v>
          </cell>
        </row>
        <row r="9">
          <cell r="AC9" t="str">
            <v xml:space="preserve">Comtois </v>
          </cell>
        </row>
        <row r="10">
          <cell r="AC10" t="str">
            <v xml:space="preserve">Percheron </v>
          </cell>
        </row>
        <row r="11">
          <cell r="AC11" t="str">
            <v xml:space="preserve">Poitevin Mulassier </v>
          </cell>
        </row>
        <row r="12">
          <cell r="AC12" t="str">
            <v xml:space="preserve">Trait du Nord </v>
          </cell>
        </row>
        <row r="13">
          <cell r="AC13" t="str">
            <v xml:space="preserve">Brabançon </v>
          </cell>
        </row>
        <row r="14">
          <cell r="AC14" t="str">
            <v xml:space="preserve">Shire </v>
          </cell>
        </row>
        <row r="15">
          <cell r="AC15" t="str">
            <v xml:space="preserve">Clydesdale </v>
          </cell>
        </row>
        <row r="16">
          <cell r="AC16" t="str">
            <v xml:space="preserve">Irish Cob </v>
          </cell>
        </row>
        <row r="17">
          <cell r="AC17" t="str">
            <v xml:space="preserve">American Cream Draft </v>
          </cell>
        </row>
      </sheetData>
      <sheetData sheetId="17">
        <row r="3">
          <cell r="AC3" t="str">
            <v>Belgique</v>
          </cell>
        </row>
        <row r="4">
          <cell r="AC4" t="str">
            <v xml:space="preserve">Camargue </v>
          </cell>
        </row>
        <row r="5">
          <cell r="AC5" t="str">
            <v xml:space="preserve">Cheval Castillonais </v>
          </cell>
        </row>
        <row r="6">
          <cell r="AC6" t="str">
            <v xml:space="preserve">Merens </v>
          </cell>
        </row>
        <row r="7">
          <cell r="AC7" t="str">
            <v xml:space="preserve">Connemara </v>
          </cell>
        </row>
        <row r="8">
          <cell r="AC8" t="str">
            <v xml:space="preserve">Dartmoor </v>
          </cell>
        </row>
        <row r="9">
          <cell r="AC9" t="str">
            <v xml:space="preserve">Fjord </v>
          </cell>
        </row>
        <row r="10">
          <cell r="AC10" t="str">
            <v xml:space="preserve">Haflinger </v>
          </cell>
        </row>
        <row r="11">
          <cell r="AC11" t="str">
            <v xml:space="preserve">Landais </v>
          </cell>
        </row>
        <row r="12">
          <cell r="AC12" t="str">
            <v xml:space="preserve">New Forest </v>
          </cell>
        </row>
        <row r="13">
          <cell r="AC13" t="str">
            <v xml:space="preserve">Poney Francais de Selle </v>
          </cell>
        </row>
        <row r="14">
          <cell r="AC14" t="str">
            <v xml:space="preserve">Pottok </v>
          </cell>
        </row>
        <row r="15">
          <cell r="AC15" t="str">
            <v xml:space="preserve">Shetland </v>
          </cell>
        </row>
        <row r="16">
          <cell r="AC16" t="str">
            <v xml:space="preserve">Welsh </v>
          </cell>
        </row>
      </sheetData>
      <sheetData sheetId="18" refreshError="1"/>
      <sheetData sheetId="19" refreshError="1"/>
      <sheetData sheetId="20" refreshError="1"/>
      <sheetData sheetId="21" refreshError="1"/>
      <sheetData sheetId="22" refreshError="1"/>
      <sheetData sheetId="23" refreshError="1"/>
      <sheetData sheetId="24">
        <row r="68">
          <cell r="AD68" t="str">
            <v>Belgique</v>
          </cell>
        </row>
        <row r="69">
          <cell r="AD69" t="str">
            <v>Wallonie</v>
          </cell>
        </row>
        <row r="70">
          <cell r="AD70" t="str">
            <v>Flandre</v>
          </cell>
        </row>
      </sheetData>
      <sheetData sheetId="25">
        <row r="1">
          <cell r="W1" t="str">
            <v>Matériel</v>
          </cell>
          <cell r="X1" t="str">
            <v>Divers</v>
          </cell>
          <cell r="Z1" t="str">
            <v>tracteurs</v>
          </cell>
          <cell r="AA1" t="str">
            <v>récolteuses haricot</v>
          </cell>
          <cell r="AB1" t="str">
            <v>récolteuses épinard</v>
          </cell>
          <cell r="AC1" t="str">
            <v>cultivateurs</v>
          </cell>
          <cell r="AD1" t="str">
            <v>épandeurs à fumier</v>
          </cell>
          <cell r="AE1" t="str">
            <v>charrues</v>
          </cell>
          <cell r="AF1" t="str">
            <v>tonnes à lisier</v>
          </cell>
          <cell r="AG1" t="str">
            <v>cover-crops</v>
          </cell>
          <cell r="AH1" t="str">
            <v>vibro-culteurs</v>
          </cell>
          <cell r="AI1" t="str">
            <v>semoirs</v>
          </cell>
          <cell r="AJ1" t="str">
            <v>semoirs directs</v>
          </cell>
          <cell r="AK1" t="str">
            <v>semoirs maïs/betteraves</v>
          </cell>
          <cell r="AL1" t="str">
            <v>planteuses PDT</v>
          </cell>
          <cell r="AM1" t="str">
            <v>planteuses à tabac</v>
          </cell>
          <cell r="AN1" t="str">
            <v>butteuses</v>
          </cell>
          <cell r="AO1" t="str">
            <v>épandeurs à engrais</v>
          </cell>
          <cell r="AP1" t="str">
            <v>pulvérisateurs</v>
          </cell>
          <cell r="AQ1" t="str">
            <v>pulvérisateurs automoteurs</v>
          </cell>
          <cell r="AR1" t="str">
            <v>pulvérisateurs arboricoles</v>
          </cell>
          <cell r="AS1" t="str">
            <v>moissonneuses batteuses</v>
          </cell>
          <cell r="AT1" t="str">
            <v>ensileuses</v>
          </cell>
          <cell r="AU1" t="str">
            <v>arracheuses betteraves</v>
          </cell>
          <cell r="AV1" t="str">
            <v>arracheuses PDT</v>
          </cell>
          <cell r="AW1" t="str">
            <v>arracheuses lin</v>
          </cell>
          <cell r="AX1" t="str">
            <v>retourneuses lin</v>
          </cell>
          <cell r="AY1" t="str">
            <v>presses balles carrées 500kg</v>
          </cell>
          <cell r="AZ1" t="str">
            <v>presses balles rondes 300kg</v>
          </cell>
          <cell r="BA1" t="str">
            <v>presses balles carrées 250kg</v>
          </cell>
          <cell r="BB1" t="str">
            <v>presses RB enrubanneuses</v>
          </cell>
          <cell r="BC1" t="str">
            <v>faucheuses</v>
          </cell>
          <cell r="BD1" t="str">
            <v>faucheuses automotrices</v>
          </cell>
          <cell r="BE1" t="str">
            <v>faneuses</v>
          </cell>
          <cell r="BF1" t="str">
            <v>herses</v>
          </cell>
          <cell r="BG1" t="str">
            <v>herses de prairie</v>
          </cell>
          <cell r="BH1" t="str">
            <v>fourches</v>
          </cell>
          <cell r="BI1" t="str">
            <v>chargeurs</v>
          </cell>
          <cell r="BJ1" t="str">
            <v>plateaux</v>
          </cell>
          <cell r="BK1" t="str">
            <v>bennes</v>
          </cell>
          <cell r="BL1" t="str">
            <v>désileuses</v>
          </cell>
          <cell r="BM1" t="str">
            <v>pailleuses</v>
          </cell>
          <cell r="BN1" t="str">
            <v>tonnes à eau</v>
          </cell>
          <cell r="BO1" t="str">
            <v>enrouleurs</v>
          </cell>
          <cell r="BP1" t="str">
            <v>enfonces pieux</v>
          </cell>
          <cell r="BQ1" t="str">
            <v>dérouleuses grillage</v>
          </cell>
          <cell r="BR1" t="str">
            <v>bétaillères</v>
          </cell>
          <cell r="BS1" t="str">
            <v>utilitaires</v>
          </cell>
          <cell r="BT1" t="str">
            <v>enrouleuses automotrices</v>
          </cell>
          <cell r="BU1" t="str">
            <v>broyeurs</v>
          </cell>
          <cell r="BV1" t="str">
            <v>broyeurs lourds</v>
          </cell>
          <cell r="BW1" t="str">
            <v>andaineurs</v>
          </cell>
          <cell r="BX1" t="str">
            <v>abatteuses</v>
          </cell>
          <cell r="BY1" t="str">
            <v>débusqueurs</v>
          </cell>
          <cell r="BZ1" t="str">
            <v>porteurs forestiers</v>
          </cell>
          <cell r="CA1" t="str">
            <v>cotton pickers</v>
          </cell>
          <cell r="CB1" t="str">
            <v>débroussailleuses à bras</v>
          </cell>
          <cell r="CC1" t="str">
            <v>bineuses</v>
          </cell>
          <cell r="CD1" t="str">
            <v>mélangeuses</v>
          </cell>
          <cell r="CE1" t="str">
            <v>mélangeuses automotrices</v>
          </cell>
          <cell r="CF1" t="str">
            <v>autochargeuses</v>
          </cell>
          <cell r="CG1" t="str">
            <v>déchaumeurs forestiers</v>
          </cell>
          <cell r="CH1" t="str">
            <v>semences/engrais vert</v>
          </cell>
          <cell r="CI1" t="str">
            <v>engrais</v>
          </cell>
          <cell r="CJ1" t="str">
            <v>traitements</v>
          </cell>
          <cell r="CK1" t="str">
            <v>balles de foin</v>
          </cell>
          <cell r="CL1" t="str">
            <v>balles de paille</v>
          </cell>
          <cell r="CM1" t="str">
            <v>balles de lin</v>
          </cell>
          <cell r="CN1" t="str">
            <v>bacs à eau</v>
          </cell>
          <cell r="CO1" t="str">
            <v>fil de fer barbelé</v>
          </cell>
          <cell r="CP1" t="str">
            <v>piquets de clôture</v>
          </cell>
          <cell r="CQ1" t="str">
            <v>palox</v>
          </cell>
          <cell r="CR1" t="str">
            <v>filets anti-grêle</v>
          </cell>
          <cell r="CS1" t="str">
            <v>arbres fruitiers/forêts</v>
          </cell>
          <cell r="CT1" t="str">
            <v>concentrés et minéraux</v>
          </cell>
          <cell r="CU1" t="str">
            <v>rateliers ovins</v>
          </cell>
          <cell r="CV1" t="str">
            <v>rateliers bovins</v>
          </cell>
          <cell r="CW1" t="str">
            <v>fraises rotatives</v>
          </cell>
          <cell r="CX1" t="str">
            <v>souleveuses lin</v>
          </cell>
          <cell r="CY1" t="str">
            <v>rouleaux</v>
          </cell>
          <cell r="CZ1" t="str">
            <v>remorques ensilage</v>
          </cell>
          <cell r="DA1" t="str">
            <v>pulvérisateurs maraîchers</v>
          </cell>
          <cell r="DB1" t="str">
            <v>planteuses maraîchage</v>
          </cell>
          <cell r="DC1" t="str">
            <v>semoirs maraîchers</v>
          </cell>
          <cell r="DD1" t="str">
            <v>récolteuses ail</v>
          </cell>
          <cell r="DE1" t="str">
            <v>récolteuses carotte</v>
          </cell>
          <cell r="DF1" t="str">
            <v>épandeurs à engrais maraîcher</v>
          </cell>
          <cell r="DG1" t="str">
            <v>récolteuses poireau</v>
          </cell>
          <cell r="DH1" t="str">
            <v>protections arbres</v>
          </cell>
        </row>
        <row r="2">
          <cell r="W2" t="str">
            <v>abatteuses</v>
          </cell>
          <cell r="X2" t="str">
            <v>arbres fruitiers/forêts</v>
          </cell>
          <cell r="Z2" t="str">
            <v>Claas Atles 926</v>
          </cell>
        </row>
        <row r="3">
          <cell r="W3" t="str">
            <v>andaineurs</v>
          </cell>
          <cell r="X3" t="str">
            <v>bacs à eau</v>
          </cell>
          <cell r="Z3" t="str">
            <v>Claas Ares 826</v>
          </cell>
        </row>
        <row r="4">
          <cell r="W4" t="str">
            <v>arracheuses betteraves</v>
          </cell>
          <cell r="X4" t="str">
            <v>balles de foin</v>
          </cell>
          <cell r="Z4" t="str">
            <v>Claas Ares 556</v>
          </cell>
        </row>
        <row r="5">
          <cell r="W5" t="str">
            <v>arracheuses PDT</v>
          </cell>
          <cell r="X5" t="str">
            <v>balles de paille</v>
          </cell>
          <cell r="Z5" t="str">
            <v>Claas Ares 656</v>
          </cell>
        </row>
        <row r="6">
          <cell r="W6" t="str">
            <v>arracheuses lin</v>
          </cell>
          <cell r="X6" t="str">
            <v>balles de lin</v>
          </cell>
          <cell r="Z6" t="str">
            <v>Claas Celtis 436</v>
          </cell>
        </row>
        <row r="7">
          <cell r="W7" t="str">
            <v>autochargeuses</v>
          </cell>
          <cell r="X7" t="str">
            <v>concentrés et minéraux</v>
          </cell>
          <cell r="Z7" t="str">
            <v>Claas Ares 557</v>
          </cell>
        </row>
        <row r="8">
          <cell r="W8" t="str">
            <v>bennes</v>
          </cell>
          <cell r="X8" t="str">
            <v>engrais</v>
          </cell>
          <cell r="Z8" t="str">
            <v>Claas Ares 697</v>
          </cell>
        </row>
        <row r="9">
          <cell r="W9" t="str">
            <v>bétaillères</v>
          </cell>
          <cell r="X9" t="str">
            <v>fil de fer barbelé</v>
          </cell>
          <cell r="Z9" t="str">
            <v>Claas Celtis 426</v>
          </cell>
        </row>
        <row r="10">
          <cell r="W10" t="str">
            <v>bineuses</v>
          </cell>
          <cell r="X10" t="str">
            <v>filets anti-grêle</v>
          </cell>
          <cell r="Z10" t="str">
            <v>Claas Xérion 3300</v>
          </cell>
        </row>
        <row r="11">
          <cell r="W11" t="str">
            <v>broyeurs</v>
          </cell>
          <cell r="X11" t="str">
            <v>palox</v>
          </cell>
          <cell r="Z11" t="str">
            <v>Claas Nectis 227</v>
          </cell>
        </row>
        <row r="12">
          <cell r="W12" t="str">
            <v>broyeurs lourds</v>
          </cell>
          <cell r="X12" t="str">
            <v>piquets de clôture</v>
          </cell>
          <cell r="Z12" t="str">
            <v>Claas Axion 810</v>
          </cell>
        </row>
        <row r="13">
          <cell r="W13" t="str">
            <v>butteuses</v>
          </cell>
          <cell r="X13" t="str">
            <v>protections arbres</v>
          </cell>
          <cell r="Z13" t="str">
            <v>Claas Axion 830</v>
          </cell>
        </row>
        <row r="14">
          <cell r="W14" t="str">
            <v>chargeurs</v>
          </cell>
          <cell r="X14" t="str">
            <v>rateliers bovins</v>
          </cell>
          <cell r="Z14" t="str">
            <v>Claas Arion 610</v>
          </cell>
        </row>
        <row r="15">
          <cell r="W15" t="str">
            <v>charrues</v>
          </cell>
          <cell r="X15" t="str">
            <v>rateliers ovins</v>
          </cell>
          <cell r="Z15" t="str">
            <v>Claas Xérion 3800 TRAC</v>
          </cell>
        </row>
        <row r="16">
          <cell r="W16" t="str">
            <v>cotton pickers</v>
          </cell>
          <cell r="X16" t="str">
            <v>semences/engrais vert</v>
          </cell>
          <cell r="Z16" t="str">
            <v>Claas 180-94 TZ</v>
          </cell>
        </row>
        <row r="17">
          <cell r="W17" t="str">
            <v>cover-crops</v>
          </cell>
          <cell r="X17" t="str">
            <v>traitements</v>
          </cell>
          <cell r="Z17" t="str">
            <v>Claas Axos 330</v>
          </cell>
        </row>
        <row r="18">
          <cell r="W18" t="str">
            <v>cultivateurs</v>
          </cell>
          <cell r="Z18" t="str">
            <v>Claas Axos 310</v>
          </cell>
        </row>
        <row r="19">
          <cell r="W19" t="str">
            <v>débroussailleuses à bras</v>
          </cell>
          <cell r="Z19" t="str">
            <v>Claas Nectis 247</v>
          </cell>
        </row>
        <row r="20">
          <cell r="W20" t="str">
            <v>débusqueurs</v>
          </cell>
          <cell r="Z20" t="str">
            <v>Claas Arion 630 C</v>
          </cell>
        </row>
        <row r="21">
          <cell r="W21" t="str">
            <v>déchaumeurs forestiers</v>
          </cell>
          <cell r="Z21" t="str">
            <v>Claas Axion 850</v>
          </cell>
        </row>
        <row r="22">
          <cell r="W22" t="str">
            <v>dérouleuses grillage</v>
          </cell>
          <cell r="Z22" t="str">
            <v>Claas Xerion 3300 Trac VC</v>
          </cell>
        </row>
        <row r="23">
          <cell r="W23" t="str">
            <v>désileuses</v>
          </cell>
          <cell r="Z23" t="str">
            <v>Claas Nexos 210 VE</v>
          </cell>
        </row>
        <row r="24">
          <cell r="W24" t="str">
            <v>enfonces pieux</v>
          </cell>
          <cell r="Z24" t="str">
            <v>Claas Elios 230</v>
          </cell>
        </row>
        <row r="25">
          <cell r="W25" t="str">
            <v>enrouleurs</v>
          </cell>
          <cell r="Z25" t="str">
            <v>Claas Arion 420</v>
          </cell>
        </row>
        <row r="26">
          <cell r="W26" t="str">
            <v>enrouleuses automotrices</v>
          </cell>
          <cell r="Z26" t="str">
            <v>Claas Challenger 35</v>
          </cell>
        </row>
        <row r="27">
          <cell r="W27" t="str">
            <v>ensileuses</v>
          </cell>
          <cell r="Z27" t="str">
            <v>Claas Xerion 5000</v>
          </cell>
        </row>
        <row r="28">
          <cell r="W28" t="str">
            <v>épandeurs à engrais</v>
          </cell>
          <cell r="Z28" t="str">
            <v>Deutz-Fahr Agroton 155</v>
          </cell>
        </row>
        <row r="29">
          <cell r="W29" t="str">
            <v>épandeurs à engrais maraîcher</v>
          </cell>
          <cell r="Z29" t="str">
            <v>Deutz-Fahr Agroton 210</v>
          </cell>
        </row>
        <row r="30">
          <cell r="W30" t="str">
            <v>épandeurs à fumier</v>
          </cell>
          <cell r="Z30" t="str">
            <v>Deutz-Fahr Agroton 115</v>
          </cell>
        </row>
        <row r="31">
          <cell r="W31" t="str">
            <v>faneuses</v>
          </cell>
          <cell r="Z31" t="str">
            <v>Deutz-Fahr Agrolux 80</v>
          </cell>
        </row>
        <row r="32">
          <cell r="W32" t="str">
            <v>faucheuses</v>
          </cell>
          <cell r="Z32" t="str">
            <v>Deutz-Fahr Agroplus 75</v>
          </cell>
        </row>
        <row r="33">
          <cell r="W33" t="str">
            <v>faucheuses automotrices</v>
          </cell>
          <cell r="Z33" t="str">
            <v>Deutz-Fahr Agroton 130</v>
          </cell>
        </row>
        <row r="34">
          <cell r="W34" t="str">
            <v>fourches</v>
          </cell>
          <cell r="Z34" t="str">
            <v>Deutz-Fahr Agroton 180.7</v>
          </cell>
        </row>
        <row r="35">
          <cell r="W35" t="str">
            <v>fraises rotatives</v>
          </cell>
          <cell r="Z35" t="str">
            <v>Deutz-Fahr Agroton 265</v>
          </cell>
        </row>
        <row r="36">
          <cell r="W36" t="str">
            <v>herses</v>
          </cell>
          <cell r="Z36" t="str">
            <v>Deutz-Fahr Agroton L720</v>
          </cell>
        </row>
        <row r="37">
          <cell r="W37" t="str">
            <v>herses de prairie</v>
          </cell>
          <cell r="Z37" t="str">
            <v>Deutz-Fahr Agrolux 60F</v>
          </cell>
        </row>
        <row r="38">
          <cell r="W38" t="str">
            <v>mélangeuses</v>
          </cell>
          <cell r="Z38" t="str">
            <v>Deutz-Fahr DX 230</v>
          </cell>
        </row>
        <row r="39">
          <cell r="W39" t="str">
            <v>mélangeuses automotrices</v>
          </cell>
          <cell r="Z39" t="str">
            <v>Deutz-Fahr Agroton M 610</v>
          </cell>
        </row>
        <row r="40">
          <cell r="W40" t="str">
            <v>moissonneuses batteuses</v>
          </cell>
          <cell r="Z40" t="str">
            <v>Deutz-Fahr Agroton TTV 620</v>
          </cell>
        </row>
        <row r="41">
          <cell r="W41" t="str">
            <v>pailleuses</v>
          </cell>
          <cell r="Z41" t="str">
            <v>Deutz-Fahr Agroton X 720</v>
          </cell>
        </row>
        <row r="42">
          <cell r="W42" t="str">
            <v>planteuses maraîchage</v>
          </cell>
          <cell r="Z42" t="str">
            <v>Deutz-Fahr Agrostar 6-81</v>
          </cell>
        </row>
        <row r="43">
          <cell r="W43" t="str">
            <v>planteuses PDT</v>
          </cell>
          <cell r="Z43" t="str">
            <v>Deutz-Fahr Agroplus F 75</v>
          </cell>
        </row>
        <row r="44">
          <cell r="W44" t="str">
            <v>planteuses à tabac</v>
          </cell>
          <cell r="Z44" t="str">
            <v>Deutz-Fahr Agrofarm 85</v>
          </cell>
        </row>
        <row r="45">
          <cell r="W45" t="str">
            <v>plateaux</v>
          </cell>
          <cell r="Z45" t="str">
            <v>Deutz-Fahr Agrotron K 430</v>
          </cell>
        </row>
        <row r="46">
          <cell r="W46" t="str">
            <v>porteurs forestiers</v>
          </cell>
          <cell r="Z46" t="str">
            <v>Deutz-Fahr Agrokid 230</v>
          </cell>
        </row>
        <row r="47">
          <cell r="W47" t="str">
            <v>presses balles carrées 500kg</v>
          </cell>
          <cell r="Z47" t="str">
            <v>Deutz-Fahr 6807</v>
          </cell>
        </row>
        <row r="48">
          <cell r="W48" t="str">
            <v>presses balles rondes 300kg</v>
          </cell>
          <cell r="Z48" t="str">
            <v>Deutz-Fahr Agroplus F320</v>
          </cell>
        </row>
        <row r="49">
          <cell r="W49" t="str">
            <v>presses balles carrées 250kg</v>
          </cell>
          <cell r="Z49" t="str">
            <v>Fendt Favorit 515C</v>
          </cell>
        </row>
        <row r="50">
          <cell r="W50" t="str">
            <v>presses RB enrubanneuses</v>
          </cell>
          <cell r="Z50" t="str">
            <v>Fendt 208 S</v>
          </cell>
        </row>
        <row r="51">
          <cell r="W51" t="str">
            <v>pulvérisateurs</v>
          </cell>
          <cell r="Z51" t="str">
            <v>Fendt 308 CI</v>
          </cell>
        </row>
        <row r="52">
          <cell r="W52" t="str">
            <v>pulvérisateurs automoteurs</v>
          </cell>
          <cell r="Z52" t="str">
            <v>Fendt 309 CI</v>
          </cell>
        </row>
        <row r="53">
          <cell r="W53" t="str">
            <v>pulvérisateurs arboricoles</v>
          </cell>
          <cell r="Z53" t="str">
            <v>Fendt 716 Vario</v>
          </cell>
        </row>
        <row r="54">
          <cell r="W54" t="str">
            <v>pulvérisateurs maraîchers</v>
          </cell>
          <cell r="Z54" t="str">
            <v>Fendt 712 Vario</v>
          </cell>
        </row>
        <row r="55">
          <cell r="W55" t="str">
            <v>récolteuses ail</v>
          </cell>
          <cell r="Z55" t="str">
            <v>Fendt 818 Vario</v>
          </cell>
        </row>
        <row r="56">
          <cell r="W56" t="str">
            <v>récolteuses carotte</v>
          </cell>
          <cell r="Z56" t="str">
            <v>Fendt 920 Vario ECE R 24</v>
          </cell>
        </row>
        <row r="57">
          <cell r="W57" t="str">
            <v>récolteuses haricot</v>
          </cell>
          <cell r="Z57" t="str">
            <v>Fendt 924 Vario</v>
          </cell>
        </row>
        <row r="58">
          <cell r="W58" t="str">
            <v>récolteuses épinard</v>
          </cell>
          <cell r="Z58" t="str">
            <v>Fendt 930 Vario</v>
          </cell>
        </row>
        <row r="59">
          <cell r="W59" t="str">
            <v>récolteuses poireau</v>
          </cell>
          <cell r="Z59" t="str">
            <v>Fendt 817 Vario</v>
          </cell>
        </row>
        <row r="60">
          <cell r="W60" t="str">
            <v>remorques ensilage</v>
          </cell>
          <cell r="Z60" t="str">
            <v>Fendt 714 Vario</v>
          </cell>
        </row>
        <row r="61">
          <cell r="W61" t="str">
            <v>retourneuses lin</v>
          </cell>
          <cell r="Z61" t="str">
            <v>Fendt 411 Vario</v>
          </cell>
        </row>
        <row r="62">
          <cell r="W62" t="str">
            <v>rouleaux</v>
          </cell>
          <cell r="Z62" t="str">
            <v>Fendt 413 Vario</v>
          </cell>
        </row>
        <row r="63">
          <cell r="W63" t="str">
            <v>semoirs</v>
          </cell>
          <cell r="Z63" t="str">
            <v>Fendt 207 F/FA</v>
          </cell>
        </row>
        <row r="64">
          <cell r="W64" t="str">
            <v>semoirs directs</v>
          </cell>
          <cell r="Z64" t="str">
            <v>Fendt 936 Vario</v>
          </cell>
        </row>
        <row r="65">
          <cell r="W65" t="str">
            <v>semoirs maïs/betteraves</v>
          </cell>
          <cell r="Z65" t="str">
            <v>Fendt 936 Vario Black</v>
          </cell>
        </row>
        <row r="66">
          <cell r="W66" t="str">
            <v>semoirs maraîchers</v>
          </cell>
          <cell r="Z66" t="str">
            <v>Fendt 820 Vario</v>
          </cell>
        </row>
        <row r="67">
          <cell r="W67" t="str">
            <v>souleveuses lin</v>
          </cell>
          <cell r="Z67" t="str">
            <v>Fendt Xylon 524</v>
          </cell>
        </row>
        <row r="68">
          <cell r="W68" t="str">
            <v>tonnes à eau</v>
          </cell>
          <cell r="Z68" t="str">
            <v>Fendt 311 Vario</v>
          </cell>
        </row>
        <row r="69">
          <cell r="W69" t="str">
            <v>tonnes à lisier</v>
          </cell>
          <cell r="Z69" t="str">
            <v>Fendt 309 LS</v>
          </cell>
        </row>
        <row r="70">
          <cell r="W70" t="str">
            <v>tracteurs</v>
          </cell>
          <cell r="Z70" t="str">
            <v>Fendt 309 Vario</v>
          </cell>
        </row>
        <row r="71">
          <cell r="W71" t="str">
            <v>utilitaires</v>
          </cell>
          <cell r="Z71" t="str">
            <v>Fendt 922 Vario</v>
          </cell>
        </row>
        <row r="72">
          <cell r="W72" t="str">
            <v>vibro-culteurs</v>
          </cell>
          <cell r="Z72" t="str">
            <v>Fendt 311 Farmer LSA</v>
          </cell>
        </row>
        <row r="73">
          <cell r="Z73" t="str">
            <v>Fendt Farmer 108 LS</v>
          </cell>
        </row>
        <row r="74">
          <cell r="Z74" t="str">
            <v>Fiatagri 180-90 DT</v>
          </cell>
        </row>
        <row r="75">
          <cell r="Z75" t="str">
            <v>JCB 360 Turbo Powershuttle</v>
          </cell>
        </row>
        <row r="76">
          <cell r="Z76" t="str">
            <v>JCB 7170</v>
          </cell>
        </row>
        <row r="77">
          <cell r="Z77" t="str">
            <v>JCB 7230</v>
          </cell>
        </row>
        <row r="78">
          <cell r="Z78" t="str">
            <v>JCB Fastrac 3220</v>
          </cell>
        </row>
        <row r="79">
          <cell r="Z79" t="str">
            <v>JCB Fastrac 2135</v>
          </cell>
        </row>
        <row r="80">
          <cell r="Z80" t="str">
            <v>JCB Fastrac 8250</v>
          </cell>
        </row>
        <row r="81">
          <cell r="Z81" t="str">
            <v>JCB Fastrac 2140</v>
          </cell>
        </row>
        <row r="82">
          <cell r="Z82" t="str">
            <v>JCB Fastrac 3185</v>
          </cell>
        </row>
        <row r="83">
          <cell r="Z83" t="str">
            <v>JCB 2155</v>
          </cell>
        </row>
        <row r="84">
          <cell r="Z84" t="str">
            <v>JCB 2170</v>
          </cell>
        </row>
        <row r="85">
          <cell r="Z85" t="str">
            <v>John Deere 2850</v>
          </cell>
        </row>
        <row r="86">
          <cell r="Z86" t="str">
            <v>John Deere 6420</v>
          </cell>
        </row>
        <row r="87">
          <cell r="Z87" t="str">
            <v>John Deere 8320</v>
          </cell>
        </row>
        <row r="88">
          <cell r="Z88" t="str">
            <v>John Deere 7720</v>
          </cell>
        </row>
        <row r="89">
          <cell r="Z89" t="str">
            <v>John Deere 6520</v>
          </cell>
        </row>
        <row r="90">
          <cell r="Z90" t="str">
            <v>John Deere 6215</v>
          </cell>
        </row>
        <row r="91">
          <cell r="Z91" t="str">
            <v>John Deere 7810</v>
          </cell>
        </row>
        <row r="92">
          <cell r="Z92" t="str">
            <v>John Deere 5820</v>
          </cell>
        </row>
        <row r="93">
          <cell r="Z93" t="str">
            <v>John Deere 5820 ILS siège actif</v>
          </cell>
        </row>
        <row r="94">
          <cell r="Z94" t="str">
            <v>John Deere 6620 SE</v>
          </cell>
        </row>
        <row r="95">
          <cell r="Z95" t="str">
            <v>John Deere 6920</v>
          </cell>
        </row>
        <row r="96">
          <cell r="Z96" t="str">
            <v>John Deere 5315 F &amp; V</v>
          </cell>
        </row>
        <row r="97">
          <cell r="Z97" t="str">
            <v>John Deere 9520 scraper spécial</v>
          </cell>
        </row>
        <row r="98">
          <cell r="Z98" t="str">
            <v>John Deere 7920</v>
          </cell>
        </row>
        <row r="99">
          <cell r="Z99" t="str">
            <v>John Deere 6630 Premium</v>
          </cell>
        </row>
        <row r="100">
          <cell r="Z100" t="str">
            <v>John Deere 7430 Premium</v>
          </cell>
        </row>
        <row r="101">
          <cell r="Z101" t="str">
            <v>John Deere 7930</v>
          </cell>
        </row>
        <row r="102">
          <cell r="Z102" t="str">
            <v>John Deere 8530</v>
          </cell>
        </row>
        <row r="103">
          <cell r="Z103" t="str">
            <v>John Deere 9530 scraper</v>
          </cell>
        </row>
        <row r="104">
          <cell r="Z104" t="str">
            <v>John Deere 2140</v>
          </cell>
        </row>
        <row r="105">
          <cell r="Z105" t="str">
            <v>John Deere 4050A</v>
          </cell>
        </row>
        <row r="106">
          <cell r="Z106" t="str">
            <v>John Deere 8230T</v>
          </cell>
        </row>
        <row r="107">
          <cell r="Z107" t="str">
            <v>John Deere 5100R</v>
          </cell>
        </row>
        <row r="108">
          <cell r="Z108" t="str">
            <v>John Deere 76 F</v>
          </cell>
        </row>
        <row r="109">
          <cell r="Z109" t="str">
            <v>John Deere 6230 Premium</v>
          </cell>
        </row>
        <row r="110">
          <cell r="Z110" t="str">
            <v>John Deere 6530 Premium</v>
          </cell>
        </row>
        <row r="111">
          <cell r="Z111" t="str">
            <v>John Deere 6930 Premium</v>
          </cell>
        </row>
        <row r="112">
          <cell r="Z112" t="str">
            <v>John Deere 9330</v>
          </cell>
        </row>
        <row r="113">
          <cell r="Z113" t="str">
            <v>John Deere 5065E</v>
          </cell>
        </row>
        <row r="114">
          <cell r="Z114" t="str">
            <v>John Deere 5090M</v>
          </cell>
        </row>
        <row r="115">
          <cell r="Z115" t="str">
            <v>John Deere 6534</v>
          </cell>
        </row>
        <row r="116">
          <cell r="Z116" t="str">
            <v>John Deere 6830</v>
          </cell>
        </row>
        <row r="117">
          <cell r="Z117" t="str">
            <v>John Deere 7530 E Premium</v>
          </cell>
        </row>
        <row r="118">
          <cell r="Z118" t="str">
            <v>John Deere 8270R</v>
          </cell>
        </row>
        <row r="119">
          <cell r="Z119" t="str">
            <v>John Deere 8320R</v>
          </cell>
        </row>
        <row r="120">
          <cell r="Z120" t="str">
            <v>John Deere 6115D</v>
          </cell>
        </row>
        <row r="121">
          <cell r="Z121" t="str">
            <v>John Deere 8310R</v>
          </cell>
        </row>
        <row r="122">
          <cell r="Z122" t="str">
            <v>Landini Alpine 75</v>
          </cell>
        </row>
        <row r="123">
          <cell r="Z123" t="str">
            <v>Landini Mythos 110</v>
          </cell>
        </row>
        <row r="124">
          <cell r="Z124" t="str">
            <v>Landini Powermaster 180</v>
          </cell>
        </row>
        <row r="125">
          <cell r="Z125" t="str">
            <v>Landini Powerfarm 95</v>
          </cell>
        </row>
        <row r="126">
          <cell r="Z126" t="str">
            <v>Landini Powermax 165</v>
          </cell>
        </row>
        <row r="127">
          <cell r="Z127" t="str">
            <v>Landini Powerful 260</v>
          </cell>
        </row>
        <row r="128">
          <cell r="Z128" t="str">
            <v>Landini Powerful 280</v>
          </cell>
        </row>
        <row r="129">
          <cell r="Z129" t="str">
            <v>Landini Rex 75 F</v>
          </cell>
        </row>
        <row r="130">
          <cell r="Z130" t="str">
            <v>Landini Trekker 60 Compact</v>
          </cell>
        </row>
        <row r="131">
          <cell r="Z131" t="str">
            <v>Landini Landpower 135</v>
          </cell>
        </row>
        <row r="132">
          <cell r="Z132" t="str">
            <v>Landini Landpower 145</v>
          </cell>
        </row>
        <row r="133">
          <cell r="Z133" t="str">
            <v>Landini Rex 80</v>
          </cell>
        </row>
        <row r="134">
          <cell r="Z134" t="str">
            <v>Landini Alpine 80</v>
          </cell>
        </row>
        <row r="135">
          <cell r="Z135" t="str">
            <v>Landini Trekker 90</v>
          </cell>
        </row>
        <row r="136">
          <cell r="Z136" t="str">
            <v>Landini Powerfarm 100</v>
          </cell>
        </row>
        <row r="137">
          <cell r="Z137" t="str">
            <v>Landini Powermondial 115</v>
          </cell>
        </row>
        <row r="138">
          <cell r="Z138" t="str">
            <v>Landini Powermaster 190</v>
          </cell>
        </row>
        <row r="139">
          <cell r="Z139" t="str">
            <v>Landini Série 7</v>
          </cell>
        </row>
        <row r="140">
          <cell r="Z140" t="str">
            <v>Landini Série 5 110-H</v>
          </cell>
        </row>
        <row r="141">
          <cell r="Z141" t="str">
            <v>Landini Landpower 165</v>
          </cell>
        </row>
        <row r="142">
          <cell r="Z142" t="str">
            <v>Massey Fergusson MF 2435</v>
          </cell>
        </row>
        <row r="143">
          <cell r="Z143" t="str">
            <v>Massey Fergusson MF 3425</v>
          </cell>
        </row>
        <row r="144">
          <cell r="Z144" t="str">
            <v>Massey Fergusson MF 5445</v>
          </cell>
        </row>
        <row r="145">
          <cell r="Z145" t="str">
            <v>Massey Fergusson MF 5455</v>
          </cell>
        </row>
        <row r="146">
          <cell r="Z146" t="str">
            <v>Massey Fergusson MF 6265</v>
          </cell>
        </row>
        <row r="147">
          <cell r="Z147" t="str">
            <v>Massey Fergusson MF 6485</v>
          </cell>
        </row>
        <row r="148">
          <cell r="Z148" t="str">
            <v>Massey Fergusson MF 7495</v>
          </cell>
        </row>
        <row r="149">
          <cell r="Z149" t="str">
            <v>Massey Fergusson MF 8460</v>
          </cell>
        </row>
        <row r="150">
          <cell r="Z150" t="str">
            <v>Massey Fergusson MF 8470</v>
          </cell>
        </row>
        <row r="151">
          <cell r="Z151" t="str">
            <v>Massey Fergusson 8480</v>
          </cell>
        </row>
        <row r="152">
          <cell r="Z152" t="str">
            <v>Massey Fergusson MF 6460</v>
          </cell>
        </row>
        <row r="153">
          <cell r="Z153" t="str">
            <v>Massey Fergusson MF 6470</v>
          </cell>
        </row>
        <row r="154">
          <cell r="Z154" t="str">
            <v>Massey Fergusson MF 6497</v>
          </cell>
        </row>
        <row r="155">
          <cell r="Z155" t="str">
            <v>Massey Fergusson MF 6495</v>
          </cell>
        </row>
        <row r="156">
          <cell r="Z156" t="str">
            <v>Massey Fergusson MF 7490</v>
          </cell>
        </row>
        <row r="157">
          <cell r="Z157" t="str">
            <v>Massey Fergusson MF 3625 F</v>
          </cell>
        </row>
        <row r="158">
          <cell r="Z158" t="str">
            <v>Massey Fergusson MF 4455</v>
          </cell>
        </row>
        <row r="159">
          <cell r="Z159" t="str">
            <v>Massey Fergusson MF 5460 SA</v>
          </cell>
        </row>
        <row r="160">
          <cell r="Z160" t="str">
            <v>Massey Fergusson 8690</v>
          </cell>
        </row>
        <row r="161">
          <cell r="Z161" t="str">
            <v>Massey Fergusson MF 3625</v>
          </cell>
        </row>
        <row r="162">
          <cell r="Z162" t="str">
            <v>Massey Fergusson MF 6460</v>
          </cell>
        </row>
        <row r="163">
          <cell r="Z163" t="str">
            <v>Massey Fergusson MF 3655</v>
          </cell>
        </row>
        <row r="164">
          <cell r="Z164" t="str">
            <v>Massey Fergusson MF 6480</v>
          </cell>
        </row>
        <row r="165">
          <cell r="Z165" t="str">
            <v>Massey Fergusson MF 6490</v>
          </cell>
        </row>
        <row r="166">
          <cell r="Z166" t="str">
            <v>Massey Ferguson MF 4435</v>
          </cell>
        </row>
        <row r="167">
          <cell r="Z167" t="str">
            <v>Massey Ferguson MF 8650</v>
          </cell>
        </row>
        <row r="168">
          <cell r="Z168" t="str">
            <v>Massey Ferguson MF 8660</v>
          </cell>
        </row>
        <row r="169">
          <cell r="Z169" t="str">
            <v>Massey Ferguson MF 8670</v>
          </cell>
        </row>
        <row r="170">
          <cell r="Z170" t="str">
            <v>Massey Ferguson 3680</v>
          </cell>
        </row>
        <row r="171">
          <cell r="Z171" t="str">
            <v>Massey Ferguson MF 6499</v>
          </cell>
        </row>
        <row r="172">
          <cell r="Z172" t="str">
            <v>Massey Ferguson 3505</v>
          </cell>
        </row>
        <row r="173">
          <cell r="Z173" t="str">
            <v>McCormick MC 115</v>
          </cell>
        </row>
        <row r="174">
          <cell r="Z174" t="str">
            <v>McCormick CX 85</v>
          </cell>
        </row>
        <row r="175">
          <cell r="Z175" t="str">
            <v>McCormick XTX 185</v>
          </cell>
        </row>
        <row r="176">
          <cell r="Z176" t="str">
            <v>McCormick CX 105 (Limited Edition)</v>
          </cell>
        </row>
        <row r="177">
          <cell r="Z177" t="str">
            <v>McCormick TTX 230</v>
          </cell>
        </row>
        <row r="178">
          <cell r="Z178" t="str">
            <v>McCormick C75 max</v>
          </cell>
        </row>
        <row r="179">
          <cell r="Z179" t="str">
            <v>McCormick MTX 150</v>
          </cell>
        </row>
        <row r="180">
          <cell r="Z180" t="str">
            <v>McCormick ZTX 280</v>
          </cell>
        </row>
        <row r="181">
          <cell r="Z181" t="str">
            <v>McCormick XTX 215</v>
          </cell>
        </row>
        <row r="182">
          <cell r="Z182" t="str">
            <v>McCormick ZTX 230</v>
          </cell>
        </row>
        <row r="183">
          <cell r="Z183" t="str">
            <v>McCormick MC 135 Power6</v>
          </cell>
        </row>
        <row r="184">
          <cell r="Z184" t="str">
            <v>McCormick GM 55</v>
          </cell>
        </row>
        <row r="185">
          <cell r="Z185" t="str">
            <v>McCormick C100 Max</v>
          </cell>
        </row>
        <row r="186">
          <cell r="Z186" t="str">
            <v>McCormick MC 110</v>
          </cell>
        </row>
        <row r="187">
          <cell r="Z187" t="str">
            <v>New Holland TN75DA</v>
          </cell>
        </row>
        <row r="188">
          <cell r="Z188" t="str">
            <v>New Holland T8040</v>
          </cell>
        </row>
        <row r="189">
          <cell r="Z189" t="str">
            <v>New Holland TJ500</v>
          </cell>
        </row>
        <row r="190">
          <cell r="Z190" t="str">
            <v>New Holland TL100A</v>
          </cell>
        </row>
        <row r="191">
          <cell r="Z191" t="str">
            <v>New Holland TM140</v>
          </cell>
        </row>
        <row r="192">
          <cell r="Z192" t="str">
            <v>New Holland T7540</v>
          </cell>
        </row>
        <row r="193">
          <cell r="Z193" t="str">
            <v>New Holland T7060</v>
          </cell>
        </row>
        <row r="194">
          <cell r="Z194" t="str">
            <v>New Holland T5040</v>
          </cell>
        </row>
        <row r="195">
          <cell r="Z195" t="str">
            <v>New Holland T6050 Range Command</v>
          </cell>
        </row>
        <row r="196">
          <cell r="Z196" t="str">
            <v>New Holland T9020</v>
          </cell>
        </row>
        <row r="197">
          <cell r="Z197" t="str">
            <v>New Holland T4030V</v>
          </cell>
        </row>
        <row r="198">
          <cell r="Z198" t="str">
            <v>New Holland T6010 delta</v>
          </cell>
        </row>
        <row r="199">
          <cell r="Z199" t="str">
            <v>New Holland T6060 elite</v>
          </cell>
        </row>
        <row r="200">
          <cell r="Z200" t="str">
            <v>New Holland T7070 Auto Command Blue Power</v>
          </cell>
        </row>
        <row r="201">
          <cell r="Z201" t="str">
            <v>New Holland Diamond 270</v>
          </cell>
        </row>
        <row r="202">
          <cell r="Z202" t="str">
            <v>New Holland T9040</v>
          </cell>
        </row>
        <row r="203">
          <cell r="Z203" t="str">
            <v>New Holland 3010</v>
          </cell>
        </row>
        <row r="204">
          <cell r="Z204" t="str">
            <v>New Holland TD5010</v>
          </cell>
        </row>
        <row r="205">
          <cell r="Z205" t="str">
            <v>New Holland T6010 Plus</v>
          </cell>
        </row>
        <row r="206">
          <cell r="Z206" t="str">
            <v>New Holland T8030</v>
          </cell>
        </row>
        <row r="207">
          <cell r="Z207" t="str">
            <v>Renault ARES 710 RZ</v>
          </cell>
        </row>
        <row r="208">
          <cell r="Z208" t="str">
            <v>Renault Atlès 925</v>
          </cell>
        </row>
        <row r="209">
          <cell r="Z209" t="str">
            <v>Same Argon F Classic 70</v>
          </cell>
        </row>
        <row r="210">
          <cell r="Z210" t="str">
            <v>Same Frutetto 2 75</v>
          </cell>
        </row>
        <row r="211">
          <cell r="Z211" t="str">
            <v>Same Explorer 85</v>
          </cell>
        </row>
        <row r="212">
          <cell r="Z212" t="str">
            <v>Same Explorer3 100</v>
          </cell>
        </row>
        <row r="213">
          <cell r="Z213" t="str">
            <v>Same Silver 115</v>
          </cell>
        </row>
        <row r="214">
          <cell r="Z214" t="str">
            <v>Same Iron 175</v>
          </cell>
        </row>
        <row r="215">
          <cell r="Z215" t="str">
            <v>Same Iron 210</v>
          </cell>
        </row>
        <row r="216">
          <cell r="Z216" t="str">
            <v>Same Diamond 215</v>
          </cell>
        </row>
        <row r="217">
          <cell r="Z217" t="str">
            <v>Same Diamond 230</v>
          </cell>
        </row>
        <row r="218">
          <cell r="Z218" t="str">
            <v>Same Diamond 265</v>
          </cell>
        </row>
        <row r="219">
          <cell r="Z219" t="str">
            <v>Same Diamond 270</v>
          </cell>
        </row>
        <row r="220">
          <cell r="Z220" t="str">
            <v>Same Silver 130</v>
          </cell>
        </row>
        <row r="221">
          <cell r="Z221" t="str">
            <v>Same Iron 150</v>
          </cell>
        </row>
        <row r="222">
          <cell r="Z222" t="str">
            <v>Same Krypton V</v>
          </cell>
        </row>
        <row r="223">
          <cell r="Z223" t="str">
            <v>Same Dorado S 100</v>
          </cell>
        </row>
        <row r="224">
          <cell r="Z224" t="str">
            <v>Same Tiger 70</v>
          </cell>
        </row>
        <row r="225">
          <cell r="Z225" t="str">
            <v>Same Explorer 85 TB</v>
          </cell>
        </row>
        <row r="226">
          <cell r="Z226" t="str">
            <v>Same Frutteto 3 S</v>
          </cell>
        </row>
        <row r="227">
          <cell r="Z227" t="str">
            <v>Same Iron 115</v>
          </cell>
        </row>
        <row r="228">
          <cell r="Z228" t="str">
            <v>Same Iron3</v>
          </cell>
        </row>
        <row r="229">
          <cell r="Z229" t="str">
            <v>Same Laser 100</v>
          </cell>
        </row>
        <row r="230">
          <cell r="Z230" t="str">
            <v>Same Solaris 55</v>
          </cell>
        </row>
        <row r="231">
          <cell r="Z231" t="str">
            <v>Same Dorado 86</v>
          </cell>
        </row>
        <row r="232">
          <cell r="Z232" t="str">
            <v>Same Silver3 110</v>
          </cell>
        </row>
        <row r="233">
          <cell r="Z233" t="str">
            <v>Same Iron 110</v>
          </cell>
        </row>
        <row r="234">
          <cell r="Z234" t="str">
            <v>Same Iron 140</v>
          </cell>
        </row>
        <row r="235">
          <cell r="Z235" t="str">
            <v>Valtra M 120</v>
          </cell>
        </row>
        <row r="236">
          <cell r="Z236" t="str">
            <v>Valtra A 85</v>
          </cell>
        </row>
        <row r="237">
          <cell r="Z237" t="str">
            <v>Valtra S 240</v>
          </cell>
        </row>
        <row r="238">
          <cell r="Z238" t="str">
            <v>Valtra T180</v>
          </cell>
        </row>
        <row r="239">
          <cell r="Z239" t="str">
            <v>Valtra C150</v>
          </cell>
        </row>
        <row r="240">
          <cell r="Z240" t="str">
            <v>Valtra 3500 C</v>
          </cell>
        </row>
        <row r="241">
          <cell r="Z241" t="str">
            <v>Valtra S 280</v>
          </cell>
        </row>
        <row r="242">
          <cell r="Z242" t="str">
            <v>Valtra 3400 F</v>
          </cell>
        </row>
        <row r="243">
          <cell r="Z243" t="str">
            <v>Valtra N 111e Hitech</v>
          </cell>
        </row>
        <row r="244">
          <cell r="Z244" t="str">
            <v>Valtra N 141 Hitech</v>
          </cell>
        </row>
        <row r="245">
          <cell r="Z245" t="str">
            <v>Valtra T 171 Advance</v>
          </cell>
        </row>
        <row r="246">
          <cell r="Z246" t="str">
            <v>Valtra T 191 Advance</v>
          </cell>
        </row>
        <row r="247">
          <cell r="Z247" t="str">
            <v>Valtra S322</v>
          </cell>
        </row>
        <row r="248">
          <cell r="Z248" t="str">
            <v>Valtra Hitech 6550</v>
          </cell>
        </row>
        <row r="249">
          <cell r="Z249" t="str">
            <v>Valtra S 292</v>
          </cell>
        </row>
        <row r="250">
          <cell r="Z250" t="str">
            <v>Valtra 8450</v>
          </cell>
        </row>
        <row r="251">
          <cell r="Z251" t="str">
            <v>Valtra A82</v>
          </cell>
        </row>
        <row r="252">
          <cell r="Z252" t="str">
            <v>Valtra N 92 Hitech</v>
          </cell>
        </row>
        <row r="253">
          <cell r="Z253" t="str">
            <v>Valtra T 202 Versu</v>
          </cell>
        </row>
        <row r="254">
          <cell r="Z254" t="str">
            <v>Valtra 655</v>
          </cell>
        </row>
        <row r="255">
          <cell r="Z255" t="str">
            <v>Zetor Proxima Cabrio 6441</v>
          </cell>
        </row>
        <row r="256">
          <cell r="Z256" t="str">
            <v>Zetor Proxima 8441</v>
          </cell>
        </row>
        <row r="257">
          <cell r="Z257" t="str">
            <v>Zetor Proxima Forterra 11441</v>
          </cell>
        </row>
        <row r="258">
          <cell r="Z258" t="str">
            <v>Zetor 5540</v>
          </cell>
        </row>
        <row r="259">
          <cell r="Z259" t="str">
            <v>Zetor Proxima Open Station 65</v>
          </cell>
        </row>
        <row r="260">
          <cell r="Z260" t="str">
            <v>Zetor Forterra 12441</v>
          </cell>
        </row>
      </sheetData>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éleveurs"/>
      <sheetName val="cultivateurs"/>
      <sheetName val="bovins"/>
      <sheetName val="bisons"/>
      <sheetName val="caprins"/>
      <sheetName val="porcins"/>
      <sheetName val="poules"/>
      <sheetName val="pintades"/>
      <sheetName val="lapins"/>
      <sheetName val="oies"/>
      <sheetName val="canards"/>
      <sheetName val="foie gras"/>
      <sheetName val="ovins"/>
      <sheetName val="daims"/>
      <sheetName val="chevaux de selle"/>
      <sheetName val="chevaux de trait"/>
      <sheetName val="poneys"/>
      <sheetName val="abris"/>
      <sheetName val="pâtures et foin"/>
      <sheetName val="coût"/>
      <sheetName val="gains"/>
      <sheetName val="parcelles"/>
      <sheetName val="vergers"/>
      <sheetName val="semences, engrais et traitement"/>
      <sheetName val="hangars"/>
      <sheetName val="entrepôts et local phyto"/>
      <sheetName val="aires et silos"/>
      <sheetName val="memo"/>
      <sheetName val="bilan fer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C3" t="str">
            <v>Belgique</v>
          </cell>
        </row>
        <row r="4">
          <cell r="AC4" t="str">
            <v xml:space="preserve">Alter Real </v>
          </cell>
        </row>
        <row r="5">
          <cell r="AC5" t="str">
            <v xml:space="preserve">Anglo-Arabe </v>
          </cell>
        </row>
        <row r="6">
          <cell r="AC6" t="str">
            <v xml:space="preserve">Appaloosa </v>
          </cell>
        </row>
        <row r="7">
          <cell r="AC7" t="str">
            <v xml:space="preserve">Arabe Shagya </v>
          </cell>
        </row>
        <row r="8">
          <cell r="AC8" t="str">
            <v xml:space="preserve">Barbe </v>
          </cell>
        </row>
        <row r="9">
          <cell r="AC9" t="str">
            <v xml:space="preserve">Cheval Canadien </v>
          </cell>
        </row>
        <row r="10">
          <cell r="AC10" t="str">
            <v xml:space="preserve">Franches-Montagnes </v>
          </cell>
        </row>
        <row r="11">
          <cell r="AC11" t="str">
            <v xml:space="preserve">Frison </v>
          </cell>
        </row>
        <row r="12">
          <cell r="AC12" t="str">
            <v xml:space="preserve">Hanovrien </v>
          </cell>
        </row>
        <row r="13">
          <cell r="AC13" t="str">
            <v xml:space="preserve">Henson </v>
          </cell>
        </row>
        <row r="14">
          <cell r="AC14" t="str">
            <v xml:space="preserve">Holsteiner </v>
          </cell>
        </row>
        <row r="15">
          <cell r="AC15" t="str">
            <v xml:space="preserve">Lipizzan </v>
          </cell>
        </row>
        <row r="16">
          <cell r="AC16" t="str">
            <v xml:space="preserve">Paint Horse </v>
          </cell>
        </row>
        <row r="17">
          <cell r="AC17" t="str">
            <v xml:space="preserve">Pur-Sang Anglais </v>
          </cell>
        </row>
        <row r="18">
          <cell r="AC18" t="str">
            <v xml:space="preserve">Pur-Sang Arabe </v>
          </cell>
        </row>
        <row r="19">
          <cell r="AC19" t="str">
            <v xml:space="preserve">Pur Race Espagnole </v>
          </cell>
        </row>
        <row r="20">
          <cell r="AC20" t="str">
            <v xml:space="preserve">Quarter Horse </v>
          </cell>
        </row>
        <row r="21">
          <cell r="AC21" t="str">
            <v xml:space="preserve">Selle Francais </v>
          </cell>
        </row>
        <row r="22">
          <cell r="AC22" t="str">
            <v xml:space="preserve">Trakehner </v>
          </cell>
        </row>
        <row r="23">
          <cell r="AC23" t="str">
            <v xml:space="preserve">Trotteur Francais </v>
          </cell>
        </row>
      </sheetData>
      <sheetData sheetId="16">
        <row r="3">
          <cell r="AC3" t="str">
            <v>Belgique</v>
          </cell>
        </row>
        <row r="4">
          <cell r="AC4" t="str">
            <v xml:space="preserve">Ardennais </v>
          </cell>
        </row>
        <row r="5">
          <cell r="AC5" t="str">
            <v xml:space="preserve">Auxois </v>
          </cell>
        </row>
        <row r="6">
          <cell r="AC6" t="str">
            <v xml:space="preserve">Boulonnais </v>
          </cell>
        </row>
        <row r="7">
          <cell r="AC7" t="str">
            <v xml:space="preserve">Breton </v>
          </cell>
        </row>
        <row r="8">
          <cell r="AC8" t="str">
            <v xml:space="preserve">Cob Normand </v>
          </cell>
        </row>
        <row r="9">
          <cell r="AC9" t="str">
            <v xml:space="preserve">Comtois </v>
          </cell>
        </row>
        <row r="10">
          <cell r="AC10" t="str">
            <v xml:space="preserve">Percheron </v>
          </cell>
        </row>
        <row r="11">
          <cell r="AC11" t="str">
            <v xml:space="preserve">Poitevin Mulassier </v>
          </cell>
        </row>
        <row r="12">
          <cell r="AC12" t="str">
            <v xml:space="preserve">Trait du Nord </v>
          </cell>
        </row>
        <row r="13">
          <cell r="AC13" t="str">
            <v xml:space="preserve">Brabançon </v>
          </cell>
        </row>
        <row r="14">
          <cell r="AC14" t="str">
            <v xml:space="preserve">Shire </v>
          </cell>
        </row>
        <row r="15">
          <cell r="AC15" t="str">
            <v xml:space="preserve">Clydesdale </v>
          </cell>
        </row>
        <row r="16">
          <cell r="AC16" t="str">
            <v xml:space="preserve">Irish Cob </v>
          </cell>
        </row>
        <row r="17">
          <cell r="AC17" t="str">
            <v xml:space="preserve">American Cream Draft </v>
          </cell>
        </row>
      </sheetData>
      <sheetData sheetId="17">
        <row r="3">
          <cell r="AC3" t="str">
            <v>Belgique</v>
          </cell>
        </row>
        <row r="4">
          <cell r="AC4" t="str">
            <v xml:space="preserve">Camargue </v>
          </cell>
        </row>
        <row r="5">
          <cell r="AC5" t="str">
            <v xml:space="preserve">Cheval Castillonais </v>
          </cell>
        </row>
        <row r="6">
          <cell r="AC6" t="str">
            <v xml:space="preserve">Merens </v>
          </cell>
        </row>
        <row r="7">
          <cell r="AC7" t="str">
            <v xml:space="preserve">Connemara </v>
          </cell>
        </row>
        <row r="8">
          <cell r="AC8" t="str">
            <v xml:space="preserve">Dartmoor </v>
          </cell>
        </row>
        <row r="9">
          <cell r="AC9" t="str">
            <v xml:space="preserve">Fjord </v>
          </cell>
        </row>
        <row r="10">
          <cell r="AC10" t="str">
            <v xml:space="preserve">Haflinger </v>
          </cell>
        </row>
        <row r="11">
          <cell r="AC11" t="str">
            <v xml:space="preserve">Landais </v>
          </cell>
        </row>
        <row r="12">
          <cell r="AC12" t="str">
            <v xml:space="preserve">New Forest </v>
          </cell>
        </row>
        <row r="13">
          <cell r="AC13" t="str">
            <v xml:space="preserve">Poney Francais de Selle </v>
          </cell>
        </row>
        <row r="14">
          <cell r="AC14" t="str">
            <v xml:space="preserve">Pottok </v>
          </cell>
        </row>
        <row r="15">
          <cell r="AC15" t="str">
            <v xml:space="preserve">Shetland </v>
          </cell>
        </row>
        <row r="16">
          <cell r="AC16" t="str">
            <v xml:space="preserve">Welsh </v>
          </cell>
        </row>
      </sheetData>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ables/table1.xml><?xml version="1.0" encoding="utf-8"?>
<table xmlns="http://schemas.openxmlformats.org/spreadsheetml/2006/main" id="58" name="CoutPaillage" displayName="CoutPaillage" ref="M37:Q50" headerRowCount="0" totalsRowShown="0" headerRowDxfId="1298" dataDxfId="1297">
  <tableColumns count="5">
    <tableColumn id="1" name="Colonne1" headerRowDxfId="1296" dataDxfId="1295"/>
    <tableColumn id="2" name="Colonne2" headerRowDxfId="1294" dataDxfId="1293"/>
    <tableColumn id="3" name="Colonne3" headerRowDxfId="1292" dataDxfId="1291"/>
    <tableColumn id="4" name="Colonne4" headerRowDxfId="1290" dataDxfId="1289"/>
    <tableColumn id="5" name="Colonne5" headerRowDxfId="1288" dataDxfId="1287"/>
  </tableColumns>
  <tableStyleInfo name="TableStyleMedium5" showFirstColumn="0" showLastColumn="0" showRowStripes="1" showColumnStripes="0"/>
</table>
</file>

<file path=xl/tables/table10.xml><?xml version="1.0" encoding="utf-8"?>
<table xmlns="http://schemas.openxmlformats.org/spreadsheetml/2006/main" id="15" name="Règles_lapins" displayName="Règles_lapins" ref="CS36:CX53" totalsRowShown="0" headerRowDxfId="1177" dataDxfId="1175" headerRowBorderDxfId="1176" tableBorderDxfId="1174" totalsRowBorderDxfId="1173">
  <autoFilter ref="CS36:CX53"/>
  <tableColumns count="6">
    <tableColumn id="1" name="Ration" dataDxfId="1172"/>
    <tableColumn id="2" name="Aliment" dataDxfId="1171"/>
    <tableColumn id="3" name="Specificite" dataDxfId="1170"/>
    <tableColumn id="4" name="Valeur 3 et plus" dataDxfId="1169"/>
    <tableColumn id="5" name="Valeur 1-3" dataDxfId="1168"/>
    <tableColumn id="6" name="Valeur 0-1" dataDxfId="1167"/>
  </tableColumns>
  <tableStyleInfo name="TableStyleMedium9" showFirstColumn="0" showLastColumn="0" showRowStripes="1" showColumnStripes="0"/>
</table>
</file>

<file path=xl/tables/table11.xml><?xml version="1.0" encoding="utf-8"?>
<table xmlns="http://schemas.openxmlformats.org/spreadsheetml/2006/main" id="16" name="AlimentsRationLapinsMâles" displayName="AlimentsRationLapinsMâles" ref="CS56:CW95" totalsRowShown="0" headerRowDxfId="1166" dataDxfId="1164" headerRowBorderDxfId="1165" tableBorderDxfId="1163" totalsRowBorderDxfId="1162">
  <autoFilter ref="CS56:CW95"/>
  <tableColumns count="5">
    <tableColumn id="1" name="aliment" dataDxfId="1161"/>
    <tableColumn id="2" name="Valeur 3 et plus" dataDxfId="1160">
      <calculatedColumnFormula array="1">IF(animaux!$J$124=BDD!$M$2,0,IFERROR(IF(OR(AND(INDEX(Règles_lapins[Specificite],MATCH(animaux!$J$118&amp;AlimentsRationLapinsMâles[[#This Row],[aliment]],Règles_lapins[Ration]&amp;Règles_lapins[Aliment],0))="s1",IF(AlimentsRationLapinsMâles[[#This Row],[aliment]]=animaux!$J$130,1)),
AND(INDEX(Règles_lapins[Specificite],MATCH(animaux!$J$118&amp;AlimentsRationLapinsMâles[[#This Row],[aliment]],Règles_lapins[Ration]&amp;Règles_lapins[Aliment],0))="s2",IF(AlimentsRationLapinsMâles[[#This Row],[aliment]]=animaux!$J$131,1)),
INDEX(Règles_lapins[Specificite],MATCH(animaux!$J$118&amp;AlimentsRationLapinsMâles[[#This Row],[aliment]],Règles_lapins[Ration]&amp;Règles_lapins[Aliment],0))="c"),
INDEX(Règles_lapins[Valeur 3 et plus],MATCH(animaux!$J$118&amp;AlimentsRationLapinsMâles[[#This Row],[aliment]],Règles_lapins[Ration]&amp;Règles_lapins[Aliment],0)),0),0)*SUM(animaux!$C$122:$C$123)*SUM($P$76:$P$76))</calculatedColumnFormula>
    </tableColumn>
    <tableColumn id="3" name="Valeur 1-3" dataDxfId="1159">
      <calculatedColumnFormula array="1">IF(animaux!$J$124=BDD!$M$2,0,IFERROR(IF(OR(AND(INDEX(Règles_lapins[Specificite],MATCH(animaux!$J$118&amp;AlimentsRationLapinsMâles[[#This Row],[aliment]],Règles_lapins[Ration]&amp;Règles_lapins[Aliment],0))="s1",IF(AlimentsRationLapinsMâles[[#This Row],[aliment]]=animaux!$J$130,1)),
AND(INDEX(Règles_lapins[Specificite],MATCH(animaux!$J$118&amp;AlimentsRationLapinsMâles[[#This Row],[aliment]],Règles_lapins[Ration]&amp;Règles_lapins[Aliment],0))="s2",IF(AlimentsRationLapinsMâles[[#This Row],[aliment]]=animaux!$J$131,1)),
INDEX(Règles_lapins[Specificite],MATCH(animaux!$J$118&amp;AlimentsRationLapinsMâles[[#This Row],[aliment]],Règles_lapins[Ration]&amp;Règles_lapins[Aliment],0))="c"),
INDEX(Règles_lapins[Valeur 1-3],MATCH(animaux!$J$118&amp;AlimentsRationLapinsMâles[[#This Row],[aliment]],Règles_lapins[Ration]&amp;Règles_lapins[Aliment],0)),0),0)*SUM(animaux!$C$120:$C$121)*SUM($P$76:$P$76))</calculatedColumnFormula>
    </tableColumn>
    <tableColumn id="4" name="Valeur 0-1" dataDxfId="1158">
      <calculatedColumnFormula array="1">IF(animaux!$J$124=BDD!$M$2,0,IFERROR(IF(OR(AND(INDEX(Règles_lapins[Specificite],MATCH(animaux!$J$118&amp;AlimentsRationLapinsMâles[[#This Row],[aliment]],Règles_lapins[Ration]&amp;Règles_lapins[Aliment],0))="s1",IF(AlimentsRationLapinsMâles[[#This Row],[aliment]]=animaux!$J$130,1)),
AND(INDEX(Règles_lapins[Specificite],MATCH(animaux!$J$118&amp;AlimentsRationLapinsMâles[[#This Row],[aliment]],Règles_lapins[Ration]&amp;Règles_lapins[Aliment],0))="s2",IF(AlimentsRationLapinsMâles[[#This Row],[aliment]]=animaux!$J$131,1)),
INDEX(Règles_lapins[Specificite],MATCH(animaux!$J$118&amp;AlimentsRationLapinsMâles[[#This Row],[aliment]],Règles_lapins[Ration]&amp;Règles_lapins[Aliment],0))="c"),
INDEX(Règles_lapins[Valeur 0-1],MATCH(animaux!$J$118&amp;AlimentsRationLapinsMâles[[#This Row],[aliment]],Règles_lapins[Ration]&amp;Règles_lapins[Aliment],0)),0),0)*SUM(animaux!$C$118:$C$119)*SUM($P$76:$P$76))</calculatedColumnFormula>
    </tableColumn>
    <tableColumn id="5" name="somme" dataDxfId="1157">
      <calculatedColumnFormula>SUM(AlimentsRationLapinsMâles[[#This Row],[Valeur 3 et plus]:[Valeur 0-1]])</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id="17" name="Ration_complète_lapins" displayName="Ration_complète_lapins" ref="CS140:CW141" totalsRowShown="0" headerRowDxfId="1156" dataDxfId="1154" headerRowBorderDxfId="1155" tableBorderDxfId="1153" totalsRowBorderDxfId="1152">
  <autoFilter ref="CS140:CW141"/>
  <tableColumns count="5">
    <tableColumn id="1" name="aliment" dataDxfId="1151"/>
    <tableColumn id="2" name="Valeur 3 et plus" dataDxfId="1150"/>
    <tableColumn id="3" name="Valeur 1-3" dataDxfId="1149"/>
    <tableColumn id="4" name="Valeur 0-1" dataDxfId="1148"/>
    <tableColumn id="5" name="somme" dataDxfId="1147">
      <calculatedColumnFormula>SUM(Ration_complète_lapins[[Valeur 3 et plus]:[Valeur 0-1]])</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id="18" name="Règles_volailles" displayName="Règles_volailles" ref="CZ35:DE52" totalsRowShown="0" headerRowDxfId="1146" dataDxfId="1144" headerRowBorderDxfId="1145" tableBorderDxfId="1143" totalsRowBorderDxfId="1142">
  <autoFilter ref="CZ35:DE52"/>
  <tableColumns count="6">
    <tableColumn id="1" name="Ration" dataDxfId="1141"/>
    <tableColumn id="2" name="Aliment" dataDxfId="1140"/>
    <tableColumn id="3" name="Specificite" dataDxfId="1139"/>
    <tableColumn id="4" name="Valeur 6 et plus" dataDxfId="1138"/>
    <tableColumn id="5" name="Valeur 1-6" dataDxfId="1137"/>
    <tableColumn id="7" name="Valeur 0-1" dataDxfId="1136"/>
  </tableColumns>
  <tableStyleInfo name="TableStyleMedium9" showFirstColumn="0" showLastColumn="0" showRowStripes="1" showColumnStripes="0"/>
</table>
</file>

<file path=xl/tables/table14.xml><?xml version="1.0" encoding="utf-8"?>
<table xmlns="http://schemas.openxmlformats.org/spreadsheetml/2006/main" id="19" name="AlimentsRationVolaillesMâles" displayName="AlimentsRationVolaillesMâles" ref="CZ56:DD95" totalsRowShown="0" headerRowDxfId="1135" dataDxfId="1133" headerRowBorderDxfId="1134" tableBorderDxfId="1132" totalsRowBorderDxfId="1131">
  <autoFilter ref="CZ56:DD95"/>
  <tableColumns count="5">
    <tableColumn id="1" name="aliment" dataDxfId="1130"/>
    <tableColumn id="2" name="Valeur 6 et plus" dataDxfId="1129">
      <calculatedColumnFormula array="1">IF(animaux!$J$86=BDD!$M$2,0,IFERROR(IF(OR(AND(INDEX(Règles_volailles[Specificite],MATCH(animaux!$J$80&amp;AlimentsRationVolaillesMâles[[#This Row],[aliment]],Règles_volailles[Ration]&amp;Règles_volailles[Aliment],0))="s1",IF(AlimentsRationVolaillesMâles[[#This Row],[aliment]]=animaux!$J$92,1)),
AND(INDEX(Règles_volailles[Specificite],MATCH(animaux!$J$80&amp;AlimentsRationVolaillesMâles[[#This Row],[aliment]],Règles_volailles[Ration]&amp;Règles_volailles[Aliment],0))="s2",IF(AlimentsRationVolaillesMâles[[#This Row],[aliment]]=animaux!$J$93,1)),
INDEX(Règles_volailles[Specificite],MATCH(animaux!$J$80&amp;AlimentsRationVolaillesMâles[[#This Row],[aliment]],Règles_volailles[Ration]&amp;Règles_volailles[Aliment],0))="c"),
INDEX(Règles_volailles[Valeur 6 et plus],MATCH(animaux!$J$80&amp;AlimentsRationVolaillesMâles[[#This Row],[aliment]],Règles_volailles[Ration]&amp;Règles_volailles[Aliment],0)),0),0)*SUM(animaux!$C$84:$C$85)*SUM($P$76:$P$76))</calculatedColumnFormula>
    </tableColumn>
    <tableColumn id="3" name="Valeur 1-6" dataDxfId="1128">
      <calculatedColumnFormula array="1">IF(animaux!$J$86=BDD!$M$2,0,IFERROR(IF(OR(AND(INDEX(Règles_volailles[Specificite],MATCH(animaux!$J$80&amp;AlimentsRationVolaillesMâles[[#This Row],[aliment]],Règles_volailles[Ration]&amp;Règles_volailles[Aliment],0))="s1",IF(AlimentsRationVolaillesMâles[[#This Row],[aliment]]=animaux!$J$92,1)),
AND(INDEX(Règles_volailles[Specificite],MATCH(animaux!$J$80&amp;AlimentsRationVolaillesMâles[[#This Row],[aliment]],Règles_volailles[Ration]&amp;Règles_volailles[Aliment],0))="s2",IF(AlimentsRationVolaillesMâles[[#This Row],[aliment]]=animaux!$J$93,1)),
INDEX(Règles_volailles[Specificite],MATCH(animaux!$J$80&amp;AlimentsRationVolaillesMâles[[#This Row],[aliment]],Règles_volailles[Ration]&amp;Règles_volailles[Aliment],0))="c"),
INDEX(Règles_volailles[Valeur 1-6],MATCH(animaux!$J$80&amp;AlimentsRationVolaillesMâles[[#This Row],[aliment]],Règles_volailles[Ration]&amp;Règles_volailles[Aliment],0)),0),0)*SUM(animaux!$C$82:$C$83)*SUM($P$76:$P$76))</calculatedColumnFormula>
    </tableColumn>
    <tableColumn id="4" name="Valeur 0-1" dataDxfId="1127">
      <calculatedColumnFormula array="1">IF(animaux!$J$86=BDD!$M$2,0,IFERROR(IF(OR(AND(INDEX(Règles_volailles[Specificite],MATCH(animaux!$J$80&amp;AlimentsRationVolaillesMâles[[#This Row],[aliment]],Règles_volailles[Ration]&amp;Règles_volailles[Aliment],0))="s1",IF(AlimentsRationVolaillesMâles[[#This Row],[aliment]]=animaux!$J$92,1)),
AND(INDEX(Règles_volailles[Specificite],MATCH(animaux!$J$80&amp;AlimentsRationVolaillesMâles[[#This Row],[aliment]],Règles_volailles[Ration]&amp;Règles_volailles[Aliment],0))="s2",IF(AlimentsRationVolaillesMâles[[#This Row],[aliment]]=animaux!$J$93,1)),
INDEX(Règles_volailles[Specificite],MATCH(animaux!$J$80&amp;AlimentsRationVolaillesMâles[[#This Row],[aliment]],Règles_volailles[Ration]&amp;Règles_volailles[Aliment],0))="c"),
INDEX(Règles_volailles[Valeur 0-1],MATCH(animaux!$J$80&amp;AlimentsRationVolaillesMâles[[#This Row],[aliment]],Règles_volailles[Ration]&amp;Règles_volailles[Aliment],0)),0),0)*SUM(animaux!$C$84:$C$85)*SUM($P$76:$P$76))</calculatedColumnFormula>
    </tableColumn>
    <tableColumn id="5" name="somme" dataDxfId="1126">
      <calculatedColumnFormula>SUM(AlimentsRationVolaillesMâles[[#This Row],[Valeur 6 et plus]:[Valeur 0-1]])</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id="20" name="Ration_complète_volailles" displayName="Ration_complète_volailles" ref="CZ140:DD141" totalsRowShown="0" headerRowDxfId="1125" dataDxfId="1123" headerRowBorderDxfId="1124" tableBorderDxfId="1122" totalsRowBorderDxfId="1121">
  <autoFilter ref="CZ140:DD141"/>
  <tableColumns count="5">
    <tableColumn id="1" name="aliment" dataDxfId="1120"/>
    <tableColumn id="2" name="Valeur 6 et plus" dataDxfId="1119"/>
    <tableColumn id="3" name="Valeur 1-6" dataDxfId="1118"/>
    <tableColumn id="4" name="Valeur 0-1" dataDxfId="1117"/>
    <tableColumn id="5" name="somme" dataDxfId="1116">
      <calculatedColumnFormula>SUM(Ration_complète_volailles[[Valeur 6 et plus]:[Valeur 0-1]])</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id="21" name="Règles_pintades" displayName="Règles_pintades" ref="DG26:DL43" totalsRowShown="0" headerRowDxfId="1115" dataDxfId="1113" headerRowBorderDxfId="1114" tableBorderDxfId="1112" totalsRowBorderDxfId="1111">
  <autoFilter ref="DG26:DL43"/>
  <tableColumns count="6">
    <tableColumn id="1" name="Ration" dataDxfId="1110"/>
    <tableColumn id="2" name="Aliment" dataDxfId="1109"/>
    <tableColumn id="3" name="Specificite" dataDxfId="1108"/>
    <tableColumn id="4" name="Valeur 6 et plus" dataDxfId="1107"/>
    <tableColumn id="5" name="Valeur 1-6" dataDxfId="1106"/>
    <tableColumn id="7" name="Valeur 0-1" dataDxfId="1105"/>
  </tableColumns>
  <tableStyleInfo name="TableStyleMedium9" showFirstColumn="0" showLastColumn="0" showRowStripes="1" showColumnStripes="0"/>
</table>
</file>

<file path=xl/tables/table17.xml><?xml version="1.0" encoding="utf-8"?>
<table xmlns="http://schemas.openxmlformats.org/spreadsheetml/2006/main" id="22" name="AlimentsRationPintadesMâles" displayName="AlimentsRationPintadesMâles" ref="DG47:DK86" totalsRowShown="0" headerRowDxfId="1104" dataDxfId="1102" headerRowBorderDxfId="1103" tableBorderDxfId="1101" totalsRowBorderDxfId="1100">
  <autoFilter ref="DG47:DK86"/>
  <tableColumns count="5">
    <tableColumn id="1" name="aliment" dataDxfId="1099"/>
    <tableColumn id="2" name="Valeur 9 et plus" dataDxfId="1098">
      <calculatedColumnFormula array="1">IF(animaux!$J$105=BDD!$M$2,0,IFERROR(IF(OR(AND(INDEX(Règles_pintades[Specificite],MATCH(animaux!$J$99&amp;AlimentsRationPintadesMâles[[#This Row],[aliment]],Règles_pintades[Ration]&amp;Règles_pintades[Aliment],0))="s1",IF(AlimentsRationPintadesMâles[[#This Row],[aliment]]=animaux!$J$111,1)),
AND(INDEX(Règles_pintades[Specificite],MATCH(animaux!$J$99&amp;AlimentsRationPintadesMâles[[#This Row],[aliment]],Règles_pintades[Ration]&amp;Règles_pintades[Aliment],0))="s2",IF(AlimentsRationPintadesMâles[[#This Row],[aliment]]=animaux!$J$112,1)),
INDEX(Règles_pintades[Specificite],MATCH(animaux!$J$99&amp;AlimentsRationPintadesMâles[[#This Row],[aliment]],Règles_pintades[Ration]&amp;Règles_pintades[Aliment],0))="c"),
INDEX(Règles_pintades[Valeur 6 et plus],MATCH(animaux!$J$99&amp;AlimentsRationPintadesMâles[[#This Row],[aliment]],Règles_pintades[Ration]&amp;Règles_pintades[Aliment],0)),0),0)*SUM(animaux!$C$103:$C$104)*SUM($P$76:$P$76))</calculatedColumnFormula>
    </tableColumn>
    <tableColumn id="3" name="Valeur 1-9" dataDxfId="1097">
      <calculatedColumnFormula array="1">IF(animaux!$J$105=BDD!$M$2,0,IFERROR(IF(OR(AND(INDEX(Règles_pintades[Specificite],MATCH(animaux!$J$99&amp;AlimentsRationPintadesMâles[[#This Row],[aliment]],Règles_pintades[Ration]&amp;Règles_pintades[Aliment],0))="s1",IF(AlimentsRationPintadesMâles[[#This Row],[aliment]]=animaux!$J$111,1)),
AND(INDEX(Règles_pintades[Specificite],MATCH(animaux!$J$99&amp;AlimentsRationPintadesMâles[[#This Row],[aliment]],Règles_pintades[Ration]&amp;Règles_pintades[Aliment],0))="s2",IF(AlimentsRationPintadesMâles[[#This Row],[aliment]]=animaux!$J$112,1)),
INDEX(Règles_pintades[Specificite],MATCH(animaux!$J$99&amp;AlimentsRationPintadesMâles[[#This Row],[aliment]],Règles_pintades[Ration]&amp;Règles_pintades[Aliment],0))="c"),
INDEX(Règles_pintades[Valeur 1-6],MATCH(animaux!$J$99&amp;AlimentsRationPintadesMâles[[#This Row],[aliment]],Règles_pintades[Ration]&amp;Règles_pintades[Aliment],0)),0),0)*SUM(animaux!$C$101:$C$102)*SUM($P$76:$P$76))</calculatedColumnFormula>
    </tableColumn>
    <tableColumn id="4" name="Valeur 0-1" dataDxfId="1096">
      <calculatedColumnFormula array="1">IF(animaux!$J$105=BDD!$M$2,0,IFERROR(IF(OR(AND(INDEX(Règles_pintades[Specificite],MATCH(animaux!$J$99&amp;AlimentsRationPintadesMâles[[#This Row],[aliment]],Règles_pintades[Ration]&amp;Règles_pintades[Aliment],0))="s1",IF(AlimentsRationPintadesMâles[[#This Row],[aliment]]=animaux!$J$111,1)),
AND(INDEX(Règles_pintades[Specificite],MATCH(animaux!$J$99&amp;AlimentsRationPintadesMâles[[#This Row],[aliment]],Règles_pintades[Ration]&amp;Règles_pintades[Aliment],0))="s2",IF(AlimentsRationPintadesMâles[[#This Row],[aliment]]=animaux!$J$112,1)),
INDEX(Règles_pintades[Specificite],MATCH(animaux!$J$99&amp;AlimentsRationPintadesMâles[[#This Row],[aliment]],Règles_pintades[Ration]&amp;Règles_pintades[Aliment],0))="c"),
INDEX(Règles_pintades[Valeur 0-1],MATCH(animaux!$J$99&amp;AlimentsRationPintadesMâles[[#This Row],[aliment]],Règles_pintades[Ration]&amp;Règles_pintades[Aliment],0)),0),0)*SUM(animaux!$C$99:$C$100)*SUM($P$76:$P$76))</calculatedColumnFormula>
    </tableColumn>
    <tableColumn id="5" name="somme" dataDxfId="1095">
      <calculatedColumnFormula>SUM(AlimentsRationPintadesMâles[[#This Row],[Valeur 9 et plus]:[Valeur 0-1]])</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id="24" name="Règles_ovins" displayName="Règles_ovins" ref="DN65:DT146" totalsRowShown="0" headerRowDxfId="1094" dataDxfId="1092" headerRowBorderDxfId="1093" tableBorderDxfId="1091" totalsRowBorderDxfId="1090">
  <autoFilter ref="DN65:DT146"/>
  <tableColumns count="7">
    <tableColumn id="1" name="Ration" dataDxfId="1089"/>
    <tableColumn id="2" name="Aliment" dataDxfId="1088"/>
    <tableColumn id="3" name="Specificite" dataDxfId="1087"/>
    <tableColumn id="4" name="Valeur 12 et plus" dataDxfId="1086"/>
    <tableColumn id="5" name="Valeur 6-12" dataDxfId="1085"/>
    <tableColumn id="6" name="Valeur 3-6" dataDxfId="1084"/>
    <tableColumn id="7" name="Valeur 0-3" dataDxfId="1083"/>
  </tableColumns>
  <tableStyleInfo name="TableStyleMedium9" showFirstColumn="0" showLastColumn="0" showRowStripes="1" showColumnStripes="0"/>
</table>
</file>

<file path=xl/tables/table19.xml><?xml version="1.0" encoding="utf-8"?>
<table xmlns="http://schemas.openxmlformats.org/spreadsheetml/2006/main" id="26" name="Ration_complète_ovins" displayName="Ration_complète_ovins" ref="DN233:DS234" totalsRowShown="0" headerRowDxfId="1082" dataDxfId="1080" headerRowBorderDxfId="1081" tableBorderDxfId="1079" totalsRowBorderDxfId="1078">
  <autoFilter ref="DN233:DS234"/>
  <tableColumns count="6">
    <tableColumn id="1" name="aliment" dataDxfId="1077"/>
    <tableColumn id="2" name="Valeur 12 et plus" dataDxfId="1076"/>
    <tableColumn id="3" name="Valeur 6-12" dataDxfId="1075"/>
    <tableColumn id="4" name="Valeur 3-6" dataDxfId="1074"/>
    <tableColumn id="5" name="Valeur 0-3" dataDxfId="1073"/>
    <tableColumn id="6" name="somme" dataDxfId="1072">
      <calculatedColumnFormula>SUM(Ration_complète_ovins[[Valeur 12 et plus]:[Valeur 0-3]])</calculatedColumnFormula>
    </tableColumn>
  </tableColumns>
  <tableStyleInfo name="TableStyleMedium9" showFirstColumn="0" showLastColumn="0" showRowStripes="1" showColumnStripes="0"/>
</table>
</file>

<file path=xl/tables/table2.xml><?xml version="1.0" encoding="utf-8"?>
<table xmlns="http://schemas.openxmlformats.org/spreadsheetml/2006/main" id="3" name="Règles_bovins" displayName="Règles_bovins" ref="BB58:BK190" totalsRowShown="0" headerRowDxfId="1286" dataDxfId="1284" headerRowBorderDxfId="1285" tableBorderDxfId="1283" totalsRowBorderDxfId="1282">
  <autoFilter ref="BB58:BK190"/>
  <tableColumns count="10">
    <tableColumn id="1" name="Ration" dataDxfId="1281"/>
    <tableColumn id="2" name="Aliment" dataDxfId="1280"/>
    <tableColumn id="3" name="Specificite" dataDxfId="1279"/>
    <tableColumn id="4" name="Valeur 36 et plus" dataDxfId="1278"/>
    <tableColumn id="5" name="Valeur 24-36" dataDxfId="1277"/>
    <tableColumn id="6" name="Valeur 18-24" dataDxfId="1276"/>
    <tableColumn id="7" name="Valeur 12-18" dataDxfId="1275"/>
    <tableColumn id="8" name="Valeur 6-12" dataDxfId="1274"/>
    <tableColumn id="9" name="Valeur 3-6" dataDxfId="1273"/>
    <tableColumn id="10" name="Valeur 0-3" dataDxfId="1272"/>
  </tableColumns>
  <tableStyleInfo name="TableStyleMedium9" showFirstColumn="0" showLastColumn="0" showRowStripes="1" showColumnStripes="0"/>
</table>
</file>

<file path=xl/tables/table20.xml><?xml version="1.0" encoding="utf-8"?>
<table xmlns="http://schemas.openxmlformats.org/spreadsheetml/2006/main" id="28" name="Ration_hivernale_complète_ovins" displayName="Ration_hivernale_complète_ovins" ref="DN279:DS280" totalsRowShown="0" headerRowDxfId="1071" dataDxfId="1069" headerRowBorderDxfId="1070" tableBorderDxfId="1068" totalsRowBorderDxfId="1067">
  <autoFilter ref="DN279:DS280"/>
  <tableColumns count="6">
    <tableColumn id="1" name="aliment" dataDxfId="1066"/>
    <tableColumn id="2" name="Valeur 12 et plus" dataDxfId="1065"/>
    <tableColumn id="3" name="Valeur 6-12" dataDxfId="1064"/>
    <tableColumn id="4" name="Valeur 3-6" dataDxfId="1063"/>
    <tableColumn id="5" name="Valeur 0-3" dataDxfId="1062"/>
    <tableColumn id="6" name="somme" dataDxfId="1061">
      <calculatedColumnFormula>SUM(Ration_hivernale_complète_ovins[[Valeur 12 et plus]:[Valeur 0-3]])</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id="29" name="Règles_daims" displayName="Règles_daims" ref="DV11:EE27" totalsRowShown="0" headerRowDxfId="1060" dataDxfId="1058" headerRowBorderDxfId="1059" tableBorderDxfId="1057" totalsRowBorderDxfId="1056">
  <autoFilter ref="DV11:EE27"/>
  <tableColumns count="10">
    <tableColumn id="1" name="Ration" dataDxfId="1055"/>
    <tableColumn id="2" name="Aliment" dataDxfId="1054"/>
    <tableColumn id="3" name="Specificite" dataDxfId="1053"/>
    <tableColumn id="4" name="Valeur 36 et plus" dataDxfId="1052"/>
    <tableColumn id="5" name="Valeur 24-36" dataDxfId="1051"/>
    <tableColumn id="7" name="Valeur 18-24" dataDxfId="1050"/>
    <tableColumn id="6" name="Valeur 12-18" dataDxfId="1049"/>
    <tableColumn id="8" name="Valeur 6-12" dataDxfId="1048"/>
    <tableColumn id="9" name="Valeur 3-6" dataDxfId="1047"/>
    <tableColumn id="10" name="Valeur 0-3" dataDxfId="1046"/>
  </tableColumns>
  <tableStyleInfo name="TableStyleMedium9" showFirstColumn="0" showLastColumn="0" showRowStripes="1" showColumnStripes="0"/>
</table>
</file>

<file path=xl/tables/table22.xml><?xml version="1.0" encoding="utf-8"?>
<table xmlns="http://schemas.openxmlformats.org/spreadsheetml/2006/main" id="31" name="Ration_complète_daims" displayName="Ration_complète_daims" ref="DV73:ED74" totalsRowShown="0" headerRowDxfId="1045" dataDxfId="1043" headerRowBorderDxfId="1044" tableBorderDxfId="1042" totalsRowBorderDxfId="1041">
  <autoFilter ref="DV73:ED74"/>
  <tableColumns count="9">
    <tableColumn id="1" name="aliment" dataDxfId="1040"/>
    <tableColumn id="2" name="Valeur 36 et plus" dataDxfId="1039"/>
    <tableColumn id="3" name="Valeur 24-36" dataDxfId="1038"/>
    <tableColumn id="4" name="Valeur 18-24" dataDxfId="1037"/>
    <tableColumn id="5" name="Valeur 12-18" dataDxfId="1036"/>
    <tableColumn id="6" name="Valeur 6-12" dataDxfId="1035"/>
    <tableColumn id="7" name="Valeur 3-6" dataDxfId="1034"/>
    <tableColumn id="8" name="Valeur 0-3" dataDxfId="1033"/>
    <tableColumn id="9" name="somme" dataDxfId="1032">
      <calculatedColumnFormula>SUM(Ration_complète_daims[[Valeur 36 et plus]:[Valeur 0-3]])</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id="35" name="Règles_oies" displayName="Règles_oies" ref="EG31:EL48" totalsRowShown="0" headerRowDxfId="1031" dataDxfId="1029" headerRowBorderDxfId="1030" tableBorderDxfId="1028" totalsRowBorderDxfId="1027">
  <autoFilter ref="EG31:EL48"/>
  <tableColumns count="6">
    <tableColumn id="1" name="Ration" dataDxfId="1026"/>
    <tableColumn id="2" name="Aliment" dataDxfId="1025"/>
    <tableColumn id="3" name="Specificite" dataDxfId="1024"/>
    <tableColumn id="4" name="Valeur 6 et plus" dataDxfId="1023"/>
    <tableColumn id="5" name="Valeur 3-6" dataDxfId="1022"/>
    <tableColumn id="7" name="Valeur 0-3" dataDxfId="1021"/>
  </tableColumns>
  <tableStyleInfo name="TableStyleMedium9" showFirstColumn="0" showLastColumn="0" showRowStripes="1" showColumnStripes="0"/>
</table>
</file>

<file path=xl/tables/table24.xml><?xml version="1.0" encoding="utf-8"?>
<table xmlns="http://schemas.openxmlformats.org/spreadsheetml/2006/main" id="36" name="AlimentsRationOiesMâles" displayName="AlimentsRationOiesMâles" ref="EG52:EK91" totalsRowShown="0" headerRowDxfId="1020" dataDxfId="1018" headerRowBorderDxfId="1019" tableBorderDxfId="1017" totalsRowBorderDxfId="1016">
  <autoFilter ref="EG52:EK91"/>
  <tableColumns count="5">
    <tableColumn id="1" name="aliment" dataDxfId="1015"/>
    <tableColumn id="2" name="Valeur 6 et plus" dataDxfId="1014">
      <calculatedColumnFormula array="1">IF(animaux!$J$141=BDD!$M$2,0,IFERROR(IF(OR(AND(INDEX(Règles_oies[Specificite],MATCH(animaux!$J$138&amp;AlimentsRationOiesMâles[[#This Row],[aliment]],Règles_oies[Ration]&amp;Règles_oies[Aliment],0))="s1",IF(AlimentsRationOiesMâles[[#This Row],[aliment]]=animaux!$J$147,1)),
AND(INDEX(Règles_oies[Specificite],MATCH(animaux!$J$138&amp;AlimentsRationOiesMâles[[#This Row],[aliment]],Règles_oies[Ration]&amp;Règles_oies[Aliment],0))="s2",IF(AlimentsRationOiesMâles[[#This Row],[aliment]]=animaux!$J$148,1)),
INDEX(Règles_oies[Specificite],MATCH(animaux!$J$138&amp;AlimentsRationOiesMâles[[#This Row],[aliment]],Règles_oies[Ration]&amp;Règles_oies[Aliment],0))="c"),
INDEX(Règles_oies[Valeur 6 et plus],MATCH(animaux!$J$138&amp;AlimentsRationOiesMâles[[#This Row],[aliment]],Règles_oies[Ration]&amp;Règles_oies[Aliment],0)),0),0)*SUM(animaux!$C$142:$C$143)*SUM($P$76:$P$76))</calculatedColumnFormula>
    </tableColumn>
    <tableColumn id="3" name="Valeur 3-6" dataDxfId="1013">
      <calculatedColumnFormula array="1">IF(animaux!$J$141=BDD!$M$2,0,IFERROR(IF(OR(AND(INDEX(Règles_oies[Specificite],MATCH(animaux!$J$138&amp;AlimentsRationOiesMâles[[#This Row],[aliment]],Règles_oies[Ration]&amp;Règles_oies[Aliment],0))="s1",IF(AlimentsRationOiesMâles[[#This Row],[aliment]]=animaux!$J$147,1)),
AND(INDEX(Règles_oies[Specificite],MATCH(animaux!$J$138&amp;AlimentsRationOiesMâles[[#This Row],[aliment]],Règles_oies[Ration]&amp;Règles_oies[Aliment],0))="s2",IF(AlimentsRationOiesMâles[[#This Row],[aliment]]=animaux!$J$148,1)),
INDEX(Règles_oies[Specificite],MATCH(animaux!$J$138&amp;AlimentsRationOiesMâles[[#This Row],[aliment]],Règles_oies[Ration]&amp;Règles_oies[Aliment],0))="c"),
INDEX(Règles_oies[Valeur 3-6],MATCH(animaux!$J$138&amp;AlimentsRationOiesMâles[[#This Row],[aliment]],Règles_oies[Ration]&amp;Règles_oies[Aliment],0)),0),0)*SUM(animaux!$C$142:$C$143)*SUM($P$76:$P$76))</calculatedColumnFormula>
    </tableColumn>
    <tableColumn id="4" name="Valeur 0-3" dataDxfId="1012">
      <calculatedColumnFormula array="1">IF(animaux!$J$141=BDD!$M$2,0,IFERROR(IF(OR(AND(INDEX(Règles_oies[Specificite],MATCH(animaux!$J$138&amp;AlimentsRationOiesMâles[[#This Row],[aliment]],Règles_oies[Ration]&amp;Règles_oies[Aliment],0))="s1",IF(AlimentsRationOiesMâles[[#This Row],[aliment]]=animaux!$J$147,1)),
AND(INDEX(Règles_oies[Specificite],MATCH(animaux!$J$138&amp;AlimentsRationOiesMâles[[#This Row],[aliment]],Règles_oies[Ration]&amp;Règles_oies[Aliment],0))="s2",IF(AlimentsRationOiesMâles[[#This Row],[aliment]]=animaux!$J$148,1)),
INDEX(Règles_oies[Specificite],MATCH(animaux!$J$138&amp;AlimentsRationOiesMâles[[#This Row],[aliment]],Règles_oies[Ration]&amp;Règles_oies[Aliment],0))="c"),
INDEX(Règles_oies[Valeur 0-3],MATCH(animaux!$J$138&amp;AlimentsRationOiesMâles[[#This Row],[aliment]],Règles_oies[Ration]&amp;Règles_oies[Aliment],0)),0),0)*SUM(animaux!$C$142:$C$143)*SUM($P$76:$P$76))</calculatedColumnFormula>
    </tableColumn>
    <tableColumn id="5" name="somme" dataDxfId="1011">
      <calculatedColumnFormula>SUM(AlimentsRationOiesMâles[[#This Row],[Valeur 6 et plus]:[Valeur 0-3]])</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id="37" name="Ration_complète_oies" displayName="Ration_complète_oies" ref="EG136:EK137" totalsRowShown="0" headerRowDxfId="1010" dataDxfId="1008" headerRowBorderDxfId="1009" tableBorderDxfId="1007" totalsRowBorderDxfId="1006">
  <autoFilter ref="EG136:EK137"/>
  <tableColumns count="5">
    <tableColumn id="1" name="aliment" dataDxfId="1005"/>
    <tableColumn id="2" name="Valeur 6 et plus" dataDxfId="1004"/>
    <tableColumn id="3" name="Valeur 3-6" dataDxfId="1003"/>
    <tableColumn id="4" name="Valeur 0-3" dataDxfId="1002"/>
    <tableColumn id="5" name="somme" dataDxfId="1001">
      <calculatedColumnFormula>SUM(Ration_complète_oies[[Valeur 6 et plus]:[Valeur 0-3]])</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id="38" name="Règles_canards" displayName="Règles_canards" ref="EN30:ES47" totalsRowShown="0" headerRowDxfId="1000" dataDxfId="998" headerRowBorderDxfId="999" tableBorderDxfId="997" totalsRowBorderDxfId="996">
  <autoFilter ref="EN30:ES47"/>
  <tableColumns count="6">
    <tableColumn id="1" name="Ration" dataDxfId="995"/>
    <tableColumn id="2" name="Aliment" dataDxfId="994"/>
    <tableColumn id="3" name="Specificite" dataDxfId="993"/>
    <tableColumn id="4" name="Valeur 6 et plus" dataDxfId="992"/>
    <tableColumn id="5" name="Valeur 3-6" dataDxfId="991"/>
    <tableColumn id="7" name="Valeur 0-3" dataDxfId="990"/>
  </tableColumns>
  <tableStyleInfo name="TableStyleMedium9" showFirstColumn="0" showLastColumn="0" showRowStripes="1" showColumnStripes="0"/>
</table>
</file>

<file path=xl/tables/table27.xml><?xml version="1.0" encoding="utf-8"?>
<table xmlns="http://schemas.openxmlformats.org/spreadsheetml/2006/main" id="39" name="Ration_canards_Mâles" displayName="Ration_canards_Mâles" ref="EN51:ER90" totalsRowShown="0" headerRowDxfId="989" dataDxfId="987" headerRowBorderDxfId="988" tableBorderDxfId="986" totalsRowBorderDxfId="985">
  <autoFilter ref="EN51:ER90"/>
  <tableColumns count="5">
    <tableColumn id="1" name="aliment" dataDxfId="984"/>
    <tableColumn id="2" name="Valeur 6 et plus" dataDxfId="983">
      <calculatedColumnFormula array="1">IF(animaux!$J$157=OUI,0,IFERROR(IF(OR(AND(INDEX(Règles_canards[Specificite],MATCH(animaux!$J$154&amp;Ration_canards_Mâles[[#This Row],[aliment]],Règles_canards[Ration]&amp;Règles_canards[Aliment],0))="s1",IF(Ration_canards_Mâles[[#This Row],[aliment]]=animaux!$J$163,1)),
AND(INDEX(Règles_canards[Specificite],MATCH(animaux!$J$154&amp;Ration_canards_Mâles[[#This Row],[aliment]],Règles_canards[Ration]&amp;Règles_canards[Aliment],0))="s2",IF(Ration_canards_Mâles[[#This Row],[aliment]]=animaux!$J$164,1)),
INDEX(Règles_canards[Specificite],MATCH(animaux!$J$154&amp;Ration_canards_Mâles[[#This Row],[aliment]],Règles_canards[Ration]&amp;Règles_canards[Aliment],0))="c"),
INDEX(Règles_canards[Valeur 6 et plus],MATCH(animaux!$J$154&amp;Ration_canards_Mâles[[#This Row],[aliment]],Règles_canards[Ration]&amp;Règles_canards[Aliment],0)),0),0)*SUM(animaux!$C$158:$C$159)*SUM($P$76:$P$76))</calculatedColumnFormula>
    </tableColumn>
    <tableColumn id="3" name="Valeur 3-6" dataDxfId="982">
      <calculatedColumnFormula array="1">IF(animaux!$J$157=OUI,0,IFERROR(IF(OR(AND(INDEX(Règles_canards[Specificite],MATCH(animaux!$J$154&amp;Ration_canards_Mâles[[#This Row],[aliment]],Règles_canards[Ration]&amp;Règles_canards[Aliment],0))="s1",IF(Ration_canards_Mâles[[#This Row],[aliment]]=animaux!$J$163,1)),
AND(INDEX(Règles_canards[Specificite],MATCH(animaux!$J$154&amp;Ration_canards_Mâles[[#This Row],[aliment]],Règles_canards[Ration]&amp;Règles_canards[Aliment],0))="s2",IF(Ration_canards_Mâles[[#This Row],[aliment]]=animaux!$J$164,1)),
INDEX(Règles_canards[Specificite],MATCH(animaux!$J$154&amp;Ration_canards_Mâles[[#This Row],[aliment]],Règles_canards[Ration]&amp;Règles_canards[Aliment],0))="c"),
INDEX(Règles_canards[Valeur 3-6],MATCH(animaux!$J$154&amp;Ration_canards_Mâles[[#This Row],[aliment]],Règles_canards[Ration]&amp;Règles_canards[Aliment],0)),0),0)*SUM(animaux!$C$158:$C$159)*SUM($P$76:$P$76))</calculatedColumnFormula>
    </tableColumn>
    <tableColumn id="4" name="Valeur 0-3" dataDxfId="981">
      <calculatedColumnFormula array="1">IF(animaux!$J$157=OUI,0,IFERROR(IF(OR(AND(INDEX(Règles_canards[Specificite],MATCH(animaux!$J$154&amp;Ration_canards_Mâles[[#This Row],[aliment]],Règles_canards[Ration]&amp;Règles_canards[Aliment],0))="s1",IF(Ration_canards_Mâles[[#This Row],[aliment]]=animaux!$J$163,1)),
AND(INDEX(Règles_canards[Specificite],MATCH(animaux!$J$154&amp;Ration_canards_Mâles[[#This Row],[aliment]],Règles_canards[Ration]&amp;Règles_canards[Aliment],0))="s2",IF(Ration_canards_Mâles[[#This Row],[aliment]]=animaux!$J$164,1)),
INDEX(Règles_canards[Specificite],MATCH(animaux!$J$154&amp;Ration_canards_Mâles[[#This Row],[aliment]],Règles_canards[Ration]&amp;Règles_canards[Aliment],0))="c"),
INDEX(Règles_canards[Valeur 0-3],MATCH(animaux!$J$154&amp;Ration_canards_Mâles[[#This Row],[aliment]],Règles_canards[Ration]&amp;Règles_canards[Aliment],0)),0),0)*SUM(animaux!$C$158:$C$159)*SUM($P$76:$P$76))</calculatedColumnFormula>
    </tableColumn>
    <tableColumn id="5" name="somme" dataDxfId="980">
      <calculatedColumnFormula>SUM(Ration_canards_Mâles[[#This Row],[Valeur 6 et plus]:[Valeur 0-3]])</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id="40" name="Ration_complète_canards" displayName="Ration_complète_canards" ref="EN135:ER136" totalsRowShown="0" headerRowDxfId="979" dataDxfId="977" headerRowBorderDxfId="978" tableBorderDxfId="976" totalsRowBorderDxfId="975">
  <autoFilter ref="EN135:ER136"/>
  <tableColumns count="5">
    <tableColumn id="1" name="aliment" dataDxfId="974"/>
    <tableColumn id="2" name="Valeur 6 et plus" dataDxfId="973"/>
    <tableColumn id="3" name="Valeur 3-6" dataDxfId="972"/>
    <tableColumn id="4" name="Valeur 0-3" dataDxfId="971"/>
    <tableColumn id="5" name="somme" dataDxfId="970">
      <calculatedColumnFormula>SUM(Ration_complète_canards[[Valeur 6 et plus]:[Valeur 0-3]])</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id="41" name="Règles_chevaux_selle" displayName="Règles_chevaux_selle" ref="EU38:FA55" totalsRowShown="0" headerRowDxfId="969" dataDxfId="967" headerRowBorderDxfId="968" tableBorderDxfId="966" totalsRowBorderDxfId="965">
  <autoFilter ref="EU38:FA55"/>
  <tableColumns count="7">
    <tableColumn id="1" name="Ration" dataDxfId="964"/>
    <tableColumn id="2" name="Aliment" dataDxfId="963"/>
    <tableColumn id="3" name="Specificite" dataDxfId="962"/>
    <tableColumn id="4" name="Valeur 36 et plus" dataDxfId="961"/>
    <tableColumn id="5" name="Valeur 24-36" dataDxfId="960"/>
    <tableColumn id="7" name="Valeur 12-24" dataDxfId="959"/>
    <tableColumn id="6" name="Valeur 0-12" dataDxfId="958"/>
  </tableColumns>
  <tableStyleInfo name="TableStyleMedium9" showFirstColumn="0" showLastColumn="0" showRowStripes="1" showColumnStripes="0"/>
</table>
</file>

<file path=xl/tables/table3.xml><?xml version="1.0" encoding="utf-8"?>
<table xmlns="http://schemas.openxmlformats.org/spreadsheetml/2006/main" id="1" name="Règles_bison" displayName="Règles_bison" ref="BM10:BV32" totalsRowShown="0" headerRowDxfId="1271" dataDxfId="1269" headerRowBorderDxfId="1270" tableBorderDxfId="1268" totalsRowBorderDxfId="1267">
  <autoFilter ref="BM10:BV32"/>
  <tableColumns count="10">
    <tableColumn id="1" name="Ration" dataDxfId="1266"/>
    <tableColumn id="2" name="Aliment" dataDxfId="1265"/>
    <tableColumn id="3" name="Specificite" dataDxfId="1264"/>
    <tableColumn id="4" name="Valeur 36 et plus" dataDxfId="1263"/>
    <tableColumn id="5" name="Valeur 24-36" dataDxfId="1262"/>
    <tableColumn id="6" name="Valeur 18-24" dataDxfId="1261"/>
    <tableColumn id="7" name="Valeur 12-18" dataDxfId="1260"/>
    <tableColumn id="8" name="Valeur 6-12" dataDxfId="1259"/>
    <tableColumn id="9" name="Valeur 3-6" dataDxfId="1258"/>
    <tableColumn id="10" name="Valeur 0-3" dataDxfId="1257"/>
  </tableColumns>
  <tableStyleInfo name="TableStyleMedium9" showFirstColumn="0" showLastColumn="0" showRowStripes="1" showColumnStripes="0"/>
</table>
</file>

<file path=xl/tables/table30.xml><?xml version="1.0" encoding="utf-8"?>
<table xmlns="http://schemas.openxmlformats.org/spreadsheetml/2006/main" id="43" name="Ration_complète_chevaux_selle" displayName="Ration_complète_chevaux_selle" ref="EU143:EZ144" totalsRowShown="0" headerRowDxfId="957" dataDxfId="955" headerRowBorderDxfId="956" tableBorderDxfId="954" totalsRowBorderDxfId="953">
  <autoFilter ref="EU143:EZ144"/>
  <tableColumns count="6">
    <tableColumn id="1" name="aliment" dataDxfId="952"/>
    <tableColumn id="2" name="Valeur 36 et plus" dataDxfId="951"/>
    <tableColumn id="3" name="Valeur 24-36" dataDxfId="950"/>
    <tableColumn id="4" name="Valeur 12-24" dataDxfId="949"/>
    <tableColumn id="5" name="Valeur 0-12" dataDxfId="948"/>
    <tableColumn id="6" name="somme" dataDxfId="947">
      <calculatedColumnFormula>SUM(Ration_complète_chevaux_selle[[Valeur 36 et plus]:[Valeur 0-12]])</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id="46" name="Règles_chevaux_trait" displayName="Règles_chevaux_trait" ref="FD32:FJ49" totalsRowShown="0" headerRowDxfId="946" dataDxfId="944" headerRowBorderDxfId="945" tableBorderDxfId="943" totalsRowBorderDxfId="942">
  <autoFilter ref="FD32:FJ49"/>
  <tableColumns count="7">
    <tableColumn id="1" name="Ration" dataDxfId="941"/>
    <tableColumn id="2" name="Aliment" dataDxfId="940"/>
    <tableColumn id="3" name="Specificite" dataDxfId="939"/>
    <tableColumn id="4" name="Valeur 36 et plus" dataDxfId="938"/>
    <tableColumn id="5" name="Valeur 24-36" dataDxfId="937"/>
    <tableColumn id="7" name="Valeur 12-24" dataDxfId="936"/>
    <tableColumn id="6" name="Valeur 0-12" dataDxfId="935"/>
  </tableColumns>
  <tableStyleInfo name="TableStyleMedium9" showFirstColumn="0" showLastColumn="0" showRowStripes="1" showColumnStripes="0"/>
</table>
</file>

<file path=xl/tables/table32.xml><?xml version="1.0" encoding="utf-8"?>
<table xmlns="http://schemas.openxmlformats.org/spreadsheetml/2006/main" id="48" name="Ration_complète_chevaux_trait" displayName="Ration_complète_chevaux_trait" ref="FD137:FI138" totalsRowShown="0" headerRowDxfId="934" dataDxfId="932" headerRowBorderDxfId="933" tableBorderDxfId="931" totalsRowBorderDxfId="930">
  <autoFilter ref="FD137:FI138"/>
  <tableColumns count="6">
    <tableColumn id="1" name="aliment" dataDxfId="929"/>
    <tableColumn id="2" name="Valeur 36 et plus" dataDxfId="928"/>
    <tableColumn id="3" name="Valeur 24-36" dataDxfId="927"/>
    <tableColumn id="4" name="Valeur 12-24" dataDxfId="926"/>
    <tableColumn id="5" name="Valeur 0-12" dataDxfId="925"/>
    <tableColumn id="6" name="somme" dataDxfId="924">
      <calculatedColumnFormula>SUM(Ration_complète_chevaux_trait[[Valeur 36 et plus]:[Valeur 0-12]])</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id="49" name="Règles_poneys" displayName="Règles_poneys" ref="FN31:FT48" totalsRowShown="0" headerRowDxfId="923" dataDxfId="921" headerRowBorderDxfId="922" tableBorderDxfId="920" totalsRowBorderDxfId="919">
  <autoFilter ref="FN31:FT48"/>
  <tableColumns count="7">
    <tableColumn id="1" name="Ration" dataDxfId="918"/>
    <tableColumn id="2" name="Aliment" dataDxfId="917"/>
    <tableColumn id="3" name="Specificite" dataDxfId="916"/>
    <tableColumn id="4" name="Valeur 36 et plus" dataDxfId="915"/>
    <tableColumn id="5" name="Valeur 24-36" dataDxfId="914"/>
    <tableColumn id="7" name="Valeur 12-24" dataDxfId="913"/>
    <tableColumn id="6" name="Valeur 0-12" dataDxfId="912"/>
  </tableColumns>
  <tableStyleInfo name="TableStyleMedium9" showFirstColumn="0" showLastColumn="0" showRowStripes="1" showColumnStripes="0"/>
</table>
</file>

<file path=xl/tables/table34.xml><?xml version="1.0" encoding="utf-8"?>
<table xmlns="http://schemas.openxmlformats.org/spreadsheetml/2006/main" id="51" name="Ration_complète_poneys" displayName="Ration_complète_poneys" ref="FN136:FS137" totalsRowShown="0" headerRowDxfId="911" dataDxfId="909" headerRowBorderDxfId="910" tableBorderDxfId="908" totalsRowBorderDxfId="907">
  <autoFilter ref="FN136:FS137"/>
  <tableColumns count="6">
    <tableColumn id="1" name="aliment" dataDxfId="906"/>
    <tableColumn id="2" name="Valeur 36 et plus" dataDxfId="905"/>
    <tableColumn id="3" name="Valeur 24-36" dataDxfId="904"/>
    <tableColumn id="4" name="Valeur 12-24" dataDxfId="903"/>
    <tableColumn id="5" name="Valeur 0-12" dataDxfId="902"/>
    <tableColumn id="6" name="somme" dataDxfId="901">
      <calculatedColumnFormula>SUM(Ration_complète_poneys[[Valeur 36 et plus]:[Valeur 0-12]])</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id="32" name="Règles_gavage" displayName="Règles_gavage" ref="FW21:GC38" totalsRowShown="0" headerRowDxfId="900" dataDxfId="898" headerRowBorderDxfId="899" tableBorderDxfId="897" totalsRowBorderDxfId="896">
  <autoFilter ref="FW21:GC38"/>
  <tableColumns count="7">
    <tableColumn id="1" name="Ration" dataDxfId="895"/>
    <tableColumn id="2" name="Aliment" dataDxfId="894"/>
    <tableColumn id="3" name="Specificite" dataDxfId="893"/>
    <tableColumn id="6" name="Valeur 6 et plus" dataDxfId="892"/>
    <tableColumn id="4" name="Valeur 2-3" dataDxfId="891"/>
    <tableColumn id="5" name="Valeur 1-2" dataDxfId="890"/>
    <tableColumn id="7" name="Valeur 0-1" dataDxfId="889"/>
  </tableColumns>
  <tableStyleInfo name="TableStyleMedium9" showFirstColumn="0" showLastColumn="0" showRowStripes="1" showColumnStripes="0"/>
</table>
</file>

<file path=xl/tables/table36.xml><?xml version="1.0" encoding="utf-8"?>
<table xmlns="http://schemas.openxmlformats.org/spreadsheetml/2006/main" id="33" name="AlimentsGavageOies" displayName="AlimentsGavageOies" ref="FW42:GB81" totalsRowShown="0" headerRowDxfId="888" dataDxfId="886" headerRowBorderDxfId="887" tableBorderDxfId="885" totalsRowBorderDxfId="884">
  <autoFilter ref="FW42:GB81"/>
  <tableColumns count="6">
    <tableColumn id="1" name="aliment" dataDxfId="883"/>
    <tableColumn id="2" name="Valeur 3 et plus" dataDxfId="882">
      <calculatedColumnFormula array="1">IF(animaux!$J$173=$M$2,0,IFERROR(IF(OR(AND(INDEX(Règles_gavage[Specificite],MATCH(animaux!$J$170&amp;AlimentsGavageOies[[#This Row],[aliment]],Règles_gavage[Ration]&amp;Règles_gavage[Aliment],0))="s1",IF(AlimentsGavageOies[[#This Row],[aliment]]=animaux!$J$179,1)),
AND(INDEX(Règles_gavage[Specificite],MATCH(animaux!$J$170&amp;AlimentsGavageOies[[#This Row],[aliment]],Règles_gavage[Ration]&amp;Règles_gavage[Aliment],0))="s2",IF(AlimentsGavageOies[[#This Row],[aliment]]=animaux!$J$180,1)),
INDEX(Règles_gavage[Specificite],MATCH(animaux!$J$170&amp;AlimentsGavageOies[[#This Row],[aliment]],Règles_gavage[Ration]&amp;Règles_gavage[Aliment],0))="c"),
INDEX(Règles_gavage[Valeur 6 et plus],MATCH(animaux!$J$170&amp;AlimentsGavageOies[[#This Row],[aliment]],Règles_gavage[Ration]&amp;Règles_gavage[Aliment],0)),0),0)*animaux!$G$171*$FY$17)</calculatedColumnFormula>
    </tableColumn>
    <tableColumn id="3" name="Valeur 2-3" dataDxfId="881">
      <calculatedColumnFormula array="1">IF(animaux!$J$173=$M$2,0,IFERROR(IF(OR(AND(INDEX(Règles_gavage[Specificite],MATCH(animaux!$J$170&amp;AlimentsGavageOies[[#This Row],[aliment]],Règles_gavage[Ration]&amp;Règles_gavage[Aliment],0))="s1",IF(AlimentsGavageOies[[#This Row],[aliment]]=animaux!$J$179,1)),
AND(INDEX(Règles_gavage[Specificite],MATCH(animaux!$J$170&amp;AlimentsGavageOies[[#This Row],[aliment]],Règles_gavage[Ration]&amp;Règles_gavage[Aliment],0))="s2",IF(AlimentsGavageOies[[#This Row],[aliment]]=animaux!$J$180,1)),
INDEX(Règles_gavage[Specificite],MATCH(animaux!$J$170&amp;AlimentsGavageOies[[#This Row],[aliment]],Règles_gavage[Ration]&amp;Règles_gavage[Aliment],0))="c"),
INDEX(Règles_gavage[Valeur 2-3],MATCH(animaux!$J$170&amp;AlimentsGavageOies[[#This Row],[aliment]],Règles_gavage[Ration]&amp;Règles_gavage[Aliment],0)),0),0)*animaux!$C$173*$FY$13)</calculatedColumnFormula>
    </tableColumn>
    <tableColumn id="6" name="Valeur 1-2" dataDxfId="880">
      <calculatedColumnFormula array="1">IF(animaux!$J$173=$M$2,0,IFERROR(IF(OR(AND(INDEX(Règles_gavage[Specificite],MATCH(animaux!$J$170&amp;AlimentsGavageOies[[#This Row],[aliment]],Règles_gavage[Ration]&amp;Règles_gavage[Aliment],0))="s1",IF(AlimentsGavageOies[[#This Row],[aliment]]=animaux!$J$179,1)),
AND(INDEX(Règles_gavage[Specificite],MATCH(animaux!$J$170&amp;AlimentsGavageOies[[#This Row],[aliment]],Règles_gavage[Ration]&amp;Règles_gavage[Aliment],0))="s2",IF(AlimentsGavageOies[[#This Row],[aliment]]=animaux!$J$180,1)),
INDEX(Règles_gavage[Specificite],MATCH(animaux!$J$170&amp;AlimentsGavageOies[[#This Row],[aliment]],Règles_gavage[Ration]&amp;Règles_gavage[Aliment],0))="c"),
INDEX(Règles_gavage[Valeur 1-2],MATCH(animaux!$J$170&amp;AlimentsGavageOies[[#This Row],[aliment]],Règles_gavage[Ration]&amp;Règles_gavage[Aliment],0)),0),0)*animaux!$C$172*$FY$12)</calculatedColumnFormula>
    </tableColumn>
    <tableColumn id="4" name="Valeur 0-1" dataDxfId="879">
      <calculatedColumnFormula array="1">IF(animaux!$J$173=$M$2,0,IFERROR(IF(OR(AND(INDEX(Règles_gavage[Specificite],MATCH(animaux!$J$170&amp;AlimentsGavageOies[[#This Row],[aliment]],Règles_gavage[Ration]&amp;Règles_gavage[Aliment],0))="s1",IF(AlimentsGavageOies[[#This Row],[aliment]]=animaux!$J$179,1)),
AND(INDEX(Règles_gavage[Specificite],MATCH(animaux!$J$170&amp;AlimentsGavageOies[[#This Row],[aliment]],Règles_gavage[Ration]&amp;Règles_gavage[Aliment],0))="s2",IF(AlimentsGavageOies[[#This Row],[aliment]]=animaux!$J$180,1)),
INDEX(Règles_gavage[Specificite],MATCH(animaux!$J$170&amp;AlimentsGavageOies[[#This Row],[aliment]],Règles_gavage[Ration]&amp;Règles_gavage[Aliment],0))="c"),
INDEX(Règles_gavage[Valeur 0-1],MATCH(animaux!$J$170&amp;AlimentsGavageOies[[#This Row],[aliment]],Règles_gavage[Ration]&amp;Règles_gavage[Aliment],0)),0),0)*animaux!$C$171*$FY$11)</calculatedColumnFormula>
    </tableColumn>
    <tableColumn id="5" name="somme" dataDxfId="878">
      <calculatedColumnFormula>SUM(AlimentsGavageOies[[#This Row],[Valeur 3 et plus]:[Valeur 0-1]])</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id="45" name="Ration_complète_gavage_canards" displayName="Ration_complète_gavage_canards" ref="FW131:GB132" totalsRowShown="0" headerRowDxfId="877" dataDxfId="875" headerRowBorderDxfId="876" tableBorderDxfId="874" totalsRowBorderDxfId="873">
  <autoFilter ref="FW131:GB132"/>
  <tableColumns count="6">
    <tableColumn id="1" name="aliment" dataDxfId="872"/>
    <tableColumn id="2" name="Valeur 3 et plus" dataDxfId="871"/>
    <tableColumn id="3" name="Valeur 2-3" dataDxfId="870">
      <calculatedColumnFormula array="1">IF(ChoixRationComplèteFoieGrasCanards=NON,0,IFERROR(IF(OR(AND(INDEX(Règles_gavage[Specificite],MATCH(ChoixRationFoieGrasCanards&amp;Ration_complète_gavage_canards[aliment],Règles_gavage[Ration]&amp;Règles_gavage[Aliment],0))="s1",IF(Ration_complète_gavage_canards[aliment]=ChoixSpécificité1FoieGrasCanards,1)),
AND(INDEX(Règles_gavage[Specificite],MATCH(ChoixRationFoieGrasCanards&amp;Ration_complète_gavage_canards[aliment],Règles_gavage[Ration]&amp;Règles_gavage[Aliment],0))="s2",IF(Ration_complète_gavage_canards[aliment]=ChoixSpécificité2FoieGrasCanards,1)),
INDEX(Règles_gavage[Specificite],MATCH(ChoixRationFoieGrasCanards&amp;Ration_complète_gavage_canards[aliment],Règles_gavage[Ration]&amp;Règles_gavage[Aliment],0))="c",INDEX(Règles_gavage[Specificite],MATCH(ChoixRationFoieGrasCanards&amp;Ration_complète_gavage_canards[aliment],Règles_gavage[Ration]&amp;Règles_gavage[Aliment],0))="complet"),
INDEX(Règles_gavage[Valeur 2-3],MATCH(ChoixRationFoieGrasCanards&amp;Ration_complète_gavage_canards[aliment],Règles_gavage[Ration]&amp;Règles_gavage[Aliment],0)),0),0)*FoieGrasCanetons_2_3mois*DuréePhaseElevage2_3)</calculatedColumnFormula>
    </tableColumn>
    <tableColumn id="4" name="Valeur 1-2" dataDxfId="869">
      <calculatedColumnFormula array="1">IF(ChoixRationComplèteFoieGrasCanards=NON,0,IFERROR(IF(OR(AND(INDEX(Règles_gavage[Specificite],MATCH(ChoixRationFoieGrasCanards&amp;Ration_complète_gavage_canards[aliment],Règles_gavage[Ration]&amp;Règles_gavage[Aliment],0))="s1",IF(Ration_complète_gavage_canards[aliment]=ChoixSpécificité1FoieGrasCanards,1)),
AND(INDEX(Règles_gavage[Specificite],MATCH(ChoixRationFoieGrasCanards&amp;Ration_complète_gavage_canards[aliment],Règles_gavage[Ration]&amp;Règles_gavage[Aliment],0))="s2",IF(Ration_complète_gavage_canards[aliment]=ChoixSpécificité2FoieGrasCanards,1)),
INDEX(Règles_gavage[Specificite],MATCH(ChoixRationFoieGrasCanards&amp;Ration_complète_gavage_canards[aliment],Règles_gavage[Ration]&amp;Règles_gavage[Aliment],0))="c",INDEX(Règles_gavage[Specificite],MATCH(ChoixRationFoieGrasCanards&amp;Ration_complète_gavage_canards[aliment],Règles_gavage[Ration]&amp;Règles_gavage[Aliment],0))="complet"),
INDEX(Règles_gavage[Valeur 1-2],MATCH(ChoixRationFoieGrasCanards&amp;Ration_complète_gavage_canards[aliment],Règles_gavage[Ration]&amp;Règles_gavage[Aliment],0)),0),0)*FoieGrasCanetons_1_2mois*DuréePhaseElevage1_2)</calculatedColumnFormula>
    </tableColumn>
    <tableColumn id="5" name="Valeur 0-1" dataDxfId="868">
      <calculatedColumnFormula array="1">IF(ChoixRationComplèteFoieGrasCanards=NON,0,IFERROR(IF(OR(AND(INDEX(Règles_gavage[Specificite],MATCH(ChoixRationFoieGrasCanards&amp;Ration_complète_gavage_canards[aliment],Règles_gavage[Ration]&amp;Règles_gavage[Aliment],0))="s1",IF(Ration_complète_gavage_canards[aliment]=ChoixSpécificité1FoieGrasCanards,1)),
AND(INDEX(Règles_gavage[Specificite],MATCH(ChoixRationFoieGrasCanards&amp;Ration_complète_gavage_canards[aliment],Règles_gavage[Ration]&amp;Règles_gavage[Aliment],0))="s2",IF(Ration_complète_gavage_canards[aliment]=ChoixSpécificité2FoieGrasCanards,1)),
INDEX(Règles_gavage[Specificite],MATCH(ChoixRationFoieGrasCanards&amp;Ration_complète_gavage_canards[aliment],Règles_gavage[Ration]&amp;Règles_gavage[Aliment],0))="c",INDEX(Règles_gavage[Specificite],MATCH(ChoixRationFoieGrasCanards&amp;Ration_complète_gavage_canards[aliment],Règles_gavage[Ration]&amp;Règles_gavage[Aliment],0))="complet"),
INDEX(Règles_gavage[Valeur 0-1],MATCH(ChoixRationFoieGrasCanards&amp;Ration_complète_gavage_canards[aliment],Règles_gavage[Ration]&amp;Règles_gavage[Aliment],0)),0),0)*FoieGrasCanetons_0_1mois*DuréePhaseElevage0_1)</calculatedColumnFormula>
    </tableColumn>
    <tableColumn id="6" name="somme" dataDxfId="867">
      <calculatedColumnFormula>SUM(Ration_complète_gavage_canards[[Valeur 3 et plus]:[Valeur 0-1]])</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id="52" name="AlimentsGavageCanards" displayName="AlimentsGavageCanards" ref="FW89:GB128" totalsRowShown="0" headerRowDxfId="866" dataDxfId="864" headerRowBorderDxfId="865" tableBorderDxfId="863" totalsRowBorderDxfId="862">
  <autoFilter ref="FW89:GB128"/>
  <tableColumns count="6">
    <tableColumn id="1" name="aliment" dataDxfId="861">
      <calculatedColumnFormula>FW43</calculatedColumnFormula>
    </tableColumn>
    <tableColumn id="2" name="Valeur 3 et plus" dataDxfId="860">
      <calculatedColumnFormula array="1">IF(animaux!$J$189=$M$2,0,IFERROR(IF(OR(AND(INDEX(Règles_gavage[Specificite],MATCH(animaux!$J$186&amp;AlimentsGavageCanards[[#This Row],[aliment]],Règles_gavage[Ration]&amp;Règles_gavage[Aliment],0))="s1",IF(AlimentsGavageCanards[[#This Row],[aliment]]=animaux!$J$195,1)),
AND(INDEX(Règles_gavage[Specificite],MATCH(animaux!$J$186&amp;AlimentsGavageCanards[[#This Row],[aliment]],Règles_gavage[Ration]&amp;Règles_gavage[Aliment],0))="s2",IF(AlimentsGavageCanards[[#This Row],[aliment]]=animaux!#REF!,1)),
INDEX(Règles_gavage[Specificite],MATCH(animaux!$J$186&amp;AlimentsGavageCanards[[#This Row],[aliment]],Règles_gavage[Ration]&amp;Règles_gavage[Aliment],0))="c"),
INDEX(Règles_gavage[Valeur 6 et plus],MATCH(animaux!$J$186&amp;AlimentsGavageCanards[[#This Row],[aliment]],Règles_gavage[Ration]&amp;Règles_gavage[Aliment],0)),0),0)*animaux!$G$187*$FY$18)</calculatedColumnFormula>
    </tableColumn>
    <tableColumn id="3" name="Valeur 2-3" dataDxfId="859">
      <calculatedColumnFormula array="1">IF(animaux!$J$189=$M$2,0,IFERROR(IF(OR(AND(INDEX(Règles_gavage[Specificite],MATCH(animaux!$J$186&amp;AlimentsGavageCanards[[#This Row],[aliment]],Règles_gavage[Ration]&amp;Règles_gavage[Aliment],0))="s1",IF(AlimentsGavageCanards[[#This Row],[aliment]]=animaux!$J$195,1)),
AND(INDEX(Règles_gavage[Specificite],MATCH(animaux!$J$186&amp;AlimentsGavageCanards[[#This Row],[aliment]],Règles_gavage[Ration]&amp;Règles_gavage[Aliment],0))="s2",IF(AlimentsGavageCanards[[#This Row],[aliment]]=animaux!#REF!,1)),
INDEX(Règles_gavage[Specificite],MATCH(animaux!$J$186&amp;AlimentsGavageCanards[[#This Row],[aliment]],Règles_gavage[Ration]&amp;Règles_gavage[Aliment],0))="c"),
INDEX(Règles_gavage[Valeur 2-3],MATCH(animaux!$J$186&amp;AlimentsGavageCanards[[#This Row],[aliment]],Règles_gavage[Ration]&amp;Règles_gavage[Aliment],0)),0),0)*animaux!$C$189*$FY$13)</calculatedColumnFormula>
    </tableColumn>
    <tableColumn id="6" name="Valeur 1-2" dataDxfId="858">
      <calculatedColumnFormula array="1">IF(animaux!$J$189=$M$2,0,IFERROR(IF(OR(AND(INDEX(Règles_gavage[Specificite],MATCH(animaux!$J$186&amp;AlimentsGavageCanards[[#This Row],[aliment]],Règles_gavage[Ration]&amp;Règles_gavage[Aliment],0))="s1",IF(AlimentsGavageCanards[[#This Row],[aliment]]=animaux!$J$195,1)),
AND(INDEX(Règles_gavage[Specificite],MATCH(animaux!$J$186&amp;AlimentsGavageCanards[[#This Row],[aliment]],Règles_gavage[Ration]&amp;Règles_gavage[Aliment],0))="s2",IF(AlimentsGavageCanards[[#This Row],[aliment]]=animaux!#REF!,1)),
INDEX(Règles_gavage[Specificite],MATCH(animaux!$J$186&amp;AlimentsGavageCanards[[#This Row],[aliment]],Règles_gavage[Ration]&amp;Règles_gavage[Aliment],0))="c"),
INDEX(Règles_gavage[Valeur 1-2],MATCH(animaux!$J$186&amp;AlimentsGavageCanards[[#This Row],[aliment]],Règles_gavage[Ration]&amp;Règles_gavage[Aliment],0)),0),0)*animaux!$C$188*$FY$12)</calculatedColumnFormula>
    </tableColumn>
    <tableColumn id="4" name="Valeur 0-1" dataDxfId="857">
      <calculatedColumnFormula array="1">IF(animaux!$J$189=$M$2,0,IFERROR(IF(OR(AND(INDEX(Règles_gavage[Specificite],MATCH(animaux!$J$186&amp;AlimentsGavageCanards[[#This Row],[aliment]],Règles_gavage[Ration]&amp;Règles_gavage[Aliment],0))="s1",IF(AlimentsGavageCanards[[#This Row],[aliment]]=animaux!$J$195,1)),
AND(INDEX(Règles_gavage[Specificite],MATCH(animaux!$J$186&amp;AlimentsGavageCanards[[#This Row],[aliment]],Règles_gavage[Ration]&amp;Règles_gavage[Aliment],0))="s2",IF(AlimentsGavageCanards[[#This Row],[aliment]]=animaux!#REF!,1)),
INDEX(Règles_gavage[Specificite],MATCH(animaux!$J$186&amp;AlimentsGavageCanards[[#This Row],[aliment]],Règles_gavage[Ration]&amp;Règles_gavage[Aliment],0))="c"),
INDEX(Règles_gavage[Valeur 0-1],MATCH(animaux!$J$186&amp;AlimentsGavageCanards[[#This Row],[aliment]],Règles_gavage[Ration]&amp;Règles_gavage[Aliment],0)),0),0)*animaux!$C$187*$FY$11)</calculatedColumnFormula>
    </tableColumn>
    <tableColumn id="5" name="somme" dataDxfId="856">
      <calculatedColumnFormula>SUM(AlimentsGavageCanards[[#This Row],[Valeur 3 et plus]:[Valeur 0-1]])</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id="44" name="cout_et_consommation_batiments" displayName="cout_et_consommation_batiments" ref="A6:D51" totalsRowShown="0" headerRowDxfId="855" dataDxfId="853" headerRowBorderDxfId="854" tableBorderDxfId="852" totalsRowBorderDxfId="851">
  <autoFilter ref="A6:D51"/>
  <tableColumns count="4">
    <tableColumn id="1" name="Batiments" dataDxfId="850"/>
    <tableColumn id="2" name="Unité" dataDxfId="849"/>
    <tableColumn id="3" name="Coût/unité" dataDxfId="848"/>
    <tableColumn id="4" name="kWh/unité/jour" dataDxfId="847"/>
  </tableColumns>
  <tableStyleInfo name="TableStyleMedium9" showFirstColumn="0" showLastColumn="0" showRowStripes="1" showColumnStripes="0"/>
</table>
</file>

<file path=xl/tables/table4.xml><?xml version="1.0" encoding="utf-8"?>
<table xmlns="http://schemas.openxmlformats.org/spreadsheetml/2006/main" id="7" name="Ration_complète_bovins" displayName="Ration_complète_bovins" ref="BB277:BJ278" totalsRowShown="0" headerRowDxfId="1256" dataDxfId="1254" headerRowBorderDxfId="1255" tableBorderDxfId="1253" totalsRowBorderDxfId="1252">
  <autoFilter ref="BB277:BJ278"/>
  <tableColumns count="9">
    <tableColumn id="1" name="aliment" dataDxfId="1251"/>
    <tableColumn id="2" name="Val 36 et plus" dataDxfId="1250"/>
    <tableColumn id="3" name="Val 24-36" dataDxfId="1249"/>
    <tableColumn id="4" name="Val 18-24" dataDxfId="1248"/>
    <tableColumn id="5" name="Val 12-18" dataDxfId="1247"/>
    <tableColumn id="6" name="Val 6-12" dataDxfId="1246"/>
    <tableColumn id="7" name="Val 3-6" dataDxfId="1245"/>
    <tableColumn id="8" name="Val 0-3" dataDxfId="1244"/>
    <tableColumn id="9" name="somme" dataDxfId="1243">
      <calculatedColumnFormula>SUM(Ration_complète_bovins[[Val 36 et plus]:[Val 0-3]])</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id="53" name="niveau_equipement_batiments" displayName="niveau_equipement_batiments" ref="A54:C59" totalsRowShown="0" headerRowDxfId="846" dataDxfId="844" headerRowBorderDxfId="845" tableBorderDxfId="843" totalsRowBorderDxfId="842">
  <autoFilter ref="A54:C59"/>
  <tableColumns count="3">
    <tableColumn id="1" name="niveau d'équimement" dataDxfId="841"/>
    <tableColumn id="2" name="surcout construction" dataDxfId="840"/>
    <tableColumn id="3" name="économie d'énergie" dataDxfId="839"/>
  </tableColumns>
  <tableStyleInfo name="TableStyleMedium9" showFirstColumn="0" showLastColumn="0" showRowStripes="1" showColumnStripes="0"/>
</table>
</file>

<file path=xl/tables/table41.xml><?xml version="1.0" encoding="utf-8"?>
<table xmlns="http://schemas.openxmlformats.org/spreadsheetml/2006/main" id="54" name="place_necessaire_entrepots_aire_paille" displayName="place_necessaire_entrepots_aire_paille" ref="A61:B190" totalsRowShown="0" headerRowDxfId="838" dataDxfId="836" headerRowBorderDxfId="837" tableBorderDxfId="835" totalsRowBorderDxfId="834">
  <autoFilter ref="A61:B190"/>
  <tableColumns count="2">
    <tableColumn id="1" name="place nécessaire dans batiments" dataDxfId="833"/>
    <tableColumn id="2" name="surface (m²)" dataDxfId="832"/>
  </tableColumns>
  <tableStyleInfo name="TableStyleMedium9" showFirstColumn="0" showLastColumn="0" showRowStripes="1" showColumnStripes="0"/>
</table>
</file>

<file path=xl/tables/table42.xml><?xml version="1.0" encoding="utf-8"?>
<table xmlns="http://schemas.openxmlformats.org/spreadsheetml/2006/main" id="59" name="RèglesLitièreBovins" displayName="RèglesLitièreBovins" ref="BC29:BD34" totalsRowShown="0" headerRowDxfId="831" dataDxfId="829" headerRowBorderDxfId="830" tableBorderDxfId="828" totalsRowBorderDxfId="827">
  <autoFilter ref="BC29:BD34"/>
  <tableColumns count="2">
    <tableColumn id="1" name="Animaux" dataDxfId="826"/>
    <tableColumn id="2" name="Litière" dataDxfId="825"/>
  </tableColumns>
  <tableStyleInfo name="TableStyleMedium9" showFirstColumn="0" showLastColumn="0" showRowStripes="1" showColumnStripes="0"/>
</table>
</file>

<file path=xl/tables/table43.xml><?xml version="1.0" encoding="utf-8"?>
<table xmlns="http://schemas.openxmlformats.org/spreadsheetml/2006/main" id="60" name="RèglesLisierBovins" displayName="RèglesLisierBovins" ref="BF29:BG34" totalsRowShown="0" headerRowDxfId="824" dataDxfId="822" headerRowBorderDxfId="823" tableBorderDxfId="821" totalsRowBorderDxfId="820">
  <autoFilter ref="BF29:BG34"/>
  <tableColumns count="2">
    <tableColumn id="1" name="Animaux" dataDxfId="819"/>
    <tableColumn id="2" name="Lisier" dataDxfId="818"/>
  </tableColumns>
  <tableStyleInfo name="TableStyleMedium9" showFirstColumn="0" showLastColumn="0" showRowStripes="1" showColumnStripes="0"/>
</table>
</file>

<file path=xl/tables/table44.xml><?xml version="1.0" encoding="utf-8"?>
<table xmlns="http://schemas.openxmlformats.org/spreadsheetml/2006/main" id="61" name="LitièreBovins" displayName="LitièreBovins" ref="BB331:BD337" totalsRowCount="1" headerRowDxfId="817" dataDxfId="815" totalsRowDxfId="813" headerRowBorderDxfId="816" tableBorderDxfId="814" totalsRowBorderDxfId="812">
  <autoFilter ref="BB331:BD336"/>
  <tableColumns count="3">
    <tableColumn id="1" name="Animaux" totalsRowLabel="Total" dataDxfId="811" totalsRowDxfId="810"/>
    <tableColumn id="2" name="Litière tout bovins" totalsRowFunction="custom" dataDxfId="809" totalsRowDxfId="808">
      <totalsRowFormula>IF(AND(ChoixPaillageBovins=OUI,OR(ChoixBovinsPréHiver=NON,ChoixBovinsPréHiver="")),SUBTOTAL(109,LitièreBovins[Litière tout bovins]),0)</totalsRowFormula>
    </tableColumn>
    <tableColumn id="3" name="litière races laitières" totalsRowFunction="custom" dataDxfId="807" totalsRowDxfId="806">
      <calculatedColumnFormula>BD30*TotalVachesRacesLaitières</calculatedColumnFormula>
      <totalsRowFormula>IF(AND(ChoixPaillageBovins=OUI,ChoixBovinsPréHiver=OUI),SUBTOTAL(109,LitièreBovins[litière races laitières]),0)</totalsRowFormula>
    </tableColumn>
  </tableColumns>
  <tableStyleInfo name="TableStyleMedium9" showFirstColumn="0" showLastColumn="0" showRowStripes="1" showColumnStripes="0"/>
</table>
</file>

<file path=xl/tables/table45.xml><?xml version="1.0" encoding="utf-8"?>
<table xmlns="http://schemas.openxmlformats.org/spreadsheetml/2006/main" id="62" name="LisierBovins" displayName="LisierBovins" ref="BG331:BH337" totalsRowCount="1" headerRowDxfId="805" dataDxfId="803" totalsRowDxfId="801" headerRowBorderDxfId="804" tableBorderDxfId="802" totalsRowBorderDxfId="800">
  <autoFilter ref="BG331:BH336"/>
  <tableColumns count="2">
    <tableColumn id="1" name="Animaux" totalsRowLabel="Total" dataDxfId="799" totalsRowDxfId="798"/>
    <tableColumn id="2" name="Lisier" totalsRowFunction="sum" dataDxfId="797" totalsRowDxfId="796"/>
  </tableColumns>
  <tableStyleInfo name="TableStyleMedium9" showFirstColumn="0" showLastColumn="0" showRowStripes="1" showColumnStripes="0"/>
</table>
</file>

<file path=xl/tables/table46.xml><?xml version="1.0" encoding="utf-8"?>
<table xmlns="http://schemas.openxmlformats.org/spreadsheetml/2006/main" id="65" name="LitièrePorcins" displayName="LitièrePorcins" ref="CJ129:CK135" totalsRowCount="1" headerRowDxfId="795" dataDxfId="793" totalsRowDxfId="791" headerRowBorderDxfId="794" tableBorderDxfId="792" totalsRowBorderDxfId="790">
  <autoFilter ref="CJ129:CK134"/>
  <tableColumns count="2">
    <tableColumn id="1" name="animaux" totalsRowLabel="Total" dataDxfId="789" totalsRowDxfId="788"/>
    <tableColumn id="2" name="litière" totalsRowFunction="custom" dataDxfId="787" totalsRowDxfId="786">
      <calculatedColumnFormula>CK17*TotalVerrats</calculatedColumnFormula>
      <totalsRowFormula>IF(AND(ChoixPaillagePorcins=OUI,OR(ChoixElevagePorcins=ElevagePorcinsLitière,ChoixElevagePorcins=ElevagePorcinsPleinAir)),SUBTOTAL(109,LitièrePorcins[litière]),0)</totalsRowFormula>
    </tableColumn>
  </tableColumns>
  <tableStyleInfo name="TableStyleMedium9" showFirstColumn="0" showLastColumn="0" showRowStripes="1" showColumnStripes="0"/>
</table>
</file>

<file path=xl/tables/table47.xml><?xml version="1.0" encoding="utf-8"?>
<table xmlns="http://schemas.openxmlformats.org/spreadsheetml/2006/main" id="66" name="LisierPorcins" displayName="LisierPorcins" ref="CM129:CN135" totalsRowCount="1" headerRowDxfId="785" dataDxfId="783" totalsRowDxfId="781" headerRowBorderDxfId="784" tableBorderDxfId="782" totalsRowBorderDxfId="780">
  <autoFilter ref="CM129:CN134"/>
  <tableColumns count="2">
    <tableColumn id="1" name="animaux" totalsRowLabel="Total" dataDxfId="779" totalsRowDxfId="778"/>
    <tableColumn id="2" name="lisier" totalsRowFunction="sum" dataDxfId="777" totalsRowDxfId="776"/>
  </tableColumns>
  <tableStyleInfo name="TableStyleMedium9" showFirstColumn="0" showLastColumn="0" showRowStripes="1" showColumnStripes="0"/>
</table>
</file>

<file path=xl/tables/table48.xml><?xml version="1.0" encoding="utf-8"?>
<table xmlns="http://schemas.openxmlformats.org/spreadsheetml/2006/main" id="67" name="RèglesLitièrePorcins" displayName="RèglesLitièrePorcins" ref="CJ16:CK21" totalsRowShown="0" headerRowDxfId="775" dataDxfId="773" headerRowBorderDxfId="774" tableBorderDxfId="772" totalsRowBorderDxfId="771">
  <autoFilter ref="CJ16:CK21"/>
  <tableColumns count="2">
    <tableColumn id="1" name="animaux" dataDxfId="770"/>
    <tableColumn id="2" name="paille" dataDxfId="769"/>
  </tableColumns>
  <tableStyleInfo name="TableStyleMedium9" showFirstColumn="0" showLastColumn="0" showRowStripes="1" showColumnStripes="0"/>
</table>
</file>

<file path=xl/tables/table49.xml><?xml version="1.0" encoding="utf-8"?>
<table xmlns="http://schemas.openxmlformats.org/spreadsheetml/2006/main" id="68" name="RèglesLisierPorcins" displayName="RèglesLisierPorcins" ref="CM16:CN21" totalsRowShown="0" headerRowDxfId="768" dataDxfId="766" headerRowBorderDxfId="767" tableBorderDxfId="765" totalsRowBorderDxfId="764">
  <autoFilter ref="CM16:CN21"/>
  <tableColumns count="2">
    <tableColumn id="1" name="animaux" dataDxfId="763"/>
    <tableColumn id="2" name="lisier" dataDxfId="762"/>
  </tableColumns>
  <tableStyleInfo name="TableStyleMedium9" showFirstColumn="0" showLastColumn="0" showRowStripes="1" showColumnStripes="0"/>
</table>
</file>

<file path=xl/tables/table5.xml><?xml version="1.0" encoding="utf-8"?>
<table xmlns="http://schemas.openxmlformats.org/spreadsheetml/2006/main" id="8" name="Ration_hivernale_complète_bovins" displayName="Ration_hivernale_complète_bovins" ref="BB326:BJ327" totalsRowShown="0" headerRowDxfId="1242" dataDxfId="1240" headerRowBorderDxfId="1241" tableBorderDxfId="1239" totalsRowBorderDxfId="1238">
  <autoFilter ref="BB326:BJ327"/>
  <tableColumns count="9">
    <tableColumn id="1" name="aliment" dataDxfId="1237"/>
    <tableColumn id="2" name="Val 36 et plus" dataDxfId="1236"/>
    <tableColumn id="3" name="Val 24-36" dataDxfId="1235"/>
    <tableColumn id="4" name="Val 18-24" dataDxfId="1234"/>
    <tableColumn id="5" name="Val 12-18" dataDxfId="1233"/>
    <tableColumn id="6" name="Val 6-12" dataDxfId="1232"/>
    <tableColumn id="7" name="Val 3-6" dataDxfId="1231"/>
    <tableColumn id="8" name="Val 0-3" dataDxfId="1230"/>
    <tableColumn id="9" name="somme" dataDxfId="1229">
      <calculatedColumnFormula>SUM(Ration_hivernale_complète_bovins[[Val 36 et plus]:[Val 0-3]])</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id="57" name="LitièreLapins" displayName="LitièreLapins" ref="CS145:CT151" totalsRowCount="1" headerRowDxfId="761" dataDxfId="759" totalsRowDxfId="757" headerRowBorderDxfId="760" tableBorderDxfId="758" totalsRowBorderDxfId="756">
  <autoFilter ref="CS145:CT150"/>
  <tableColumns count="2">
    <tableColumn id="1" name="animaux" totalsRowLabel="Total" dataDxfId="755" totalsRowDxfId="754"/>
    <tableColumn id="2" name="litière" totalsRowFunction="custom" dataDxfId="753" totalsRowDxfId="752">
      <calculatedColumnFormula>CT22*TotalLapins</calculatedColumnFormula>
      <totalsRowFormula>IF(ChoixPaillageLapins=OUI,SUBTOTAL(109,LitièreLapins[litière]),0)</totalsRowFormula>
    </tableColumn>
  </tableColumns>
  <tableStyleInfo name="TableStyleMedium9" showFirstColumn="0" showLastColumn="0" showRowStripes="1" showColumnStripes="0"/>
</table>
</file>

<file path=xl/tables/table51.xml><?xml version="1.0" encoding="utf-8"?>
<table xmlns="http://schemas.openxmlformats.org/spreadsheetml/2006/main" id="63" name="LitièreVolailles" displayName="LitièreVolailles" ref="CZ144:DA150" totalsRowCount="1" headerRowDxfId="751" dataDxfId="749" totalsRowDxfId="747" headerRowBorderDxfId="750" tableBorderDxfId="748" totalsRowBorderDxfId="746">
  <autoFilter ref="CZ144:DA149"/>
  <tableColumns count="2">
    <tableColumn id="1" name="animaux" totalsRowLabel="Total" dataDxfId="745" totalsRowDxfId="744"/>
    <tableColumn id="2" name="litière" totalsRowFunction="custom" dataDxfId="743" totalsRowDxfId="742">
      <calculatedColumnFormula>DC16</calculatedColumnFormula>
      <totalsRowFormula>IF(ChoixPaillageVolailles=OUI,SUBTOTAL(109,LitièreVolailles[litière]),0)</totalsRowFormula>
    </tableColumn>
  </tableColumns>
  <tableStyleInfo name="TableStyleMedium9" showFirstColumn="0" showLastColumn="0" showRowStripes="1" showColumnStripes="0"/>
</table>
</file>

<file path=xl/tables/table52.xml><?xml version="1.0" encoding="utf-8"?>
<table xmlns="http://schemas.openxmlformats.org/spreadsheetml/2006/main" id="70" name="LitièreOvins" displayName="LitièreOvins" ref="DN283:DP289" totalsRowCount="1" headerRowDxfId="741" dataDxfId="739" totalsRowDxfId="737" headerRowBorderDxfId="740" tableBorderDxfId="738" totalsRowBorderDxfId="736">
  <autoFilter ref="DN283:DP288"/>
  <tableColumns count="3">
    <tableColumn id="1" name="animaux" totalsRowLabel="Total" dataDxfId="735" totalsRowDxfId="734"/>
    <tableColumn id="2" name="litière tout ovins" totalsRowFunction="custom" dataDxfId="733" totalsRowDxfId="732">
      <calculatedColumnFormula>DQ155</calculatedColumnFormula>
      <totalsRowFormula>IF(AND(OR(ChoixOvinsPréHiver=NON,ChoixOvinsPréHiver=""),ChoixPaillageOvins=OUI),SUBTOTAL(109,LitièreOvins[litière tout ovins]),0)</totalsRowFormula>
    </tableColumn>
    <tableColumn id="3" name="litière ovins races laitières" totalsRowFunction="custom" dataDxfId="731" totalsRowDxfId="730">
      <totalsRowFormula>IF(AND(ChoixOvinsPréHiver=OUI,ChoixPaillageOvins=OUI),SUBTOTAL(109,LitièreOvins[litière ovins races laitières]),0)</totalsRowFormula>
    </tableColumn>
  </tableColumns>
  <tableStyleInfo name="TableStyleMedium9" showFirstColumn="0" showLastColumn="0" showRowStripes="1" showColumnStripes="0"/>
</table>
</file>

<file path=xl/tables/table53.xml><?xml version="1.0" encoding="utf-8"?>
<table xmlns="http://schemas.openxmlformats.org/spreadsheetml/2006/main" id="71" name="LitièreOies" displayName="LitièreOies" ref="EG140:EH146" totalsRowCount="1" headerRowDxfId="729" dataDxfId="727" totalsRowDxfId="725" headerRowBorderDxfId="728" tableBorderDxfId="726" totalsRowBorderDxfId="724">
  <autoFilter ref="EG140:EH145"/>
  <tableColumns count="2">
    <tableColumn id="1" name="animaux" totalsRowLabel="Total" dataDxfId="723" totalsRowDxfId="722"/>
    <tableColumn id="2" name="litière" totalsRowFunction="custom" dataDxfId="721" totalsRowDxfId="720">
      <calculatedColumnFormula>EJ12</calculatedColumnFormula>
      <totalsRowFormula>IF(ChoixPaillageOies=OUI,SUBTOTAL(109,LitièreOies[litière]),0)</totalsRowFormula>
    </tableColumn>
  </tableColumns>
  <tableStyleInfo name="TableStyleMedium9" showFirstColumn="0" showLastColumn="0" showRowStripes="1" showColumnStripes="0"/>
</table>
</file>

<file path=xl/tables/table54.xml><?xml version="1.0" encoding="utf-8"?>
<table xmlns="http://schemas.openxmlformats.org/spreadsheetml/2006/main" id="72" name="LitièreCanards" displayName="LitièreCanards" ref="EN139:EO145" totalsRowCount="1" headerRowDxfId="719" dataDxfId="717" totalsRowDxfId="715" headerRowBorderDxfId="718" tableBorderDxfId="716" totalsRowBorderDxfId="714">
  <autoFilter ref="EN139:EO144"/>
  <tableColumns count="2">
    <tableColumn id="1" name="animaux" totalsRowLabel="Total" dataDxfId="713" totalsRowDxfId="712"/>
    <tableColumn id="2" name="litière" totalsRowFunction="custom" dataDxfId="711" totalsRowDxfId="710">
      <calculatedColumnFormula>EQ10</calculatedColumnFormula>
      <totalsRowFormula>IF(ChoixPaillageCanards=OUI,SUBTOTAL(109,LitièreCanards[litière]),0)</totalsRowFormula>
    </tableColumn>
  </tableColumns>
  <tableStyleInfo name="TableStyleMedium9" showFirstColumn="0" showLastColumn="0" showRowStripes="1" showColumnStripes="0"/>
</table>
</file>

<file path=xl/tables/table55.xml><?xml version="1.0" encoding="utf-8"?>
<table xmlns="http://schemas.openxmlformats.org/spreadsheetml/2006/main" id="73" name="LitièreChevauxSelles" displayName="LitièreChevauxSelles" ref="EU193:EW199" totalsRowCount="1" headerRowDxfId="709" dataDxfId="707" totalsRowDxfId="705" headerRowBorderDxfId="708" tableBorderDxfId="706" totalsRowBorderDxfId="704">
  <autoFilter ref="EU193:EW198"/>
  <tableColumns count="3">
    <tableColumn id="1" name="animaux" totalsRowLabel="Total" dataDxfId="703" totalsRowDxfId="702"/>
    <tableColumn id="2" name="hiver dedans" totalsRowFunction="custom" dataDxfId="701" totalsRowDxfId="700">
      <calculatedColumnFormula>EX18</calculatedColumnFormula>
      <totalsRowFormula>IF(AND(OR(ChoixChevauxSellePréHiver=NON,ChoixChevauxSellePréHiver=""),ChoixPaillageChevauxSelle=OUI),SUBTOTAL(109,LitièreChevauxSelles[hiver dedans]),0)</totalsRowFormula>
    </tableColumn>
    <tableColumn id="3" name="hiver dehors" totalsRowFunction="custom" dataDxfId="699" totalsRowDxfId="698">
      <totalsRowFormula>IF(AND(ChoixChevauxSellePréHiver=OUI,ChoixPaillageChevauxSelle=OUI),SUBTOTAL(109,LitièreChevauxSelles[hiver dehors]),0)</totalsRowFormula>
    </tableColumn>
  </tableColumns>
  <tableStyleInfo name="TableStyleMedium9" showFirstColumn="0" showLastColumn="0" showRowStripes="1" showColumnStripes="0"/>
</table>
</file>

<file path=xl/tables/table56.xml><?xml version="1.0" encoding="utf-8"?>
<table xmlns="http://schemas.openxmlformats.org/spreadsheetml/2006/main" id="74" name="LitièreChevauxTrait" displayName="LitièreChevauxTrait" ref="FD188:FF194" totalsRowCount="1" headerRowDxfId="697" dataDxfId="695" totalsRowDxfId="693" headerRowBorderDxfId="696" tableBorderDxfId="694" totalsRowBorderDxfId="692">
  <autoFilter ref="FD188:FF193"/>
  <tableColumns count="3">
    <tableColumn id="1" name="animaux" totalsRowLabel="Total" dataDxfId="691" totalsRowDxfId="690"/>
    <tableColumn id="2" name="hiver dedans" totalsRowFunction="custom" dataDxfId="689" totalsRowDxfId="688">
      <calculatedColumnFormula>FG13</calculatedColumnFormula>
      <totalsRowFormula>IF(AND(OR(ChoixChevauxTraitPréHiver=NON,ChoixChevauxTraitPréHiver=""),ChoixPaillageChevauxTrait=OUI),SUBTOTAL(109,LitièreChevauxTrait[hiver dedans]),0)</totalsRowFormula>
    </tableColumn>
    <tableColumn id="3" name="hiver dehors" totalsRowFunction="custom" dataDxfId="687" totalsRowDxfId="686">
      <totalsRowFormula>IF(AND(ChoixChevauxTraitPréHiver=OUI,ChoixPaillageChevauxTrait=OUI),SUBTOTAL(109,LitièreChevauxTrait[hiver dehors]),0)</totalsRowFormula>
    </tableColumn>
  </tableColumns>
  <tableStyleInfo name="TableStyleMedium9" showFirstColumn="0" showLastColumn="0" showRowStripes="1" showColumnStripes="0"/>
</table>
</file>

<file path=xl/tables/table57.xml><?xml version="1.0" encoding="utf-8"?>
<table xmlns="http://schemas.openxmlformats.org/spreadsheetml/2006/main" id="75" name="LitièrePoneys" displayName="LitièrePoneys" ref="FN187:FP193" totalsRowCount="1" headerRowDxfId="685" dataDxfId="683" totalsRowDxfId="681" headerRowBorderDxfId="684" tableBorderDxfId="682" totalsRowBorderDxfId="680">
  <autoFilter ref="FN187:FP192"/>
  <tableColumns count="3">
    <tableColumn id="1" name="animaux" totalsRowLabel="Total" dataDxfId="679" totalsRowDxfId="678"/>
    <tableColumn id="2" name="hiver dedans" totalsRowFunction="custom" dataDxfId="677" totalsRowDxfId="676">
      <calculatedColumnFormula>FQ11</calculatedColumnFormula>
      <totalsRowFormula>IF(AND(ChoixPoneysPréHiver=NON,ChoixPaillagePoneys=OUI),SUBTOTAL(109,LitièrePoneys[hiver dedans]),0)</totalsRowFormula>
    </tableColumn>
    <tableColumn id="3" name="hiver dehors" totalsRowFunction="custom" dataDxfId="675" totalsRowDxfId="674">
      <totalsRowFormula>IF(AND(ChoixPoneysPréHiver=OUI,ChoixPaillagePoneys=OUI),SUBTOTAL(109,LitièrePoneys[hiver dehors]),0)</totalsRowFormula>
    </tableColumn>
  </tableColumns>
  <tableStyleInfo name="TableStyleMedium9" showFirstColumn="0" showLastColumn="0" showRowStripes="1" showColumnStripes="0"/>
</table>
</file>

<file path=xl/tables/table58.xml><?xml version="1.0" encoding="utf-8"?>
<table xmlns="http://schemas.openxmlformats.org/spreadsheetml/2006/main" id="76" name="RèglesPréPoneys" displayName="RèglesPréPoneys" ref="FN23:FO28" totalsRowShown="0" headerRowDxfId="673" dataDxfId="671" headerRowBorderDxfId="672" tableBorderDxfId="670" totalsRowBorderDxfId="669">
  <autoFilter ref="FN23:FO28"/>
  <tableColumns count="2">
    <tableColumn id="1" name="animaux" dataDxfId="668"/>
    <tableColumn id="2" name="herbe" dataDxfId="667"/>
  </tableColumns>
  <tableStyleInfo name="TableStyleMedium9" showFirstColumn="0" showLastColumn="0" showRowStripes="1" showColumnStripes="0"/>
</table>
</file>

<file path=xl/tables/table59.xml><?xml version="1.0" encoding="utf-8"?>
<table xmlns="http://schemas.openxmlformats.org/spreadsheetml/2006/main" id="77" name="RèglesLitièrePoneys" displayName="RèglesLitièrePoneys" ref="FQ23:FR28" totalsRowShown="0" headerRowDxfId="666" dataDxfId="664" headerRowBorderDxfId="665" tableBorderDxfId="663" totalsRowBorderDxfId="662">
  <autoFilter ref="FQ23:FR28"/>
  <tableColumns count="2">
    <tableColumn id="1" name="animaux" dataDxfId="661"/>
    <tableColumn id="2" name="paille" dataDxfId="660"/>
  </tableColumns>
  <tableStyleInfo name="TableStyleMedium9" showFirstColumn="0" showLastColumn="0" showRowStripes="1" showColumnStripes="0"/>
</table>
</file>

<file path=xl/tables/table6.xml><?xml version="1.0" encoding="utf-8"?>
<table xmlns="http://schemas.openxmlformats.org/spreadsheetml/2006/main" id="10" name="Ration_hivernale_complète_bisons" displayName="Ration_hivernale_complète_bisons" ref="BM109:BU110" totalsRowShown="0" headerRowDxfId="1228" dataDxfId="1226" headerRowBorderDxfId="1227" tableBorderDxfId="1225" totalsRowBorderDxfId="1224">
  <autoFilter ref="BM109:BU110"/>
  <tableColumns count="9">
    <tableColumn id="1" name="aliment" dataDxfId="1223"/>
    <tableColumn id="2" name="Val 36 et plus" dataDxfId="1222"/>
    <tableColumn id="3" name="Val 24-36" dataDxfId="1221"/>
    <tableColumn id="4" name="Val 18-24" dataDxfId="1220"/>
    <tableColumn id="5" name="Val 12-18" dataDxfId="1219"/>
    <tableColumn id="6" name="Val 6-12" dataDxfId="1218"/>
    <tableColumn id="7" name="Val 3-6" dataDxfId="1217"/>
    <tableColumn id="8" name="Val 0-3" dataDxfId="1216"/>
    <tableColumn id="9" name="somme" dataDxfId="1215">
      <calculatedColumnFormula>SUM(Ration_hivernale_complète_bisons[[Val 36 et plus]:[Val 0-3]])</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id="78" name="RègleSurfacePoneys" displayName="RègleSurfacePoneys" ref="FT23:FU28" totalsRowShown="0" headerRowDxfId="659" dataDxfId="657" headerRowBorderDxfId="658" tableBorderDxfId="656" totalsRowBorderDxfId="655">
  <autoFilter ref="FT23:FU28"/>
  <tableColumns count="2">
    <tableColumn id="1" name="animaux" dataDxfId="654"/>
    <tableColumn id="2" name="surface" dataDxfId="653"/>
  </tableColumns>
  <tableStyleInfo name="TableStyleMedium9" showFirstColumn="0" showLastColumn="0" showRowStripes="1" showColumnStripes="0"/>
</table>
</file>

<file path=xl/tables/table61.xml><?xml version="1.0" encoding="utf-8"?>
<table xmlns="http://schemas.openxmlformats.org/spreadsheetml/2006/main" id="79" name="RèglesHerbeChevauxTrait" displayName="RèglesHerbeChevauxTrait" ref="FD24:FE29" totalsRowShown="0" headerRowDxfId="652" dataDxfId="650" headerRowBorderDxfId="651" tableBorderDxfId="649" totalsRowBorderDxfId="648">
  <autoFilter ref="FD24:FE29"/>
  <tableColumns count="2">
    <tableColumn id="1" name="animaux" dataDxfId="647"/>
    <tableColumn id="2" name="herbe" dataDxfId="646"/>
  </tableColumns>
  <tableStyleInfo name="TableStyleMedium9" showFirstColumn="0" showLastColumn="0" showRowStripes="1" showColumnStripes="0"/>
</table>
</file>

<file path=xl/tables/table62.xml><?xml version="1.0" encoding="utf-8"?>
<table xmlns="http://schemas.openxmlformats.org/spreadsheetml/2006/main" id="80" name="RèglesLitièreChevauxTrait" displayName="RèglesLitièreChevauxTrait" ref="FG24:FH29" totalsRowShown="0" headerRowDxfId="645" dataDxfId="643" headerRowBorderDxfId="644" tableBorderDxfId="642" totalsRowBorderDxfId="641">
  <autoFilter ref="FG24:FH29"/>
  <tableColumns count="2">
    <tableColumn id="1" name="animaux" dataDxfId="640"/>
    <tableColumn id="2" name="paille" dataDxfId="639"/>
  </tableColumns>
  <tableStyleInfo name="TableStyleMedium9" showFirstColumn="0" showLastColumn="0" showRowStripes="1" showColumnStripes="0"/>
</table>
</file>

<file path=xl/tables/table63.xml><?xml version="1.0" encoding="utf-8"?>
<table xmlns="http://schemas.openxmlformats.org/spreadsheetml/2006/main" id="81" name="RèglesSurfaceChevauxTrait" displayName="RèglesSurfaceChevauxTrait" ref="FJ24:FK29" totalsRowShown="0" headerRowDxfId="638" dataDxfId="636" headerRowBorderDxfId="637" tableBorderDxfId="635" totalsRowBorderDxfId="634">
  <autoFilter ref="FJ24:FK29"/>
  <tableColumns count="2">
    <tableColumn id="1" name="animaux" dataDxfId="633"/>
    <tableColumn id="2" name="surface" dataDxfId="632"/>
  </tableColumns>
  <tableStyleInfo name="TableStyleMedium9" showFirstColumn="0" showLastColumn="0" showRowStripes="1" showColumnStripes="0"/>
</table>
</file>

<file path=xl/tables/table64.xml><?xml version="1.0" encoding="utf-8"?>
<table xmlns="http://schemas.openxmlformats.org/spreadsheetml/2006/main" id="82" name="RèglesHerbeChevauxSelle" displayName="RèglesHerbeChevauxSelle" ref="EU30:EV35" totalsRowShown="0" headerRowDxfId="631" dataDxfId="629" headerRowBorderDxfId="630" tableBorderDxfId="628" totalsRowBorderDxfId="627">
  <autoFilter ref="EU30:EV35"/>
  <tableColumns count="2">
    <tableColumn id="1" name="animaux" dataDxfId="626"/>
    <tableColumn id="2" name="herbe" dataDxfId="625"/>
  </tableColumns>
  <tableStyleInfo name="TableStyleMedium9" showFirstColumn="0" showLastColumn="0" showRowStripes="1" showColumnStripes="0"/>
</table>
</file>

<file path=xl/tables/table65.xml><?xml version="1.0" encoding="utf-8"?>
<table xmlns="http://schemas.openxmlformats.org/spreadsheetml/2006/main" id="83" name="RèglesLitièreChevauxSelle" displayName="RèglesLitièreChevauxSelle" ref="EX30:EY35" totalsRowShown="0" headerRowDxfId="624" dataDxfId="622" headerRowBorderDxfId="623" tableBorderDxfId="621" totalsRowBorderDxfId="620">
  <autoFilter ref="EX30:EY35"/>
  <tableColumns count="2">
    <tableColumn id="1" name="animaux" dataDxfId="619"/>
    <tableColumn id="2" name="paille" dataDxfId="618"/>
  </tableColumns>
  <tableStyleInfo name="TableStyleMedium9" showFirstColumn="0" showLastColumn="0" showRowStripes="1" showColumnStripes="0"/>
</table>
</file>

<file path=xl/tables/table66.xml><?xml version="1.0" encoding="utf-8"?>
<table xmlns="http://schemas.openxmlformats.org/spreadsheetml/2006/main" id="84" name="RèglesSurfaceChevauxSelle" displayName="RèglesSurfaceChevauxSelle" ref="FA30:FB35" totalsRowShown="0" headerRowDxfId="617" dataDxfId="615" headerRowBorderDxfId="616" tableBorderDxfId="614" totalsRowBorderDxfId="613">
  <autoFilter ref="FA30:FB35"/>
  <tableColumns count="2">
    <tableColumn id="1" name="animaux" dataDxfId="612"/>
    <tableColumn id="2" name="surface" dataDxfId="611"/>
  </tableColumns>
  <tableStyleInfo name="TableStyleMedium9" showFirstColumn="0" showLastColumn="0" showRowStripes="1" showColumnStripes="0"/>
</table>
</file>

<file path=xl/tables/table67.xml><?xml version="1.0" encoding="utf-8"?>
<table xmlns="http://schemas.openxmlformats.org/spreadsheetml/2006/main" id="85" name="LitiereCanards" displayName="LitiereCanards" ref="EN22:EO27" totalsRowShown="0" headerRowDxfId="610" dataDxfId="608" headerRowBorderDxfId="609" tableBorderDxfId="607" totalsRowBorderDxfId="606">
  <autoFilter ref="EN22:EO27"/>
  <tableColumns count="2">
    <tableColumn id="1" name="animaux" dataDxfId="605"/>
    <tableColumn id="2" name="paille" dataDxfId="604"/>
  </tableColumns>
  <tableStyleInfo name="TableStyleMedium9" showFirstColumn="0" showLastColumn="0" showRowStripes="1" showColumnStripes="0"/>
</table>
</file>

<file path=xl/tables/table68.xml><?xml version="1.0" encoding="utf-8"?>
<table xmlns="http://schemas.openxmlformats.org/spreadsheetml/2006/main" id="86" name="SurfaceCanardDansPoulailler" displayName="SurfaceCanardDansPoulailler" ref="EQ22:ER27" totalsRowShown="0" headerRowDxfId="603" dataDxfId="601" headerRowBorderDxfId="602" tableBorderDxfId="600" totalsRowBorderDxfId="599">
  <autoFilter ref="EQ22:ER27"/>
  <tableColumns count="2">
    <tableColumn id="1" name="animaux" dataDxfId="598"/>
    <tableColumn id="2" name="surface" dataDxfId="597"/>
  </tableColumns>
  <tableStyleInfo name="TableStyleMedium9" showFirstColumn="0" showLastColumn="0" showRowStripes="1" showColumnStripes="0"/>
</table>
</file>

<file path=xl/tables/table69.xml><?xml version="1.0" encoding="utf-8"?>
<table xmlns="http://schemas.openxmlformats.org/spreadsheetml/2006/main" id="88" name="AnimauxAuPré" displayName="AnimauxAuPré" ref="O90:W104" totalsRowShown="0" headerRowDxfId="596" dataDxfId="594" headerRowBorderDxfId="595">
  <autoFilter ref="O90:W104"/>
  <tableColumns count="9">
    <tableColumn id="1" name="tranche d'ages" dataDxfId="593"/>
    <tableColumn id="2" name="bovins" dataDxfId="592">
      <calculatedColumnFormula>SUMIF('pâtures et foin'!$D$24:$BA$24,BDD!P$90,'pâtures et foin'!$D$32:$BA$32)</calculatedColumnFormula>
    </tableColumn>
    <tableColumn id="3" name="ovins" dataDxfId="591">
      <calculatedColumnFormula>SUMIF('pâtures et foin'!$D$24:$BA$24,BDD!Q$90,'pâtures et foin'!$D$32:$BA$32)</calculatedColumnFormula>
    </tableColumn>
    <tableColumn id="4" name="caprins" dataDxfId="590">
      <calculatedColumnFormula>SUMIF('pâtures et foin'!$D$24:$BA$24,BDD!R$90,'pâtures et foin'!$D$32:$BA$32)</calculatedColumnFormula>
    </tableColumn>
    <tableColumn id="5" name="bisons" dataDxfId="589">
      <calculatedColumnFormula>SUMIF('pâtures et foin'!$D$24:$BA$24,BDD!S$90,'pâtures et foin'!$D$32:$BA$32)</calculatedColumnFormula>
    </tableColumn>
    <tableColumn id="6" name="daims" dataDxfId="588">
      <calculatedColumnFormula>SUMIF('pâtures et foin'!$D$24:$BA$24,BDD!T$90,'pâtures et foin'!$D$32:$BA$32)</calculatedColumnFormula>
    </tableColumn>
    <tableColumn id="7" name="chevaux de selle" dataDxfId="587">
      <calculatedColumnFormula>SUMIF('pâtures et foin'!$D$24:$BA$24,BDD!U$90,'pâtures et foin'!$D$32:$BA$32)</calculatedColumnFormula>
    </tableColumn>
    <tableColumn id="8" name="chevaux de trait" dataDxfId="586">
      <calculatedColumnFormula>SUMIF('pâtures et foin'!$D$24:$BA$24,BDD!V$90,'pâtures et foin'!$D$32:$BA$32)</calculatedColumnFormula>
    </tableColumn>
    <tableColumn id="9" name="poneys" dataDxfId="585">
      <calculatedColumnFormula>SUMIF('pâtures et foin'!$D$24:$BA$24,BDD!W$90,'pâtures et foin'!$D$32:$BA$32)</calculatedColumnFormula>
    </tableColumn>
  </tableColumns>
  <tableStyleInfo name="TableStyleMedium9" showFirstColumn="0" showLastColumn="0" showRowStripes="1" showColumnStripes="0"/>
</table>
</file>

<file path=xl/tables/table7.xml><?xml version="1.0" encoding="utf-8"?>
<table xmlns="http://schemas.openxmlformats.org/spreadsheetml/2006/main" id="11" name="Règles_caprins" displayName="Règles_caprins" ref="BX48:CD102" totalsRowShown="0" headerRowDxfId="1214" dataDxfId="1212" headerRowBorderDxfId="1213" tableBorderDxfId="1211" totalsRowBorderDxfId="1210">
  <autoFilter ref="BX48:CD102"/>
  <tableColumns count="7">
    <tableColumn id="1" name="Ration" dataDxfId="1209"/>
    <tableColumn id="2" name="Aliment" dataDxfId="1208"/>
    <tableColumn id="3" name="Specificite" dataDxfId="1207"/>
    <tableColumn id="4" name="Valeur 12 et plus" dataDxfId="1206"/>
    <tableColumn id="5" name="Valeur 6-12" dataDxfId="1205"/>
    <tableColumn id="6" name="Valeur 3-6" dataDxfId="1204"/>
    <tableColumn id="7" name="Valeur 0-3" dataDxfId="1203"/>
  </tableColumns>
  <tableStyleInfo name="TableStyleMedium9" showFirstColumn="0" showLastColumn="0" showRowStripes="1" showColumnStripes="0"/>
</table>
</file>

<file path=xl/tables/table70.xml><?xml version="1.0" encoding="utf-8"?>
<table xmlns="http://schemas.openxmlformats.org/spreadsheetml/2006/main" id="14" name="AlimentsRationPorcinsMâles" displayName="AlimentsRationPorcinsMâles" ref="CJ49:CP84" totalsRowShown="0" headerRowDxfId="584" dataDxfId="582" headerRowBorderDxfId="583" tableBorderDxfId="581" totalsRowBorderDxfId="580">
  <autoFilter ref="CJ49:CP84"/>
  <tableColumns count="7">
    <tableColumn id="1" name="aliment" dataDxfId="579"/>
    <tableColumn id="2" name="Valeur 12 et plus" dataDxfId="578">
      <calculatedColumnFormula array="1">IF(animaux!$J$67=BDD!$M$2,0,IFERROR(IF(OR(AND(INDEX(Règles_porcins[Specificite],MATCH(animaux!$J$61&amp;AlimentsRationPorcinsMâles[[#This Row],[aliment]],Règles_porcins[Ration]&amp;Règles_porcins[Aliment],0))="s1",IF(AlimentsRationPorcinsMâles[[#This Row],[aliment]]=animaux!$J$73,1)),
INDEX(Règles_porcins[Specificite],MATCH(animaux!$J$61&amp;AlimentsRationPorcinsMâles[[#This Row],[aliment]],Règles_porcins[Ration]&amp;Règles_porcins[Aliment],0))="c"),
INDEX(Règles_porcins[Valeur 12 et plus],MATCH(animaux!$J$61&amp;AlimentsRationPorcinsMâles[[#This Row],[aliment]],Règles_porcins[Ration]&amp;Règles_porcins[Aliment],0)),0),0)*SUM(animaux!$C$69:$C$70)*SUM($P$76:$P$76))</calculatedColumnFormula>
    </tableColumn>
    <tableColumn id="3" name="Valeur 6-12" dataDxfId="577">
      <calculatedColumnFormula array="1">IF(animaux!$J$67=BDD!$M$2,0,IFERROR(IF(OR(AND(INDEX(Règles_porcins[Specificite],MATCH(animaux!$J$61&amp;AlimentsRationPorcinsMâles[[#This Row],[aliment]],Règles_porcins[Ration]&amp;Règles_porcins[Aliment],0))="s1",IF(AlimentsRationPorcinsMâles[[#This Row],[aliment]]=animaux!$J$73,1)),
INDEX(Règles_porcins[Specificite],MATCH(animaux!$J$61&amp;AlimentsRationPorcinsMâles[[#This Row],[aliment]],Règles_porcins[Ration]&amp;Règles_porcins[Aliment],0))="c"),
INDEX(Règles_porcins[Valeur 6-12],MATCH(animaux!$J$61&amp;AlimentsRationPorcinsMâles[[#This Row],[aliment]],Règles_porcins[Ration]&amp;Règles_porcins[Aliment],0)),0),0)*SUM(animaux!$C$67:$C$68)*SUM($P$76:$P$76))</calculatedColumnFormula>
    </tableColumn>
    <tableColumn id="4" name="Valeur 3-6" dataDxfId="576">
      <calculatedColumnFormula array="1">IF(animaux!$J$67=BDD!$M$2,0,IFERROR(IF(OR(AND(INDEX(Règles_porcins[Specificite],MATCH(animaux!$J$61&amp;AlimentsRationPorcinsMâles[[#This Row],[aliment]],Règles_porcins[Ration]&amp;Règles_porcins[Aliment],0))="s1",IF(AlimentsRationPorcinsMâles[[#This Row],[aliment]]=animaux!$J$73,1)),
INDEX(Règles_porcins[Specificite],MATCH(animaux!$J$61&amp;AlimentsRationPorcinsMâles[[#This Row],[aliment]],Règles_porcins[Ration]&amp;Règles_porcins[Aliment],0))="c"),
INDEX(Règles_porcins[Valeur 3-6],MATCH(animaux!$J$61&amp;AlimentsRationPorcinsMâles[[#This Row],[aliment]],Règles_porcins[Ration]&amp;Règles_porcins[Aliment],0)),0),0)*SUM(animaux!$C$65:$C$66)*SUM($P$76:$P$76))</calculatedColumnFormula>
    </tableColumn>
    <tableColumn id="5" name="Valeur 1-3" dataDxfId="575">
      <calculatedColumnFormula array="1">IF(animaux!$J$67=BDD!$M$2,0,IFERROR(IF(OR(AND(INDEX(Règles_porcins[Specificite],MATCH(animaux!$J$61&amp;AlimentsRationPorcinsMâles[[#This Row],[aliment]],Règles_porcins[Ration]&amp;Règles_porcins[Aliment],0))="s1",IF(AlimentsRationPorcinsMâles[[#This Row],[aliment]]=animaux!$J$73,1)),
INDEX(Règles_porcins[Specificite],MATCH(animaux!$J$61&amp;AlimentsRationPorcinsMâles[[#This Row],[aliment]],Règles_porcins[Ration]&amp;Règles_porcins[Aliment],0))="c"),
INDEX(Règles_porcins[Valeur 1-3],MATCH(animaux!$J$61&amp;AlimentsRationPorcinsMâles[[#This Row],[aliment]],Règles_porcins[Ration]&amp;Règles_porcins[Aliment],0)),0),0)*SUM(animaux!$C$63:$C$64)*SUM($P$76:$P$76))</calculatedColumnFormula>
    </tableColumn>
    <tableColumn id="6" name="Valeur 0-1" dataDxfId="574">
      <calculatedColumnFormula array="1">IF(animaux!$J$67=BDD!$M$2,0,IFERROR(IF(OR(AND(INDEX(Règles_porcins[Specificite],MATCH(animaux!$J$61&amp;AlimentsRationPorcinsMâles[[#This Row],[aliment]],Règles_porcins[Ration]&amp;Règles_porcins[Aliment],0))="s1",IF(AlimentsRationPorcinsMâles[[#This Row],[aliment]]=animaux!$J$73,1)),
INDEX(Règles_porcins[Specificite],MATCH(animaux!$J$61&amp;AlimentsRationPorcinsMâles[[#This Row],[aliment]],Règles_porcins[Ration]&amp;Règles_porcins[Aliment],0))="c"),
INDEX(Règles_porcins[Valeur 0-1],MATCH(animaux!$J$61&amp;AlimentsRationPorcinsMâles[[#This Row],[aliment]],Règles_porcins[Ration]&amp;Règles_porcins[Aliment],0)),0),0)*SUM(animaux!$C$61:$C$62)*SUM($P$76:$P$76))</calculatedColumnFormula>
    </tableColumn>
    <tableColumn id="7" name="Somme" dataDxfId="573">
      <calculatedColumnFormula>SUM(AlimentsRationPorcinsMâles[[#This Row],[Valeur 12 et plus]:[Valeur 0-1]])</calculatedColumnFormula>
    </tableColumn>
  </tableColumns>
  <tableStyleInfo name="TableStyleMedium9" showFirstColumn="0" showLastColumn="0" showRowStripes="1" showColumnStripes="0"/>
</table>
</file>

<file path=xl/tables/table71.xml><?xml version="1.0" encoding="utf-8"?>
<table xmlns="http://schemas.openxmlformats.org/spreadsheetml/2006/main" id="4" name="Ration_complète_chevaux_selle5" displayName="Ration_complète_chevaux_selle5" ref="EU189:EZ190" totalsRowShown="0" headerRowDxfId="572" dataDxfId="570" headerRowBorderDxfId="571" tableBorderDxfId="569" totalsRowBorderDxfId="568">
  <autoFilter ref="EU189:EZ190"/>
  <tableColumns count="6">
    <tableColumn id="1" name="aliment" dataDxfId="567"/>
    <tableColumn id="2" name="Valeur 36 et plus" dataDxfId="566"/>
    <tableColumn id="3" name="Valeur 24-36" dataDxfId="565"/>
    <tableColumn id="4" name="Valeur 12-24" dataDxfId="564"/>
    <tableColumn id="5" name="Valeur 0-12" dataDxfId="563"/>
    <tableColumn id="6" name="somme" dataDxfId="562">
      <calculatedColumnFormula>SUM(Ration_complète_chevaux_selle5[[Valeur 36 et plus]:[Valeur 0-12]])</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id="5" name="Ration_complète_chevaux_trait6" displayName="Ration_complète_chevaux_trait6" ref="FD183:FI184" totalsRowShown="0" headerRowDxfId="561" dataDxfId="559" headerRowBorderDxfId="560" tableBorderDxfId="558" totalsRowBorderDxfId="557">
  <autoFilter ref="FD183:FI184"/>
  <tableColumns count="6">
    <tableColumn id="1" name="aliment" dataDxfId="556"/>
    <tableColumn id="2" name="Valeur 36 et plus" dataDxfId="555"/>
    <tableColumn id="3" name="Valeur 24-36" dataDxfId="554"/>
    <tableColumn id="4" name="Valeur 12-24" dataDxfId="553"/>
    <tableColumn id="5" name="Valeur 0-12" dataDxfId="552"/>
    <tableColumn id="6" name="somme" dataDxfId="551">
      <calculatedColumnFormula>SUM(Ration_complète_chevaux_trait6[[Valeur 36 et plus]:[Valeur 0-12]])</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id="6" name="Ration_complète_chevaux_trait67" displayName="Ration_complète_chevaux_trait67" ref="FN182:FS183" totalsRowShown="0" headerRowDxfId="550" dataDxfId="548" headerRowBorderDxfId="549" tableBorderDxfId="547" totalsRowBorderDxfId="546">
  <autoFilter ref="FN182:FS183"/>
  <tableColumns count="6">
    <tableColumn id="1" name="aliment" dataDxfId="545"/>
    <tableColumn id="2" name="Valeur 36 et plus" dataDxfId="544"/>
    <tableColumn id="3" name="Valeur 24-36" dataDxfId="543"/>
    <tableColumn id="4" name="Valeur 12-24" dataDxfId="542"/>
    <tableColumn id="5" name="Valeur 0-12" dataDxfId="541"/>
    <tableColumn id="6" name="somme" dataDxfId="540">
      <calculatedColumnFormula>SUM(Ration_complète_poneys[[Valeur 36 et plus]:[Valeur 0-12]])</calculatedColumnFormula>
    </tableColumn>
  </tableColumns>
  <tableStyleInfo name="TableStyleMedium9" showFirstColumn="0" showLastColumn="0" showRowStripes="1" showColumnStripes="0"/>
</table>
</file>

<file path=xl/tables/table74.xml><?xml version="1.0" encoding="utf-8"?>
<table xmlns="http://schemas.openxmlformats.org/spreadsheetml/2006/main" id="12" name="Ration_complète_caprins" displayName="Ration_complète_caprins" ref="BX181:CG182" totalsRowShown="0" headerRowDxfId="539" dataDxfId="537" headerRowBorderDxfId="538" tableBorderDxfId="536" totalsRowBorderDxfId="535">
  <autoFilter ref="BX181:CG182"/>
  <tableColumns count="10">
    <tableColumn id="1" name="aliment" dataDxfId="534"/>
    <tableColumn id="2" name="Valeur 12 et plus (M)" dataDxfId="533"/>
    <tableColumn id="3" name="Valeur 12 et plus (F)" dataDxfId="532"/>
    <tableColumn id="4" name="Valeur 6-12 (M)" dataDxfId="531"/>
    <tableColumn id="5" name="Valeur 6-12 (F)" dataDxfId="530"/>
    <tableColumn id="6" name="Valeur 3-6 (M)" dataDxfId="529"/>
    <tableColumn id="7" name="Valeur 3-6 (F)" dataDxfId="528"/>
    <tableColumn id="8" name="Valeur 0-3 (M)" dataDxfId="527"/>
    <tableColumn id="9" name="Valeur 0-3 (F)" dataDxfId="526"/>
    <tableColumn id="10" name="somme" dataDxfId="525">
      <calculatedColumnFormula>SUM(Ration_complète_caprins[[Valeur 12 et plus (M)]:[Valeur 0-3 (F)]])</calculatedColumnFormula>
    </tableColumn>
  </tableColumns>
  <tableStyleInfo name="TableStyleMedium9" showFirstColumn="0" showLastColumn="0" showRowStripes="1" showColumnStripes="0"/>
</table>
</file>

<file path=xl/tables/table75.xml><?xml version="1.0" encoding="utf-8"?>
<table xmlns="http://schemas.openxmlformats.org/spreadsheetml/2006/main" id="64" name="LitièreCaprins" displayName="LitièreCaprins" ref="BX186:BY192" totalsRowCount="1" headerRowDxfId="524" dataDxfId="522" totalsRowDxfId="520" headerRowBorderDxfId="523" tableBorderDxfId="521" totalsRowBorderDxfId="519">
  <autoFilter ref="BX186:BY191"/>
  <tableColumns count="2">
    <tableColumn id="1" name="Animaux" totalsRowLabel="Total" dataDxfId="518" totalsRowDxfId="517"/>
    <tableColumn id="2" name="Litière" totalsRowFunction="custom" dataDxfId="516" totalsRowDxfId="515">
      <totalsRowFormula>IF(ChoixPaillageCaprins=OUI,SUBTOTAL(109,LitièreCaprins[Litière]),0)</totalsRowFormula>
    </tableColumn>
  </tableColumns>
  <tableStyleInfo name="TableStyleMedium9" showFirstColumn="0" showLastColumn="0" showRowStripes="1" showColumnStripes="0"/>
</table>
</file>

<file path=xl/tables/table76.xml><?xml version="1.0" encoding="utf-8"?>
<table xmlns="http://schemas.openxmlformats.org/spreadsheetml/2006/main" id="25" name="AlimentsRationPorcinsFemelles" displayName="AlimentsRationPorcinsFemelles" ref="CJ87:CP122" totalsRowShown="0" headerRowDxfId="514" dataDxfId="512" headerRowBorderDxfId="513" tableBorderDxfId="511" totalsRowBorderDxfId="510">
  <autoFilter ref="CJ87:CP122"/>
  <tableColumns count="7">
    <tableColumn id="1" name="aliment" dataDxfId="509">
      <calculatedColumnFormula>CJ50</calculatedColumnFormula>
    </tableColumn>
    <tableColumn id="2" name="Valeur 12 et plus" dataDxfId="508">
      <calculatedColumnFormula array="1">IF(animaux!$J$67=BDD!$M$2,0,IFERROR(IF(OR(AND(INDEX(Règles_porcins[Specificite],MATCH(animaux!$J$61&amp;AlimentsRationPorcinsFemelles[[#This Row],[aliment]],Règles_porcins[Ration]&amp;Règles_porcins[Aliment],0))="s1",IF(AlimentsRationPorcinsFemelles[[#This Row],[aliment]]=animaux!$J$73,1)),
INDEX(Règles_porcins[Specificite],MATCH(animaux!$J$61&amp;AlimentsRationPorcinsFemelles[[#This Row],[aliment]],Règles_porcins[Ration]&amp;Règles_porcins[Aliment],0))="c"),
INDEX(Règles_porcins[Valeur 12 et plus],MATCH(animaux!$J$61&amp;AlimentsRationPorcinsFemelles[[#This Row],[aliment]],Règles_porcins[Ration]&amp;Règles_porcins[Aliment],0)),0),0)*SUM(animaux!$C$69:$C$70)*SUM($P$76:$P$76))</calculatedColumnFormula>
    </tableColumn>
    <tableColumn id="3" name="Valeur 6-12" dataDxfId="507">
      <calculatedColumnFormula array="1">IF(animaux!$J$67=BDD!$M$2,0,IFERROR(IF(OR(AND(INDEX(Règles_porcins[Specificite],MATCH(animaux!$J$61&amp;AlimentsRationPorcinsFemelles[[#This Row],[aliment]],Règles_porcins[Ration]&amp;Règles_porcins[Aliment],0))="s1",IF(AlimentsRationPorcinsFemelles[[#This Row],[aliment]]=animaux!$J$73,1)),
INDEX(Règles_porcins[Specificite],MATCH(animaux!$J$61&amp;AlimentsRationPorcinsFemelles[[#This Row],[aliment]],Règles_porcins[Ration]&amp;Règles_porcins[Aliment],0))="c"),
INDEX(Règles_porcins[Valeur 6-12],MATCH(animaux!$J$61&amp;AlimentsRationPorcinsFemelles[[#This Row],[aliment]],Règles_porcins[Ration]&amp;Règles_porcins[Aliment],0)),0),0)*SUM(animaux!$C$67:$C$68)*SUM($P$76:$P$76))</calculatedColumnFormula>
    </tableColumn>
    <tableColumn id="4" name="Valeur 3-6" dataDxfId="506">
      <calculatedColumnFormula array="1">IF(animaux!$J$67=BDD!$M$2,0,IFERROR(IF(OR(AND(INDEX(Règles_porcins[Specificite],MATCH(animaux!$J$61&amp;AlimentsRationPorcinsFemelles[[#This Row],[aliment]],Règles_porcins[Ration]&amp;Règles_porcins[Aliment],0))="s1",IF(AlimentsRationPorcinsFemelles[[#This Row],[aliment]]=animaux!$J$73,1)),
INDEX(Règles_porcins[Specificite],MATCH(animaux!$J$61&amp;AlimentsRationPorcinsFemelles[[#This Row],[aliment]],Règles_porcins[Ration]&amp;Règles_porcins[Aliment],0))="c"),
INDEX(Règles_porcins[Valeur 3-6],MATCH(animaux!$J$61&amp;AlimentsRationPorcinsFemelles[[#This Row],[aliment]],Règles_porcins[Ration]&amp;Règles_porcins[Aliment],0)),0),0)*SUM(animaux!$C$65:$C$66)*SUM($P$76:$P$76))</calculatedColumnFormula>
    </tableColumn>
    <tableColumn id="5" name="Valeur 1-3" dataDxfId="505">
      <calculatedColumnFormula array="1">IF(animaux!$J$67=BDD!$M$2,0,IFERROR(IF(OR(AND(INDEX(Règles_porcins[Specificite],MATCH(animaux!$J$61&amp;AlimentsRationPorcinsFemelles[[#This Row],[aliment]],Règles_porcins[Ration]&amp;Règles_porcins[Aliment],0))="s1",IF(AlimentsRationPorcinsFemelles[[#This Row],[aliment]]=animaux!$J$73,1)),
INDEX(Règles_porcins[Specificite],MATCH(animaux!$J$61&amp;AlimentsRationPorcinsFemelles[[#This Row],[aliment]],Règles_porcins[Ration]&amp;Règles_porcins[Aliment],0))="c"),
INDEX(Règles_porcins[Valeur 1-3],MATCH(animaux!$J$61&amp;AlimentsRationPorcinsFemelles[[#This Row],[aliment]],Règles_porcins[Ration]&amp;Règles_porcins[Aliment],0)),0),0)*SUM(animaux!$C$63:$C$64)*SUM($P$76:$P$76))</calculatedColumnFormula>
    </tableColumn>
    <tableColumn id="6" name="Valeur 0-1" dataDxfId="504">
      <calculatedColumnFormula array="1">IF(animaux!$J$67=BDD!$M$2,0,IFERROR(IF(OR(AND(INDEX(Règles_porcins[Specificite],MATCH(animaux!$J$61&amp;AlimentsRationPorcinsFemelles[[#This Row],[aliment]],Règles_porcins[Ration]&amp;Règles_porcins[Aliment],0))="s1",IF(AlimentsRationPorcinsFemelles[[#This Row],[aliment]]=animaux!$J$73,1)),
INDEX(Règles_porcins[Specificite],MATCH(animaux!$J$61&amp;AlimentsRationPorcinsFemelles[[#This Row],[aliment]],Règles_porcins[Ration]&amp;Règles_porcins[Aliment],0))="c"),
INDEX(Règles_porcins[Valeur 0-1],MATCH(animaux!$J$61&amp;AlimentsRationPorcinsFemelles[[#This Row],[aliment]],Règles_porcins[Ration]&amp;Règles_porcins[Aliment],0)),0),0)*SUM(animaux!$C$61:$C$62)*SUM($P$76:$P$76))</calculatedColumnFormula>
    </tableColumn>
    <tableColumn id="7" name="Somme" dataDxfId="503">
      <calculatedColumnFormula>SUM(AlimentsRationPorcinsFemelles[[#This Row],[Valeur 12 et plus]:[Valeur 0-1]])</calculatedColumnFormula>
    </tableColumn>
  </tableColumns>
  <tableStyleInfo name="TableStyleMedium9" showFirstColumn="0" showLastColumn="0" showRowStripes="1" showColumnStripes="0"/>
</table>
</file>

<file path=xl/tables/table77.xml><?xml version="1.0" encoding="utf-8"?>
<table xmlns="http://schemas.openxmlformats.org/spreadsheetml/2006/main" id="27" name="AlimentsRationLapinsFemelles" displayName="AlimentsRationLapinsFemelles" ref="CS98:CW137" totalsRowShown="0" headerRowDxfId="502" dataDxfId="500" headerRowBorderDxfId="501" tableBorderDxfId="499" totalsRowBorderDxfId="498">
  <autoFilter ref="CS98:CW137"/>
  <tableColumns count="5">
    <tableColumn id="1" name="aliment" dataDxfId="497">
      <calculatedColumnFormula>CS57</calculatedColumnFormula>
    </tableColumn>
    <tableColumn id="2" name="Valeur 3 et plus" dataDxfId="496">
      <calculatedColumnFormula array="1">IF(animaux!$J$124=BDD!$M$2,0,IFERROR(IF(OR(AND(INDEX(Règles_lapins[Specificite],MATCH(animaux!$J$118&amp;AlimentsRationLapinsFemelles[[#This Row],[aliment]],Règles_lapins[Ration]&amp;Règles_lapins[Aliment],0))="s1",IF(AlimentsRationLapinsFemelles[[#This Row],[aliment]]=animaux!$J$130,1)),
AND(INDEX(Règles_lapins[Specificite],MATCH(animaux!$J$118&amp;AlimentsRationLapinsFemelles[[#This Row],[aliment]],Règles_lapins[Ration]&amp;Règles_lapins[Aliment],0))="s2",IF(AlimentsRationLapinsFemelles[[#This Row],[aliment]]=animaux!$J$131,1)),
INDEX(Règles_lapins[Specificite],MATCH(animaux!$J$118&amp;AlimentsRationLapinsFemelles[[#This Row],[aliment]],Règles_lapins[Ration]&amp;Règles_lapins[Aliment],0))="c"),
INDEX(Règles_lapins[Valeur 3 et plus],MATCH(animaux!$J$118&amp;AlimentsRationLapinsFemelles[[#This Row],[aliment]],Règles_lapins[Ration]&amp;Règles_lapins[Aliment],0)),0),0)*SUM(animaux!$C$122:$C$123)*SUM($P$76:$P$76))</calculatedColumnFormula>
    </tableColumn>
    <tableColumn id="3" name="Valeur 1-3" dataDxfId="495">
      <calculatedColumnFormula array="1">IF(animaux!$J$124=BDD!$M$2,0,IFERROR(IF(OR(AND(INDEX(Règles_lapins[Specificite],MATCH(animaux!$J$118&amp;AlimentsRationLapinsFemelles[[#This Row],[aliment]],Règles_lapins[Ration]&amp;Règles_lapins[Aliment],0))="s1",IF(AlimentsRationLapinsFemelles[[#This Row],[aliment]]=animaux!$J$130,1)),
AND(INDEX(Règles_lapins[Specificite],MATCH(animaux!$J$118&amp;AlimentsRationLapinsFemelles[[#This Row],[aliment]],Règles_lapins[Ration]&amp;Règles_lapins[Aliment],0))="s2",IF(AlimentsRationLapinsFemelles[[#This Row],[aliment]]=animaux!$J$131,1)),
INDEX(Règles_lapins[Specificite],MATCH(animaux!$J$118&amp;AlimentsRationLapinsFemelles[[#This Row],[aliment]],Règles_lapins[Ration]&amp;Règles_lapins[Aliment],0))="c"),
INDEX(Règles_lapins[Valeur 1-3],MATCH(animaux!$J$118&amp;AlimentsRationLapinsFemelles[[#This Row],[aliment]],Règles_lapins[Ration]&amp;Règles_lapins[Aliment],0)),0),0)*SUM(animaux!$C$120:$C$121)*SUM($P$76:$P$76))</calculatedColumnFormula>
    </tableColumn>
    <tableColumn id="4" name="Valeur 0-1" dataDxfId="494">
      <calculatedColumnFormula array="1">IF(animaux!$J$124=BDD!$M$2,0,IFERROR(IF(OR(AND(INDEX(Règles_lapins[Specificite],MATCH(animaux!$J$118&amp;AlimentsRationLapinsFemelles[[#This Row],[aliment]],Règles_lapins[Ration]&amp;Règles_lapins[Aliment],0))="s1",IF(AlimentsRationLapinsFemelles[[#This Row],[aliment]]=animaux!$J$130,1)),
AND(INDEX(Règles_lapins[Specificite],MATCH(animaux!$J$118&amp;AlimentsRationLapinsFemelles[[#This Row],[aliment]],Règles_lapins[Ration]&amp;Règles_lapins[Aliment],0))="s2",IF(AlimentsRationLapinsFemelles[[#This Row],[aliment]]=animaux!$J$131,1)),
INDEX(Règles_lapins[Specificite],MATCH(animaux!$J$118&amp;AlimentsRationLapinsFemelles[[#This Row],[aliment]],Règles_lapins[Ration]&amp;Règles_lapins[Aliment],0))="c"),
INDEX(Règles_lapins[Valeur 0-1],MATCH(animaux!$J$118&amp;AlimentsRationLapinsFemelles[[#This Row],[aliment]],Règles_lapins[Ration]&amp;Règles_lapins[Aliment],0)),0),0)*SUM(animaux!$C$118:$C$119)*SUM($P$76:$P$76))</calculatedColumnFormula>
    </tableColumn>
    <tableColumn id="5" name="somme" dataDxfId="493">
      <calculatedColumnFormula>SUM(AlimentsRationLapinsFemelles[[#This Row],[Valeur 3 et plus]:[Valeur 0-1]])</calculatedColumnFormula>
    </tableColumn>
  </tableColumns>
  <tableStyleInfo name="TableStyleMedium9" showFirstColumn="0" showLastColumn="0" showRowStripes="1" showColumnStripes="0"/>
</table>
</file>

<file path=xl/tables/table78.xml><?xml version="1.0" encoding="utf-8"?>
<table xmlns="http://schemas.openxmlformats.org/spreadsheetml/2006/main" id="13" name="AlimentsRationVolaillesFemelles" displayName="AlimentsRationVolaillesFemelles" ref="CZ98:DD137" totalsRowShown="0" headerRowDxfId="492" dataDxfId="490" headerRowBorderDxfId="491" tableBorderDxfId="489" totalsRowBorderDxfId="488">
  <autoFilter ref="CZ98:DD137"/>
  <tableColumns count="5">
    <tableColumn id="1" name="aliment" dataDxfId="487">
      <calculatedColumnFormula>CZ57</calculatedColumnFormula>
    </tableColumn>
    <tableColumn id="2" name="Valeur 6 et plus" dataDxfId="486">
      <calculatedColumnFormula array="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Row],[aliment]],Règles_volailles[Ration]&amp;Règles_volailles[Aliment],0)),0),0)*TotalPoules*NbreJoursNourrirAutres)</calculatedColumnFormula>
    </tableColumn>
    <tableColumn id="3" name="Valeur 1-6" dataDxfId="485">
      <calculatedColumnFormula array="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Row],[aliment]],Règles_volailles[Ration]&amp;Règles_volailles[Aliment],0)),0),0)*JeunePoule_1_6_mois*NbreJoursNourrirAutres)</calculatedColumnFormula>
    </tableColumn>
    <tableColumn id="4" name="Valeur 0-1" dataDxfId="484">
      <calculatedColumnFormula array="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Row],[aliment]],Règles_volailles[Ration]&amp;Règles_volailles[Aliment],0)),0),0)*poussin_femelle_0_1_mois*NbreJoursNourrirAutres)</calculatedColumnFormula>
    </tableColumn>
    <tableColumn id="5" name="somme" dataDxfId="483">
      <calculatedColumnFormula>SUM(AlimentsRationVolaillesFemelles[[#This Row],[Valeur 6 et plus]:[Valeur 0-1]])</calculatedColumnFormula>
    </tableColumn>
  </tableColumns>
  <tableStyleInfo name="TableStyleMedium9" showFirstColumn="0" showLastColumn="0" showRowStripes="1" showColumnStripes="0"/>
</table>
</file>

<file path=xl/tables/table79.xml><?xml version="1.0" encoding="utf-8"?>
<table xmlns="http://schemas.openxmlformats.org/spreadsheetml/2006/main" id="23" name="Ration_complète_pintades" displayName="Ration_complète_pintades" ref="DG131:DK132" totalsRowShown="0" headerRowDxfId="482" dataDxfId="480" headerRowBorderDxfId="481" tableBorderDxfId="479" totalsRowBorderDxfId="478">
  <autoFilter ref="DG131:DK132"/>
  <tableColumns count="5">
    <tableColumn id="1" name="aliment" dataDxfId="477"/>
    <tableColumn id="2" name="Valeur 6 et plus" dataDxfId="476"/>
    <tableColumn id="3" name="Valeur 1-6" dataDxfId="475"/>
    <tableColumn id="4" name="Valeur 0-1" dataDxfId="474"/>
    <tableColumn id="5" name="somme" dataDxfId="473">
      <calculatedColumnFormula>SUM(Ration_complète_pintades[[Valeur 6 et plus]:[Valeur 0-1]])</calculatedColumnFormula>
    </tableColumn>
  </tableColumns>
  <tableStyleInfo name="TableStyleMedium9" showFirstColumn="0" showLastColumn="0" showRowStripes="1" showColumnStripes="0"/>
</table>
</file>

<file path=xl/tables/table8.xml><?xml version="1.0" encoding="utf-8"?>
<table xmlns="http://schemas.openxmlformats.org/spreadsheetml/2006/main" id="2" name="Règles_porcins" displayName="Règles_porcins" ref="CJ24:CQ45" totalsRowShown="0" headerRowDxfId="1202" dataDxfId="1200" headerRowBorderDxfId="1201" tableBorderDxfId="1199" totalsRowBorderDxfId="1198">
  <autoFilter ref="CJ24:CQ45"/>
  <tableColumns count="8">
    <tableColumn id="1" name="Ration" dataDxfId="1197"/>
    <tableColumn id="2" name="Aliment" dataDxfId="1196"/>
    <tableColumn id="3" name="Specificite" dataDxfId="1195"/>
    <tableColumn id="4" name="Valeur 12 et plus" dataDxfId="1194"/>
    <tableColumn id="5" name="Valeur 6-12" dataDxfId="1193"/>
    <tableColumn id="6" name="Valeur 3-6" dataDxfId="1192"/>
    <tableColumn id="7" name="Valeur 1-3" dataDxfId="1191"/>
    <tableColumn id="8" name="Valeur 0-1" dataDxfId="1190"/>
  </tableColumns>
  <tableStyleInfo name="TableStyleMedium9" showFirstColumn="0" showLastColumn="0" showRowStripes="1" showColumnStripes="0"/>
</table>
</file>

<file path=xl/tables/table80.xml><?xml version="1.0" encoding="utf-8"?>
<table xmlns="http://schemas.openxmlformats.org/spreadsheetml/2006/main" id="69" name="LitièrePintades" displayName="LitièrePintades" ref="DG136:DH140" totalsRowCount="1" headerRowDxfId="472" dataDxfId="470" totalsRowDxfId="468" headerRowBorderDxfId="471" tableBorderDxfId="469" totalsRowBorderDxfId="467">
  <autoFilter ref="DG136:DH139"/>
  <tableColumns count="2">
    <tableColumn id="1" name="animaux" totalsRowLabel="Total" dataDxfId="466" totalsRowDxfId="465"/>
    <tableColumn id="2" name="litière" totalsRowFunction="custom" dataDxfId="464" totalsRowDxfId="463">
      <calculatedColumnFormula>DJ8</calculatedColumnFormula>
      <totalsRowFormula>IF(ChoixPaillagePintades=OUI,SUBTOTAL(109,LitièrePintades[litière]),0)</totalsRowFormula>
    </tableColumn>
  </tableColumns>
  <tableStyleInfo name="TableStyleMedium9" showFirstColumn="0" showLastColumn="0" showRowStripes="1" showColumnStripes="0"/>
</table>
</file>

<file path=xl/tables/table81.xml><?xml version="1.0" encoding="utf-8"?>
<table xmlns="http://schemas.openxmlformats.org/spreadsheetml/2006/main" id="30" name="AlimentsRationPintadesFemelles" displayName="AlimentsRationPintadesFemelles" ref="DG89:DK128" totalsRowShown="0" headerRowDxfId="462" dataDxfId="461">
  <autoFilter ref="DG89:DK128"/>
  <tableColumns count="5">
    <tableColumn id="1" name="aliment" dataDxfId="460">
      <calculatedColumnFormula>DG48</calculatedColumnFormula>
    </tableColumn>
    <tableColumn id="2" name="Valeur 6 et plus" dataDxfId="459">
      <calculatedColumnFormula array="1">IF(animaux!$J$105=BDD!$M$2,0,IFERROR(IF(OR(AND(INDEX(Règles_pintades[Specificite],MATCH(animaux!$J$99&amp;AlimentsRationPintadesFemelles[[#This Row],[aliment]],Règles_pintades[Ration]&amp;Règles_pintades[Aliment],0))="s1",IF(AlimentsRationPintadesFemelles[[#This Row],[aliment]]=animaux!$J$111,1)),
AND(INDEX(Règles_pintades[Specificite],MATCH(animaux!$J$99&amp;AlimentsRationPintadesFemelles[[#This Row],[aliment]],Règles_pintades[Ration]&amp;Règles_pintades[Aliment],0))="s2",IF(AlimentsRationPintadesFemelles[[#This Row],[aliment]]=animaux!$J$112,1)),
INDEX(Règles_pintades[Specificite],MATCH(animaux!$J$99&amp;AlimentsRationPintadesFemelles[[#This Row],[aliment]],Règles_pintades[Ration]&amp;Règles_pintades[Aliment],0))="c"),
INDEX(Règles_pintades[Valeur 6 et plus],MATCH(animaux!$J$99&amp;AlimentsRationPintadesFemelles[[#This Row],[aliment]],Règles_pintades[Ration]&amp;Règles_pintades[Aliment],0)),0),0)*SUM(animaux!$C$103:$C$104)*SUM($P$76:$P$76))</calculatedColumnFormula>
    </tableColumn>
    <tableColumn id="3" name="Valeur 1-6" dataDxfId="458">
      <calculatedColumnFormula array="1">IF(animaux!$J$105=BDD!$M$2,0,IFERROR(IF(OR(AND(INDEX(Règles_pintades[Specificite],MATCH(animaux!$J$99&amp;AlimentsRationPintadesFemelles[[#This Row],[aliment]],Règles_pintades[Ration]&amp;Règles_pintades[Aliment],0))="s1",IF(AlimentsRationPintadesFemelles[[#This Row],[aliment]]=animaux!$J$111,1)),
AND(INDEX(Règles_pintades[Specificite],MATCH(animaux!$J$99&amp;AlimentsRationPintadesFemelles[[#This Row],[aliment]],Règles_pintades[Ration]&amp;Règles_pintades[Aliment],0))="s2",IF(AlimentsRationPintadesFemelles[[#This Row],[aliment]]=animaux!$J$112,1)),
INDEX(Règles_pintades[Specificite],MATCH(animaux!$J$99&amp;AlimentsRationPintadesFemelles[[#This Row],[aliment]],Règles_pintades[Ration]&amp;Règles_pintades[Aliment],0))="c"),
INDEX(Règles_pintades[Valeur 1-6],MATCH(animaux!$J$99&amp;AlimentsRationPintadesFemelles[[#This Row],[aliment]],Règles_pintades[Ration]&amp;Règles_pintades[Aliment],0)),0),0)*SUM(animaux!$C$101:$C$102)*SUM($P$76:$P$76))</calculatedColumnFormula>
    </tableColumn>
    <tableColumn id="4" name="Valeur 0-1" dataDxfId="457">
      <calculatedColumnFormula array="1">IF(animaux!$J$105=BDD!$M$2,0,IFERROR(IF(OR(AND(INDEX(Règles_pintades[Specificite],MATCH(animaux!$J$99&amp;AlimentsRationPintadesFemelles[[#This Row],[aliment]],Règles_pintades[Ration]&amp;Règles_pintades[Aliment],0))="s1",IF(AlimentsRationPintadesFemelles[[#This Row],[aliment]]=animaux!$J$111,1)),
AND(INDEX(Règles_pintades[Specificite],MATCH(animaux!$J$99&amp;AlimentsRationPintadesFemelles[[#This Row],[aliment]],Règles_pintades[Ration]&amp;Règles_pintades[Aliment],0))="s2",IF(AlimentsRationPintadesFemelles[[#This Row],[aliment]]=animaux!$J$112,1)),
INDEX(Règles_pintades[Specificite],MATCH(animaux!$J$99&amp;AlimentsRationPintadesFemelles[[#This Row],[aliment]],Règles_pintades[Ration]&amp;Règles_pintades[Aliment],0))="c"),
INDEX(Règles_pintades[Valeur 0-1],MATCH(animaux!$J$99&amp;AlimentsRationPintadesFemelles[[#This Row],[aliment]],Règles_pintades[Ration]&amp;Règles_pintades[Aliment],0)),0),0)*SUM(animaux!$C$99:$C$100)*SUM($P$76:$P$76))</calculatedColumnFormula>
    </tableColumn>
    <tableColumn id="5" name="somme" dataDxfId="456">
      <calculatedColumnFormula>SUM(AlimentsRationPintadesFemelles[[#This Row],[Valeur 6 et plus]:[Valeur 0-1]])</calculatedColumnFormula>
    </tableColumn>
  </tableColumns>
  <tableStyleInfo name="TableStyleMedium9" showFirstColumn="0" showLastColumn="0" showRowStripes="1" showColumnStripes="0"/>
</table>
</file>

<file path=xl/tables/table82.xml><?xml version="1.0" encoding="utf-8"?>
<table xmlns="http://schemas.openxmlformats.org/spreadsheetml/2006/main" id="42" name="AlimentsRationOiesFemelles" displayName="AlimentsRationOiesFemelles" ref="EG94:EK133" totalsRowShown="0" headerRowDxfId="455" dataDxfId="453" headerRowBorderDxfId="454" tableBorderDxfId="452" totalsRowBorderDxfId="451">
  <autoFilter ref="EG94:EK133"/>
  <tableColumns count="5">
    <tableColumn id="1" name="aliment" dataDxfId="450">
      <calculatedColumnFormula>EG53</calculatedColumnFormula>
    </tableColumn>
    <tableColumn id="2" name="Valeur 6 et plus" dataDxfId="449">
      <calculatedColumnFormula array="1">IF(animaux!$J$141=BDD!$M$2,0,IFERROR(IF(OR(AND(INDEX(Règles_oies[Specificite],MATCH(animaux!$J$138&amp;AlimentsRationOiesFemelles[[#This Row],[aliment]],Règles_oies[Ration]&amp;Règles_oies[Aliment],0))="s1",IF(AlimentsRationOiesFemelles[[#This Row],[aliment]]=animaux!$J$147,1)),
AND(INDEX(Règles_oies[Specificite],MATCH(animaux!$J$138&amp;AlimentsRationOiesFemelles[[#This Row],[aliment]],Règles_oies[Ration]&amp;Règles_oies[Aliment],0))="s2",IF(AlimentsRationOiesFemelles[[#This Row],[aliment]]=animaux!$J$148,1)),
INDEX(Règles_oies[Specificite],MATCH(animaux!$J$138&amp;AlimentsRationOiesFemelles[[#This Row],[aliment]],Règles_oies[Ration]&amp;Règles_oies[Aliment],0))="c"),
INDEX(Règles_oies[Valeur 6 et plus],MATCH(animaux!$J$138&amp;AlimentsRationOiesFemelles[[#This Row],[aliment]],Règles_oies[Ration]&amp;Règles_oies[Aliment],0)),0),0)*SUM(animaux!$C$142:$C$143)*SUM($P$76:$P$76))</calculatedColumnFormula>
    </tableColumn>
    <tableColumn id="3" name="Valeur 3-6" dataDxfId="448">
      <calculatedColumnFormula array="1">IF(animaux!$J$141=BDD!$M$2,0,IFERROR(IF(OR(AND(INDEX(Règles_oies[Specificite],MATCH(animaux!$J$138&amp;AlimentsRationOiesFemelles[[#This Row],[aliment]],Règles_oies[Ration]&amp;Règles_oies[Aliment],0))="s1",IF(AlimentsRationOiesFemelles[[#This Row],[aliment]]=animaux!$J$147,1)),
AND(INDEX(Règles_oies[Specificite],MATCH(animaux!$J$138&amp;AlimentsRationOiesFemelles[[#This Row],[aliment]],Règles_oies[Ration]&amp;Règles_oies[Aliment],0))="s2",IF(AlimentsRationOiesFemelles[[#This Row],[aliment]]=animaux!$J$148,1)),
INDEX(Règles_oies[Specificite],MATCH(animaux!$J$138&amp;AlimentsRationOiesFemelles[[#This Row],[aliment]],Règles_oies[Ration]&amp;Règles_oies[Aliment],0))="c"),
INDEX(Règles_oies[Valeur 3-6],MATCH(animaux!$J$138&amp;AlimentsRationOiesFemelles[[#This Row],[aliment]],Règles_oies[Ration]&amp;Règles_oies[Aliment],0)),0),0)*SUM(animaux!$C$142:$C$143)*SUM($P$76:$P$76))</calculatedColumnFormula>
    </tableColumn>
    <tableColumn id="4" name="Valeur 0-3" dataDxfId="447">
      <calculatedColumnFormula array="1">IF(animaux!$J$141=BDD!$M$2,0,IFERROR(IF(OR(AND(INDEX(Règles_oies[Specificite],MATCH(animaux!$J$138&amp;AlimentsRationOiesFemelles[[#This Row],[aliment]],Règles_oies[Ration]&amp;Règles_oies[Aliment],0))="s1",IF(AlimentsRationOiesFemelles[[#This Row],[aliment]]=animaux!$J$147,1)),
AND(INDEX(Règles_oies[Specificite],MATCH(animaux!$J$138&amp;AlimentsRationOiesFemelles[[#This Row],[aliment]],Règles_oies[Ration]&amp;Règles_oies[Aliment],0))="s2",IF(AlimentsRationOiesFemelles[[#This Row],[aliment]]=animaux!$J$148,1)),
INDEX(Règles_oies[Specificite],MATCH(animaux!$J$138&amp;AlimentsRationOiesFemelles[[#This Row],[aliment]],Règles_oies[Ration]&amp;Règles_oies[Aliment],0))="c"),
INDEX(Règles_oies[Valeur 0-3],MATCH(animaux!$J$138&amp;AlimentsRationOiesFemelles[[#This Row],[aliment]],Règles_oies[Ration]&amp;Règles_oies[Aliment],0)),0),0)*SUM(animaux!$C$142:$C$143)*SUM($P$76:$P$76))</calculatedColumnFormula>
    </tableColumn>
    <tableColumn id="5" name="somme" dataDxfId="446">
      <calculatedColumnFormula>SUM(AlimentsRationOiesFemelles[[#This Row],[Valeur 6 et plus]:[Valeur 0-3]])</calculatedColumnFormula>
    </tableColumn>
  </tableColumns>
  <tableStyleInfo name="TableStyleMedium9" showFirstColumn="0" showLastColumn="0" showRowStripes="1" showColumnStripes="0"/>
</table>
</file>

<file path=xl/tables/table83.xml><?xml version="1.0" encoding="utf-8"?>
<table xmlns="http://schemas.openxmlformats.org/spreadsheetml/2006/main" id="47" name="Ration_canards_Femelles" displayName="Ration_canards_Femelles" ref="EN93:ER132" totalsRowShown="0" headerRowDxfId="445" dataDxfId="443" headerRowBorderDxfId="444" tableBorderDxfId="442" totalsRowBorderDxfId="441">
  <autoFilter ref="EN93:ER132"/>
  <tableColumns count="5">
    <tableColumn id="1" name="aliment" dataDxfId="440">
      <calculatedColumnFormula>EN52</calculatedColumnFormula>
    </tableColumn>
    <tableColumn id="2" name="Valeur 6 et plus" dataDxfId="439">
      <calculatedColumnFormula array="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Row],[aliment]],Règles_canards[Ration]&amp;Règles_canards[Aliment],0)),0),0)*TotalCanes*NbreJoursNourrirAutres)</calculatedColumnFormula>
    </tableColumn>
    <tableColumn id="3" name="Valeur 3-6" dataDxfId="438">
      <calculatedColumnFormula array="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Row],[aliment]],Règles_canards[Ration]&amp;Règles_canards[Aliment],0)),0),0)*jeune_cane_3_6_mois*NbreJoursNourrirAutres)</calculatedColumnFormula>
    </tableColumn>
    <tableColumn id="4" name="Valeur 0-3" dataDxfId="437">
      <calculatedColumnFormula array="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Row],[aliment]],Règles_canards[Ration]&amp;Règles_canards[Aliment],0)),0),0)*caneton_femelle_0_3_mois*NbreJoursNourrirAutres)</calculatedColumnFormula>
    </tableColumn>
    <tableColumn id="5" name="somme" dataDxfId="436">
      <calculatedColumnFormula>SUM(Ration_canards_Femelles[[#This Row],[Valeur 6 et plus]:[Valeur 0-3]])</calculatedColumnFormula>
    </tableColumn>
  </tableColumns>
  <tableStyleInfo name="TableStyleMedium9" showFirstColumn="0" showLastColumn="0" showRowStripes="1" showColumnStripes="0"/>
</table>
</file>

<file path=xl/tables/table84.xml><?xml version="1.0" encoding="utf-8"?>
<table xmlns="http://schemas.openxmlformats.org/spreadsheetml/2006/main" id="34" name="Ration_complète_gavage_oies" displayName="Ration_complète_gavage_oies" ref="FW84:GB85" totalsRowShown="0" headerRowDxfId="435" dataDxfId="433" headerRowBorderDxfId="434" tableBorderDxfId="432" totalsRowBorderDxfId="431">
  <autoFilter ref="FW84:GB85"/>
  <tableColumns count="6">
    <tableColumn id="1" name="aliment" dataDxfId="430"/>
    <tableColumn id="2" name="Valeur 3 et plus" dataDxfId="429"/>
    <tableColumn id="3" name="Valeur 2-3" dataDxfId="428">
      <calculatedColumnFormula array="1">IF(ChoixRationComplèteFoieGrasOies=NON,0,IFERROR(IF(OR(AND(INDEX(Règles_gavage[Specificite],MATCH(ChoixRationFoieGrasOies&amp;Ration_complète_gavage_oies[aliment],Règles_gavage[Ration]&amp;Règles_gavage[Aliment],0))="s1",IF(Ration_complète_gavage_oies[aliment]=ChoixSpécificité1FoieGrasOies,1)),
AND(INDEX(Règles_gavage[Specificite],MATCH(ChoixRationFoieGrasOies&amp;Ration_complète_gavage_oies[aliment],Règles_gavage[Ration]&amp;Règles_gavage[Aliment],0))="s2",IF(Ration_complète_gavage_oies[aliment]=ChoixSpécificité2FoieGrasOies,1)),
INDEX(Règles_gavage[Specificite],MATCH(ChoixRationFoieGrasOies&amp;Ration_complète_gavage_oies[aliment],Règles_gavage[Ration]&amp;Règles_gavage[Aliment],0))="c",INDEX(Règles_gavage[Specificite],MATCH(ChoixRationFoieGrasOies&amp;Ration_complète_gavage_oies[aliment],Règles_gavage[Ration]&amp;Règles_gavage[Aliment],0))="complet"),
INDEX(Règles_gavage[Valeur 2-3],MATCH(ChoixRationFoieGrasOies&amp;Ration_complète_gavage_oies[aliment],Règles_gavage[Ration]&amp;Règles_gavage[Aliment],0)),0),0)*FoieGrasOison_2_3mois*DuréePhaseElevage2_3)</calculatedColumnFormula>
    </tableColumn>
    <tableColumn id="6" name="Valeur 1-2" dataDxfId="427">
      <calculatedColumnFormula array="1">IF(ChoixRationComplèteFoieGrasOies=NON,0,IFERROR(IF(OR(AND(INDEX(Règles_gavage[Specificite],MATCH(ChoixRationFoieGrasOies&amp;Ration_complète_gavage_oies[aliment],Règles_gavage[Ration]&amp;Règles_gavage[Aliment],0))="s1",IF(Ration_complète_gavage_oies[aliment]=ChoixSpécificité1FoieGrasOies,1)),
AND(INDEX(Règles_gavage[Specificite],MATCH(ChoixRationFoieGrasOies&amp;Ration_complète_gavage_oies[aliment],Règles_gavage[Ration]&amp;Règles_gavage[Aliment],0))="s2",IF(Ration_complète_gavage_oies[aliment]=ChoixSpécificité2FoieGrasOies,1)),
INDEX(Règles_gavage[Specificite],MATCH(ChoixRationFoieGrasOies&amp;Ration_complète_gavage_oies[aliment],Règles_gavage[Ration]&amp;Règles_gavage[Aliment],0))="c",INDEX(Règles_gavage[Specificite],MATCH(ChoixRationFoieGrasOies&amp;Ration_complète_gavage_oies[aliment],Règles_gavage[Ration]&amp;Règles_gavage[Aliment],0))="complet"),
INDEX(Règles_gavage[Valeur 1-2],MATCH(ChoixRationFoieGrasOies&amp;Ration_complète_gavage_oies[aliment],Règles_gavage[Ration]&amp;Règles_gavage[Aliment],0)),0),0)*FoieGrasOison_1_2mois*DuréePhaseElevage1_2)</calculatedColumnFormula>
    </tableColumn>
    <tableColumn id="4" name="Valeur 0-1" dataDxfId="426">
      <calculatedColumnFormula array="1">IF(ChoixRationComplèteFoieGrasOies=NON,0,IFERROR(IF(OR(AND(INDEX(Règles_gavage[Specificite],MATCH(ChoixRationFoieGrasOies&amp;Ration_complète_gavage_oies[aliment],Règles_gavage[Ration]&amp;Règles_gavage[Aliment],0))="s1",IF(Ration_complète_gavage_oies[aliment]=ChoixSpécificité1FoieGrasOies,1)),
AND(INDEX(Règles_gavage[Specificite],MATCH(ChoixRationFoieGrasOies&amp;Ration_complète_gavage_oies[aliment],Règles_gavage[Ration]&amp;Règles_gavage[Aliment],0))="s2",IF(Ration_complète_gavage_oies[aliment]=ChoixSpécificité2FoieGrasOies,1)),
INDEX(Règles_gavage[Specificite],MATCH(ChoixRationFoieGrasOies&amp;Ration_complète_gavage_oies[aliment],Règles_gavage[Ration]&amp;Règles_gavage[Aliment],0))="c",INDEX(Règles_gavage[Specificite],MATCH(ChoixRationFoieGrasOies&amp;Ration_complète_gavage_oies[aliment],Règles_gavage[Ration]&amp;Règles_gavage[Aliment],0))="complet"),
INDEX(Règles_gavage[Valeur 0-1],MATCH(ChoixRationFoieGrasOies&amp;Ration_complète_gavage_oies[aliment],Règles_gavage[Ration]&amp;Règles_gavage[Aliment],0)),0),0)*FoieGrasOison_0_1mois*DuréePhaseElevage0_1)</calculatedColumnFormula>
    </tableColumn>
    <tableColumn id="5" name="somme" dataDxfId="425">
      <calculatedColumnFormula>SUM(Ration_complète_gavage_oies[[Valeur 3 et plus]:[Valeur 0-1]])</calculatedColumnFormula>
    </tableColumn>
  </tableColumns>
  <tableStyleInfo name="TableStyleMedium9" showFirstColumn="0" showLastColumn="0" showRowStripes="1" showColumnStripes="0"/>
</table>
</file>

<file path=xl/tables/table85.xml><?xml version="1.0" encoding="utf-8"?>
<table xmlns="http://schemas.openxmlformats.org/spreadsheetml/2006/main" id="56" name="Tableau56" displayName="Tableau56" ref="F6:K17" totalsRowShown="0" headerRowDxfId="424" dataDxfId="422" headerRowBorderDxfId="423" tableBorderDxfId="421" totalsRowBorderDxfId="420">
  <autoFilter ref="F6:K17"/>
  <tableColumns count="6">
    <tableColumn id="1" name=" " dataDxfId="419"/>
    <tableColumn id="2" name="prix semence" dataDxfId="418"/>
    <tableColumn id="3" name="semence (kg/ha)" dataDxfId="417"/>
    <tableColumn id="4" name="prix au 2 juillet saison 63 (€/kg)" dataDxfId="416"/>
    <tableColumn id="5" name="prix vente récolte (€/t)" dataDxfId="415"/>
    <tableColumn id="6" name="paille/foin (€/t)" dataDxfId="414"/>
  </tableColumns>
  <tableStyleInfo name="TableStyleMedium9" showFirstColumn="0" showLastColumn="0" showRowStripes="1" showColumnStripes="0"/>
</table>
</file>

<file path=xl/tables/table86.xml><?xml version="1.0" encoding="utf-8"?>
<table xmlns="http://schemas.openxmlformats.org/spreadsheetml/2006/main" id="87" name="Tableau87" displayName="Tableau87" ref="F19:G21" totalsRowShown="0" headerRowDxfId="413" dataDxfId="411" headerRowBorderDxfId="412" tableBorderDxfId="410" totalsRowBorderDxfId="409">
  <autoFilter ref="F19:G21"/>
  <tableColumns count="2">
    <tableColumn id="1" name="Fongicide :" dataDxfId="408"/>
    <tableColumn id="2" name=" " dataDxfId="407"/>
  </tableColumns>
  <tableStyleInfo name="TableStyleMedium9" showFirstColumn="0" showLastColumn="0" showRowStripes="1" showColumnStripes="0"/>
</table>
</file>

<file path=xl/tables/table87.xml><?xml version="1.0" encoding="utf-8"?>
<table xmlns="http://schemas.openxmlformats.org/spreadsheetml/2006/main" id="89" name="Tableau89" displayName="Tableau89" ref="F23:G25" totalsRowShown="0" headerRowDxfId="406" dataDxfId="404" headerRowBorderDxfId="405" tableBorderDxfId="403" totalsRowBorderDxfId="402">
  <autoFilter ref="F23:G25"/>
  <tableColumns count="2">
    <tableColumn id="1" name="Herbicide :" dataDxfId="401"/>
    <tableColumn id="2" name=" " dataDxfId="400"/>
  </tableColumns>
  <tableStyleInfo name="TableStyleMedium9" showFirstColumn="0" showLastColumn="0" showRowStripes="1" showColumnStripes="0"/>
</table>
</file>

<file path=xl/tables/table9.xml><?xml version="1.0" encoding="utf-8"?>
<table xmlns="http://schemas.openxmlformats.org/spreadsheetml/2006/main" id="9" name="Ration_complète_porcins" displayName="Ration_complète_porcins" ref="CJ125:CP126" totalsRowShown="0" headerRowDxfId="1189" dataDxfId="1187" headerRowBorderDxfId="1188" tableBorderDxfId="1186" totalsRowBorderDxfId="1185">
  <autoFilter ref="CJ125:CP126"/>
  <tableColumns count="7">
    <tableColumn id="1" name="aliment" dataDxfId="1184"/>
    <tableColumn id="2" name="Valeur 12 et plus" dataDxfId="1183"/>
    <tableColumn id="3" name="Valeur 6-12" dataDxfId="1182"/>
    <tableColumn id="4" name="Valeur 3-6" dataDxfId="1181"/>
    <tableColumn id="5" name="Valeur 1-3" dataDxfId="1180"/>
    <tableColumn id="6" name="Valeur 0-1" dataDxfId="1179"/>
    <tableColumn id="7" name="somme" dataDxfId="1178">
      <calculatedColumnFormula>SUM(Ration_complète_porcins[[Valeur 12 et plus]:[Valeur 1-3]])</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excel-pratique.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simagri.com/bulletin/informations%20cultures%20maraicheres%20conservation.pdf" TargetMode="External"/><Relationship Id="rId2" Type="http://schemas.openxmlformats.org/officeDocument/2006/relationships/hyperlink" Target="http://www.simagri.com/bulletin/informations%20cultures%20maraicheres%20dates%20semis.pdf" TargetMode="External"/><Relationship Id="rId1" Type="http://schemas.openxmlformats.org/officeDocument/2006/relationships/hyperlink" Target="http://www.simagri.com/bulletin/informations%20cultures%20maraicheres.pdf" TargetMode="External"/><Relationship Id="rId4"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21" Type="http://schemas.openxmlformats.org/officeDocument/2006/relationships/table" Target="../tables/table20.xml"/><Relationship Id="rId34" Type="http://schemas.openxmlformats.org/officeDocument/2006/relationships/table" Target="../tables/table33.xml"/><Relationship Id="rId42" Type="http://schemas.openxmlformats.org/officeDocument/2006/relationships/table" Target="../tables/table41.xml"/><Relationship Id="rId47" Type="http://schemas.openxmlformats.org/officeDocument/2006/relationships/table" Target="../tables/table46.xml"/><Relationship Id="rId50" Type="http://schemas.openxmlformats.org/officeDocument/2006/relationships/table" Target="../tables/table49.xml"/><Relationship Id="rId55" Type="http://schemas.openxmlformats.org/officeDocument/2006/relationships/table" Target="../tables/table54.xml"/><Relationship Id="rId63" Type="http://schemas.openxmlformats.org/officeDocument/2006/relationships/table" Target="../tables/table62.xml"/><Relationship Id="rId68" Type="http://schemas.openxmlformats.org/officeDocument/2006/relationships/table" Target="../tables/table67.xml"/><Relationship Id="rId76" Type="http://schemas.openxmlformats.org/officeDocument/2006/relationships/table" Target="../tables/table75.xml"/><Relationship Id="rId84" Type="http://schemas.openxmlformats.org/officeDocument/2006/relationships/table" Target="../tables/table83.xml"/><Relationship Id="rId7" Type="http://schemas.openxmlformats.org/officeDocument/2006/relationships/table" Target="../tables/table6.xml"/><Relationship Id="rId71" Type="http://schemas.openxmlformats.org/officeDocument/2006/relationships/table" Target="../tables/table70.xml"/><Relationship Id="rId2" Type="http://schemas.openxmlformats.org/officeDocument/2006/relationships/drawing" Target="../drawings/drawing4.xml"/><Relationship Id="rId16" Type="http://schemas.openxmlformats.org/officeDocument/2006/relationships/table" Target="../tables/table15.xml"/><Relationship Id="rId29" Type="http://schemas.openxmlformats.org/officeDocument/2006/relationships/table" Target="../tables/table28.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45" Type="http://schemas.openxmlformats.org/officeDocument/2006/relationships/table" Target="../tables/table44.xml"/><Relationship Id="rId53" Type="http://schemas.openxmlformats.org/officeDocument/2006/relationships/table" Target="../tables/table52.xml"/><Relationship Id="rId58" Type="http://schemas.openxmlformats.org/officeDocument/2006/relationships/table" Target="../tables/table57.xml"/><Relationship Id="rId66" Type="http://schemas.openxmlformats.org/officeDocument/2006/relationships/table" Target="../tables/table65.xml"/><Relationship Id="rId74" Type="http://schemas.openxmlformats.org/officeDocument/2006/relationships/table" Target="../tables/table73.xml"/><Relationship Id="rId79" Type="http://schemas.openxmlformats.org/officeDocument/2006/relationships/table" Target="../tables/table78.xml"/><Relationship Id="rId87" Type="http://schemas.openxmlformats.org/officeDocument/2006/relationships/table" Target="../tables/table86.xml"/><Relationship Id="rId5" Type="http://schemas.openxmlformats.org/officeDocument/2006/relationships/table" Target="../tables/table4.xml"/><Relationship Id="rId61" Type="http://schemas.openxmlformats.org/officeDocument/2006/relationships/table" Target="../tables/table60.xml"/><Relationship Id="rId82" Type="http://schemas.openxmlformats.org/officeDocument/2006/relationships/table" Target="../tables/table81.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43" Type="http://schemas.openxmlformats.org/officeDocument/2006/relationships/table" Target="../tables/table42.xml"/><Relationship Id="rId48" Type="http://schemas.openxmlformats.org/officeDocument/2006/relationships/table" Target="../tables/table47.xml"/><Relationship Id="rId56" Type="http://schemas.openxmlformats.org/officeDocument/2006/relationships/table" Target="../tables/table55.xml"/><Relationship Id="rId64" Type="http://schemas.openxmlformats.org/officeDocument/2006/relationships/table" Target="../tables/table63.xml"/><Relationship Id="rId69" Type="http://schemas.openxmlformats.org/officeDocument/2006/relationships/table" Target="../tables/table68.xml"/><Relationship Id="rId77" Type="http://schemas.openxmlformats.org/officeDocument/2006/relationships/table" Target="../tables/table76.xml"/><Relationship Id="rId8" Type="http://schemas.openxmlformats.org/officeDocument/2006/relationships/table" Target="../tables/table7.xml"/><Relationship Id="rId51" Type="http://schemas.openxmlformats.org/officeDocument/2006/relationships/table" Target="../tables/table50.xml"/><Relationship Id="rId72" Type="http://schemas.openxmlformats.org/officeDocument/2006/relationships/table" Target="../tables/table71.xml"/><Relationship Id="rId80" Type="http://schemas.openxmlformats.org/officeDocument/2006/relationships/table" Target="../tables/table79.xml"/><Relationship Id="rId85" Type="http://schemas.openxmlformats.org/officeDocument/2006/relationships/table" Target="../tables/table84.xml"/><Relationship Id="rId3" Type="http://schemas.openxmlformats.org/officeDocument/2006/relationships/table" Target="../tables/table2.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 Id="rId46" Type="http://schemas.openxmlformats.org/officeDocument/2006/relationships/table" Target="../tables/table45.xml"/><Relationship Id="rId59" Type="http://schemas.openxmlformats.org/officeDocument/2006/relationships/table" Target="../tables/table58.xml"/><Relationship Id="rId67" Type="http://schemas.openxmlformats.org/officeDocument/2006/relationships/table" Target="../tables/table66.xml"/><Relationship Id="rId20" Type="http://schemas.openxmlformats.org/officeDocument/2006/relationships/table" Target="../tables/table19.xml"/><Relationship Id="rId41" Type="http://schemas.openxmlformats.org/officeDocument/2006/relationships/table" Target="../tables/table40.xml"/><Relationship Id="rId54" Type="http://schemas.openxmlformats.org/officeDocument/2006/relationships/table" Target="../tables/table53.xml"/><Relationship Id="rId62" Type="http://schemas.openxmlformats.org/officeDocument/2006/relationships/table" Target="../tables/table61.xml"/><Relationship Id="rId70" Type="http://schemas.openxmlformats.org/officeDocument/2006/relationships/table" Target="../tables/table69.xml"/><Relationship Id="rId75" Type="http://schemas.openxmlformats.org/officeDocument/2006/relationships/table" Target="../tables/table74.xml"/><Relationship Id="rId83" Type="http://schemas.openxmlformats.org/officeDocument/2006/relationships/table" Target="../tables/table82.xml"/><Relationship Id="rId88" Type="http://schemas.openxmlformats.org/officeDocument/2006/relationships/table" Target="../tables/table87.xml"/><Relationship Id="rId1" Type="http://schemas.openxmlformats.org/officeDocument/2006/relationships/printerSettings" Target="../printerSettings/printerSettings16.bin"/><Relationship Id="rId6" Type="http://schemas.openxmlformats.org/officeDocument/2006/relationships/table" Target="../tables/table5.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49" Type="http://schemas.openxmlformats.org/officeDocument/2006/relationships/table" Target="../tables/table48.xml"/><Relationship Id="rId57" Type="http://schemas.openxmlformats.org/officeDocument/2006/relationships/table" Target="../tables/table56.xml"/><Relationship Id="rId10" Type="http://schemas.openxmlformats.org/officeDocument/2006/relationships/table" Target="../tables/table9.xml"/><Relationship Id="rId31" Type="http://schemas.openxmlformats.org/officeDocument/2006/relationships/table" Target="../tables/table30.xml"/><Relationship Id="rId44" Type="http://schemas.openxmlformats.org/officeDocument/2006/relationships/table" Target="../tables/table43.xml"/><Relationship Id="rId52" Type="http://schemas.openxmlformats.org/officeDocument/2006/relationships/table" Target="../tables/table51.xml"/><Relationship Id="rId60" Type="http://schemas.openxmlformats.org/officeDocument/2006/relationships/table" Target="../tables/table59.xml"/><Relationship Id="rId65" Type="http://schemas.openxmlformats.org/officeDocument/2006/relationships/table" Target="../tables/table64.xml"/><Relationship Id="rId73" Type="http://schemas.openxmlformats.org/officeDocument/2006/relationships/table" Target="../tables/table72.xml"/><Relationship Id="rId78" Type="http://schemas.openxmlformats.org/officeDocument/2006/relationships/table" Target="../tables/table77.xml"/><Relationship Id="rId81" Type="http://schemas.openxmlformats.org/officeDocument/2006/relationships/table" Target="../tables/table80.xml"/><Relationship Id="rId86" Type="http://schemas.openxmlformats.org/officeDocument/2006/relationships/table" Target="../tables/table8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U98"/>
  <sheetViews>
    <sheetView tabSelected="1" zoomScale="90" zoomScaleNormal="90" workbookViewId="0"/>
  </sheetViews>
  <sheetFormatPr baseColWidth="10" defaultRowHeight="11.25" x14ac:dyDescent="0.2"/>
  <cols>
    <col min="1" max="1" width="41.7109375" style="1" customWidth="1"/>
    <col min="2" max="2" width="14.5703125" style="1" customWidth="1"/>
    <col min="3" max="9" width="13.42578125" style="1" customWidth="1"/>
    <col min="10" max="10" width="14.28515625" style="1" customWidth="1"/>
    <col min="11" max="11" width="13.85546875" style="1" customWidth="1"/>
    <col min="12" max="12" width="14.28515625" style="1" customWidth="1"/>
    <col min="13" max="17" width="11.42578125" style="1" customWidth="1"/>
    <col min="18" max="18" width="6.5703125" style="1" customWidth="1"/>
    <col min="19" max="16384" width="11.42578125" style="1"/>
  </cols>
  <sheetData>
    <row r="1" spans="1:21" ht="25.5" customHeight="1" x14ac:dyDescent="0.2">
      <c r="A1" s="979" t="s">
        <v>212</v>
      </c>
      <c r="B1" s="980" t="str">
        <f>IF(A1="","","www.excel-pratique.com")</f>
        <v>www.excel-pratique.com</v>
      </c>
      <c r="C1" s="981"/>
      <c r="D1" s="981"/>
      <c r="E1" s="981"/>
      <c r="F1" s="982"/>
      <c r="G1" s="982"/>
      <c r="H1" s="982"/>
      <c r="I1" s="982"/>
      <c r="J1" s="982"/>
      <c r="K1" s="982"/>
      <c r="L1" s="982"/>
      <c r="M1" s="982"/>
      <c r="N1" s="983"/>
      <c r="O1" s="57"/>
    </row>
    <row r="2" spans="1:21" ht="25.5" customHeight="1" x14ac:dyDescent="0.2">
      <c r="A2" s="984"/>
      <c r="B2" s="985"/>
      <c r="C2" s="986"/>
      <c r="D2" s="986"/>
      <c r="E2" s="987"/>
      <c r="F2" s="988"/>
      <c r="G2" s="988"/>
      <c r="H2" s="988"/>
      <c r="I2" s="988"/>
      <c r="J2" s="988"/>
      <c r="K2" s="988"/>
      <c r="L2" s="988"/>
      <c r="M2" s="988"/>
      <c r="N2" s="989"/>
      <c r="O2" s="57"/>
    </row>
    <row r="3" spans="1:21" ht="12.75" x14ac:dyDescent="0.2">
      <c r="A3" s="990"/>
      <c r="B3" s="991"/>
      <c r="C3" s="991"/>
      <c r="D3" s="991"/>
      <c r="E3" s="991"/>
      <c r="F3" s="991"/>
      <c r="G3" s="991"/>
      <c r="H3" s="991"/>
      <c r="I3" s="991"/>
      <c r="J3" s="991"/>
      <c r="K3" s="991"/>
      <c r="L3" s="991"/>
      <c r="M3" s="991"/>
      <c r="N3" s="992"/>
      <c r="O3" s="2"/>
      <c r="P3" s="2"/>
      <c r="Q3" s="2"/>
      <c r="R3" s="2"/>
      <c r="S3" s="2"/>
      <c r="T3" s="2"/>
      <c r="U3" s="2"/>
    </row>
    <row r="4" spans="1:21" ht="12.75" customHeight="1" x14ac:dyDescent="0.2">
      <c r="A4" s="95" t="s">
        <v>659</v>
      </c>
      <c r="B4" s="1398" t="s">
        <v>1652</v>
      </c>
      <c r="C4" s="1399"/>
      <c r="D4" s="991"/>
      <c r="E4" s="1380" t="s">
        <v>29</v>
      </c>
      <c r="F4" s="1381"/>
      <c r="G4" s="1381"/>
      <c r="H4" s="1381"/>
      <c r="I4" s="1381"/>
      <c r="J4" s="1381"/>
      <c r="K4" s="1382"/>
      <c r="L4" s="991"/>
      <c r="M4" s="991"/>
      <c r="N4" s="992"/>
      <c r="O4" s="2"/>
      <c r="P4" s="2"/>
      <c r="Q4" s="2"/>
      <c r="R4" s="2"/>
      <c r="S4" s="2"/>
      <c r="T4" s="2"/>
      <c r="U4" s="2"/>
    </row>
    <row r="5" spans="1:21" ht="15" customHeight="1" x14ac:dyDescent="0.2">
      <c r="A5" s="990"/>
      <c r="B5" s="991"/>
      <c r="C5" s="991"/>
      <c r="D5" s="991"/>
      <c r="E5" s="1383"/>
      <c r="F5" s="1384"/>
      <c r="G5" s="1384"/>
      <c r="H5" s="1384"/>
      <c r="I5" s="1384"/>
      <c r="J5" s="1384"/>
      <c r="K5" s="1385"/>
      <c r="L5" s="993"/>
      <c r="M5" s="993"/>
      <c r="N5" s="992"/>
      <c r="O5" s="2"/>
      <c r="P5" s="2"/>
      <c r="Q5" s="2"/>
      <c r="R5" s="2"/>
      <c r="S5" s="2"/>
      <c r="T5" s="2"/>
      <c r="U5" s="2"/>
    </row>
    <row r="6" spans="1:21" ht="12.75" customHeight="1" x14ac:dyDescent="0.2">
      <c r="A6" s="976" t="s">
        <v>161</v>
      </c>
      <c r="B6" s="991"/>
      <c r="C6" s="991"/>
      <c r="D6" s="991"/>
      <c r="E6" s="1383"/>
      <c r="F6" s="1384"/>
      <c r="G6" s="1384"/>
      <c r="H6" s="1384"/>
      <c r="I6" s="1384"/>
      <c r="J6" s="1384"/>
      <c r="K6" s="1385"/>
      <c r="L6" s="993"/>
      <c r="M6" s="993"/>
      <c r="N6" s="992"/>
      <c r="O6" s="2"/>
      <c r="P6" s="2"/>
      <c r="Q6" s="2"/>
      <c r="R6" s="2"/>
      <c r="S6" s="2"/>
      <c r="T6" s="2"/>
      <c r="U6" s="2"/>
    </row>
    <row r="7" spans="1:21" ht="13.5" customHeight="1" x14ac:dyDescent="0.2">
      <c r="A7" s="990"/>
      <c r="B7" s="991"/>
      <c r="C7" s="991"/>
      <c r="D7" s="991"/>
      <c r="E7" s="1386"/>
      <c r="F7" s="1387"/>
      <c r="G7" s="1387"/>
      <c r="H7" s="1387"/>
      <c r="I7" s="1387"/>
      <c r="J7" s="1387"/>
      <c r="K7" s="1388"/>
      <c r="L7" s="993"/>
      <c r="M7" s="993"/>
      <c r="N7" s="992"/>
      <c r="O7" s="2"/>
      <c r="P7" s="2"/>
      <c r="Q7" s="2"/>
      <c r="R7" s="2"/>
      <c r="S7" s="2"/>
      <c r="T7" s="2"/>
      <c r="U7" s="2"/>
    </row>
    <row r="8" spans="1:21" ht="12.75" x14ac:dyDescent="0.2">
      <c r="A8" s="990"/>
      <c r="B8" s="991"/>
      <c r="C8" s="991"/>
      <c r="D8" s="991"/>
      <c r="E8" s="991"/>
      <c r="F8" s="991"/>
      <c r="G8" s="991"/>
      <c r="H8" s="991"/>
      <c r="I8" s="991"/>
      <c r="J8" s="991"/>
      <c r="K8" s="991"/>
      <c r="L8" s="993"/>
      <c r="M8" s="993"/>
      <c r="N8" s="992"/>
      <c r="O8" s="2"/>
      <c r="P8" s="54"/>
      <c r="Q8" s="54"/>
      <c r="R8" s="54"/>
      <c r="S8" s="55"/>
      <c r="T8" s="2"/>
      <c r="U8" s="2"/>
    </row>
    <row r="9" spans="1:21" s="58" customFormat="1" ht="16.5" customHeight="1" x14ac:dyDescent="0.2">
      <c r="A9" s="1389" t="s">
        <v>1653</v>
      </c>
      <c r="B9" s="1390"/>
      <c r="C9" s="1390"/>
      <c r="D9" s="1390"/>
      <c r="E9" s="1390"/>
      <c r="F9" s="1390"/>
      <c r="G9" s="1390"/>
      <c r="H9" s="1390"/>
      <c r="I9" s="1390"/>
      <c r="J9" s="1390"/>
      <c r="K9" s="1390"/>
      <c r="L9" s="1391"/>
      <c r="M9" s="994"/>
      <c r="N9" s="995"/>
      <c r="O9" s="4"/>
      <c r="P9" s="56"/>
      <c r="Q9" s="55"/>
      <c r="R9" s="55"/>
      <c r="S9" s="56"/>
      <c r="T9" s="4"/>
      <c r="U9" s="4"/>
    </row>
    <row r="10" spans="1:21" s="58" customFormat="1" ht="16.5" customHeight="1" x14ac:dyDescent="0.2">
      <c r="A10" s="1392"/>
      <c r="B10" s="1393"/>
      <c r="C10" s="1393"/>
      <c r="D10" s="1393"/>
      <c r="E10" s="1393"/>
      <c r="F10" s="1393"/>
      <c r="G10" s="1393"/>
      <c r="H10" s="1393"/>
      <c r="I10" s="1393"/>
      <c r="J10" s="1393"/>
      <c r="K10" s="1393"/>
      <c r="L10" s="1394"/>
      <c r="M10" s="994"/>
      <c r="N10" s="995"/>
      <c r="O10" s="4"/>
      <c r="P10" s="52"/>
      <c r="Q10" s="55"/>
      <c r="R10" s="55"/>
      <c r="S10" s="52"/>
      <c r="T10" s="51"/>
      <c r="U10" s="51"/>
    </row>
    <row r="11" spans="1:21" s="58" customFormat="1" ht="16.5" customHeight="1" x14ac:dyDescent="0.2">
      <c r="A11" s="1392"/>
      <c r="B11" s="1393"/>
      <c r="C11" s="1393"/>
      <c r="D11" s="1393"/>
      <c r="E11" s="1393"/>
      <c r="F11" s="1393"/>
      <c r="G11" s="1393"/>
      <c r="H11" s="1393"/>
      <c r="I11" s="1393"/>
      <c r="J11" s="1393"/>
      <c r="K11" s="1393"/>
      <c r="L11" s="1394"/>
      <c r="M11" s="994"/>
      <c r="N11" s="995"/>
      <c r="O11" s="4"/>
      <c r="P11" s="4"/>
      <c r="Q11" s="4"/>
      <c r="R11" s="4"/>
      <c r="S11" s="4"/>
      <c r="T11" s="4"/>
      <c r="U11" s="4"/>
    </row>
    <row r="12" spans="1:21" s="58" customFormat="1" ht="16.5" customHeight="1" x14ac:dyDescent="0.2">
      <c r="A12" s="1392"/>
      <c r="B12" s="1393"/>
      <c r="C12" s="1393"/>
      <c r="D12" s="1393"/>
      <c r="E12" s="1393"/>
      <c r="F12" s="1393"/>
      <c r="G12" s="1393"/>
      <c r="H12" s="1393"/>
      <c r="I12" s="1393"/>
      <c r="J12" s="1393"/>
      <c r="K12" s="1393"/>
      <c r="L12" s="1394"/>
      <c r="M12" s="994"/>
      <c r="N12" s="995"/>
      <c r="O12" s="4"/>
      <c r="P12" s="4"/>
      <c r="Q12" s="4"/>
      <c r="R12" s="4"/>
      <c r="S12" s="4"/>
      <c r="T12" s="4"/>
      <c r="U12" s="4"/>
    </row>
    <row r="13" spans="1:21" s="58" customFormat="1" ht="16.5" customHeight="1" x14ac:dyDescent="0.2">
      <c r="A13" s="1392"/>
      <c r="B13" s="1393"/>
      <c r="C13" s="1393"/>
      <c r="D13" s="1393"/>
      <c r="E13" s="1393"/>
      <c r="F13" s="1393"/>
      <c r="G13" s="1393"/>
      <c r="H13" s="1393"/>
      <c r="I13" s="1393"/>
      <c r="J13" s="1393"/>
      <c r="K13" s="1393"/>
      <c r="L13" s="1394"/>
      <c r="M13" s="994"/>
      <c r="N13" s="995"/>
      <c r="O13" s="4"/>
      <c r="P13" s="4"/>
      <c r="Q13" s="4"/>
      <c r="R13" s="4"/>
      <c r="S13" s="4"/>
      <c r="T13" s="4"/>
      <c r="U13" s="4"/>
    </row>
    <row r="14" spans="1:21" s="58" customFormat="1" ht="16.5" customHeight="1" x14ac:dyDescent="0.2">
      <c r="A14" s="1392"/>
      <c r="B14" s="1393"/>
      <c r="C14" s="1393"/>
      <c r="D14" s="1393"/>
      <c r="E14" s="1393"/>
      <c r="F14" s="1393"/>
      <c r="G14" s="1393"/>
      <c r="H14" s="1393"/>
      <c r="I14" s="1393"/>
      <c r="J14" s="1393"/>
      <c r="K14" s="1393"/>
      <c r="L14" s="1394"/>
      <c r="M14" s="994"/>
      <c r="N14" s="995"/>
      <c r="O14" s="4"/>
      <c r="P14" s="4"/>
      <c r="Q14" s="4"/>
      <c r="R14" s="4"/>
      <c r="S14" s="4"/>
      <c r="T14" s="4"/>
      <c r="U14" s="4"/>
    </row>
    <row r="15" spans="1:21" s="58" customFormat="1" ht="16.5" customHeight="1" x14ac:dyDescent="0.2">
      <c r="A15" s="1392"/>
      <c r="B15" s="1393"/>
      <c r="C15" s="1393"/>
      <c r="D15" s="1393"/>
      <c r="E15" s="1393"/>
      <c r="F15" s="1393"/>
      <c r="G15" s="1393"/>
      <c r="H15" s="1393"/>
      <c r="I15" s="1393"/>
      <c r="J15" s="1393"/>
      <c r="K15" s="1393"/>
      <c r="L15" s="1394"/>
      <c r="M15" s="994"/>
      <c r="N15" s="995"/>
      <c r="O15" s="4"/>
      <c r="P15" s="4"/>
      <c r="Q15" s="4"/>
      <c r="R15" s="4"/>
      <c r="S15" s="4"/>
      <c r="T15" s="4"/>
      <c r="U15" s="4"/>
    </row>
    <row r="16" spans="1:21" s="58" customFormat="1" ht="16.5" customHeight="1" x14ac:dyDescent="0.2">
      <c r="A16" s="1392"/>
      <c r="B16" s="1393"/>
      <c r="C16" s="1393"/>
      <c r="D16" s="1393"/>
      <c r="E16" s="1393"/>
      <c r="F16" s="1393"/>
      <c r="G16" s="1393"/>
      <c r="H16" s="1393"/>
      <c r="I16" s="1393"/>
      <c r="J16" s="1393"/>
      <c r="K16" s="1393"/>
      <c r="L16" s="1394"/>
      <c r="M16" s="994"/>
      <c r="N16" s="995"/>
      <c r="O16" s="4"/>
      <c r="P16" s="4"/>
      <c r="Q16" s="4"/>
      <c r="R16" s="4"/>
      <c r="S16" s="4"/>
      <c r="T16" s="4"/>
      <c r="U16" s="4"/>
    </row>
    <row r="17" spans="1:21" s="58" customFormat="1" ht="16.5" customHeight="1" x14ac:dyDescent="0.2">
      <c r="A17" s="1392"/>
      <c r="B17" s="1393"/>
      <c r="C17" s="1393"/>
      <c r="D17" s="1393"/>
      <c r="E17" s="1393"/>
      <c r="F17" s="1393"/>
      <c r="G17" s="1393"/>
      <c r="H17" s="1393"/>
      <c r="I17" s="1393"/>
      <c r="J17" s="1393"/>
      <c r="K17" s="1393"/>
      <c r="L17" s="1394"/>
      <c r="M17" s="994"/>
      <c r="N17" s="995"/>
      <c r="O17" s="4"/>
      <c r="P17" s="4"/>
      <c r="Q17" s="4"/>
      <c r="R17" s="4"/>
      <c r="S17" s="4"/>
      <c r="T17" s="4"/>
      <c r="U17" s="4"/>
    </row>
    <row r="18" spans="1:21" s="58" customFormat="1" ht="16.5" customHeight="1" x14ac:dyDescent="0.2">
      <c r="A18" s="1392"/>
      <c r="B18" s="1393"/>
      <c r="C18" s="1393"/>
      <c r="D18" s="1393"/>
      <c r="E18" s="1393"/>
      <c r="F18" s="1393"/>
      <c r="G18" s="1393"/>
      <c r="H18" s="1393"/>
      <c r="I18" s="1393"/>
      <c r="J18" s="1393"/>
      <c r="K18" s="1393"/>
      <c r="L18" s="1394"/>
      <c r="M18" s="994"/>
      <c r="N18" s="995"/>
      <c r="O18" s="4"/>
      <c r="P18" s="4"/>
      <c r="Q18" s="4"/>
      <c r="R18" s="4"/>
      <c r="S18" s="4"/>
      <c r="T18" s="4"/>
      <c r="U18" s="4"/>
    </row>
    <row r="19" spans="1:21" s="58" customFormat="1" ht="16.5" customHeight="1" x14ac:dyDescent="0.2">
      <c r="A19" s="1392"/>
      <c r="B19" s="1393"/>
      <c r="C19" s="1393"/>
      <c r="D19" s="1393"/>
      <c r="E19" s="1393"/>
      <c r="F19" s="1393"/>
      <c r="G19" s="1393"/>
      <c r="H19" s="1393"/>
      <c r="I19" s="1393"/>
      <c r="J19" s="1393"/>
      <c r="K19" s="1393"/>
      <c r="L19" s="1394"/>
      <c r="M19" s="994"/>
      <c r="N19" s="995"/>
      <c r="O19" s="4"/>
      <c r="P19" s="4"/>
      <c r="Q19" s="4"/>
      <c r="R19" s="4"/>
      <c r="S19" s="4"/>
      <c r="T19" s="4"/>
      <c r="U19" s="4"/>
    </row>
    <row r="20" spans="1:21" s="58" customFormat="1" ht="16.5" customHeight="1" x14ac:dyDescent="0.2">
      <c r="A20" s="1392"/>
      <c r="B20" s="1393"/>
      <c r="C20" s="1393"/>
      <c r="D20" s="1393"/>
      <c r="E20" s="1393"/>
      <c r="F20" s="1393"/>
      <c r="G20" s="1393"/>
      <c r="H20" s="1393"/>
      <c r="I20" s="1393"/>
      <c r="J20" s="1393"/>
      <c r="K20" s="1393"/>
      <c r="L20" s="1394"/>
      <c r="M20" s="994"/>
      <c r="N20" s="995"/>
      <c r="O20" s="4"/>
      <c r="P20" s="4"/>
      <c r="Q20" s="4"/>
      <c r="R20" s="4"/>
      <c r="S20" s="4"/>
      <c r="T20" s="4"/>
      <c r="U20" s="4"/>
    </row>
    <row r="21" spans="1:21" s="58" customFormat="1" ht="16.5" customHeight="1" x14ac:dyDescent="0.2">
      <c r="A21" s="1392"/>
      <c r="B21" s="1393"/>
      <c r="C21" s="1393"/>
      <c r="D21" s="1393"/>
      <c r="E21" s="1393"/>
      <c r="F21" s="1393"/>
      <c r="G21" s="1393"/>
      <c r="H21" s="1393"/>
      <c r="I21" s="1393"/>
      <c r="J21" s="1393"/>
      <c r="K21" s="1393"/>
      <c r="L21" s="1394"/>
      <c r="M21" s="994"/>
      <c r="N21" s="995"/>
      <c r="O21" s="4"/>
      <c r="P21" s="4"/>
      <c r="Q21" s="4"/>
      <c r="R21" s="4"/>
      <c r="S21" s="4"/>
      <c r="T21" s="4"/>
      <c r="U21" s="4"/>
    </row>
    <row r="22" spans="1:21" s="58" customFormat="1" ht="16.5" customHeight="1" x14ac:dyDescent="0.2">
      <c r="A22" s="1392"/>
      <c r="B22" s="1393"/>
      <c r="C22" s="1393"/>
      <c r="D22" s="1393"/>
      <c r="E22" s="1393"/>
      <c r="F22" s="1393"/>
      <c r="G22" s="1393"/>
      <c r="H22" s="1393"/>
      <c r="I22" s="1393"/>
      <c r="J22" s="1393"/>
      <c r="K22" s="1393"/>
      <c r="L22" s="1394"/>
      <c r="M22" s="994"/>
      <c r="N22" s="995"/>
      <c r="O22" s="4"/>
      <c r="P22" s="4"/>
      <c r="Q22" s="4"/>
      <c r="R22" s="4"/>
      <c r="S22" s="4"/>
      <c r="T22" s="4"/>
      <c r="U22" s="4"/>
    </row>
    <row r="23" spans="1:21" s="58" customFormat="1" ht="16.5" customHeight="1" x14ac:dyDescent="0.2">
      <c r="A23" s="1392"/>
      <c r="B23" s="1393"/>
      <c r="C23" s="1393"/>
      <c r="D23" s="1393"/>
      <c r="E23" s="1393"/>
      <c r="F23" s="1393"/>
      <c r="G23" s="1393"/>
      <c r="H23" s="1393"/>
      <c r="I23" s="1393"/>
      <c r="J23" s="1393"/>
      <c r="K23" s="1393"/>
      <c r="L23" s="1394"/>
      <c r="M23" s="994"/>
      <c r="N23" s="995"/>
      <c r="O23" s="4"/>
      <c r="P23" s="4"/>
      <c r="Q23" s="4"/>
      <c r="R23" s="4"/>
      <c r="S23" s="4"/>
      <c r="T23" s="4"/>
      <c r="U23" s="4"/>
    </row>
    <row r="24" spans="1:21" s="58" customFormat="1" ht="16.5" customHeight="1" x14ac:dyDescent="0.2">
      <c r="A24" s="1392"/>
      <c r="B24" s="1393"/>
      <c r="C24" s="1393"/>
      <c r="D24" s="1393"/>
      <c r="E24" s="1393"/>
      <c r="F24" s="1393"/>
      <c r="G24" s="1393"/>
      <c r="H24" s="1393"/>
      <c r="I24" s="1393"/>
      <c r="J24" s="1393"/>
      <c r="K24" s="1393"/>
      <c r="L24" s="1394"/>
      <c r="M24" s="994"/>
      <c r="N24" s="995"/>
      <c r="O24" s="4"/>
      <c r="P24" s="4"/>
      <c r="Q24" s="4"/>
      <c r="R24" s="4"/>
      <c r="S24" s="4"/>
      <c r="T24" s="4"/>
      <c r="U24" s="4"/>
    </row>
    <row r="25" spans="1:21" s="58" customFormat="1" ht="16.5" customHeight="1" x14ac:dyDescent="0.2">
      <c r="A25" s="1392"/>
      <c r="B25" s="1393"/>
      <c r="C25" s="1393"/>
      <c r="D25" s="1393"/>
      <c r="E25" s="1393"/>
      <c r="F25" s="1393"/>
      <c r="G25" s="1393"/>
      <c r="H25" s="1393"/>
      <c r="I25" s="1393"/>
      <c r="J25" s="1393"/>
      <c r="K25" s="1393"/>
      <c r="L25" s="1394"/>
      <c r="M25" s="994"/>
      <c r="N25" s="995"/>
      <c r="O25" s="4"/>
      <c r="P25" s="4"/>
      <c r="Q25" s="4"/>
      <c r="R25" s="4"/>
      <c r="S25" s="4"/>
      <c r="T25" s="4"/>
      <c r="U25" s="4"/>
    </row>
    <row r="26" spans="1:21" s="58" customFormat="1" ht="16.5" customHeight="1" x14ac:dyDescent="0.2">
      <c r="A26" s="1392"/>
      <c r="B26" s="1393"/>
      <c r="C26" s="1393"/>
      <c r="D26" s="1393"/>
      <c r="E26" s="1393"/>
      <c r="F26" s="1393"/>
      <c r="G26" s="1393"/>
      <c r="H26" s="1393"/>
      <c r="I26" s="1393"/>
      <c r="J26" s="1393"/>
      <c r="K26" s="1393"/>
      <c r="L26" s="1394"/>
      <c r="M26" s="994"/>
      <c r="N26" s="995"/>
      <c r="O26" s="4"/>
      <c r="P26" s="4"/>
      <c r="Q26" s="4"/>
      <c r="R26" s="4"/>
      <c r="S26" s="4"/>
      <c r="T26" s="4"/>
      <c r="U26" s="4"/>
    </row>
    <row r="27" spans="1:21" s="58" customFormat="1" ht="16.5" customHeight="1" x14ac:dyDescent="0.2">
      <c r="A27" s="1392"/>
      <c r="B27" s="1393"/>
      <c r="C27" s="1393"/>
      <c r="D27" s="1393"/>
      <c r="E27" s="1393"/>
      <c r="F27" s="1393"/>
      <c r="G27" s="1393"/>
      <c r="H27" s="1393"/>
      <c r="I27" s="1393"/>
      <c r="J27" s="1393"/>
      <c r="K27" s="1393"/>
      <c r="L27" s="1394"/>
      <c r="M27" s="994"/>
      <c r="N27" s="995"/>
      <c r="O27" s="4"/>
      <c r="P27" s="4"/>
      <c r="Q27" s="4"/>
      <c r="R27" s="4"/>
      <c r="S27" s="4"/>
      <c r="T27" s="4"/>
      <c r="U27" s="4"/>
    </row>
    <row r="28" spans="1:21" s="58" customFormat="1" ht="16.5" customHeight="1" x14ac:dyDescent="0.2">
      <c r="A28" s="1392"/>
      <c r="B28" s="1393"/>
      <c r="C28" s="1393"/>
      <c r="D28" s="1393"/>
      <c r="E28" s="1393"/>
      <c r="F28" s="1393"/>
      <c r="G28" s="1393"/>
      <c r="H28" s="1393"/>
      <c r="I28" s="1393"/>
      <c r="J28" s="1393"/>
      <c r="K28" s="1393"/>
      <c r="L28" s="1394"/>
      <c r="M28" s="994"/>
      <c r="N28" s="995"/>
      <c r="O28" s="4"/>
      <c r="P28" s="4"/>
      <c r="Q28" s="4"/>
      <c r="R28" s="4"/>
      <c r="S28" s="4"/>
      <c r="T28" s="4"/>
      <c r="U28" s="4"/>
    </row>
    <row r="29" spans="1:21" s="58" customFormat="1" ht="16.5" customHeight="1" x14ac:dyDescent="0.2">
      <c r="A29" s="1392"/>
      <c r="B29" s="1393"/>
      <c r="C29" s="1393"/>
      <c r="D29" s="1393"/>
      <c r="E29" s="1393"/>
      <c r="F29" s="1393"/>
      <c r="G29" s="1393"/>
      <c r="H29" s="1393"/>
      <c r="I29" s="1393"/>
      <c r="J29" s="1393"/>
      <c r="K29" s="1393"/>
      <c r="L29" s="1394"/>
      <c r="M29" s="994"/>
      <c r="N29" s="995"/>
      <c r="O29" s="4"/>
      <c r="P29" s="4"/>
      <c r="Q29" s="4"/>
      <c r="R29" s="4"/>
      <c r="S29" s="4"/>
      <c r="T29" s="4"/>
      <c r="U29" s="4"/>
    </row>
    <row r="30" spans="1:21" s="58" customFormat="1" ht="16.5" customHeight="1" x14ac:dyDescent="0.2">
      <c r="A30" s="1392"/>
      <c r="B30" s="1393"/>
      <c r="C30" s="1393"/>
      <c r="D30" s="1393"/>
      <c r="E30" s="1393"/>
      <c r="F30" s="1393"/>
      <c r="G30" s="1393"/>
      <c r="H30" s="1393"/>
      <c r="I30" s="1393"/>
      <c r="J30" s="1393"/>
      <c r="K30" s="1393"/>
      <c r="L30" s="1394"/>
      <c r="M30" s="994"/>
      <c r="N30" s="995"/>
      <c r="O30" s="4"/>
      <c r="P30" s="4"/>
      <c r="Q30" s="4"/>
      <c r="R30" s="4"/>
      <c r="S30" s="4"/>
      <c r="T30" s="4"/>
      <c r="U30" s="4"/>
    </row>
    <row r="31" spans="1:21" s="58" customFormat="1" ht="22.5" customHeight="1" x14ac:dyDescent="0.2">
      <c r="A31" s="1395"/>
      <c r="B31" s="1396"/>
      <c r="C31" s="1396"/>
      <c r="D31" s="1396"/>
      <c r="E31" s="1396"/>
      <c r="F31" s="1396"/>
      <c r="G31" s="1396"/>
      <c r="H31" s="1396"/>
      <c r="I31" s="1396"/>
      <c r="J31" s="1396"/>
      <c r="K31" s="1396"/>
      <c r="L31" s="1397"/>
      <c r="M31" s="994"/>
      <c r="N31" s="995"/>
      <c r="O31" s="4"/>
      <c r="P31" s="4"/>
      <c r="Q31" s="4"/>
      <c r="R31" s="4"/>
      <c r="S31" s="4"/>
      <c r="T31" s="4"/>
      <c r="U31" s="4"/>
    </row>
    <row r="32" spans="1:21" ht="12.75" x14ac:dyDescent="0.2">
      <c r="A32" s="996"/>
      <c r="B32" s="994"/>
      <c r="C32" s="994"/>
      <c r="D32" s="994"/>
      <c r="E32" s="994"/>
      <c r="F32" s="994"/>
      <c r="G32" s="994"/>
      <c r="H32" s="994"/>
      <c r="I32" s="994"/>
      <c r="J32" s="994"/>
      <c r="K32" s="994"/>
      <c r="L32" s="993"/>
      <c r="M32" s="993"/>
      <c r="N32" s="992"/>
      <c r="O32" s="2"/>
      <c r="P32" s="2"/>
      <c r="Q32" s="2"/>
      <c r="R32" s="2"/>
      <c r="S32" s="2"/>
      <c r="T32" s="2"/>
      <c r="U32" s="2"/>
    </row>
    <row r="33" spans="1:21" ht="12.75" x14ac:dyDescent="0.2">
      <c r="A33" s="997" t="s">
        <v>209</v>
      </c>
      <c r="B33" s="994"/>
      <c r="C33" s="998"/>
      <c r="D33" s="998"/>
      <c r="E33" s="994"/>
      <c r="F33" s="994"/>
      <c r="G33" s="994"/>
      <c r="H33" s="994"/>
      <c r="I33" s="994"/>
      <c r="J33" s="994"/>
      <c r="K33" s="994"/>
      <c r="L33" s="993"/>
      <c r="M33" s="993"/>
      <c r="N33" s="992"/>
      <c r="O33" s="2"/>
      <c r="P33" s="2"/>
      <c r="Q33" s="2"/>
      <c r="R33" s="2"/>
      <c r="S33" s="2"/>
      <c r="T33" s="2"/>
      <c r="U33" s="2"/>
    </row>
    <row r="34" spans="1:21" ht="12.75" x14ac:dyDescent="0.2">
      <c r="A34" s="999"/>
      <c r="B34" s="994"/>
      <c r="C34" s="998"/>
      <c r="D34" s="998"/>
      <c r="E34" s="994"/>
      <c r="F34" s="994"/>
      <c r="G34" s="994"/>
      <c r="H34" s="994"/>
      <c r="I34" s="994"/>
      <c r="J34" s="994"/>
      <c r="K34" s="994"/>
      <c r="L34" s="993"/>
      <c r="M34" s="993"/>
      <c r="N34" s="992"/>
      <c r="O34" s="2"/>
      <c r="P34" s="2"/>
      <c r="Q34" s="2"/>
      <c r="R34" s="2"/>
      <c r="S34" s="2"/>
      <c r="T34" s="2"/>
      <c r="U34" s="2"/>
    </row>
    <row r="35" spans="1:21" ht="12.75" x14ac:dyDescent="0.2">
      <c r="A35" s="977" t="s">
        <v>78</v>
      </c>
      <c r="B35" s="1410" t="s">
        <v>162</v>
      </c>
      <c r="C35" s="1411"/>
      <c r="D35" s="998"/>
      <c r="E35" s="991"/>
      <c r="F35" s="991"/>
      <c r="G35" s="994"/>
      <c r="H35" s="994"/>
      <c r="I35" s="994"/>
      <c r="J35" s="994"/>
      <c r="K35" s="994"/>
      <c r="L35" s="993"/>
      <c r="M35" s="993"/>
      <c r="N35" s="992"/>
      <c r="O35" s="2"/>
      <c r="P35" s="2"/>
      <c r="Q35" s="2"/>
      <c r="R35" s="2"/>
      <c r="S35" s="2"/>
      <c r="T35" s="2"/>
      <c r="U35" s="2"/>
    </row>
    <row r="36" spans="1:21" ht="12.75" x14ac:dyDescent="0.2">
      <c r="A36" s="977" t="s">
        <v>77</v>
      </c>
      <c r="B36" s="1372" t="s">
        <v>162</v>
      </c>
      <c r="C36" s="1373"/>
      <c r="D36" s="998"/>
      <c r="E36" s="991"/>
      <c r="F36" s="991"/>
      <c r="G36" s="994"/>
      <c r="H36" s="994"/>
      <c r="I36" s="994"/>
      <c r="J36" s="994"/>
      <c r="K36" s="994"/>
      <c r="L36" s="993"/>
      <c r="M36" s="993"/>
      <c r="N36" s="992"/>
      <c r="O36" s="2"/>
      <c r="P36" s="2"/>
      <c r="Q36" s="2"/>
      <c r="R36" s="2"/>
      <c r="S36" s="2"/>
      <c r="T36" s="2"/>
      <c r="U36" s="2"/>
    </row>
    <row r="37" spans="1:21" ht="12.75" x14ac:dyDescent="0.2">
      <c r="A37" s="990"/>
      <c r="B37" s="991"/>
      <c r="C37" s="991"/>
      <c r="D37" s="991"/>
      <c r="E37" s="991"/>
      <c r="F37" s="991"/>
      <c r="G37" s="991"/>
      <c r="H37" s="991"/>
      <c r="I37" s="991"/>
      <c r="J37" s="991"/>
      <c r="K37" s="991"/>
      <c r="L37" s="991"/>
      <c r="M37" s="991"/>
      <c r="N37" s="992"/>
      <c r="O37" s="2"/>
      <c r="P37" s="2"/>
      <c r="Q37" s="2"/>
      <c r="R37" s="2"/>
      <c r="S37" s="2"/>
      <c r="T37" s="2"/>
      <c r="U37" s="2"/>
    </row>
    <row r="38" spans="1:21" ht="12.75" x14ac:dyDescent="0.2">
      <c r="A38" s="997" t="s">
        <v>1070</v>
      </c>
      <c r="B38" s="991"/>
      <c r="C38" s="991"/>
      <c r="D38" s="991"/>
      <c r="E38" s="991"/>
      <c r="F38" s="991"/>
      <c r="G38" s="991"/>
      <c r="H38" s="991"/>
      <c r="I38" s="991"/>
      <c r="J38" s="991"/>
      <c r="K38" s="991"/>
      <c r="L38" s="991"/>
      <c r="M38" s="991"/>
      <c r="N38" s="992"/>
      <c r="O38" s="2"/>
      <c r="P38" s="2"/>
      <c r="Q38" s="2"/>
      <c r="R38" s="2"/>
      <c r="S38" s="2"/>
      <c r="T38" s="2"/>
      <c r="U38" s="2"/>
    </row>
    <row r="39" spans="1:21" ht="12.75" x14ac:dyDescent="0.2">
      <c r="A39" s="990"/>
      <c r="B39" s="991"/>
      <c r="C39" s="991"/>
      <c r="D39" s="991"/>
      <c r="E39" s="991"/>
      <c r="F39" s="991"/>
      <c r="G39" s="991"/>
      <c r="H39" s="991"/>
      <c r="I39" s="991"/>
      <c r="J39" s="991"/>
      <c r="K39" s="991"/>
      <c r="L39" s="991"/>
      <c r="M39" s="991"/>
      <c r="N39" s="992"/>
      <c r="O39" s="2"/>
      <c r="P39" s="2"/>
      <c r="Q39" s="2"/>
      <c r="R39" s="2"/>
      <c r="S39" s="2"/>
      <c r="T39" s="2"/>
      <c r="U39" s="2"/>
    </row>
    <row r="40" spans="1:21" ht="12.75" x14ac:dyDescent="0.2">
      <c r="A40" s="977" t="s">
        <v>1472</v>
      </c>
      <c r="B40" s="1410" t="s">
        <v>162</v>
      </c>
      <c r="C40" s="1411"/>
      <c r="D40" s="991"/>
      <c r="E40" s="991"/>
      <c r="F40" s="991"/>
      <c r="G40" s="991"/>
      <c r="H40" s="991"/>
      <c r="I40" s="991"/>
      <c r="J40" s="991"/>
      <c r="K40" s="991"/>
      <c r="L40" s="991"/>
      <c r="M40" s="991"/>
      <c r="N40" s="992"/>
      <c r="O40" s="2"/>
      <c r="P40" s="2"/>
      <c r="Q40" s="2"/>
      <c r="R40" s="2"/>
      <c r="S40" s="2"/>
      <c r="T40" s="2"/>
      <c r="U40" s="2"/>
    </row>
    <row r="41" spans="1:21" ht="12.75" customHeight="1" x14ac:dyDescent="0.2">
      <c r="A41" s="1001"/>
      <c r="B41" s="1412"/>
      <c r="C41" s="1412"/>
      <c r="D41" s="991"/>
      <c r="E41" s="991"/>
      <c r="F41" s="991"/>
      <c r="G41" s="991"/>
      <c r="H41" s="1000"/>
      <c r="I41" s="1000"/>
      <c r="J41" s="1000"/>
      <c r="K41" s="1000"/>
      <c r="L41" s="1000"/>
      <c r="M41" s="1000"/>
      <c r="N41" s="992"/>
      <c r="O41" s="2"/>
      <c r="P41" s="2"/>
      <c r="Q41" s="2"/>
      <c r="R41" s="2"/>
      <c r="S41" s="2"/>
      <c r="T41" s="2"/>
      <c r="U41" s="2"/>
    </row>
    <row r="42" spans="1:21" ht="12.75" x14ac:dyDescent="0.2">
      <c r="A42" s="977" t="s">
        <v>210</v>
      </c>
      <c r="B42" s="1410" t="s">
        <v>162</v>
      </c>
      <c r="C42" s="1411"/>
      <c r="D42" s="991"/>
      <c r="E42" s="991"/>
      <c r="F42" s="991"/>
      <c r="G42" s="991"/>
      <c r="H42" s="991"/>
      <c r="I42" s="991"/>
      <c r="J42" s="991"/>
      <c r="K42" s="991"/>
      <c r="L42" s="991"/>
      <c r="M42" s="991"/>
      <c r="N42" s="992"/>
      <c r="O42" s="2"/>
      <c r="P42" s="2"/>
      <c r="Q42" s="2"/>
      <c r="R42" s="2"/>
      <c r="S42" s="2"/>
      <c r="T42" s="2"/>
      <c r="U42" s="2"/>
    </row>
    <row r="43" spans="1:21" ht="12.75" x14ac:dyDescent="0.2">
      <c r="A43" s="977" t="s">
        <v>80</v>
      </c>
      <c r="B43" s="1410" t="s">
        <v>162</v>
      </c>
      <c r="C43" s="1411"/>
      <c r="D43" s="991"/>
      <c r="E43" s="991"/>
      <c r="F43" s="991"/>
      <c r="G43" s="991"/>
      <c r="H43" s="991"/>
      <c r="I43" s="991"/>
      <c r="J43" s="991"/>
      <c r="K43" s="991"/>
      <c r="L43" s="991"/>
      <c r="M43" s="991"/>
      <c r="N43" s="992"/>
      <c r="O43" s="2"/>
      <c r="P43" s="2"/>
      <c r="Q43" s="2"/>
      <c r="R43" s="2"/>
      <c r="S43" s="2"/>
      <c r="T43" s="2"/>
      <c r="U43" s="2"/>
    </row>
    <row r="44" spans="1:21" ht="12.75" x14ac:dyDescent="0.2">
      <c r="A44" s="1002"/>
      <c r="B44" s="1413"/>
      <c r="C44" s="1413"/>
      <c r="D44" s="991"/>
      <c r="E44" s="1401" t="s">
        <v>79</v>
      </c>
      <c r="F44" s="1402"/>
      <c r="G44" s="1402"/>
      <c r="H44" s="1402"/>
      <c r="I44" s="1402"/>
      <c r="J44" s="1402"/>
      <c r="K44" s="1402"/>
      <c r="L44" s="1403"/>
      <c r="M44" s="991"/>
      <c r="N44" s="992"/>
      <c r="O44" s="2"/>
      <c r="P44" s="2"/>
      <c r="Q44" s="2"/>
      <c r="R44" s="2"/>
      <c r="S44" s="2"/>
      <c r="T44" s="2"/>
      <c r="U44" s="2"/>
    </row>
    <row r="45" spans="1:21" ht="15.75" customHeight="1" x14ac:dyDescent="0.2">
      <c r="A45" s="997" t="s">
        <v>572</v>
      </c>
      <c r="B45" s="1414"/>
      <c r="C45" s="1414"/>
      <c r="D45" s="991"/>
      <c r="E45" s="1404"/>
      <c r="F45" s="1405"/>
      <c r="G45" s="1405"/>
      <c r="H45" s="1405"/>
      <c r="I45" s="1405"/>
      <c r="J45" s="1405"/>
      <c r="K45" s="1405"/>
      <c r="L45" s="1406"/>
      <c r="M45" s="991"/>
      <c r="N45" s="992"/>
      <c r="O45" s="2"/>
      <c r="P45" s="2"/>
      <c r="Q45" s="2"/>
      <c r="R45" s="2"/>
      <c r="S45" s="2"/>
      <c r="T45" s="2"/>
      <c r="U45" s="2"/>
    </row>
    <row r="46" spans="1:21" ht="16.5" customHeight="1" x14ac:dyDescent="0.2">
      <c r="A46" s="1004"/>
      <c r="B46" s="1400"/>
      <c r="C46" s="1400"/>
      <c r="D46" s="991"/>
      <c r="E46" s="1407"/>
      <c r="F46" s="1408"/>
      <c r="G46" s="1408"/>
      <c r="H46" s="1408"/>
      <c r="I46" s="1408"/>
      <c r="J46" s="1408"/>
      <c r="K46" s="1408"/>
      <c r="L46" s="1409"/>
      <c r="M46" s="991"/>
      <c r="N46" s="992"/>
      <c r="O46" s="2"/>
      <c r="P46" s="2"/>
      <c r="Q46" s="2"/>
      <c r="R46" s="2"/>
      <c r="S46" s="2"/>
      <c r="T46" s="2"/>
      <c r="U46" s="2"/>
    </row>
    <row r="47" spans="1:21" ht="12" customHeight="1" x14ac:dyDescent="0.2">
      <c r="A47" s="977" t="s">
        <v>395</v>
      </c>
      <c r="B47" s="1374" t="s">
        <v>162</v>
      </c>
      <c r="C47" s="1375"/>
      <c r="D47" s="991"/>
      <c r="E47" s="1005"/>
      <c r="F47" s="1005"/>
      <c r="G47" s="1005"/>
      <c r="H47" s="1005"/>
      <c r="I47" s="1005"/>
      <c r="J47" s="991"/>
      <c r="K47" s="991"/>
      <c r="L47" s="991"/>
      <c r="M47" s="991"/>
      <c r="N47" s="992"/>
      <c r="O47" s="2"/>
      <c r="P47" s="2"/>
      <c r="Q47" s="2"/>
      <c r="R47" s="2"/>
      <c r="S47" s="2"/>
      <c r="T47" s="2"/>
      <c r="U47" s="2"/>
    </row>
    <row r="48" spans="1:21" ht="12.75" x14ac:dyDescent="0.2">
      <c r="A48" s="977" t="s">
        <v>1499</v>
      </c>
      <c r="B48" s="1372" t="s">
        <v>162</v>
      </c>
      <c r="C48" s="1373"/>
      <c r="D48" s="991"/>
      <c r="E48" s="991"/>
      <c r="F48" s="991"/>
      <c r="G48" s="991"/>
      <c r="H48" s="991"/>
      <c r="I48" s="991"/>
      <c r="J48" s="991"/>
      <c r="K48" s="991"/>
      <c r="L48" s="991"/>
      <c r="M48" s="991"/>
      <c r="N48" s="992"/>
      <c r="O48" s="2"/>
      <c r="P48" s="2"/>
      <c r="Q48" s="2"/>
      <c r="R48" s="2"/>
      <c r="S48" s="2"/>
      <c r="T48" s="2"/>
      <c r="U48" s="2"/>
    </row>
    <row r="49" spans="1:21" ht="12.75" x14ac:dyDescent="0.2">
      <c r="A49" s="978" t="s">
        <v>1654</v>
      </c>
      <c r="B49" s="1372" t="s">
        <v>162</v>
      </c>
      <c r="C49" s="1373"/>
      <c r="D49" s="991"/>
      <c r="E49" s="991"/>
      <c r="F49" s="991"/>
      <c r="G49" s="991"/>
      <c r="H49" s="991"/>
      <c r="I49" s="991"/>
      <c r="J49" s="991"/>
      <c r="K49" s="991"/>
      <c r="L49" s="991"/>
      <c r="M49" s="991"/>
      <c r="N49" s="992"/>
      <c r="O49" s="2"/>
      <c r="P49" s="2"/>
      <c r="Q49" s="2"/>
      <c r="R49" s="2"/>
      <c r="S49" s="2"/>
      <c r="T49" s="2"/>
      <c r="U49" s="2"/>
    </row>
    <row r="50" spans="1:21" ht="12.75" x14ac:dyDescent="0.2">
      <c r="A50" s="1006"/>
      <c r="B50" s="998"/>
      <c r="C50" s="998"/>
      <c r="D50" s="991"/>
      <c r="E50" s="991"/>
      <c r="F50" s="991"/>
      <c r="G50" s="991"/>
      <c r="H50" s="991"/>
      <c r="I50" s="991"/>
      <c r="J50" s="991"/>
      <c r="K50" s="991"/>
      <c r="L50" s="991"/>
      <c r="M50" s="991"/>
      <c r="N50" s="992"/>
      <c r="O50" s="2"/>
      <c r="P50" s="2"/>
      <c r="Q50" s="2"/>
      <c r="R50" s="2"/>
      <c r="S50" s="2"/>
      <c r="T50" s="2"/>
      <c r="U50" s="2"/>
    </row>
    <row r="51" spans="1:21" ht="12.75" x14ac:dyDescent="0.2">
      <c r="A51" s="997"/>
      <c r="B51" s="991"/>
      <c r="C51" s="991"/>
      <c r="D51" s="991"/>
      <c r="E51" s="991"/>
      <c r="F51" s="991"/>
      <c r="G51" s="991"/>
      <c r="H51" s="991"/>
      <c r="I51" s="991"/>
      <c r="J51" s="991"/>
      <c r="K51" s="991"/>
      <c r="L51" s="991"/>
      <c r="M51" s="991"/>
      <c r="N51" s="992"/>
      <c r="O51" s="2"/>
      <c r="P51" s="2"/>
      <c r="Q51" s="2"/>
      <c r="R51" s="2"/>
      <c r="S51" s="2"/>
      <c r="T51" s="2"/>
      <c r="U51" s="2"/>
    </row>
    <row r="52" spans="1:21" ht="12.75" x14ac:dyDescent="0.2">
      <c r="A52" s="1006"/>
      <c r="B52" s="991"/>
      <c r="C52" s="991"/>
      <c r="D52" s="991"/>
      <c r="E52" s="991"/>
      <c r="F52" s="991"/>
      <c r="G52" s="991"/>
      <c r="H52" s="991"/>
      <c r="I52" s="991"/>
      <c r="J52" s="991"/>
      <c r="K52" s="991"/>
      <c r="L52" s="991"/>
      <c r="M52" s="991"/>
      <c r="N52" s="992"/>
      <c r="O52" s="2"/>
      <c r="P52" s="2"/>
      <c r="Q52" s="2"/>
      <c r="R52" s="2"/>
      <c r="S52" s="2"/>
      <c r="T52" s="2"/>
      <c r="U52" s="2"/>
    </row>
    <row r="53" spans="1:21" s="53" customFormat="1" ht="12" customHeight="1" x14ac:dyDescent="0.2">
      <c r="A53" s="1007"/>
      <c r="B53" s="1371"/>
      <c r="C53" s="1371"/>
      <c r="D53" s="1371"/>
      <c r="E53" s="1371"/>
      <c r="F53" s="1371"/>
      <c r="G53" s="1371"/>
      <c r="H53" s="1371"/>
      <c r="I53" s="1371"/>
      <c r="J53" s="1371"/>
      <c r="K53" s="1371"/>
      <c r="L53" s="1371"/>
      <c r="M53" s="991"/>
      <c r="N53" s="992"/>
      <c r="O53" s="5"/>
      <c r="P53" s="5"/>
      <c r="Q53" s="5"/>
      <c r="R53" s="5"/>
      <c r="S53" s="5"/>
      <c r="T53" s="5"/>
      <c r="U53" s="5"/>
    </row>
    <row r="54" spans="1:21" s="53" customFormat="1" ht="12" customHeight="1" x14ac:dyDescent="0.2">
      <c r="A54" s="1007"/>
      <c r="B54" s="1008"/>
      <c r="C54" s="1008"/>
      <c r="D54" s="1008"/>
      <c r="E54" s="1008"/>
      <c r="F54" s="1008"/>
      <c r="G54" s="1008"/>
      <c r="H54" s="1008"/>
      <c r="I54" s="1008"/>
      <c r="J54" s="1008"/>
      <c r="K54" s="1008"/>
      <c r="L54" s="1008"/>
      <c r="M54" s="991"/>
      <c r="N54" s="992"/>
      <c r="O54" s="5"/>
      <c r="P54" s="5"/>
      <c r="Q54" s="5"/>
      <c r="R54" s="5"/>
      <c r="S54" s="5"/>
      <c r="T54" s="5"/>
      <c r="U54" s="5"/>
    </row>
    <row r="55" spans="1:21" s="53" customFormat="1" ht="12" customHeight="1" x14ac:dyDescent="0.2">
      <c r="A55" s="997" t="s">
        <v>81</v>
      </c>
      <c r="B55" s="1008"/>
      <c r="C55" s="1008"/>
      <c r="D55" s="1008"/>
      <c r="E55" s="1008"/>
      <c r="F55" s="1008"/>
      <c r="G55" s="1008"/>
      <c r="H55" s="1008"/>
      <c r="I55" s="1008"/>
      <c r="J55" s="1008"/>
      <c r="K55" s="1008"/>
      <c r="L55" s="1008"/>
      <c r="M55" s="991"/>
      <c r="N55" s="992"/>
      <c r="O55" s="5"/>
      <c r="P55" s="5"/>
      <c r="Q55" s="5"/>
      <c r="R55" s="5"/>
      <c r="S55" s="5"/>
      <c r="T55" s="5"/>
      <c r="U55" s="5"/>
    </row>
    <row r="56" spans="1:21" s="53" customFormat="1" ht="12" customHeight="1" x14ac:dyDescent="0.2">
      <c r="A56" s="1007"/>
      <c r="B56" s="1008"/>
      <c r="C56" s="1008"/>
      <c r="D56" s="1008"/>
      <c r="E56" s="1008"/>
      <c r="F56" s="1008"/>
      <c r="G56" s="1008"/>
      <c r="H56" s="1008"/>
      <c r="I56" s="1008"/>
      <c r="J56" s="1008"/>
      <c r="K56" s="1008"/>
      <c r="L56" s="1008"/>
      <c r="M56" s="991"/>
      <c r="N56" s="992"/>
      <c r="O56" s="5"/>
      <c r="P56" s="5"/>
      <c r="Q56" s="5"/>
      <c r="R56" s="5"/>
      <c r="S56" s="5"/>
      <c r="T56" s="5"/>
      <c r="U56" s="5"/>
    </row>
    <row r="57" spans="1:21" ht="25.5" customHeight="1" x14ac:dyDescent="0.2">
      <c r="A57" s="1102">
        <v>43787</v>
      </c>
      <c r="B57" s="1378" t="s">
        <v>1999</v>
      </c>
      <c r="C57" s="1378"/>
      <c r="D57" s="1378"/>
      <c r="E57" s="1378"/>
      <c r="F57" s="1378"/>
      <c r="G57" s="1378"/>
      <c r="H57" s="1378"/>
      <c r="I57" s="1378"/>
      <c r="J57" s="1378"/>
      <c r="K57" s="1378"/>
      <c r="L57" s="1379"/>
      <c r="M57" s="998"/>
      <c r="N57" s="1009"/>
    </row>
    <row r="58" spans="1:21" ht="37.5" customHeight="1" x14ac:dyDescent="0.2">
      <c r="A58" s="1101">
        <v>43764</v>
      </c>
      <c r="B58" s="1376" t="s">
        <v>1886</v>
      </c>
      <c r="C58" s="1376"/>
      <c r="D58" s="1376"/>
      <c r="E58" s="1376"/>
      <c r="F58" s="1376"/>
      <c r="G58" s="1376"/>
      <c r="H58" s="1376"/>
      <c r="I58" s="1376"/>
      <c r="J58" s="1376"/>
      <c r="K58" s="1376"/>
      <c r="L58" s="1377"/>
      <c r="M58" s="998"/>
      <c r="N58" s="1009"/>
    </row>
    <row r="59" spans="1:21" ht="25.5" customHeight="1" x14ac:dyDescent="0.2">
      <c r="A59" s="1102">
        <v>43759</v>
      </c>
      <c r="B59" s="1378" t="s">
        <v>1745</v>
      </c>
      <c r="C59" s="1378"/>
      <c r="D59" s="1378"/>
      <c r="E59" s="1378"/>
      <c r="F59" s="1378"/>
      <c r="G59" s="1378"/>
      <c r="H59" s="1378"/>
      <c r="I59" s="1378"/>
      <c r="J59" s="1378"/>
      <c r="K59" s="1378"/>
      <c r="L59" s="1379"/>
      <c r="M59" s="998"/>
      <c r="N59" s="1009"/>
    </row>
    <row r="60" spans="1:21" ht="37.5" customHeight="1" x14ac:dyDescent="0.2">
      <c r="A60" s="1101">
        <v>43619</v>
      </c>
      <c r="B60" s="1376" t="s">
        <v>1744</v>
      </c>
      <c r="C60" s="1376"/>
      <c r="D60" s="1376"/>
      <c r="E60" s="1376"/>
      <c r="F60" s="1376"/>
      <c r="G60" s="1376"/>
      <c r="H60" s="1376"/>
      <c r="I60" s="1376"/>
      <c r="J60" s="1376"/>
      <c r="K60" s="1376"/>
      <c r="L60" s="1377"/>
      <c r="M60" s="998"/>
      <c r="N60" s="1009"/>
    </row>
    <row r="61" spans="1:21" s="53" customFormat="1" ht="12" customHeight="1" x14ac:dyDescent="0.2">
      <c r="A61" s="1102" t="s">
        <v>1896</v>
      </c>
      <c r="B61" s="1378" t="s">
        <v>1897</v>
      </c>
      <c r="C61" s="1378"/>
      <c r="D61" s="1378"/>
      <c r="E61" s="1378"/>
      <c r="F61" s="1378"/>
      <c r="G61" s="1378"/>
      <c r="H61" s="1378"/>
      <c r="I61" s="1378"/>
      <c r="J61" s="1378"/>
      <c r="K61" s="1378"/>
      <c r="L61" s="1379"/>
      <c r="M61" s="998"/>
      <c r="N61" s="1009"/>
      <c r="O61" s="5"/>
      <c r="P61" s="5"/>
      <c r="Q61" s="5"/>
      <c r="R61" s="5"/>
      <c r="S61" s="5"/>
      <c r="T61" s="5"/>
      <c r="U61" s="5"/>
    </row>
    <row r="62" spans="1:21" s="53" customFormat="1" ht="24.75" customHeight="1" x14ac:dyDescent="0.2">
      <c r="A62" s="1101" t="s">
        <v>1898</v>
      </c>
      <c r="B62" s="1376" t="s">
        <v>1899</v>
      </c>
      <c r="C62" s="1376"/>
      <c r="D62" s="1376"/>
      <c r="E62" s="1376"/>
      <c r="F62" s="1376"/>
      <c r="G62" s="1376"/>
      <c r="H62" s="1376"/>
      <c r="I62" s="1376"/>
      <c r="J62" s="1376"/>
      <c r="K62" s="1376"/>
      <c r="L62" s="1377"/>
      <c r="M62" s="998"/>
      <c r="N62" s="1009"/>
      <c r="O62" s="5"/>
      <c r="P62" s="5"/>
      <c r="Q62" s="5"/>
      <c r="R62" s="5"/>
      <c r="S62" s="5"/>
      <c r="T62" s="5"/>
      <c r="U62" s="5"/>
    </row>
    <row r="63" spans="1:21" s="53" customFormat="1" ht="12" customHeight="1" x14ac:dyDescent="0.2">
      <c r="A63" s="1102" t="s">
        <v>1900</v>
      </c>
      <c r="B63" s="1378" t="s">
        <v>1901</v>
      </c>
      <c r="C63" s="1378"/>
      <c r="D63" s="1378"/>
      <c r="E63" s="1378"/>
      <c r="F63" s="1378"/>
      <c r="G63" s="1378"/>
      <c r="H63" s="1378"/>
      <c r="I63" s="1378"/>
      <c r="J63" s="1378"/>
      <c r="K63" s="1378"/>
      <c r="L63" s="1379"/>
      <c r="M63" s="998"/>
      <c r="N63" s="1009"/>
      <c r="O63" s="5"/>
      <c r="P63" s="5"/>
      <c r="Q63" s="5"/>
      <c r="R63" s="5"/>
      <c r="S63" s="5"/>
      <c r="T63" s="5"/>
      <c r="U63" s="5"/>
    </row>
    <row r="64" spans="1:21" s="53" customFormat="1" ht="24.75" customHeight="1" x14ac:dyDescent="0.2">
      <c r="A64" s="1101" t="s">
        <v>1902</v>
      </c>
      <c r="B64" s="1376" t="s">
        <v>1903</v>
      </c>
      <c r="C64" s="1376"/>
      <c r="D64" s="1376"/>
      <c r="E64" s="1376"/>
      <c r="F64" s="1376"/>
      <c r="G64" s="1376"/>
      <c r="H64" s="1376"/>
      <c r="I64" s="1376"/>
      <c r="J64" s="1376"/>
      <c r="K64" s="1376"/>
      <c r="L64" s="1377"/>
      <c r="M64" s="998"/>
      <c r="N64" s="1009"/>
      <c r="O64" s="5"/>
      <c r="P64" s="5"/>
      <c r="Q64" s="5"/>
      <c r="R64" s="5"/>
      <c r="S64" s="5"/>
      <c r="T64" s="5"/>
      <c r="U64" s="5"/>
    </row>
    <row r="65" spans="1:21" s="53" customFormat="1" ht="12" customHeight="1" x14ac:dyDescent="0.2">
      <c r="A65" s="1102" t="s">
        <v>1904</v>
      </c>
      <c r="B65" s="1378" t="s">
        <v>1905</v>
      </c>
      <c r="C65" s="1378"/>
      <c r="D65" s="1378"/>
      <c r="E65" s="1378"/>
      <c r="F65" s="1378"/>
      <c r="G65" s="1378"/>
      <c r="H65" s="1378"/>
      <c r="I65" s="1378"/>
      <c r="J65" s="1378"/>
      <c r="K65" s="1378"/>
      <c r="L65" s="1379"/>
      <c r="M65" s="998"/>
      <c r="N65" s="1009"/>
      <c r="O65" s="5"/>
      <c r="P65" s="5"/>
      <c r="Q65" s="5"/>
      <c r="R65" s="5"/>
      <c r="S65" s="5"/>
      <c r="T65" s="5"/>
      <c r="U65" s="5"/>
    </row>
    <row r="66" spans="1:21" s="53" customFormat="1" ht="24.75" customHeight="1" x14ac:dyDescent="0.2">
      <c r="A66" s="1101" t="s">
        <v>1906</v>
      </c>
      <c r="B66" s="1376" t="s">
        <v>1907</v>
      </c>
      <c r="C66" s="1376"/>
      <c r="D66" s="1376"/>
      <c r="E66" s="1376"/>
      <c r="F66" s="1376"/>
      <c r="G66" s="1376"/>
      <c r="H66" s="1376"/>
      <c r="I66" s="1376"/>
      <c r="J66" s="1376"/>
      <c r="K66" s="1376"/>
      <c r="L66" s="1377"/>
      <c r="M66" s="998"/>
      <c r="N66" s="1009"/>
      <c r="O66" s="5"/>
      <c r="P66" s="5"/>
      <c r="Q66" s="5"/>
      <c r="R66" s="5"/>
      <c r="S66" s="5"/>
      <c r="T66" s="5"/>
      <c r="U66" s="5"/>
    </row>
    <row r="67" spans="1:21" s="53" customFormat="1" ht="12" customHeight="1" x14ac:dyDescent="0.2">
      <c r="A67" s="1102" t="s">
        <v>1908</v>
      </c>
      <c r="B67" s="1378" t="s">
        <v>1909</v>
      </c>
      <c r="C67" s="1378"/>
      <c r="D67" s="1378"/>
      <c r="E67" s="1378"/>
      <c r="F67" s="1378"/>
      <c r="G67" s="1378"/>
      <c r="H67" s="1378"/>
      <c r="I67" s="1378"/>
      <c r="J67" s="1378"/>
      <c r="K67" s="1378"/>
      <c r="L67" s="1379"/>
      <c r="M67" s="998"/>
      <c r="N67" s="1009"/>
      <c r="O67" s="5"/>
      <c r="P67" s="5"/>
      <c r="Q67" s="5"/>
      <c r="R67" s="5"/>
      <c r="S67" s="5"/>
      <c r="T67" s="5"/>
      <c r="U67" s="5"/>
    </row>
    <row r="68" spans="1:21" s="53" customFormat="1" ht="12.75" customHeight="1" x14ac:dyDescent="0.2">
      <c r="A68" s="1101" t="s">
        <v>1910</v>
      </c>
      <c r="B68" s="1376" t="s">
        <v>1911</v>
      </c>
      <c r="C68" s="1376"/>
      <c r="D68" s="1376"/>
      <c r="E68" s="1376"/>
      <c r="F68" s="1376"/>
      <c r="G68" s="1376"/>
      <c r="H68" s="1376"/>
      <c r="I68" s="1376"/>
      <c r="J68" s="1376"/>
      <c r="K68" s="1376"/>
      <c r="L68" s="1377"/>
      <c r="M68" s="998"/>
      <c r="N68" s="1009"/>
      <c r="O68" s="5"/>
      <c r="P68" s="5"/>
      <c r="Q68" s="5"/>
      <c r="R68" s="5"/>
      <c r="S68" s="5"/>
      <c r="T68" s="5"/>
      <c r="U68" s="5"/>
    </row>
    <row r="69" spans="1:21" s="53" customFormat="1" ht="24.75" customHeight="1" x14ac:dyDescent="0.2">
      <c r="A69" s="1102" t="s">
        <v>1912</v>
      </c>
      <c r="B69" s="1378" t="s">
        <v>1913</v>
      </c>
      <c r="C69" s="1378"/>
      <c r="D69" s="1378"/>
      <c r="E69" s="1378"/>
      <c r="F69" s="1378"/>
      <c r="G69" s="1378"/>
      <c r="H69" s="1378"/>
      <c r="I69" s="1378"/>
      <c r="J69" s="1378"/>
      <c r="K69" s="1378"/>
      <c r="L69" s="1379"/>
      <c r="M69" s="998"/>
      <c r="N69" s="1009"/>
      <c r="O69" s="5"/>
      <c r="P69" s="5"/>
      <c r="Q69" s="5"/>
      <c r="R69" s="5"/>
      <c r="S69" s="5"/>
      <c r="T69" s="5"/>
      <c r="U69" s="5"/>
    </row>
    <row r="70" spans="1:21" s="53" customFormat="1" ht="24.75" customHeight="1" x14ac:dyDescent="0.2">
      <c r="A70" s="1101" t="s">
        <v>1914</v>
      </c>
      <c r="B70" s="1376" t="s">
        <v>1915</v>
      </c>
      <c r="C70" s="1376"/>
      <c r="D70" s="1376"/>
      <c r="E70" s="1376"/>
      <c r="F70" s="1376"/>
      <c r="G70" s="1376"/>
      <c r="H70" s="1376"/>
      <c r="I70" s="1376"/>
      <c r="J70" s="1376"/>
      <c r="K70" s="1376"/>
      <c r="L70" s="1377"/>
      <c r="M70" s="998"/>
      <c r="N70" s="1009"/>
      <c r="O70" s="5"/>
      <c r="P70" s="5"/>
      <c r="Q70" s="5"/>
      <c r="R70" s="5"/>
      <c r="S70" s="5"/>
      <c r="T70" s="5"/>
      <c r="U70" s="5"/>
    </row>
    <row r="71" spans="1:21" s="53" customFormat="1" ht="12" customHeight="1" x14ac:dyDescent="0.2">
      <c r="A71" s="1102" t="s">
        <v>1916</v>
      </c>
      <c r="B71" s="1378" t="s">
        <v>1917</v>
      </c>
      <c r="C71" s="1378"/>
      <c r="D71" s="1378"/>
      <c r="E71" s="1378"/>
      <c r="F71" s="1378"/>
      <c r="G71" s="1378"/>
      <c r="H71" s="1378"/>
      <c r="I71" s="1378"/>
      <c r="J71" s="1378"/>
      <c r="K71" s="1378"/>
      <c r="L71" s="1379"/>
      <c r="M71" s="998"/>
      <c r="N71" s="1009"/>
      <c r="O71" s="5"/>
      <c r="P71" s="5"/>
      <c r="Q71" s="5"/>
      <c r="R71" s="5"/>
      <c r="S71" s="5"/>
      <c r="T71" s="5"/>
      <c r="U71" s="5"/>
    </row>
    <row r="72" spans="1:21" ht="28.5" customHeight="1" x14ac:dyDescent="0.2">
      <c r="A72" s="1101" t="s">
        <v>1918</v>
      </c>
      <c r="B72" s="1376" t="s">
        <v>1919</v>
      </c>
      <c r="C72" s="1376"/>
      <c r="D72" s="1376"/>
      <c r="E72" s="1376"/>
      <c r="F72" s="1376"/>
      <c r="G72" s="1376"/>
      <c r="H72" s="1376"/>
      <c r="I72" s="1376"/>
      <c r="J72" s="1376"/>
      <c r="K72" s="1376"/>
      <c r="L72" s="1377"/>
      <c r="M72" s="998"/>
      <c r="N72" s="1009"/>
      <c r="O72" s="2"/>
      <c r="P72" s="2"/>
      <c r="Q72" s="2"/>
      <c r="R72" s="2"/>
      <c r="S72" s="2"/>
      <c r="T72" s="2"/>
      <c r="U72" s="2"/>
    </row>
    <row r="73" spans="1:21" ht="15.75" customHeight="1" x14ac:dyDescent="0.2">
      <c r="A73" s="1102" t="s">
        <v>1920</v>
      </c>
      <c r="B73" s="1378" t="s">
        <v>1921</v>
      </c>
      <c r="C73" s="1378"/>
      <c r="D73" s="1378"/>
      <c r="E73" s="1378"/>
      <c r="F73" s="1378"/>
      <c r="G73" s="1378"/>
      <c r="H73" s="1378"/>
      <c r="I73" s="1378"/>
      <c r="J73" s="1378"/>
      <c r="K73" s="1378"/>
      <c r="L73" s="1379"/>
      <c r="M73" s="998"/>
      <c r="N73" s="1009"/>
      <c r="O73" s="1087"/>
      <c r="P73" s="1087"/>
      <c r="Q73" s="1087"/>
      <c r="R73" s="1087"/>
      <c r="S73" s="2"/>
      <c r="T73" s="2"/>
      <c r="U73" s="2"/>
    </row>
    <row r="74" spans="1:21" ht="15.75" customHeight="1" x14ac:dyDescent="0.2">
      <c r="A74" s="1101" t="s">
        <v>1922</v>
      </c>
      <c r="B74" s="1376" t="s">
        <v>1923</v>
      </c>
      <c r="C74" s="1376"/>
      <c r="D74" s="1376"/>
      <c r="E74" s="1376"/>
      <c r="F74" s="1376"/>
      <c r="G74" s="1376"/>
      <c r="H74" s="1376"/>
      <c r="I74" s="1376"/>
      <c r="J74" s="1376"/>
      <c r="K74" s="1376"/>
      <c r="L74" s="1377"/>
      <c r="M74" s="998"/>
      <c r="N74" s="1009"/>
      <c r="O74" s="2"/>
      <c r="P74" s="2"/>
      <c r="Q74" s="2"/>
      <c r="R74" s="2"/>
      <c r="S74" s="2"/>
      <c r="T74" s="2"/>
      <c r="U74" s="2"/>
    </row>
    <row r="75" spans="1:21" ht="15.75" customHeight="1" x14ac:dyDescent="0.2">
      <c r="A75" s="1102" t="s">
        <v>1924</v>
      </c>
      <c r="B75" s="1378" t="s">
        <v>1925</v>
      </c>
      <c r="C75" s="1378"/>
      <c r="D75" s="1378"/>
      <c r="E75" s="1378"/>
      <c r="F75" s="1378"/>
      <c r="G75" s="1378"/>
      <c r="H75" s="1378"/>
      <c r="I75" s="1378"/>
      <c r="J75" s="1378"/>
      <c r="K75" s="1378"/>
      <c r="L75" s="1379"/>
      <c r="M75" s="998"/>
      <c r="N75" s="1009"/>
      <c r="O75" s="1087"/>
      <c r="P75" s="1087"/>
      <c r="Q75" s="1087"/>
      <c r="R75" s="1087"/>
      <c r="S75" s="2"/>
      <c r="T75" s="2"/>
      <c r="U75" s="2"/>
    </row>
    <row r="76" spans="1:21" ht="55.5" customHeight="1" x14ac:dyDescent="0.2">
      <c r="A76" s="1101" t="s">
        <v>1926</v>
      </c>
      <c r="B76" s="1376" t="s">
        <v>1927</v>
      </c>
      <c r="C76" s="1376"/>
      <c r="D76" s="1376"/>
      <c r="E76" s="1376"/>
      <c r="F76" s="1376"/>
      <c r="G76" s="1376"/>
      <c r="H76" s="1376"/>
      <c r="I76" s="1376"/>
      <c r="J76" s="1376"/>
      <c r="K76" s="1376"/>
      <c r="L76" s="1377"/>
      <c r="M76" s="998"/>
      <c r="N76" s="1009"/>
      <c r="O76" s="1087"/>
      <c r="P76" s="1087"/>
      <c r="Q76" s="1087"/>
      <c r="R76" s="1087"/>
      <c r="S76" s="2"/>
      <c r="T76" s="2"/>
      <c r="U76" s="2"/>
    </row>
    <row r="77" spans="1:21" ht="31.5" customHeight="1" x14ac:dyDescent="0.2">
      <c r="A77" s="1102" t="s">
        <v>1928</v>
      </c>
      <c r="B77" s="1378" t="s">
        <v>1929</v>
      </c>
      <c r="C77" s="1378"/>
      <c r="D77" s="1378"/>
      <c r="E77" s="1378"/>
      <c r="F77" s="1378"/>
      <c r="G77" s="1378"/>
      <c r="H77" s="1378"/>
      <c r="I77" s="1378"/>
      <c r="J77" s="1378"/>
      <c r="K77" s="1378"/>
      <c r="L77" s="1379"/>
      <c r="M77" s="998"/>
      <c r="N77" s="1009"/>
      <c r="O77" s="1087"/>
      <c r="P77" s="1087"/>
      <c r="Q77" s="1087"/>
      <c r="R77" s="1087"/>
      <c r="S77" s="2"/>
      <c r="T77" s="2"/>
      <c r="U77" s="2"/>
    </row>
    <row r="78" spans="1:21" ht="42" customHeight="1" x14ac:dyDescent="0.2">
      <c r="A78" s="1101" t="s">
        <v>1930</v>
      </c>
      <c r="B78" s="1376" t="s">
        <v>1931</v>
      </c>
      <c r="C78" s="1376"/>
      <c r="D78" s="1376"/>
      <c r="E78" s="1376"/>
      <c r="F78" s="1376"/>
      <c r="G78" s="1376"/>
      <c r="H78" s="1376"/>
      <c r="I78" s="1376"/>
      <c r="J78" s="1376"/>
      <c r="K78" s="1376"/>
      <c r="L78" s="1377"/>
      <c r="M78" s="998"/>
      <c r="N78" s="1009"/>
      <c r="O78" s="1087"/>
      <c r="P78" s="1087"/>
      <c r="Q78" s="1087"/>
      <c r="R78" s="1087"/>
      <c r="S78" s="2"/>
      <c r="T78" s="2"/>
      <c r="U78" s="2"/>
    </row>
    <row r="79" spans="1:21" ht="35.25" customHeight="1" x14ac:dyDescent="0.2">
      <c r="A79" s="1102" t="s">
        <v>1932</v>
      </c>
      <c r="B79" s="1378" t="s">
        <v>1933</v>
      </c>
      <c r="C79" s="1378"/>
      <c r="D79" s="1378"/>
      <c r="E79" s="1378"/>
      <c r="F79" s="1378"/>
      <c r="G79" s="1378"/>
      <c r="H79" s="1378"/>
      <c r="I79" s="1378"/>
      <c r="J79" s="1378"/>
      <c r="K79" s="1378"/>
      <c r="L79" s="1379"/>
      <c r="M79" s="998"/>
      <c r="N79" s="1009"/>
      <c r="O79" s="1087"/>
      <c r="P79" s="1087"/>
      <c r="Q79" s="1087"/>
      <c r="R79" s="1087"/>
      <c r="S79" s="2"/>
      <c r="T79" s="2"/>
      <c r="U79" s="2"/>
    </row>
    <row r="80" spans="1:21" ht="36" customHeight="1" x14ac:dyDescent="0.2">
      <c r="A80" s="1101" t="s">
        <v>1934</v>
      </c>
      <c r="B80" s="1376" t="s">
        <v>1935</v>
      </c>
      <c r="C80" s="1376"/>
      <c r="D80" s="1376"/>
      <c r="E80" s="1376"/>
      <c r="F80" s="1376"/>
      <c r="G80" s="1376"/>
      <c r="H80" s="1376"/>
      <c r="I80" s="1376"/>
      <c r="J80" s="1376"/>
      <c r="K80" s="1376"/>
      <c r="L80" s="1377"/>
      <c r="M80" s="998"/>
      <c r="N80" s="1009"/>
      <c r="O80" s="1087"/>
      <c r="P80" s="1087"/>
      <c r="Q80" s="1087"/>
      <c r="R80" s="1087"/>
      <c r="S80" s="2"/>
      <c r="T80" s="2"/>
      <c r="U80" s="2"/>
    </row>
    <row r="81" spans="1:21" ht="24" customHeight="1" x14ac:dyDescent="0.2">
      <c r="A81" s="1102" t="s">
        <v>1936</v>
      </c>
      <c r="B81" s="1378" t="s">
        <v>1937</v>
      </c>
      <c r="C81" s="1378"/>
      <c r="D81" s="1378"/>
      <c r="E81" s="1378"/>
      <c r="F81" s="1378"/>
      <c r="G81" s="1378"/>
      <c r="H81" s="1378"/>
      <c r="I81" s="1378"/>
      <c r="J81" s="1378"/>
      <c r="K81" s="1378"/>
      <c r="L81" s="1379"/>
      <c r="M81" s="998"/>
      <c r="N81" s="1009"/>
      <c r="O81" s="1088"/>
      <c r="P81" s="1088"/>
      <c r="Q81" s="1088"/>
      <c r="R81" s="1088"/>
      <c r="S81" s="2"/>
      <c r="T81" s="2"/>
      <c r="U81" s="2"/>
    </row>
    <row r="82" spans="1:21" ht="38.25" customHeight="1" x14ac:dyDescent="0.2">
      <c r="A82" s="1101" t="s">
        <v>1938</v>
      </c>
      <c r="B82" s="1376" t="s">
        <v>1939</v>
      </c>
      <c r="C82" s="1376"/>
      <c r="D82" s="1376"/>
      <c r="E82" s="1376"/>
      <c r="F82" s="1376"/>
      <c r="G82" s="1376"/>
      <c r="H82" s="1376"/>
      <c r="I82" s="1376"/>
      <c r="J82" s="1376"/>
      <c r="K82" s="1376"/>
      <c r="L82" s="1377"/>
      <c r="M82" s="998"/>
      <c r="N82" s="1009"/>
      <c r="O82" s="1087"/>
      <c r="P82" s="1087"/>
      <c r="Q82" s="1087"/>
      <c r="R82" s="1087"/>
      <c r="S82" s="2"/>
      <c r="T82" s="2"/>
      <c r="U82" s="2"/>
    </row>
    <row r="83" spans="1:21" ht="32.25" customHeight="1" x14ac:dyDescent="0.2">
      <c r="A83" s="1102" t="s">
        <v>1940</v>
      </c>
      <c r="B83" s="1378" t="s">
        <v>1941</v>
      </c>
      <c r="C83" s="1378"/>
      <c r="D83" s="1378"/>
      <c r="E83" s="1378"/>
      <c r="F83" s="1378"/>
      <c r="G83" s="1378"/>
      <c r="H83" s="1378"/>
      <c r="I83" s="1378"/>
      <c r="J83" s="1378"/>
      <c r="K83" s="1378"/>
      <c r="L83" s="1379"/>
      <c r="M83" s="998"/>
      <c r="N83" s="1009"/>
      <c r="O83" s="1087"/>
      <c r="P83" s="1087"/>
      <c r="Q83" s="1087"/>
      <c r="R83" s="1087"/>
      <c r="S83" s="2"/>
      <c r="T83" s="2"/>
      <c r="U83" s="2"/>
    </row>
    <row r="84" spans="1:21" ht="54" customHeight="1" x14ac:dyDescent="0.2">
      <c r="A84" s="1101" t="s">
        <v>1942</v>
      </c>
      <c r="B84" s="1376" t="s">
        <v>1943</v>
      </c>
      <c r="C84" s="1376"/>
      <c r="D84" s="1376"/>
      <c r="E84" s="1376"/>
      <c r="F84" s="1376"/>
      <c r="G84" s="1376"/>
      <c r="H84" s="1376"/>
      <c r="I84" s="1376"/>
      <c r="J84" s="1376"/>
      <c r="K84" s="1376"/>
      <c r="L84" s="1377"/>
      <c r="M84" s="998"/>
      <c r="N84" s="1009"/>
      <c r="O84" s="1087"/>
      <c r="P84" s="1087"/>
      <c r="Q84" s="1087"/>
      <c r="R84" s="1087"/>
      <c r="S84" s="2"/>
      <c r="T84" s="2"/>
      <c r="U84" s="2"/>
    </row>
    <row r="85" spans="1:21" ht="15.75" customHeight="1" x14ac:dyDescent="0.2">
      <c r="A85" s="1102" t="s">
        <v>1944</v>
      </c>
      <c r="B85" s="1378" t="s">
        <v>1945</v>
      </c>
      <c r="C85" s="1378"/>
      <c r="D85" s="1378"/>
      <c r="E85" s="1378"/>
      <c r="F85" s="1378"/>
      <c r="G85" s="1378"/>
      <c r="H85" s="1378"/>
      <c r="I85" s="1378"/>
      <c r="J85" s="1378"/>
      <c r="K85" s="1378"/>
      <c r="L85" s="1379"/>
      <c r="M85" s="998"/>
      <c r="N85" s="1009"/>
      <c r="O85" s="1087"/>
      <c r="P85" s="1087"/>
      <c r="Q85" s="1087"/>
      <c r="R85" s="1087"/>
      <c r="S85" s="2"/>
      <c r="T85" s="2"/>
      <c r="U85" s="2"/>
    </row>
    <row r="86" spans="1:21" ht="38.25" customHeight="1" x14ac:dyDescent="0.2">
      <c r="A86" s="1101" t="s">
        <v>1946</v>
      </c>
      <c r="B86" s="1376" t="s">
        <v>1947</v>
      </c>
      <c r="C86" s="1376"/>
      <c r="D86" s="1376"/>
      <c r="E86" s="1376"/>
      <c r="F86" s="1376"/>
      <c r="G86" s="1376"/>
      <c r="H86" s="1376"/>
      <c r="I86" s="1376"/>
      <c r="J86" s="1376"/>
      <c r="K86" s="1376"/>
      <c r="L86" s="1377"/>
      <c r="M86" s="998"/>
      <c r="N86" s="1009"/>
      <c r="O86" s="1087"/>
      <c r="P86" s="1087"/>
      <c r="Q86" s="1087"/>
      <c r="R86" s="1087"/>
      <c r="S86" s="2"/>
      <c r="T86" s="2"/>
      <c r="U86" s="2"/>
    </row>
    <row r="87" spans="1:21" ht="18.75" customHeight="1" x14ac:dyDescent="0.2">
      <c r="A87" s="1102" t="s">
        <v>1948</v>
      </c>
      <c r="B87" s="1378" t="s">
        <v>1949</v>
      </c>
      <c r="C87" s="1378"/>
      <c r="D87" s="1378"/>
      <c r="E87" s="1378"/>
      <c r="F87" s="1378"/>
      <c r="G87" s="1378"/>
      <c r="H87" s="1378"/>
      <c r="I87" s="1378"/>
      <c r="J87" s="1378"/>
      <c r="K87" s="1378"/>
      <c r="L87" s="1379"/>
      <c r="M87" s="998"/>
      <c r="N87" s="1009"/>
      <c r="O87" s="1087"/>
      <c r="P87" s="1087"/>
      <c r="Q87" s="1087"/>
      <c r="R87" s="1087"/>
      <c r="S87" s="2"/>
      <c r="T87" s="2"/>
      <c r="U87" s="2"/>
    </row>
    <row r="88" spans="1:21" ht="56.25" customHeight="1" x14ac:dyDescent="0.2">
      <c r="A88" s="1101" t="s">
        <v>1950</v>
      </c>
      <c r="B88" s="1376" t="s">
        <v>1951</v>
      </c>
      <c r="C88" s="1376"/>
      <c r="D88" s="1376"/>
      <c r="E88" s="1376"/>
      <c r="F88" s="1376"/>
      <c r="G88" s="1376"/>
      <c r="H88" s="1376"/>
      <c r="I88" s="1376"/>
      <c r="J88" s="1376"/>
      <c r="K88" s="1376"/>
      <c r="L88" s="1377"/>
      <c r="M88" s="998"/>
      <c r="N88" s="1009"/>
      <c r="O88" s="2"/>
      <c r="P88" s="2"/>
      <c r="Q88" s="2"/>
      <c r="R88" s="2"/>
      <c r="S88" s="2"/>
      <c r="T88" s="2"/>
      <c r="U88" s="2"/>
    </row>
    <row r="89" spans="1:21" ht="52.5" customHeight="1" x14ac:dyDescent="0.2">
      <c r="A89" s="1102" t="s">
        <v>1952</v>
      </c>
      <c r="B89" s="1378" t="s">
        <v>1953</v>
      </c>
      <c r="C89" s="1378"/>
      <c r="D89" s="1378"/>
      <c r="E89" s="1378"/>
      <c r="F89" s="1378"/>
      <c r="G89" s="1378"/>
      <c r="H89" s="1378"/>
      <c r="I89" s="1378"/>
      <c r="J89" s="1378"/>
      <c r="K89" s="1378"/>
      <c r="L89" s="1379"/>
      <c r="M89" s="998"/>
      <c r="N89" s="1009"/>
    </row>
    <row r="90" spans="1:21" ht="51.75" customHeight="1" x14ac:dyDescent="0.2">
      <c r="A90" s="1101" t="s">
        <v>1954</v>
      </c>
      <c r="B90" s="1376" t="s">
        <v>1955</v>
      </c>
      <c r="C90" s="1376"/>
      <c r="D90" s="1376"/>
      <c r="E90" s="1376"/>
      <c r="F90" s="1376"/>
      <c r="G90" s="1376"/>
      <c r="H90" s="1376"/>
      <c r="I90" s="1376"/>
      <c r="J90" s="1376"/>
      <c r="K90" s="1376"/>
      <c r="L90" s="1377"/>
      <c r="M90" s="998"/>
      <c r="N90" s="1009"/>
    </row>
    <row r="91" spans="1:21" ht="38.25" customHeight="1" x14ac:dyDescent="0.2">
      <c r="A91" s="1102" t="s">
        <v>1956</v>
      </c>
      <c r="B91" s="1378" t="s">
        <v>1957</v>
      </c>
      <c r="C91" s="1378"/>
      <c r="D91" s="1378"/>
      <c r="E91" s="1378"/>
      <c r="F91" s="1378"/>
      <c r="G91" s="1378"/>
      <c r="H91" s="1378"/>
      <c r="I91" s="1378"/>
      <c r="J91" s="1378"/>
      <c r="K91" s="1378"/>
      <c r="L91" s="1379"/>
      <c r="M91" s="998"/>
      <c r="N91" s="1009"/>
    </row>
    <row r="92" spans="1:21" ht="38.25" customHeight="1" x14ac:dyDescent="0.2">
      <c r="A92" s="1101" t="s">
        <v>1958</v>
      </c>
      <c r="B92" s="1376" t="s">
        <v>1959</v>
      </c>
      <c r="C92" s="1376"/>
      <c r="D92" s="1376"/>
      <c r="E92" s="1376"/>
      <c r="F92" s="1376"/>
      <c r="G92" s="1376"/>
      <c r="H92" s="1376"/>
      <c r="I92" s="1376"/>
      <c r="J92" s="1376"/>
      <c r="K92" s="1376"/>
      <c r="L92" s="1377"/>
      <c r="M92" s="998"/>
      <c r="N92" s="1009"/>
    </row>
    <row r="93" spans="1:21" ht="12.75" customHeight="1" x14ac:dyDescent="0.2">
      <c r="A93" s="1102" t="s">
        <v>1960</v>
      </c>
      <c r="B93" s="1378" t="s">
        <v>1961</v>
      </c>
      <c r="C93" s="1378"/>
      <c r="D93" s="1378"/>
      <c r="E93" s="1378"/>
      <c r="F93" s="1378"/>
      <c r="G93" s="1378"/>
      <c r="H93" s="1378"/>
      <c r="I93" s="1378"/>
      <c r="J93" s="1378"/>
      <c r="K93" s="1378"/>
      <c r="L93" s="1379"/>
      <c r="M93" s="998"/>
      <c r="N93" s="1009"/>
    </row>
    <row r="94" spans="1:21" ht="12.75" customHeight="1" x14ac:dyDescent="0.2">
      <c r="A94" s="1101" t="s">
        <v>1962</v>
      </c>
      <c r="B94" s="1376" t="s">
        <v>1963</v>
      </c>
      <c r="C94" s="1376"/>
      <c r="D94" s="1376"/>
      <c r="E94" s="1376"/>
      <c r="F94" s="1376"/>
      <c r="G94" s="1376"/>
      <c r="H94" s="1376"/>
      <c r="I94" s="1376"/>
      <c r="J94" s="1376"/>
      <c r="K94" s="1376"/>
      <c r="L94" s="1377"/>
      <c r="M94" s="998"/>
      <c r="N94" s="1009"/>
    </row>
    <row r="95" spans="1:21" ht="12.75" customHeight="1" x14ac:dyDescent="0.2">
      <c r="A95" s="1102" t="s">
        <v>1964</v>
      </c>
      <c r="B95" s="1378" t="s">
        <v>1965</v>
      </c>
      <c r="C95" s="1378"/>
      <c r="D95" s="1378"/>
      <c r="E95" s="1378"/>
      <c r="F95" s="1378"/>
      <c r="G95" s="1378"/>
      <c r="H95" s="1378"/>
      <c r="I95" s="1378"/>
      <c r="J95" s="1378"/>
      <c r="K95" s="1378"/>
      <c r="L95" s="1379"/>
      <c r="M95" s="998"/>
      <c r="N95" s="1009"/>
    </row>
    <row r="96" spans="1:21" ht="12.75" customHeight="1" x14ac:dyDescent="0.2">
      <c r="A96" s="1101" t="s">
        <v>1966</v>
      </c>
      <c r="B96" s="1376" t="s">
        <v>1967</v>
      </c>
      <c r="C96" s="1376"/>
      <c r="D96" s="1376"/>
      <c r="E96" s="1376"/>
      <c r="F96" s="1376"/>
      <c r="G96" s="1376"/>
      <c r="H96" s="1376"/>
      <c r="I96" s="1376"/>
      <c r="J96" s="1376"/>
      <c r="K96" s="1376"/>
      <c r="L96" s="1377"/>
      <c r="M96" s="998"/>
      <c r="N96" s="1009"/>
    </row>
    <row r="97" spans="1:14" ht="12.75" customHeight="1" x14ac:dyDescent="0.2">
      <c r="A97" s="1102" t="s">
        <v>1968</v>
      </c>
      <c r="B97" s="1378" t="s">
        <v>1969</v>
      </c>
      <c r="C97" s="1378"/>
      <c r="D97" s="1378"/>
      <c r="E97" s="1378"/>
      <c r="F97" s="1378"/>
      <c r="G97" s="1378"/>
      <c r="H97" s="1378"/>
      <c r="I97" s="1378"/>
      <c r="J97" s="1378"/>
      <c r="K97" s="1378"/>
      <c r="L97" s="1379"/>
      <c r="M97" s="998"/>
      <c r="N97" s="1009"/>
    </row>
    <row r="98" spans="1:14" ht="12" thickBot="1" x14ac:dyDescent="0.25">
      <c r="A98" s="1012"/>
      <c r="B98" s="1010"/>
      <c r="C98" s="1010"/>
      <c r="D98" s="1010"/>
      <c r="E98" s="1010"/>
      <c r="F98" s="1010"/>
      <c r="G98" s="1010"/>
      <c r="H98" s="1010"/>
      <c r="I98" s="1010"/>
      <c r="J98" s="1010"/>
      <c r="K98" s="1010"/>
      <c r="L98" s="1010"/>
      <c r="M98" s="1010"/>
      <c r="N98" s="1011"/>
    </row>
  </sheetData>
  <sheetProtection pivotTables="0"/>
  <customSheetViews>
    <customSheetView guid="{EE76D120-5D4A-4AD8-A1CB-952C682DC0B3}" scale="90" showRuler="0">
      <pageMargins left="0.78740157499999996" right="0.78740157499999996" top="0.984251969" bottom="0.984251969" header="0.5" footer="0.5"/>
      <pageSetup paperSize="9" orientation="portrait" r:id="rId1"/>
      <headerFooter alignWithMargins="0"/>
    </customSheetView>
  </customSheetViews>
  <mergeCells count="58">
    <mergeCell ref="B96:L96"/>
    <mergeCell ref="B97:L97"/>
    <mergeCell ref="B91:L91"/>
    <mergeCell ref="B92:L92"/>
    <mergeCell ref="B93:L93"/>
    <mergeCell ref="B94:L94"/>
    <mergeCell ref="B95:L95"/>
    <mergeCell ref="B86:L86"/>
    <mergeCell ref="B87:L87"/>
    <mergeCell ref="B88:L88"/>
    <mergeCell ref="B89:L89"/>
    <mergeCell ref="B90:L90"/>
    <mergeCell ref="B81:L81"/>
    <mergeCell ref="B82:L82"/>
    <mergeCell ref="B83:L83"/>
    <mergeCell ref="B84:L84"/>
    <mergeCell ref="B85:L85"/>
    <mergeCell ref="B76:L76"/>
    <mergeCell ref="B77:L77"/>
    <mergeCell ref="B78:L78"/>
    <mergeCell ref="B79:L79"/>
    <mergeCell ref="B80:L80"/>
    <mergeCell ref="B71:L71"/>
    <mergeCell ref="B72:L72"/>
    <mergeCell ref="B73:L73"/>
    <mergeCell ref="B74:L74"/>
    <mergeCell ref="B75:L75"/>
    <mergeCell ref="B66:L66"/>
    <mergeCell ref="B67:L67"/>
    <mergeCell ref="B68:L68"/>
    <mergeCell ref="B69:L69"/>
    <mergeCell ref="B70:L70"/>
    <mergeCell ref="B61:L61"/>
    <mergeCell ref="B62:L62"/>
    <mergeCell ref="B63:L63"/>
    <mergeCell ref="B64:L64"/>
    <mergeCell ref="B65:L65"/>
    <mergeCell ref="E4:K7"/>
    <mergeCell ref="A9:L31"/>
    <mergeCell ref="B4:C4"/>
    <mergeCell ref="B46:C46"/>
    <mergeCell ref="E44:L46"/>
    <mergeCell ref="B35:C35"/>
    <mergeCell ref="B36:C36"/>
    <mergeCell ref="B40:C40"/>
    <mergeCell ref="B41:C41"/>
    <mergeCell ref="B44:C44"/>
    <mergeCell ref="B45:C45"/>
    <mergeCell ref="B42:C42"/>
    <mergeCell ref="B43:C43"/>
    <mergeCell ref="B53:L53"/>
    <mergeCell ref="B48:C48"/>
    <mergeCell ref="B47:C47"/>
    <mergeCell ref="B60:L60"/>
    <mergeCell ref="B59:L59"/>
    <mergeCell ref="B49:C49"/>
    <mergeCell ref="B58:L58"/>
    <mergeCell ref="B57:L57"/>
  </mergeCells>
  <phoneticPr fontId="0" type="noConversion"/>
  <conditionalFormatting sqref="A33">
    <cfRule type="cellIs" priority="1" stopIfTrue="1" operator="equal">
      <formula>""""""</formula>
    </cfRule>
    <cfRule type="expression" dxfId="399" priority="2" stopIfTrue="1">
      <formula>""""""</formula>
    </cfRule>
  </conditionalFormatting>
  <conditionalFormatting sqref="A35">
    <cfRule type="expression" dxfId="398" priority="182" stopIfTrue="1">
      <formula>#REF!=#REF!</formula>
    </cfRule>
  </conditionalFormatting>
  <dataValidations count="1">
    <dataValidation allowBlank="1" showInputMessage="1" showErrorMessage="1" sqref="E2"/>
  </dataValidations>
  <hyperlinks>
    <hyperlink ref="B1" r:id="rId2" display="www.excel-pratique.com"/>
    <hyperlink ref="B35:C35" location="éleveurs!A1" display="Cliques → ICI ←"/>
    <hyperlink ref="B36:C36" location="cultivateurs!A1" display="Cliques → ICI ←"/>
    <hyperlink ref="B40:C40" location="animaux!A1" display="Cliques → ICI ←"/>
    <hyperlink ref="B48:C48" location="'aires et silos'!A1" display="Cliques → ICI ←"/>
    <hyperlink ref="B47:C47" location="'entrepôts et local phyto'!A1" display="Cliques → ICI ←"/>
    <hyperlink ref="B42:C42" location="parcelles!A1" display="Cliques → ICI ←"/>
    <hyperlink ref="B43:C43" location="vergers!A1" display="Cliques → ICI ←"/>
    <hyperlink ref="B49:C49" location="'aires et silos'!A1" display="Cliques → ICI ←"/>
  </hyperlinks>
  <pageMargins left="0.78740157499999996" right="0.78740157499999996" top="0.984251969" bottom="0.984251969" header="0.5" footer="0.5"/>
  <pageSetup paperSize="9"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26"/>
  <sheetViews>
    <sheetView zoomScaleNormal="100" workbookViewId="0">
      <pane xSplit="2" topLeftCell="C1" activePane="topRight" state="frozenSplit"/>
      <selection pane="topRight"/>
    </sheetView>
  </sheetViews>
  <sheetFormatPr baseColWidth="10" defaultColWidth="9.140625" defaultRowHeight="12.75" x14ac:dyDescent="0.2"/>
  <cols>
    <col min="1" max="1" width="9.140625" style="3"/>
    <col min="2" max="2" width="13.42578125" style="3" bestFit="1" customWidth="1"/>
    <col min="3" max="3" width="11.85546875" style="3" customWidth="1"/>
    <col min="4" max="4" width="13.85546875" style="3" customWidth="1"/>
    <col min="5" max="7" width="11.85546875" style="3" customWidth="1"/>
    <col min="8" max="13" width="11.28515625" style="3" customWidth="1"/>
    <col min="14" max="14" width="10.140625" style="3" customWidth="1"/>
    <col min="15" max="15" width="11.5703125" style="3" customWidth="1"/>
    <col min="16" max="17" width="9.140625" style="3"/>
    <col min="18" max="18" width="11.28515625" style="3" customWidth="1"/>
    <col min="19" max="19" width="10.140625" style="3" customWidth="1"/>
    <col min="20" max="20" width="11.5703125" style="3" customWidth="1"/>
    <col min="21" max="22" width="9.140625" style="3"/>
    <col min="23" max="23" width="11.28515625" style="3" customWidth="1"/>
    <col min="24" max="24" width="10.140625" style="3" customWidth="1"/>
    <col min="25" max="25" width="11.5703125" style="3" customWidth="1"/>
    <col min="26" max="262" width="9.140625" style="3"/>
    <col min="263" max="263" width="13.42578125" style="3" bestFit="1" customWidth="1"/>
    <col min="264" max="264" width="11.85546875" style="3" customWidth="1"/>
    <col min="265" max="265" width="13.85546875" style="3" customWidth="1"/>
    <col min="266" max="268" width="11.85546875" style="3" customWidth="1"/>
    <col min="269" max="269" width="11.28515625" style="3" customWidth="1"/>
    <col min="270" max="270" width="10.140625" style="3" customWidth="1"/>
    <col min="271" max="271" width="11.5703125" style="3" customWidth="1"/>
    <col min="272" max="273" width="9.140625" style="3"/>
    <col min="274" max="274" width="11.28515625" style="3" customWidth="1"/>
    <col min="275" max="275" width="10.140625" style="3" customWidth="1"/>
    <col min="276" max="276" width="11.5703125" style="3" customWidth="1"/>
    <col min="277" max="278" width="9.140625" style="3"/>
    <col min="279" max="279" width="11.28515625" style="3" customWidth="1"/>
    <col min="280" max="280" width="10.140625" style="3" customWidth="1"/>
    <col min="281" max="281" width="11.5703125" style="3" customWidth="1"/>
    <col min="282" max="518" width="9.140625" style="3"/>
    <col min="519" max="519" width="13.42578125" style="3" bestFit="1" customWidth="1"/>
    <col min="520" max="520" width="11.85546875" style="3" customWidth="1"/>
    <col min="521" max="521" width="13.85546875" style="3" customWidth="1"/>
    <col min="522" max="524" width="11.85546875" style="3" customWidth="1"/>
    <col min="525" max="525" width="11.28515625" style="3" customWidth="1"/>
    <col min="526" max="526" width="10.140625" style="3" customWidth="1"/>
    <col min="527" max="527" width="11.5703125" style="3" customWidth="1"/>
    <col min="528" max="529" width="9.140625" style="3"/>
    <col min="530" max="530" width="11.28515625" style="3" customWidth="1"/>
    <col min="531" max="531" width="10.140625" style="3" customWidth="1"/>
    <col min="532" max="532" width="11.5703125" style="3" customWidth="1"/>
    <col min="533" max="534" width="9.140625" style="3"/>
    <col min="535" max="535" width="11.28515625" style="3" customWidth="1"/>
    <col min="536" max="536" width="10.140625" style="3" customWidth="1"/>
    <col min="537" max="537" width="11.5703125" style="3" customWidth="1"/>
    <col min="538" max="774" width="9.140625" style="3"/>
    <col min="775" max="775" width="13.42578125" style="3" bestFit="1" customWidth="1"/>
    <col min="776" max="776" width="11.85546875" style="3" customWidth="1"/>
    <col min="777" max="777" width="13.85546875" style="3" customWidth="1"/>
    <col min="778" max="780" width="11.85546875" style="3" customWidth="1"/>
    <col min="781" max="781" width="11.28515625" style="3" customWidth="1"/>
    <col min="782" max="782" width="10.140625" style="3" customWidth="1"/>
    <col min="783" max="783" width="11.5703125" style="3" customWidth="1"/>
    <col min="784" max="785" width="9.140625" style="3"/>
    <col min="786" max="786" width="11.28515625" style="3" customWidth="1"/>
    <col min="787" max="787" width="10.140625" style="3" customWidth="1"/>
    <col min="788" max="788" width="11.5703125" style="3" customWidth="1"/>
    <col min="789" max="790" width="9.140625" style="3"/>
    <col min="791" max="791" width="11.28515625" style="3" customWidth="1"/>
    <col min="792" max="792" width="10.140625" style="3" customWidth="1"/>
    <col min="793" max="793" width="11.5703125" style="3" customWidth="1"/>
    <col min="794" max="1030" width="9.140625" style="3"/>
    <col min="1031" max="1031" width="13.42578125" style="3" bestFit="1" customWidth="1"/>
    <col min="1032" max="1032" width="11.85546875" style="3" customWidth="1"/>
    <col min="1033" max="1033" width="13.85546875" style="3" customWidth="1"/>
    <col min="1034" max="1036" width="11.85546875" style="3" customWidth="1"/>
    <col min="1037" max="1037" width="11.28515625" style="3" customWidth="1"/>
    <col min="1038" max="1038" width="10.140625" style="3" customWidth="1"/>
    <col min="1039" max="1039" width="11.5703125" style="3" customWidth="1"/>
    <col min="1040" max="1041" width="9.140625" style="3"/>
    <col min="1042" max="1042" width="11.28515625" style="3" customWidth="1"/>
    <col min="1043" max="1043" width="10.140625" style="3" customWidth="1"/>
    <col min="1044" max="1044" width="11.5703125" style="3" customWidth="1"/>
    <col min="1045" max="1046" width="9.140625" style="3"/>
    <col min="1047" max="1047" width="11.28515625" style="3" customWidth="1"/>
    <col min="1048" max="1048" width="10.140625" style="3" customWidth="1"/>
    <col min="1049" max="1049" width="11.5703125" style="3" customWidth="1"/>
    <col min="1050" max="1286" width="9.140625" style="3"/>
    <col min="1287" max="1287" width="13.42578125" style="3" bestFit="1" customWidth="1"/>
    <col min="1288" max="1288" width="11.85546875" style="3" customWidth="1"/>
    <col min="1289" max="1289" width="13.85546875" style="3" customWidth="1"/>
    <col min="1290" max="1292" width="11.85546875" style="3" customWidth="1"/>
    <col min="1293" max="1293" width="11.28515625" style="3" customWidth="1"/>
    <col min="1294" max="1294" width="10.140625" style="3" customWidth="1"/>
    <col min="1295" max="1295" width="11.5703125" style="3" customWidth="1"/>
    <col min="1296" max="1297" width="9.140625" style="3"/>
    <col min="1298" max="1298" width="11.28515625" style="3" customWidth="1"/>
    <col min="1299" max="1299" width="10.140625" style="3" customWidth="1"/>
    <col min="1300" max="1300" width="11.5703125" style="3" customWidth="1"/>
    <col min="1301" max="1302" width="9.140625" style="3"/>
    <col min="1303" max="1303" width="11.28515625" style="3" customWidth="1"/>
    <col min="1304" max="1304" width="10.140625" style="3" customWidth="1"/>
    <col min="1305" max="1305" width="11.5703125" style="3" customWidth="1"/>
    <col min="1306" max="1542" width="9.140625" style="3"/>
    <col min="1543" max="1543" width="13.42578125" style="3" bestFit="1" customWidth="1"/>
    <col min="1544" max="1544" width="11.85546875" style="3" customWidth="1"/>
    <col min="1545" max="1545" width="13.85546875" style="3" customWidth="1"/>
    <col min="1546" max="1548" width="11.85546875" style="3" customWidth="1"/>
    <col min="1549" max="1549" width="11.28515625" style="3" customWidth="1"/>
    <col min="1550" max="1550" width="10.140625" style="3" customWidth="1"/>
    <col min="1551" max="1551" width="11.5703125" style="3" customWidth="1"/>
    <col min="1552" max="1553" width="9.140625" style="3"/>
    <col min="1554" max="1554" width="11.28515625" style="3" customWidth="1"/>
    <col min="1555" max="1555" width="10.140625" style="3" customWidth="1"/>
    <col min="1556" max="1556" width="11.5703125" style="3" customWidth="1"/>
    <col min="1557" max="1558" width="9.140625" style="3"/>
    <col min="1559" max="1559" width="11.28515625" style="3" customWidth="1"/>
    <col min="1560" max="1560" width="10.140625" style="3" customWidth="1"/>
    <col min="1561" max="1561" width="11.5703125" style="3" customWidth="1"/>
    <col min="1562" max="1798" width="9.140625" style="3"/>
    <col min="1799" max="1799" width="13.42578125" style="3" bestFit="1" customWidth="1"/>
    <col min="1800" max="1800" width="11.85546875" style="3" customWidth="1"/>
    <col min="1801" max="1801" width="13.85546875" style="3" customWidth="1"/>
    <col min="1802" max="1804" width="11.85546875" style="3" customWidth="1"/>
    <col min="1805" max="1805" width="11.28515625" style="3" customWidth="1"/>
    <col min="1806" max="1806" width="10.140625" style="3" customWidth="1"/>
    <col min="1807" max="1807" width="11.5703125" style="3" customWidth="1"/>
    <col min="1808" max="1809" width="9.140625" style="3"/>
    <col min="1810" max="1810" width="11.28515625" style="3" customWidth="1"/>
    <col min="1811" max="1811" width="10.140625" style="3" customWidth="1"/>
    <col min="1812" max="1812" width="11.5703125" style="3" customWidth="1"/>
    <col min="1813" max="1814" width="9.140625" style="3"/>
    <col min="1815" max="1815" width="11.28515625" style="3" customWidth="1"/>
    <col min="1816" max="1816" width="10.140625" style="3" customWidth="1"/>
    <col min="1817" max="1817" width="11.5703125" style="3" customWidth="1"/>
    <col min="1818" max="2054" width="9.140625" style="3"/>
    <col min="2055" max="2055" width="13.42578125" style="3" bestFit="1" customWidth="1"/>
    <col min="2056" max="2056" width="11.85546875" style="3" customWidth="1"/>
    <col min="2057" max="2057" width="13.85546875" style="3" customWidth="1"/>
    <col min="2058" max="2060" width="11.85546875" style="3" customWidth="1"/>
    <col min="2061" max="2061" width="11.28515625" style="3" customWidth="1"/>
    <col min="2062" max="2062" width="10.140625" style="3" customWidth="1"/>
    <col min="2063" max="2063" width="11.5703125" style="3" customWidth="1"/>
    <col min="2064" max="2065" width="9.140625" style="3"/>
    <col min="2066" max="2066" width="11.28515625" style="3" customWidth="1"/>
    <col min="2067" max="2067" width="10.140625" style="3" customWidth="1"/>
    <col min="2068" max="2068" width="11.5703125" style="3" customWidth="1"/>
    <col min="2069" max="2070" width="9.140625" style="3"/>
    <col min="2071" max="2071" width="11.28515625" style="3" customWidth="1"/>
    <col min="2072" max="2072" width="10.140625" style="3" customWidth="1"/>
    <col min="2073" max="2073" width="11.5703125" style="3" customWidth="1"/>
    <col min="2074" max="2310" width="9.140625" style="3"/>
    <col min="2311" max="2311" width="13.42578125" style="3" bestFit="1" customWidth="1"/>
    <col min="2312" max="2312" width="11.85546875" style="3" customWidth="1"/>
    <col min="2313" max="2313" width="13.85546875" style="3" customWidth="1"/>
    <col min="2314" max="2316" width="11.85546875" style="3" customWidth="1"/>
    <col min="2317" max="2317" width="11.28515625" style="3" customWidth="1"/>
    <col min="2318" max="2318" width="10.140625" style="3" customWidth="1"/>
    <col min="2319" max="2319" width="11.5703125" style="3" customWidth="1"/>
    <col min="2320" max="2321" width="9.140625" style="3"/>
    <col min="2322" max="2322" width="11.28515625" style="3" customWidth="1"/>
    <col min="2323" max="2323" width="10.140625" style="3" customWidth="1"/>
    <col min="2324" max="2324" width="11.5703125" style="3" customWidth="1"/>
    <col min="2325" max="2326" width="9.140625" style="3"/>
    <col min="2327" max="2327" width="11.28515625" style="3" customWidth="1"/>
    <col min="2328" max="2328" width="10.140625" style="3" customWidth="1"/>
    <col min="2329" max="2329" width="11.5703125" style="3" customWidth="1"/>
    <col min="2330" max="2566" width="9.140625" style="3"/>
    <col min="2567" max="2567" width="13.42578125" style="3" bestFit="1" customWidth="1"/>
    <col min="2568" max="2568" width="11.85546875" style="3" customWidth="1"/>
    <col min="2569" max="2569" width="13.85546875" style="3" customWidth="1"/>
    <col min="2570" max="2572" width="11.85546875" style="3" customWidth="1"/>
    <col min="2573" max="2573" width="11.28515625" style="3" customWidth="1"/>
    <col min="2574" max="2574" width="10.140625" style="3" customWidth="1"/>
    <col min="2575" max="2575" width="11.5703125" style="3" customWidth="1"/>
    <col min="2576" max="2577" width="9.140625" style="3"/>
    <col min="2578" max="2578" width="11.28515625" style="3" customWidth="1"/>
    <col min="2579" max="2579" width="10.140625" style="3" customWidth="1"/>
    <col min="2580" max="2580" width="11.5703125" style="3" customWidth="1"/>
    <col min="2581" max="2582" width="9.140625" style="3"/>
    <col min="2583" max="2583" width="11.28515625" style="3" customWidth="1"/>
    <col min="2584" max="2584" width="10.140625" style="3" customWidth="1"/>
    <col min="2585" max="2585" width="11.5703125" style="3" customWidth="1"/>
    <col min="2586" max="2822" width="9.140625" style="3"/>
    <col min="2823" max="2823" width="13.42578125" style="3" bestFit="1" customWidth="1"/>
    <col min="2824" max="2824" width="11.85546875" style="3" customWidth="1"/>
    <col min="2825" max="2825" width="13.85546875" style="3" customWidth="1"/>
    <col min="2826" max="2828" width="11.85546875" style="3" customWidth="1"/>
    <col min="2829" max="2829" width="11.28515625" style="3" customWidth="1"/>
    <col min="2830" max="2830" width="10.140625" style="3" customWidth="1"/>
    <col min="2831" max="2831" width="11.5703125" style="3" customWidth="1"/>
    <col min="2832" max="2833" width="9.140625" style="3"/>
    <col min="2834" max="2834" width="11.28515625" style="3" customWidth="1"/>
    <col min="2835" max="2835" width="10.140625" style="3" customWidth="1"/>
    <col min="2836" max="2836" width="11.5703125" style="3" customWidth="1"/>
    <col min="2837" max="2838" width="9.140625" style="3"/>
    <col min="2839" max="2839" width="11.28515625" style="3" customWidth="1"/>
    <col min="2840" max="2840" width="10.140625" style="3" customWidth="1"/>
    <col min="2841" max="2841" width="11.5703125" style="3" customWidth="1"/>
    <col min="2842" max="3078" width="9.140625" style="3"/>
    <col min="3079" max="3079" width="13.42578125" style="3" bestFit="1" customWidth="1"/>
    <col min="3080" max="3080" width="11.85546875" style="3" customWidth="1"/>
    <col min="3081" max="3081" width="13.85546875" style="3" customWidth="1"/>
    <col min="3082" max="3084" width="11.85546875" style="3" customWidth="1"/>
    <col min="3085" max="3085" width="11.28515625" style="3" customWidth="1"/>
    <col min="3086" max="3086" width="10.140625" style="3" customWidth="1"/>
    <col min="3087" max="3087" width="11.5703125" style="3" customWidth="1"/>
    <col min="3088" max="3089" width="9.140625" style="3"/>
    <col min="3090" max="3090" width="11.28515625" style="3" customWidth="1"/>
    <col min="3091" max="3091" width="10.140625" style="3" customWidth="1"/>
    <col min="3092" max="3092" width="11.5703125" style="3" customWidth="1"/>
    <col min="3093" max="3094" width="9.140625" style="3"/>
    <col min="3095" max="3095" width="11.28515625" style="3" customWidth="1"/>
    <col min="3096" max="3096" width="10.140625" style="3" customWidth="1"/>
    <col min="3097" max="3097" width="11.5703125" style="3" customWidth="1"/>
    <col min="3098" max="3334" width="9.140625" style="3"/>
    <col min="3335" max="3335" width="13.42578125" style="3" bestFit="1" customWidth="1"/>
    <col min="3336" max="3336" width="11.85546875" style="3" customWidth="1"/>
    <col min="3337" max="3337" width="13.85546875" style="3" customWidth="1"/>
    <col min="3338" max="3340" width="11.85546875" style="3" customWidth="1"/>
    <col min="3341" max="3341" width="11.28515625" style="3" customWidth="1"/>
    <col min="3342" max="3342" width="10.140625" style="3" customWidth="1"/>
    <col min="3343" max="3343" width="11.5703125" style="3" customWidth="1"/>
    <col min="3344" max="3345" width="9.140625" style="3"/>
    <col min="3346" max="3346" width="11.28515625" style="3" customWidth="1"/>
    <col min="3347" max="3347" width="10.140625" style="3" customWidth="1"/>
    <col min="3348" max="3348" width="11.5703125" style="3" customWidth="1"/>
    <col min="3349" max="3350" width="9.140625" style="3"/>
    <col min="3351" max="3351" width="11.28515625" style="3" customWidth="1"/>
    <col min="3352" max="3352" width="10.140625" style="3" customWidth="1"/>
    <col min="3353" max="3353" width="11.5703125" style="3" customWidth="1"/>
    <col min="3354" max="3590" width="9.140625" style="3"/>
    <col min="3591" max="3591" width="13.42578125" style="3" bestFit="1" customWidth="1"/>
    <col min="3592" max="3592" width="11.85546875" style="3" customWidth="1"/>
    <col min="3593" max="3593" width="13.85546875" style="3" customWidth="1"/>
    <col min="3594" max="3596" width="11.85546875" style="3" customWidth="1"/>
    <col min="3597" max="3597" width="11.28515625" style="3" customWidth="1"/>
    <col min="3598" max="3598" width="10.140625" style="3" customWidth="1"/>
    <col min="3599" max="3599" width="11.5703125" style="3" customWidth="1"/>
    <col min="3600" max="3601" width="9.140625" style="3"/>
    <col min="3602" max="3602" width="11.28515625" style="3" customWidth="1"/>
    <col min="3603" max="3603" width="10.140625" style="3" customWidth="1"/>
    <col min="3604" max="3604" width="11.5703125" style="3" customWidth="1"/>
    <col min="3605" max="3606" width="9.140625" style="3"/>
    <col min="3607" max="3607" width="11.28515625" style="3" customWidth="1"/>
    <col min="3608" max="3608" width="10.140625" style="3" customWidth="1"/>
    <col min="3609" max="3609" width="11.5703125" style="3" customWidth="1"/>
    <col min="3610" max="3846" width="9.140625" style="3"/>
    <col min="3847" max="3847" width="13.42578125" style="3" bestFit="1" customWidth="1"/>
    <col min="3848" max="3848" width="11.85546875" style="3" customWidth="1"/>
    <col min="3849" max="3849" width="13.85546875" style="3" customWidth="1"/>
    <col min="3850" max="3852" width="11.85546875" style="3" customWidth="1"/>
    <col min="3853" max="3853" width="11.28515625" style="3" customWidth="1"/>
    <col min="3854" max="3854" width="10.140625" style="3" customWidth="1"/>
    <col min="3855" max="3855" width="11.5703125" style="3" customWidth="1"/>
    <col min="3856" max="3857" width="9.140625" style="3"/>
    <col min="3858" max="3858" width="11.28515625" style="3" customWidth="1"/>
    <col min="3859" max="3859" width="10.140625" style="3" customWidth="1"/>
    <col min="3860" max="3860" width="11.5703125" style="3" customWidth="1"/>
    <col min="3861" max="3862" width="9.140625" style="3"/>
    <col min="3863" max="3863" width="11.28515625" style="3" customWidth="1"/>
    <col min="3864" max="3864" width="10.140625" style="3" customWidth="1"/>
    <col min="3865" max="3865" width="11.5703125" style="3" customWidth="1"/>
    <col min="3866" max="4102" width="9.140625" style="3"/>
    <col min="4103" max="4103" width="13.42578125" style="3" bestFit="1" customWidth="1"/>
    <col min="4104" max="4104" width="11.85546875" style="3" customWidth="1"/>
    <col min="4105" max="4105" width="13.85546875" style="3" customWidth="1"/>
    <col min="4106" max="4108" width="11.85546875" style="3" customWidth="1"/>
    <col min="4109" max="4109" width="11.28515625" style="3" customWidth="1"/>
    <col min="4110" max="4110" width="10.140625" style="3" customWidth="1"/>
    <col min="4111" max="4111" width="11.5703125" style="3" customWidth="1"/>
    <col min="4112" max="4113" width="9.140625" style="3"/>
    <col min="4114" max="4114" width="11.28515625" style="3" customWidth="1"/>
    <col min="4115" max="4115" width="10.140625" style="3" customWidth="1"/>
    <col min="4116" max="4116" width="11.5703125" style="3" customWidth="1"/>
    <col min="4117" max="4118" width="9.140625" style="3"/>
    <col min="4119" max="4119" width="11.28515625" style="3" customWidth="1"/>
    <col min="4120" max="4120" width="10.140625" style="3" customWidth="1"/>
    <col min="4121" max="4121" width="11.5703125" style="3" customWidth="1"/>
    <col min="4122" max="4358" width="9.140625" style="3"/>
    <col min="4359" max="4359" width="13.42578125" style="3" bestFit="1" customWidth="1"/>
    <col min="4360" max="4360" width="11.85546875" style="3" customWidth="1"/>
    <col min="4361" max="4361" width="13.85546875" style="3" customWidth="1"/>
    <col min="4362" max="4364" width="11.85546875" style="3" customWidth="1"/>
    <col min="4365" max="4365" width="11.28515625" style="3" customWidth="1"/>
    <col min="4366" max="4366" width="10.140625" style="3" customWidth="1"/>
    <col min="4367" max="4367" width="11.5703125" style="3" customWidth="1"/>
    <col min="4368" max="4369" width="9.140625" style="3"/>
    <col min="4370" max="4370" width="11.28515625" style="3" customWidth="1"/>
    <col min="4371" max="4371" width="10.140625" style="3" customWidth="1"/>
    <col min="4372" max="4372" width="11.5703125" style="3" customWidth="1"/>
    <col min="4373" max="4374" width="9.140625" style="3"/>
    <col min="4375" max="4375" width="11.28515625" style="3" customWidth="1"/>
    <col min="4376" max="4376" width="10.140625" style="3" customWidth="1"/>
    <col min="4377" max="4377" width="11.5703125" style="3" customWidth="1"/>
    <col min="4378" max="4614" width="9.140625" style="3"/>
    <col min="4615" max="4615" width="13.42578125" style="3" bestFit="1" customWidth="1"/>
    <col min="4616" max="4616" width="11.85546875" style="3" customWidth="1"/>
    <col min="4617" max="4617" width="13.85546875" style="3" customWidth="1"/>
    <col min="4618" max="4620" width="11.85546875" style="3" customWidth="1"/>
    <col min="4621" max="4621" width="11.28515625" style="3" customWidth="1"/>
    <col min="4622" max="4622" width="10.140625" style="3" customWidth="1"/>
    <col min="4623" max="4623" width="11.5703125" style="3" customWidth="1"/>
    <col min="4624" max="4625" width="9.140625" style="3"/>
    <col min="4626" max="4626" width="11.28515625" style="3" customWidth="1"/>
    <col min="4627" max="4627" width="10.140625" style="3" customWidth="1"/>
    <col min="4628" max="4628" width="11.5703125" style="3" customWidth="1"/>
    <col min="4629" max="4630" width="9.140625" style="3"/>
    <col min="4631" max="4631" width="11.28515625" style="3" customWidth="1"/>
    <col min="4632" max="4632" width="10.140625" style="3" customWidth="1"/>
    <col min="4633" max="4633" width="11.5703125" style="3" customWidth="1"/>
    <col min="4634" max="4870" width="9.140625" style="3"/>
    <col min="4871" max="4871" width="13.42578125" style="3" bestFit="1" customWidth="1"/>
    <col min="4872" max="4872" width="11.85546875" style="3" customWidth="1"/>
    <col min="4873" max="4873" width="13.85546875" style="3" customWidth="1"/>
    <col min="4874" max="4876" width="11.85546875" style="3" customWidth="1"/>
    <col min="4877" max="4877" width="11.28515625" style="3" customWidth="1"/>
    <col min="4878" max="4878" width="10.140625" style="3" customWidth="1"/>
    <col min="4879" max="4879" width="11.5703125" style="3" customWidth="1"/>
    <col min="4880" max="4881" width="9.140625" style="3"/>
    <col min="4882" max="4882" width="11.28515625" style="3" customWidth="1"/>
    <col min="4883" max="4883" width="10.140625" style="3" customWidth="1"/>
    <col min="4884" max="4884" width="11.5703125" style="3" customWidth="1"/>
    <col min="4885" max="4886" width="9.140625" style="3"/>
    <col min="4887" max="4887" width="11.28515625" style="3" customWidth="1"/>
    <col min="4888" max="4888" width="10.140625" style="3" customWidth="1"/>
    <col min="4889" max="4889" width="11.5703125" style="3" customWidth="1"/>
    <col min="4890" max="5126" width="9.140625" style="3"/>
    <col min="5127" max="5127" width="13.42578125" style="3" bestFit="1" customWidth="1"/>
    <col min="5128" max="5128" width="11.85546875" style="3" customWidth="1"/>
    <col min="5129" max="5129" width="13.85546875" style="3" customWidth="1"/>
    <col min="5130" max="5132" width="11.85546875" style="3" customWidth="1"/>
    <col min="5133" max="5133" width="11.28515625" style="3" customWidth="1"/>
    <col min="5134" max="5134" width="10.140625" style="3" customWidth="1"/>
    <col min="5135" max="5135" width="11.5703125" style="3" customWidth="1"/>
    <col min="5136" max="5137" width="9.140625" style="3"/>
    <col min="5138" max="5138" width="11.28515625" style="3" customWidth="1"/>
    <col min="5139" max="5139" width="10.140625" style="3" customWidth="1"/>
    <col min="5140" max="5140" width="11.5703125" style="3" customWidth="1"/>
    <col min="5141" max="5142" width="9.140625" style="3"/>
    <col min="5143" max="5143" width="11.28515625" style="3" customWidth="1"/>
    <col min="5144" max="5144" width="10.140625" style="3" customWidth="1"/>
    <col min="5145" max="5145" width="11.5703125" style="3" customWidth="1"/>
    <col min="5146" max="5382" width="9.140625" style="3"/>
    <col min="5383" max="5383" width="13.42578125" style="3" bestFit="1" customWidth="1"/>
    <col min="5384" max="5384" width="11.85546875" style="3" customWidth="1"/>
    <col min="5385" max="5385" width="13.85546875" style="3" customWidth="1"/>
    <col min="5386" max="5388" width="11.85546875" style="3" customWidth="1"/>
    <col min="5389" max="5389" width="11.28515625" style="3" customWidth="1"/>
    <col min="5390" max="5390" width="10.140625" style="3" customWidth="1"/>
    <col min="5391" max="5391" width="11.5703125" style="3" customWidth="1"/>
    <col min="5392" max="5393" width="9.140625" style="3"/>
    <col min="5394" max="5394" width="11.28515625" style="3" customWidth="1"/>
    <col min="5395" max="5395" width="10.140625" style="3" customWidth="1"/>
    <col min="5396" max="5396" width="11.5703125" style="3" customWidth="1"/>
    <col min="5397" max="5398" width="9.140625" style="3"/>
    <col min="5399" max="5399" width="11.28515625" style="3" customWidth="1"/>
    <col min="5400" max="5400" width="10.140625" style="3" customWidth="1"/>
    <col min="5401" max="5401" width="11.5703125" style="3" customWidth="1"/>
    <col min="5402" max="5638" width="9.140625" style="3"/>
    <col min="5639" max="5639" width="13.42578125" style="3" bestFit="1" customWidth="1"/>
    <col min="5640" max="5640" width="11.85546875" style="3" customWidth="1"/>
    <col min="5641" max="5641" width="13.85546875" style="3" customWidth="1"/>
    <col min="5642" max="5644" width="11.85546875" style="3" customWidth="1"/>
    <col min="5645" max="5645" width="11.28515625" style="3" customWidth="1"/>
    <col min="5646" max="5646" width="10.140625" style="3" customWidth="1"/>
    <col min="5647" max="5647" width="11.5703125" style="3" customWidth="1"/>
    <col min="5648" max="5649" width="9.140625" style="3"/>
    <col min="5650" max="5650" width="11.28515625" style="3" customWidth="1"/>
    <col min="5651" max="5651" width="10.140625" style="3" customWidth="1"/>
    <col min="5652" max="5652" width="11.5703125" style="3" customWidth="1"/>
    <col min="5653" max="5654" width="9.140625" style="3"/>
    <col min="5655" max="5655" width="11.28515625" style="3" customWidth="1"/>
    <col min="5656" max="5656" width="10.140625" style="3" customWidth="1"/>
    <col min="5657" max="5657" width="11.5703125" style="3" customWidth="1"/>
    <col min="5658" max="5894" width="9.140625" style="3"/>
    <col min="5895" max="5895" width="13.42578125" style="3" bestFit="1" customWidth="1"/>
    <col min="5896" max="5896" width="11.85546875" style="3" customWidth="1"/>
    <col min="5897" max="5897" width="13.85546875" style="3" customWidth="1"/>
    <col min="5898" max="5900" width="11.85546875" style="3" customWidth="1"/>
    <col min="5901" max="5901" width="11.28515625" style="3" customWidth="1"/>
    <col min="5902" max="5902" width="10.140625" style="3" customWidth="1"/>
    <col min="5903" max="5903" width="11.5703125" style="3" customWidth="1"/>
    <col min="5904" max="5905" width="9.140625" style="3"/>
    <col min="5906" max="5906" width="11.28515625" style="3" customWidth="1"/>
    <col min="5907" max="5907" width="10.140625" style="3" customWidth="1"/>
    <col min="5908" max="5908" width="11.5703125" style="3" customWidth="1"/>
    <col min="5909" max="5910" width="9.140625" style="3"/>
    <col min="5911" max="5911" width="11.28515625" style="3" customWidth="1"/>
    <col min="5912" max="5912" width="10.140625" style="3" customWidth="1"/>
    <col min="5913" max="5913" width="11.5703125" style="3" customWidth="1"/>
    <col min="5914" max="6150" width="9.140625" style="3"/>
    <col min="6151" max="6151" width="13.42578125" style="3" bestFit="1" customWidth="1"/>
    <col min="6152" max="6152" width="11.85546875" style="3" customWidth="1"/>
    <col min="6153" max="6153" width="13.85546875" style="3" customWidth="1"/>
    <col min="6154" max="6156" width="11.85546875" style="3" customWidth="1"/>
    <col min="6157" max="6157" width="11.28515625" style="3" customWidth="1"/>
    <col min="6158" max="6158" width="10.140625" style="3" customWidth="1"/>
    <col min="6159" max="6159" width="11.5703125" style="3" customWidth="1"/>
    <col min="6160" max="6161" width="9.140625" style="3"/>
    <col min="6162" max="6162" width="11.28515625" style="3" customWidth="1"/>
    <col min="6163" max="6163" width="10.140625" style="3" customWidth="1"/>
    <col min="6164" max="6164" width="11.5703125" style="3" customWidth="1"/>
    <col min="6165" max="6166" width="9.140625" style="3"/>
    <col min="6167" max="6167" width="11.28515625" style="3" customWidth="1"/>
    <col min="6168" max="6168" width="10.140625" style="3" customWidth="1"/>
    <col min="6169" max="6169" width="11.5703125" style="3" customWidth="1"/>
    <col min="6170" max="6406" width="9.140625" style="3"/>
    <col min="6407" max="6407" width="13.42578125" style="3" bestFit="1" customWidth="1"/>
    <col min="6408" max="6408" width="11.85546875" style="3" customWidth="1"/>
    <col min="6409" max="6409" width="13.85546875" style="3" customWidth="1"/>
    <col min="6410" max="6412" width="11.85546875" style="3" customWidth="1"/>
    <col min="6413" max="6413" width="11.28515625" style="3" customWidth="1"/>
    <col min="6414" max="6414" width="10.140625" style="3" customWidth="1"/>
    <col min="6415" max="6415" width="11.5703125" style="3" customWidth="1"/>
    <col min="6416" max="6417" width="9.140625" style="3"/>
    <col min="6418" max="6418" width="11.28515625" style="3" customWidth="1"/>
    <col min="6419" max="6419" width="10.140625" style="3" customWidth="1"/>
    <col min="6420" max="6420" width="11.5703125" style="3" customWidth="1"/>
    <col min="6421" max="6422" width="9.140625" style="3"/>
    <col min="6423" max="6423" width="11.28515625" style="3" customWidth="1"/>
    <col min="6424" max="6424" width="10.140625" style="3" customWidth="1"/>
    <col min="6425" max="6425" width="11.5703125" style="3" customWidth="1"/>
    <col min="6426" max="6662" width="9.140625" style="3"/>
    <col min="6663" max="6663" width="13.42578125" style="3" bestFit="1" customWidth="1"/>
    <col min="6664" max="6664" width="11.85546875" style="3" customWidth="1"/>
    <col min="6665" max="6665" width="13.85546875" style="3" customWidth="1"/>
    <col min="6666" max="6668" width="11.85546875" style="3" customWidth="1"/>
    <col min="6669" max="6669" width="11.28515625" style="3" customWidth="1"/>
    <col min="6670" max="6670" width="10.140625" style="3" customWidth="1"/>
    <col min="6671" max="6671" width="11.5703125" style="3" customWidth="1"/>
    <col min="6672" max="6673" width="9.140625" style="3"/>
    <col min="6674" max="6674" width="11.28515625" style="3" customWidth="1"/>
    <col min="6675" max="6675" width="10.140625" style="3" customWidth="1"/>
    <col min="6676" max="6676" width="11.5703125" style="3" customWidth="1"/>
    <col min="6677" max="6678" width="9.140625" style="3"/>
    <col min="6679" max="6679" width="11.28515625" style="3" customWidth="1"/>
    <col min="6680" max="6680" width="10.140625" style="3" customWidth="1"/>
    <col min="6681" max="6681" width="11.5703125" style="3" customWidth="1"/>
    <col min="6682" max="6918" width="9.140625" style="3"/>
    <col min="6919" max="6919" width="13.42578125" style="3" bestFit="1" customWidth="1"/>
    <col min="6920" max="6920" width="11.85546875" style="3" customWidth="1"/>
    <col min="6921" max="6921" width="13.85546875" style="3" customWidth="1"/>
    <col min="6922" max="6924" width="11.85546875" style="3" customWidth="1"/>
    <col min="6925" max="6925" width="11.28515625" style="3" customWidth="1"/>
    <col min="6926" max="6926" width="10.140625" style="3" customWidth="1"/>
    <col min="6927" max="6927" width="11.5703125" style="3" customWidth="1"/>
    <col min="6928" max="6929" width="9.140625" style="3"/>
    <col min="6930" max="6930" width="11.28515625" style="3" customWidth="1"/>
    <col min="6931" max="6931" width="10.140625" style="3" customWidth="1"/>
    <col min="6932" max="6932" width="11.5703125" style="3" customWidth="1"/>
    <col min="6933" max="6934" width="9.140625" style="3"/>
    <col min="6935" max="6935" width="11.28515625" style="3" customWidth="1"/>
    <col min="6936" max="6936" width="10.140625" style="3" customWidth="1"/>
    <col min="6937" max="6937" width="11.5703125" style="3" customWidth="1"/>
    <col min="6938" max="7174" width="9.140625" style="3"/>
    <col min="7175" max="7175" width="13.42578125" style="3" bestFit="1" customWidth="1"/>
    <col min="7176" max="7176" width="11.85546875" style="3" customWidth="1"/>
    <col min="7177" max="7177" width="13.85546875" style="3" customWidth="1"/>
    <col min="7178" max="7180" width="11.85546875" style="3" customWidth="1"/>
    <col min="7181" max="7181" width="11.28515625" style="3" customWidth="1"/>
    <col min="7182" max="7182" width="10.140625" style="3" customWidth="1"/>
    <col min="7183" max="7183" width="11.5703125" style="3" customWidth="1"/>
    <col min="7184" max="7185" width="9.140625" style="3"/>
    <col min="7186" max="7186" width="11.28515625" style="3" customWidth="1"/>
    <col min="7187" max="7187" width="10.140625" style="3" customWidth="1"/>
    <col min="7188" max="7188" width="11.5703125" style="3" customWidth="1"/>
    <col min="7189" max="7190" width="9.140625" style="3"/>
    <col min="7191" max="7191" width="11.28515625" style="3" customWidth="1"/>
    <col min="7192" max="7192" width="10.140625" style="3" customWidth="1"/>
    <col min="7193" max="7193" width="11.5703125" style="3" customWidth="1"/>
    <col min="7194" max="7430" width="9.140625" style="3"/>
    <col min="7431" max="7431" width="13.42578125" style="3" bestFit="1" customWidth="1"/>
    <col min="7432" max="7432" width="11.85546875" style="3" customWidth="1"/>
    <col min="7433" max="7433" width="13.85546875" style="3" customWidth="1"/>
    <col min="7434" max="7436" width="11.85546875" style="3" customWidth="1"/>
    <col min="7437" max="7437" width="11.28515625" style="3" customWidth="1"/>
    <col min="7438" max="7438" width="10.140625" style="3" customWidth="1"/>
    <col min="7439" max="7439" width="11.5703125" style="3" customWidth="1"/>
    <col min="7440" max="7441" width="9.140625" style="3"/>
    <col min="7442" max="7442" width="11.28515625" style="3" customWidth="1"/>
    <col min="7443" max="7443" width="10.140625" style="3" customWidth="1"/>
    <col min="7444" max="7444" width="11.5703125" style="3" customWidth="1"/>
    <col min="7445" max="7446" width="9.140625" style="3"/>
    <col min="7447" max="7447" width="11.28515625" style="3" customWidth="1"/>
    <col min="7448" max="7448" width="10.140625" style="3" customWidth="1"/>
    <col min="7449" max="7449" width="11.5703125" style="3" customWidth="1"/>
    <col min="7450" max="7686" width="9.140625" style="3"/>
    <col min="7687" max="7687" width="13.42578125" style="3" bestFit="1" customWidth="1"/>
    <col min="7688" max="7688" width="11.85546875" style="3" customWidth="1"/>
    <col min="7689" max="7689" width="13.85546875" style="3" customWidth="1"/>
    <col min="7690" max="7692" width="11.85546875" style="3" customWidth="1"/>
    <col min="7693" max="7693" width="11.28515625" style="3" customWidth="1"/>
    <col min="7694" max="7694" width="10.140625" style="3" customWidth="1"/>
    <col min="7695" max="7695" width="11.5703125" style="3" customWidth="1"/>
    <col min="7696" max="7697" width="9.140625" style="3"/>
    <col min="7698" max="7698" width="11.28515625" style="3" customWidth="1"/>
    <col min="7699" max="7699" width="10.140625" style="3" customWidth="1"/>
    <col min="7700" max="7700" width="11.5703125" style="3" customWidth="1"/>
    <col min="7701" max="7702" width="9.140625" style="3"/>
    <col min="7703" max="7703" width="11.28515625" style="3" customWidth="1"/>
    <col min="7704" max="7704" width="10.140625" style="3" customWidth="1"/>
    <col min="7705" max="7705" width="11.5703125" style="3" customWidth="1"/>
    <col min="7706" max="7942" width="9.140625" style="3"/>
    <col min="7943" max="7943" width="13.42578125" style="3" bestFit="1" customWidth="1"/>
    <col min="7944" max="7944" width="11.85546875" style="3" customWidth="1"/>
    <col min="7945" max="7945" width="13.85546875" style="3" customWidth="1"/>
    <col min="7946" max="7948" width="11.85546875" style="3" customWidth="1"/>
    <col min="7949" max="7949" width="11.28515625" style="3" customWidth="1"/>
    <col min="7950" max="7950" width="10.140625" style="3" customWidth="1"/>
    <col min="7951" max="7951" width="11.5703125" style="3" customWidth="1"/>
    <col min="7952" max="7953" width="9.140625" style="3"/>
    <col min="7954" max="7954" width="11.28515625" style="3" customWidth="1"/>
    <col min="7955" max="7955" width="10.140625" style="3" customWidth="1"/>
    <col min="7956" max="7956" width="11.5703125" style="3" customWidth="1"/>
    <col min="7957" max="7958" width="9.140625" style="3"/>
    <col min="7959" max="7959" width="11.28515625" style="3" customWidth="1"/>
    <col min="7960" max="7960" width="10.140625" style="3" customWidth="1"/>
    <col min="7961" max="7961" width="11.5703125" style="3" customWidth="1"/>
    <col min="7962" max="8198" width="9.140625" style="3"/>
    <col min="8199" max="8199" width="13.42578125" style="3" bestFit="1" customWidth="1"/>
    <col min="8200" max="8200" width="11.85546875" style="3" customWidth="1"/>
    <col min="8201" max="8201" width="13.85546875" style="3" customWidth="1"/>
    <col min="8202" max="8204" width="11.85546875" style="3" customWidth="1"/>
    <col min="8205" max="8205" width="11.28515625" style="3" customWidth="1"/>
    <col min="8206" max="8206" width="10.140625" style="3" customWidth="1"/>
    <col min="8207" max="8207" width="11.5703125" style="3" customWidth="1"/>
    <col min="8208" max="8209" width="9.140625" style="3"/>
    <col min="8210" max="8210" width="11.28515625" style="3" customWidth="1"/>
    <col min="8211" max="8211" width="10.140625" style="3" customWidth="1"/>
    <col min="8212" max="8212" width="11.5703125" style="3" customWidth="1"/>
    <col min="8213" max="8214" width="9.140625" style="3"/>
    <col min="8215" max="8215" width="11.28515625" style="3" customWidth="1"/>
    <col min="8216" max="8216" width="10.140625" style="3" customWidth="1"/>
    <col min="8217" max="8217" width="11.5703125" style="3" customWidth="1"/>
    <col min="8218" max="8454" width="9.140625" style="3"/>
    <col min="8455" max="8455" width="13.42578125" style="3" bestFit="1" customWidth="1"/>
    <col min="8456" max="8456" width="11.85546875" style="3" customWidth="1"/>
    <col min="8457" max="8457" width="13.85546875" style="3" customWidth="1"/>
    <col min="8458" max="8460" width="11.85546875" style="3" customWidth="1"/>
    <col min="8461" max="8461" width="11.28515625" style="3" customWidth="1"/>
    <col min="8462" max="8462" width="10.140625" style="3" customWidth="1"/>
    <col min="8463" max="8463" width="11.5703125" style="3" customWidth="1"/>
    <col min="8464" max="8465" width="9.140625" style="3"/>
    <col min="8466" max="8466" width="11.28515625" style="3" customWidth="1"/>
    <col min="8467" max="8467" width="10.140625" style="3" customWidth="1"/>
    <col min="8468" max="8468" width="11.5703125" style="3" customWidth="1"/>
    <col min="8469" max="8470" width="9.140625" style="3"/>
    <col min="8471" max="8471" width="11.28515625" style="3" customWidth="1"/>
    <col min="8472" max="8472" width="10.140625" style="3" customWidth="1"/>
    <col min="8473" max="8473" width="11.5703125" style="3" customWidth="1"/>
    <col min="8474" max="8710" width="9.140625" style="3"/>
    <col min="8711" max="8711" width="13.42578125" style="3" bestFit="1" customWidth="1"/>
    <col min="8712" max="8712" width="11.85546875" style="3" customWidth="1"/>
    <col min="8713" max="8713" width="13.85546875" style="3" customWidth="1"/>
    <col min="8714" max="8716" width="11.85546875" style="3" customWidth="1"/>
    <col min="8717" max="8717" width="11.28515625" style="3" customWidth="1"/>
    <col min="8718" max="8718" width="10.140625" style="3" customWidth="1"/>
    <col min="8719" max="8719" width="11.5703125" style="3" customWidth="1"/>
    <col min="8720" max="8721" width="9.140625" style="3"/>
    <col min="8722" max="8722" width="11.28515625" style="3" customWidth="1"/>
    <col min="8723" max="8723" width="10.140625" style="3" customWidth="1"/>
    <col min="8724" max="8724" width="11.5703125" style="3" customWidth="1"/>
    <col min="8725" max="8726" width="9.140625" style="3"/>
    <col min="8727" max="8727" width="11.28515625" style="3" customWidth="1"/>
    <col min="8728" max="8728" width="10.140625" style="3" customWidth="1"/>
    <col min="8729" max="8729" width="11.5703125" style="3" customWidth="1"/>
    <col min="8730" max="8966" width="9.140625" style="3"/>
    <col min="8967" max="8967" width="13.42578125" style="3" bestFit="1" customWidth="1"/>
    <col min="8968" max="8968" width="11.85546875" style="3" customWidth="1"/>
    <col min="8969" max="8969" width="13.85546875" style="3" customWidth="1"/>
    <col min="8970" max="8972" width="11.85546875" style="3" customWidth="1"/>
    <col min="8973" max="8973" width="11.28515625" style="3" customWidth="1"/>
    <col min="8974" max="8974" width="10.140625" style="3" customWidth="1"/>
    <col min="8975" max="8975" width="11.5703125" style="3" customWidth="1"/>
    <col min="8976" max="8977" width="9.140625" style="3"/>
    <col min="8978" max="8978" width="11.28515625" style="3" customWidth="1"/>
    <col min="8979" max="8979" width="10.140625" style="3" customWidth="1"/>
    <col min="8980" max="8980" width="11.5703125" style="3" customWidth="1"/>
    <col min="8981" max="8982" width="9.140625" style="3"/>
    <col min="8983" max="8983" width="11.28515625" style="3" customWidth="1"/>
    <col min="8984" max="8984" width="10.140625" style="3" customWidth="1"/>
    <col min="8985" max="8985" width="11.5703125" style="3" customWidth="1"/>
    <col min="8986" max="9222" width="9.140625" style="3"/>
    <col min="9223" max="9223" width="13.42578125" style="3" bestFit="1" customWidth="1"/>
    <col min="9224" max="9224" width="11.85546875" style="3" customWidth="1"/>
    <col min="9225" max="9225" width="13.85546875" style="3" customWidth="1"/>
    <col min="9226" max="9228" width="11.85546875" style="3" customWidth="1"/>
    <col min="9229" max="9229" width="11.28515625" style="3" customWidth="1"/>
    <col min="9230" max="9230" width="10.140625" style="3" customWidth="1"/>
    <col min="9231" max="9231" width="11.5703125" style="3" customWidth="1"/>
    <col min="9232" max="9233" width="9.140625" style="3"/>
    <col min="9234" max="9234" width="11.28515625" style="3" customWidth="1"/>
    <col min="9235" max="9235" width="10.140625" style="3" customWidth="1"/>
    <col min="9236" max="9236" width="11.5703125" style="3" customWidth="1"/>
    <col min="9237" max="9238" width="9.140625" style="3"/>
    <col min="9239" max="9239" width="11.28515625" style="3" customWidth="1"/>
    <col min="9240" max="9240" width="10.140625" style="3" customWidth="1"/>
    <col min="9241" max="9241" width="11.5703125" style="3" customWidth="1"/>
    <col min="9242" max="9478" width="9.140625" style="3"/>
    <col min="9479" max="9479" width="13.42578125" style="3" bestFit="1" customWidth="1"/>
    <col min="9480" max="9480" width="11.85546875" style="3" customWidth="1"/>
    <col min="9481" max="9481" width="13.85546875" style="3" customWidth="1"/>
    <col min="9482" max="9484" width="11.85546875" style="3" customWidth="1"/>
    <col min="9485" max="9485" width="11.28515625" style="3" customWidth="1"/>
    <col min="9486" max="9486" width="10.140625" style="3" customWidth="1"/>
    <col min="9487" max="9487" width="11.5703125" style="3" customWidth="1"/>
    <col min="9488" max="9489" width="9.140625" style="3"/>
    <col min="9490" max="9490" width="11.28515625" style="3" customWidth="1"/>
    <col min="9491" max="9491" width="10.140625" style="3" customWidth="1"/>
    <col min="9492" max="9492" width="11.5703125" style="3" customWidth="1"/>
    <col min="9493" max="9494" width="9.140625" style="3"/>
    <col min="9495" max="9495" width="11.28515625" style="3" customWidth="1"/>
    <col min="9496" max="9496" width="10.140625" style="3" customWidth="1"/>
    <col min="9497" max="9497" width="11.5703125" style="3" customWidth="1"/>
    <col min="9498" max="9734" width="9.140625" style="3"/>
    <col min="9735" max="9735" width="13.42578125" style="3" bestFit="1" customWidth="1"/>
    <col min="9736" max="9736" width="11.85546875" style="3" customWidth="1"/>
    <col min="9737" max="9737" width="13.85546875" style="3" customWidth="1"/>
    <col min="9738" max="9740" width="11.85546875" style="3" customWidth="1"/>
    <col min="9741" max="9741" width="11.28515625" style="3" customWidth="1"/>
    <col min="9742" max="9742" width="10.140625" style="3" customWidth="1"/>
    <col min="9743" max="9743" width="11.5703125" style="3" customWidth="1"/>
    <col min="9744" max="9745" width="9.140625" style="3"/>
    <col min="9746" max="9746" width="11.28515625" style="3" customWidth="1"/>
    <col min="9747" max="9747" width="10.140625" style="3" customWidth="1"/>
    <col min="9748" max="9748" width="11.5703125" style="3" customWidth="1"/>
    <col min="9749" max="9750" width="9.140625" style="3"/>
    <col min="9751" max="9751" width="11.28515625" style="3" customWidth="1"/>
    <col min="9752" max="9752" width="10.140625" style="3" customWidth="1"/>
    <col min="9753" max="9753" width="11.5703125" style="3" customWidth="1"/>
    <col min="9754" max="9990" width="9.140625" style="3"/>
    <col min="9991" max="9991" width="13.42578125" style="3" bestFit="1" customWidth="1"/>
    <col min="9992" max="9992" width="11.85546875" style="3" customWidth="1"/>
    <col min="9993" max="9993" width="13.85546875" style="3" customWidth="1"/>
    <col min="9994" max="9996" width="11.85546875" style="3" customWidth="1"/>
    <col min="9997" max="9997" width="11.28515625" style="3" customWidth="1"/>
    <col min="9998" max="9998" width="10.140625" style="3" customWidth="1"/>
    <col min="9999" max="9999" width="11.5703125" style="3" customWidth="1"/>
    <col min="10000" max="10001" width="9.140625" style="3"/>
    <col min="10002" max="10002" width="11.28515625" style="3" customWidth="1"/>
    <col min="10003" max="10003" width="10.140625" style="3" customWidth="1"/>
    <col min="10004" max="10004" width="11.5703125" style="3" customWidth="1"/>
    <col min="10005" max="10006" width="9.140625" style="3"/>
    <col min="10007" max="10007" width="11.28515625" style="3" customWidth="1"/>
    <col min="10008" max="10008" width="10.140625" style="3" customWidth="1"/>
    <col min="10009" max="10009" width="11.5703125" style="3" customWidth="1"/>
    <col min="10010" max="10246" width="9.140625" style="3"/>
    <col min="10247" max="10247" width="13.42578125" style="3" bestFit="1" customWidth="1"/>
    <col min="10248" max="10248" width="11.85546875" style="3" customWidth="1"/>
    <col min="10249" max="10249" width="13.85546875" style="3" customWidth="1"/>
    <col min="10250" max="10252" width="11.85546875" style="3" customWidth="1"/>
    <col min="10253" max="10253" width="11.28515625" style="3" customWidth="1"/>
    <col min="10254" max="10254" width="10.140625" style="3" customWidth="1"/>
    <col min="10255" max="10255" width="11.5703125" style="3" customWidth="1"/>
    <col min="10256" max="10257" width="9.140625" style="3"/>
    <col min="10258" max="10258" width="11.28515625" style="3" customWidth="1"/>
    <col min="10259" max="10259" width="10.140625" style="3" customWidth="1"/>
    <col min="10260" max="10260" width="11.5703125" style="3" customWidth="1"/>
    <col min="10261" max="10262" width="9.140625" style="3"/>
    <col min="10263" max="10263" width="11.28515625" style="3" customWidth="1"/>
    <col min="10264" max="10264" width="10.140625" style="3" customWidth="1"/>
    <col min="10265" max="10265" width="11.5703125" style="3" customWidth="1"/>
    <col min="10266" max="10502" width="9.140625" style="3"/>
    <col min="10503" max="10503" width="13.42578125" style="3" bestFit="1" customWidth="1"/>
    <col min="10504" max="10504" width="11.85546875" style="3" customWidth="1"/>
    <col min="10505" max="10505" width="13.85546875" style="3" customWidth="1"/>
    <col min="10506" max="10508" width="11.85546875" style="3" customWidth="1"/>
    <col min="10509" max="10509" width="11.28515625" style="3" customWidth="1"/>
    <col min="10510" max="10510" width="10.140625" style="3" customWidth="1"/>
    <col min="10511" max="10511" width="11.5703125" style="3" customWidth="1"/>
    <col min="10512" max="10513" width="9.140625" style="3"/>
    <col min="10514" max="10514" width="11.28515625" style="3" customWidth="1"/>
    <col min="10515" max="10515" width="10.140625" style="3" customWidth="1"/>
    <col min="10516" max="10516" width="11.5703125" style="3" customWidth="1"/>
    <col min="10517" max="10518" width="9.140625" style="3"/>
    <col min="10519" max="10519" width="11.28515625" style="3" customWidth="1"/>
    <col min="10520" max="10520" width="10.140625" style="3" customWidth="1"/>
    <col min="10521" max="10521" width="11.5703125" style="3" customWidth="1"/>
    <col min="10522" max="10758" width="9.140625" style="3"/>
    <col min="10759" max="10759" width="13.42578125" style="3" bestFit="1" customWidth="1"/>
    <col min="10760" max="10760" width="11.85546875" style="3" customWidth="1"/>
    <col min="10761" max="10761" width="13.85546875" style="3" customWidth="1"/>
    <col min="10762" max="10764" width="11.85546875" style="3" customWidth="1"/>
    <col min="10765" max="10765" width="11.28515625" style="3" customWidth="1"/>
    <col min="10766" max="10766" width="10.140625" style="3" customWidth="1"/>
    <col min="10767" max="10767" width="11.5703125" style="3" customWidth="1"/>
    <col min="10768" max="10769" width="9.140625" style="3"/>
    <col min="10770" max="10770" width="11.28515625" style="3" customWidth="1"/>
    <col min="10771" max="10771" width="10.140625" style="3" customWidth="1"/>
    <col min="10772" max="10772" width="11.5703125" style="3" customWidth="1"/>
    <col min="10773" max="10774" width="9.140625" style="3"/>
    <col min="10775" max="10775" width="11.28515625" style="3" customWidth="1"/>
    <col min="10776" max="10776" width="10.140625" style="3" customWidth="1"/>
    <col min="10777" max="10777" width="11.5703125" style="3" customWidth="1"/>
    <col min="10778" max="11014" width="9.140625" style="3"/>
    <col min="11015" max="11015" width="13.42578125" style="3" bestFit="1" customWidth="1"/>
    <col min="11016" max="11016" width="11.85546875" style="3" customWidth="1"/>
    <col min="11017" max="11017" width="13.85546875" style="3" customWidth="1"/>
    <col min="11018" max="11020" width="11.85546875" style="3" customWidth="1"/>
    <col min="11021" max="11021" width="11.28515625" style="3" customWidth="1"/>
    <col min="11022" max="11022" width="10.140625" style="3" customWidth="1"/>
    <col min="11023" max="11023" width="11.5703125" style="3" customWidth="1"/>
    <col min="11024" max="11025" width="9.140625" style="3"/>
    <col min="11026" max="11026" width="11.28515625" style="3" customWidth="1"/>
    <col min="11027" max="11027" width="10.140625" style="3" customWidth="1"/>
    <col min="11028" max="11028" width="11.5703125" style="3" customWidth="1"/>
    <col min="11029" max="11030" width="9.140625" style="3"/>
    <col min="11031" max="11031" width="11.28515625" style="3" customWidth="1"/>
    <col min="11032" max="11032" width="10.140625" style="3" customWidth="1"/>
    <col min="11033" max="11033" width="11.5703125" style="3" customWidth="1"/>
    <col min="11034" max="11270" width="9.140625" style="3"/>
    <col min="11271" max="11271" width="13.42578125" style="3" bestFit="1" customWidth="1"/>
    <col min="11272" max="11272" width="11.85546875" style="3" customWidth="1"/>
    <col min="11273" max="11273" width="13.85546875" style="3" customWidth="1"/>
    <col min="11274" max="11276" width="11.85546875" style="3" customWidth="1"/>
    <col min="11277" max="11277" width="11.28515625" style="3" customWidth="1"/>
    <col min="11278" max="11278" width="10.140625" style="3" customWidth="1"/>
    <col min="11279" max="11279" width="11.5703125" style="3" customWidth="1"/>
    <col min="11280" max="11281" width="9.140625" style="3"/>
    <col min="11282" max="11282" width="11.28515625" style="3" customWidth="1"/>
    <col min="11283" max="11283" width="10.140625" style="3" customWidth="1"/>
    <col min="11284" max="11284" width="11.5703125" style="3" customWidth="1"/>
    <col min="11285" max="11286" width="9.140625" style="3"/>
    <col min="11287" max="11287" width="11.28515625" style="3" customWidth="1"/>
    <col min="11288" max="11288" width="10.140625" style="3" customWidth="1"/>
    <col min="11289" max="11289" width="11.5703125" style="3" customWidth="1"/>
    <col min="11290" max="11526" width="9.140625" style="3"/>
    <col min="11527" max="11527" width="13.42578125" style="3" bestFit="1" customWidth="1"/>
    <col min="11528" max="11528" width="11.85546875" style="3" customWidth="1"/>
    <col min="11529" max="11529" width="13.85546875" style="3" customWidth="1"/>
    <col min="11530" max="11532" width="11.85546875" style="3" customWidth="1"/>
    <col min="11533" max="11533" width="11.28515625" style="3" customWidth="1"/>
    <col min="11534" max="11534" width="10.140625" style="3" customWidth="1"/>
    <col min="11535" max="11535" width="11.5703125" style="3" customWidth="1"/>
    <col min="11536" max="11537" width="9.140625" style="3"/>
    <col min="11538" max="11538" width="11.28515625" style="3" customWidth="1"/>
    <col min="11539" max="11539" width="10.140625" style="3" customWidth="1"/>
    <col min="11540" max="11540" width="11.5703125" style="3" customWidth="1"/>
    <col min="11541" max="11542" width="9.140625" style="3"/>
    <col min="11543" max="11543" width="11.28515625" style="3" customWidth="1"/>
    <col min="11544" max="11544" width="10.140625" style="3" customWidth="1"/>
    <col min="11545" max="11545" width="11.5703125" style="3" customWidth="1"/>
    <col min="11546" max="11782" width="9.140625" style="3"/>
    <col min="11783" max="11783" width="13.42578125" style="3" bestFit="1" customWidth="1"/>
    <col min="11784" max="11784" width="11.85546875" style="3" customWidth="1"/>
    <col min="11785" max="11785" width="13.85546875" style="3" customWidth="1"/>
    <col min="11786" max="11788" width="11.85546875" style="3" customWidth="1"/>
    <col min="11789" max="11789" width="11.28515625" style="3" customWidth="1"/>
    <col min="11790" max="11790" width="10.140625" style="3" customWidth="1"/>
    <col min="11791" max="11791" width="11.5703125" style="3" customWidth="1"/>
    <col min="11792" max="11793" width="9.140625" style="3"/>
    <col min="11794" max="11794" width="11.28515625" style="3" customWidth="1"/>
    <col min="11795" max="11795" width="10.140625" style="3" customWidth="1"/>
    <col min="11796" max="11796" width="11.5703125" style="3" customWidth="1"/>
    <col min="11797" max="11798" width="9.140625" style="3"/>
    <col min="11799" max="11799" width="11.28515625" style="3" customWidth="1"/>
    <col min="11800" max="11800" width="10.140625" style="3" customWidth="1"/>
    <col min="11801" max="11801" width="11.5703125" style="3" customWidth="1"/>
    <col min="11802" max="12038" width="9.140625" style="3"/>
    <col min="12039" max="12039" width="13.42578125" style="3" bestFit="1" customWidth="1"/>
    <col min="12040" max="12040" width="11.85546875" style="3" customWidth="1"/>
    <col min="12041" max="12041" width="13.85546875" style="3" customWidth="1"/>
    <col min="12042" max="12044" width="11.85546875" style="3" customWidth="1"/>
    <col min="12045" max="12045" width="11.28515625" style="3" customWidth="1"/>
    <col min="12046" max="12046" width="10.140625" style="3" customWidth="1"/>
    <col min="12047" max="12047" width="11.5703125" style="3" customWidth="1"/>
    <col min="12048" max="12049" width="9.140625" style="3"/>
    <col min="12050" max="12050" width="11.28515625" style="3" customWidth="1"/>
    <col min="12051" max="12051" width="10.140625" style="3" customWidth="1"/>
    <col min="12052" max="12052" width="11.5703125" style="3" customWidth="1"/>
    <col min="12053" max="12054" width="9.140625" style="3"/>
    <col min="12055" max="12055" width="11.28515625" style="3" customWidth="1"/>
    <col min="12056" max="12056" width="10.140625" style="3" customWidth="1"/>
    <col min="12057" max="12057" width="11.5703125" style="3" customWidth="1"/>
    <col min="12058" max="12294" width="9.140625" style="3"/>
    <col min="12295" max="12295" width="13.42578125" style="3" bestFit="1" customWidth="1"/>
    <col min="12296" max="12296" width="11.85546875" style="3" customWidth="1"/>
    <col min="12297" max="12297" width="13.85546875" style="3" customWidth="1"/>
    <col min="12298" max="12300" width="11.85546875" style="3" customWidth="1"/>
    <col min="12301" max="12301" width="11.28515625" style="3" customWidth="1"/>
    <col min="12302" max="12302" width="10.140625" style="3" customWidth="1"/>
    <col min="12303" max="12303" width="11.5703125" style="3" customWidth="1"/>
    <col min="12304" max="12305" width="9.140625" style="3"/>
    <col min="12306" max="12306" width="11.28515625" style="3" customWidth="1"/>
    <col min="12307" max="12307" width="10.140625" style="3" customWidth="1"/>
    <col min="12308" max="12308" width="11.5703125" style="3" customWidth="1"/>
    <col min="12309" max="12310" width="9.140625" style="3"/>
    <col min="12311" max="12311" width="11.28515625" style="3" customWidth="1"/>
    <col min="12312" max="12312" width="10.140625" style="3" customWidth="1"/>
    <col min="12313" max="12313" width="11.5703125" style="3" customWidth="1"/>
    <col min="12314" max="12550" width="9.140625" style="3"/>
    <col min="12551" max="12551" width="13.42578125" style="3" bestFit="1" customWidth="1"/>
    <col min="12552" max="12552" width="11.85546875" style="3" customWidth="1"/>
    <col min="12553" max="12553" width="13.85546875" style="3" customWidth="1"/>
    <col min="12554" max="12556" width="11.85546875" style="3" customWidth="1"/>
    <col min="12557" max="12557" width="11.28515625" style="3" customWidth="1"/>
    <col min="12558" max="12558" width="10.140625" style="3" customWidth="1"/>
    <col min="12559" max="12559" width="11.5703125" style="3" customWidth="1"/>
    <col min="12560" max="12561" width="9.140625" style="3"/>
    <col min="12562" max="12562" width="11.28515625" style="3" customWidth="1"/>
    <col min="12563" max="12563" width="10.140625" style="3" customWidth="1"/>
    <col min="12564" max="12564" width="11.5703125" style="3" customWidth="1"/>
    <col min="12565" max="12566" width="9.140625" style="3"/>
    <col min="12567" max="12567" width="11.28515625" style="3" customWidth="1"/>
    <col min="12568" max="12568" width="10.140625" style="3" customWidth="1"/>
    <col min="12569" max="12569" width="11.5703125" style="3" customWidth="1"/>
    <col min="12570" max="12806" width="9.140625" style="3"/>
    <col min="12807" max="12807" width="13.42578125" style="3" bestFit="1" customWidth="1"/>
    <col min="12808" max="12808" width="11.85546875" style="3" customWidth="1"/>
    <col min="12809" max="12809" width="13.85546875" style="3" customWidth="1"/>
    <col min="12810" max="12812" width="11.85546875" style="3" customWidth="1"/>
    <col min="12813" max="12813" width="11.28515625" style="3" customWidth="1"/>
    <col min="12814" max="12814" width="10.140625" style="3" customWidth="1"/>
    <col min="12815" max="12815" width="11.5703125" style="3" customWidth="1"/>
    <col min="12816" max="12817" width="9.140625" style="3"/>
    <col min="12818" max="12818" width="11.28515625" style="3" customWidth="1"/>
    <col min="12819" max="12819" width="10.140625" style="3" customWidth="1"/>
    <col min="12820" max="12820" width="11.5703125" style="3" customWidth="1"/>
    <col min="12821" max="12822" width="9.140625" style="3"/>
    <col min="12823" max="12823" width="11.28515625" style="3" customWidth="1"/>
    <col min="12824" max="12824" width="10.140625" style="3" customWidth="1"/>
    <col min="12825" max="12825" width="11.5703125" style="3" customWidth="1"/>
    <col min="12826" max="13062" width="9.140625" style="3"/>
    <col min="13063" max="13063" width="13.42578125" style="3" bestFit="1" customWidth="1"/>
    <col min="13064" max="13064" width="11.85546875" style="3" customWidth="1"/>
    <col min="13065" max="13065" width="13.85546875" style="3" customWidth="1"/>
    <col min="13066" max="13068" width="11.85546875" style="3" customWidth="1"/>
    <col min="13069" max="13069" width="11.28515625" style="3" customWidth="1"/>
    <col min="13070" max="13070" width="10.140625" style="3" customWidth="1"/>
    <col min="13071" max="13071" width="11.5703125" style="3" customWidth="1"/>
    <col min="13072" max="13073" width="9.140625" style="3"/>
    <col min="13074" max="13074" width="11.28515625" style="3" customWidth="1"/>
    <col min="13075" max="13075" width="10.140625" style="3" customWidth="1"/>
    <col min="13076" max="13076" width="11.5703125" style="3" customWidth="1"/>
    <col min="13077" max="13078" width="9.140625" style="3"/>
    <col min="13079" max="13079" width="11.28515625" style="3" customWidth="1"/>
    <col min="13080" max="13080" width="10.140625" style="3" customWidth="1"/>
    <col min="13081" max="13081" width="11.5703125" style="3" customWidth="1"/>
    <col min="13082" max="13318" width="9.140625" style="3"/>
    <col min="13319" max="13319" width="13.42578125" style="3" bestFit="1" customWidth="1"/>
    <col min="13320" max="13320" width="11.85546875" style="3" customWidth="1"/>
    <col min="13321" max="13321" width="13.85546875" style="3" customWidth="1"/>
    <col min="13322" max="13324" width="11.85546875" style="3" customWidth="1"/>
    <col min="13325" max="13325" width="11.28515625" style="3" customWidth="1"/>
    <col min="13326" max="13326" width="10.140625" style="3" customWidth="1"/>
    <col min="13327" max="13327" width="11.5703125" style="3" customWidth="1"/>
    <col min="13328" max="13329" width="9.140625" style="3"/>
    <col min="13330" max="13330" width="11.28515625" style="3" customWidth="1"/>
    <col min="13331" max="13331" width="10.140625" style="3" customWidth="1"/>
    <col min="13332" max="13332" width="11.5703125" style="3" customWidth="1"/>
    <col min="13333" max="13334" width="9.140625" style="3"/>
    <col min="13335" max="13335" width="11.28515625" style="3" customWidth="1"/>
    <col min="13336" max="13336" width="10.140625" style="3" customWidth="1"/>
    <col min="13337" max="13337" width="11.5703125" style="3" customWidth="1"/>
    <col min="13338" max="13574" width="9.140625" style="3"/>
    <col min="13575" max="13575" width="13.42578125" style="3" bestFit="1" customWidth="1"/>
    <col min="13576" max="13576" width="11.85546875" style="3" customWidth="1"/>
    <col min="13577" max="13577" width="13.85546875" style="3" customWidth="1"/>
    <col min="13578" max="13580" width="11.85546875" style="3" customWidth="1"/>
    <col min="13581" max="13581" width="11.28515625" style="3" customWidth="1"/>
    <col min="13582" max="13582" width="10.140625" style="3" customWidth="1"/>
    <col min="13583" max="13583" width="11.5703125" style="3" customWidth="1"/>
    <col min="13584" max="13585" width="9.140625" style="3"/>
    <col min="13586" max="13586" width="11.28515625" style="3" customWidth="1"/>
    <col min="13587" max="13587" width="10.140625" style="3" customWidth="1"/>
    <col min="13588" max="13588" width="11.5703125" style="3" customWidth="1"/>
    <col min="13589" max="13590" width="9.140625" style="3"/>
    <col min="13591" max="13591" width="11.28515625" style="3" customWidth="1"/>
    <col min="13592" max="13592" width="10.140625" style="3" customWidth="1"/>
    <col min="13593" max="13593" width="11.5703125" style="3" customWidth="1"/>
    <col min="13594" max="13830" width="9.140625" style="3"/>
    <col min="13831" max="13831" width="13.42578125" style="3" bestFit="1" customWidth="1"/>
    <col min="13832" max="13832" width="11.85546875" style="3" customWidth="1"/>
    <col min="13833" max="13833" width="13.85546875" style="3" customWidth="1"/>
    <col min="13834" max="13836" width="11.85546875" style="3" customWidth="1"/>
    <col min="13837" max="13837" width="11.28515625" style="3" customWidth="1"/>
    <col min="13838" max="13838" width="10.140625" style="3" customWidth="1"/>
    <col min="13839" max="13839" width="11.5703125" style="3" customWidth="1"/>
    <col min="13840" max="13841" width="9.140625" style="3"/>
    <col min="13842" max="13842" width="11.28515625" style="3" customWidth="1"/>
    <col min="13843" max="13843" width="10.140625" style="3" customWidth="1"/>
    <col min="13844" max="13844" width="11.5703125" style="3" customWidth="1"/>
    <col min="13845" max="13846" width="9.140625" style="3"/>
    <col min="13847" max="13847" width="11.28515625" style="3" customWidth="1"/>
    <col min="13848" max="13848" width="10.140625" style="3" customWidth="1"/>
    <col min="13849" max="13849" width="11.5703125" style="3" customWidth="1"/>
    <col min="13850" max="14086" width="9.140625" style="3"/>
    <col min="14087" max="14087" width="13.42578125" style="3" bestFit="1" customWidth="1"/>
    <col min="14088" max="14088" width="11.85546875" style="3" customWidth="1"/>
    <col min="14089" max="14089" width="13.85546875" style="3" customWidth="1"/>
    <col min="14090" max="14092" width="11.85546875" style="3" customWidth="1"/>
    <col min="14093" max="14093" width="11.28515625" style="3" customWidth="1"/>
    <col min="14094" max="14094" width="10.140625" style="3" customWidth="1"/>
    <col min="14095" max="14095" width="11.5703125" style="3" customWidth="1"/>
    <col min="14096" max="14097" width="9.140625" style="3"/>
    <col min="14098" max="14098" width="11.28515625" style="3" customWidth="1"/>
    <col min="14099" max="14099" width="10.140625" style="3" customWidth="1"/>
    <col min="14100" max="14100" width="11.5703125" style="3" customWidth="1"/>
    <col min="14101" max="14102" width="9.140625" style="3"/>
    <col min="14103" max="14103" width="11.28515625" style="3" customWidth="1"/>
    <col min="14104" max="14104" width="10.140625" style="3" customWidth="1"/>
    <col min="14105" max="14105" width="11.5703125" style="3" customWidth="1"/>
    <col min="14106" max="14342" width="9.140625" style="3"/>
    <col min="14343" max="14343" width="13.42578125" style="3" bestFit="1" customWidth="1"/>
    <col min="14344" max="14344" width="11.85546875" style="3" customWidth="1"/>
    <col min="14345" max="14345" width="13.85546875" style="3" customWidth="1"/>
    <col min="14346" max="14348" width="11.85546875" style="3" customWidth="1"/>
    <col min="14349" max="14349" width="11.28515625" style="3" customWidth="1"/>
    <col min="14350" max="14350" width="10.140625" style="3" customWidth="1"/>
    <col min="14351" max="14351" width="11.5703125" style="3" customWidth="1"/>
    <col min="14352" max="14353" width="9.140625" style="3"/>
    <col min="14354" max="14354" width="11.28515625" style="3" customWidth="1"/>
    <col min="14355" max="14355" width="10.140625" style="3" customWidth="1"/>
    <col min="14356" max="14356" width="11.5703125" style="3" customWidth="1"/>
    <col min="14357" max="14358" width="9.140625" style="3"/>
    <col min="14359" max="14359" width="11.28515625" style="3" customWidth="1"/>
    <col min="14360" max="14360" width="10.140625" style="3" customWidth="1"/>
    <col min="14361" max="14361" width="11.5703125" style="3" customWidth="1"/>
    <col min="14362" max="14598" width="9.140625" style="3"/>
    <col min="14599" max="14599" width="13.42578125" style="3" bestFit="1" customWidth="1"/>
    <col min="14600" max="14600" width="11.85546875" style="3" customWidth="1"/>
    <col min="14601" max="14601" width="13.85546875" style="3" customWidth="1"/>
    <col min="14602" max="14604" width="11.85546875" style="3" customWidth="1"/>
    <col min="14605" max="14605" width="11.28515625" style="3" customWidth="1"/>
    <col min="14606" max="14606" width="10.140625" style="3" customWidth="1"/>
    <col min="14607" max="14607" width="11.5703125" style="3" customWidth="1"/>
    <col min="14608" max="14609" width="9.140625" style="3"/>
    <col min="14610" max="14610" width="11.28515625" style="3" customWidth="1"/>
    <col min="14611" max="14611" width="10.140625" style="3" customWidth="1"/>
    <col min="14612" max="14612" width="11.5703125" style="3" customWidth="1"/>
    <col min="14613" max="14614" width="9.140625" style="3"/>
    <col min="14615" max="14615" width="11.28515625" style="3" customWidth="1"/>
    <col min="14616" max="14616" width="10.140625" style="3" customWidth="1"/>
    <col min="14617" max="14617" width="11.5703125" style="3" customWidth="1"/>
    <col min="14618" max="14854" width="9.140625" style="3"/>
    <col min="14855" max="14855" width="13.42578125" style="3" bestFit="1" customWidth="1"/>
    <col min="14856" max="14856" width="11.85546875" style="3" customWidth="1"/>
    <col min="14857" max="14857" width="13.85546875" style="3" customWidth="1"/>
    <col min="14858" max="14860" width="11.85546875" style="3" customWidth="1"/>
    <col min="14861" max="14861" width="11.28515625" style="3" customWidth="1"/>
    <col min="14862" max="14862" width="10.140625" style="3" customWidth="1"/>
    <col min="14863" max="14863" width="11.5703125" style="3" customWidth="1"/>
    <col min="14864" max="14865" width="9.140625" style="3"/>
    <col min="14866" max="14866" width="11.28515625" style="3" customWidth="1"/>
    <col min="14867" max="14867" width="10.140625" style="3" customWidth="1"/>
    <col min="14868" max="14868" width="11.5703125" style="3" customWidth="1"/>
    <col min="14869" max="14870" width="9.140625" style="3"/>
    <col min="14871" max="14871" width="11.28515625" style="3" customWidth="1"/>
    <col min="14872" max="14872" width="10.140625" style="3" customWidth="1"/>
    <col min="14873" max="14873" width="11.5703125" style="3" customWidth="1"/>
    <col min="14874" max="15110" width="9.140625" style="3"/>
    <col min="15111" max="15111" width="13.42578125" style="3" bestFit="1" customWidth="1"/>
    <col min="15112" max="15112" width="11.85546875" style="3" customWidth="1"/>
    <col min="15113" max="15113" width="13.85546875" style="3" customWidth="1"/>
    <col min="15114" max="15116" width="11.85546875" style="3" customWidth="1"/>
    <col min="15117" max="15117" width="11.28515625" style="3" customWidth="1"/>
    <col min="15118" max="15118" width="10.140625" style="3" customWidth="1"/>
    <col min="15119" max="15119" width="11.5703125" style="3" customWidth="1"/>
    <col min="15120" max="15121" width="9.140625" style="3"/>
    <col min="15122" max="15122" width="11.28515625" style="3" customWidth="1"/>
    <col min="15123" max="15123" width="10.140625" style="3" customWidth="1"/>
    <col min="15124" max="15124" width="11.5703125" style="3" customWidth="1"/>
    <col min="15125" max="15126" width="9.140625" style="3"/>
    <col min="15127" max="15127" width="11.28515625" style="3" customWidth="1"/>
    <col min="15128" max="15128" width="10.140625" style="3" customWidth="1"/>
    <col min="15129" max="15129" width="11.5703125" style="3" customWidth="1"/>
    <col min="15130" max="15366" width="9.140625" style="3"/>
    <col min="15367" max="15367" width="13.42578125" style="3" bestFit="1" customWidth="1"/>
    <col min="15368" max="15368" width="11.85546875" style="3" customWidth="1"/>
    <col min="15369" max="15369" width="13.85546875" style="3" customWidth="1"/>
    <col min="15370" max="15372" width="11.85546875" style="3" customWidth="1"/>
    <col min="15373" max="15373" width="11.28515625" style="3" customWidth="1"/>
    <col min="15374" max="15374" width="10.140625" style="3" customWidth="1"/>
    <col min="15375" max="15375" width="11.5703125" style="3" customWidth="1"/>
    <col min="15376" max="15377" width="9.140625" style="3"/>
    <col min="15378" max="15378" width="11.28515625" style="3" customWidth="1"/>
    <col min="15379" max="15379" width="10.140625" style="3" customWidth="1"/>
    <col min="15380" max="15380" width="11.5703125" style="3" customWidth="1"/>
    <col min="15381" max="15382" width="9.140625" style="3"/>
    <col min="15383" max="15383" width="11.28515625" style="3" customWidth="1"/>
    <col min="15384" max="15384" width="10.140625" style="3" customWidth="1"/>
    <col min="15385" max="15385" width="11.5703125" style="3" customWidth="1"/>
    <col min="15386" max="15622" width="9.140625" style="3"/>
    <col min="15623" max="15623" width="13.42578125" style="3" bestFit="1" customWidth="1"/>
    <col min="15624" max="15624" width="11.85546875" style="3" customWidth="1"/>
    <col min="15625" max="15625" width="13.85546875" style="3" customWidth="1"/>
    <col min="15626" max="15628" width="11.85546875" style="3" customWidth="1"/>
    <col min="15629" max="15629" width="11.28515625" style="3" customWidth="1"/>
    <col min="15630" max="15630" width="10.140625" style="3" customWidth="1"/>
    <col min="15631" max="15631" width="11.5703125" style="3" customWidth="1"/>
    <col min="15632" max="15633" width="9.140625" style="3"/>
    <col min="15634" max="15634" width="11.28515625" style="3" customWidth="1"/>
    <col min="15635" max="15635" width="10.140625" style="3" customWidth="1"/>
    <col min="15636" max="15636" width="11.5703125" style="3" customWidth="1"/>
    <col min="15637" max="15638" width="9.140625" style="3"/>
    <col min="15639" max="15639" width="11.28515625" style="3" customWidth="1"/>
    <col min="15640" max="15640" width="10.140625" style="3" customWidth="1"/>
    <col min="15641" max="15641" width="11.5703125" style="3" customWidth="1"/>
    <col min="15642" max="15878" width="9.140625" style="3"/>
    <col min="15879" max="15879" width="13.42578125" style="3" bestFit="1" customWidth="1"/>
    <col min="15880" max="15880" width="11.85546875" style="3" customWidth="1"/>
    <col min="15881" max="15881" width="13.85546875" style="3" customWidth="1"/>
    <col min="15882" max="15884" width="11.85546875" style="3" customWidth="1"/>
    <col min="15885" max="15885" width="11.28515625" style="3" customWidth="1"/>
    <col min="15886" max="15886" width="10.140625" style="3" customWidth="1"/>
    <col min="15887" max="15887" width="11.5703125" style="3" customWidth="1"/>
    <col min="15888" max="15889" width="9.140625" style="3"/>
    <col min="15890" max="15890" width="11.28515625" style="3" customWidth="1"/>
    <col min="15891" max="15891" width="10.140625" style="3" customWidth="1"/>
    <col min="15892" max="15892" width="11.5703125" style="3" customWidth="1"/>
    <col min="15893" max="15894" width="9.140625" style="3"/>
    <col min="15895" max="15895" width="11.28515625" style="3" customWidth="1"/>
    <col min="15896" max="15896" width="10.140625" style="3" customWidth="1"/>
    <col min="15897" max="15897" width="11.5703125" style="3" customWidth="1"/>
    <col min="15898" max="16134" width="9.140625" style="3"/>
    <col min="16135" max="16135" width="13.42578125" style="3" bestFit="1" customWidth="1"/>
    <col min="16136" max="16136" width="11.85546875" style="3" customWidth="1"/>
    <col min="16137" max="16137" width="13.85546875" style="3" customWidth="1"/>
    <col min="16138" max="16140" width="11.85546875" style="3" customWidth="1"/>
    <col min="16141" max="16141" width="11.28515625" style="3" customWidth="1"/>
    <col min="16142" max="16142" width="10.140625" style="3" customWidth="1"/>
    <col min="16143" max="16143" width="11.5703125" style="3" customWidth="1"/>
    <col min="16144" max="16145" width="9.140625" style="3"/>
    <col min="16146" max="16146" width="11.28515625" style="3" customWidth="1"/>
    <col min="16147" max="16147" width="10.140625" style="3" customWidth="1"/>
    <col min="16148" max="16148" width="11.5703125" style="3" customWidth="1"/>
    <col min="16149" max="16150" width="9.140625" style="3"/>
    <col min="16151" max="16151" width="11.28515625" style="3" customWidth="1"/>
    <col min="16152" max="16152" width="10.140625" style="3" customWidth="1"/>
    <col min="16153" max="16153" width="11.5703125" style="3" customWidth="1"/>
    <col min="16154" max="16384" width="9.140625" style="3"/>
  </cols>
  <sheetData>
    <row r="1" spans="1:31" x14ac:dyDescent="0.2">
      <c r="A1" s="1129"/>
      <c r="B1" s="1542" t="str">
        <f>parcelles!B1</f>
        <v>RETOUR AU SOMMAIRE</v>
      </c>
      <c r="C1" s="1543"/>
      <c r="D1" s="1543"/>
      <c r="E1" s="1477" t="s">
        <v>162</v>
      </c>
      <c r="F1" s="1478"/>
      <c r="G1" s="639"/>
      <c r="H1" s="639"/>
      <c r="I1" s="639"/>
      <c r="J1" s="639"/>
      <c r="K1" s="639"/>
      <c r="L1" s="639"/>
      <c r="M1" s="639"/>
      <c r="N1" s="640"/>
      <c r="O1" s="640"/>
      <c r="P1" s="640"/>
      <c r="Q1" s="641"/>
      <c r="R1" s="2"/>
      <c r="S1" s="2"/>
      <c r="T1" s="2"/>
      <c r="U1" s="2"/>
      <c r="V1" s="2"/>
      <c r="W1" s="2"/>
      <c r="X1" s="2"/>
      <c r="Y1" s="2"/>
      <c r="Z1" s="2"/>
      <c r="AA1" s="2"/>
      <c r="AB1" s="2"/>
      <c r="AC1" s="2"/>
      <c r="AD1" s="2"/>
      <c r="AE1" s="2"/>
    </row>
    <row r="2" spans="1:31" x14ac:dyDescent="0.2">
      <c r="A2" s="636"/>
      <c r="B2" s="637"/>
      <c r="C2" s="637"/>
      <c r="D2" s="637"/>
      <c r="E2" s="637"/>
      <c r="F2" s="637"/>
      <c r="G2" s="637"/>
      <c r="H2" s="637"/>
      <c r="I2" s="1576" t="s">
        <v>1503</v>
      </c>
      <c r="J2" s="1610"/>
      <c r="K2" s="7"/>
      <c r="L2" s="637"/>
      <c r="M2" s="637"/>
      <c r="N2" s="637"/>
      <c r="O2" s="637"/>
      <c r="P2" s="637"/>
      <c r="Q2" s="642"/>
      <c r="R2" s="21"/>
      <c r="T2" s="2"/>
      <c r="U2" s="2"/>
      <c r="V2" s="2"/>
      <c r="W2" s="2"/>
      <c r="X2" s="2"/>
      <c r="Y2" s="2"/>
      <c r="Z2" s="2"/>
      <c r="AA2" s="2"/>
      <c r="AB2" s="2"/>
      <c r="AC2" s="2"/>
      <c r="AD2" s="2"/>
      <c r="AE2" s="2"/>
    </row>
    <row r="3" spans="1:31" x14ac:dyDescent="0.2">
      <c r="A3" s="636"/>
      <c r="B3" s="1578" t="str">
        <f>parcelles!B50</f>
        <v xml:space="preserve">RENDEMENTS MOYENS CONVENTIONNELS (en tonnes/ha) : </v>
      </c>
      <c r="C3" s="1579"/>
      <c r="D3" s="1579"/>
      <c r="E3" s="1580"/>
      <c r="F3" s="638"/>
      <c r="G3" s="638"/>
      <c r="H3" s="637"/>
      <c r="I3" s="637"/>
      <c r="J3" s="637"/>
      <c r="K3" s="637"/>
      <c r="L3" s="637"/>
      <c r="M3" s="637"/>
      <c r="N3" s="637"/>
      <c r="O3" s="637"/>
      <c r="P3" s="637"/>
      <c r="Q3" s="642"/>
      <c r="R3" s="21"/>
      <c r="S3" s="2"/>
      <c r="T3" s="2"/>
      <c r="U3" s="2"/>
      <c r="V3" s="2"/>
      <c r="W3" s="2"/>
      <c r="X3" s="2"/>
      <c r="Y3" s="2"/>
      <c r="Z3" s="2"/>
      <c r="AA3" s="2"/>
      <c r="AB3" s="2"/>
      <c r="AC3" s="2"/>
      <c r="AD3" s="2"/>
      <c r="AE3" s="2"/>
    </row>
    <row r="4" spans="1:31" x14ac:dyDescent="0.2">
      <c r="A4" s="636"/>
      <c r="B4" s="637"/>
      <c r="C4" s="637"/>
      <c r="D4" s="637"/>
      <c r="E4" s="637"/>
      <c r="F4" s="637"/>
      <c r="G4" s="637"/>
      <c r="H4" s="637"/>
      <c r="I4" s="637"/>
      <c r="J4" s="637"/>
      <c r="K4" s="637"/>
      <c r="L4" s="637"/>
      <c r="M4" s="637"/>
      <c r="N4" s="637"/>
      <c r="O4" s="637"/>
      <c r="P4" s="637"/>
      <c r="Q4" s="642"/>
      <c r="R4" s="21"/>
      <c r="S4" s="2"/>
      <c r="T4" s="2"/>
      <c r="U4" s="2"/>
      <c r="V4" s="2"/>
      <c r="W4" s="2"/>
      <c r="X4" s="2"/>
      <c r="Y4" s="2"/>
      <c r="Z4" s="2"/>
      <c r="AA4" s="2"/>
      <c r="AB4" s="2"/>
      <c r="AC4" s="2"/>
      <c r="AD4" s="2"/>
      <c r="AE4" s="2"/>
    </row>
    <row r="5" spans="1:31" x14ac:dyDescent="0.2">
      <c r="A5" s="636"/>
      <c r="B5" s="637"/>
      <c r="C5" s="637"/>
      <c r="D5" s="637"/>
      <c r="E5" s="637"/>
      <c r="F5" s="637"/>
      <c r="G5" s="637"/>
      <c r="H5" s="637"/>
      <c r="I5" s="637"/>
      <c r="J5" s="637"/>
      <c r="K5" s="637"/>
      <c r="L5" s="637"/>
      <c r="M5" s="637"/>
      <c r="N5" s="637"/>
      <c r="O5" s="637"/>
      <c r="P5" s="637"/>
      <c r="Q5" s="642"/>
      <c r="R5" s="21"/>
      <c r="S5" s="2"/>
      <c r="T5" s="2"/>
      <c r="U5" s="2"/>
      <c r="V5" s="2"/>
      <c r="W5" s="2"/>
      <c r="X5" s="2"/>
      <c r="Y5" s="2"/>
      <c r="Z5" s="2"/>
      <c r="AA5" s="2"/>
      <c r="AB5" s="2"/>
      <c r="AC5" s="2"/>
      <c r="AD5" s="2"/>
      <c r="AE5" s="2"/>
    </row>
    <row r="6" spans="1:31" x14ac:dyDescent="0.2">
      <c r="A6" s="636"/>
      <c r="B6" s="637"/>
      <c r="C6" s="637"/>
      <c r="D6" s="637"/>
      <c r="E6" s="637"/>
      <c r="F6" s="637"/>
      <c r="G6" s="637"/>
      <c r="H6" s="637"/>
      <c r="I6" s="637"/>
      <c r="J6" s="637"/>
      <c r="K6" s="637"/>
      <c r="L6" s="637"/>
      <c r="M6" s="637"/>
      <c r="N6" s="637"/>
      <c r="O6" s="637"/>
      <c r="P6" s="637"/>
      <c r="Q6" s="642"/>
      <c r="R6" s="21"/>
      <c r="S6" s="2"/>
      <c r="T6" s="2"/>
      <c r="U6" s="2"/>
      <c r="V6" s="2"/>
      <c r="W6" s="2"/>
      <c r="X6" s="2"/>
      <c r="Y6" s="2"/>
      <c r="Z6" s="2"/>
      <c r="AA6" s="2"/>
      <c r="AB6" s="2"/>
      <c r="AC6" s="2"/>
      <c r="AD6" s="2"/>
      <c r="AE6" s="2"/>
    </row>
    <row r="7" spans="1:31" x14ac:dyDescent="0.2">
      <c r="A7" s="636"/>
      <c r="B7" s="505" t="str">
        <f>IF(OR($K$2=CANADA,$K$2=USA),"Provinces",IF($K$2="","","Régions"))</f>
        <v/>
      </c>
      <c r="C7" s="518" t="s">
        <v>1567</v>
      </c>
      <c r="D7" s="505" t="s">
        <v>1568</v>
      </c>
      <c r="E7" s="505" t="s">
        <v>1569</v>
      </c>
      <c r="F7" s="518" t="s">
        <v>1570</v>
      </c>
      <c r="G7" s="505" t="s">
        <v>1571</v>
      </c>
      <c r="H7" s="518" t="s">
        <v>1572</v>
      </c>
      <c r="I7" s="518" t="s">
        <v>1628</v>
      </c>
      <c r="J7" s="518" t="s">
        <v>1629</v>
      </c>
      <c r="K7" s="518" t="s">
        <v>1630</v>
      </c>
      <c r="L7" s="518" t="s">
        <v>1631</v>
      </c>
      <c r="M7" s="518" t="s">
        <v>1632</v>
      </c>
      <c r="N7" s="637"/>
      <c r="O7" s="637"/>
      <c r="P7" s="637"/>
      <c r="Q7" s="642"/>
      <c r="R7" s="21"/>
      <c r="T7" s="2"/>
      <c r="U7" s="2"/>
      <c r="V7" s="2"/>
      <c r="W7" s="2"/>
      <c r="X7" s="2"/>
      <c r="Y7" s="2"/>
      <c r="Z7" s="2"/>
      <c r="AA7" s="2"/>
      <c r="AB7" s="2"/>
      <c r="AC7" s="2"/>
      <c r="AD7" s="2"/>
      <c r="AE7" s="2"/>
    </row>
    <row r="8" spans="1:31" x14ac:dyDescent="0.2">
      <c r="A8" s="636"/>
      <c r="B8" s="537"/>
      <c r="C8" s="538"/>
      <c r="D8" s="538"/>
      <c r="E8" s="538"/>
      <c r="F8" s="538"/>
      <c r="G8" s="538"/>
      <c r="H8" s="538"/>
      <c r="I8" s="538"/>
      <c r="J8" s="538"/>
      <c r="K8" s="538"/>
      <c r="L8" s="538"/>
      <c r="M8" s="539"/>
      <c r="N8" s="637"/>
      <c r="O8" s="637"/>
      <c r="P8" s="637"/>
      <c r="Q8" s="642"/>
      <c r="R8" s="21"/>
      <c r="S8" s="2"/>
      <c r="T8" s="2"/>
      <c r="U8" s="2"/>
      <c r="V8" s="2"/>
      <c r="W8" s="2"/>
      <c r="X8" s="513"/>
      <c r="Y8" s="1611"/>
      <c r="Z8" s="1611"/>
      <c r="AA8" s="2"/>
      <c r="AB8" s="2"/>
      <c r="AC8" s="2"/>
      <c r="AD8" s="2"/>
      <c r="AE8" s="2"/>
    </row>
    <row r="9" spans="1:31" ht="15.75" customHeight="1" x14ac:dyDescent="0.2">
      <c r="A9" s="636"/>
      <c r="B9" s="510" t="str">
        <f>IF(K2="","",K2)</f>
        <v/>
      </c>
      <c r="C9" s="540"/>
      <c r="D9" s="541"/>
      <c r="E9" s="542"/>
      <c r="F9" s="707"/>
      <c r="G9" s="705"/>
      <c r="H9" s="705"/>
      <c r="I9" s="704"/>
      <c r="J9" s="704"/>
      <c r="K9" s="704"/>
      <c r="L9" s="704"/>
      <c r="M9" s="706"/>
      <c r="N9" s="637"/>
      <c r="O9" s="637"/>
      <c r="P9" s="637"/>
      <c r="Q9" s="642"/>
      <c r="R9" s="2"/>
      <c r="S9" s="2"/>
      <c r="T9" s="2"/>
      <c r="U9" s="2"/>
      <c r="V9" s="2"/>
      <c r="W9" s="2"/>
      <c r="X9" s="2"/>
      <c r="Y9" s="2"/>
      <c r="Z9" s="2"/>
      <c r="AA9" s="2"/>
      <c r="AB9" s="2"/>
      <c r="AC9" s="2"/>
      <c r="AD9" s="2"/>
      <c r="AE9" s="2"/>
    </row>
    <row r="10" spans="1:31" ht="25.5" customHeight="1" x14ac:dyDescent="0.2">
      <c r="A10" s="636"/>
      <c r="B10" s="514" t="str">
        <f>IF(K$2="","",IF(K$2=France,BDD!O41,IF(K$2=CANADA,BDD!O13,IF(K$2=Belgique,BDD!O65,IF(K$2=Suisse,BDD!O69,IF(K$2=USA,BDD!O25))))))</f>
        <v/>
      </c>
      <c r="C10" s="475" t="str">
        <f>IF($K$2="","",IF(B10="N.C.","N.C.",VLOOKUP(B10,BDD!$O$13:$AY$72,27,FALSE)))</f>
        <v/>
      </c>
      <c r="D10" s="543" t="str">
        <f>IF($K$2="","",IF(B10="N.C.","N.C.",VLOOKUP(B10,BDD!$O$13:$AY$72,28,FALSE)))</f>
        <v/>
      </c>
      <c r="E10" s="544" t="str">
        <f>IF($K$2="","",IF(B10="N.C.","N.C.",VLOOKUP(B10,BDD!$O$13:$AY$72,29,FALSE)))</f>
        <v/>
      </c>
      <c r="F10" s="544" t="str">
        <f>IF($K$2="","",IF(B10="N.C.","N.C.",VLOOKUP(B10,BDD!$O$13:$AY$72,30,FALSE)))</f>
        <v/>
      </c>
      <c r="G10" s="544" t="str">
        <f>IF($K$2="","",IF(B10="N.C.","N.C.",VLOOKUP(B10,BDD!$O$13:$AY$72,31,FALSE)))</f>
        <v/>
      </c>
      <c r="H10" s="544" t="str">
        <f>IF($K$2="","",IF(B10="N.C.","N.C.",VLOOKUP(B10,BDD!$O$13:$AY$72,32,FALSE)))</f>
        <v/>
      </c>
      <c r="I10" s="544" t="str">
        <f>IF($K$2="","",IF(B10="N.C.","N.C.",VLOOKUP(B10,BDD!$O$13:$AY$72,33,FALSE)))</f>
        <v/>
      </c>
      <c r="J10" s="544" t="str">
        <f>IF($K$2="","",IF(B10="N.C.","N.C.",VLOOKUP(B10,BDD!$O$13:$AY$72,34,FALSE)))</f>
        <v/>
      </c>
      <c r="K10" s="544" t="str">
        <f>IF($K$2="","",IF(B10="N.C.","N.C.",VLOOKUP(B10,BDD!$O$13:$AY$72,35,FALSE)))</f>
        <v/>
      </c>
      <c r="L10" s="544" t="str">
        <f>IF($K$2="","",IF(B10="N.C.","N.C.",VLOOKUP(B10,BDD!$O$13:$AY$72,36,FALSE)))</f>
        <v/>
      </c>
      <c r="M10" s="544" t="str">
        <f>IF($K$2="","",IF(B10="N.C.","N.C.",VLOOKUP(B10,BDD!$O$13:$AY$72,37,FALSE)))</f>
        <v/>
      </c>
      <c r="N10" s="637"/>
      <c r="O10" s="637"/>
      <c r="P10" s="637"/>
      <c r="Q10" s="642"/>
      <c r="R10" s="2"/>
      <c r="S10" s="2"/>
      <c r="T10" s="2"/>
      <c r="U10" s="2"/>
      <c r="V10" s="2"/>
      <c r="W10" s="2"/>
      <c r="X10" s="2"/>
      <c r="Y10" s="2"/>
      <c r="Z10" s="2"/>
      <c r="AA10" s="2"/>
      <c r="AB10" s="2"/>
      <c r="AC10" s="2"/>
      <c r="AD10" s="2"/>
      <c r="AE10" s="2"/>
    </row>
    <row r="11" spans="1:31" ht="25.5" customHeight="1" x14ac:dyDescent="0.2">
      <c r="A11" s="636"/>
      <c r="B11" s="514" t="str">
        <f>IF(K$2="","",IF(K$2=France,BDD!O42,IF(K$2=CANADA,BDD!O14,IF(K$2=Belgique,BDD!O66,IF(K$2=Suisse,BDD!O70,IF(K$2=USA,BDD!O26))))))</f>
        <v/>
      </c>
      <c r="C11" s="475" t="str">
        <f>IF($K$2="","",IF(B11="N.C.","N.C.",VLOOKUP(B11,BDD!$O$13:$AY$72,27,FALSE)))</f>
        <v/>
      </c>
      <c r="D11" s="543" t="str">
        <f>IF($K$2="","",IF(B11="N.C.","N.C.",VLOOKUP(B11,BDD!$O$13:$AY$72,28,FALSE)))</f>
        <v/>
      </c>
      <c r="E11" s="544" t="str">
        <f>IF($K$2="","",IF(B11="N.C.","N.C.",VLOOKUP(B11,BDD!$O$13:$AY$72,29,FALSE)))</f>
        <v/>
      </c>
      <c r="F11" s="544" t="str">
        <f>IF($K$2="","",IF(B11="N.C.","N.C.",VLOOKUP(B11,BDD!$O$13:$AY$72,30,FALSE)))</f>
        <v/>
      </c>
      <c r="G11" s="544" t="str">
        <f>IF($K$2="","",IF(B11="N.C.","N.C.",VLOOKUP(B11,BDD!$O$13:$AY$72,31,FALSE)))</f>
        <v/>
      </c>
      <c r="H11" s="544" t="str">
        <f>IF($K$2="","",IF(B11="N.C.","N.C.",VLOOKUP(B11,BDD!$O$13:$AY$72,32,FALSE)))</f>
        <v/>
      </c>
      <c r="I11" s="544" t="str">
        <f>IF($K$2="","",IF(B11="N.C.","N.C.",VLOOKUP(B11,BDD!$O$13:$AY$72,33,FALSE)))</f>
        <v/>
      </c>
      <c r="J11" s="544" t="str">
        <f>IF($K$2="","",IF(B11="N.C.","N.C.",VLOOKUP(B11,BDD!$O$13:$AY$72,34,FALSE)))</f>
        <v/>
      </c>
      <c r="K11" s="544" t="str">
        <f>IF($K$2="","",IF(B11="N.C.","N.C.",VLOOKUP(B11,BDD!$O$13:$AY$72,35,FALSE)))</f>
        <v/>
      </c>
      <c r="L11" s="544" t="str">
        <f>IF($K$2="","",IF(B11="N.C.","N.C.",VLOOKUP(B11,BDD!$O$13:$AY$72,36,FALSE)))</f>
        <v/>
      </c>
      <c r="M11" s="544" t="str">
        <f>IF($K$2="","",IF(B11="N.C.","N.C.",VLOOKUP(B11,BDD!$O$13:$AY$72,37,FALSE)))</f>
        <v/>
      </c>
      <c r="N11" s="637"/>
      <c r="O11" s="637"/>
      <c r="P11" s="637"/>
      <c r="Q11" s="642"/>
      <c r="R11" s="2"/>
      <c r="S11" s="2"/>
      <c r="T11" s="2"/>
      <c r="U11" s="2"/>
      <c r="V11" s="2"/>
      <c r="W11" s="2"/>
      <c r="X11" s="2"/>
      <c r="Y11" s="2"/>
      <c r="Z11" s="2"/>
      <c r="AA11" s="2"/>
      <c r="AB11" s="2"/>
      <c r="AC11" s="2"/>
      <c r="AD11" s="2"/>
      <c r="AE11" s="2"/>
    </row>
    <row r="12" spans="1:31" ht="25.5" customHeight="1" x14ac:dyDescent="0.2">
      <c r="A12" s="636"/>
      <c r="B12" s="514" t="str">
        <f>IF(K$2="","",IF(K$2=France,BDD!O43,IF(K$2=CANADA,BDD!O15,IF(K$2=Belgique,"",IF(K$2=Suisse,BDD!O71,IF(K$2=USA,BDD!O27))))))</f>
        <v/>
      </c>
      <c r="C12" s="475" t="str">
        <f>IF(B12="","",IF($K$2="","",IF(B12="N.C.","N.C.",VLOOKUP(B12,BDD!$O$13:$AY$72,27,FALSE))))</f>
        <v/>
      </c>
      <c r="D12" s="543" t="str">
        <f>IF(B12="","",IF($K$2="","",IF(B12="N.C.","N.C.",VLOOKUP(B12,BDD!$O$13:$AY$72,28,FALSE))))</f>
        <v/>
      </c>
      <c r="E12" s="544" t="str">
        <f>IF(B12="","",IF($K$2="","",IF(B12="N.C.","N.C.",VLOOKUP(B12,BDD!$O$13:$AY$72,29,FALSE))))</f>
        <v/>
      </c>
      <c r="F12" s="544" t="str">
        <f>IF(B12="","",IF($K$2="","",IF(B12="N.C.","N.C.",VLOOKUP(B12,BDD!$O$13:$AY$72,30,FALSE))))</f>
        <v/>
      </c>
      <c r="G12" s="544" t="str">
        <f>IF(B12="","",IF($K$2="","",IF(B12="N.C.","N.C.",VLOOKUP(B12,BDD!$O$13:$AY$72,31,FALSE))))</f>
        <v/>
      </c>
      <c r="H12" s="544" t="str">
        <f>IF(B12="","",IF($K$2="","",IF(B12="N.C.","N.C.",VLOOKUP(B12,BDD!$O$13:$AY$72,32,FALSE))))</f>
        <v/>
      </c>
      <c r="I12" s="544" t="str">
        <f>IF(B12="","",IF($K$2="","",IF(B12="N.C.","N.C.",VLOOKUP(B12,BDD!$O$13:$AY$72,33,FALSE))))</f>
        <v/>
      </c>
      <c r="J12" s="544" t="str">
        <f>IF(B12="","",IF($K$2="","",IF(B12="N.C.","N.C.",VLOOKUP(B12,BDD!$O$13:$AY$72,34,FALSE))))</f>
        <v/>
      </c>
      <c r="K12" s="544" t="str">
        <f>IF(B12="","",IF($K$2="","",IF(B12="N.C.","N.C.",VLOOKUP(B12,BDD!$O$13:$AY$72,35,FALSE))))</f>
        <v/>
      </c>
      <c r="L12" s="544" t="str">
        <f>IF(B12="","",IF($K$2="","",IF(B12="N.C.","N.C.",VLOOKUP(B12,BDD!$O$13:$AY$72,36,FALSE))))</f>
        <v/>
      </c>
      <c r="M12" s="544" t="str">
        <f>IF(B12="","",IF($K$2="","",IF(B12="N.C.","N.C.",VLOOKUP(B12,BDD!$O$13:$AY$72,37,FALSE))))</f>
        <v/>
      </c>
      <c r="N12" s="637"/>
      <c r="O12" s="637"/>
      <c r="P12" s="637"/>
      <c r="Q12" s="642"/>
      <c r="R12" s="2"/>
      <c r="S12" s="2"/>
      <c r="T12" s="2"/>
      <c r="U12" s="2"/>
      <c r="V12" s="2"/>
      <c r="W12" s="2"/>
      <c r="X12" s="2"/>
      <c r="Y12" s="2"/>
      <c r="Z12" s="2"/>
      <c r="AA12" s="2"/>
      <c r="AB12" s="2"/>
      <c r="AC12" s="2"/>
      <c r="AD12" s="2"/>
      <c r="AE12" s="2"/>
    </row>
    <row r="13" spans="1:31" ht="26.25" customHeight="1" x14ac:dyDescent="0.2">
      <c r="A13" s="636"/>
      <c r="B13" s="514" t="str">
        <f>IF(K$2="","",IF(K$2=France,BDD!O44,IF(K$2=CANADA,BDD!O16,IF(K$2=Belgique,"",IF(K$2=Suisse,"",IF(K$2=USA,BDD!O28))))))</f>
        <v/>
      </c>
      <c r="C13" s="475" t="str">
        <f>IF(B13="","",IF($K$2="","",IF(B13="N.C.","N.C.",VLOOKUP(B13,BDD!$O$13:$AY$72,27,FALSE))))</f>
        <v/>
      </c>
      <c r="D13" s="543" t="str">
        <f>IF(B13="","",IF($K$2="","",IF(B13="N.C.","N.C.",VLOOKUP(B13,BDD!$O$13:$AY$72,28,FALSE))))</f>
        <v/>
      </c>
      <c r="E13" s="544" t="str">
        <f>IF(B13="","",IF($K$2="","",IF(B13="N.C.","N.C.",VLOOKUP(B13,BDD!$O$13:$AY$72,29,FALSE))))</f>
        <v/>
      </c>
      <c r="F13" s="544" t="str">
        <f>IF(B13="","",IF($K$2="","",IF(B13="N.C.","N.C.",VLOOKUP(B13,BDD!$O$13:$AY$72,30,FALSE))))</f>
        <v/>
      </c>
      <c r="G13" s="544" t="str">
        <f>IF(B13="","",IF($K$2="","",IF(B13="N.C.","N.C.",VLOOKUP(B13,BDD!$O$13:$AY$72,31,FALSE))))</f>
        <v/>
      </c>
      <c r="H13" s="544" t="str">
        <f>IF(B13="","",IF($K$2="","",IF(B13="N.C.","N.C.",VLOOKUP(B13,BDD!$O$13:$AY$72,32,FALSE))))</f>
        <v/>
      </c>
      <c r="I13" s="544" t="str">
        <f>IF(B13="","",IF($K$2="","",IF(B13="N.C.","N.C.",VLOOKUP(B13,BDD!$O$13:$AY$72,33,FALSE))))</f>
        <v/>
      </c>
      <c r="J13" s="544" t="str">
        <f>IF(B13="","",IF($K$2="","",IF(B13="N.C.","N.C.",VLOOKUP(B13,BDD!$O$13:$AY$72,34,FALSE))))</f>
        <v/>
      </c>
      <c r="K13" s="544" t="str">
        <f>IF(B13="","",IF($K$2="","",IF(B13="N.C.","N.C.",VLOOKUP(B13,BDD!$O$13:$AY$72,35,FALSE))))</f>
        <v/>
      </c>
      <c r="L13" s="544" t="str">
        <f>IF(B13="","",IF($K$2="","",IF(B13="N.C.","N.C.",VLOOKUP(B13,BDD!$O$13:$AY$72,36,FALSE))))</f>
        <v/>
      </c>
      <c r="M13" s="544" t="str">
        <f>IF(B13="","",IF($K$2="","",IF(B13="N.C.","N.C.",VLOOKUP(B13,BDD!$O$13:$AY$72,37,FALSE))))</f>
        <v/>
      </c>
      <c r="N13" s="637"/>
      <c r="O13" s="637"/>
      <c r="P13" s="637"/>
      <c r="Q13" s="642"/>
      <c r="R13" s="2"/>
      <c r="S13" s="2"/>
      <c r="T13" s="2"/>
      <c r="U13" s="2"/>
      <c r="V13" s="2"/>
      <c r="W13" s="2"/>
      <c r="X13" s="2"/>
      <c r="Y13" s="2"/>
      <c r="Z13" s="2"/>
      <c r="AA13" s="2"/>
      <c r="AB13" s="2"/>
      <c r="AC13" s="2"/>
      <c r="AD13" s="2"/>
      <c r="AE13" s="2"/>
    </row>
    <row r="14" spans="1:31" x14ac:dyDescent="0.2">
      <c r="A14" s="636"/>
      <c r="B14" s="514" t="str">
        <f>IF(K$2="","",IF(K$2=France,BDD!O45,IF(K$2=CANADA,BDD!O17,IF(K$2=Belgique,"",IF(K$2=Suisse,"",IF(K$2=USA,BDD!O29))))))</f>
        <v/>
      </c>
      <c r="C14" s="475" t="str">
        <f>IF(B14="","",IF($K$2="","",IF(B14="N.C.","N.C.",VLOOKUP(B14,BDD!$O$13:$AY$72,27,FALSE))))</f>
        <v/>
      </c>
      <c r="D14" s="543" t="str">
        <f>IF(B14="","",IF($K$2="","",IF(B14="N.C.","N.C.",VLOOKUP(B14,BDD!$O$13:$AY$72,28,FALSE))))</f>
        <v/>
      </c>
      <c r="E14" s="544" t="str">
        <f>IF(B14="","",IF($K$2="","",IF(B14="N.C.","N.C.",VLOOKUP(B14,BDD!$O$13:$AY$72,29,FALSE))))</f>
        <v/>
      </c>
      <c r="F14" s="544" t="str">
        <f>IF(B14="","",IF($K$2="","",IF(B14="N.C.","N.C.",VLOOKUP(B14,BDD!$O$13:$AY$72,30,FALSE))))</f>
        <v/>
      </c>
      <c r="G14" s="544" t="str">
        <f>IF(B14="","",IF($K$2="","",IF(B14="N.C.","N.C.",VLOOKUP(B14,BDD!$O$13:$AY$72,31,FALSE))))</f>
        <v/>
      </c>
      <c r="H14" s="544" t="str">
        <f>IF(B14="","",IF($K$2="","",IF(B14="N.C.","N.C.",VLOOKUP(B14,BDD!$O$13:$AY$72,32,FALSE))))</f>
        <v/>
      </c>
      <c r="I14" s="544" t="str">
        <f>IF(B14="","",IF($K$2="","",IF(B14="N.C.","N.C.",VLOOKUP(B14,BDD!$O$13:$AY$72,33,FALSE))))</f>
        <v/>
      </c>
      <c r="J14" s="544" t="str">
        <f>IF(B14="","",IF($K$2="","",IF(B14="N.C.","N.C.",VLOOKUP(B14,BDD!$O$13:$AY$72,34,FALSE))))</f>
        <v/>
      </c>
      <c r="K14" s="544" t="str">
        <f>IF(B14="","",IF($K$2="","",IF(B14="N.C.","N.C.",VLOOKUP(B14,BDD!$O$13:$AY$72,35,FALSE))))</f>
        <v/>
      </c>
      <c r="L14" s="544" t="str">
        <f>IF(B14="","",IF($K$2="","",IF(B14="N.C.","N.C.",VLOOKUP(B14,BDD!$O$13:$AY$72,36,FALSE))))</f>
        <v/>
      </c>
      <c r="M14" s="544" t="str">
        <f>IF(B14="","",IF($K$2="","",IF(B14="N.C.","N.C.",VLOOKUP(B14,BDD!$O$13:$AY$72,37,FALSE))))</f>
        <v/>
      </c>
      <c r="N14" s="637"/>
      <c r="O14" s="637"/>
      <c r="P14" s="637"/>
      <c r="Q14" s="642"/>
      <c r="R14" s="2"/>
      <c r="S14" s="2"/>
      <c r="T14" s="2"/>
      <c r="U14" s="2"/>
      <c r="V14" s="2"/>
      <c r="W14" s="2"/>
      <c r="X14" s="2"/>
      <c r="Y14" s="2"/>
      <c r="Z14" s="2"/>
      <c r="AA14" s="2"/>
      <c r="AB14" s="2"/>
      <c r="AC14" s="2"/>
      <c r="AD14" s="2"/>
      <c r="AE14" s="2"/>
    </row>
    <row r="15" spans="1:31" x14ac:dyDescent="0.2">
      <c r="A15" s="636"/>
      <c r="B15" s="514" t="str">
        <f>IF(K$2="","",IF(K$2=France,BDD!O46,IF(K$2=CANADA,BDD!O18,IF(K$2=Belgique,"",IF(K$2=Suisse,"",IF(K$2=USA,BDD!O30))))))</f>
        <v/>
      </c>
      <c r="C15" s="475" t="str">
        <f>IF(B15="","",IF($K$2="","",IF(B15="N.C.","N.C.",VLOOKUP(B15,BDD!$O$13:$AY$72,27,FALSE))))</f>
        <v/>
      </c>
      <c r="D15" s="543" t="str">
        <f>IF(B15="","",IF($K$2="","",IF(B15="N.C.","N.C.",VLOOKUP(B15,BDD!$O$13:$AY$72,28,FALSE))))</f>
        <v/>
      </c>
      <c r="E15" s="544" t="str">
        <f>IF(B15="","",IF($K$2="","",IF(B15="N.C.","N.C.",VLOOKUP(B15,BDD!$O$13:$AY$72,29,FALSE))))</f>
        <v/>
      </c>
      <c r="F15" s="544" t="str">
        <f>IF(B15="","",IF($K$2="","",IF(B15="N.C.","N.C.",VLOOKUP(B15,BDD!$O$13:$AY$72,30,FALSE))))</f>
        <v/>
      </c>
      <c r="G15" s="544" t="str">
        <f>IF(B15="","",IF($K$2="","",IF(B15="N.C.","N.C.",VLOOKUP(B15,BDD!$O$13:$AY$72,31,FALSE))))</f>
        <v/>
      </c>
      <c r="H15" s="544" t="str">
        <f>IF(B15="","",IF($K$2="","",IF(B15="N.C.","N.C.",VLOOKUP(B15,BDD!$O$13:$AY$72,32,FALSE))))</f>
        <v/>
      </c>
      <c r="I15" s="544" t="str">
        <f>IF(B15="","",IF($K$2="","",IF(B15="N.C.","N.C.",VLOOKUP(B15,BDD!$O$13:$AY$72,33,FALSE))))</f>
        <v/>
      </c>
      <c r="J15" s="544" t="str">
        <f>IF(B15="","",IF($K$2="","",IF(B15="N.C.","N.C.",VLOOKUP(B15,BDD!$O$13:$AY$72,34,FALSE))))</f>
        <v/>
      </c>
      <c r="K15" s="544" t="str">
        <f>IF(B15="","",IF($K$2="","",IF(B15="N.C.","N.C.",VLOOKUP(B15,BDD!$O$13:$AY$72,35,FALSE))))</f>
        <v/>
      </c>
      <c r="L15" s="544" t="str">
        <f>IF(B15="","",IF($K$2="","",IF(B15="N.C.","N.C.",VLOOKUP(B15,BDD!$O$13:$AY$72,36,FALSE))))</f>
        <v/>
      </c>
      <c r="M15" s="544" t="str">
        <f>IF(B15="","",IF($K$2="","",IF(B15="N.C.","N.C.",VLOOKUP(B15,BDD!$O$13:$AY$72,37,FALSE))))</f>
        <v/>
      </c>
      <c r="N15" s="637"/>
      <c r="O15" s="637"/>
      <c r="P15" s="637"/>
      <c r="Q15" s="642"/>
      <c r="R15" s="2"/>
      <c r="S15" s="2"/>
      <c r="T15" s="2"/>
      <c r="U15" s="2"/>
      <c r="V15" s="2"/>
      <c r="W15" s="2"/>
      <c r="X15" s="2"/>
      <c r="Y15" s="2"/>
      <c r="Z15" s="2"/>
      <c r="AA15" s="2"/>
      <c r="AB15" s="2"/>
      <c r="AC15" s="2"/>
      <c r="AD15" s="2"/>
      <c r="AE15" s="2"/>
    </row>
    <row r="16" spans="1:31" x14ac:dyDescent="0.2">
      <c r="A16" s="636"/>
      <c r="B16" s="514" t="str">
        <f>IF(K$2="","",IF(K$2=France,BDD!O47,IF(K$2=CANADA,BDD!O19,IF(K$2=Belgique,"",IF(K$2=Suisse,"",IF(K$2=USA,BDD!O31))))))</f>
        <v/>
      </c>
      <c r="C16" s="475" t="str">
        <f>IF(B16="","",IF($K$2="","",IF(B16="N.C.","N.C.",VLOOKUP(B16,BDD!$O$13:$AY$72,27,FALSE))))</f>
        <v/>
      </c>
      <c r="D16" s="543" t="str">
        <f>IF(B16="","",IF($K$2="","",IF(B16="N.C.","N.C.",VLOOKUP(B16,BDD!$O$13:$AY$72,28,FALSE))))</f>
        <v/>
      </c>
      <c r="E16" s="544" t="str">
        <f>IF(B16="","",IF($K$2="","",IF(B16="N.C.","N.C.",VLOOKUP(B16,BDD!$O$13:$AY$72,29,FALSE))))</f>
        <v/>
      </c>
      <c r="F16" s="544" t="str">
        <f>IF(B16="","",IF($K$2="","",IF(B16="N.C.","N.C.",VLOOKUP(B16,BDD!$O$13:$AY$72,30,FALSE))))</f>
        <v/>
      </c>
      <c r="G16" s="544" t="str">
        <f>IF(B16="","",IF($K$2="","",IF(B16="N.C.","N.C.",VLOOKUP(B16,BDD!$O$13:$AY$72,31,FALSE))))</f>
        <v/>
      </c>
      <c r="H16" s="544" t="str">
        <f>IF(B16="","",IF($K$2="","",IF(B16="N.C.","N.C.",VLOOKUP(B16,BDD!$O$13:$AY$72,32,FALSE))))</f>
        <v/>
      </c>
      <c r="I16" s="544" t="str">
        <f>IF(B16="","",IF($K$2="","",IF(B16="N.C.","N.C.",VLOOKUP(B16,BDD!$O$13:$AY$72,33,FALSE))))</f>
        <v/>
      </c>
      <c r="J16" s="544" t="str">
        <f>IF(B16="","",IF($K$2="","",IF(B16="N.C.","N.C.",VLOOKUP(B16,BDD!$O$13:$AY$72,34,FALSE))))</f>
        <v/>
      </c>
      <c r="K16" s="544" t="str">
        <f>IF(B16="","",IF($K$2="","",IF(B16="N.C.","N.C.",VLOOKUP(B16,BDD!$O$13:$AY$72,35,FALSE))))</f>
        <v/>
      </c>
      <c r="L16" s="544" t="str">
        <f>IF(B16="","",IF($K$2="","",IF(B16="N.C.","N.C.",VLOOKUP(B16,BDD!$O$13:$AY$72,36,FALSE))))</f>
        <v/>
      </c>
      <c r="M16" s="544" t="str">
        <f>IF(B16="","",IF($K$2="","",IF(B16="N.C.","N.C.",VLOOKUP(B16,BDD!$O$13:$AY$72,37,FALSE))))</f>
        <v/>
      </c>
      <c r="N16" s="637"/>
      <c r="O16" s="637"/>
      <c r="P16" s="637"/>
      <c r="Q16" s="642"/>
      <c r="R16" s="2"/>
      <c r="S16" s="2"/>
      <c r="T16" s="2"/>
      <c r="U16" s="2"/>
      <c r="V16" s="2"/>
      <c r="W16" s="2"/>
      <c r="X16" s="2"/>
      <c r="Y16" s="2"/>
      <c r="Z16" s="2"/>
      <c r="AA16" s="2"/>
      <c r="AB16" s="2"/>
      <c r="AC16" s="2"/>
      <c r="AD16" s="2"/>
      <c r="AE16" s="2"/>
    </row>
    <row r="17" spans="1:31" ht="25.5" customHeight="1" x14ac:dyDescent="0.2">
      <c r="A17" s="636"/>
      <c r="B17" s="514" t="str">
        <f>IF(K$2="","",IF(K$2=France,BDD!O48,IF(K$2=CANADA,BDD!O20,IF(K$2=Belgique,"",IF(K$2=Suisse,"",IF(K$2=USA,""))))))</f>
        <v/>
      </c>
      <c r="C17" s="475" t="str">
        <f>IF(B17="","",IF($K$2="","",IF(B17="N.C.","N.C.",VLOOKUP(B17,BDD!$O$13:$AY$72,27,FALSE))))</f>
        <v/>
      </c>
      <c r="D17" s="543" t="str">
        <f>IF(B17="","",IF($K$2="","",IF(B17="N.C.","N.C.",VLOOKUP(B17,BDD!$O$13:$AY$72,28,FALSE))))</f>
        <v/>
      </c>
      <c r="E17" s="544" t="str">
        <f>IF(B17="","",IF($K$2="","",IF(B17="N.C.","N.C.",VLOOKUP(B17,BDD!$O$13:$AY$72,29,FALSE))))</f>
        <v/>
      </c>
      <c r="F17" s="544" t="str">
        <f>IF(B17="","",IF($K$2="","",IF(B17="N.C.","N.C.",VLOOKUP(B17,BDD!$O$13:$AY$72,30,FALSE))))</f>
        <v/>
      </c>
      <c r="G17" s="544" t="str">
        <f>IF(B17="","",IF($K$2="","",IF(B17="N.C.","N.C.",VLOOKUP(B17,BDD!$O$13:$AY$72,31,FALSE))))</f>
        <v/>
      </c>
      <c r="H17" s="544" t="str">
        <f>IF(B17="","",IF($K$2="","",IF(B17="N.C.","N.C.",VLOOKUP(B17,BDD!$O$13:$AY$72,32,FALSE))))</f>
        <v/>
      </c>
      <c r="I17" s="544" t="str">
        <f>IF(B17="","",IF($K$2="","",IF(B17="N.C.","N.C.",VLOOKUP(B17,BDD!$O$13:$AY$72,33,FALSE))))</f>
        <v/>
      </c>
      <c r="J17" s="544" t="str">
        <f>IF(B17="","",IF($K$2="","",IF(B17="N.C.","N.C.",VLOOKUP(B17,BDD!$O$13:$AY$72,34,FALSE))))</f>
        <v/>
      </c>
      <c r="K17" s="544" t="str">
        <f>IF(B17="","",IF($K$2="","",IF(B17="N.C.","N.C.",VLOOKUP(B17,BDD!$O$13:$AY$72,35,FALSE))))</f>
        <v/>
      </c>
      <c r="L17" s="544" t="str">
        <f>IF(B17="","",IF($K$2="","",IF(B17="N.C.","N.C.",VLOOKUP(B17,BDD!$O$13:$AY$72,36,FALSE))))</f>
        <v/>
      </c>
      <c r="M17" s="544" t="str">
        <f>IF(B17="","",IF($K$2="","",IF(B17="N.C.","N.C.",VLOOKUP(B17,BDD!$O$13:$AY$72,37,FALSE))))</f>
        <v/>
      </c>
      <c r="N17" s="637"/>
      <c r="O17" s="644"/>
      <c r="P17" s="637"/>
      <c r="Q17" s="642"/>
      <c r="R17" s="2"/>
      <c r="S17" s="2"/>
      <c r="T17" s="2"/>
      <c r="U17" s="2"/>
      <c r="V17" s="2"/>
      <c r="W17" s="2"/>
      <c r="X17" s="2"/>
      <c r="Y17" s="2"/>
      <c r="Z17" s="2"/>
      <c r="AA17" s="2"/>
      <c r="AB17" s="2"/>
      <c r="AC17" s="2"/>
      <c r="AD17" s="2"/>
      <c r="AE17" s="2"/>
    </row>
    <row r="18" spans="1:31" x14ac:dyDescent="0.2">
      <c r="A18" s="636"/>
      <c r="B18" s="514" t="str">
        <f>IF(K$2="","",IF(K$2=France,BDD!O49,IF(K$2=CANADA,BDD!O21,IF(K$2=Belgique,"",IF(K$2=Suisse,"",IF(K$2=USA,""))))))</f>
        <v/>
      </c>
      <c r="C18" s="475" t="str">
        <f>IF(B18="","",IF($K$2="","",IF(B18="N.C.","N.C.",VLOOKUP(B18,BDD!$O$13:$AY$72,27,FALSE))))</f>
        <v/>
      </c>
      <c r="D18" s="543" t="str">
        <f>IF(B18="","",IF($K$2="","",IF(B18="N.C.","N.C.",VLOOKUP(B18,BDD!$O$13:$AY$72,28,FALSE))))</f>
        <v/>
      </c>
      <c r="E18" s="544" t="str">
        <f>IF(B18="","",IF($K$2="","",IF(B18="N.C.","N.C.",VLOOKUP(B18,BDD!$O$13:$AY$72,29,FALSE))))</f>
        <v/>
      </c>
      <c r="F18" s="544" t="str">
        <f>IF(B18="","",IF($K$2="","",IF(B18="N.C.","N.C.",VLOOKUP(B18,BDD!$O$13:$AY$72,30,FALSE))))</f>
        <v/>
      </c>
      <c r="G18" s="544" t="str">
        <f>IF(B18="","",IF($K$2="","",IF(B18="N.C.","N.C.",VLOOKUP(B18,BDD!$O$13:$AY$72,31,FALSE))))</f>
        <v/>
      </c>
      <c r="H18" s="544" t="str">
        <f>IF(B18="","",IF($K$2="","",IF(B18="N.C.","N.C.",VLOOKUP(B18,BDD!$O$13:$AY$72,32,FALSE))))</f>
        <v/>
      </c>
      <c r="I18" s="544" t="str">
        <f>IF(B18="","",IF($K$2="","",IF(B18="N.C.","N.C.",VLOOKUP(B18,BDD!$O$13:$AY$72,33,FALSE))))</f>
        <v/>
      </c>
      <c r="J18" s="544" t="str">
        <f>IF(B18="","",IF($K$2="","",IF(B18="N.C.","N.C.",VLOOKUP(B18,BDD!$O$13:$AY$72,34,FALSE))))</f>
        <v/>
      </c>
      <c r="K18" s="544" t="str">
        <f>IF(B18="","",IF($K$2="","",IF(B18="N.C.","N.C.",VLOOKUP(B18,BDD!$O$13:$AY$72,35,FALSE))))</f>
        <v/>
      </c>
      <c r="L18" s="544" t="str">
        <f>IF(B18="","",IF($K$2="","",IF(B18="N.C.","N.C.",VLOOKUP(B18,BDD!$O$13:$AY$72,36,FALSE))))</f>
        <v/>
      </c>
      <c r="M18" s="544" t="str">
        <f>IF(B18="","",IF($K$2="","",IF(B18="N.C.","N.C.",VLOOKUP(B18,BDD!$O$13:$AY$72,37,FALSE))))</f>
        <v/>
      </c>
      <c r="N18" s="637"/>
      <c r="O18" s="637"/>
      <c r="P18" s="637"/>
      <c r="Q18" s="642"/>
      <c r="R18" s="2"/>
      <c r="S18" s="2"/>
      <c r="T18" s="2"/>
      <c r="U18" s="2"/>
      <c r="V18" s="2"/>
      <c r="W18" s="2"/>
      <c r="X18" s="2"/>
      <c r="Y18" s="2"/>
      <c r="Z18" s="2"/>
      <c r="AA18" s="2"/>
      <c r="AB18" s="2"/>
      <c r="AC18" s="2"/>
      <c r="AD18" s="2"/>
      <c r="AE18" s="2"/>
    </row>
    <row r="19" spans="1:31" ht="26.25" customHeight="1" x14ac:dyDescent="0.2">
      <c r="A19" s="636"/>
      <c r="B19" s="514" t="str">
        <f>IF(K$2="","",IF(K$2=France,BDD!O50,IF(K$2=CANADA,BDD!O22,IF(K$2=Belgique,"",IF(K$2=Suisse,"",IF(K$2=USA,""))))))</f>
        <v/>
      </c>
      <c r="C19" s="475" t="str">
        <f>IF(B19="","",IF($K$2="","",IF(B19="N.C.","N.C.",VLOOKUP(B19,BDD!$O$13:$AY$72,27,FALSE))))</f>
        <v/>
      </c>
      <c r="D19" s="543" t="str">
        <f>IF(B19="","",IF($K$2="","",IF(B19="N.C.","N.C.",VLOOKUP(B19,BDD!$O$13:$AY$72,28,FALSE))))</f>
        <v/>
      </c>
      <c r="E19" s="544" t="str">
        <f>IF(B19="","",IF($K$2="","",IF(B19="N.C.","N.C.",VLOOKUP(B19,BDD!$O$13:$AY$72,29,FALSE))))</f>
        <v/>
      </c>
      <c r="F19" s="544" t="str">
        <f>IF(B19="","",IF($K$2="","",IF(B19="N.C.","N.C.",VLOOKUP(B19,BDD!$O$13:$AY$72,30,FALSE))))</f>
        <v/>
      </c>
      <c r="G19" s="544" t="str">
        <f>IF(B19="","",IF($K$2="","",IF(B19="N.C.","N.C.",VLOOKUP(B19,BDD!$O$13:$AY$72,31,FALSE))))</f>
        <v/>
      </c>
      <c r="H19" s="544" t="str">
        <f>IF(B19="","",IF($K$2="","",IF(B19="N.C.","N.C.",VLOOKUP(B19,BDD!$O$13:$AY$72,32,FALSE))))</f>
        <v/>
      </c>
      <c r="I19" s="544" t="str">
        <f>IF(B19="","",IF($K$2="","",IF(B19="N.C.","N.C.",VLOOKUP(B19,BDD!$O$13:$AY$72,33,FALSE))))</f>
        <v/>
      </c>
      <c r="J19" s="544" t="str">
        <f>IF(B19="","",IF($K$2="","",IF(B19="N.C.","N.C.",VLOOKUP(B19,BDD!$O$13:$AY$72,34,FALSE))))</f>
        <v/>
      </c>
      <c r="K19" s="544" t="str">
        <f>IF(B19="","",IF($K$2="","",IF(B19="N.C.","N.C.",VLOOKUP(B19,BDD!$O$13:$AY$72,35,FALSE))))</f>
        <v/>
      </c>
      <c r="L19" s="544" t="str">
        <f>IF(B19="","",IF($K$2="","",IF(B19="N.C.","N.C.",VLOOKUP(B19,BDD!$O$13:$AY$72,36,FALSE))))</f>
        <v/>
      </c>
      <c r="M19" s="544" t="str">
        <f>IF(B19="","",IF($K$2="","",IF(B19="N.C.","N.C.",VLOOKUP(B19,BDD!$O$13:$AY$72,37,FALSE))))</f>
        <v/>
      </c>
      <c r="N19" s="637"/>
      <c r="O19" s="637"/>
      <c r="P19" s="637"/>
      <c r="Q19" s="642"/>
      <c r="R19" s="2"/>
      <c r="S19" s="2"/>
      <c r="T19" s="2"/>
      <c r="U19" s="2"/>
      <c r="V19" s="2"/>
      <c r="W19" s="2"/>
      <c r="X19" s="2"/>
      <c r="Y19" s="2"/>
      <c r="Z19" s="2"/>
      <c r="AA19" s="2"/>
      <c r="AB19" s="2"/>
      <c r="AC19" s="2"/>
      <c r="AD19" s="2"/>
      <c r="AE19" s="2"/>
    </row>
    <row r="20" spans="1:31" ht="26.25" customHeight="1" x14ac:dyDescent="0.2">
      <c r="A20" s="636"/>
      <c r="B20" s="514" t="str">
        <f>IF(K$2="","",IF(K$2=France,BDD!O51,IF(K$2=CANADA,"",IF(K$2=Belgique,"",IF(K$2=Suisse,"",IF(K$2=USA,""))))))</f>
        <v/>
      </c>
      <c r="C20" s="475" t="str">
        <f>IF(B20="","",IF($K$2="","",IF(B20="N.C.","N.C.",VLOOKUP(B20,BDD!$O$13:$AY$72,27,FALSE))))</f>
        <v/>
      </c>
      <c r="D20" s="543" t="str">
        <f>IF(B20="","",IF($K$2="","",IF(B20="N.C.","N.C.",VLOOKUP(B20,BDD!$O$13:$AY$72,28,FALSE))))</f>
        <v/>
      </c>
      <c r="E20" s="544" t="str">
        <f>IF(B20="","",IF($K$2="","",IF(B20="N.C.","N.C.",VLOOKUP(B20,BDD!$O$13:$AY$72,29,FALSE))))</f>
        <v/>
      </c>
      <c r="F20" s="544" t="str">
        <f>IF(B20="","",IF($K$2="","",IF(B20="N.C.","N.C.",VLOOKUP(B20,BDD!$O$13:$AY$72,30,FALSE))))</f>
        <v/>
      </c>
      <c r="G20" s="544" t="str">
        <f>IF(B20="","",IF($K$2="","",IF(B20="N.C.","N.C.",VLOOKUP(B20,BDD!$O$13:$AY$72,31,FALSE))))</f>
        <v/>
      </c>
      <c r="H20" s="544" t="str">
        <f>IF(B20="","",IF($K$2="","",IF(B20="N.C.","N.C.",VLOOKUP(B20,BDD!$O$13:$AY$72,32,FALSE))))</f>
        <v/>
      </c>
      <c r="I20" s="544" t="str">
        <f>IF(B20="","",IF($K$2="","",IF(B20="N.C.","N.C.",VLOOKUP(B20,BDD!$O$13:$AY$72,33,FALSE))))</f>
        <v/>
      </c>
      <c r="J20" s="544" t="str">
        <f>IF(B20="","",IF($K$2="","",IF(B20="N.C.","N.C.",VLOOKUP(B20,BDD!$O$13:$AY$72,34,FALSE))))</f>
        <v/>
      </c>
      <c r="K20" s="544" t="str">
        <f>IF(B20="","",IF($K$2="","",IF(B20="N.C.","N.C.",VLOOKUP(B20,BDD!$O$13:$AY$72,35,FALSE))))</f>
        <v/>
      </c>
      <c r="L20" s="544" t="str">
        <f>IF(B20="","",IF($K$2="","",IF(B20="N.C.","N.C.",VLOOKUP(B20,BDD!$O$13:$AY$72,36,FALSE))))</f>
        <v/>
      </c>
      <c r="M20" s="544" t="str">
        <f>IF(B20="","",IF($K$2="","",IF(B20="N.C.","N.C.",VLOOKUP(B20,BDD!$O$13:$AY$72,37,FALSE))))</f>
        <v/>
      </c>
      <c r="N20" s="637"/>
      <c r="O20" s="637"/>
      <c r="P20" s="637"/>
      <c r="Q20" s="642"/>
      <c r="R20" s="2"/>
      <c r="S20" s="2"/>
      <c r="T20" s="2"/>
      <c r="U20" s="2"/>
      <c r="V20" s="2"/>
      <c r="W20" s="2"/>
      <c r="X20" s="2"/>
      <c r="Y20" s="2"/>
      <c r="Z20" s="2"/>
      <c r="AA20" s="2"/>
      <c r="AB20" s="2"/>
      <c r="AC20" s="2"/>
      <c r="AD20" s="2"/>
      <c r="AE20" s="2"/>
    </row>
    <row r="21" spans="1:31" x14ac:dyDescent="0.2">
      <c r="A21" s="636"/>
      <c r="B21" s="514" t="str">
        <f>IF(K$2="","",IF(K$2=France,BDD!O52,IF(K$2=CANADA,"",IF(K$2=Belgique,"",IF(K$2=Suisse,"",IF(K$2=USA,""))))))</f>
        <v/>
      </c>
      <c r="C21" s="475" t="str">
        <f>IF(B21="","",IF($K$2="","",IF(B21="N.C.","N.C.",VLOOKUP(B21,BDD!$O$13:$AY$72,27,FALSE))))</f>
        <v/>
      </c>
      <c r="D21" s="543" t="str">
        <f>IF(B21="","",IF($K$2="","",IF(B21="N.C.","N.C.",VLOOKUP(B21,BDD!$O$13:$AY$72,28,FALSE))))</f>
        <v/>
      </c>
      <c r="E21" s="544" t="str">
        <f>IF(B21="","",IF($K$2="","",IF(B21="N.C.","N.C.",VLOOKUP(B21,BDD!$O$13:$AY$72,29,FALSE))))</f>
        <v/>
      </c>
      <c r="F21" s="544" t="str">
        <f>IF(B21="","",IF($K$2="","",IF(B21="N.C.","N.C.",VLOOKUP(B21,BDD!$O$13:$AY$72,30,FALSE))))</f>
        <v/>
      </c>
      <c r="G21" s="544" t="str">
        <f>IF(B21="","",IF($K$2="","",IF(B21="N.C.","N.C.",VLOOKUP(B21,BDD!$O$13:$AY$72,31,FALSE))))</f>
        <v/>
      </c>
      <c r="H21" s="544" t="str">
        <f>IF(B21="","",IF($K$2="","",IF(B21="N.C.","N.C.",VLOOKUP(B21,BDD!$O$13:$AY$72,32,FALSE))))</f>
        <v/>
      </c>
      <c r="I21" s="544" t="str">
        <f>IF(B21="","",IF($K$2="","",IF(B21="N.C.","N.C.",VLOOKUP(B21,BDD!$O$13:$AY$72,33,FALSE))))</f>
        <v/>
      </c>
      <c r="J21" s="544" t="str">
        <f>IF(B21="","",IF($K$2="","",IF(B21="N.C.","N.C.",VLOOKUP(B21,BDD!$O$13:$AY$72,34,FALSE))))</f>
        <v/>
      </c>
      <c r="K21" s="544" t="str">
        <f>IF(B21="","",IF($K$2="","",IF(B21="N.C.","N.C.",VLOOKUP(B21,BDD!$O$13:$AY$72,35,FALSE))))</f>
        <v/>
      </c>
      <c r="L21" s="544" t="str">
        <f>IF(B21="","",IF($K$2="","",IF(B21="N.C.","N.C.",VLOOKUP(B21,BDD!$O$13:$AY$72,36,FALSE))))</f>
        <v/>
      </c>
      <c r="M21" s="544" t="str">
        <f>IF(B21="","",IF($K$2="","",IF(B21="N.C.","N.C.",VLOOKUP(B21,BDD!$O$13:$AY$72,37,FALSE))))</f>
        <v/>
      </c>
      <c r="N21" s="637"/>
      <c r="O21" s="637"/>
      <c r="P21" s="637"/>
      <c r="Q21" s="642"/>
      <c r="R21" s="2"/>
      <c r="S21" s="2"/>
      <c r="T21" s="2"/>
      <c r="U21" s="2"/>
      <c r="V21" s="2"/>
      <c r="W21" s="2"/>
      <c r="X21" s="2"/>
      <c r="Y21" s="2"/>
      <c r="Z21" s="2"/>
      <c r="AA21" s="2"/>
      <c r="AB21" s="2"/>
      <c r="AC21" s="2"/>
      <c r="AD21" s="2"/>
      <c r="AE21" s="2"/>
    </row>
    <row r="22" spans="1:31" ht="26.25" customHeight="1" x14ac:dyDescent="0.2">
      <c r="A22" s="636"/>
      <c r="B22" s="514" t="str">
        <f>IF(K$2="","",IF(K$2=France,BDD!O53,IF(K$2=CANADA,"",IF(K$2=Belgique,"",IF(K$2=Suisse,"",IF(K$2=USA,""))))))</f>
        <v/>
      </c>
      <c r="C22" s="475" t="str">
        <f>IF(B22="","",IF($K$2="","",IF(B22="N.C.","N.C.",VLOOKUP(B22,BDD!$O$13:$AY$72,27,FALSE))))</f>
        <v/>
      </c>
      <c r="D22" s="543" t="str">
        <f>IF(B22="","",IF($K$2="","",IF(B22="N.C.","N.C.",VLOOKUP(B22,BDD!$O$13:$AY$72,28,FALSE))))</f>
        <v/>
      </c>
      <c r="E22" s="544" t="str">
        <f>IF(B22="","",IF($K$2="","",IF(B22="N.C.","N.C.",VLOOKUP(B22,BDD!$O$13:$AY$72,29,FALSE))))</f>
        <v/>
      </c>
      <c r="F22" s="544" t="str">
        <f>IF(B22="","",IF($K$2="","",IF(B22="N.C.","N.C.",VLOOKUP(B22,BDD!$O$13:$AY$72,30,FALSE))))</f>
        <v/>
      </c>
      <c r="G22" s="544" t="str">
        <f>IF(B22="","",IF($K$2="","",IF(B22="N.C.","N.C.",VLOOKUP(B22,BDD!$O$13:$AY$72,31,FALSE))))</f>
        <v/>
      </c>
      <c r="H22" s="544" t="str">
        <f>IF(B22="","",IF($K$2="","",IF(B22="N.C.","N.C.",VLOOKUP(B22,BDD!$O$13:$AY$72,32,FALSE))))</f>
        <v/>
      </c>
      <c r="I22" s="544" t="str">
        <f>IF(B22="","",IF($K$2="","",IF(B22="N.C.","N.C.",VLOOKUP(B22,BDD!$O$13:$AY$72,33,FALSE))))</f>
        <v/>
      </c>
      <c r="J22" s="544" t="str">
        <f>IF(B22="","",IF($K$2="","",IF(B22="N.C.","N.C.",VLOOKUP(B22,BDD!$O$13:$AY$72,34,FALSE))))</f>
        <v/>
      </c>
      <c r="K22" s="544" t="str">
        <f>IF(B22="","",IF($K$2="","",IF(B22="N.C.","N.C.",VLOOKUP(B22,BDD!$O$13:$AY$72,35,FALSE))))</f>
        <v/>
      </c>
      <c r="L22" s="544" t="str">
        <f>IF(B22="","",IF($K$2="","",IF(B22="N.C.","N.C.",VLOOKUP(B22,BDD!$O$13:$AY$72,36,FALSE))))</f>
        <v/>
      </c>
      <c r="M22" s="544" t="str">
        <f>IF(B22="","",IF($K$2="","",IF(B22="N.C.","N.C.",VLOOKUP(B22,BDD!$O$13:$AY$72,37,FALSE))))</f>
        <v/>
      </c>
      <c r="N22" s="637"/>
      <c r="O22" s="637"/>
      <c r="P22" s="637"/>
      <c r="Q22" s="642"/>
      <c r="R22" s="2"/>
      <c r="S22" s="2"/>
      <c r="T22" s="2"/>
      <c r="U22" s="2"/>
      <c r="V22" s="2"/>
      <c r="W22" s="2"/>
      <c r="X22" s="2"/>
      <c r="Y22" s="2"/>
      <c r="Z22" s="2"/>
      <c r="AA22" s="2"/>
      <c r="AB22" s="2"/>
      <c r="AC22" s="2"/>
      <c r="AD22" s="2"/>
      <c r="AE22" s="2"/>
    </row>
    <row r="23" spans="1:31" x14ac:dyDescent="0.2">
      <c r="A23" s="636"/>
      <c r="B23" s="514" t="str">
        <f>IF(K$2="","",IF(K$2=France,BDD!O54,IF(K$2=CANADA,"",IF(K$2=Belgique,"",IF(K$2=Suisse,"",IF(K$2=USA,""))))))</f>
        <v/>
      </c>
      <c r="C23" s="475" t="str">
        <f>IF(B23="","",IF($K$2="","",IF(B23="N.C.","N.C.",VLOOKUP(B23,BDD!$O$13:$AY$72,27,FALSE))))</f>
        <v/>
      </c>
      <c r="D23" s="543" t="str">
        <f>IF(B23="","",IF($K$2="","",IF(B23="N.C.","N.C.",VLOOKUP(B23,BDD!$O$13:$AY$72,28,FALSE))))</f>
        <v/>
      </c>
      <c r="E23" s="544" t="str">
        <f>IF(B23="","",IF($K$2="","",IF(B23="N.C.","N.C.",VLOOKUP(B23,BDD!$O$13:$AY$72,29,FALSE))))</f>
        <v/>
      </c>
      <c r="F23" s="544" t="str">
        <f>IF(B23="","",IF($K$2="","",IF(B23="N.C.","N.C.",VLOOKUP(B23,BDD!$O$13:$AY$72,30,FALSE))))</f>
        <v/>
      </c>
      <c r="G23" s="544" t="str">
        <f>IF(B23="","",IF($K$2="","",IF(B23="N.C.","N.C.",VLOOKUP(B23,BDD!$O$13:$AY$72,31,FALSE))))</f>
        <v/>
      </c>
      <c r="H23" s="544" t="str">
        <f>IF(B23="","",IF($K$2="","",IF(B23="N.C.","N.C.",VLOOKUP(B23,BDD!$O$13:$AY$72,32,FALSE))))</f>
        <v/>
      </c>
      <c r="I23" s="544" t="str">
        <f>IF(B23="","",IF($K$2="","",IF(B23="N.C.","N.C.",VLOOKUP(B23,BDD!$O$13:$AY$72,33,FALSE))))</f>
        <v/>
      </c>
      <c r="J23" s="544" t="str">
        <f>IF(B23="","",IF($K$2="","",IF(B23="N.C.","N.C.",VLOOKUP(B23,BDD!$O$13:$AY$72,34,FALSE))))</f>
        <v/>
      </c>
      <c r="K23" s="544" t="str">
        <f>IF(B23="","",IF($K$2="","",IF(B23="N.C.","N.C.",VLOOKUP(B23,BDD!$O$13:$AY$72,35,FALSE))))</f>
        <v/>
      </c>
      <c r="L23" s="544" t="str">
        <f>IF(B23="","",IF($K$2="","",IF(B23="N.C.","N.C.",VLOOKUP(B23,BDD!$O$13:$AY$72,36,FALSE))))</f>
        <v/>
      </c>
      <c r="M23" s="544" t="str">
        <f>IF(B23="","",IF($K$2="","",IF(B23="N.C.","N.C.",VLOOKUP(B23,BDD!$O$13:$AY$72,37,FALSE))))</f>
        <v/>
      </c>
      <c r="N23" s="637"/>
      <c r="O23" s="637"/>
      <c r="P23" s="637"/>
      <c r="Q23" s="642"/>
      <c r="R23" s="2"/>
      <c r="S23" s="2"/>
      <c r="T23" s="2"/>
      <c r="U23" s="2"/>
      <c r="V23" s="2"/>
      <c r="W23" s="2"/>
      <c r="X23" s="2"/>
      <c r="Y23" s="2"/>
      <c r="Z23" s="2"/>
      <c r="AA23" s="2"/>
      <c r="AB23" s="2"/>
      <c r="AC23" s="2"/>
      <c r="AD23" s="2"/>
      <c r="AE23" s="2"/>
    </row>
    <row r="24" spans="1:31" x14ac:dyDescent="0.2">
      <c r="A24" s="636"/>
      <c r="B24" s="514" t="str">
        <f>IF(K$2="","",IF(K$2=France,BDD!O55,IF(K$2=CANADA,"",IF(K$2=Belgique,"",IF(K$2=Suisse,"",IF(K$2=USA,""))))))</f>
        <v/>
      </c>
      <c r="C24" s="475" t="str">
        <f>IF(B24="","",IF($K$2="","",IF(B24="N.C.","N.C.",VLOOKUP(B24,BDD!$O$13:$AY$72,27,FALSE))))</f>
        <v/>
      </c>
      <c r="D24" s="543" t="str">
        <f>IF(B24="","",IF($K$2="","",IF(B24="N.C.","N.C.",VLOOKUP(B24,BDD!$O$13:$AY$72,28,FALSE))))</f>
        <v/>
      </c>
      <c r="E24" s="544" t="str">
        <f>IF(B24="","",IF($K$2="","",IF(B24="N.C.","N.C.",VLOOKUP(B24,BDD!$O$13:$AY$72,29,FALSE))))</f>
        <v/>
      </c>
      <c r="F24" s="544" t="str">
        <f>IF(B24="","",IF($K$2="","",IF(B24="N.C.","N.C.",VLOOKUP(B24,BDD!$O$13:$AY$72,30,FALSE))))</f>
        <v/>
      </c>
      <c r="G24" s="544" t="str">
        <f>IF(B24="","",IF($K$2="","",IF(B24="N.C.","N.C.",VLOOKUP(B24,BDD!$O$13:$AY$72,31,FALSE))))</f>
        <v/>
      </c>
      <c r="H24" s="544" t="str">
        <f>IF(B24="","",IF($K$2="","",IF(B24="N.C.","N.C.",VLOOKUP(B24,BDD!$O$13:$AY$72,32,FALSE))))</f>
        <v/>
      </c>
      <c r="I24" s="544" t="str">
        <f>IF(B24="","",IF($K$2="","",IF(B24="N.C.","N.C.",VLOOKUP(B24,BDD!$O$13:$AY$72,33,FALSE))))</f>
        <v/>
      </c>
      <c r="J24" s="544" t="str">
        <f>IF(B24="","",IF($K$2="","",IF(B24="N.C.","N.C.",VLOOKUP(B24,BDD!$O$13:$AY$72,34,FALSE))))</f>
        <v/>
      </c>
      <c r="K24" s="544" t="str">
        <f>IF(B24="","",IF($K$2="","",IF(B24="N.C.","N.C.",VLOOKUP(B24,BDD!$O$13:$AY$72,35,FALSE))))</f>
        <v/>
      </c>
      <c r="L24" s="544" t="str">
        <f>IF(B24="","",IF($K$2="","",IF(B24="N.C.","N.C.",VLOOKUP(B24,BDD!$O$13:$AY$72,36,FALSE))))</f>
        <v/>
      </c>
      <c r="M24" s="544" t="str">
        <f>IF(B24="","",IF($K$2="","",IF(B24="N.C.","N.C.",VLOOKUP(B24,BDD!$O$13:$AY$72,37,FALSE))))</f>
        <v/>
      </c>
      <c r="N24" s="637"/>
      <c r="O24" s="637"/>
      <c r="P24" s="637"/>
      <c r="Q24" s="642"/>
      <c r="R24" s="2"/>
      <c r="S24" s="2"/>
      <c r="T24" s="2"/>
      <c r="U24" s="2"/>
      <c r="V24" s="2"/>
      <c r="W24" s="2"/>
      <c r="X24" s="2"/>
      <c r="Y24" s="2"/>
      <c r="Z24" s="2"/>
      <c r="AA24" s="2"/>
      <c r="AB24" s="2"/>
      <c r="AC24" s="2"/>
      <c r="AD24" s="2"/>
      <c r="AE24" s="2"/>
    </row>
    <row r="25" spans="1:31" x14ac:dyDescent="0.2">
      <c r="A25" s="636"/>
      <c r="B25" s="514" t="str">
        <f>IF(K$2="","",IF(K$2=France,BDD!O56,IF(K$2=CANADA,"",IF(K$2=Belgique,"",IF(K$2=Suisse,"",IF(K$2=USA,""))))))</f>
        <v/>
      </c>
      <c r="C25" s="475" t="str">
        <f>IF(B25="","",IF($K$2="","",IF(B25="N.C.","N.C.",VLOOKUP(B25,BDD!$O$13:$AY$72,27,FALSE))))</f>
        <v/>
      </c>
      <c r="D25" s="543" t="str">
        <f>IF(B25="","",IF($K$2="","",IF(B25="N.C.","N.C.",VLOOKUP(B25,BDD!$O$13:$AY$72,28,FALSE))))</f>
        <v/>
      </c>
      <c r="E25" s="544" t="str">
        <f>IF(B25="","",IF($K$2="","",IF(B25="N.C.","N.C.",VLOOKUP(B25,BDD!$O$13:$AY$72,29,FALSE))))</f>
        <v/>
      </c>
      <c r="F25" s="544" t="str">
        <f>IF(B25="","",IF($K$2="","",IF(B25="N.C.","N.C.",VLOOKUP(B25,BDD!$O$13:$AY$72,30,FALSE))))</f>
        <v/>
      </c>
      <c r="G25" s="544" t="str">
        <f>IF(B25="","",IF($K$2="","",IF(B25="N.C.","N.C.",VLOOKUP(B25,BDD!$O$13:$AY$72,31,FALSE))))</f>
        <v/>
      </c>
      <c r="H25" s="544" t="str">
        <f>IF(B25="","",IF($K$2="","",IF(B25="N.C.","N.C.",VLOOKUP(B25,BDD!$O$13:$AY$72,32,FALSE))))</f>
        <v/>
      </c>
      <c r="I25" s="544" t="str">
        <f>IF(B25="","",IF($K$2="","",IF(B25="N.C.","N.C.",VLOOKUP(B25,BDD!$O$13:$AY$72,33,FALSE))))</f>
        <v/>
      </c>
      <c r="J25" s="544" t="str">
        <f>IF(B25="","",IF($K$2="","",IF(B25="N.C.","N.C.",VLOOKUP(B25,BDD!$O$13:$AY$72,34,FALSE))))</f>
        <v/>
      </c>
      <c r="K25" s="544" t="str">
        <f>IF(B25="","",IF($K$2="","",IF(B25="N.C.","N.C.",VLOOKUP(B25,BDD!$O$13:$AY$72,35,FALSE))))</f>
        <v/>
      </c>
      <c r="L25" s="544" t="str">
        <f>IF(B25="","",IF($K$2="","",IF(B25="N.C.","N.C.",VLOOKUP(B25,BDD!$O$13:$AY$72,36,FALSE))))</f>
        <v/>
      </c>
      <c r="M25" s="544" t="str">
        <f>IF(B25="","",IF($K$2="","",IF(B25="N.C.","N.C.",VLOOKUP(B25,BDD!$O$13:$AY$72,37,FALSE))))</f>
        <v/>
      </c>
      <c r="N25" s="637"/>
      <c r="O25" s="637"/>
      <c r="P25" s="637"/>
      <c r="Q25" s="642"/>
      <c r="R25" s="2"/>
      <c r="S25" s="2"/>
      <c r="T25" s="2"/>
      <c r="U25" s="2"/>
      <c r="V25" s="2"/>
      <c r="W25" s="2"/>
      <c r="X25" s="2"/>
      <c r="Y25" s="2"/>
      <c r="Z25" s="2"/>
      <c r="AA25" s="2"/>
      <c r="AB25" s="2"/>
      <c r="AC25" s="2"/>
      <c r="AD25" s="2"/>
      <c r="AE25" s="2"/>
    </row>
    <row r="26" spans="1:31" x14ac:dyDescent="0.2">
      <c r="A26" s="636"/>
      <c r="B26" s="514" t="str">
        <f>IF(K$2="","",IF(K$2=France,BDD!O57,IF(K$2=CANADA,"",IF(K$2=Belgique,"",IF(K$2=Suisse,"",IF(K$2=USA,""))))))</f>
        <v/>
      </c>
      <c r="C26" s="475" t="str">
        <f>IF(B26="","",IF($K$2="","",IF(B26="N.C.","N.C.",VLOOKUP(B26,BDD!$O$13:$AY$72,27,FALSE))))</f>
        <v/>
      </c>
      <c r="D26" s="543" t="str">
        <f>IF(B26="","",IF($K$2="","",IF(B26="N.C.","N.C.",VLOOKUP(B26,BDD!$O$13:$AY$72,28,FALSE))))</f>
        <v/>
      </c>
      <c r="E26" s="544" t="str">
        <f>IF(B26="","",IF($K$2="","",IF(B26="N.C.","N.C.",VLOOKUP(B26,BDD!$O$13:$AY$72,29,FALSE))))</f>
        <v/>
      </c>
      <c r="F26" s="544" t="str">
        <f>IF(B26="","",IF($K$2="","",IF(B26="N.C.","N.C.",VLOOKUP(B26,BDD!$O$13:$AY$72,30,FALSE))))</f>
        <v/>
      </c>
      <c r="G26" s="544" t="str">
        <f>IF(B26="","",IF($K$2="","",IF(B26="N.C.","N.C.",VLOOKUP(B26,BDD!$O$13:$AY$72,31,FALSE))))</f>
        <v/>
      </c>
      <c r="H26" s="544" t="str">
        <f>IF(B26="","",IF($K$2="","",IF(B26="N.C.","N.C.",VLOOKUP(B26,BDD!$O$13:$AY$72,32,FALSE))))</f>
        <v/>
      </c>
      <c r="I26" s="544" t="str">
        <f>IF(B26="","",IF($K$2="","",IF(B26="N.C.","N.C.",VLOOKUP(B26,BDD!$O$13:$AY$72,33,FALSE))))</f>
        <v/>
      </c>
      <c r="J26" s="544" t="str">
        <f>IF(B26="","",IF($K$2="","",IF(B26="N.C.","N.C.",VLOOKUP(B26,BDD!$O$13:$AY$72,34,FALSE))))</f>
        <v/>
      </c>
      <c r="K26" s="544" t="str">
        <f>IF(B26="","",IF($K$2="","",IF(B26="N.C.","N.C.",VLOOKUP(B26,BDD!$O$13:$AY$72,35,FALSE))))</f>
        <v/>
      </c>
      <c r="L26" s="544" t="str">
        <f>IF(B26="","",IF($K$2="","",IF(B26="N.C.","N.C.",VLOOKUP(B26,BDD!$O$13:$AY$72,36,FALSE))))</f>
        <v/>
      </c>
      <c r="M26" s="544" t="str">
        <f>IF(B26="","",IF($K$2="","",IF(B26="N.C.","N.C.",VLOOKUP(B26,BDD!$O$13:$AY$72,37,FALSE))))</f>
        <v/>
      </c>
      <c r="N26" s="637"/>
      <c r="O26" s="637"/>
      <c r="P26" s="637"/>
      <c r="Q26" s="642"/>
      <c r="R26" s="2"/>
      <c r="S26" s="2"/>
      <c r="T26" s="2"/>
      <c r="U26" s="2"/>
      <c r="V26" s="2"/>
      <c r="W26" s="2"/>
      <c r="X26" s="2"/>
      <c r="Y26" s="2"/>
      <c r="Z26" s="2"/>
      <c r="AA26" s="2"/>
      <c r="AB26" s="2"/>
      <c r="AC26" s="2"/>
      <c r="AD26" s="2"/>
      <c r="AE26" s="2"/>
    </row>
    <row r="27" spans="1:31" x14ac:dyDescent="0.2">
      <c r="A27" s="636"/>
      <c r="B27" s="514" t="str">
        <f>IF(K$2="","",IF(K$2=France,BDD!O58,IF(K$2=CANADA,"",IF(K$2=Belgique,"",IF(K$2=Suisse,"",IF(K$2=USA,""))))))</f>
        <v/>
      </c>
      <c r="C27" s="475" t="str">
        <f>IF(B27="","",IF($K$2="","",IF(B27="N.C.","N.C.",VLOOKUP(B27,BDD!$O$13:$AY$72,27,FALSE))))</f>
        <v/>
      </c>
      <c r="D27" s="543" t="str">
        <f>IF(B27="","",IF($K$2="","",IF(B27="N.C.","N.C.",VLOOKUP(B27,BDD!$O$13:$AY$72,28,FALSE))))</f>
        <v/>
      </c>
      <c r="E27" s="544" t="str">
        <f>IF(B27="","",IF($K$2="","",IF(B27="N.C.","N.C.",VLOOKUP(B27,BDD!$O$13:$AY$72,29,FALSE))))</f>
        <v/>
      </c>
      <c r="F27" s="544" t="str">
        <f>IF(B27="","",IF($K$2="","",IF(B27="N.C.","N.C.",VLOOKUP(B27,BDD!$O$13:$AY$72,30,FALSE))))</f>
        <v/>
      </c>
      <c r="G27" s="544" t="str">
        <f>IF(B27="","",IF($K$2="","",IF(B27="N.C.","N.C.",VLOOKUP(B27,BDD!$O$13:$AY$72,31,FALSE))))</f>
        <v/>
      </c>
      <c r="H27" s="544" t="str">
        <f>IF(B27="","",IF($K$2="","",IF(B27="N.C.","N.C.",VLOOKUP(B27,BDD!$O$13:$AY$72,32,FALSE))))</f>
        <v/>
      </c>
      <c r="I27" s="544" t="str">
        <f>IF(B27="","",IF($K$2="","",IF(B27="N.C.","N.C.",VLOOKUP(B27,BDD!$O$13:$AY$72,33,FALSE))))</f>
        <v/>
      </c>
      <c r="J27" s="544" t="str">
        <f>IF(B27="","",IF($K$2="","",IF(B27="N.C.","N.C.",VLOOKUP(B27,BDD!$O$13:$AY$72,34,FALSE))))</f>
        <v/>
      </c>
      <c r="K27" s="544" t="str">
        <f>IF(B27="","",IF($K$2="","",IF(B27="N.C.","N.C.",VLOOKUP(B27,BDD!$O$13:$AY$72,35,FALSE))))</f>
        <v/>
      </c>
      <c r="L27" s="544" t="str">
        <f>IF(B27="","",IF($K$2="","",IF(B27="N.C.","N.C.",VLOOKUP(B27,BDD!$O$13:$AY$72,36,FALSE))))</f>
        <v/>
      </c>
      <c r="M27" s="544" t="str">
        <f>IF(B27="","",IF($K$2="","",IF(B27="N.C.","N.C.",VLOOKUP(B27,BDD!$O$13:$AY$72,37,FALSE))))</f>
        <v/>
      </c>
      <c r="N27" s="637"/>
      <c r="O27" s="637"/>
      <c r="P27" s="637"/>
      <c r="Q27" s="642"/>
      <c r="R27" s="2"/>
      <c r="S27" s="2"/>
      <c r="T27" s="2"/>
      <c r="U27" s="2"/>
      <c r="V27" s="2"/>
      <c r="W27" s="2"/>
      <c r="X27" s="2"/>
      <c r="Y27" s="2"/>
      <c r="Z27" s="2"/>
      <c r="AA27" s="2"/>
      <c r="AB27" s="2"/>
      <c r="AC27" s="2"/>
      <c r="AD27" s="2"/>
      <c r="AE27" s="2"/>
    </row>
    <row r="28" spans="1:31" x14ac:dyDescent="0.2">
      <c r="A28" s="636"/>
      <c r="B28" s="514" t="str">
        <f>IF(K$2="","",IF(K$2=France,BDD!O59,IF(K$2=CANADA,"",IF(K$2=Belgique,"",IF(K$2=Suisse,"",IF(K$2=USA,""))))))</f>
        <v/>
      </c>
      <c r="C28" s="475" t="str">
        <f>IF(B28="","",IF($K$2="","",IF(B28="N.C.","N.C.",VLOOKUP(B28,BDD!$O$13:$AY$72,27,FALSE))))</f>
        <v/>
      </c>
      <c r="D28" s="543" t="str">
        <f>IF(B28="","",IF($K$2="","",IF(B28="N.C.","N.C.",VLOOKUP(B28,BDD!$O$13:$AY$72,28,FALSE))))</f>
        <v/>
      </c>
      <c r="E28" s="544" t="str">
        <f>IF(B28="","",IF($K$2="","",IF(B28="N.C.","N.C.",VLOOKUP(B28,BDD!$O$13:$AY$72,29,FALSE))))</f>
        <v/>
      </c>
      <c r="F28" s="544" t="str">
        <f>IF(B28="","",IF($K$2="","",IF(B28="N.C.","N.C.",VLOOKUP(B28,BDD!$O$13:$AY$72,30,FALSE))))</f>
        <v/>
      </c>
      <c r="G28" s="544" t="str">
        <f>IF(B28="","",IF($K$2="","",IF(B28="N.C.","N.C.",VLOOKUP(B28,BDD!$O$13:$AY$72,31,FALSE))))</f>
        <v/>
      </c>
      <c r="H28" s="544" t="str">
        <f>IF(B28="","",IF($K$2="","",IF(B28="N.C.","N.C.",VLOOKUP(B28,BDD!$O$13:$AY$72,32,FALSE))))</f>
        <v/>
      </c>
      <c r="I28" s="544" t="str">
        <f>IF(B28="","",IF($K$2="","",IF(B28="N.C.","N.C.",VLOOKUP(B28,BDD!$O$13:$AY$72,33,FALSE))))</f>
        <v/>
      </c>
      <c r="J28" s="544" t="str">
        <f>IF(B28="","",IF($K$2="","",IF(B28="N.C.","N.C.",VLOOKUP(B28,BDD!$O$13:$AY$72,34,FALSE))))</f>
        <v/>
      </c>
      <c r="K28" s="544" t="str">
        <f>IF(B28="","",IF($K$2="","",IF(B28="N.C.","N.C.",VLOOKUP(B28,BDD!$O$13:$AY$72,35,FALSE))))</f>
        <v/>
      </c>
      <c r="L28" s="544" t="str">
        <f>IF(B28="","",IF($K$2="","",IF(B28="N.C.","N.C.",VLOOKUP(B28,BDD!$O$13:$AY$72,36,FALSE))))</f>
        <v/>
      </c>
      <c r="M28" s="544" t="str">
        <f>IF(B28="","",IF($K$2="","",IF(B28="N.C.","N.C.",VLOOKUP(B28,BDD!$O$13:$AY$72,37,FALSE))))</f>
        <v/>
      </c>
      <c r="N28" s="637"/>
      <c r="O28" s="637"/>
      <c r="P28" s="637"/>
      <c r="Q28" s="642"/>
      <c r="R28" s="2"/>
      <c r="S28" s="2"/>
      <c r="T28" s="2"/>
      <c r="U28" s="2"/>
      <c r="V28" s="2"/>
      <c r="W28" s="2"/>
      <c r="X28" s="2"/>
      <c r="Y28" s="2"/>
      <c r="Z28" s="2"/>
      <c r="AA28" s="2"/>
      <c r="AB28" s="2"/>
      <c r="AC28" s="2"/>
      <c r="AD28" s="2"/>
      <c r="AE28" s="2"/>
    </row>
    <row r="29" spans="1:31" ht="25.5" customHeight="1" x14ac:dyDescent="0.2">
      <c r="A29" s="636"/>
      <c r="B29" s="514" t="str">
        <f>IF(K$2="","",IF(K$2=France,BDD!O60,IF(K$2=CANADA,"",IF(K$2=Belgique,"",IF(K$2=Suisse,"",IF(K$2=USA,""))))))</f>
        <v/>
      </c>
      <c r="C29" s="475" t="str">
        <f>IF(B29="","",IF($K$2="","",IF(B29="N.C.","N.C.",VLOOKUP(B29,BDD!$O$13:$AY$72,27,FALSE))))</f>
        <v/>
      </c>
      <c r="D29" s="543" t="str">
        <f>IF(B29="","",IF($K$2="","",IF(B29="N.C.","N.C.",VLOOKUP(B29,BDD!$O$13:$AY$72,28,FALSE))))</f>
        <v/>
      </c>
      <c r="E29" s="544" t="str">
        <f>IF(B29="","",IF($K$2="","",IF(B29="N.C.","N.C.",VLOOKUP(B29,BDD!$O$13:$AY$72,29,FALSE))))</f>
        <v/>
      </c>
      <c r="F29" s="544" t="str">
        <f>IF(B29="","",IF($K$2="","",IF(B29="N.C.","N.C.",VLOOKUP(B29,BDD!$O$13:$AY$72,30,FALSE))))</f>
        <v/>
      </c>
      <c r="G29" s="544" t="str">
        <f>IF(B29="","",IF($K$2="","",IF(B29="N.C.","N.C.",VLOOKUP(B29,BDD!$O$13:$AY$72,31,FALSE))))</f>
        <v/>
      </c>
      <c r="H29" s="544" t="str">
        <f>IF(B29="","",IF($K$2="","",IF(B29="N.C.","N.C.",VLOOKUP(B29,BDD!$O$13:$AY$72,32,FALSE))))</f>
        <v/>
      </c>
      <c r="I29" s="544" t="str">
        <f>IF(B29="","",IF($K$2="","",IF(B29="N.C.","N.C.",VLOOKUP(B29,BDD!$O$13:$AY$72,33,FALSE))))</f>
        <v/>
      </c>
      <c r="J29" s="544" t="str">
        <f>IF(B29="","",IF($K$2="","",IF(B29="N.C.","N.C.",VLOOKUP(B29,BDD!$O$13:$AY$72,34,FALSE))))</f>
        <v/>
      </c>
      <c r="K29" s="544" t="str">
        <f>IF(B29="","",IF($K$2="","",IF(B29="N.C.","N.C.",VLOOKUP(B29,BDD!$O$13:$AY$72,35,FALSE))))</f>
        <v/>
      </c>
      <c r="L29" s="544" t="str">
        <f>IF(B29="","",IF($K$2="","",IF(B29="N.C.","N.C.",VLOOKUP(B29,BDD!$O$13:$AY$72,36,FALSE))))</f>
        <v/>
      </c>
      <c r="M29" s="544" t="str">
        <f>IF(B29="","",IF($K$2="","",IF(B29="N.C.","N.C.",VLOOKUP(B29,BDD!$O$13:$AY$72,37,FALSE))))</f>
        <v/>
      </c>
      <c r="N29" s="637"/>
      <c r="O29" s="637"/>
      <c r="P29" s="637"/>
      <c r="Q29" s="642"/>
      <c r="R29" s="2"/>
      <c r="S29" s="2"/>
      <c r="T29" s="2"/>
      <c r="U29" s="2"/>
      <c r="V29" s="2"/>
      <c r="W29" s="2"/>
      <c r="X29" s="2"/>
      <c r="Y29" s="2"/>
      <c r="Z29" s="2"/>
      <c r="AA29" s="2"/>
      <c r="AB29" s="2"/>
      <c r="AC29" s="2"/>
      <c r="AD29" s="2"/>
      <c r="AE29" s="2"/>
    </row>
    <row r="30" spans="1:31" ht="31.5" customHeight="1" x14ac:dyDescent="0.2">
      <c r="A30" s="636"/>
      <c r="B30" s="514" t="str">
        <f>IF(K$2="","",IF(K$2=France,BDD!O61,IF(K$2=CANADA,"",IF(K$2=Belgique,"",IF(K$2=Suisse,"",IF(K$2=USA,""))))))</f>
        <v/>
      </c>
      <c r="C30" s="475" t="str">
        <f>IF(B30="","",IF($K$2="","",IF(B30="N.C.","N.C.",VLOOKUP(B30,BDD!$O$13:$AY$72,27,FALSE))))</f>
        <v/>
      </c>
      <c r="D30" s="543" t="str">
        <f>IF(B30="","",IF($K$2="","",IF(B30="N.C.","N.C.",VLOOKUP(B30,BDD!$O$13:$AY$72,28,FALSE))))</f>
        <v/>
      </c>
      <c r="E30" s="544" t="str">
        <f>IF(B30="","",IF($K$2="","",IF(B30="N.C.","N.C.",VLOOKUP(B30,BDD!$O$13:$AY$72,29,FALSE))))</f>
        <v/>
      </c>
      <c r="F30" s="544" t="str">
        <f>IF(B30="","",IF($K$2="","",IF(B30="N.C.","N.C.",VLOOKUP(B30,BDD!$O$13:$AY$72,30,FALSE))))</f>
        <v/>
      </c>
      <c r="G30" s="544" t="str">
        <f>IF(B30="","",IF($K$2="","",IF(B30="N.C.","N.C.",VLOOKUP(B30,BDD!$O$13:$AY$72,31,FALSE))))</f>
        <v/>
      </c>
      <c r="H30" s="544" t="str">
        <f>IF(B30="","",IF($K$2="","",IF(B30="N.C.","N.C.",VLOOKUP(B30,BDD!$O$13:$AY$72,32,FALSE))))</f>
        <v/>
      </c>
      <c r="I30" s="544" t="str">
        <f>IF(B30="","",IF($K$2="","",IF(B30="N.C.","N.C.",VLOOKUP(B30,BDD!$O$13:$AY$72,33,FALSE))))</f>
        <v/>
      </c>
      <c r="J30" s="544" t="str">
        <f>IF(B30="","",IF($K$2="","",IF(B30="N.C.","N.C.",VLOOKUP(B30,BDD!$O$13:$AY$72,34,FALSE))))</f>
        <v/>
      </c>
      <c r="K30" s="544" t="str">
        <f>IF(B30="","",IF($K$2="","",IF(B30="N.C.","N.C.",VLOOKUP(B30,BDD!$O$13:$AY$72,35,FALSE))))</f>
        <v/>
      </c>
      <c r="L30" s="544" t="str">
        <f>IF(B30="","",IF($K$2="","",IF(B30="N.C.","N.C.",VLOOKUP(B30,BDD!$O$13:$AY$72,36,FALSE))))</f>
        <v/>
      </c>
      <c r="M30" s="544" t="str">
        <f>IF(B30="","",IF($K$2="","",IF(B30="N.C.","N.C.",VLOOKUP(B30,BDD!$O$13:$AY$72,37,FALSE))))</f>
        <v/>
      </c>
      <c r="N30" s="637"/>
      <c r="O30" s="637"/>
      <c r="P30" s="637"/>
      <c r="Q30" s="642"/>
      <c r="R30" s="2"/>
      <c r="S30" s="2"/>
      <c r="T30" s="2"/>
      <c r="U30" s="2"/>
      <c r="V30" s="2"/>
      <c r="W30" s="2"/>
      <c r="X30" s="2"/>
      <c r="Y30" s="2"/>
      <c r="Z30" s="2"/>
      <c r="AA30" s="2"/>
      <c r="AB30" s="2"/>
      <c r="AC30" s="2"/>
      <c r="AD30" s="2"/>
      <c r="AE30" s="2"/>
    </row>
    <row r="31" spans="1:31" x14ac:dyDescent="0.2">
      <c r="A31" s="636"/>
      <c r="B31" s="514" t="str">
        <f>IF(K$2="","",IF(K$2=France,BDD!O62,IF(K$2=CANADA,"",IF(K$2=Belgique,"",IF(K$2=Suisse,"",IF(K$2=USA,""))))))</f>
        <v/>
      </c>
      <c r="C31" s="475" t="str">
        <f>IF(B31="","",IF($K$2="","",IF(B31="N.C.","N.C.",VLOOKUP(B31,BDD!$O$13:$AY$72,27,FALSE))))</f>
        <v/>
      </c>
      <c r="D31" s="543" t="str">
        <f>IF(B31="","",IF($K$2="","",IF(B31="N.C.","N.C.",VLOOKUP(B31,BDD!$O$13:$AY$72,28,FALSE))))</f>
        <v/>
      </c>
      <c r="E31" s="544" t="str">
        <f>IF(B31="","",IF($K$2="","",IF(B31="N.C.","N.C.",VLOOKUP(B31,BDD!$O$13:$AY$72,29,FALSE))))</f>
        <v/>
      </c>
      <c r="F31" s="544" t="str">
        <f>IF(B31="","",IF($K$2="","",IF(B31="N.C.","N.C.",VLOOKUP(B31,BDD!$O$13:$AY$72,30,FALSE))))</f>
        <v/>
      </c>
      <c r="G31" s="544" t="str">
        <f>IF(B31="","",IF($K$2="","",IF(B31="N.C.","N.C.",VLOOKUP(B31,BDD!$O$13:$AY$72,31,FALSE))))</f>
        <v/>
      </c>
      <c r="H31" s="544" t="str">
        <f>IF(B31="","",IF($K$2="","",IF(B31="N.C.","N.C.",VLOOKUP(B31,BDD!$O$13:$AY$72,32,FALSE))))</f>
        <v/>
      </c>
      <c r="I31" s="544" t="str">
        <f>IF(B31="","",IF($K$2="","",IF(B31="N.C.","N.C.",VLOOKUP(B31,BDD!$O$13:$AY$72,33,FALSE))))</f>
        <v/>
      </c>
      <c r="J31" s="544" t="str">
        <f>IF(B31="","",IF($K$2="","",IF(B31="N.C.","N.C.",VLOOKUP(B31,BDD!$O$13:$AY$72,34,FALSE))))</f>
        <v/>
      </c>
      <c r="K31" s="544" t="str">
        <f>IF(B31="","",IF($K$2="","",IF(B31="N.C.","N.C.",VLOOKUP(B31,BDD!$O$13:$AY$72,35,FALSE))))</f>
        <v/>
      </c>
      <c r="L31" s="544" t="str">
        <f>IF(B31="","",IF($K$2="","",IF(B31="N.C.","N.C.",VLOOKUP(B31,BDD!$O$13:$AY$72,36,FALSE))))</f>
        <v/>
      </c>
      <c r="M31" s="544" t="str">
        <f>IF(B31="","",IF($K$2="","",IF(B31="N.C.","N.C.",VLOOKUP(B31,BDD!$O$13:$AY$72,37,FALSE))))</f>
        <v/>
      </c>
      <c r="N31" s="637"/>
      <c r="O31" s="637"/>
      <c r="P31" s="637"/>
      <c r="Q31" s="642"/>
      <c r="R31" s="2"/>
      <c r="S31" s="2"/>
      <c r="T31" s="2"/>
      <c r="U31" s="2"/>
      <c r="V31" s="2"/>
      <c r="W31" s="2"/>
      <c r="X31" s="2"/>
      <c r="Y31" s="2"/>
      <c r="Z31" s="2"/>
      <c r="AA31" s="2"/>
      <c r="AB31" s="2"/>
      <c r="AC31" s="2"/>
      <c r="AD31" s="2"/>
      <c r="AE31" s="2"/>
    </row>
    <row r="32" spans="1:31" x14ac:dyDescent="0.2">
      <c r="A32" s="636"/>
      <c r="B32" s="637"/>
      <c r="C32" s="637"/>
      <c r="D32" s="637"/>
      <c r="E32" s="637"/>
      <c r="F32" s="637"/>
      <c r="G32" s="637"/>
      <c r="H32" s="637"/>
      <c r="I32" s="637"/>
      <c r="J32" s="637"/>
      <c r="K32" s="637"/>
      <c r="L32" s="637"/>
      <c r="M32" s="637"/>
      <c r="N32" s="637"/>
      <c r="O32" s="637"/>
      <c r="P32" s="637"/>
      <c r="Q32" s="642"/>
      <c r="R32" s="2"/>
      <c r="S32" s="2"/>
      <c r="T32" s="2"/>
      <c r="U32" s="2"/>
      <c r="V32" s="2"/>
      <c r="W32" s="2"/>
      <c r="X32" s="2"/>
      <c r="Y32" s="2"/>
      <c r="Z32" s="2"/>
      <c r="AA32" s="2"/>
      <c r="AB32" s="2"/>
      <c r="AC32" s="2"/>
      <c r="AD32" s="2"/>
      <c r="AE32" s="2"/>
    </row>
    <row r="33" spans="1:31" x14ac:dyDescent="0.2">
      <c r="A33" s="636"/>
      <c r="B33" s="637"/>
      <c r="C33" s="637"/>
      <c r="D33" s="637"/>
      <c r="E33" s="637"/>
      <c r="F33" s="637"/>
      <c r="G33" s="637"/>
      <c r="H33" s="637"/>
      <c r="I33" s="637"/>
      <c r="J33" s="637"/>
      <c r="K33" s="637"/>
      <c r="L33" s="637"/>
      <c r="M33" s="637"/>
      <c r="N33" s="637"/>
      <c r="O33" s="637"/>
      <c r="P33" s="637"/>
      <c r="Q33" s="642"/>
      <c r="R33" s="2"/>
      <c r="S33" s="2"/>
      <c r="T33" s="2"/>
      <c r="U33" s="2"/>
      <c r="V33" s="2"/>
      <c r="W33" s="2"/>
      <c r="X33" s="2"/>
      <c r="Y33" s="2"/>
      <c r="Z33" s="2"/>
      <c r="AA33" s="2"/>
      <c r="AB33" s="2"/>
      <c r="AC33" s="2"/>
      <c r="AD33" s="2"/>
      <c r="AE33" s="2"/>
    </row>
    <row r="34" spans="1:31" x14ac:dyDescent="0.2">
      <c r="A34" s="636"/>
      <c r="B34" s="637"/>
      <c r="C34" s="637"/>
      <c r="D34" s="637"/>
      <c r="E34" s="637"/>
      <c r="F34" s="637"/>
      <c r="G34" s="637"/>
      <c r="H34" s="637"/>
      <c r="I34" s="637"/>
      <c r="J34" s="637"/>
      <c r="K34" s="637"/>
      <c r="L34" s="637"/>
      <c r="M34" s="637"/>
      <c r="N34" s="637"/>
      <c r="O34" s="637"/>
      <c r="P34" s="637"/>
      <c r="Q34" s="642"/>
      <c r="R34" s="2"/>
      <c r="S34" s="2"/>
      <c r="T34" s="2"/>
      <c r="U34" s="2"/>
      <c r="V34" s="2"/>
      <c r="W34" s="2"/>
      <c r="X34" s="2"/>
      <c r="Y34" s="2"/>
      <c r="Z34" s="2"/>
      <c r="AA34" s="2"/>
      <c r="AB34" s="2"/>
      <c r="AC34" s="2"/>
      <c r="AD34" s="2"/>
      <c r="AE34" s="2"/>
    </row>
    <row r="35" spans="1:31" x14ac:dyDescent="0.2">
      <c r="A35" s="636"/>
      <c r="B35" s="637"/>
      <c r="C35" s="637"/>
      <c r="D35" s="637"/>
      <c r="E35" s="637"/>
      <c r="F35" s="637"/>
      <c r="G35" s="637"/>
      <c r="H35" s="637"/>
      <c r="I35" s="637"/>
      <c r="J35" s="637"/>
      <c r="K35" s="637"/>
      <c r="L35" s="637"/>
      <c r="M35" s="637"/>
      <c r="N35" s="637"/>
      <c r="O35" s="637"/>
      <c r="P35" s="637"/>
      <c r="Q35" s="642"/>
      <c r="R35" s="2"/>
      <c r="S35" s="2"/>
      <c r="T35" s="2"/>
      <c r="U35" s="2"/>
      <c r="V35" s="2"/>
      <c r="W35" s="2"/>
      <c r="X35" s="2"/>
      <c r="Y35" s="2"/>
      <c r="Z35" s="2"/>
      <c r="AA35" s="2"/>
      <c r="AB35" s="2"/>
      <c r="AC35" s="2"/>
      <c r="AD35" s="2"/>
      <c r="AE35" s="2"/>
    </row>
    <row r="36" spans="1:31" x14ac:dyDescent="0.2">
      <c r="A36" s="636"/>
      <c r="B36" s="637"/>
      <c r="C36" s="637"/>
      <c r="D36" s="637"/>
      <c r="E36" s="637"/>
      <c r="F36" s="637"/>
      <c r="G36" s="637"/>
      <c r="H36" s="637"/>
      <c r="I36" s="637"/>
      <c r="J36" s="637"/>
      <c r="K36" s="637"/>
      <c r="L36" s="637"/>
      <c r="M36" s="637"/>
      <c r="N36" s="637"/>
      <c r="O36" s="637"/>
      <c r="P36" s="637"/>
      <c r="Q36" s="642"/>
      <c r="R36" s="2"/>
      <c r="S36" s="2"/>
      <c r="T36" s="2"/>
      <c r="U36" s="2"/>
      <c r="V36" s="2"/>
      <c r="W36" s="2"/>
      <c r="X36" s="2"/>
      <c r="Y36" s="2"/>
      <c r="Z36" s="2"/>
      <c r="AA36" s="2"/>
      <c r="AB36" s="2"/>
      <c r="AC36" s="2"/>
      <c r="AD36" s="2"/>
      <c r="AE36" s="2"/>
    </row>
    <row r="37" spans="1:31" x14ac:dyDescent="0.2">
      <c r="A37" s="636"/>
      <c r="B37" s="637"/>
      <c r="C37" s="637"/>
      <c r="D37" s="637"/>
      <c r="E37" s="637"/>
      <c r="F37" s="637"/>
      <c r="G37" s="637"/>
      <c r="H37" s="637"/>
      <c r="I37" s="637"/>
      <c r="J37" s="637"/>
      <c r="K37" s="637"/>
      <c r="L37" s="637"/>
      <c r="M37" s="637"/>
      <c r="N37" s="637"/>
      <c r="O37" s="637"/>
      <c r="P37" s="637"/>
      <c r="Q37" s="642"/>
      <c r="R37" s="2"/>
      <c r="S37" s="2"/>
      <c r="T37" s="2"/>
      <c r="U37" s="2"/>
      <c r="V37" s="2"/>
      <c r="W37" s="2"/>
      <c r="X37" s="2"/>
      <c r="Y37" s="2"/>
      <c r="Z37" s="2"/>
      <c r="AA37" s="2"/>
      <c r="AB37" s="2"/>
      <c r="AC37" s="2"/>
      <c r="AD37" s="2"/>
      <c r="AE37" s="2"/>
    </row>
    <row r="38" spans="1:31" x14ac:dyDescent="0.2">
      <c r="A38" s="636"/>
      <c r="B38" s="517" t="s">
        <v>1551</v>
      </c>
      <c r="C38" s="1601">
        <f>SUM(E45:E92)</f>
        <v>0</v>
      </c>
      <c r="D38" s="1602"/>
      <c r="E38" s="637"/>
      <c r="F38" s="637"/>
      <c r="G38" s="637"/>
      <c r="H38" s="637"/>
      <c r="I38" s="637"/>
      <c r="J38" s="637"/>
      <c r="K38" s="637"/>
      <c r="L38" s="637"/>
      <c r="M38" s="637"/>
      <c r="N38" s="637"/>
      <c r="O38" s="637"/>
      <c r="P38" s="637"/>
      <c r="Q38" s="642"/>
      <c r="R38" s="2"/>
      <c r="S38" s="2"/>
      <c r="T38" s="2"/>
      <c r="U38" s="2"/>
      <c r="V38" s="2"/>
      <c r="W38" s="2"/>
      <c r="X38" s="2"/>
      <c r="Y38" s="2"/>
      <c r="Z38" s="2"/>
      <c r="AA38" s="2"/>
      <c r="AB38" s="2"/>
      <c r="AC38" s="2"/>
      <c r="AD38" s="2"/>
      <c r="AE38" s="2"/>
    </row>
    <row r="39" spans="1:31" x14ac:dyDescent="0.2">
      <c r="A39" s="636"/>
      <c r="B39" s="637"/>
      <c r="C39" s="637"/>
      <c r="D39" s="637"/>
      <c r="E39" s="637"/>
      <c r="F39" s="637"/>
      <c r="G39" s="655"/>
      <c r="H39" s="637"/>
      <c r="I39" s="637"/>
      <c r="J39" s="637"/>
      <c r="K39" s="637"/>
      <c r="L39" s="637"/>
      <c r="M39" s="637"/>
      <c r="N39" s="637"/>
      <c r="O39" s="637"/>
      <c r="P39" s="637"/>
      <c r="Q39" s="642"/>
      <c r="R39" s="2"/>
      <c r="S39" s="2"/>
      <c r="T39" s="2"/>
      <c r="U39" s="2"/>
      <c r="V39" s="2"/>
      <c r="W39" s="2"/>
      <c r="X39" s="2"/>
      <c r="Y39" s="2"/>
      <c r="Z39" s="2"/>
      <c r="AA39" s="2"/>
      <c r="AB39" s="2"/>
      <c r="AC39" s="2"/>
      <c r="AD39" s="2"/>
      <c r="AE39" s="2"/>
    </row>
    <row r="40" spans="1:31" ht="12.75" customHeight="1" x14ac:dyDescent="0.2">
      <c r="A40" s="636"/>
      <c r="B40" s="1603" t="str">
        <f>parcelles!B89</f>
        <v>MONTANT DES VENTES :</v>
      </c>
      <c r="C40" s="1604"/>
      <c r="D40" s="1605"/>
      <c r="E40" s="654"/>
      <c r="F40" s="637"/>
      <c r="G40" s="637"/>
      <c r="H40" s="637"/>
      <c r="I40" s="637"/>
      <c r="J40" s="637"/>
      <c r="K40" s="637"/>
      <c r="L40" s="637"/>
      <c r="M40" s="637"/>
      <c r="N40" s="637"/>
      <c r="O40" s="637"/>
      <c r="P40" s="637"/>
      <c r="Q40" s="642"/>
      <c r="R40" s="2"/>
      <c r="S40" s="2"/>
      <c r="T40" s="2"/>
      <c r="U40" s="2"/>
      <c r="V40" s="2"/>
      <c r="W40" s="2"/>
      <c r="X40" s="2"/>
      <c r="Y40" s="2"/>
      <c r="Z40" s="2"/>
      <c r="AA40" s="2"/>
      <c r="AB40" s="2"/>
      <c r="AC40" s="2"/>
      <c r="AD40" s="2"/>
      <c r="AE40" s="2"/>
    </row>
    <row r="41" spans="1:31" x14ac:dyDescent="0.2">
      <c r="A41" s="636"/>
      <c r="B41" s="637"/>
      <c r="C41" s="637"/>
      <c r="D41" s="637"/>
      <c r="E41" s="637"/>
      <c r="F41" s="637"/>
      <c r="G41" s="637"/>
      <c r="H41" s="637"/>
      <c r="I41" s="637"/>
      <c r="J41" s="637"/>
      <c r="K41" s="637"/>
      <c r="L41" s="637"/>
      <c r="M41" s="637"/>
      <c r="N41" s="637"/>
      <c r="O41" s="637"/>
      <c r="P41" s="637"/>
      <c r="Q41" s="642"/>
      <c r="R41" s="2"/>
      <c r="S41" s="2"/>
      <c r="T41" s="2"/>
      <c r="U41" s="2"/>
      <c r="V41" s="2"/>
      <c r="W41" s="2"/>
      <c r="X41" s="2"/>
      <c r="Y41" s="2"/>
      <c r="Z41" s="2"/>
      <c r="AA41" s="2"/>
      <c r="AB41" s="2"/>
      <c r="AC41" s="2"/>
      <c r="AD41" s="2"/>
      <c r="AE41" s="2"/>
    </row>
    <row r="42" spans="1:31" ht="25.5" x14ac:dyDescent="0.2">
      <c r="A42" s="636"/>
      <c r="B42" s="518" t="str">
        <f>B7</f>
        <v/>
      </c>
      <c r="C42" s="518" t="s">
        <v>1573</v>
      </c>
      <c r="D42" s="519" t="str">
        <f>parcelles!E91</f>
        <v>Hectares cultivés</v>
      </c>
      <c r="E42" s="516" t="s">
        <v>1556</v>
      </c>
      <c r="F42" s="647"/>
      <c r="G42" s="656"/>
      <c r="H42" s="656"/>
      <c r="I42" s="656"/>
      <c r="J42" s="656"/>
      <c r="K42" s="656"/>
      <c r="L42" s="656"/>
      <c r="M42" s="656"/>
      <c r="N42" s="645"/>
      <c r="O42" s="646"/>
      <c r="P42" s="647"/>
      <c r="Q42" s="642"/>
      <c r="R42" s="2"/>
      <c r="S42" s="2"/>
      <c r="T42" s="2"/>
      <c r="U42" s="2"/>
      <c r="V42" s="2"/>
      <c r="W42" s="2"/>
      <c r="X42" s="2"/>
      <c r="Y42" s="2"/>
      <c r="Z42" s="2"/>
      <c r="AA42" s="2"/>
      <c r="AB42" s="2"/>
      <c r="AC42" s="2"/>
      <c r="AD42" s="2"/>
      <c r="AE42" s="2"/>
    </row>
    <row r="43" spans="1:31" x14ac:dyDescent="0.2">
      <c r="A43" s="636"/>
      <c r="B43" s="523"/>
      <c r="C43" s="523"/>
      <c r="D43" s="524"/>
      <c r="E43" s="525"/>
      <c r="F43" s="649"/>
      <c r="G43" s="648"/>
      <c r="H43" s="648"/>
      <c r="I43" s="648"/>
      <c r="J43" s="648"/>
      <c r="K43" s="648"/>
      <c r="L43" s="648"/>
      <c r="M43" s="648"/>
      <c r="N43" s="648"/>
      <c r="O43" s="648"/>
      <c r="P43" s="649"/>
      <c r="Q43" s="642"/>
      <c r="R43" s="2"/>
      <c r="S43" s="2"/>
      <c r="T43" s="2"/>
      <c r="U43" s="2"/>
      <c r="V43" s="2"/>
      <c r="W43" s="2"/>
      <c r="X43" s="2"/>
      <c r="Y43" s="2"/>
      <c r="Z43" s="2"/>
      <c r="AA43" s="2"/>
      <c r="AB43" s="2"/>
      <c r="AC43" s="2"/>
      <c r="AD43" s="2"/>
      <c r="AE43" s="2"/>
    </row>
    <row r="44" spans="1:31" x14ac:dyDescent="0.2">
      <c r="A44" s="636"/>
      <c r="B44" s="526" t="str">
        <f>IF(K2="","",K2)</f>
        <v/>
      </c>
      <c r="C44" s="527"/>
      <c r="D44" s="528"/>
      <c r="E44" s="529"/>
      <c r="F44" s="649"/>
      <c r="G44" s="648"/>
      <c r="H44" s="648"/>
      <c r="I44" s="648"/>
      <c r="J44" s="648"/>
      <c r="K44" s="648"/>
      <c r="L44" s="648"/>
      <c r="M44" s="648"/>
      <c r="N44" s="648"/>
      <c r="O44" s="648"/>
      <c r="P44" s="649"/>
      <c r="Q44" s="642"/>
      <c r="R44" s="2"/>
      <c r="S44" s="2"/>
      <c r="T44" s="2"/>
      <c r="U44" s="2"/>
      <c r="V44" s="2"/>
      <c r="W44" s="2"/>
      <c r="X44" s="2"/>
      <c r="Y44" s="2"/>
      <c r="Z44" s="2"/>
      <c r="AA44" s="2"/>
      <c r="AB44" s="2"/>
      <c r="AC44" s="2"/>
      <c r="AD44" s="2"/>
      <c r="AE44" s="2"/>
    </row>
    <row r="45" spans="1:31" ht="24" customHeight="1" x14ac:dyDescent="0.2">
      <c r="A45" s="636"/>
      <c r="B45" s="530"/>
      <c r="C45" s="531"/>
      <c r="D45" s="532"/>
      <c r="E45" s="533" t="str">
        <f>IF(B45="","",INDEX($C$10:$M$31,MATCH(B45,$B$10:$B$31,0),MATCH(C45,$C$7:$M$7,0))*D45*SUMIF(BDD!$HK$3:$HK$42,C45,BDD!#REF!))</f>
        <v/>
      </c>
      <c r="F45" s="650" t="str">
        <f>IF(B45="","",parcelles!$E$89 &amp;INDEX($C$10:$H$31,MATCH(B45,$B$10:$B$31,0),MATCH(C45,$C$7:$H$7,0))*D45&amp;" t")</f>
        <v/>
      </c>
      <c r="G45" s="637"/>
      <c r="H45" s="637"/>
      <c r="I45" s="637"/>
      <c r="J45" s="637"/>
      <c r="K45" s="637"/>
      <c r="L45" s="637"/>
      <c r="M45" s="637"/>
      <c r="N45" s="637"/>
      <c r="O45" s="637"/>
      <c r="P45" s="637"/>
      <c r="Q45" s="642"/>
      <c r="R45" s="2"/>
      <c r="S45" s="2"/>
      <c r="T45" s="2"/>
      <c r="U45" s="2"/>
      <c r="V45" s="2"/>
      <c r="W45" s="2"/>
      <c r="X45" s="2"/>
      <c r="Y45" s="2"/>
      <c r="Z45" s="2"/>
      <c r="AA45" s="2"/>
      <c r="AB45" s="2"/>
      <c r="AC45" s="2"/>
      <c r="AD45" s="2"/>
      <c r="AE45" s="2"/>
    </row>
    <row r="46" spans="1:31" ht="24" customHeight="1" x14ac:dyDescent="0.2">
      <c r="A46" s="636"/>
      <c r="B46" s="530"/>
      <c r="C46" s="531"/>
      <c r="D46" s="545"/>
      <c r="E46" s="533" t="str">
        <f>IF(B46="","",INDEX($C$10:$M$31,MATCH(B46,$B$10:$B$31,0),MATCH(C46,$C$7:$M$7,0))*D46*SUMIF(BDD!$HK$3:$HK$42,C46,BDD!#REF!))</f>
        <v/>
      </c>
      <c r="F46" s="650" t="str">
        <f>IF(B46="","",parcelles!$E$89 &amp;INDEX($C$10:$H$31,MATCH(B46,$B$10:$B$31,0),MATCH(C46,$C$7:$H$7,0))*D46&amp;" t")</f>
        <v/>
      </c>
      <c r="G46" s="637"/>
      <c r="H46" s="637"/>
      <c r="I46" s="637"/>
      <c r="J46" s="637"/>
      <c r="K46" s="637"/>
      <c r="L46" s="637"/>
      <c r="M46" s="637"/>
      <c r="N46" s="637"/>
      <c r="O46" s="637"/>
      <c r="P46" s="637"/>
      <c r="Q46" s="642"/>
      <c r="R46" s="2"/>
      <c r="S46" s="2"/>
      <c r="T46" s="2"/>
      <c r="U46" s="2"/>
      <c r="V46" s="2"/>
      <c r="W46" s="2"/>
      <c r="X46" s="2"/>
      <c r="Y46" s="2"/>
      <c r="Z46" s="2"/>
      <c r="AA46" s="2"/>
      <c r="AB46" s="2"/>
      <c r="AC46" s="2"/>
      <c r="AD46" s="2"/>
      <c r="AE46" s="2"/>
    </row>
    <row r="47" spans="1:31" ht="24" customHeight="1" x14ac:dyDescent="0.2">
      <c r="A47" s="636"/>
      <c r="B47" s="530"/>
      <c r="C47" s="531"/>
      <c r="D47" s="545"/>
      <c r="E47" s="533" t="str">
        <f>IF(B47="","",INDEX($C$10:$M$31,MATCH(B47,$B$10:$B$31,0),MATCH(C47,$C$7:$M$7,0))*D47*SUMIF(BDD!$HK$3:$HK$42,C47,BDD!#REF!))</f>
        <v/>
      </c>
      <c r="F47" s="650" t="str">
        <f>IF(B47="","",parcelles!$E$89 &amp;INDEX($C$10:$H$31,MATCH(B47,$B$10:$B$31,0),MATCH(C47,$C$7:$H$7,0))*D47&amp;" t")</f>
        <v/>
      </c>
      <c r="G47" s="637"/>
      <c r="H47" s="637"/>
      <c r="I47" s="637"/>
      <c r="J47" s="637"/>
      <c r="K47" s="637"/>
      <c r="L47" s="637"/>
      <c r="M47" s="637"/>
      <c r="N47" s="637"/>
      <c r="O47" s="637"/>
      <c r="P47" s="637"/>
      <c r="Q47" s="642"/>
      <c r="R47" s="2"/>
      <c r="S47" s="2"/>
      <c r="T47" s="2"/>
      <c r="U47" s="2"/>
      <c r="V47" s="2"/>
      <c r="W47" s="2"/>
      <c r="X47" s="2"/>
      <c r="Y47" s="2"/>
      <c r="Z47" s="2"/>
      <c r="AA47" s="2"/>
      <c r="AB47" s="2"/>
      <c r="AC47" s="2"/>
      <c r="AD47" s="2"/>
      <c r="AE47" s="2"/>
    </row>
    <row r="48" spans="1:31" ht="24" customHeight="1" x14ac:dyDescent="0.2">
      <c r="A48" s="636"/>
      <c r="B48" s="530"/>
      <c r="C48" s="531"/>
      <c r="D48" s="545"/>
      <c r="E48" s="533" t="str">
        <f>IF(B48="","",INDEX($C$10:$M$31,MATCH(B48,$B$10:$B$31,0),MATCH(C48,$C$7:$M$7,0))*D48*SUMIF(BDD!$HK$3:$HK$42,C48,BDD!#REF!))</f>
        <v/>
      </c>
      <c r="F48" s="650" t="str">
        <f>IF(B48="","",parcelles!$E$89 &amp;INDEX($C$10:$H$31,MATCH(B48,$B$10:$B$31,0),MATCH(C48,$C$7:$H$7,0))*D48&amp;" t")</f>
        <v/>
      </c>
      <c r="G48" s="637"/>
      <c r="H48" s="637"/>
      <c r="I48" s="637"/>
      <c r="J48" s="637"/>
      <c r="K48" s="637"/>
      <c r="L48" s="637"/>
      <c r="M48" s="637"/>
      <c r="N48" s="637"/>
      <c r="O48" s="637"/>
      <c r="P48" s="637"/>
      <c r="Q48" s="642"/>
      <c r="R48" s="2"/>
      <c r="S48" s="2"/>
      <c r="T48" s="2"/>
      <c r="U48" s="2"/>
      <c r="V48" s="2"/>
      <c r="W48" s="2"/>
      <c r="X48" s="2"/>
      <c r="Y48" s="2"/>
      <c r="Z48" s="2"/>
      <c r="AA48" s="2"/>
      <c r="AB48" s="2"/>
      <c r="AC48" s="2"/>
      <c r="AD48" s="2"/>
      <c r="AE48" s="2"/>
    </row>
    <row r="49" spans="1:31" ht="24" customHeight="1" x14ac:dyDescent="0.2">
      <c r="A49" s="636"/>
      <c r="B49" s="530"/>
      <c r="C49" s="531"/>
      <c r="D49" s="545"/>
      <c r="E49" s="533" t="str">
        <f>IF(B49="","",INDEX($C$10:$M$31,MATCH(B49,$B$10:$B$31,0),MATCH(C49,$C$7:$M$7,0))*D49*SUMIF(BDD!$HK$3:$HK$42,C49,BDD!#REF!))</f>
        <v/>
      </c>
      <c r="F49" s="650" t="str">
        <f>IF(B49="","",parcelles!$E$89 &amp;INDEX($C$10:$H$31,MATCH(B49,$B$10:$B$31,0),MATCH(C49,$C$7:$H$7,0))*D49&amp;" t")</f>
        <v/>
      </c>
      <c r="G49" s="637"/>
      <c r="H49" s="637"/>
      <c r="I49" s="637"/>
      <c r="J49" s="637"/>
      <c r="K49" s="637"/>
      <c r="L49" s="637"/>
      <c r="M49" s="637"/>
      <c r="N49" s="637"/>
      <c r="O49" s="637"/>
      <c r="P49" s="637"/>
      <c r="Q49" s="642"/>
      <c r="R49" s="2"/>
      <c r="S49" s="2"/>
      <c r="T49" s="2"/>
      <c r="U49" s="2"/>
      <c r="V49" s="2"/>
      <c r="W49" s="2"/>
      <c r="X49" s="2"/>
      <c r="Y49" s="2"/>
      <c r="Z49" s="2"/>
      <c r="AA49" s="2"/>
      <c r="AB49" s="2"/>
      <c r="AC49" s="2"/>
      <c r="AD49" s="2"/>
      <c r="AE49" s="2"/>
    </row>
    <row r="50" spans="1:31" ht="24" customHeight="1" x14ac:dyDescent="0.2">
      <c r="A50" s="636"/>
      <c r="B50" s="530"/>
      <c r="C50" s="531"/>
      <c r="D50" s="545"/>
      <c r="E50" s="533" t="str">
        <f>IF(B50="","",INDEX($C$10:$M$31,MATCH(B50,$B$10:$B$31,0),MATCH(C50,$C$7:$M$7,0))*D50*SUMIF(BDD!$HK$3:$HK$42,C50,BDD!#REF!))</f>
        <v/>
      </c>
      <c r="F50" s="650" t="str">
        <f>IF(B50="","",parcelles!$E$89 &amp;INDEX($C$10:$H$31,MATCH(B50,$B$10:$B$31,0),MATCH(C50,$C$7:$H$7,0))*D50&amp;" t")</f>
        <v/>
      </c>
      <c r="G50" s="637"/>
      <c r="H50" s="637"/>
      <c r="I50" s="637"/>
      <c r="J50" s="637"/>
      <c r="K50" s="637"/>
      <c r="L50" s="637"/>
      <c r="M50" s="637"/>
      <c r="N50" s="637"/>
      <c r="O50" s="637"/>
      <c r="P50" s="637"/>
      <c r="Q50" s="642"/>
      <c r="R50" s="2"/>
      <c r="S50" s="2"/>
      <c r="T50" s="2"/>
      <c r="U50" s="2"/>
      <c r="V50" s="2"/>
      <c r="W50" s="2"/>
      <c r="X50" s="2"/>
      <c r="Y50" s="2"/>
      <c r="Z50" s="2"/>
      <c r="AA50" s="2"/>
      <c r="AB50" s="2"/>
      <c r="AC50" s="2"/>
      <c r="AD50" s="2"/>
      <c r="AE50" s="2"/>
    </row>
    <row r="51" spans="1:31" ht="24" customHeight="1" x14ac:dyDescent="0.2">
      <c r="A51" s="636"/>
      <c r="B51" s="530"/>
      <c r="C51" s="531"/>
      <c r="D51" s="545"/>
      <c r="E51" s="533" t="str">
        <f>IF(B51="","",INDEX($C$10:$M$31,MATCH(B51,$B$10:$B$31,0),MATCH(C51,$C$7:$M$7,0))*D51*SUMIF(BDD!$HK$3:$HK$42,C51,BDD!#REF!))</f>
        <v/>
      </c>
      <c r="F51" s="650" t="str">
        <f>IF(B51="","",parcelles!$E$89 &amp;INDEX($C$10:$H$31,MATCH(B51,$B$10:$B$31,0),MATCH(C51,$C$7:$H$7,0))*D51&amp;" t")</f>
        <v/>
      </c>
      <c r="G51" s="637"/>
      <c r="H51" s="637"/>
      <c r="I51" s="637"/>
      <c r="J51" s="637"/>
      <c r="K51" s="637"/>
      <c r="L51" s="637"/>
      <c r="M51" s="637"/>
      <c r="N51" s="637"/>
      <c r="O51" s="637"/>
      <c r="P51" s="637"/>
      <c r="Q51" s="642"/>
      <c r="R51" s="2"/>
      <c r="S51" s="2"/>
      <c r="T51" s="2"/>
      <c r="U51" s="2"/>
      <c r="V51" s="2"/>
      <c r="W51" s="2"/>
      <c r="X51" s="2"/>
      <c r="Y51" s="2"/>
      <c r="Z51" s="2"/>
      <c r="AA51" s="2"/>
      <c r="AB51" s="2"/>
      <c r="AC51" s="2"/>
      <c r="AD51" s="2"/>
      <c r="AE51" s="2"/>
    </row>
    <row r="52" spans="1:31" ht="24" customHeight="1" x14ac:dyDescent="0.2">
      <c r="A52" s="636"/>
      <c r="B52" s="530"/>
      <c r="C52" s="531"/>
      <c r="D52" s="545"/>
      <c r="E52" s="533" t="str">
        <f>IF(B52="","",INDEX($C$10:$M$31,MATCH(B52,$B$10:$B$31,0),MATCH(C52,$C$7:$M$7,0))*D52*SUMIF(BDD!$HK$3:$HK$42,C52,BDD!#REF!))</f>
        <v/>
      </c>
      <c r="F52" s="650" t="str">
        <f>IF(B52="","",parcelles!$E$89 &amp;INDEX($C$10:$H$31,MATCH(B52,$B$10:$B$31,0),MATCH(C52,$C$7:$H$7,0))*D52&amp;" t")</f>
        <v/>
      </c>
      <c r="G52" s="637"/>
      <c r="H52" s="637"/>
      <c r="I52" s="637"/>
      <c r="J52" s="637"/>
      <c r="K52" s="637"/>
      <c r="L52" s="637"/>
      <c r="M52" s="637"/>
      <c r="N52" s="637"/>
      <c r="O52" s="637"/>
      <c r="P52" s="637"/>
      <c r="Q52" s="642"/>
      <c r="R52" s="2"/>
      <c r="S52" s="2"/>
      <c r="T52" s="2"/>
      <c r="U52" s="2"/>
      <c r="V52" s="2"/>
      <c r="W52" s="2"/>
      <c r="X52" s="2"/>
      <c r="Y52" s="2"/>
      <c r="Z52" s="2"/>
      <c r="AA52" s="2"/>
      <c r="AB52" s="2"/>
      <c r="AC52" s="2"/>
      <c r="AD52" s="2"/>
      <c r="AE52" s="2"/>
    </row>
    <row r="53" spans="1:31" ht="24" customHeight="1" x14ac:dyDescent="0.2">
      <c r="A53" s="636"/>
      <c r="B53" s="530"/>
      <c r="C53" s="531"/>
      <c r="D53" s="545"/>
      <c r="E53" s="533" t="str">
        <f>IF(B53="","",INDEX($C$10:$M$31,MATCH(B53,$B$10:$B$31,0),MATCH(C53,$C$7:$M$7,0))*D53*SUMIF(BDD!$HK$3:$HK$42,C53,BDD!#REF!))</f>
        <v/>
      </c>
      <c r="F53" s="650" t="str">
        <f>IF(B53="","",parcelles!$E$89 &amp;INDEX($C$10:$H$31,MATCH(B53,$B$10:$B$31,0),MATCH(C53,$C$7:$H$7,0))*D53&amp;" t")</f>
        <v/>
      </c>
      <c r="G53" s="637"/>
      <c r="H53" s="637"/>
      <c r="I53" s="637"/>
      <c r="J53" s="637"/>
      <c r="K53" s="637"/>
      <c r="L53" s="637"/>
      <c r="M53" s="637"/>
      <c r="N53" s="637"/>
      <c r="O53" s="637"/>
      <c r="P53" s="637"/>
      <c r="Q53" s="642"/>
      <c r="R53" s="2"/>
      <c r="S53" s="2"/>
      <c r="T53" s="2"/>
      <c r="U53" s="2"/>
      <c r="V53" s="2"/>
      <c r="W53" s="2"/>
      <c r="X53" s="2"/>
      <c r="Y53" s="2"/>
      <c r="Z53" s="2"/>
      <c r="AA53" s="2"/>
      <c r="AB53" s="2"/>
      <c r="AC53" s="2"/>
      <c r="AD53" s="2"/>
      <c r="AE53" s="2"/>
    </row>
    <row r="54" spans="1:31" ht="24" customHeight="1" x14ac:dyDescent="0.2">
      <c r="A54" s="636"/>
      <c r="B54" s="530"/>
      <c r="C54" s="531"/>
      <c r="D54" s="545"/>
      <c r="E54" s="533" t="str">
        <f>IF(B54="","",INDEX($C$10:$M$31,MATCH(B54,$B$10:$B$31,0),MATCH(C54,$C$7:$M$7,0))*D54*SUMIF(BDD!$HK$3:$HK$42,C54,BDD!#REF!))</f>
        <v/>
      </c>
      <c r="F54" s="650" t="str">
        <f>IF(B54="","",parcelles!$E$89 &amp;INDEX($C$10:$H$31,MATCH(B54,$B$10:$B$31,0),MATCH(C54,$C$7:$H$7,0))*D54&amp;" t")</f>
        <v/>
      </c>
      <c r="G54" s="637"/>
      <c r="H54" s="637"/>
      <c r="I54" s="637"/>
      <c r="J54" s="637"/>
      <c r="K54" s="637"/>
      <c r="L54" s="637"/>
      <c r="M54" s="637"/>
      <c r="N54" s="637"/>
      <c r="O54" s="637"/>
      <c r="P54" s="637"/>
      <c r="Q54" s="642"/>
      <c r="R54" s="2"/>
      <c r="S54" s="2"/>
      <c r="T54" s="2"/>
      <c r="U54" s="2"/>
      <c r="V54" s="2"/>
      <c r="W54" s="2"/>
      <c r="X54" s="2"/>
      <c r="Y54" s="2"/>
      <c r="Z54" s="2"/>
      <c r="AA54" s="2"/>
      <c r="AB54" s="2"/>
      <c r="AC54" s="2"/>
      <c r="AD54" s="2"/>
      <c r="AE54" s="2"/>
    </row>
    <row r="55" spans="1:31" ht="24" customHeight="1" x14ac:dyDescent="0.2">
      <c r="A55" s="636"/>
      <c r="B55" s="530"/>
      <c r="C55" s="531"/>
      <c r="D55" s="545"/>
      <c r="E55" s="533" t="str">
        <f>IF(B55="","",INDEX($C$10:$M$31,MATCH(B55,$B$10:$B$31,0),MATCH(C55,$C$7:$M$7,0))*D55*SUMIF(BDD!$HK$3:$HK$42,C55,BDD!#REF!))</f>
        <v/>
      </c>
      <c r="F55" s="650" t="str">
        <f>IF(B55="","",parcelles!$E$89 &amp;INDEX($C$10:$H$31,MATCH(B55,$B$10:$B$31,0),MATCH(C55,$C$7:$H$7,0))*D55&amp;" t")</f>
        <v/>
      </c>
      <c r="G55" s="637"/>
      <c r="H55" s="637"/>
      <c r="I55" s="637"/>
      <c r="J55" s="637"/>
      <c r="K55" s="637"/>
      <c r="L55" s="637"/>
      <c r="M55" s="637"/>
      <c r="N55" s="637"/>
      <c r="O55" s="637"/>
      <c r="P55" s="637"/>
      <c r="Q55" s="642"/>
      <c r="R55" s="2"/>
      <c r="S55" s="2"/>
      <c r="T55" s="2"/>
      <c r="U55" s="2"/>
      <c r="V55" s="2"/>
      <c r="W55" s="2"/>
      <c r="X55" s="2"/>
      <c r="Y55" s="2"/>
      <c r="Z55" s="2"/>
      <c r="AA55" s="2"/>
      <c r="AB55" s="2"/>
      <c r="AC55" s="2"/>
      <c r="AD55" s="2"/>
      <c r="AE55" s="2"/>
    </row>
    <row r="56" spans="1:31" ht="24" customHeight="1" x14ac:dyDescent="0.2">
      <c r="A56" s="636"/>
      <c r="B56" s="530"/>
      <c r="C56" s="531"/>
      <c r="D56" s="545"/>
      <c r="E56" s="533" t="str">
        <f>IF(B56="","",INDEX($C$10:$M$31,MATCH(B56,$B$10:$B$31,0),MATCH(C56,$C$7:$M$7,0))*D56*SUMIF(BDD!$HK$3:$HK$42,C56,BDD!#REF!))</f>
        <v/>
      </c>
      <c r="F56" s="650" t="str">
        <f>IF(B56="","",parcelles!$E$89 &amp;INDEX($C$10:$H$31,MATCH(B56,$B$10:$B$31,0),MATCH(C56,$C$7:$H$7,0))*D56&amp;" t")</f>
        <v/>
      </c>
      <c r="G56" s="637"/>
      <c r="H56" s="637"/>
      <c r="I56" s="637"/>
      <c r="J56" s="637"/>
      <c r="K56" s="637"/>
      <c r="L56" s="637"/>
      <c r="M56" s="637"/>
      <c r="N56" s="637"/>
      <c r="O56" s="637"/>
      <c r="P56" s="637"/>
      <c r="Q56" s="642"/>
      <c r="R56" s="2"/>
      <c r="S56" s="2"/>
      <c r="T56" s="2"/>
      <c r="U56" s="2"/>
      <c r="V56" s="2"/>
      <c r="W56" s="2"/>
      <c r="X56" s="2"/>
      <c r="Y56" s="2"/>
      <c r="Z56" s="2"/>
      <c r="AA56" s="2"/>
      <c r="AB56" s="2"/>
      <c r="AC56" s="2"/>
      <c r="AD56" s="2"/>
      <c r="AE56" s="2"/>
    </row>
    <row r="57" spans="1:31" ht="24" customHeight="1" x14ac:dyDescent="0.2">
      <c r="A57" s="636"/>
      <c r="B57" s="530"/>
      <c r="C57" s="531"/>
      <c r="D57" s="545"/>
      <c r="E57" s="533" t="str">
        <f>IF(B57="","",INDEX($C$10:$M$31,MATCH(B57,$B$10:$B$31,0),MATCH(C57,$C$7:$M$7,0))*D57*SUMIF(BDD!$HK$3:$HK$42,C57,BDD!#REF!))</f>
        <v/>
      </c>
      <c r="F57" s="650" t="str">
        <f>IF(B57="","",parcelles!$E$89 &amp;INDEX($C$10:$H$31,MATCH(B57,$B$10:$B$31,0),MATCH(C57,$C$7:$H$7,0))*D57&amp;" t")</f>
        <v/>
      </c>
      <c r="G57" s="637"/>
      <c r="H57" s="637"/>
      <c r="I57" s="637"/>
      <c r="J57" s="637"/>
      <c r="K57" s="637"/>
      <c r="L57" s="637"/>
      <c r="M57" s="637"/>
      <c r="N57" s="637"/>
      <c r="O57" s="637"/>
      <c r="P57" s="637"/>
      <c r="Q57" s="642"/>
      <c r="R57" s="2"/>
      <c r="S57" s="2"/>
      <c r="T57" s="2"/>
      <c r="U57" s="2"/>
      <c r="V57" s="2"/>
      <c r="W57" s="2"/>
      <c r="X57" s="2"/>
      <c r="Y57" s="2"/>
      <c r="Z57" s="2"/>
      <c r="AA57" s="2"/>
      <c r="AB57" s="2"/>
      <c r="AC57" s="2"/>
      <c r="AD57" s="2"/>
      <c r="AE57" s="2"/>
    </row>
    <row r="58" spans="1:31" ht="24" customHeight="1" x14ac:dyDescent="0.2">
      <c r="A58" s="636"/>
      <c r="B58" s="530"/>
      <c r="C58" s="531"/>
      <c r="D58" s="545"/>
      <c r="E58" s="533" t="str">
        <f>IF(B58="","",INDEX($C$10:$M$31,MATCH(B58,$B$10:$B$31,0),MATCH(C58,$C$7:$M$7,0))*D58*SUMIF(BDD!$HK$3:$HK$42,C58,BDD!#REF!))</f>
        <v/>
      </c>
      <c r="F58" s="650" t="str">
        <f>IF(B58="","",parcelles!$E$89 &amp;INDEX($C$10:$H$31,MATCH(B58,$B$10:$B$31,0),MATCH(C58,$C$7:$H$7,0))*D58&amp;" t")</f>
        <v/>
      </c>
      <c r="G58" s="637"/>
      <c r="H58" s="637"/>
      <c r="I58" s="637"/>
      <c r="J58" s="637"/>
      <c r="K58" s="637"/>
      <c r="L58" s="637"/>
      <c r="M58" s="637"/>
      <c r="N58" s="637"/>
      <c r="O58" s="637"/>
      <c r="P58" s="637"/>
      <c r="Q58" s="642"/>
      <c r="R58" s="2"/>
      <c r="S58" s="2"/>
      <c r="T58" s="2"/>
      <c r="U58" s="2"/>
      <c r="V58" s="2"/>
      <c r="W58" s="2"/>
      <c r="X58" s="2"/>
      <c r="Y58" s="2"/>
      <c r="Z58" s="2"/>
      <c r="AA58" s="2"/>
      <c r="AB58" s="2"/>
      <c r="AC58" s="2"/>
      <c r="AD58" s="2"/>
      <c r="AE58" s="2"/>
    </row>
    <row r="59" spans="1:31" ht="24" customHeight="1" x14ac:dyDescent="0.2">
      <c r="A59" s="636"/>
      <c r="B59" s="530"/>
      <c r="C59" s="531"/>
      <c r="D59" s="545"/>
      <c r="E59" s="533" t="str">
        <f>IF(B59="","",INDEX($C$10:$M$31,MATCH(B59,$B$10:$B$31,0),MATCH(C59,$C$7:$M$7,0))*D59*SUMIF(BDD!$HK$3:$HK$42,C59,BDD!#REF!))</f>
        <v/>
      </c>
      <c r="F59" s="650" t="str">
        <f>IF(B59="","",parcelles!$E$89 &amp;INDEX($C$10:$H$31,MATCH(B59,$B$10:$B$31,0),MATCH(C59,$C$7:$H$7,0))*D59&amp;" t")</f>
        <v/>
      </c>
      <c r="G59" s="637"/>
      <c r="H59" s="637"/>
      <c r="I59" s="637"/>
      <c r="J59" s="637"/>
      <c r="K59" s="637"/>
      <c r="L59" s="637"/>
      <c r="M59" s="637"/>
      <c r="N59" s="637"/>
      <c r="O59" s="637"/>
      <c r="P59" s="637"/>
      <c r="Q59" s="642"/>
      <c r="R59" s="2"/>
      <c r="S59" s="2"/>
      <c r="T59" s="2"/>
      <c r="U59" s="2"/>
      <c r="V59" s="2"/>
      <c r="W59" s="2"/>
      <c r="X59" s="2"/>
      <c r="Y59" s="2"/>
      <c r="Z59" s="2"/>
      <c r="AA59" s="2"/>
      <c r="AB59" s="2"/>
      <c r="AC59" s="2"/>
      <c r="AD59" s="2"/>
      <c r="AE59" s="2"/>
    </row>
    <row r="60" spans="1:31" ht="24" customHeight="1" x14ac:dyDescent="0.2">
      <c r="A60" s="636"/>
      <c r="B60" s="530"/>
      <c r="C60" s="531"/>
      <c r="D60" s="545"/>
      <c r="E60" s="533" t="str">
        <f>IF(B60="","",INDEX($C$10:$M$31,MATCH(B60,$B$10:$B$31,0),MATCH(C60,$C$7:$M$7,0))*D60*SUMIF(BDD!$HK$3:$HK$42,C60,BDD!#REF!))</f>
        <v/>
      </c>
      <c r="F60" s="650" t="str">
        <f>IF(B60="","",parcelles!$E$89 &amp;INDEX($C$10:$H$31,MATCH(B60,$B$10:$B$31,0),MATCH(C60,$C$7:$H$7,0))*D60&amp;" t")</f>
        <v/>
      </c>
      <c r="G60" s="637"/>
      <c r="H60" s="637"/>
      <c r="I60" s="637"/>
      <c r="J60" s="637"/>
      <c r="K60" s="637"/>
      <c r="L60" s="637"/>
      <c r="M60" s="637"/>
      <c r="N60" s="637"/>
      <c r="O60" s="637"/>
      <c r="P60" s="637"/>
      <c r="Q60" s="642"/>
      <c r="R60" s="2"/>
      <c r="S60" s="2"/>
      <c r="T60" s="2"/>
      <c r="U60" s="2"/>
      <c r="V60" s="2"/>
      <c r="W60" s="2"/>
      <c r="X60" s="2"/>
      <c r="Y60" s="2"/>
      <c r="Z60" s="2"/>
      <c r="AA60" s="2"/>
      <c r="AB60" s="2"/>
      <c r="AC60" s="2"/>
      <c r="AD60" s="2"/>
      <c r="AE60" s="2"/>
    </row>
    <row r="61" spans="1:31" ht="24" customHeight="1" x14ac:dyDescent="0.2">
      <c r="A61" s="636"/>
      <c r="B61" s="530"/>
      <c r="C61" s="531"/>
      <c r="D61" s="545"/>
      <c r="E61" s="533" t="str">
        <f>IF(B61="","",INDEX($C$10:$M$31,MATCH(B61,$B$10:$B$31,0),MATCH(C61,$C$7:$M$7,0))*D61*SUMIF(BDD!$HK$3:$HK$42,C61,BDD!#REF!))</f>
        <v/>
      </c>
      <c r="F61" s="650" t="str">
        <f>IF(B61="","",parcelles!$E$89 &amp;INDEX($C$10:$H$31,MATCH(B61,$B$10:$B$31,0),MATCH(C61,$C$7:$H$7,0))*D61&amp;" t")</f>
        <v/>
      </c>
      <c r="G61" s="637"/>
      <c r="H61" s="637"/>
      <c r="I61" s="637"/>
      <c r="J61" s="637"/>
      <c r="K61" s="637"/>
      <c r="L61" s="637"/>
      <c r="M61" s="637"/>
      <c r="N61" s="637"/>
      <c r="O61" s="637"/>
      <c r="P61" s="637"/>
      <c r="Q61" s="642"/>
      <c r="R61" s="2"/>
      <c r="S61" s="2"/>
      <c r="T61" s="2"/>
      <c r="U61" s="2"/>
      <c r="V61" s="2"/>
      <c r="W61" s="2"/>
      <c r="X61" s="2"/>
      <c r="Y61" s="2"/>
      <c r="Z61" s="2"/>
      <c r="AA61" s="2"/>
      <c r="AB61" s="2"/>
      <c r="AC61" s="2"/>
      <c r="AD61" s="2"/>
      <c r="AE61" s="2"/>
    </row>
    <row r="62" spans="1:31" ht="24" customHeight="1" x14ac:dyDescent="0.2">
      <c r="A62" s="636"/>
      <c r="B62" s="530"/>
      <c r="C62" s="531"/>
      <c r="D62" s="545"/>
      <c r="E62" s="533" t="str">
        <f>IF(B62="","",INDEX($C$10:$M$31,MATCH(B62,$B$10:$B$31,0),MATCH(C62,$C$7:$M$7,0))*D62*SUMIF(BDD!$HK$3:$HK$42,C62,BDD!#REF!))</f>
        <v/>
      </c>
      <c r="F62" s="650" t="str">
        <f>IF(B62="","",parcelles!$E$89 &amp;INDEX($C$10:$H$31,MATCH(B62,$B$10:$B$31,0),MATCH(C62,$C$7:$H$7,0))*D62&amp;" t")</f>
        <v/>
      </c>
      <c r="G62" s="1597" t="str">
        <f>C94</f>
        <v>RETOUR EN HAUT</v>
      </c>
      <c r="H62" s="1598"/>
      <c r="I62" s="1372" t="s">
        <v>162</v>
      </c>
      <c r="J62" s="1373"/>
      <c r="K62" s="637"/>
      <c r="L62" s="637"/>
      <c r="M62" s="637"/>
      <c r="N62" s="637"/>
      <c r="O62" s="637"/>
      <c r="P62" s="637"/>
      <c r="Q62" s="642"/>
      <c r="R62" s="2"/>
      <c r="S62" s="2"/>
      <c r="T62" s="2"/>
      <c r="U62" s="2"/>
      <c r="V62" s="2"/>
      <c r="W62" s="2"/>
      <c r="X62" s="2"/>
      <c r="Y62" s="2"/>
      <c r="Z62" s="2"/>
      <c r="AA62" s="2"/>
      <c r="AB62" s="2"/>
      <c r="AC62" s="2"/>
      <c r="AD62" s="2"/>
      <c r="AE62" s="2"/>
    </row>
    <row r="63" spans="1:31" ht="24" customHeight="1" x14ac:dyDescent="0.2">
      <c r="A63" s="636"/>
      <c r="B63" s="530"/>
      <c r="C63" s="531"/>
      <c r="D63" s="545"/>
      <c r="E63" s="533" t="str">
        <f>IF(B63="","",INDEX($C$10:$M$31,MATCH(B63,$B$10:$B$31,0),MATCH(C63,$C$7:$M$7,0))*D63*SUMIF(BDD!$HK$3:$HK$42,C63,BDD!#REF!))</f>
        <v/>
      </c>
      <c r="F63" s="650" t="str">
        <f>IF(B63="","",parcelles!$E$89 &amp;INDEX($C$10:$H$31,MATCH(B63,$B$10:$B$31,0),MATCH(C63,$C$7:$H$7,0))*D63&amp;" t")</f>
        <v/>
      </c>
      <c r="G63" s="637"/>
      <c r="H63" s="637"/>
      <c r="I63" s="637"/>
      <c r="J63" s="637"/>
      <c r="K63" s="637"/>
      <c r="L63" s="637"/>
      <c r="M63" s="637"/>
      <c r="N63" s="637"/>
      <c r="O63" s="637"/>
      <c r="P63" s="637"/>
      <c r="Q63" s="642"/>
      <c r="R63" s="2"/>
      <c r="S63" s="2"/>
      <c r="T63" s="2"/>
      <c r="U63" s="2"/>
      <c r="V63" s="2"/>
      <c r="W63" s="2"/>
      <c r="X63" s="2"/>
      <c r="Y63" s="2"/>
      <c r="Z63" s="2"/>
      <c r="AA63" s="2"/>
      <c r="AB63" s="2"/>
      <c r="AC63" s="2"/>
      <c r="AD63" s="2"/>
      <c r="AE63" s="2"/>
    </row>
    <row r="64" spans="1:31" ht="24" customHeight="1" x14ac:dyDescent="0.2">
      <c r="A64" s="636"/>
      <c r="B64" s="530"/>
      <c r="C64" s="531"/>
      <c r="D64" s="545"/>
      <c r="E64" s="533" t="str">
        <f>IF(B64="","",INDEX($C$10:$M$31,MATCH(B64,$B$10:$B$31,0),MATCH(C64,$C$7:$M$7,0))*D64*SUMIF(BDD!$HK$3:$HK$42,C64,BDD!#REF!))</f>
        <v/>
      </c>
      <c r="F64" s="650" t="str">
        <f>IF(B64="","",parcelles!$E$89 &amp;INDEX($C$10:$H$31,MATCH(B64,$B$10:$B$31,0),MATCH(C64,$C$7:$H$7,0))*D64&amp;" t")</f>
        <v/>
      </c>
      <c r="G64" s="637"/>
      <c r="H64" s="637"/>
      <c r="I64" s="637"/>
      <c r="J64" s="637"/>
      <c r="K64" s="637"/>
      <c r="L64" s="637"/>
      <c r="M64" s="637"/>
      <c r="N64" s="637"/>
      <c r="O64" s="637"/>
      <c r="P64" s="637"/>
      <c r="Q64" s="642"/>
      <c r="R64" s="2"/>
      <c r="S64" s="2"/>
      <c r="T64" s="2"/>
      <c r="U64" s="2"/>
      <c r="V64" s="2"/>
      <c r="W64" s="2"/>
      <c r="X64" s="2"/>
      <c r="Y64" s="2"/>
      <c r="Z64" s="2"/>
      <c r="AA64" s="2"/>
      <c r="AB64" s="2"/>
      <c r="AC64" s="2"/>
      <c r="AD64" s="2"/>
      <c r="AE64" s="2"/>
    </row>
    <row r="65" spans="1:31" ht="24" customHeight="1" x14ac:dyDescent="0.2">
      <c r="A65" s="636"/>
      <c r="B65" s="530"/>
      <c r="C65" s="531"/>
      <c r="D65" s="545"/>
      <c r="E65" s="533" t="str">
        <f>IF(B65="","",INDEX($C$10:$M$31,MATCH(B65,$B$10:$B$31,0),MATCH(C65,$C$7:$M$7,0))*D65*SUMIF(BDD!$HK$3:$HK$42,C65,BDD!#REF!))</f>
        <v/>
      </c>
      <c r="F65" s="650" t="str">
        <f>IF(B65="","",parcelles!$E$89 &amp;INDEX($C$10:$H$31,MATCH(B65,$B$10:$B$31,0),MATCH(C65,$C$7:$H$7,0))*D65&amp;" t")</f>
        <v/>
      </c>
      <c r="G65" s="637"/>
      <c r="H65" s="637"/>
      <c r="I65" s="637"/>
      <c r="J65" s="637"/>
      <c r="K65" s="637"/>
      <c r="L65" s="637"/>
      <c r="M65" s="637"/>
      <c r="N65" s="637"/>
      <c r="O65" s="637"/>
      <c r="P65" s="637"/>
      <c r="Q65" s="642"/>
      <c r="R65" s="2"/>
      <c r="S65" s="2"/>
      <c r="T65" s="2"/>
      <c r="U65" s="2"/>
      <c r="V65" s="2"/>
      <c r="W65" s="2"/>
      <c r="X65" s="2"/>
      <c r="Y65" s="2"/>
      <c r="Z65" s="2"/>
      <c r="AA65" s="2"/>
      <c r="AB65" s="2"/>
      <c r="AC65" s="2"/>
      <c r="AD65" s="2"/>
      <c r="AE65" s="2"/>
    </row>
    <row r="66" spans="1:31" ht="24" customHeight="1" x14ac:dyDescent="0.2">
      <c r="A66" s="636"/>
      <c r="B66" s="530"/>
      <c r="C66" s="531"/>
      <c r="D66" s="545"/>
      <c r="E66" s="533" t="str">
        <f>IF(B66="","",INDEX($C$10:$M$31,MATCH(B66,$B$10:$B$31,0),MATCH(C66,$C$7:$M$7,0))*D66*SUMIF(BDD!$HK$3:$HK$42,C66,BDD!#REF!))</f>
        <v/>
      </c>
      <c r="F66" s="650" t="str">
        <f>IF(B66="","",parcelles!$E$89 &amp;INDEX($C$10:$H$31,MATCH(B66,$B$10:$B$31,0),MATCH(C66,$C$7:$H$7,0))*D66&amp;" t")</f>
        <v/>
      </c>
      <c r="G66" s="637"/>
      <c r="H66" s="637"/>
      <c r="I66" s="637"/>
      <c r="J66" s="637"/>
      <c r="K66" s="637"/>
      <c r="L66" s="637"/>
      <c r="M66" s="637"/>
      <c r="N66" s="637"/>
      <c r="O66" s="637"/>
      <c r="P66" s="637"/>
      <c r="Q66" s="642"/>
      <c r="R66" s="2"/>
      <c r="S66" s="2"/>
      <c r="T66" s="2"/>
      <c r="U66" s="2"/>
      <c r="V66" s="2"/>
      <c r="W66" s="2"/>
      <c r="X66" s="2"/>
      <c r="Y66" s="2"/>
      <c r="Z66" s="2"/>
      <c r="AA66" s="2"/>
      <c r="AB66" s="2"/>
      <c r="AC66" s="2"/>
      <c r="AD66" s="2"/>
      <c r="AE66" s="2"/>
    </row>
    <row r="67" spans="1:31" ht="24" customHeight="1" x14ac:dyDescent="0.2">
      <c r="A67" s="636"/>
      <c r="B67" s="530"/>
      <c r="C67" s="531"/>
      <c r="D67" s="546"/>
      <c r="E67" s="533" t="str">
        <f>IF(B67="","",INDEX($C$10:$M$31,MATCH(B67,$B$10:$B$31,0),MATCH(C67,$C$7:$M$7,0))*D67*SUMIF(BDD!$HK$3:$HK$42,C67,BDD!#REF!))</f>
        <v/>
      </c>
      <c r="F67" s="650" t="str">
        <f>IF(B67="","",parcelles!$E$89 &amp;INDEX($C$10:$H$31,MATCH(B67,$B$10:$B$31,0),MATCH(C67,$C$7:$H$7,0))*D67&amp;" t")</f>
        <v/>
      </c>
      <c r="G67" s="637"/>
      <c r="H67" s="637"/>
      <c r="I67" s="637"/>
      <c r="J67" s="637"/>
      <c r="K67" s="637"/>
      <c r="L67" s="637"/>
      <c r="M67" s="637"/>
      <c r="N67" s="637"/>
      <c r="O67" s="637"/>
      <c r="P67" s="637"/>
      <c r="Q67" s="642"/>
      <c r="R67" s="2"/>
      <c r="S67" s="2"/>
      <c r="T67" s="2"/>
      <c r="U67" s="2"/>
      <c r="V67" s="2"/>
      <c r="W67" s="2"/>
      <c r="X67" s="2"/>
      <c r="Y67" s="2"/>
      <c r="Z67" s="2"/>
      <c r="AA67" s="2"/>
      <c r="AB67" s="2"/>
      <c r="AC67" s="2"/>
      <c r="AD67" s="2"/>
      <c r="AE67" s="2"/>
    </row>
    <row r="68" spans="1:31" ht="24" customHeight="1" x14ac:dyDescent="0.2">
      <c r="A68" s="636"/>
      <c r="B68" s="530"/>
      <c r="C68" s="531"/>
      <c r="D68" s="546"/>
      <c r="E68" s="533" t="str">
        <f>IF(B68="","",INDEX($C$10:$M$31,MATCH(B68,$B$10:$B$31,0),MATCH(C68,$C$7:$M$7,0))*D68*SUMIF(BDD!$HK$3:$HK$42,C68,BDD!#REF!))</f>
        <v/>
      </c>
      <c r="F68" s="650" t="str">
        <f>IF(B68="","",parcelles!$E$89 &amp;INDEX($C$10:$H$31,MATCH(B68,$B$10:$B$31,0),MATCH(C68,$C$7:$H$7,0))*D68&amp;" t")</f>
        <v/>
      </c>
      <c r="G68" s="637"/>
      <c r="H68" s="637"/>
      <c r="I68" s="637"/>
      <c r="J68" s="637"/>
      <c r="K68" s="637"/>
      <c r="L68" s="637"/>
      <c r="M68" s="637"/>
      <c r="N68" s="637"/>
      <c r="O68" s="637"/>
      <c r="P68" s="637"/>
      <c r="Q68" s="642"/>
      <c r="R68" s="2"/>
      <c r="S68" s="2"/>
      <c r="T68" s="2"/>
      <c r="U68" s="2"/>
      <c r="V68" s="2"/>
      <c r="W68" s="2"/>
      <c r="X68" s="2"/>
      <c r="Y68" s="2"/>
      <c r="Z68" s="2"/>
      <c r="AA68" s="2"/>
      <c r="AB68" s="2"/>
      <c r="AC68" s="2"/>
      <c r="AD68" s="2"/>
      <c r="AE68" s="2"/>
    </row>
    <row r="69" spans="1:31" s="2" customFormat="1" ht="25.5" customHeight="1" x14ac:dyDescent="0.2">
      <c r="A69" s="636"/>
      <c r="B69" s="530"/>
      <c r="C69" s="531"/>
      <c r="D69" s="532"/>
      <c r="E69" s="533" t="str">
        <f>IF(B69="","",INDEX($C$10:$M$31,MATCH(B69,$B$10:$B$31,0),MATCH(C69,$C$7:$M$7,0))*D69*SUMIF(BDD!$HK$3:$HK$42,C69,BDD!#REF!))</f>
        <v/>
      </c>
      <c r="F69" s="650" t="str">
        <f>IF(B69="","",parcelles!$E$89 &amp;INDEX($C$10:$H$31,MATCH(B69,$B$10:$B$31,0),MATCH(C69,$C$7:$H$7,0))*D69&amp;" t")</f>
        <v/>
      </c>
      <c r="G69" s="637"/>
      <c r="H69" s="637"/>
      <c r="I69" s="637"/>
      <c r="J69" s="637"/>
      <c r="K69" s="637"/>
      <c r="L69" s="637"/>
      <c r="M69" s="637"/>
      <c r="N69" s="637"/>
      <c r="O69" s="637"/>
      <c r="P69" s="637"/>
      <c r="Q69" s="642"/>
    </row>
    <row r="70" spans="1:31" ht="25.5" customHeight="1" x14ac:dyDescent="0.2">
      <c r="A70" s="636"/>
      <c r="B70" s="530"/>
      <c r="C70" s="531"/>
      <c r="D70" s="545"/>
      <c r="E70" s="533" t="str">
        <f>IF(B70="","",INDEX($C$10:$M$31,MATCH(B70,$B$10:$B$31,0),MATCH(C70,$C$7:$M$7,0))*D70*SUMIF(BDD!$HK$3:$HK$42,C70,BDD!#REF!))</f>
        <v/>
      </c>
      <c r="F70" s="650" t="str">
        <f>IF(B70="","",parcelles!$E$89 &amp;INDEX($C$10:$H$31,MATCH(B70,$B$10:$B$31,0),MATCH(C70,$C$7:$H$7,0))*D70&amp;" t")</f>
        <v/>
      </c>
      <c r="G70" s="637"/>
      <c r="H70" s="637"/>
      <c r="I70" s="637"/>
      <c r="J70" s="637"/>
      <c r="K70" s="637"/>
      <c r="L70" s="637"/>
      <c r="M70" s="637"/>
      <c r="N70" s="637"/>
      <c r="O70" s="637"/>
      <c r="P70" s="637"/>
      <c r="Q70" s="642"/>
      <c r="R70" s="2"/>
      <c r="S70" s="2"/>
      <c r="T70" s="2"/>
      <c r="U70" s="2"/>
      <c r="V70" s="2"/>
      <c r="W70" s="2"/>
      <c r="X70" s="2"/>
      <c r="Y70" s="2"/>
      <c r="Z70" s="2"/>
      <c r="AA70" s="2"/>
      <c r="AB70" s="2"/>
      <c r="AC70" s="2"/>
      <c r="AD70" s="2"/>
      <c r="AE70" s="2"/>
    </row>
    <row r="71" spans="1:31" ht="25.5" customHeight="1" x14ac:dyDescent="0.2">
      <c r="A71" s="636"/>
      <c r="B71" s="530"/>
      <c r="C71" s="531"/>
      <c r="D71" s="545"/>
      <c r="E71" s="533" t="str">
        <f>IF(B71="","",INDEX($C$10:$M$31,MATCH(B71,$B$10:$B$31,0),MATCH(C71,$C$7:$M$7,0))*D71*SUMIF(BDD!$HK$3:$HK$42,C71,BDD!#REF!))</f>
        <v/>
      </c>
      <c r="F71" s="650" t="str">
        <f>IF(B71="","",parcelles!$E$89 &amp;INDEX($C$10:$H$31,MATCH(B71,$B$10:$B$31,0),MATCH(C71,$C$7:$H$7,0))*D71&amp;" t")</f>
        <v/>
      </c>
      <c r="G71" s="637"/>
      <c r="H71" s="637"/>
      <c r="I71" s="637"/>
      <c r="J71" s="637"/>
      <c r="K71" s="637"/>
      <c r="L71" s="637"/>
      <c r="M71" s="637"/>
      <c r="N71" s="637"/>
      <c r="O71" s="637"/>
      <c r="P71" s="637"/>
      <c r="Q71" s="642"/>
      <c r="R71" s="2"/>
      <c r="S71" s="2"/>
      <c r="T71" s="2"/>
      <c r="U71" s="2"/>
      <c r="V71" s="2"/>
      <c r="W71" s="2"/>
      <c r="X71" s="2"/>
      <c r="Y71" s="2"/>
      <c r="Z71" s="2"/>
      <c r="AA71" s="2"/>
      <c r="AB71" s="2"/>
      <c r="AC71" s="2"/>
      <c r="AD71" s="2"/>
      <c r="AE71" s="2"/>
    </row>
    <row r="72" spans="1:31" ht="25.5" customHeight="1" x14ac:dyDescent="0.2">
      <c r="A72" s="636"/>
      <c r="B72" s="530"/>
      <c r="C72" s="531"/>
      <c r="D72" s="545"/>
      <c r="E72" s="533" t="str">
        <f>IF(B72="","",INDEX($C$10:$M$31,MATCH(B72,$B$10:$B$31,0),MATCH(C72,$C$7:$M$7,0))*D72*SUMIF(BDD!$HK$3:$HK$42,C72,BDD!#REF!))</f>
        <v/>
      </c>
      <c r="F72" s="650" t="str">
        <f>IF(B72="","",parcelles!$E$89 &amp;INDEX($C$10:$H$31,MATCH(B72,$B$10:$B$31,0),MATCH(C72,$C$7:$H$7,0))*D72&amp;" t")</f>
        <v/>
      </c>
      <c r="G72" s="637"/>
      <c r="H72" s="637"/>
      <c r="I72" s="637"/>
      <c r="J72" s="637"/>
      <c r="K72" s="637"/>
      <c r="L72" s="637"/>
      <c r="M72" s="637"/>
      <c r="N72" s="637"/>
      <c r="O72" s="637"/>
      <c r="P72" s="637"/>
      <c r="Q72" s="642"/>
      <c r="R72" s="2"/>
      <c r="S72" s="2"/>
      <c r="T72" s="2"/>
      <c r="U72" s="2"/>
      <c r="V72" s="2"/>
      <c r="W72" s="2"/>
      <c r="X72" s="2"/>
      <c r="Y72" s="2"/>
      <c r="Z72" s="2"/>
      <c r="AA72" s="2"/>
      <c r="AB72" s="2"/>
      <c r="AC72" s="2"/>
      <c r="AD72" s="2"/>
      <c r="AE72" s="2"/>
    </row>
    <row r="73" spans="1:31" ht="25.5" customHeight="1" x14ac:dyDescent="0.2">
      <c r="A73" s="636"/>
      <c r="B73" s="530"/>
      <c r="C73" s="531"/>
      <c r="D73" s="545"/>
      <c r="E73" s="533" t="str">
        <f>IF(B73="","",INDEX($C$10:$M$31,MATCH(B73,$B$10:$B$31,0),MATCH(C73,$C$7:$M$7,0))*D73*SUMIF(BDD!$HK$3:$HK$42,C73,BDD!#REF!))</f>
        <v/>
      </c>
      <c r="F73" s="650" t="str">
        <f>IF(B73="","",parcelles!$E$89 &amp;INDEX($C$10:$H$31,MATCH(B73,$B$10:$B$31,0),MATCH(C73,$C$7:$H$7,0))*D73&amp;" t")</f>
        <v/>
      </c>
      <c r="G73" s="637"/>
      <c r="H73" s="637"/>
      <c r="I73" s="637"/>
      <c r="J73" s="637"/>
      <c r="K73" s="637"/>
      <c r="L73" s="637"/>
      <c r="M73" s="637"/>
      <c r="N73" s="637"/>
      <c r="O73" s="637"/>
      <c r="P73" s="637"/>
      <c r="Q73" s="642"/>
      <c r="R73" s="2"/>
      <c r="S73" s="2"/>
      <c r="T73" s="2"/>
      <c r="U73" s="2"/>
      <c r="V73" s="2"/>
      <c r="W73" s="2"/>
      <c r="X73" s="2"/>
      <c r="Y73" s="2"/>
      <c r="Z73" s="2"/>
      <c r="AA73" s="2"/>
      <c r="AB73" s="2"/>
      <c r="AC73" s="2"/>
      <c r="AD73" s="2"/>
      <c r="AE73" s="2"/>
    </row>
    <row r="74" spans="1:31" ht="25.5" customHeight="1" x14ac:dyDescent="0.2">
      <c r="A74" s="636"/>
      <c r="B74" s="530"/>
      <c r="C74" s="531"/>
      <c r="D74" s="545"/>
      <c r="E74" s="533" t="str">
        <f>IF(B74="","",INDEX($C$10:$M$31,MATCH(B74,$B$10:$B$31,0),MATCH(C74,$C$7:$M$7,0))*D74*SUMIF(BDD!$HK$3:$HK$42,C74,BDD!#REF!))</f>
        <v/>
      </c>
      <c r="F74" s="650" t="str">
        <f>IF(B74="","",parcelles!$E$89 &amp;INDEX($C$10:$H$31,MATCH(B74,$B$10:$B$31,0),MATCH(C74,$C$7:$H$7,0))*D74&amp;" t")</f>
        <v/>
      </c>
      <c r="G74" s="637"/>
      <c r="H74" s="637"/>
      <c r="I74" s="637"/>
      <c r="J74" s="637"/>
      <c r="K74" s="637"/>
      <c r="L74" s="637"/>
      <c r="M74" s="637"/>
      <c r="N74" s="637"/>
      <c r="O74" s="637"/>
      <c r="P74" s="637"/>
      <c r="Q74" s="642"/>
      <c r="R74" s="2"/>
      <c r="S74" s="2"/>
      <c r="T74" s="2"/>
      <c r="U74" s="2"/>
      <c r="V74" s="2"/>
      <c r="W74" s="2"/>
      <c r="X74" s="2"/>
      <c r="Y74" s="2"/>
      <c r="Z74" s="2"/>
      <c r="AA74" s="2"/>
      <c r="AB74" s="2"/>
      <c r="AC74" s="2"/>
      <c r="AD74" s="2"/>
      <c r="AE74" s="2"/>
    </row>
    <row r="75" spans="1:31" ht="25.5" customHeight="1" x14ac:dyDescent="0.2">
      <c r="A75" s="636"/>
      <c r="B75" s="530"/>
      <c r="C75" s="531"/>
      <c r="D75" s="545"/>
      <c r="E75" s="533" t="str">
        <f>IF(B75="","",INDEX($C$10:$M$31,MATCH(B75,$B$10:$B$31,0),MATCH(C75,$C$7:$M$7,0))*D75*SUMIF(BDD!$HK$3:$HK$42,C75,BDD!#REF!))</f>
        <v/>
      </c>
      <c r="F75" s="650" t="str">
        <f>IF(B75="","",parcelles!$E$89 &amp;INDEX($C$10:$H$31,MATCH(B75,$B$10:$B$31,0),MATCH(C75,$C$7:$H$7,0))*D75&amp;" t")</f>
        <v/>
      </c>
      <c r="G75" s="637"/>
      <c r="H75" s="637"/>
      <c r="I75" s="637"/>
      <c r="J75" s="637"/>
      <c r="K75" s="637"/>
      <c r="L75" s="637"/>
      <c r="M75" s="637"/>
      <c r="N75" s="637"/>
      <c r="O75" s="637"/>
      <c r="P75" s="637"/>
      <c r="Q75" s="642"/>
      <c r="R75" s="2"/>
      <c r="S75" s="2"/>
      <c r="T75" s="2"/>
      <c r="U75" s="2"/>
      <c r="V75" s="2"/>
      <c r="W75" s="2"/>
      <c r="X75" s="2"/>
      <c r="Y75" s="2"/>
      <c r="Z75" s="2"/>
      <c r="AA75" s="2"/>
      <c r="AB75" s="2"/>
      <c r="AC75" s="2"/>
      <c r="AD75" s="2"/>
      <c r="AE75" s="2"/>
    </row>
    <row r="76" spans="1:31" ht="25.5" customHeight="1" x14ac:dyDescent="0.2">
      <c r="A76" s="636"/>
      <c r="B76" s="530"/>
      <c r="C76" s="531"/>
      <c r="D76" s="545"/>
      <c r="E76" s="533" t="str">
        <f>IF(B76="","",INDEX($C$10:$M$31,MATCH(B76,$B$10:$B$31,0),MATCH(C76,$C$7:$M$7,0))*D76*SUMIF(BDD!$HK$3:$HK$42,C76,BDD!#REF!))</f>
        <v/>
      </c>
      <c r="F76" s="650" t="str">
        <f>IF(B76="","",parcelles!$E$89 &amp;INDEX($C$10:$H$31,MATCH(B76,$B$10:$B$31,0),MATCH(C76,$C$7:$H$7,0))*D76&amp;" t")</f>
        <v/>
      </c>
      <c r="G76" s="637"/>
      <c r="H76" s="637"/>
      <c r="I76" s="637"/>
      <c r="J76" s="637"/>
      <c r="K76" s="637"/>
      <c r="L76" s="637"/>
      <c r="M76" s="637"/>
      <c r="N76" s="637"/>
      <c r="O76" s="637"/>
      <c r="P76" s="637"/>
      <c r="Q76" s="642"/>
      <c r="R76" s="2"/>
      <c r="S76" s="2"/>
      <c r="T76" s="2"/>
      <c r="U76" s="2"/>
      <c r="V76" s="2"/>
      <c r="W76" s="2"/>
      <c r="X76" s="2"/>
      <c r="Y76" s="2"/>
      <c r="Z76" s="2"/>
      <c r="AA76" s="2"/>
      <c r="AB76" s="2"/>
      <c r="AC76" s="2"/>
      <c r="AD76" s="2"/>
      <c r="AE76" s="2"/>
    </row>
    <row r="77" spans="1:31" ht="25.5" customHeight="1" x14ac:dyDescent="0.2">
      <c r="A77" s="636"/>
      <c r="B77" s="530"/>
      <c r="C77" s="531"/>
      <c r="D77" s="545"/>
      <c r="E77" s="533" t="str">
        <f>IF(B77="","",INDEX($C$10:$M$31,MATCH(B77,$B$10:$B$31,0),MATCH(C77,$C$7:$M$7,0))*D77*SUMIF(BDD!$HK$3:$HK$42,C77,BDD!#REF!))</f>
        <v/>
      </c>
      <c r="F77" s="650" t="str">
        <f>IF(B77="","",parcelles!$E$89 &amp;INDEX($C$10:$H$31,MATCH(B77,$B$10:$B$31,0),MATCH(C77,$C$7:$H$7,0))*D77&amp;" t")</f>
        <v/>
      </c>
      <c r="G77" s="637"/>
      <c r="H77" s="637"/>
      <c r="I77" s="637"/>
      <c r="J77" s="637"/>
      <c r="K77" s="637"/>
      <c r="L77" s="637"/>
      <c r="M77" s="637"/>
      <c r="N77" s="637"/>
      <c r="O77" s="637"/>
      <c r="P77" s="637"/>
      <c r="Q77" s="642"/>
      <c r="R77" s="2"/>
      <c r="S77" s="2"/>
      <c r="T77" s="2"/>
      <c r="U77" s="2"/>
      <c r="V77" s="2"/>
      <c r="W77" s="2"/>
      <c r="X77" s="2"/>
      <c r="Y77" s="2"/>
      <c r="Z77" s="2"/>
      <c r="AA77" s="2"/>
      <c r="AB77" s="2"/>
      <c r="AC77" s="2"/>
      <c r="AD77" s="2"/>
      <c r="AE77" s="2"/>
    </row>
    <row r="78" spans="1:31" ht="25.5" customHeight="1" x14ac:dyDescent="0.2">
      <c r="A78" s="636"/>
      <c r="B78" s="530"/>
      <c r="C78" s="531"/>
      <c r="D78" s="545"/>
      <c r="E78" s="533" t="str">
        <f>IF(B78="","",INDEX($C$10:$M$31,MATCH(B78,$B$10:$B$31,0),MATCH(C78,$C$7:$M$7,0))*D78*SUMIF(BDD!$HK$3:$HK$42,C78,BDD!#REF!))</f>
        <v/>
      </c>
      <c r="F78" s="650" t="str">
        <f>IF(B78="","",parcelles!$E$89 &amp;INDEX($C$10:$H$31,MATCH(B78,$B$10:$B$31,0),MATCH(C78,$C$7:$H$7,0))*D78&amp;" t")</f>
        <v/>
      </c>
      <c r="G78" s="637"/>
      <c r="H78" s="637"/>
      <c r="I78" s="637"/>
      <c r="J78" s="637"/>
      <c r="K78" s="637"/>
      <c r="L78" s="637"/>
      <c r="M78" s="637"/>
      <c r="N78" s="637"/>
      <c r="O78" s="637"/>
      <c r="P78" s="637"/>
      <c r="Q78" s="642"/>
      <c r="R78" s="2"/>
      <c r="S78" s="2"/>
      <c r="T78" s="2"/>
      <c r="U78" s="2"/>
      <c r="V78" s="2"/>
      <c r="W78" s="2"/>
      <c r="X78" s="2"/>
      <c r="Y78" s="2"/>
      <c r="Z78" s="2"/>
      <c r="AA78" s="2"/>
      <c r="AB78" s="2"/>
      <c r="AC78" s="2"/>
      <c r="AD78" s="2"/>
      <c r="AE78" s="2"/>
    </row>
    <row r="79" spans="1:31" ht="25.5" customHeight="1" x14ac:dyDescent="0.2">
      <c r="A79" s="636"/>
      <c r="B79" s="530"/>
      <c r="C79" s="531"/>
      <c r="D79" s="545"/>
      <c r="E79" s="533" t="str">
        <f>IF(B79="","",INDEX($C$10:$M$31,MATCH(B79,$B$10:$B$31,0),MATCH(C79,$C$7:$M$7,0))*D79*SUMIF(BDD!$HK$3:$HK$42,C79,BDD!#REF!))</f>
        <v/>
      </c>
      <c r="F79" s="650" t="str">
        <f>IF(B79="","",parcelles!$E$89 &amp;INDEX($C$10:$H$31,MATCH(B79,$B$10:$B$31,0),MATCH(C79,$C$7:$H$7,0))*D79&amp;" t")</f>
        <v/>
      </c>
      <c r="G79" s="637"/>
      <c r="H79" s="637"/>
      <c r="I79" s="637"/>
      <c r="J79" s="637"/>
      <c r="K79" s="637"/>
      <c r="L79" s="637"/>
      <c r="M79" s="637"/>
      <c r="N79" s="637"/>
      <c r="O79" s="637"/>
      <c r="P79" s="637"/>
      <c r="Q79" s="642"/>
      <c r="R79" s="2"/>
      <c r="S79" s="2"/>
      <c r="T79" s="2"/>
      <c r="U79" s="2"/>
      <c r="V79" s="2"/>
      <c r="W79" s="2"/>
      <c r="X79" s="2"/>
      <c r="Y79" s="2"/>
      <c r="Z79" s="2"/>
      <c r="AA79" s="2"/>
      <c r="AB79" s="2"/>
      <c r="AC79" s="2"/>
      <c r="AD79" s="2"/>
      <c r="AE79" s="2"/>
    </row>
    <row r="80" spans="1:31" ht="25.5" customHeight="1" x14ac:dyDescent="0.2">
      <c r="A80" s="636"/>
      <c r="B80" s="530"/>
      <c r="C80" s="531"/>
      <c r="D80" s="545"/>
      <c r="E80" s="533" t="str">
        <f>IF(B80="","",INDEX($C$10:$M$31,MATCH(B80,$B$10:$B$31,0),MATCH(C80,$C$7:$M$7,0))*D80*SUMIF(BDD!$HK$3:$HK$42,C80,BDD!#REF!))</f>
        <v/>
      </c>
      <c r="F80" s="650" t="str">
        <f>IF(B80="","",parcelles!$E$89 &amp;INDEX($C$10:$H$31,MATCH(B80,$B$10:$B$31,0),MATCH(C80,$C$7:$H$7,0))*D80&amp;" t")</f>
        <v/>
      </c>
      <c r="G80" s="637"/>
      <c r="H80" s="637"/>
      <c r="I80" s="637"/>
      <c r="J80" s="637"/>
      <c r="K80" s="637"/>
      <c r="L80" s="637"/>
      <c r="M80" s="637"/>
      <c r="N80" s="637"/>
      <c r="O80" s="637"/>
      <c r="P80" s="637"/>
      <c r="Q80" s="642"/>
      <c r="R80" s="2"/>
      <c r="S80" s="2"/>
      <c r="T80" s="2"/>
      <c r="U80" s="2"/>
      <c r="V80" s="2"/>
      <c r="W80" s="2"/>
      <c r="X80" s="2"/>
      <c r="Y80" s="2"/>
      <c r="Z80" s="2"/>
      <c r="AA80" s="2"/>
      <c r="AB80" s="2"/>
      <c r="AC80" s="2"/>
      <c r="AD80" s="2"/>
      <c r="AE80" s="2"/>
    </row>
    <row r="81" spans="1:31" ht="25.5" customHeight="1" x14ac:dyDescent="0.2">
      <c r="A81" s="636"/>
      <c r="B81" s="530"/>
      <c r="C81" s="531"/>
      <c r="D81" s="545"/>
      <c r="E81" s="533" t="str">
        <f>IF(B81="","",INDEX($C$10:$M$31,MATCH(B81,$B$10:$B$31,0),MATCH(C81,$C$7:$M$7,0))*D81*SUMIF(BDD!$HK$3:$HK$42,C81,BDD!#REF!))</f>
        <v/>
      </c>
      <c r="F81" s="650" t="str">
        <f>IF(B81="","",parcelles!$E$89 &amp;INDEX($C$10:$H$31,MATCH(B81,$B$10:$B$31,0),MATCH(C81,$C$7:$H$7,0))*D81&amp;" t")</f>
        <v/>
      </c>
      <c r="G81" s="637"/>
      <c r="H81" s="637"/>
      <c r="I81" s="637"/>
      <c r="J81" s="637"/>
      <c r="K81" s="637"/>
      <c r="L81" s="637"/>
      <c r="M81" s="637"/>
      <c r="N81" s="637"/>
      <c r="O81" s="637"/>
      <c r="P81" s="637"/>
      <c r="Q81" s="642"/>
      <c r="R81" s="2"/>
      <c r="S81" s="2"/>
      <c r="T81" s="2"/>
      <c r="U81" s="2"/>
      <c r="V81" s="2"/>
      <c r="W81" s="2"/>
      <c r="X81" s="2"/>
      <c r="Y81" s="2"/>
      <c r="Z81" s="2"/>
      <c r="AA81" s="2"/>
      <c r="AB81" s="2"/>
      <c r="AC81" s="2"/>
      <c r="AD81" s="2"/>
      <c r="AE81" s="2"/>
    </row>
    <row r="82" spans="1:31" ht="25.5" customHeight="1" x14ac:dyDescent="0.2">
      <c r="A82" s="636"/>
      <c r="B82" s="530"/>
      <c r="C82" s="531"/>
      <c r="D82" s="545"/>
      <c r="E82" s="533" t="str">
        <f>IF(B82="","",INDEX($C$10:$M$31,MATCH(B82,$B$10:$B$31,0),MATCH(C82,$C$7:$M$7,0))*D82*SUMIF(BDD!$HK$3:$HK$42,C82,BDD!#REF!))</f>
        <v/>
      </c>
      <c r="F82" s="650" t="str">
        <f>IF(B82="","",parcelles!$E$89 &amp;INDEX($C$10:$H$31,MATCH(B82,$B$10:$B$31,0),MATCH(C82,$C$7:$H$7,0))*D82&amp;" t")</f>
        <v/>
      </c>
      <c r="G82" s="637"/>
      <c r="H82" s="637"/>
      <c r="I82" s="637"/>
      <c r="J82" s="637"/>
      <c r="K82" s="637"/>
      <c r="L82" s="637"/>
      <c r="M82" s="637"/>
      <c r="N82" s="637"/>
      <c r="O82" s="637"/>
      <c r="P82" s="637"/>
      <c r="Q82" s="642"/>
      <c r="R82" s="2"/>
      <c r="S82" s="2"/>
      <c r="T82" s="2"/>
      <c r="U82" s="2"/>
      <c r="V82" s="2"/>
      <c r="W82" s="2"/>
      <c r="X82" s="2"/>
      <c r="Y82" s="2"/>
      <c r="Z82" s="2"/>
      <c r="AA82" s="2"/>
      <c r="AB82" s="2"/>
      <c r="AC82" s="2"/>
      <c r="AD82" s="2"/>
      <c r="AE82" s="2"/>
    </row>
    <row r="83" spans="1:31" ht="25.5" customHeight="1" x14ac:dyDescent="0.2">
      <c r="A83" s="636"/>
      <c r="B83" s="530"/>
      <c r="C83" s="531"/>
      <c r="D83" s="545"/>
      <c r="E83" s="533" t="str">
        <f>IF(B83="","",INDEX($C$10:$M$31,MATCH(B83,$B$10:$B$31,0),MATCH(C83,$C$7:$M$7,0))*D83*SUMIF(BDD!$HK$3:$HK$42,C83,BDD!#REF!))</f>
        <v/>
      </c>
      <c r="F83" s="650" t="str">
        <f>IF(B83="","",parcelles!$E$89 &amp;INDEX($C$10:$H$31,MATCH(B83,$B$10:$B$31,0),MATCH(C83,$C$7:$H$7,0))*D83&amp;" t")</f>
        <v/>
      </c>
      <c r="G83" s="637"/>
      <c r="H83" s="637"/>
      <c r="I83" s="637"/>
      <c r="J83" s="637"/>
      <c r="K83" s="637"/>
      <c r="L83" s="637"/>
      <c r="M83" s="637"/>
      <c r="N83" s="637"/>
      <c r="O83" s="637"/>
      <c r="P83" s="637"/>
      <c r="Q83" s="642"/>
      <c r="R83" s="2"/>
      <c r="S83" s="2"/>
      <c r="T83" s="2"/>
      <c r="U83" s="2"/>
      <c r="V83" s="2"/>
      <c r="W83" s="2"/>
      <c r="X83" s="2"/>
      <c r="Y83" s="2"/>
      <c r="Z83" s="2"/>
      <c r="AA83" s="2"/>
      <c r="AB83" s="2"/>
      <c r="AC83" s="2"/>
      <c r="AD83" s="2"/>
      <c r="AE83" s="2"/>
    </row>
    <row r="84" spans="1:31" ht="25.5" customHeight="1" x14ac:dyDescent="0.2">
      <c r="A84" s="636"/>
      <c r="B84" s="530"/>
      <c r="C84" s="531"/>
      <c r="D84" s="545"/>
      <c r="E84" s="533" t="str">
        <f>IF(B84="","",INDEX($C$10:$M$31,MATCH(B84,$B$10:$B$31,0),MATCH(C84,$C$7:$M$7,0))*D84*SUMIF(BDD!$HK$3:$HK$42,C84,BDD!#REF!))</f>
        <v/>
      </c>
      <c r="F84" s="650" t="str">
        <f>IF(B84="","",parcelles!$E$89 &amp;INDEX($C$10:$H$31,MATCH(B84,$B$10:$B$31,0),MATCH(C84,$C$7:$H$7,0))*D84&amp;" t")</f>
        <v/>
      </c>
      <c r="G84" s="637"/>
      <c r="H84" s="637"/>
      <c r="I84" s="637"/>
      <c r="J84" s="637"/>
      <c r="K84" s="637"/>
      <c r="L84" s="637"/>
      <c r="M84" s="637"/>
      <c r="N84" s="637"/>
      <c r="O84" s="637"/>
      <c r="P84" s="637"/>
      <c r="Q84" s="642"/>
      <c r="R84" s="2"/>
      <c r="S84" s="2"/>
      <c r="T84" s="2"/>
      <c r="U84" s="2"/>
      <c r="V84" s="2"/>
      <c r="W84" s="2"/>
      <c r="X84" s="2"/>
      <c r="Y84" s="2"/>
      <c r="Z84" s="2"/>
      <c r="AA84" s="2"/>
      <c r="AB84" s="2"/>
      <c r="AC84" s="2"/>
      <c r="AD84" s="2"/>
      <c r="AE84" s="2"/>
    </row>
    <row r="85" spans="1:31" ht="25.5" customHeight="1" x14ac:dyDescent="0.2">
      <c r="A85" s="636"/>
      <c r="B85" s="530"/>
      <c r="C85" s="531"/>
      <c r="D85" s="545"/>
      <c r="E85" s="533" t="str">
        <f>IF(B85="","",INDEX($C$10:$M$31,MATCH(B85,$B$10:$B$31,0),MATCH(C85,$C$7:$M$7,0))*D85*SUMIF(BDD!$HK$3:$HK$42,C85,BDD!#REF!))</f>
        <v/>
      </c>
      <c r="F85" s="650" t="str">
        <f>IF(B85="","",parcelles!$E$89 &amp;INDEX($C$10:$H$31,MATCH(B85,$B$10:$B$31,0),MATCH(C85,$C$7:$H$7,0))*D85&amp;" t")</f>
        <v/>
      </c>
      <c r="G85" s="637"/>
      <c r="H85" s="637"/>
      <c r="I85" s="637"/>
      <c r="J85" s="637"/>
      <c r="K85" s="637"/>
      <c r="L85" s="637"/>
      <c r="M85" s="637"/>
      <c r="N85" s="637"/>
      <c r="O85" s="637"/>
      <c r="P85" s="637"/>
      <c r="Q85" s="642"/>
      <c r="R85" s="2"/>
      <c r="S85" s="2"/>
      <c r="T85" s="2"/>
      <c r="U85" s="2"/>
      <c r="V85" s="2"/>
      <c r="W85" s="2"/>
      <c r="X85" s="2"/>
      <c r="Y85" s="2"/>
      <c r="Z85" s="2"/>
      <c r="AA85" s="2"/>
      <c r="AB85" s="2"/>
      <c r="AC85" s="2"/>
      <c r="AD85" s="2"/>
      <c r="AE85" s="2"/>
    </row>
    <row r="86" spans="1:31" ht="25.5" customHeight="1" x14ac:dyDescent="0.2">
      <c r="A86" s="636"/>
      <c r="B86" s="530"/>
      <c r="C86" s="531"/>
      <c r="D86" s="545"/>
      <c r="E86" s="533" t="str">
        <f>IF(B86="","",INDEX($C$10:$M$31,MATCH(B86,$B$10:$B$31,0),MATCH(C86,$C$7:$M$7,0))*D86*SUMIF(BDD!$HK$3:$HK$42,C86,BDD!#REF!))</f>
        <v/>
      </c>
      <c r="F86" s="650" t="str">
        <f>IF(B86="","",parcelles!$E$89 &amp;INDEX($C$10:$H$31,MATCH(B86,$B$10:$B$31,0),MATCH(C86,$C$7:$H$7,0))*D86&amp;" t")</f>
        <v/>
      </c>
      <c r="G86" s="637"/>
      <c r="H86" s="637"/>
      <c r="I86" s="637"/>
      <c r="J86" s="637"/>
      <c r="K86" s="637"/>
      <c r="L86" s="637"/>
      <c r="M86" s="637"/>
      <c r="N86" s="637"/>
      <c r="O86" s="637"/>
      <c r="P86" s="637"/>
      <c r="Q86" s="642"/>
      <c r="R86" s="2"/>
      <c r="S86" s="2"/>
      <c r="T86" s="2"/>
      <c r="U86" s="2"/>
      <c r="V86" s="2"/>
      <c r="W86" s="2"/>
      <c r="X86" s="2"/>
      <c r="Y86" s="2"/>
      <c r="Z86" s="2"/>
      <c r="AA86" s="2"/>
      <c r="AB86" s="2"/>
      <c r="AC86" s="2"/>
      <c r="AD86" s="2"/>
      <c r="AE86" s="2"/>
    </row>
    <row r="87" spans="1:31" ht="25.5" customHeight="1" x14ac:dyDescent="0.2">
      <c r="A87" s="636"/>
      <c r="B87" s="530"/>
      <c r="C87" s="531"/>
      <c r="D87" s="545"/>
      <c r="E87" s="533" t="str">
        <f>IF(B87="","",INDEX($C$10:$M$31,MATCH(B87,$B$10:$B$31,0),MATCH(C87,$C$7:$M$7,0))*D87*SUMIF(BDD!$HK$3:$HK$42,C87,BDD!#REF!))</f>
        <v/>
      </c>
      <c r="F87" s="650" t="str">
        <f>IF(B87="","",parcelles!$E$89 &amp;INDEX($C$10:$H$31,MATCH(B87,$B$10:$B$31,0),MATCH(C87,$C$7:$H$7,0))*D87&amp;" t")</f>
        <v/>
      </c>
      <c r="G87" s="637"/>
      <c r="H87" s="637"/>
      <c r="I87" s="637"/>
      <c r="J87" s="637"/>
      <c r="K87" s="637"/>
      <c r="L87" s="637"/>
      <c r="M87" s="637"/>
      <c r="N87" s="637"/>
      <c r="O87" s="637"/>
      <c r="P87" s="637"/>
      <c r="Q87" s="642"/>
      <c r="R87" s="2"/>
      <c r="S87" s="2"/>
      <c r="T87" s="2"/>
      <c r="U87" s="2"/>
      <c r="V87" s="2"/>
      <c r="W87" s="2"/>
      <c r="X87" s="2"/>
      <c r="Y87" s="2"/>
      <c r="Z87" s="2"/>
      <c r="AA87" s="2"/>
      <c r="AB87" s="2"/>
      <c r="AC87" s="2"/>
      <c r="AD87" s="2"/>
      <c r="AE87" s="2"/>
    </row>
    <row r="88" spans="1:31" ht="25.5" customHeight="1" x14ac:dyDescent="0.2">
      <c r="A88" s="636"/>
      <c r="B88" s="530"/>
      <c r="C88" s="531"/>
      <c r="D88" s="545"/>
      <c r="E88" s="533" t="str">
        <f>IF(B88="","",INDEX($C$10:$M$31,MATCH(B88,$B$10:$B$31,0),MATCH(C88,$C$7:$M$7,0))*D88*SUMIF(BDD!$HK$3:$HK$42,C88,BDD!#REF!))</f>
        <v/>
      </c>
      <c r="F88" s="650" t="str">
        <f>IF(B88="","",parcelles!$E$89 &amp;INDEX($C$10:$H$31,MATCH(B88,$B$10:$B$31,0),MATCH(C88,$C$7:$H$7,0))*D88&amp;" t")</f>
        <v/>
      </c>
      <c r="G88" s="637"/>
      <c r="H88" s="637"/>
      <c r="I88" s="637"/>
      <c r="J88" s="637"/>
      <c r="K88" s="637"/>
      <c r="L88" s="637"/>
      <c r="M88" s="637"/>
      <c r="N88" s="637"/>
      <c r="O88" s="637"/>
      <c r="P88" s="637"/>
      <c r="Q88" s="642"/>
      <c r="R88" s="2"/>
      <c r="S88" s="2"/>
      <c r="T88" s="2"/>
      <c r="U88" s="2"/>
      <c r="V88" s="2"/>
      <c r="W88" s="2"/>
      <c r="X88" s="2"/>
      <c r="Y88" s="2"/>
      <c r="Z88" s="2"/>
      <c r="AA88" s="2"/>
      <c r="AB88" s="2"/>
      <c r="AC88" s="2"/>
      <c r="AD88" s="2"/>
      <c r="AE88" s="2"/>
    </row>
    <row r="89" spans="1:31" ht="25.5" customHeight="1" x14ac:dyDescent="0.2">
      <c r="A89" s="636"/>
      <c r="B89" s="530"/>
      <c r="C89" s="531"/>
      <c r="D89" s="545"/>
      <c r="E89" s="533" t="str">
        <f>IF(B89="","",INDEX($C$10:$M$31,MATCH(B89,$B$10:$B$31,0),MATCH(C89,$C$7:$M$7,0))*D89*SUMIF(BDD!$HK$3:$HK$42,C89,BDD!#REF!))</f>
        <v/>
      </c>
      <c r="F89" s="650" t="str">
        <f>IF(B89="","",parcelles!$E$89 &amp;INDEX($C$10:$H$31,MATCH(B89,$B$10:$B$31,0),MATCH(C89,$C$7:$H$7,0))*D89&amp;" t")</f>
        <v/>
      </c>
      <c r="G89" s="637"/>
      <c r="H89" s="637"/>
      <c r="I89" s="637"/>
      <c r="J89" s="637"/>
      <c r="K89" s="637"/>
      <c r="L89" s="637"/>
      <c r="M89" s="637"/>
      <c r="N89" s="637"/>
      <c r="O89" s="637"/>
      <c r="P89" s="637"/>
      <c r="Q89" s="642"/>
      <c r="R89" s="2"/>
      <c r="S89" s="2"/>
      <c r="T89" s="2"/>
      <c r="U89" s="2"/>
      <c r="V89" s="2"/>
      <c r="W89" s="2"/>
      <c r="X89" s="2"/>
      <c r="Y89" s="2"/>
      <c r="Z89" s="2"/>
      <c r="AA89" s="2"/>
      <c r="AB89" s="2"/>
      <c r="AC89" s="2"/>
      <c r="AD89" s="2"/>
      <c r="AE89" s="2"/>
    </row>
    <row r="90" spans="1:31" ht="25.5" customHeight="1" x14ac:dyDescent="0.2">
      <c r="A90" s="636"/>
      <c r="B90" s="530"/>
      <c r="C90" s="531"/>
      <c r="D90" s="545"/>
      <c r="E90" s="533" t="str">
        <f>IF(B90="","",INDEX($C$10:$M$31,MATCH(B90,$B$10:$B$31,0),MATCH(C90,$C$7:$M$7,0))*D90*SUMIF(BDD!$HK$3:$HK$42,C90,BDD!#REF!))</f>
        <v/>
      </c>
      <c r="F90" s="650" t="str">
        <f>IF(B90="","",parcelles!$E$89 &amp;INDEX($C$10:$H$31,MATCH(B90,$B$10:$B$31,0),MATCH(C90,$C$7:$H$7,0))*D90&amp;" t")</f>
        <v/>
      </c>
      <c r="G90" s="637"/>
      <c r="H90" s="637"/>
      <c r="I90" s="637"/>
      <c r="J90" s="637"/>
      <c r="K90" s="637"/>
      <c r="L90" s="637"/>
      <c r="M90" s="637"/>
      <c r="N90" s="637"/>
      <c r="O90" s="637"/>
      <c r="P90" s="637"/>
      <c r="Q90" s="642"/>
      <c r="R90" s="2"/>
      <c r="S90" s="2"/>
      <c r="T90" s="2"/>
      <c r="U90" s="2"/>
      <c r="V90" s="2"/>
      <c r="W90" s="2"/>
      <c r="X90" s="2"/>
      <c r="Y90" s="2"/>
      <c r="Z90" s="2"/>
      <c r="AA90" s="2"/>
      <c r="AB90" s="2"/>
      <c r="AC90" s="2"/>
      <c r="AD90" s="2"/>
      <c r="AE90" s="2"/>
    </row>
    <row r="91" spans="1:31" ht="25.5" customHeight="1" x14ac:dyDescent="0.2">
      <c r="A91" s="636"/>
      <c r="B91" s="530"/>
      <c r="C91" s="531"/>
      <c r="D91" s="546"/>
      <c r="E91" s="533" t="str">
        <f>IF(B91="","",INDEX($C$10:$M$31,MATCH(B91,$B$10:$B$31,0),MATCH(C91,$C$7:$M$7,0))*D91*SUMIF(BDD!$HK$3:$HK$42,C91,BDD!#REF!))</f>
        <v/>
      </c>
      <c r="F91" s="650" t="str">
        <f>IF(B91="","",parcelles!$E$89 &amp;INDEX($C$10:$H$31,MATCH(B91,$B$10:$B$31,0),MATCH(C91,$C$7:$H$7,0))*D91&amp;" t")</f>
        <v/>
      </c>
      <c r="G91" s="637"/>
      <c r="H91" s="637"/>
      <c r="I91" s="637"/>
      <c r="J91" s="637"/>
      <c r="K91" s="637"/>
      <c r="L91" s="637"/>
      <c r="M91" s="637"/>
      <c r="N91" s="637"/>
      <c r="O91" s="637"/>
      <c r="P91" s="637"/>
      <c r="Q91" s="642"/>
      <c r="R91" s="2"/>
      <c r="S91" s="2"/>
      <c r="T91" s="2"/>
      <c r="U91" s="2"/>
      <c r="V91" s="2"/>
      <c r="W91" s="2"/>
      <c r="X91" s="2"/>
      <c r="Y91" s="2"/>
      <c r="Z91" s="2"/>
      <c r="AA91" s="2"/>
      <c r="AB91" s="2"/>
      <c r="AC91" s="2"/>
      <c r="AD91" s="2"/>
      <c r="AE91" s="2"/>
    </row>
    <row r="92" spans="1:31" ht="25.5" customHeight="1" x14ac:dyDescent="0.2">
      <c r="A92" s="636"/>
      <c r="B92" s="530"/>
      <c r="C92" s="531"/>
      <c r="D92" s="546"/>
      <c r="E92" s="533" t="str">
        <f>IF(B92="","",INDEX($C$10:$M$31,MATCH(B92,$B$10:$B$31,0),MATCH(C92,$C$7:$M$7,0))*D92*SUMIF(BDD!$HK$3:$HK$42,C92,BDD!#REF!))</f>
        <v/>
      </c>
      <c r="F92" s="650" t="str">
        <f>IF(B92="","",parcelles!$E$89 &amp;INDEX($C$10:$H$31,MATCH(B92,$B$10:$B$31,0),MATCH(C92,$C$7:$H$7,0))*D92&amp;" t")</f>
        <v/>
      </c>
      <c r="G92" s="637"/>
      <c r="H92" s="637"/>
      <c r="I92" s="637"/>
      <c r="J92" s="637"/>
      <c r="K92" s="637"/>
      <c r="L92" s="637"/>
      <c r="M92" s="637"/>
      <c r="N92" s="637"/>
      <c r="O92" s="637"/>
      <c r="P92" s="637"/>
      <c r="Q92" s="642"/>
      <c r="R92" s="2"/>
      <c r="S92" s="2"/>
      <c r="T92" s="2"/>
      <c r="U92" s="2"/>
      <c r="V92" s="2"/>
      <c r="W92" s="2"/>
      <c r="X92" s="2"/>
      <c r="Y92" s="2"/>
      <c r="Z92" s="2"/>
      <c r="AA92" s="2"/>
      <c r="AB92" s="2"/>
      <c r="AC92" s="2"/>
      <c r="AD92" s="2"/>
      <c r="AE92" s="2"/>
    </row>
    <row r="93" spans="1:31" x14ac:dyDescent="0.2">
      <c r="A93" s="636"/>
      <c r="B93" s="643"/>
      <c r="C93" s="643"/>
      <c r="D93" s="643"/>
      <c r="E93" s="643"/>
      <c r="F93" s="637"/>
      <c r="G93" s="637"/>
      <c r="H93" s="637"/>
      <c r="I93" s="637"/>
      <c r="J93" s="637"/>
      <c r="K93" s="637"/>
      <c r="L93" s="637"/>
      <c r="M93" s="637"/>
      <c r="N93" s="637"/>
      <c r="O93" s="637"/>
      <c r="P93" s="637"/>
      <c r="Q93" s="642"/>
      <c r="R93" s="2"/>
      <c r="S93" s="2"/>
      <c r="T93" s="2"/>
      <c r="U93" s="2"/>
      <c r="V93" s="2"/>
      <c r="W93" s="2"/>
      <c r="X93" s="2"/>
      <c r="Y93" s="2"/>
      <c r="Z93" s="2"/>
      <c r="AA93" s="2"/>
      <c r="AB93" s="2"/>
      <c r="AC93" s="2"/>
      <c r="AD93" s="2"/>
      <c r="AE93" s="2"/>
    </row>
    <row r="94" spans="1:31" x14ac:dyDescent="0.2">
      <c r="A94" s="636"/>
      <c r="B94" s="637"/>
      <c r="C94" s="1597" t="str">
        <f>'pâtures et foin'!B56</f>
        <v>RETOUR EN HAUT</v>
      </c>
      <c r="D94" s="1598"/>
      <c r="E94" s="1372" t="s">
        <v>162</v>
      </c>
      <c r="F94" s="1373"/>
      <c r="G94" s="637"/>
      <c r="H94" s="637"/>
      <c r="I94" s="637"/>
      <c r="J94" s="637"/>
      <c r="K94" s="637"/>
      <c r="L94" s="637"/>
      <c r="M94" s="637"/>
      <c r="N94" s="637"/>
      <c r="O94" s="637"/>
      <c r="P94" s="637"/>
      <c r="Q94" s="642"/>
      <c r="R94" s="2"/>
      <c r="S94" s="2"/>
      <c r="T94" s="2"/>
      <c r="U94" s="2"/>
      <c r="V94" s="2"/>
      <c r="W94" s="2"/>
      <c r="X94" s="2"/>
      <c r="Y94" s="2"/>
      <c r="Z94" s="2"/>
      <c r="AA94" s="2"/>
      <c r="AB94" s="2"/>
      <c r="AC94" s="2"/>
      <c r="AD94" s="2"/>
      <c r="AE94" s="2"/>
    </row>
    <row r="95" spans="1:31" ht="13.5" thickBot="1" x14ac:dyDescent="0.25">
      <c r="A95" s="653"/>
      <c r="B95" s="651"/>
      <c r="C95" s="651"/>
      <c r="D95" s="651"/>
      <c r="E95" s="651"/>
      <c r="F95" s="651"/>
      <c r="G95" s="651"/>
      <c r="H95" s="651"/>
      <c r="I95" s="651"/>
      <c r="J95" s="651"/>
      <c r="K95" s="651"/>
      <c r="L95" s="651"/>
      <c r="M95" s="651"/>
      <c r="N95" s="651"/>
      <c r="O95" s="651"/>
      <c r="P95" s="651"/>
      <c r="Q95" s="652"/>
      <c r="R95" s="2"/>
      <c r="S95" s="2"/>
      <c r="T95" s="2"/>
      <c r="U95" s="2"/>
      <c r="V95" s="2"/>
      <c r="W95" s="2"/>
      <c r="X95" s="2"/>
      <c r="Y95" s="2"/>
      <c r="Z95" s="2"/>
      <c r="AA95" s="2"/>
      <c r="AB95" s="2"/>
      <c r="AC95" s="2"/>
      <c r="AD95" s="2"/>
      <c r="AE95" s="2"/>
    </row>
    <row r="96" spans="1:3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sheetData>
  <sheetProtection pivotTables="0"/>
  <mergeCells count="11">
    <mergeCell ref="C38:D38"/>
    <mergeCell ref="B40:D40"/>
    <mergeCell ref="G62:H62"/>
    <mergeCell ref="I62:J62"/>
    <mergeCell ref="C94:D94"/>
    <mergeCell ref="E94:F94"/>
    <mergeCell ref="B1:D1"/>
    <mergeCell ref="E1:F1"/>
    <mergeCell ref="I2:J2"/>
    <mergeCell ref="B3:E3"/>
    <mergeCell ref="Y8:Z8"/>
  </mergeCells>
  <conditionalFormatting sqref="F45:F92 C9:M9">
    <cfRule type="cellIs" dxfId="226" priority="3" stopIfTrue="1" operator="equal">
      <formula>"---"</formula>
    </cfRule>
    <cfRule type="cellIs" dxfId="225" priority="4" stopIfTrue="1" operator="equal">
      <formula>"N.C."</formula>
    </cfRule>
  </conditionalFormatting>
  <conditionalFormatting sqref="B42:C42 G42:M42">
    <cfRule type="cellIs" dxfId="224" priority="5" stopIfTrue="1" operator="equal">
      <formula>"N.A."</formula>
    </cfRule>
  </conditionalFormatting>
  <conditionalFormatting sqref="C10:M31">
    <cfRule type="cellIs" dxfId="223" priority="6" stopIfTrue="1" operator="equal">
      <formula>0</formula>
    </cfRule>
    <cfRule type="cellIs" dxfId="222" priority="7" stopIfTrue="1" operator="equal">
      <formula>"N.C."</formula>
    </cfRule>
  </conditionalFormatting>
  <dataValidations count="5">
    <dataValidation type="list" allowBlank="1" showInputMessage="1" showErrorMessage="1" sqref="WVX98301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508 JL65508 TH65508 ADD65508 AMZ65508 AWV65508 BGR65508 BQN65508 CAJ65508 CKF65508 CUB65508 DDX65508 DNT65508 DXP65508 EHL65508 ERH65508 FBD65508 FKZ65508 FUV65508 GER65508 GON65508 GYJ65508 HIF65508 HSB65508 IBX65508 ILT65508 IVP65508 JFL65508 JPH65508 JZD65508 KIZ65508 KSV65508 LCR65508 LMN65508 LWJ65508 MGF65508 MQB65508 MZX65508 NJT65508 NTP65508 ODL65508 ONH65508 OXD65508 PGZ65508 PQV65508 QAR65508 QKN65508 QUJ65508 REF65508 ROB65508 RXX65508 SHT65508 SRP65508 TBL65508 TLH65508 TVD65508 UEZ65508 UOV65508 UYR65508 VIN65508 VSJ65508 WCF65508 WMB65508 WVX65508 P131044 JL131044 TH131044 ADD131044 AMZ131044 AWV131044 BGR131044 BQN131044 CAJ131044 CKF131044 CUB131044 DDX131044 DNT131044 DXP131044 EHL131044 ERH131044 FBD131044 FKZ131044 FUV131044 GER131044 GON131044 GYJ131044 HIF131044 HSB131044 IBX131044 ILT131044 IVP131044 JFL131044 JPH131044 JZD131044 KIZ131044 KSV131044 LCR131044 LMN131044 LWJ131044 MGF131044 MQB131044 MZX131044 NJT131044 NTP131044 ODL131044 ONH131044 OXD131044 PGZ131044 PQV131044 QAR131044 QKN131044 QUJ131044 REF131044 ROB131044 RXX131044 SHT131044 SRP131044 TBL131044 TLH131044 TVD131044 UEZ131044 UOV131044 UYR131044 VIN131044 VSJ131044 WCF131044 WMB131044 WVX131044 P196580 JL196580 TH196580 ADD196580 AMZ196580 AWV196580 BGR196580 BQN196580 CAJ196580 CKF196580 CUB196580 DDX196580 DNT196580 DXP196580 EHL196580 ERH196580 FBD196580 FKZ196580 FUV196580 GER196580 GON196580 GYJ196580 HIF196580 HSB196580 IBX196580 ILT196580 IVP196580 JFL196580 JPH196580 JZD196580 KIZ196580 KSV196580 LCR196580 LMN196580 LWJ196580 MGF196580 MQB196580 MZX196580 NJT196580 NTP196580 ODL196580 ONH196580 OXD196580 PGZ196580 PQV196580 QAR196580 QKN196580 QUJ196580 REF196580 ROB196580 RXX196580 SHT196580 SRP196580 TBL196580 TLH196580 TVD196580 UEZ196580 UOV196580 UYR196580 VIN196580 VSJ196580 WCF196580 WMB196580 WVX196580 P262116 JL262116 TH262116 ADD262116 AMZ262116 AWV262116 BGR262116 BQN262116 CAJ262116 CKF262116 CUB262116 DDX262116 DNT262116 DXP262116 EHL262116 ERH262116 FBD262116 FKZ262116 FUV262116 GER262116 GON262116 GYJ262116 HIF262116 HSB262116 IBX262116 ILT262116 IVP262116 JFL262116 JPH262116 JZD262116 KIZ262116 KSV262116 LCR262116 LMN262116 LWJ262116 MGF262116 MQB262116 MZX262116 NJT262116 NTP262116 ODL262116 ONH262116 OXD262116 PGZ262116 PQV262116 QAR262116 QKN262116 QUJ262116 REF262116 ROB262116 RXX262116 SHT262116 SRP262116 TBL262116 TLH262116 TVD262116 UEZ262116 UOV262116 UYR262116 VIN262116 VSJ262116 WCF262116 WMB262116 WVX262116 P327652 JL327652 TH327652 ADD327652 AMZ327652 AWV327652 BGR327652 BQN327652 CAJ327652 CKF327652 CUB327652 DDX327652 DNT327652 DXP327652 EHL327652 ERH327652 FBD327652 FKZ327652 FUV327652 GER327652 GON327652 GYJ327652 HIF327652 HSB327652 IBX327652 ILT327652 IVP327652 JFL327652 JPH327652 JZD327652 KIZ327652 KSV327652 LCR327652 LMN327652 LWJ327652 MGF327652 MQB327652 MZX327652 NJT327652 NTP327652 ODL327652 ONH327652 OXD327652 PGZ327652 PQV327652 QAR327652 QKN327652 QUJ327652 REF327652 ROB327652 RXX327652 SHT327652 SRP327652 TBL327652 TLH327652 TVD327652 UEZ327652 UOV327652 UYR327652 VIN327652 VSJ327652 WCF327652 WMB327652 WVX327652 P393188 JL393188 TH393188 ADD393188 AMZ393188 AWV393188 BGR393188 BQN393188 CAJ393188 CKF393188 CUB393188 DDX393188 DNT393188 DXP393188 EHL393188 ERH393188 FBD393188 FKZ393188 FUV393188 GER393188 GON393188 GYJ393188 HIF393188 HSB393188 IBX393188 ILT393188 IVP393188 JFL393188 JPH393188 JZD393188 KIZ393188 KSV393188 LCR393188 LMN393188 LWJ393188 MGF393188 MQB393188 MZX393188 NJT393188 NTP393188 ODL393188 ONH393188 OXD393188 PGZ393188 PQV393188 QAR393188 QKN393188 QUJ393188 REF393188 ROB393188 RXX393188 SHT393188 SRP393188 TBL393188 TLH393188 TVD393188 UEZ393188 UOV393188 UYR393188 VIN393188 VSJ393188 WCF393188 WMB393188 WVX393188 P458724 JL458724 TH458724 ADD458724 AMZ458724 AWV458724 BGR458724 BQN458724 CAJ458724 CKF458724 CUB458724 DDX458724 DNT458724 DXP458724 EHL458724 ERH458724 FBD458724 FKZ458724 FUV458724 GER458724 GON458724 GYJ458724 HIF458724 HSB458724 IBX458724 ILT458724 IVP458724 JFL458724 JPH458724 JZD458724 KIZ458724 KSV458724 LCR458724 LMN458724 LWJ458724 MGF458724 MQB458724 MZX458724 NJT458724 NTP458724 ODL458724 ONH458724 OXD458724 PGZ458724 PQV458724 QAR458724 QKN458724 QUJ458724 REF458724 ROB458724 RXX458724 SHT458724 SRP458724 TBL458724 TLH458724 TVD458724 UEZ458724 UOV458724 UYR458724 VIN458724 VSJ458724 WCF458724 WMB458724 WVX458724 P524260 JL524260 TH524260 ADD524260 AMZ524260 AWV524260 BGR524260 BQN524260 CAJ524260 CKF524260 CUB524260 DDX524260 DNT524260 DXP524260 EHL524260 ERH524260 FBD524260 FKZ524260 FUV524260 GER524260 GON524260 GYJ524260 HIF524260 HSB524260 IBX524260 ILT524260 IVP524260 JFL524260 JPH524260 JZD524260 KIZ524260 KSV524260 LCR524260 LMN524260 LWJ524260 MGF524260 MQB524260 MZX524260 NJT524260 NTP524260 ODL524260 ONH524260 OXD524260 PGZ524260 PQV524260 QAR524260 QKN524260 QUJ524260 REF524260 ROB524260 RXX524260 SHT524260 SRP524260 TBL524260 TLH524260 TVD524260 UEZ524260 UOV524260 UYR524260 VIN524260 VSJ524260 WCF524260 WMB524260 WVX524260 P589796 JL589796 TH589796 ADD589796 AMZ589796 AWV589796 BGR589796 BQN589796 CAJ589796 CKF589796 CUB589796 DDX589796 DNT589796 DXP589796 EHL589796 ERH589796 FBD589796 FKZ589796 FUV589796 GER589796 GON589796 GYJ589796 HIF589796 HSB589796 IBX589796 ILT589796 IVP589796 JFL589796 JPH589796 JZD589796 KIZ589796 KSV589796 LCR589796 LMN589796 LWJ589796 MGF589796 MQB589796 MZX589796 NJT589796 NTP589796 ODL589796 ONH589796 OXD589796 PGZ589796 PQV589796 QAR589796 QKN589796 QUJ589796 REF589796 ROB589796 RXX589796 SHT589796 SRP589796 TBL589796 TLH589796 TVD589796 UEZ589796 UOV589796 UYR589796 VIN589796 VSJ589796 WCF589796 WMB589796 WVX589796 P655332 JL655332 TH655332 ADD655332 AMZ655332 AWV655332 BGR655332 BQN655332 CAJ655332 CKF655332 CUB655332 DDX655332 DNT655332 DXP655332 EHL655332 ERH655332 FBD655332 FKZ655332 FUV655332 GER655332 GON655332 GYJ655332 HIF655332 HSB655332 IBX655332 ILT655332 IVP655332 JFL655332 JPH655332 JZD655332 KIZ655332 KSV655332 LCR655332 LMN655332 LWJ655332 MGF655332 MQB655332 MZX655332 NJT655332 NTP655332 ODL655332 ONH655332 OXD655332 PGZ655332 PQV655332 QAR655332 QKN655332 QUJ655332 REF655332 ROB655332 RXX655332 SHT655332 SRP655332 TBL655332 TLH655332 TVD655332 UEZ655332 UOV655332 UYR655332 VIN655332 VSJ655332 WCF655332 WMB655332 WVX655332 P720868 JL720868 TH720868 ADD720868 AMZ720868 AWV720868 BGR720868 BQN720868 CAJ720868 CKF720868 CUB720868 DDX720868 DNT720868 DXP720868 EHL720868 ERH720868 FBD720868 FKZ720868 FUV720868 GER720868 GON720868 GYJ720868 HIF720868 HSB720868 IBX720868 ILT720868 IVP720868 JFL720868 JPH720868 JZD720868 KIZ720868 KSV720868 LCR720868 LMN720868 LWJ720868 MGF720868 MQB720868 MZX720868 NJT720868 NTP720868 ODL720868 ONH720868 OXD720868 PGZ720868 PQV720868 QAR720868 QKN720868 QUJ720868 REF720868 ROB720868 RXX720868 SHT720868 SRP720868 TBL720868 TLH720868 TVD720868 UEZ720868 UOV720868 UYR720868 VIN720868 VSJ720868 WCF720868 WMB720868 WVX720868 P786404 JL786404 TH786404 ADD786404 AMZ786404 AWV786404 BGR786404 BQN786404 CAJ786404 CKF786404 CUB786404 DDX786404 DNT786404 DXP786404 EHL786404 ERH786404 FBD786404 FKZ786404 FUV786404 GER786404 GON786404 GYJ786404 HIF786404 HSB786404 IBX786404 ILT786404 IVP786404 JFL786404 JPH786404 JZD786404 KIZ786404 KSV786404 LCR786404 LMN786404 LWJ786404 MGF786404 MQB786404 MZX786404 NJT786404 NTP786404 ODL786404 ONH786404 OXD786404 PGZ786404 PQV786404 QAR786404 QKN786404 QUJ786404 REF786404 ROB786404 RXX786404 SHT786404 SRP786404 TBL786404 TLH786404 TVD786404 UEZ786404 UOV786404 UYR786404 VIN786404 VSJ786404 WCF786404 WMB786404 WVX786404 P851940 JL851940 TH851940 ADD851940 AMZ851940 AWV851940 BGR851940 BQN851940 CAJ851940 CKF851940 CUB851940 DDX851940 DNT851940 DXP851940 EHL851940 ERH851940 FBD851940 FKZ851940 FUV851940 GER851940 GON851940 GYJ851940 HIF851940 HSB851940 IBX851940 ILT851940 IVP851940 JFL851940 JPH851940 JZD851940 KIZ851940 KSV851940 LCR851940 LMN851940 LWJ851940 MGF851940 MQB851940 MZX851940 NJT851940 NTP851940 ODL851940 ONH851940 OXD851940 PGZ851940 PQV851940 QAR851940 QKN851940 QUJ851940 REF851940 ROB851940 RXX851940 SHT851940 SRP851940 TBL851940 TLH851940 TVD851940 UEZ851940 UOV851940 UYR851940 VIN851940 VSJ851940 WCF851940 WMB851940 WVX851940 P917476 JL917476 TH917476 ADD917476 AMZ917476 AWV917476 BGR917476 BQN917476 CAJ917476 CKF917476 CUB917476 DDX917476 DNT917476 DXP917476 EHL917476 ERH917476 FBD917476 FKZ917476 FUV917476 GER917476 GON917476 GYJ917476 HIF917476 HSB917476 IBX917476 ILT917476 IVP917476 JFL917476 JPH917476 JZD917476 KIZ917476 KSV917476 LCR917476 LMN917476 LWJ917476 MGF917476 MQB917476 MZX917476 NJT917476 NTP917476 ODL917476 ONH917476 OXD917476 PGZ917476 PQV917476 QAR917476 QKN917476 QUJ917476 REF917476 ROB917476 RXX917476 SHT917476 SRP917476 TBL917476 TLH917476 TVD917476 UEZ917476 UOV917476 UYR917476 VIN917476 VSJ917476 WCF917476 WMB917476 WVX917476 P983012 JL983012 TH983012 ADD983012 AMZ983012 AWV983012 BGR983012 BQN983012 CAJ983012 CKF983012 CUB983012 DDX983012 DNT983012 DXP983012 EHL983012 ERH983012 FBD983012 FKZ983012 FUV983012 GER983012 GON983012 GYJ983012 HIF983012 HSB983012 IBX983012 ILT983012 IVP983012 JFL983012 JPH983012 JZD983012 KIZ983012 KSV983012 LCR983012 LMN983012 LWJ983012 MGF983012 MQB983012 MZX983012 NJT983012 NTP983012 ODL983012 ONH983012 OXD983012 PGZ983012 PQV983012 QAR983012 QKN983012 QUJ983012 REF983012 ROB983012 RXX983012 SHT983012 SRP983012 TBL983012 TLH983012 TVD983012 UEZ983012 UOV983012 UYR983012 VIN983012 VSJ983012 WCF983012 WMB983012">
      <formula1>$R$2:$R$8</formula1>
    </dataValidation>
    <dataValidation type="list" allowBlank="1" showInputMessage="1" showErrorMessage="1" sqref="WVP983086:WVP983133 JD45:JD92 SZ45:SZ92 ACV45:ACV92 AMR45:AMR92 AWN45:AWN92 BGJ45:BGJ92 BQF45:BQF92 CAB45:CAB92 CJX45:CJX92 CTT45:CTT92 DDP45:DDP92 DNL45:DNL92 DXH45:DXH92 EHD45:EHD92 EQZ45:EQZ92 FAV45:FAV92 FKR45:FKR92 FUN45:FUN92 GEJ45:GEJ92 GOF45:GOF92 GYB45:GYB92 HHX45:HHX92 HRT45:HRT92 IBP45:IBP92 ILL45:ILL92 IVH45:IVH92 JFD45:JFD92 JOZ45:JOZ92 JYV45:JYV92 KIR45:KIR92 KSN45:KSN92 LCJ45:LCJ92 LMF45:LMF92 LWB45:LWB92 MFX45:MFX92 MPT45:MPT92 MZP45:MZP92 NJL45:NJL92 NTH45:NTH92 ODD45:ODD92 OMZ45:OMZ92 OWV45:OWV92 PGR45:PGR92 PQN45:PQN92 QAJ45:QAJ92 QKF45:QKF92 QUB45:QUB92 RDX45:RDX92 RNT45:RNT92 RXP45:RXP92 SHL45:SHL92 SRH45:SRH92 TBD45:TBD92 TKZ45:TKZ92 TUV45:TUV92 UER45:UER92 UON45:UON92 UYJ45:UYJ92 VIF45:VIF92 VSB45:VSB92 WBX45:WBX92 WLT45:WLT92 WVP45:WVP92 C65582:C65629 JD65582:JD65629 SZ65582:SZ65629 ACV65582:ACV65629 AMR65582:AMR65629 AWN65582:AWN65629 BGJ65582:BGJ65629 BQF65582:BQF65629 CAB65582:CAB65629 CJX65582:CJX65629 CTT65582:CTT65629 DDP65582:DDP65629 DNL65582:DNL65629 DXH65582:DXH65629 EHD65582:EHD65629 EQZ65582:EQZ65629 FAV65582:FAV65629 FKR65582:FKR65629 FUN65582:FUN65629 GEJ65582:GEJ65629 GOF65582:GOF65629 GYB65582:GYB65629 HHX65582:HHX65629 HRT65582:HRT65629 IBP65582:IBP65629 ILL65582:ILL65629 IVH65582:IVH65629 JFD65582:JFD65629 JOZ65582:JOZ65629 JYV65582:JYV65629 KIR65582:KIR65629 KSN65582:KSN65629 LCJ65582:LCJ65629 LMF65582:LMF65629 LWB65582:LWB65629 MFX65582:MFX65629 MPT65582:MPT65629 MZP65582:MZP65629 NJL65582:NJL65629 NTH65582:NTH65629 ODD65582:ODD65629 OMZ65582:OMZ65629 OWV65582:OWV65629 PGR65582:PGR65629 PQN65582:PQN65629 QAJ65582:QAJ65629 QKF65582:QKF65629 QUB65582:QUB65629 RDX65582:RDX65629 RNT65582:RNT65629 RXP65582:RXP65629 SHL65582:SHL65629 SRH65582:SRH65629 TBD65582:TBD65629 TKZ65582:TKZ65629 TUV65582:TUV65629 UER65582:UER65629 UON65582:UON65629 UYJ65582:UYJ65629 VIF65582:VIF65629 VSB65582:VSB65629 WBX65582:WBX65629 WLT65582:WLT65629 WVP65582:WVP65629 C131118:C131165 JD131118:JD131165 SZ131118:SZ131165 ACV131118:ACV131165 AMR131118:AMR131165 AWN131118:AWN131165 BGJ131118:BGJ131165 BQF131118:BQF131165 CAB131118:CAB131165 CJX131118:CJX131165 CTT131118:CTT131165 DDP131118:DDP131165 DNL131118:DNL131165 DXH131118:DXH131165 EHD131118:EHD131165 EQZ131118:EQZ131165 FAV131118:FAV131165 FKR131118:FKR131165 FUN131118:FUN131165 GEJ131118:GEJ131165 GOF131118:GOF131165 GYB131118:GYB131165 HHX131118:HHX131165 HRT131118:HRT131165 IBP131118:IBP131165 ILL131118:ILL131165 IVH131118:IVH131165 JFD131118:JFD131165 JOZ131118:JOZ131165 JYV131118:JYV131165 KIR131118:KIR131165 KSN131118:KSN131165 LCJ131118:LCJ131165 LMF131118:LMF131165 LWB131118:LWB131165 MFX131118:MFX131165 MPT131118:MPT131165 MZP131118:MZP131165 NJL131118:NJL131165 NTH131118:NTH131165 ODD131118:ODD131165 OMZ131118:OMZ131165 OWV131118:OWV131165 PGR131118:PGR131165 PQN131118:PQN131165 QAJ131118:QAJ131165 QKF131118:QKF131165 QUB131118:QUB131165 RDX131118:RDX131165 RNT131118:RNT131165 RXP131118:RXP131165 SHL131118:SHL131165 SRH131118:SRH131165 TBD131118:TBD131165 TKZ131118:TKZ131165 TUV131118:TUV131165 UER131118:UER131165 UON131118:UON131165 UYJ131118:UYJ131165 VIF131118:VIF131165 VSB131118:VSB131165 WBX131118:WBX131165 WLT131118:WLT131165 WVP131118:WVP131165 C196654:C196701 JD196654:JD196701 SZ196654:SZ196701 ACV196654:ACV196701 AMR196654:AMR196701 AWN196654:AWN196701 BGJ196654:BGJ196701 BQF196654:BQF196701 CAB196654:CAB196701 CJX196654:CJX196701 CTT196654:CTT196701 DDP196654:DDP196701 DNL196654:DNL196701 DXH196654:DXH196701 EHD196654:EHD196701 EQZ196654:EQZ196701 FAV196654:FAV196701 FKR196654:FKR196701 FUN196654:FUN196701 GEJ196654:GEJ196701 GOF196654:GOF196701 GYB196654:GYB196701 HHX196654:HHX196701 HRT196654:HRT196701 IBP196654:IBP196701 ILL196654:ILL196701 IVH196654:IVH196701 JFD196654:JFD196701 JOZ196654:JOZ196701 JYV196654:JYV196701 KIR196654:KIR196701 KSN196654:KSN196701 LCJ196654:LCJ196701 LMF196654:LMF196701 LWB196654:LWB196701 MFX196654:MFX196701 MPT196654:MPT196701 MZP196654:MZP196701 NJL196654:NJL196701 NTH196654:NTH196701 ODD196654:ODD196701 OMZ196654:OMZ196701 OWV196654:OWV196701 PGR196654:PGR196701 PQN196654:PQN196701 QAJ196654:QAJ196701 QKF196654:QKF196701 QUB196654:QUB196701 RDX196654:RDX196701 RNT196654:RNT196701 RXP196654:RXP196701 SHL196654:SHL196701 SRH196654:SRH196701 TBD196654:TBD196701 TKZ196654:TKZ196701 TUV196654:TUV196701 UER196654:UER196701 UON196654:UON196701 UYJ196654:UYJ196701 VIF196654:VIF196701 VSB196654:VSB196701 WBX196654:WBX196701 WLT196654:WLT196701 WVP196654:WVP196701 C262190:C262237 JD262190:JD262237 SZ262190:SZ262237 ACV262190:ACV262237 AMR262190:AMR262237 AWN262190:AWN262237 BGJ262190:BGJ262237 BQF262190:BQF262237 CAB262190:CAB262237 CJX262190:CJX262237 CTT262190:CTT262237 DDP262190:DDP262237 DNL262190:DNL262237 DXH262190:DXH262237 EHD262190:EHD262237 EQZ262190:EQZ262237 FAV262190:FAV262237 FKR262190:FKR262237 FUN262190:FUN262237 GEJ262190:GEJ262237 GOF262190:GOF262237 GYB262190:GYB262237 HHX262190:HHX262237 HRT262190:HRT262237 IBP262190:IBP262237 ILL262190:ILL262237 IVH262190:IVH262237 JFD262190:JFD262237 JOZ262190:JOZ262237 JYV262190:JYV262237 KIR262190:KIR262237 KSN262190:KSN262237 LCJ262190:LCJ262237 LMF262190:LMF262237 LWB262190:LWB262237 MFX262190:MFX262237 MPT262190:MPT262237 MZP262190:MZP262237 NJL262190:NJL262237 NTH262190:NTH262237 ODD262190:ODD262237 OMZ262190:OMZ262237 OWV262190:OWV262237 PGR262190:PGR262237 PQN262190:PQN262237 QAJ262190:QAJ262237 QKF262190:QKF262237 QUB262190:QUB262237 RDX262190:RDX262237 RNT262190:RNT262237 RXP262190:RXP262237 SHL262190:SHL262237 SRH262190:SRH262237 TBD262190:TBD262237 TKZ262190:TKZ262237 TUV262190:TUV262237 UER262190:UER262237 UON262190:UON262237 UYJ262190:UYJ262237 VIF262190:VIF262237 VSB262190:VSB262237 WBX262190:WBX262237 WLT262190:WLT262237 WVP262190:WVP262237 C327726:C327773 JD327726:JD327773 SZ327726:SZ327773 ACV327726:ACV327773 AMR327726:AMR327773 AWN327726:AWN327773 BGJ327726:BGJ327773 BQF327726:BQF327773 CAB327726:CAB327773 CJX327726:CJX327773 CTT327726:CTT327773 DDP327726:DDP327773 DNL327726:DNL327773 DXH327726:DXH327773 EHD327726:EHD327773 EQZ327726:EQZ327773 FAV327726:FAV327773 FKR327726:FKR327773 FUN327726:FUN327773 GEJ327726:GEJ327773 GOF327726:GOF327773 GYB327726:GYB327773 HHX327726:HHX327773 HRT327726:HRT327773 IBP327726:IBP327773 ILL327726:ILL327773 IVH327726:IVH327773 JFD327726:JFD327773 JOZ327726:JOZ327773 JYV327726:JYV327773 KIR327726:KIR327773 KSN327726:KSN327773 LCJ327726:LCJ327773 LMF327726:LMF327773 LWB327726:LWB327773 MFX327726:MFX327773 MPT327726:MPT327773 MZP327726:MZP327773 NJL327726:NJL327773 NTH327726:NTH327773 ODD327726:ODD327773 OMZ327726:OMZ327773 OWV327726:OWV327773 PGR327726:PGR327773 PQN327726:PQN327773 QAJ327726:QAJ327773 QKF327726:QKF327773 QUB327726:QUB327773 RDX327726:RDX327773 RNT327726:RNT327773 RXP327726:RXP327773 SHL327726:SHL327773 SRH327726:SRH327773 TBD327726:TBD327773 TKZ327726:TKZ327773 TUV327726:TUV327773 UER327726:UER327773 UON327726:UON327773 UYJ327726:UYJ327773 VIF327726:VIF327773 VSB327726:VSB327773 WBX327726:WBX327773 WLT327726:WLT327773 WVP327726:WVP327773 C393262:C393309 JD393262:JD393309 SZ393262:SZ393309 ACV393262:ACV393309 AMR393262:AMR393309 AWN393262:AWN393309 BGJ393262:BGJ393309 BQF393262:BQF393309 CAB393262:CAB393309 CJX393262:CJX393309 CTT393262:CTT393309 DDP393262:DDP393309 DNL393262:DNL393309 DXH393262:DXH393309 EHD393262:EHD393309 EQZ393262:EQZ393309 FAV393262:FAV393309 FKR393262:FKR393309 FUN393262:FUN393309 GEJ393262:GEJ393309 GOF393262:GOF393309 GYB393262:GYB393309 HHX393262:HHX393309 HRT393262:HRT393309 IBP393262:IBP393309 ILL393262:ILL393309 IVH393262:IVH393309 JFD393262:JFD393309 JOZ393262:JOZ393309 JYV393262:JYV393309 KIR393262:KIR393309 KSN393262:KSN393309 LCJ393262:LCJ393309 LMF393262:LMF393309 LWB393262:LWB393309 MFX393262:MFX393309 MPT393262:MPT393309 MZP393262:MZP393309 NJL393262:NJL393309 NTH393262:NTH393309 ODD393262:ODD393309 OMZ393262:OMZ393309 OWV393262:OWV393309 PGR393262:PGR393309 PQN393262:PQN393309 QAJ393262:QAJ393309 QKF393262:QKF393309 QUB393262:QUB393309 RDX393262:RDX393309 RNT393262:RNT393309 RXP393262:RXP393309 SHL393262:SHL393309 SRH393262:SRH393309 TBD393262:TBD393309 TKZ393262:TKZ393309 TUV393262:TUV393309 UER393262:UER393309 UON393262:UON393309 UYJ393262:UYJ393309 VIF393262:VIF393309 VSB393262:VSB393309 WBX393262:WBX393309 WLT393262:WLT393309 WVP393262:WVP393309 C458798:C458845 JD458798:JD458845 SZ458798:SZ458845 ACV458798:ACV458845 AMR458798:AMR458845 AWN458798:AWN458845 BGJ458798:BGJ458845 BQF458798:BQF458845 CAB458798:CAB458845 CJX458798:CJX458845 CTT458798:CTT458845 DDP458798:DDP458845 DNL458798:DNL458845 DXH458798:DXH458845 EHD458798:EHD458845 EQZ458798:EQZ458845 FAV458798:FAV458845 FKR458798:FKR458845 FUN458798:FUN458845 GEJ458798:GEJ458845 GOF458798:GOF458845 GYB458798:GYB458845 HHX458798:HHX458845 HRT458798:HRT458845 IBP458798:IBP458845 ILL458798:ILL458845 IVH458798:IVH458845 JFD458798:JFD458845 JOZ458798:JOZ458845 JYV458798:JYV458845 KIR458798:KIR458845 KSN458798:KSN458845 LCJ458798:LCJ458845 LMF458798:LMF458845 LWB458798:LWB458845 MFX458798:MFX458845 MPT458798:MPT458845 MZP458798:MZP458845 NJL458798:NJL458845 NTH458798:NTH458845 ODD458798:ODD458845 OMZ458798:OMZ458845 OWV458798:OWV458845 PGR458798:PGR458845 PQN458798:PQN458845 QAJ458798:QAJ458845 QKF458798:QKF458845 QUB458798:QUB458845 RDX458798:RDX458845 RNT458798:RNT458845 RXP458798:RXP458845 SHL458798:SHL458845 SRH458798:SRH458845 TBD458798:TBD458845 TKZ458798:TKZ458845 TUV458798:TUV458845 UER458798:UER458845 UON458798:UON458845 UYJ458798:UYJ458845 VIF458798:VIF458845 VSB458798:VSB458845 WBX458798:WBX458845 WLT458798:WLT458845 WVP458798:WVP458845 C524334:C524381 JD524334:JD524381 SZ524334:SZ524381 ACV524334:ACV524381 AMR524334:AMR524381 AWN524334:AWN524381 BGJ524334:BGJ524381 BQF524334:BQF524381 CAB524334:CAB524381 CJX524334:CJX524381 CTT524334:CTT524381 DDP524334:DDP524381 DNL524334:DNL524381 DXH524334:DXH524381 EHD524334:EHD524381 EQZ524334:EQZ524381 FAV524334:FAV524381 FKR524334:FKR524381 FUN524334:FUN524381 GEJ524334:GEJ524381 GOF524334:GOF524381 GYB524334:GYB524381 HHX524334:HHX524381 HRT524334:HRT524381 IBP524334:IBP524381 ILL524334:ILL524381 IVH524334:IVH524381 JFD524334:JFD524381 JOZ524334:JOZ524381 JYV524334:JYV524381 KIR524334:KIR524381 KSN524334:KSN524381 LCJ524334:LCJ524381 LMF524334:LMF524381 LWB524334:LWB524381 MFX524334:MFX524381 MPT524334:MPT524381 MZP524334:MZP524381 NJL524334:NJL524381 NTH524334:NTH524381 ODD524334:ODD524381 OMZ524334:OMZ524381 OWV524334:OWV524381 PGR524334:PGR524381 PQN524334:PQN524381 QAJ524334:QAJ524381 QKF524334:QKF524381 QUB524334:QUB524381 RDX524334:RDX524381 RNT524334:RNT524381 RXP524334:RXP524381 SHL524334:SHL524381 SRH524334:SRH524381 TBD524334:TBD524381 TKZ524334:TKZ524381 TUV524334:TUV524381 UER524334:UER524381 UON524334:UON524381 UYJ524334:UYJ524381 VIF524334:VIF524381 VSB524334:VSB524381 WBX524334:WBX524381 WLT524334:WLT524381 WVP524334:WVP524381 C589870:C589917 JD589870:JD589917 SZ589870:SZ589917 ACV589870:ACV589917 AMR589870:AMR589917 AWN589870:AWN589917 BGJ589870:BGJ589917 BQF589870:BQF589917 CAB589870:CAB589917 CJX589870:CJX589917 CTT589870:CTT589917 DDP589870:DDP589917 DNL589870:DNL589917 DXH589870:DXH589917 EHD589870:EHD589917 EQZ589870:EQZ589917 FAV589870:FAV589917 FKR589870:FKR589917 FUN589870:FUN589917 GEJ589870:GEJ589917 GOF589870:GOF589917 GYB589870:GYB589917 HHX589870:HHX589917 HRT589870:HRT589917 IBP589870:IBP589917 ILL589870:ILL589917 IVH589870:IVH589917 JFD589870:JFD589917 JOZ589870:JOZ589917 JYV589870:JYV589917 KIR589870:KIR589917 KSN589870:KSN589917 LCJ589870:LCJ589917 LMF589870:LMF589917 LWB589870:LWB589917 MFX589870:MFX589917 MPT589870:MPT589917 MZP589870:MZP589917 NJL589870:NJL589917 NTH589870:NTH589917 ODD589870:ODD589917 OMZ589870:OMZ589917 OWV589870:OWV589917 PGR589870:PGR589917 PQN589870:PQN589917 QAJ589870:QAJ589917 QKF589870:QKF589917 QUB589870:QUB589917 RDX589870:RDX589917 RNT589870:RNT589917 RXP589870:RXP589917 SHL589870:SHL589917 SRH589870:SRH589917 TBD589870:TBD589917 TKZ589870:TKZ589917 TUV589870:TUV589917 UER589870:UER589917 UON589870:UON589917 UYJ589870:UYJ589917 VIF589870:VIF589917 VSB589870:VSB589917 WBX589870:WBX589917 WLT589870:WLT589917 WVP589870:WVP589917 C655406:C655453 JD655406:JD655453 SZ655406:SZ655453 ACV655406:ACV655453 AMR655406:AMR655453 AWN655406:AWN655453 BGJ655406:BGJ655453 BQF655406:BQF655453 CAB655406:CAB655453 CJX655406:CJX655453 CTT655406:CTT655453 DDP655406:DDP655453 DNL655406:DNL655453 DXH655406:DXH655453 EHD655406:EHD655453 EQZ655406:EQZ655453 FAV655406:FAV655453 FKR655406:FKR655453 FUN655406:FUN655453 GEJ655406:GEJ655453 GOF655406:GOF655453 GYB655406:GYB655453 HHX655406:HHX655453 HRT655406:HRT655453 IBP655406:IBP655453 ILL655406:ILL655453 IVH655406:IVH655453 JFD655406:JFD655453 JOZ655406:JOZ655453 JYV655406:JYV655453 KIR655406:KIR655453 KSN655406:KSN655453 LCJ655406:LCJ655453 LMF655406:LMF655453 LWB655406:LWB655453 MFX655406:MFX655453 MPT655406:MPT655453 MZP655406:MZP655453 NJL655406:NJL655453 NTH655406:NTH655453 ODD655406:ODD655453 OMZ655406:OMZ655453 OWV655406:OWV655453 PGR655406:PGR655453 PQN655406:PQN655453 QAJ655406:QAJ655453 QKF655406:QKF655453 QUB655406:QUB655453 RDX655406:RDX655453 RNT655406:RNT655453 RXP655406:RXP655453 SHL655406:SHL655453 SRH655406:SRH655453 TBD655406:TBD655453 TKZ655406:TKZ655453 TUV655406:TUV655453 UER655406:UER655453 UON655406:UON655453 UYJ655406:UYJ655453 VIF655406:VIF655453 VSB655406:VSB655453 WBX655406:WBX655453 WLT655406:WLT655453 WVP655406:WVP655453 C720942:C720989 JD720942:JD720989 SZ720942:SZ720989 ACV720942:ACV720989 AMR720942:AMR720989 AWN720942:AWN720989 BGJ720942:BGJ720989 BQF720942:BQF720989 CAB720942:CAB720989 CJX720942:CJX720989 CTT720942:CTT720989 DDP720942:DDP720989 DNL720942:DNL720989 DXH720942:DXH720989 EHD720942:EHD720989 EQZ720942:EQZ720989 FAV720942:FAV720989 FKR720942:FKR720989 FUN720942:FUN720989 GEJ720942:GEJ720989 GOF720942:GOF720989 GYB720942:GYB720989 HHX720942:HHX720989 HRT720942:HRT720989 IBP720942:IBP720989 ILL720942:ILL720989 IVH720942:IVH720989 JFD720942:JFD720989 JOZ720942:JOZ720989 JYV720942:JYV720989 KIR720942:KIR720989 KSN720942:KSN720989 LCJ720942:LCJ720989 LMF720942:LMF720989 LWB720942:LWB720989 MFX720942:MFX720989 MPT720942:MPT720989 MZP720942:MZP720989 NJL720942:NJL720989 NTH720942:NTH720989 ODD720942:ODD720989 OMZ720942:OMZ720989 OWV720942:OWV720989 PGR720942:PGR720989 PQN720942:PQN720989 QAJ720942:QAJ720989 QKF720942:QKF720989 QUB720942:QUB720989 RDX720942:RDX720989 RNT720942:RNT720989 RXP720942:RXP720989 SHL720942:SHL720989 SRH720942:SRH720989 TBD720942:TBD720989 TKZ720942:TKZ720989 TUV720942:TUV720989 UER720942:UER720989 UON720942:UON720989 UYJ720942:UYJ720989 VIF720942:VIF720989 VSB720942:VSB720989 WBX720942:WBX720989 WLT720942:WLT720989 WVP720942:WVP720989 C786478:C786525 JD786478:JD786525 SZ786478:SZ786525 ACV786478:ACV786525 AMR786478:AMR786525 AWN786478:AWN786525 BGJ786478:BGJ786525 BQF786478:BQF786525 CAB786478:CAB786525 CJX786478:CJX786525 CTT786478:CTT786525 DDP786478:DDP786525 DNL786478:DNL786525 DXH786478:DXH786525 EHD786478:EHD786525 EQZ786478:EQZ786525 FAV786478:FAV786525 FKR786478:FKR786525 FUN786478:FUN786525 GEJ786478:GEJ786525 GOF786478:GOF786525 GYB786478:GYB786525 HHX786478:HHX786525 HRT786478:HRT786525 IBP786478:IBP786525 ILL786478:ILL786525 IVH786478:IVH786525 JFD786478:JFD786525 JOZ786478:JOZ786525 JYV786478:JYV786525 KIR786478:KIR786525 KSN786478:KSN786525 LCJ786478:LCJ786525 LMF786478:LMF786525 LWB786478:LWB786525 MFX786478:MFX786525 MPT786478:MPT786525 MZP786478:MZP786525 NJL786478:NJL786525 NTH786478:NTH786525 ODD786478:ODD786525 OMZ786478:OMZ786525 OWV786478:OWV786525 PGR786478:PGR786525 PQN786478:PQN786525 QAJ786478:QAJ786525 QKF786478:QKF786525 QUB786478:QUB786525 RDX786478:RDX786525 RNT786478:RNT786525 RXP786478:RXP786525 SHL786478:SHL786525 SRH786478:SRH786525 TBD786478:TBD786525 TKZ786478:TKZ786525 TUV786478:TUV786525 UER786478:UER786525 UON786478:UON786525 UYJ786478:UYJ786525 VIF786478:VIF786525 VSB786478:VSB786525 WBX786478:WBX786525 WLT786478:WLT786525 WVP786478:WVP786525 C852014:C852061 JD852014:JD852061 SZ852014:SZ852061 ACV852014:ACV852061 AMR852014:AMR852061 AWN852014:AWN852061 BGJ852014:BGJ852061 BQF852014:BQF852061 CAB852014:CAB852061 CJX852014:CJX852061 CTT852014:CTT852061 DDP852014:DDP852061 DNL852014:DNL852061 DXH852014:DXH852061 EHD852014:EHD852061 EQZ852014:EQZ852061 FAV852014:FAV852061 FKR852014:FKR852061 FUN852014:FUN852061 GEJ852014:GEJ852061 GOF852014:GOF852061 GYB852014:GYB852061 HHX852014:HHX852061 HRT852014:HRT852061 IBP852014:IBP852061 ILL852014:ILL852061 IVH852014:IVH852061 JFD852014:JFD852061 JOZ852014:JOZ852061 JYV852014:JYV852061 KIR852014:KIR852061 KSN852014:KSN852061 LCJ852014:LCJ852061 LMF852014:LMF852061 LWB852014:LWB852061 MFX852014:MFX852061 MPT852014:MPT852061 MZP852014:MZP852061 NJL852014:NJL852061 NTH852014:NTH852061 ODD852014:ODD852061 OMZ852014:OMZ852061 OWV852014:OWV852061 PGR852014:PGR852061 PQN852014:PQN852061 QAJ852014:QAJ852061 QKF852014:QKF852061 QUB852014:QUB852061 RDX852014:RDX852061 RNT852014:RNT852061 RXP852014:RXP852061 SHL852014:SHL852061 SRH852014:SRH852061 TBD852014:TBD852061 TKZ852014:TKZ852061 TUV852014:TUV852061 UER852014:UER852061 UON852014:UON852061 UYJ852014:UYJ852061 VIF852014:VIF852061 VSB852014:VSB852061 WBX852014:WBX852061 WLT852014:WLT852061 WVP852014:WVP852061 C917550:C917597 JD917550:JD917597 SZ917550:SZ917597 ACV917550:ACV917597 AMR917550:AMR917597 AWN917550:AWN917597 BGJ917550:BGJ917597 BQF917550:BQF917597 CAB917550:CAB917597 CJX917550:CJX917597 CTT917550:CTT917597 DDP917550:DDP917597 DNL917550:DNL917597 DXH917550:DXH917597 EHD917550:EHD917597 EQZ917550:EQZ917597 FAV917550:FAV917597 FKR917550:FKR917597 FUN917550:FUN917597 GEJ917550:GEJ917597 GOF917550:GOF917597 GYB917550:GYB917597 HHX917550:HHX917597 HRT917550:HRT917597 IBP917550:IBP917597 ILL917550:ILL917597 IVH917550:IVH917597 JFD917550:JFD917597 JOZ917550:JOZ917597 JYV917550:JYV917597 KIR917550:KIR917597 KSN917550:KSN917597 LCJ917550:LCJ917597 LMF917550:LMF917597 LWB917550:LWB917597 MFX917550:MFX917597 MPT917550:MPT917597 MZP917550:MZP917597 NJL917550:NJL917597 NTH917550:NTH917597 ODD917550:ODD917597 OMZ917550:OMZ917597 OWV917550:OWV917597 PGR917550:PGR917597 PQN917550:PQN917597 QAJ917550:QAJ917597 QKF917550:QKF917597 QUB917550:QUB917597 RDX917550:RDX917597 RNT917550:RNT917597 RXP917550:RXP917597 SHL917550:SHL917597 SRH917550:SRH917597 TBD917550:TBD917597 TKZ917550:TKZ917597 TUV917550:TUV917597 UER917550:UER917597 UON917550:UON917597 UYJ917550:UYJ917597 VIF917550:VIF917597 VSB917550:VSB917597 WBX917550:WBX917597 WLT917550:WLT917597 WVP917550:WVP917597 C983086:C983133 JD983086:JD983133 SZ983086:SZ983133 ACV983086:ACV983133 AMR983086:AMR983133 AWN983086:AWN983133 BGJ983086:BGJ983133 BQF983086:BQF983133 CAB983086:CAB983133 CJX983086:CJX983133 CTT983086:CTT983133 DDP983086:DDP983133 DNL983086:DNL983133 DXH983086:DXH983133 EHD983086:EHD983133 EQZ983086:EQZ983133 FAV983086:FAV983133 FKR983086:FKR983133 FUN983086:FUN983133 GEJ983086:GEJ983133 GOF983086:GOF983133 GYB983086:GYB983133 HHX983086:HHX983133 HRT983086:HRT983133 IBP983086:IBP983133 ILL983086:ILL983133 IVH983086:IVH983133 JFD983086:JFD983133 JOZ983086:JOZ983133 JYV983086:JYV983133 KIR983086:KIR983133 KSN983086:KSN983133 LCJ983086:LCJ983133 LMF983086:LMF983133 LWB983086:LWB983133 MFX983086:MFX983133 MPT983086:MPT983133 MZP983086:MZP983133 NJL983086:NJL983133 NTH983086:NTH983133 ODD983086:ODD983133 OMZ983086:OMZ983133 OWV983086:OWV983133 PGR983086:PGR983133 PQN983086:PQN983133 QAJ983086:QAJ983133 QKF983086:QKF983133 QUB983086:QUB983133 RDX983086:RDX983133 RNT983086:RNT983133 RXP983086:RXP983133 SHL983086:SHL983133 SRH983086:SRH983133 TBD983086:TBD983133 TKZ983086:TKZ983133 TUV983086:TUV983133 UER983086:UER983133 UON983086:UON983133 UYJ983086:UYJ983133 VIF983086:VIF983133 VSB983086:VSB983133 WBX983086:WBX983133 WLT983086:WLT983133">
      <formula1>$C$7:$H$7</formula1>
    </dataValidation>
    <dataValidation type="list" allowBlank="1" showInputMessage="1" showErrorMessage="1" sqref="JC45:JC92 WVO983086:WVO983133 WLS983086:WLS983133 WBW983086:WBW983133 VSA983086:VSA983133 VIE983086:VIE983133 UYI983086:UYI983133 UOM983086:UOM983133 UEQ983086:UEQ983133 TUU983086:TUU983133 TKY983086:TKY983133 TBC983086:TBC983133 SRG983086:SRG983133 SHK983086:SHK983133 RXO983086:RXO983133 RNS983086:RNS983133 RDW983086:RDW983133 QUA983086:QUA983133 QKE983086:QKE983133 QAI983086:QAI983133 PQM983086:PQM983133 PGQ983086:PGQ983133 OWU983086:OWU983133 OMY983086:OMY983133 ODC983086:ODC983133 NTG983086:NTG983133 NJK983086:NJK983133 MZO983086:MZO983133 MPS983086:MPS983133 MFW983086:MFW983133 LWA983086:LWA983133 LME983086:LME983133 LCI983086:LCI983133 KSM983086:KSM983133 KIQ983086:KIQ983133 JYU983086:JYU983133 JOY983086:JOY983133 JFC983086:JFC983133 IVG983086:IVG983133 ILK983086:ILK983133 IBO983086:IBO983133 HRS983086:HRS983133 HHW983086:HHW983133 GYA983086:GYA983133 GOE983086:GOE983133 GEI983086:GEI983133 FUM983086:FUM983133 FKQ983086:FKQ983133 FAU983086:FAU983133 EQY983086:EQY983133 EHC983086:EHC983133 DXG983086:DXG983133 DNK983086:DNK983133 DDO983086:DDO983133 CTS983086:CTS983133 CJW983086:CJW983133 CAA983086:CAA983133 BQE983086:BQE983133 BGI983086:BGI983133 AWM983086:AWM983133 AMQ983086:AMQ983133 ACU983086:ACU983133 SY983086:SY983133 JC983086:JC983133 B983086:B983133 WVO917550:WVO917597 WLS917550:WLS917597 WBW917550:WBW917597 VSA917550:VSA917597 VIE917550:VIE917597 UYI917550:UYI917597 UOM917550:UOM917597 UEQ917550:UEQ917597 TUU917550:TUU917597 TKY917550:TKY917597 TBC917550:TBC917597 SRG917550:SRG917597 SHK917550:SHK917597 RXO917550:RXO917597 RNS917550:RNS917597 RDW917550:RDW917597 QUA917550:QUA917597 QKE917550:QKE917597 QAI917550:QAI917597 PQM917550:PQM917597 PGQ917550:PGQ917597 OWU917550:OWU917597 OMY917550:OMY917597 ODC917550:ODC917597 NTG917550:NTG917597 NJK917550:NJK917597 MZO917550:MZO917597 MPS917550:MPS917597 MFW917550:MFW917597 LWA917550:LWA917597 LME917550:LME917597 LCI917550:LCI917597 KSM917550:KSM917597 KIQ917550:KIQ917597 JYU917550:JYU917597 JOY917550:JOY917597 JFC917550:JFC917597 IVG917550:IVG917597 ILK917550:ILK917597 IBO917550:IBO917597 HRS917550:HRS917597 HHW917550:HHW917597 GYA917550:GYA917597 GOE917550:GOE917597 GEI917550:GEI917597 FUM917550:FUM917597 FKQ917550:FKQ917597 FAU917550:FAU917597 EQY917550:EQY917597 EHC917550:EHC917597 DXG917550:DXG917597 DNK917550:DNK917597 DDO917550:DDO917597 CTS917550:CTS917597 CJW917550:CJW917597 CAA917550:CAA917597 BQE917550:BQE917597 BGI917550:BGI917597 AWM917550:AWM917597 AMQ917550:AMQ917597 ACU917550:ACU917597 SY917550:SY917597 JC917550:JC917597 B917550:B917597 WVO852014:WVO852061 WLS852014:WLS852061 WBW852014:WBW852061 VSA852014:VSA852061 VIE852014:VIE852061 UYI852014:UYI852061 UOM852014:UOM852061 UEQ852014:UEQ852061 TUU852014:TUU852061 TKY852014:TKY852061 TBC852014:TBC852061 SRG852014:SRG852061 SHK852014:SHK852061 RXO852014:RXO852061 RNS852014:RNS852061 RDW852014:RDW852061 QUA852014:QUA852061 QKE852014:QKE852061 QAI852014:QAI852061 PQM852014:PQM852061 PGQ852014:PGQ852061 OWU852014:OWU852061 OMY852014:OMY852061 ODC852014:ODC852061 NTG852014:NTG852061 NJK852014:NJK852061 MZO852014:MZO852061 MPS852014:MPS852061 MFW852014:MFW852061 LWA852014:LWA852061 LME852014:LME852061 LCI852014:LCI852061 KSM852014:KSM852061 KIQ852014:KIQ852061 JYU852014:JYU852061 JOY852014:JOY852061 JFC852014:JFC852061 IVG852014:IVG852061 ILK852014:ILK852061 IBO852014:IBO852061 HRS852014:HRS852061 HHW852014:HHW852061 GYA852014:GYA852061 GOE852014:GOE852061 GEI852014:GEI852061 FUM852014:FUM852061 FKQ852014:FKQ852061 FAU852014:FAU852061 EQY852014:EQY852061 EHC852014:EHC852061 DXG852014:DXG852061 DNK852014:DNK852061 DDO852014:DDO852061 CTS852014:CTS852061 CJW852014:CJW852061 CAA852014:CAA852061 BQE852014:BQE852061 BGI852014:BGI852061 AWM852014:AWM852061 AMQ852014:AMQ852061 ACU852014:ACU852061 SY852014:SY852061 JC852014:JC852061 B852014:B852061 WVO786478:WVO786525 WLS786478:WLS786525 WBW786478:WBW786525 VSA786478:VSA786525 VIE786478:VIE786525 UYI786478:UYI786525 UOM786478:UOM786525 UEQ786478:UEQ786525 TUU786478:TUU786525 TKY786478:TKY786525 TBC786478:TBC786525 SRG786478:SRG786525 SHK786478:SHK786525 RXO786478:RXO786525 RNS786478:RNS786525 RDW786478:RDW786525 QUA786478:QUA786525 QKE786478:QKE786525 QAI786478:QAI786525 PQM786478:PQM786525 PGQ786478:PGQ786525 OWU786478:OWU786525 OMY786478:OMY786525 ODC786478:ODC786525 NTG786478:NTG786525 NJK786478:NJK786525 MZO786478:MZO786525 MPS786478:MPS786525 MFW786478:MFW786525 LWA786478:LWA786525 LME786478:LME786525 LCI786478:LCI786525 KSM786478:KSM786525 KIQ786478:KIQ786525 JYU786478:JYU786525 JOY786478:JOY786525 JFC786478:JFC786525 IVG786478:IVG786525 ILK786478:ILK786525 IBO786478:IBO786525 HRS786478:HRS786525 HHW786478:HHW786525 GYA786478:GYA786525 GOE786478:GOE786525 GEI786478:GEI786525 FUM786478:FUM786525 FKQ786478:FKQ786525 FAU786478:FAU786525 EQY786478:EQY786525 EHC786478:EHC786525 DXG786478:DXG786525 DNK786478:DNK786525 DDO786478:DDO786525 CTS786478:CTS786525 CJW786478:CJW786525 CAA786478:CAA786525 BQE786478:BQE786525 BGI786478:BGI786525 AWM786478:AWM786525 AMQ786478:AMQ786525 ACU786478:ACU786525 SY786478:SY786525 JC786478:JC786525 B786478:B786525 WVO720942:WVO720989 WLS720942:WLS720989 WBW720942:WBW720989 VSA720942:VSA720989 VIE720942:VIE720989 UYI720942:UYI720989 UOM720942:UOM720989 UEQ720942:UEQ720989 TUU720942:TUU720989 TKY720942:TKY720989 TBC720942:TBC720989 SRG720942:SRG720989 SHK720942:SHK720989 RXO720942:RXO720989 RNS720942:RNS720989 RDW720942:RDW720989 QUA720942:QUA720989 QKE720942:QKE720989 QAI720942:QAI720989 PQM720942:PQM720989 PGQ720942:PGQ720989 OWU720942:OWU720989 OMY720942:OMY720989 ODC720942:ODC720989 NTG720942:NTG720989 NJK720942:NJK720989 MZO720942:MZO720989 MPS720942:MPS720989 MFW720942:MFW720989 LWA720942:LWA720989 LME720942:LME720989 LCI720942:LCI720989 KSM720942:KSM720989 KIQ720942:KIQ720989 JYU720942:JYU720989 JOY720942:JOY720989 JFC720942:JFC720989 IVG720942:IVG720989 ILK720942:ILK720989 IBO720942:IBO720989 HRS720942:HRS720989 HHW720942:HHW720989 GYA720942:GYA720989 GOE720942:GOE720989 GEI720942:GEI720989 FUM720942:FUM720989 FKQ720942:FKQ720989 FAU720942:FAU720989 EQY720942:EQY720989 EHC720942:EHC720989 DXG720942:DXG720989 DNK720942:DNK720989 DDO720942:DDO720989 CTS720942:CTS720989 CJW720942:CJW720989 CAA720942:CAA720989 BQE720942:BQE720989 BGI720942:BGI720989 AWM720942:AWM720989 AMQ720942:AMQ720989 ACU720942:ACU720989 SY720942:SY720989 JC720942:JC720989 B720942:B720989 WVO655406:WVO655453 WLS655406:WLS655453 WBW655406:WBW655453 VSA655406:VSA655453 VIE655406:VIE655453 UYI655406:UYI655453 UOM655406:UOM655453 UEQ655406:UEQ655453 TUU655406:TUU655453 TKY655406:TKY655453 TBC655406:TBC655453 SRG655406:SRG655453 SHK655406:SHK655453 RXO655406:RXO655453 RNS655406:RNS655453 RDW655406:RDW655453 QUA655406:QUA655453 QKE655406:QKE655453 QAI655406:QAI655453 PQM655406:PQM655453 PGQ655406:PGQ655453 OWU655406:OWU655453 OMY655406:OMY655453 ODC655406:ODC655453 NTG655406:NTG655453 NJK655406:NJK655453 MZO655406:MZO655453 MPS655406:MPS655453 MFW655406:MFW655453 LWA655406:LWA655453 LME655406:LME655453 LCI655406:LCI655453 KSM655406:KSM655453 KIQ655406:KIQ655453 JYU655406:JYU655453 JOY655406:JOY655453 JFC655406:JFC655453 IVG655406:IVG655453 ILK655406:ILK655453 IBO655406:IBO655453 HRS655406:HRS655453 HHW655406:HHW655453 GYA655406:GYA655453 GOE655406:GOE655453 GEI655406:GEI655453 FUM655406:FUM655453 FKQ655406:FKQ655453 FAU655406:FAU655453 EQY655406:EQY655453 EHC655406:EHC655453 DXG655406:DXG655453 DNK655406:DNK655453 DDO655406:DDO655453 CTS655406:CTS655453 CJW655406:CJW655453 CAA655406:CAA655453 BQE655406:BQE655453 BGI655406:BGI655453 AWM655406:AWM655453 AMQ655406:AMQ655453 ACU655406:ACU655453 SY655406:SY655453 JC655406:JC655453 B655406:B655453 WVO589870:WVO589917 WLS589870:WLS589917 WBW589870:WBW589917 VSA589870:VSA589917 VIE589870:VIE589917 UYI589870:UYI589917 UOM589870:UOM589917 UEQ589870:UEQ589917 TUU589870:TUU589917 TKY589870:TKY589917 TBC589870:TBC589917 SRG589870:SRG589917 SHK589870:SHK589917 RXO589870:RXO589917 RNS589870:RNS589917 RDW589870:RDW589917 QUA589870:QUA589917 QKE589870:QKE589917 QAI589870:QAI589917 PQM589870:PQM589917 PGQ589870:PGQ589917 OWU589870:OWU589917 OMY589870:OMY589917 ODC589870:ODC589917 NTG589870:NTG589917 NJK589870:NJK589917 MZO589870:MZO589917 MPS589870:MPS589917 MFW589870:MFW589917 LWA589870:LWA589917 LME589870:LME589917 LCI589870:LCI589917 KSM589870:KSM589917 KIQ589870:KIQ589917 JYU589870:JYU589917 JOY589870:JOY589917 JFC589870:JFC589917 IVG589870:IVG589917 ILK589870:ILK589917 IBO589870:IBO589917 HRS589870:HRS589917 HHW589870:HHW589917 GYA589870:GYA589917 GOE589870:GOE589917 GEI589870:GEI589917 FUM589870:FUM589917 FKQ589870:FKQ589917 FAU589870:FAU589917 EQY589870:EQY589917 EHC589870:EHC589917 DXG589870:DXG589917 DNK589870:DNK589917 DDO589870:DDO589917 CTS589870:CTS589917 CJW589870:CJW589917 CAA589870:CAA589917 BQE589870:BQE589917 BGI589870:BGI589917 AWM589870:AWM589917 AMQ589870:AMQ589917 ACU589870:ACU589917 SY589870:SY589917 JC589870:JC589917 B589870:B589917 WVO524334:WVO524381 WLS524334:WLS524381 WBW524334:WBW524381 VSA524334:VSA524381 VIE524334:VIE524381 UYI524334:UYI524381 UOM524334:UOM524381 UEQ524334:UEQ524381 TUU524334:TUU524381 TKY524334:TKY524381 TBC524334:TBC524381 SRG524334:SRG524381 SHK524334:SHK524381 RXO524334:RXO524381 RNS524334:RNS524381 RDW524334:RDW524381 QUA524334:QUA524381 QKE524334:QKE524381 QAI524334:QAI524381 PQM524334:PQM524381 PGQ524334:PGQ524381 OWU524334:OWU524381 OMY524334:OMY524381 ODC524334:ODC524381 NTG524334:NTG524381 NJK524334:NJK524381 MZO524334:MZO524381 MPS524334:MPS524381 MFW524334:MFW524381 LWA524334:LWA524381 LME524334:LME524381 LCI524334:LCI524381 KSM524334:KSM524381 KIQ524334:KIQ524381 JYU524334:JYU524381 JOY524334:JOY524381 JFC524334:JFC524381 IVG524334:IVG524381 ILK524334:ILK524381 IBO524334:IBO524381 HRS524334:HRS524381 HHW524334:HHW524381 GYA524334:GYA524381 GOE524334:GOE524381 GEI524334:GEI524381 FUM524334:FUM524381 FKQ524334:FKQ524381 FAU524334:FAU524381 EQY524334:EQY524381 EHC524334:EHC524381 DXG524334:DXG524381 DNK524334:DNK524381 DDO524334:DDO524381 CTS524334:CTS524381 CJW524334:CJW524381 CAA524334:CAA524381 BQE524334:BQE524381 BGI524334:BGI524381 AWM524334:AWM524381 AMQ524334:AMQ524381 ACU524334:ACU524381 SY524334:SY524381 JC524334:JC524381 B524334:B524381 WVO458798:WVO458845 WLS458798:WLS458845 WBW458798:WBW458845 VSA458798:VSA458845 VIE458798:VIE458845 UYI458798:UYI458845 UOM458798:UOM458845 UEQ458798:UEQ458845 TUU458798:TUU458845 TKY458798:TKY458845 TBC458798:TBC458845 SRG458798:SRG458845 SHK458798:SHK458845 RXO458798:RXO458845 RNS458798:RNS458845 RDW458798:RDW458845 QUA458798:QUA458845 QKE458798:QKE458845 QAI458798:QAI458845 PQM458798:PQM458845 PGQ458798:PGQ458845 OWU458798:OWU458845 OMY458798:OMY458845 ODC458798:ODC458845 NTG458798:NTG458845 NJK458798:NJK458845 MZO458798:MZO458845 MPS458798:MPS458845 MFW458798:MFW458845 LWA458798:LWA458845 LME458798:LME458845 LCI458798:LCI458845 KSM458798:KSM458845 KIQ458798:KIQ458845 JYU458798:JYU458845 JOY458798:JOY458845 JFC458798:JFC458845 IVG458798:IVG458845 ILK458798:ILK458845 IBO458798:IBO458845 HRS458798:HRS458845 HHW458798:HHW458845 GYA458798:GYA458845 GOE458798:GOE458845 GEI458798:GEI458845 FUM458798:FUM458845 FKQ458798:FKQ458845 FAU458798:FAU458845 EQY458798:EQY458845 EHC458798:EHC458845 DXG458798:DXG458845 DNK458798:DNK458845 DDO458798:DDO458845 CTS458798:CTS458845 CJW458798:CJW458845 CAA458798:CAA458845 BQE458798:BQE458845 BGI458798:BGI458845 AWM458798:AWM458845 AMQ458798:AMQ458845 ACU458798:ACU458845 SY458798:SY458845 JC458798:JC458845 B458798:B458845 WVO393262:WVO393309 WLS393262:WLS393309 WBW393262:WBW393309 VSA393262:VSA393309 VIE393262:VIE393309 UYI393262:UYI393309 UOM393262:UOM393309 UEQ393262:UEQ393309 TUU393262:TUU393309 TKY393262:TKY393309 TBC393262:TBC393309 SRG393262:SRG393309 SHK393262:SHK393309 RXO393262:RXO393309 RNS393262:RNS393309 RDW393262:RDW393309 QUA393262:QUA393309 QKE393262:QKE393309 QAI393262:QAI393309 PQM393262:PQM393309 PGQ393262:PGQ393309 OWU393262:OWU393309 OMY393262:OMY393309 ODC393262:ODC393309 NTG393262:NTG393309 NJK393262:NJK393309 MZO393262:MZO393309 MPS393262:MPS393309 MFW393262:MFW393309 LWA393262:LWA393309 LME393262:LME393309 LCI393262:LCI393309 KSM393262:KSM393309 KIQ393262:KIQ393309 JYU393262:JYU393309 JOY393262:JOY393309 JFC393262:JFC393309 IVG393262:IVG393309 ILK393262:ILK393309 IBO393262:IBO393309 HRS393262:HRS393309 HHW393262:HHW393309 GYA393262:GYA393309 GOE393262:GOE393309 GEI393262:GEI393309 FUM393262:FUM393309 FKQ393262:FKQ393309 FAU393262:FAU393309 EQY393262:EQY393309 EHC393262:EHC393309 DXG393262:DXG393309 DNK393262:DNK393309 DDO393262:DDO393309 CTS393262:CTS393309 CJW393262:CJW393309 CAA393262:CAA393309 BQE393262:BQE393309 BGI393262:BGI393309 AWM393262:AWM393309 AMQ393262:AMQ393309 ACU393262:ACU393309 SY393262:SY393309 JC393262:JC393309 B393262:B393309 WVO327726:WVO327773 WLS327726:WLS327773 WBW327726:WBW327773 VSA327726:VSA327773 VIE327726:VIE327773 UYI327726:UYI327773 UOM327726:UOM327773 UEQ327726:UEQ327773 TUU327726:TUU327773 TKY327726:TKY327773 TBC327726:TBC327773 SRG327726:SRG327773 SHK327726:SHK327773 RXO327726:RXO327773 RNS327726:RNS327773 RDW327726:RDW327773 QUA327726:QUA327773 QKE327726:QKE327773 QAI327726:QAI327773 PQM327726:PQM327773 PGQ327726:PGQ327773 OWU327726:OWU327773 OMY327726:OMY327773 ODC327726:ODC327773 NTG327726:NTG327773 NJK327726:NJK327773 MZO327726:MZO327773 MPS327726:MPS327773 MFW327726:MFW327773 LWA327726:LWA327773 LME327726:LME327773 LCI327726:LCI327773 KSM327726:KSM327773 KIQ327726:KIQ327773 JYU327726:JYU327773 JOY327726:JOY327773 JFC327726:JFC327773 IVG327726:IVG327773 ILK327726:ILK327773 IBO327726:IBO327773 HRS327726:HRS327773 HHW327726:HHW327773 GYA327726:GYA327773 GOE327726:GOE327773 GEI327726:GEI327773 FUM327726:FUM327773 FKQ327726:FKQ327773 FAU327726:FAU327773 EQY327726:EQY327773 EHC327726:EHC327773 DXG327726:DXG327773 DNK327726:DNK327773 DDO327726:DDO327773 CTS327726:CTS327773 CJW327726:CJW327773 CAA327726:CAA327773 BQE327726:BQE327773 BGI327726:BGI327773 AWM327726:AWM327773 AMQ327726:AMQ327773 ACU327726:ACU327773 SY327726:SY327773 JC327726:JC327773 B327726:B327773 WVO262190:WVO262237 WLS262190:WLS262237 WBW262190:WBW262237 VSA262190:VSA262237 VIE262190:VIE262237 UYI262190:UYI262237 UOM262190:UOM262237 UEQ262190:UEQ262237 TUU262190:TUU262237 TKY262190:TKY262237 TBC262190:TBC262237 SRG262190:SRG262237 SHK262190:SHK262237 RXO262190:RXO262237 RNS262190:RNS262237 RDW262190:RDW262237 QUA262190:QUA262237 QKE262190:QKE262237 QAI262190:QAI262237 PQM262190:PQM262237 PGQ262190:PGQ262237 OWU262190:OWU262237 OMY262190:OMY262237 ODC262190:ODC262237 NTG262190:NTG262237 NJK262190:NJK262237 MZO262190:MZO262237 MPS262190:MPS262237 MFW262190:MFW262237 LWA262190:LWA262237 LME262190:LME262237 LCI262190:LCI262237 KSM262190:KSM262237 KIQ262190:KIQ262237 JYU262190:JYU262237 JOY262190:JOY262237 JFC262190:JFC262237 IVG262190:IVG262237 ILK262190:ILK262237 IBO262190:IBO262237 HRS262190:HRS262237 HHW262190:HHW262237 GYA262190:GYA262237 GOE262190:GOE262237 GEI262190:GEI262237 FUM262190:FUM262237 FKQ262190:FKQ262237 FAU262190:FAU262237 EQY262190:EQY262237 EHC262190:EHC262237 DXG262190:DXG262237 DNK262190:DNK262237 DDO262190:DDO262237 CTS262190:CTS262237 CJW262190:CJW262237 CAA262190:CAA262237 BQE262190:BQE262237 BGI262190:BGI262237 AWM262190:AWM262237 AMQ262190:AMQ262237 ACU262190:ACU262237 SY262190:SY262237 JC262190:JC262237 B262190:B262237 WVO196654:WVO196701 WLS196654:WLS196701 WBW196654:WBW196701 VSA196654:VSA196701 VIE196654:VIE196701 UYI196654:UYI196701 UOM196654:UOM196701 UEQ196654:UEQ196701 TUU196654:TUU196701 TKY196654:TKY196701 TBC196654:TBC196701 SRG196654:SRG196701 SHK196654:SHK196701 RXO196654:RXO196701 RNS196654:RNS196701 RDW196654:RDW196701 QUA196654:QUA196701 QKE196654:QKE196701 QAI196654:QAI196701 PQM196654:PQM196701 PGQ196654:PGQ196701 OWU196654:OWU196701 OMY196654:OMY196701 ODC196654:ODC196701 NTG196654:NTG196701 NJK196654:NJK196701 MZO196654:MZO196701 MPS196654:MPS196701 MFW196654:MFW196701 LWA196654:LWA196701 LME196654:LME196701 LCI196654:LCI196701 KSM196654:KSM196701 KIQ196654:KIQ196701 JYU196654:JYU196701 JOY196654:JOY196701 JFC196654:JFC196701 IVG196654:IVG196701 ILK196654:ILK196701 IBO196654:IBO196701 HRS196654:HRS196701 HHW196654:HHW196701 GYA196654:GYA196701 GOE196654:GOE196701 GEI196654:GEI196701 FUM196654:FUM196701 FKQ196654:FKQ196701 FAU196654:FAU196701 EQY196654:EQY196701 EHC196654:EHC196701 DXG196654:DXG196701 DNK196654:DNK196701 DDO196654:DDO196701 CTS196654:CTS196701 CJW196654:CJW196701 CAA196654:CAA196701 BQE196654:BQE196701 BGI196654:BGI196701 AWM196654:AWM196701 AMQ196654:AMQ196701 ACU196654:ACU196701 SY196654:SY196701 JC196654:JC196701 B196654:B196701 WVO131118:WVO131165 WLS131118:WLS131165 WBW131118:WBW131165 VSA131118:VSA131165 VIE131118:VIE131165 UYI131118:UYI131165 UOM131118:UOM131165 UEQ131118:UEQ131165 TUU131118:TUU131165 TKY131118:TKY131165 TBC131118:TBC131165 SRG131118:SRG131165 SHK131118:SHK131165 RXO131118:RXO131165 RNS131118:RNS131165 RDW131118:RDW131165 QUA131118:QUA131165 QKE131118:QKE131165 QAI131118:QAI131165 PQM131118:PQM131165 PGQ131118:PGQ131165 OWU131118:OWU131165 OMY131118:OMY131165 ODC131118:ODC131165 NTG131118:NTG131165 NJK131118:NJK131165 MZO131118:MZO131165 MPS131118:MPS131165 MFW131118:MFW131165 LWA131118:LWA131165 LME131118:LME131165 LCI131118:LCI131165 KSM131118:KSM131165 KIQ131118:KIQ131165 JYU131118:JYU131165 JOY131118:JOY131165 JFC131118:JFC131165 IVG131118:IVG131165 ILK131118:ILK131165 IBO131118:IBO131165 HRS131118:HRS131165 HHW131118:HHW131165 GYA131118:GYA131165 GOE131118:GOE131165 GEI131118:GEI131165 FUM131118:FUM131165 FKQ131118:FKQ131165 FAU131118:FAU131165 EQY131118:EQY131165 EHC131118:EHC131165 DXG131118:DXG131165 DNK131118:DNK131165 DDO131118:DDO131165 CTS131118:CTS131165 CJW131118:CJW131165 CAA131118:CAA131165 BQE131118:BQE131165 BGI131118:BGI131165 AWM131118:AWM131165 AMQ131118:AMQ131165 ACU131118:ACU131165 SY131118:SY131165 JC131118:JC131165 B131118:B131165 WVO65582:WVO65629 WLS65582:WLS65629 WBW65582:WBW65629 VSA65582:VSA65629 VIE65582:VIE65629 UYI65582:UYI65629 UOM65582:UOM65629 UEQ65582:UEQ65629 TUU65582:TUU65629 TKY65582:TKY65629 TBC65582:TBC65629 SRG65582:SRG65629 SHK65582:SHK65629 RXO65582:RXO65629 RNS65582:RNS65629 RDW65582:RDW65629 QUA65582:QUA65629 QKE65582:QKE65629 QAI65582:QAI65629 PQM65582:PQM65629 PGQ65582:PGQ65629 OWU65582:OWU65629 OMY65582:OMY65629 ODC65582:ODC65629 NTG65582:NTG65629 NJK65582:NJK65629 MZO65582:MZO65629 MPS65582:MPS65629 MFW65582:MFW65629 LWA65582:LWA65629 LME65582:LME65629 LCI65582:LCI65629 KSM65582:KSM65629 KIQ65582:KIQ65629 JYU65582:JYU65629 JOY65582:JOY65629 JFC65582:JFC65629 IVG65582:IVG65629 ILK65582:ILK65629 IBO65582:IBO65629 HRS65582:HRS65629 HHW65582:HHW65629 GYA65582:GYA65629 GOE65582:GOE65629 GEI65582:GEI65629 FUM65582:FUM65629 FKQ65582:FKQ65629 FAU65582:FAU65629 EQY65582:EQY65629 EHC65582:EHC65629 DXG65582:DXG65629 DNK65582:DNK65629 DDO65582:DDO65629 CTS65582:CTS65629 CJW65582:CJW65629 CAA65582:CAA65629 BQE65582:BQE65629 BGI65582:BGI65629 AWM65582:AWM65629 AMQ65582:AMQ65629 ACU65582:ACU65629 SY65582:SY65629 JC65582:JC65629 B65582:B65629 WVO45:WVO92 WLS45:WLS92 WBW45:WBW92 VSA45:VSA92 VIE45:VIE92 UYI45:UYI92 UOM45:UOM92 UEQ45:UEQ92 TUU45:TUU92 TKY45:TKY92 TBC45:TBC92 SRG45:SRG92 SHK45:SHK92 RXO45:RXO92 RNS45:RNS92 RDW45:RDW92 QUA45:QUA92 QKE45:QKE92 QAI45:QAI92 PQM45:PQM92 PGQ45:PGQ92 OWU45:OWU92 OMY45:OMY92 ODC45:ODC92 NTG45:NTG92 NJK45:NJK92 MZO45:MZO92 MPS45:MPS92 MFW45:MFW92 LWA45:LWA92 LME45:LME92 LCI45:LCI92 KSM45:KSM92 KIQ45:KIQ92 JYU45:JYU92 JOY45:JOY92 JFC45:JFC92 IVG45:IVG92 ILK45:ILK92 IBO45:IBO92 HRS45:HRS92 HHW45:HHW92 GYA45:GYA92 GOE45:GOE92 GEI45:GEI92 FUM45:FUM92 FKQ45:FKQ92 FAU45:FAU92 EQY45:EQY92 EHC45:EHC92 DXG45:DXG92 DNK45:DNK92 DDO45:DDO92 CTS45:CTS92 CJW45:CJW92 CAA45:CAA92 BQE45:BQE92 BGI45:BGI92 AWM45:AWM92 AMQ45:AMQ92 ACU45:ACU92 SY45:SY92">
      <formula1>OFFSET(ListeRegions,68,MATCH($K$2,ListePays,0)-1,COUNTA(OFFSET(ListeRegions,,MATCH($K$2,ListePays,0)-1))-1)</formula1>
    </dataValidation>
    <dataValidation type="list" allowBlank="1" showInputMessage="1" showErrorMessage="1" sqref="B45:B92">
      <formula1>OFFSET(ListeRegions,1,MATCH($K$2,ListePays,0)-1,COUNTA(OFFSET(ListeRegions,,MATCH($K$2,ListePays,0)-1))-1)</formula1>
    </dataValidation>
    <dataValidation type="list" allowBlank="1" showInputMessage="1" showErrorMessage="1" sqref="C45:C92">
      <formula1>ListeVergersBDD</formula1>
    </dataValidation>
  </dataValidations>
  <hyperlinks>
    <hyperlink ref="E1:F1" location="notice!A1" display="Cliques → ICI ←"/>
    <hyperlink ref="E94:F94" location="vergers!A1" display="Cliques → ICI ←"/>
    <hyperlink ref="I62:J62" location="vergers!C1" display="Cliques → ICI ←"/>
  </hyperlinks>
  <pageMargins left="0.78740157499999996" right="0.78740157499999996" top="0.984251969" bottom="0.984251969" header="0.5" footer="0.5"/>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BDD!$M$6:$M$10</xm:f>
          </x14:formula1>
          <xm:sqref>K2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89"/>
  <sheetViews>
    <sheetView zoomScaleNormal="100" workbookViewId="0">
      <pane xSplit="2" topLeftCell="C1" activePane="topRight" state="frozenSplit"/>
      <selection pane="topRight"/>
    </sheetView>
  </sheetViews>
  <sheetFormatPr baseColWidth="10" defaultRowHeight="12.75" x14ac:dyDescent="0.2"/>
  <cols>
    <col min="1" max="1" width="9.85546875" style="3" bestFit="1" customWidth="1"/>
    <col min="2" max="2" width="22.140625" style="3" customWidth="1"/>
    <col min="3" max="3" width="9.7109375" style="3" customWidth="1"/>
    <col min="4" max="4" width="0.85546875" style="3" customWidth="1"/>
    <col min="5" max="5" width="16.42578125" style="3" customWidth="1"/>
    <col min="6" max="6" width="17.140625" style="3" customWidth="1"/>
    <col min="7" max="7" width="14.7109375" style="3" customWidth="1"/>
    <col min="8" max="8" width="30.85546875" style="3" bestFit="1" customWidth="1"/>
    <col min="9" max="9" width="12.140625" style="3" customWidth="1"/>
    <col min="10" max="10" width="9.140625" style="3" customWidth="1"/>
    <col min="11" max="11" width="10" style="3" customWidth="1"/>
    <col min="12" max="12" width="14.5703125" style="3" bestFit="1" customWidth="1"/>
    <col min="13" max="13" width="14.42578125" style="3" bestFit="1" customWidth="1"/>
    <col min="14" max="14" width="13.140625" style="3" customWidth="1"/>
    <col min="15" max="17" width="10" style="3" customWidth="1"/>
    <col min="18" max="18" width="11.42578125" style="3" customWidth="1"/>
    <col min="19" max="19" width="9.85546875" style="3" customWidth="1"/>
    <col min="20" max="20" width="4.85546875" style="3" customWidth="1"/>
    <col min="21" max="22" width="11.42578125" style="3" customWidth="1"/>
    <col min="23" max="33" width="11.42578125" style="21" customWidth="1"/>
    <col min="34" max="34" width="11.42578125" style="547" customWidth="1"/>
    <col min="35" max="35" width="11.42578125" style="572" customWidth="1"/>
    <col min="36" max="36" width="11.42578125" style="21" customWidth="1"/>
    <col min="37" max="38" width="11.42578125" style="3" customWidth="1"/>
    <col min="39" max="39" width="11.42578125" style="2" customWidth="1"/>
    <col min="40" max="255" width="11.42578125" style="3"/>
    <col min="256" max="256" width="9.85546875" style="3" bestFit="1" customWidth="1"/>
    <col min="257" max="257" width="22.140625" style="3" customWidth="1"/>
    <col min="258" max="258" width="9.7109375" style="3" customWidth="1"/>
    <col min="259" max="259" width="0.85546875" style="3" customWidth="1"/>
    <col min="260" max="260" width="16.42578125" style="3" customWidth="1"/>
    <col min="261" max="261" width="17.140625" style="3" customWidth="1"/>
    <col min="262" max="262" width="14.7109375" style="3" customWidth="1"/>
    <col min="263" max="263" width="30.85546875" style="3" bestFit="1" customWidth="1"/>
    <col min="264" max="264" width="1" style="3" customWidth="1"/>
    <col min="265" max="265" width="12.140625" style="3" customWidth="1"/>
    <col min="266" max="266" width="9.140625" style="3" customWidth="1"/>
    <col min="267" max="267" width="10" style="3" customWidth="1"/>
    <col min="268" max="268" width="10.140625" style="3" customWidth="1"/>
    <col min="269" max="269" width="14.42578125" style="3" bestFit="1" customWidth="1"/>
    <col min="270" max="270" width="13.140625" style="3" customWidth="1"/>
    <col min="271" max="273" width="10" style="3" customWidth="1"/>
    <col min="274" max="274" width="11.42578125" style="3" customWidth="1"/>
    <col min="275" max="275" width="9.85546875" style="3" customWidth="1"/>
    <col min="276" max="276" width="4.85546875" style="3" customWidth="1"/>
    <col min="277" max="295" width="11.42578125" style="3" customWidth="1"/>
    <col min="296" max="511" width="11.42578125" style="3"/>
    <col min="512" max="512" width="9.85546875" style="3" bestFit="1" customWidth="1"/>
    <col min="513" max="513" width="22.140625" style="3" customWidth="1"/>
    <col min="514" max="514" width="9.7109375" style="3" customWidth="1"/>
    <col min="515" max="515" width="0.85546875" style="3" customWidth="1"/>
    <col min="516" max="516" width="16.42578125" style="3" customWidth="1"/>
    <col min="517" max="517" width="17.140625" style="3" customWidth="1"/>
    <col min="518" max="518" width="14.7109375" style="3" customWidth="1"/>
    <col min="519" max="519" width="30.85546875" style="3" bestFit="1" customWidth="1"/>
    <col min="520" max="520" width="1" style="3" customWidth="1"/>
    <col min="521" max="521" width="12.140625" style="3" customWidth="1"/>
    <col min="522" max="522" width="9.140625" style="3" customWidth="1"/>
    <col min="523" max="523" width="10" style="3" customWidth="1"/>
    <col min="524" max="524" width="10.140625" style="3" customWidth="1"/>
    <col min="525" max="525" width="14.42578125" style="3" bestFit="1" customWidth="1"/>
    <col min="526" max="526" width="13.140625" style="3" customWidth="1"/>
    <col min="527" max="529" width="10" style="3" customWidth="1"/>
    <col min="530" max="530" width="11.42578125" style="3" customWidth="1"/>
    <col min="531" max="531" width="9.85546875" style="3" customWidth="1"/>
    <col min="532" max="532" width="4.85546875" style="3" customWidth="1"/>
    <col min="533" max="551" width="11.42578125" style="3" customWidth="1"/>
    <col min="552" max="767" width="11.42578125" style="3"/>
    <col min="768" max="768" width="9.85546875" style="3" bestFit="1" customWidth="1"/>
    <col min="769" max="769" width="22.140625" style="3" customWidth="1"/>
    <col min="770" max="770" width="9.7109375" style="3" customWidth="1"/>
    <col min="771" max="771" width="0.85546875" style="3" customWidth="1"/>
    <col min="772" max="772" width="16.42578125" style="3" customWidth="1"/>
    <col min="773" max="773" width="17.140625" style="3" customWidth="1"/>
    <col min="774" max="774" width="14.7109375" style="3" customWidth="1"/>
    <col min="775" max="775" width="30.85546875" style="3" bestFit="1" customWidth="1"/>
    <col min="776" max="776" width="1" style="3" customWidth="1"/>
    <col min="777" max="777" width="12.140625" style="3" customWidth="1"/>
    <col min="778" max="778" width="9.140625" style="3" customWidth="1"/>
    <col min="779" max="779" width="10" style="3" customWidth="1"/>
    <col min="780" max="780" width="10.140625" style="3" customWidth="1"/>
    <col min="781" max="781" width="14.42578125" style="3" bestFit="1" customWidth="1"/>
    <col min="782" max="782" width="13.140625" style="3" customWidth="1"/>
    <col min="783" max="785" width="10" style="3" customWidth="1"/>
    <col min="786" max="786" width="11.42578125" style="3" customWidth="1"/>
    <col min="787" max="787" width="9.85546875" style="3" customWidth="1"/>
    <col min="788" max="788" width="4.85546875" style="3" customWidth="1"/>
    <col min="789" max="807" width="11.42578125" style="3" customWidth="1"/>
    <col min="808" max="1023" width="11.42578125" style="3"/>
    <col min="1024" max="1024" width="9.85546875" style="3" bestFit="1" customWidth="1"/>
    <col min="1025" max="1025" width="22.140625" style="3" customWidth="1"/>
    <col min="1026" max="1026" width="9.7109375" style="3" customWidth="1"/>
    <col min="1027" max="1027" width="0.85546875" style="3" customWidth="1"/>
    <col min="1028" max="1028" width="16.42578125" style="3" customWidth="1"/>
    <col min="1029" max="1029" width="17.140625" style="3" customWidth="1"/>
    <col min="1030" max="1030" width="14.7109375" style="3" customWidth="1"/>
    <col min="1031" max="1031" width="30.85546875" style="3" bestFit="1" customWidth="1"/>
    <col min="1032" max="1032" width="1" style="3" customWidth="1"/>
    <col min="1033" max="1033" width="12.140625" style="3" customWidth="1"/>
    <col min="1034" max="1034" width="9.140625" style="3" customWidth="1"/>
    <col min="1035" max="1035" width="10" style="3" customWidth="1"/>
    <col min="1036" max="1036" width="10.140625" style="3" customWidth="1"/>
    <col min="1037" max="1037" width="14.42578125" style="3" bestFit="1" customWidth="1"/>
    <col min="1038" max="1038" width="13.140625" style="3" customWidth="1"/>
    <col min="1039" max="1041" width="10" style="3" customWidth="1"/>
    <col min="1042" max="1042" width="11.42578125" style="3" customWidth="1"/>
    <col min="1043" max="1043" width="9.85546875" style="3" customWidth="1"/>
    <col min="1044" max="1044" width="4.85546875" style="3" customWidth="1"/>
    <col min="1045" max="1063" width="11.42578125" style="3" customWidth="1"/>
    <col min="1064" max="1279" width="11.42578125" style="3"/>
    <col min="1280" max="1280" width="9.85546875" style="3" bestFit="1" customWidth="1"/>
    <col min="1281" max="1281" width="22.140625" style="3" customWidth="1"/>
    <col min="1282" max="1282" width="9.7109375" style="3" customWidth="1"/>
    <col min="1283" max="1283" width="0.85546875" style="3" customWidth="1"/>
    <col min="1284" max="1284" width="16.42578125" style="3" customWidth="1"/>
    <col min="1285" max="1285" width="17.140625" style="3" customWidth="1"/>
    <col min="1286" max="1286" width="14.7109375" style="3" customWidth="1"/>
    <col min="1287" max="1287" width="30.85546875" style="3" bestFit="1" customWidth="1"/>
    <col min="1288" max="1288" width="1" style="3" customWidth="1"/>
    <col min="1289" max="1289" width="12.140625" style="3" customWidth="1"/>
    <col min="1290" max="1290" width="9.140625" style="3" customWidth="1"/>
    <col min="1291" max="1291" width="10" style="3" customWidth="1"/>
    <col min="1292" max="1292" width="10.140625" style="3" customWidth="1"/>
    <col min="1293" max="1293" width="14.42578125" style="3" bestFit="1" customWidth="1"/>
    <col min="1294" max="1294" width="13.140625" style="3" customWidth="1"/>
    <col min="1295" max="1297" width="10" style="3" customWidth="1"/>
    <col min="1298" max="1298" width="11.42578125" style="3" customWidth="1"/>
    <col min="1299" max="1299" width="9.85546875" style="3" customWidth="1"/>
    <col min="1300" max="1300" width="4.85546875" style="3" customWidth="1"/>
    <col min="1301" max="1319" width="11.42578125" style="3" customWidth="1"/>
    <col min="1320" max="1535" width="11.42578125" style="3"/>
    <col min="1536" max="1536" width="9.85546875" style="3" bestFit="1" customWidth="1"/>
    <col min="1537" max="1537" width="22.140625" style="3" customWidth="1"/>
    <col min="1538" max="1538" width="9.7109375" style="3" customWidth="1"/>
    <col min="1539" max="1539" width="0.85546875" style="3" customWidth="1"/>
    <col min="1540" max="1540" width="16.42578125" style="3" customWidth="1"/>
    <col min="1541" max="1541" width="17.140625" style="3" customWidth="1"/>
    <col min="1542" max="1542" width="14.7109375" style="3" customWidth="1"/>
    <col min="1543" max="1543" width="30.85546875" style="3" bestFit="1" customWidth="1"/>
    <col min="1544" max="1544" width="1" style="3" customWidth="1"/>
    <col min="1545" max="1545" width="12.140625" style="3" customWidth="1"/>
    <col min="1546" max="1546" width="9.140625" style="3" customWidth="1"/>
    <col min="1547" max="1547" width="10" style="3" customWidth="1"/>
    <col min="1548" max="1548" width="10.140625" style="3" customWidth="1"/>
    <col min="1549" max="1549" width="14.42578125" style="3" bestFit="1" customWidth="1"/>
    <col min="1550" max="1550" width="13.140625" style="3" customWidth="1"/>
    <col min="1551" max="1553" width="10" style="3" customWidth="1"/>
    <col min="1554" max="1554" width="11.42578125" style="3" customWidth="1"/>
    <col min="1555" max="1555" width="9.85546875" style="3" customWidth="1"/>
    <col min="1556" max="1556" width="4.85546875" style="3" customWidth="1"/>
    <col min="1557" max="1575" width="11.42578125" style="3" customWidth="1"/>
    <col min="1576" max="1791" width="11.42578125" style="3"/>
    <col min="1792" max="1792" width="9.85546875" style="3" bestFit="1" customWidth="1"/>
    <col min="1793" max="1793" width="22.140625" style="3" customWidth="1"/>
    <col min="1794" max="1794" width="9.7109375" style="3" customWidth="1"/>
    <col min="1795" max="1795" width="0.85546875" style="3" customWidth="1"/>
    <col min="1796" max="1796" width="16.42578125" style="3" customWidth="1"/>
    <col min="1797" max="1797" width="17.140625" style="3" customWidth="1"/>
    <col min="1798" max="1798" width="14.7109375" style="3" customWidth="1"/>
    <col min="1799" max="1799" width="30.85546875" style="3" bestFit="1" customWidth="1"/>
    <col min="1800" max="1800" width="1" style="3" customWidth="1"/>
    <col min="1801" max="1801" width="12.140625" style="3" customWidth="1"/>
    <col min="1802" max="1802" width="9.140625" style="3" customWidth="1"/>
    <col min="1803" max="1803" width="10" style="3" customWidth="1"/>
    <col min="1804" max="1804" width="10.140625" style="3" customWidth="1"/>
    <col min="1805" max="1805" width="14.42578125" style="3" bestFit="1" customWidth="1"/>
    <col min="1806" max="1806" width="13.140625" style="3" customWidth="1"/>
    <col min="1807" max="1809" width="10" style="3" customWidth="1"/>
    <col min="1810" max="1810" width="11.42578125" style="3" customWidth="1"/>
    <col min="1811" max="1811" width="9.85546875" style="3" customWidth="1"/>
    <col min="1812" max="1812" width="4.85546875" style="3" customWidth="1"/>
    <col min="1813" max="1831" width="11.42578125" style="3" customWidth="1"/>
    <col min="1832" max="2047" width="11.42578125" style="3"/>
    <col min="2048" max="2048" width="9.85546875" style="3" bestFit="1" customWidth="1"/>
    <col min="2049" max="2049" width="22.140625" style="3" customWidth="1"/>
    <col min="2050" max="2050" width="9.7109375" style="3" customWidth="1"/>
    <col min="2051" max="2051" width="0.85546875" style="3" customWidth="1"/>
    <col min="2052" max="2052" width="16.42578125" style="3" customWidth="1"/>
    <col min="2053" max="2053" width="17.140625" style="3" customWidth="1"/>
    <col min="2054" max="2054" width="14.7109375" style="3" customWidth="1"/>
    <col min="2055" max="2055" width="30.85546875" style="3" bestFit="1" customWidth="1"/>
    <col min="2056" max="2056" width="1" style="3" customWidth="1"/>
    <col min="2057" max="2057" width="12.140625" style="3" customWidth="1"/>
    <col min="2058" max="2058" width="9.140625" style="3" customWidth="1"/>
    <col min="2059" max="2059" width="10" style="3" customWidth="1"/>
    <col min="2060" max="2060" width="10.140625" style="3" customWidth="1"/>
    <col min="2061" max="2061" width="14.42578125" style="3" bestFit="1" customWidth="1"/>
    <col min="2062" max="2062" width="13.140625" style="3" customWidth="1"/>
    <col min="2063" max="2065" width="10" style="3" customWidth="1"/>
    <col min="2066" max="2066" width="11.42578125" style="3" customWidth="1"/>
    <col min="2067" max="2067" width="9.85546875" style="3" customWidth="1"/>
    <col min="2068" max="2068" width="4.85546875" style="3" customWidth="1"/>
    <col min="2069" max="2087" width="11.42578125" style="3" customWidth="1"/>
    <col min="2088" max="2303" width="11.42578125" style="3"/>
    <col min="2304" max="2304" width="9.85546875" style="3" bestFit="1" customWidth="1"/>
    <col min="2305" max="2305" width="22.140625" style="3" customWidth="1"/>
    <col min="2306" max="2306" width="9.7109375" style="3" customWidth="1"/>
    <col min="2307" max="2307" width="0.85546875" style="3" customWidth="1"/>
    <col min="2308" max="2308" width="16.42578125" style="3" customWidth="1"/>
    <col min="2309" max="2309" width="17.140625" style="3" customWidth="1"/>
    <col min="2310" max="2310" width="14.7109375" style="3" customWidth="1"/>
    <col min="2311" max="2311" width="30.85546875" style="3" bestFit="1" customWidth="1"/>
    <col min="2312" max="2312" width="1" style="3" customWidth="1"/>
    <col min="2313" max="2313" width="12.140625" style="3" customWidth="1"/>
    <col min="2314" max="2314" width="9.140625" style="3" customWidth="1"/>
    <col min="2315" max="2315" width="10" style="3" customWidth="1"/>
    <col min="2316" max="2316" width="10.140625" style="3" customWidth="1"/>
    <col min="2317" max="2317" width="14.42578125" style="3" bestFit="1" customWidth="1"/>
    <col min="2318" max="2318" width="13.140625" style="3" customWidth="1"/>
    <col min="2319" max="2321" width="10" style="3" customWidth="1"/>
    <col min="2322" max="2322" width="11.42578125" style="3" customWidth="1"/>
    <col min="2323" max="2323" width="9.85546875" style="3" customWidth="1"/>
    <col min="2324" max="2324" width="4.85546875" style="3" customWidth="1"/>
    <col min="2325" max="2343" width="11.42578125" style="3" customWidth="1"/>
    <col min="2344" max="2559" width="11.42578125" style="3"/>
    <col min="2560" max="2560" width="9.85546875" style="3" bestFit="1" customWidth="1"/>
    <col min="2561" max="2561" width="22.140625" style="3" customWidth="1"/>
    <col min="2562" max="2562" width="9.7109375" style="3" customWidth="1"/>
    <col min="2563" max="2563" width="0.85546875" style="3" customWidth="1"/>
    <col min="2564" max="2564" width="16.42578125" style="3" customWidth="1"/>
    <col min="2565" max="2565" width="17.140625" style="3" customWidth="1"/>
    <col min="2566" max="2566" width="14.7109375" style="3" customWidth="1"/>
    <col min="2567" max="2567" width="30.85546875" style="3" bestFit="1" customWidth="1"/>
    <col min="2568" max="2568" width="1" style="3" customWidth="1"/>
    <col min="2569" max="2569" width="12.140625" style="3" customWidth="1"/>
    <col min="2570" max="2570" width="9.140625" style="3" customWidth="1"/>
    <col min="2571" max="2571" width="10" style="3" customWidth="1"/>
    <col min="2572" max="2572" width="10.140625" style="3" customWidth="1"/>
    <col min="2573" max="2573" width="14.42578125" style="3" bestFit="1" customWidth="1"/>
    <col min="2574" max="2574" width="13.140625" style="3" customWidth="1"/>
    <col min="2575" max="2577" width="10" style="3" customWidth="1"/>
    <col min="2578" max="2578" width="11.42578125" style="3" customWidth="1"/>
    <col min="2579" max="2579" width="9.85546875" style="3" customWidth="1"/>
    <col min="2580" max="2580" width="4.85546875" style="3" customWidth="1"/>
    <col min="2581" max="2599" width="11.42578125" style="3" customWidth="1"/>
    <col min="2600" max="2815" width="11.42578125" style="3"/>
    <col min="2816" max="2816" width="9.85546875" style="3" bestFit="1" customWidth="1"/>
    <col min="2817" max="2817" width="22.140625" style="3" customWidth="1"/>
    <col min="2818" max="2818" width="9.7109375" style="3" customWidth="1"/>
    <col min="2819" max="2819" width="0.85546875" style="3" customWidth="1"/>
    <col min="2820" max="2820" width="16.42578125" style="3" customWidth="1"/>
    <col min="2821" max="2821" width="17.140625" style="3" customWidth="1"/>
    <col min="2822" max="2822" width="14.7109375" style="3" customWidth="1"/>
    <col min="2823" max="2823" width="30.85546875" style="3" bestFit="1" customWidth="1"/>
    <col min="2824" max="2824" width="1" style="3" customWidth="1"/>
    <col min="2825" max="2825" width="12.140625" style="3" customWidth="1"/>
    <col min="2826" max="2826" width="9.140625" style="3" customWidth="1"/>
    <col min="2827" max="2827" width="10" style="3" customWidth="1"/>
    <col min="2828" max="2828" width="10.140625" style="3" customWidth="1"/>
    <col min="2829" max="2829" width="14.42578125" style="3" bestFit="1" customWidth="1"/>
    <col min="2830" max="2830" width="13.140625" style="3" customWidth="1"/>
    <col min="2831" max="2833" width="10" style="3" customWidth="1"/>
    <col min="2834" max="2834" width="11.42578125" style="3" customWidth="1"/>
    <col min="2835" max="2835" width="9.85546875" style="3" customWidth="1"/>
    <col min="2836" max="2836" width="4.85546875" style="3" customWidth="1"/>
    <col min="2837" max="2855" width="11.42578125" style="3" customWidth="1"/>
    <col min="2856" max="3071" width="11.42578125" style="3"/>
    <col min="3072" max="3072" width="9.85546875" style="3" bestFit="1" customWidth="1"/>
    <col min="3073" max="3073" width="22.140625" style="3" customWidth="1"/>
    <col min="3074" max="3074" width="9.7109375" style="3" customWidth="1"/>
    <col min="3075" max="3075" width="0.85546875" style="3" customWidth="1"/>
    <col min="3076" max="3076" width="16.42578125" style="3" customWidth="1"/>
    <col min="3077" max="3077" width="17.140625" style="3" customWidth="1"/>
    <col min="3078" max="3078" width="14.7109375" style="3" customWidth="1"/>
    <col min="3079" max="3079" width="30.85546875" style="3" bestFit="1" customWidth="1"/>
    <col min="3080" max="3080" width="1" style="3" customWidth="1"/>
    <col min="3081" max="3081" width="12.140625" style="3" customWidth="1"/>
    <col min="3082" max="3082" width="9.140625" style="3" customWidth="1"/>
    <col min="3083" max="3083" width="10" style="3" customWidth="1"/>
    <col min="3084" max="3084" width="10.140625" style="3" customWidth="1"/>
    <col min="3085" max="3085" width="14.42578125" style="3" bestFit="1" customWidth="1"/>
    <col min="3086" max="3086" width="13.140625" style="3" customWidth="1"/>
    <col min="3087" max="3089" width="10" style="3" customWidth="1"/>
    <col min="3090" max="3090" width="11.42578125" style="3" customWidth="1"/>
    <col min="3091" max="3091" width="9.85546875" style="3" customWidth="1"/>
    <col min="3092" max="3092" width="4.85546875" style="3" customWidth="1"/>
    <col min="3093" max="3111" width="11.42578125" style="3" customWidth="1"/>
    <col min="3112" max="3327" width="11.42578125" style="3"/>
    <col min="3328" max="3328" width="9.85546875" style="3" bestFit="1" customWidth="1"/>
    <col min="3329" max="3329" width="22.140625" style="3" customWidth="1"/>
    <col min="3330" max="3330" width="9.7109375" style="3" customWidth="1"/>
    <col min="3331" max="3331" width="0.85546875" style="3" customWidth="1"/>
    <col min="3332" max="3332" width="16.42578125" style="3" customWidth="1"/>
    <col min="3333" max="3333" width="17.140625" style="3" customWidth="1"/>
    <col min="3334" max="3334" width="14.7109375" style="3" customWidth="1"/>
    <col min="3335" max="3335" width="30.85546875" style="3" bestFit="1" customWidth="1"/>
    <col min="3336" max="3336" width="1" style="3" customWidth="1"/>
    <col min="3337" max="3337" width="12.140625" style="3" customWidth="1"/>
    <col min="3338" max="3338" width="9.140625" style="3" customWidth="1"/>
    <col min="3339" max="3339" width="10" style="3" customWidth="1"/>
    <col min="3340" max="3340" width="10.140625" style="3" customWidth="1"/>
    <col min="3341" max="3341" width="14.42578125" style="3" bestFit="1" customWidth="1"/>
    <col min="3342" max="3342" width="13.140625" style="3" customWidth="1"/>
    <col min="3343" max="3345" width="10" style="3" customWidth="1"/>
    <col min="3346" max="3346" width="11.42578125" style="3" customWidth="1"/>
    <col min="3347" max="3347" width="9.85546875" style="3" customWidth="1"/>
    <col min="3348" max="3348" width="4.85546875" style="3" customWidth="1"/>
    <col min="3349" max="3367" width="11.42578125" style="3" customWidth="1"/>
    <col min="3368" max="3583" width="11.42578125" style="3"/>
    <col min="3584" max="3584" width="9.85546875" style="3" bestFit="1" customWidth="1"/>
    <col min="3585" max="3585" width="22.140625" style="3" customWidth="1"/>
    <col min="3586" max="3586" width="9.7109375" style="3" customWidth="1"/>
    <col min="3587" max="3587" width="0.85546875" style="3" customWidth="1"/>
    <col min="3588" max="3588" width="16.42578125" style="3" customWidth="1"/>
    <col min="3589" max="3589" width="17.140625" style="3" customWidth="1"/>
    <col min="3590" max="3590" width="14.7109375" style="3" customWidth="1"/>
    <col min="3591" max="3591" width="30.85546875" style="3" bestFit="1" customWidth="1"/>
    <col min="3592" max="3592" width="1" style="3" customWidth="1"/>
    <col min="3593" max="3593" width="12.140625" style="3" customWidth="1"/>
    <col min="3594" max="3594" width="9.140625" style="3" customWidth="1"/>
    <col min="3595" max="3595" width="10" style="3" customWidth="1"/>
    <col min="3596" max="3596" width="10.140625" style="3" customWidth="1"/>
    <col min="3597" max="3597" width="14.42578125" style="3" bestFit="1" customWidth="1"/>
    <col min="3598" max="3598" width="13.140625" style="3" customWidth="1"/>
    <col min="3599" max="3601" width="10" style="3" customWidth="1"/>
    <col min="3602" max="3602" width="11.42578125" style="3" customWidth="1"/>
    <col min="3603" max="3603" width="9.85546875" style="3" customWidth="1"/>
    <col min="3604" max="3604" width="4.85546875" style="3" customWidth="1"/>
    <col min="3605" max="3623" width="11.42578125" style="3" customWidth="1"/>
    <col min="3624" max="3839" width="11.42578125" style="3"/>
    <col min="3840" max="3840" width="9.85546875" style="3" bestFit="1" customWidth="1"/>
    <col min="3841" max="3841" width="22.140625" style="3" customWidth="1"/>
    <col min="3842" max="3842" width="9.7109375" style="3" customWidth="1"/>
    <col min="3843" max="3843" width="0.85546875" style="3" customWidth="1"/>
    <col min="3844" max="3844" width="16.42578125" style="3" customWidth="1"/>
    <col min="3845" max="3845" width="17.140625" style="3" customWidth="1"/>
    <col min="3846" max="3846" width="14.7109375" style="3" customWidth="1"/>
    <col min="3847" max="3847" width="30.85546875" style="3" bestFit="1" customWidth="1"/>
    <col min="3848" max="3848" width="1" style="3" customWidth="1"/>
    <col min="3849" max="3849" width="12.140625" style="3" customWidth="1"/>
    <col min="3850" max="3850" width="9.140625" style="3" customWidth="1"/>
    <col min="3851" max="3851" width="10" style="3" customWidth="1"/>
    <col min="3852" max="3852" width="10.140625" style="3" customWidth="1"/>
    <col min="3853" max="3853" width="14.42578125" style="3" bestFit="1" customWidth="1"/>
    <col min="3854" max="3854" width="13.140625" style="3" customWidth="1"/>
    <col min="3855" max="3857" width="10" style="3" customWidth="1"/>
    <col min="3858" max="3858" width="11.42578125" style="3" customWidth="1"/>
    <col min="3859" max="3859" width="9.85546875" style="3" customWidth="1"/>
    <col min="3860" max="3860" width="4.85546875" style="3" customWidth="1"/>
    <col min="3861" max="3879" width="11.42578125" style="3" customWidth="1"/>
    <col min="3880" max="4095" width="11.42578125" style="3"/>
    <col min="4096" max="4096" width="9.85546875" style="3" bestFit="1" customWidth="1"/>
    <col min="4097" max="4097" width="22.140625" style="3" customWidth="1"/>
    <col min="4098" max="4098" width="9.7109375" style="3" customWidth="1"/>
    <col min="4099" max="4099" width="0.85546875" style="3" customWidth="1"/>
    <col min="4100" max="4100" width="16.42578125" style="3" customWidth="1"/>
    <col min="4101" max="4101" width="17.140625" style="3" customWidth="1"/>
    <col min="4102" max="4102" width="14.7109375" style="3" customWidth="1"/>
    <col min="4103" max="4103" width="30.85546875" style="3" bestFit="1" customWidth="1"/>
    <col min="4104" max="4104" width="1" style="3" customWidth="1"/>
    <col min="4105" max="4105" width="12.140625" style="3" customWidth="1"/>
    <col min="4106" max="4106" width="9.140625" style="3" customWidth="1"/>
    <col min="4107" max="4107" width="10" style="3" customWidth="1"/>
    <col min="4108" max="4108" width="10.140625" style="3" customWidth="1"/>
    <col min="4109" max="4109" width="14.42578125" style="3" bestFit="1" customWidth="1"/>
    <col min="4110" max="4110" width="13.140625" style="3" customWidth="1"/>
    <col min="4111" max="4113" width="10" style="3" customWidth="1"/>
    <col min="4114" max="4114" width="11.42578125" style="3" customWidth="1"/>
    <col min="4115" max="4115" width="9.85546875" style="3" customWidth="1"/>
    <col min="4116" max="4116" width="4.85546875" style="3" customWidth="1"/>
    <col min="4117" max="4135" width="11.42578125" style="3" customWidth="1"/>
    <col min="4136" max="4351" width="11.42578125" style="3"/>
    <col min="4352" max="4352" width="9.85546875" style="3" bestFit="1" customWidth="1"/>
    <col min="4353" max="4353" width="22.140625" style="3" customWidth="1"/>
    <col min="4354" max="4354" width="9.7109375" style="3" customWidth="1"/>
    <col min="4355" max="4355" width="0.85546875" style="3" customWidth="1"/>
    <col min="4356" max="4356" width="16.42578125" style="3" customWidth="1"/>
    <col min="4357" max="4357" width="17.140625" style="3" customWidth="1"/>
    <col min="4358" max="4358" width="14.7109375" style="3" customWidth="1"/>
    <col min="4359" max="4359" width="30.85546875" style="3" bestFit="1" customWidth="1"/>
    <col min="4360" max="4360" width="1" style="3" customWidth="1"/>
    <col min="4361" max="4361" width="12.140625" style="3" customWidth="1"/>
    <col min="4362" max="4362" width="9.140625" style="3" customWidth="1"/>
    <col min="4363" max="4363" width="10" style="3" customWidth="1"/>
    <col min="4364" max="4364" width="10.140625" style="3" customWidth="1"/>
    <col min="4365" max="4365" width="14.42578125" style="3" bestFit="1" customWidth="1"/>
    <col min="4366" max="4366" width="13.140625" style="3" customWidth="1"/>
    <col min="4367" max="4369" width="10" style="3" customWidth="1"/>
    <col min="4370" max="4370" width="11.42578125" style="3" customWidth="1"/>
    <col min="4371" max="4371" width="9.85546875" style="3" customWidth="1"/>
    <col min="4372" max="4372" width="4.85546875" style="3" customWidth="1"/>
    <col min="4373" max="4391" width="11.42578125" style="3" customWidth="1"/>
    <col min="4392" max="4607" width="11.42578125" style="3"/>
    <col min="4608" max="4608" width="9.85546875" style="3" bestFit="1" customWidth="1"/>
    <col min="4609" max="4609" width="22.140625" style="3" customWidth="1"/>
    <col min="4610" max="4610" width="9.7109375" style="3" customWidth="1"/>
    <col min="4611" max="4611" width="0.85546875" style="3" customWidth="1"/>
    <col min="4612" max="4612" width="16.42578125" style="3" customWidth="1"/>
    <col min="4613" max="4613" width="17.140625" style="3" customWidth="1"/>
    <col min="4614" max="4614" width="14.7109375" style="3" customWidth="1"/>
    <col min="4615" max="4615" width="30.85546875" style="3" bestFit="1" customWidth="1"/>
    <col min="4616" max="4616" width="1" style="3" customWidth="1"/>
    <col min="4617" max="4617" width="12.140625" style="3" customWidth="1"/>
    <col min="4618" max="4618" width="9.140625" style="3" customWidth="1"/>
    <col min="4619" max="4619" width="10" style="3" customWidth="1"/>
    <col min="4620" max="4620" width="10.140625" style="3" customWidth="1"/>
    <col min="4621" max="4621" width="14.42578125" style="3" bestFit="1" customWidth="1"/>
    <col min="4622" max="4622" width="13.140625" style="3" customWidth="1"/>
    <col min="4623" max="4625" width="10" style="3" customWidth="1"/>
    <col min="4626" max="4626" width="11.42578125" style="3" customWidth="1"/>
    <col min="4627" max="4627" width="9.85546875" style="3" customWidth="1"/>
    <col min="4628" max="4628" width="4.85546875" style="3" customWidth="1"/>
    <col min="4629" max="4647" width="11.42578125" style="3" customWidth="1"/>
    <col min="4648" max="4863" width="11.42578125" style="3"/>
    <col min="4864" max="4864" width="9.85546875" style="3" bestFit="1" customWidth="1"/>
    <col min="4865" max="4865" width="22.140625" style="3" customWidth="1"/>
    <col min="4866" max="4866" width="9.7109375" style="3" customWidth="1"/>
    <col min="4867" max="4867" width="0.85546875" style="3" customWidth="1"/>
    <col min="4868" max="4868" width="16.42578125" style="3" customWidth="1"/>
    <col min="4869" max="4869" width="17.140625" style="3" customWidth="1"/>
    <col min="4870" max="4870" width="14.7109375" style="3" customWidth="1"/>
    <col min="4871" max="4871" width="30.85546875" style="3" bestFit="1" customWidth="1"/>
    <col min="4872" max="4872" width="1" style="3" customWidth="1"/>
    <col min="4873" max="4873" width="12.140625" style="3" customWidth="1"/>
    <col min="4874" max="4874" width="9.140625" style="3" customWidth="1"/>
    <col min="4875" max="4875" width="10" style="3" customWidth="1"/>
    <col min="4876" max="4876" width="10.140625" style="3" customWidth="1"/>
    <col min="4877" max="4877" width="14.42578125" style="3" bestFit="1" customWidth="1"/>
    <col min="4878" max="4878" width="13.140625" style="3" customWidth="1"/>
    <col min="4879" max="4881" width="10" style="3" customWidth="1"/>
    <col min="4882" max="4882" width="11.42578125" style="3" customWidth="1"/>
    <col min="4883" max="4883" width="9.85546875" style="3" customWidth="1"/>
    <col min="4884" max="4884" width="4.85546875" style="3" customWidth="1"/>
    <col min="4885" max="4903" width="11.42578125" style="3" customWidth="1"/>
    <col min="4904" max="5119" width="11.42578125" style="3"/>
    <col min="5120" max="5120" width="9.85546875" style="3" bestFit="1" customWidth="1"/>
    <col min="5121" max="5121" width="22.140625" style="3" customWidth="1"/>
    <col min="5122" max="5122" width="9.7109375" style="3" customWidth="1"/>
    <col min="5123" max="5123" width="0.85546875" style="3" customWidth="1"/>
    <col min="5124" max="5124" width="16.42578125" style="3" customWidth="1"/>
    <col min="5125" max="5125" width="17.140625" style="3" customWidth="1"/>
    <col min="5126" max="5126" width="14.7109375" style="3" customWidth="1"/>
    <col min="5127" max="5127" width="30.85546875" style="3" bestFit="1" customWidth="1"/>
    <col min="5128" max="5128" width="1" style="3" customWidth="1"/>
    <col min="5129" max="5129" width="12.140625" style="3" customWidth="1"/>
    <col min="5130" max="5130" width="9.140625" style="3" customWidth="1"/>
    <col min="5131" max="5131" width="10" style="3" customWidth="1"/>
    <col min="5132" max="5132" width="10.140625" style="3" customWidth="1"/>
    <col min="5133" max="5133" width="14.42578125" style="3" bestFit="1" customWidth="1"/>
    <col min="5134" max="5134" width="13.140625" style="3" customWidth="1"/>
    <col min="5135" max="5137" width="10" style="3" customWidth="1"/>
    <col min="5138" max="5138" width="11.42578125" style="3" customWidth="1"/>
    <col min="5139" max="5139" width="9.85546875" style="3" customWidth="1"/>
    <col min="5140" max="5140" width="4.85546875" style="3" customWidth="1"/>
    <col min="5141" max="5159" width="11.42578125" style="3" customWidth="1"/>
    <col min="5160" max="5375" width="11.42578125" style="3"/>
    <col min="5376" max="5376" width="9.85546875" style="3" bestFit="1" customWidth="1"/>
    <col min="5377" max="5377" width="22.140625" style="3" customWidth="1"/>
    <col min="5378" max="5378" width="9.7109375" style="3" customWidth="1"/>
    <col min="5379" max="5379" width="0.85546875" style="3" customWidth="1"/>
    <col min="5380" max="5380" width="16.42578125" style="3" customWidth="1"/>
    <col min="5381" max="5381" width="17.140625" style="3" customWidth="1"/>
    <col min="5382" max="5382" width="14.7109375" style="3" customWidth="1"/>
    <col min="5383" max="5383" width="30.85546875" style="3" bestFit="1" customWidth="1"/>
    <col min="5384" max="5384" width="1" style="3" customWidth="1"/>
    <col min="5385" max="5385" width="12.140625" style="3" customWidth="1"/>
    <col min="5386" max="5386" width="9.140625" style="3" customWidth="1"/>
    <col min="5387" max="5387" width="10" style="3" customWidth="1"/>
    <col min="5388" max="5388" width="10.140625" style="3" customWidth="1"/>
    <col min="5389" max="5389" width="14.42578125" style="3" bestFit="1" customWidth="1"/>
    <col min="5390" max="5390" width="13.140625" style="3" customWidth="1"/>
    <col min="5391" max="5393" width="10" style="3" customWidth="1"/>
    <col min="5394" max="5394" width="11.42578125" style="3" customWidth="1"/>
    <col min="5395" max="5395" width="9.85546875" style="3" customWidth="1"/>
    <col min="5396" max="5396" width="4.85546875" style="3" customWidth="1"/>
    <col min="5397" max="5415" width="11.42578125" style="3" customWidth="1"/>
    <col min="5416" max="5631" width="11.42578125" style="3"/>
    <col min="5632" max="5632" width="9.85546875" style="3" bestFit="1" customWidth="1"/>
    <col min="5633" max="5633" width="22.140625" style="3" customWidth="1"/>
    <col min="5634" max="5634" width="9.7109375" style="3" customWidth="1"/>
    <col min="5635" max="5635" width="0.85546875" style="3" customWidth="1"/>
    <col min="5636" max="5636" width="16.42578125" style="3" customWidth="1"/>
    <col min="5637" max="5637" width="17.140625" style="3" customWidth="1"/>
    <col min="5638" max="5638" width="14.7109375" style="3" customWidth="1"/>
    <col min="5639" max="5639" width="30.85546875" style="3" bestFit="1" customWidth="1"/>
    <col min="5640" max="5640" width="1" style="3" customWidth="1"/>
    <col min="5641" max="5641" width="12.140625" style="3" customWidth="1"/>
    <col min="5642" max="5642" width="9.140625" style="3" customWidth="1"/>
    <col min="5643" max="5643" width="10" style="3" customWidth="1"/>
    <col min="5644" max="5644" width="10.140625" style="3" customWidth="1"/>
    <col min="5645" max="5645" width="14.42578125" style="3" bestFit="1" customWidth="1"/>
    <col min="5646" max="5646" width="13.140625" style="3" customWidth="1"/>
    <col min="5647" max="5649" width="10" style="3" customWidth="1"/>
    <col min="5650" max="5650" width="11.42578125" style="3" customWidth="1"/>
    <col min="5651" max="5651" width="9.85546875" style="3" customWidth="1"/>
    <col min="5652" max="5652" width="4.85546875" style="3" customWidth="1"/>
    <col min="5653" max="5671" width="11.42578125" style="3" customWidth="1"/>
    <col min="5672" max="5887" width="11.42578125" style="3"/>
    <col min="5888" max="5888" width="9.85546875" style="3" bestFit="1" customWidth="1"/>
    <col min="5889" max="5889" width="22.140625" style="3" customWidth="1"/>
    <col min="5890" max="5890" width="9.7109375" style="3" customWidth="1"/>
    <col min="5891" max="5891" width="0.85546875" style="3" customWidth="1"/>
    <col min="5892" max="5892" width="16.42578125" style="3" customWidth="1"/>
    <col min="5893" max="5893" width="17.140625" style="3" customWidth="1"/>
    <col min="5894" max="5894" width="14.7109375" style="3" customWidth="1"/>
    <col min="5895" max="5895" width="30.85546875" style="3" bestFit="1" customWidth="1"/>
    <col min="5896" max="5896" width="1" style="3" customWidth="1"/>
    <col min="5897" max="5897" width="12.140625" style="3" customWidth="1"/>
    <col min="5898" max="5898" width="9.140625" style="3" customWidth="1"/>
    <col min="5899" max="5899" width="10" style="3" customWidth="1"/>
    <col min="5900" max="5900" width="10.140625" style="3" customWidth="1"/>
    <col min="5901" max="5901" width="14.42578125" style="3" bestFit="1" customWidth="1"/>
    <col min="5902" max="5902" width="13.140625" style="3" customWidth="1"/>
    <col min="5903" max="5905" width="10" style="3" customWidth="1"/>
    <col min="5906" max="5906" width="11.42578125" style="3" customWidth="1"/>
    <col min="5907" max="5907" width="9.85546875" style="3" customWidth="1"/>
    <col min="5908" max="5908" width="4.85546875" style="3" customWidth="1"/>
    <col min="5909" max="5927" width="11.42578125" style="3" customWidth="1"/>
    <col min="5928" max="6143" width="11.42578125" style="3"/>
    <col min="6144" max="6144" width="9.85546875" style="3" bestFit="1" customWidth="1"/>
    <col min="6145" max="6145" width="22.140625" style="3" customWidth="1"/>
    <col min="6146" max="6146" width="9.7109375" style="3" customWidth="1"/>
    <col min="6147" max="6147" width="0.85546875" style="3" customWidth="1"/>
    <col min="6148" max="6148" width="16.42578125" style="3" customWidth="1"/>
    <col min="6149" max="6149" width="17.140625" style="3" customWidth="1"/>
    <col min="6150" max="6150" width="14.7109375" style="3" customWidth="1"/>
    <col min="6151" max="6151" width="30.85546875" style="3" bestFit="1" customWidth="1"/>
    <col min="6152" max="6152" width="1" style="3" customWidth="1"/>
    <col min="6153" max="6153" width="12.140625" style="3" customWidth="1"/>
    <col min="6154" max="6154" width="9.140625" style="3" customWidth="1"/>
    <col min="6155" max="6155" width="10" style="3" customWidth="1"/>
    <col min="6156" max="6156" width="10.140625" style="3" customWidth="1"/>
    <col min="6157" max="6157" width="14.42578125" style="3" bestFit="1" customWidth="1"/>
    <col min="6158" max="6158" width="13.140625" style="3" customWidth="1"/>
    <col min="6159" max="6161" width="10" style="3" customWidth="1"/>
    <col min="6162" max="6162" width="11.42578125" style="3" customWidth="1"/>
    <col min="6163" max="6163" width="9.85546875" style="3" customWidth="1"/>
    <col min="6164" max="6164" width="4.85546875" style="3" customWidth="1"/>
    <col min="6165" max="6183" width="11.42578125" style="3" customWidth="1"/>
    <col min="6184" max="6399" width="11.42578125" style="3"/>
    <col min="6400" max="6400" width="9.85546875" style="3" bestFit="1" customWidth="1"/>
    <col min="6401" max="6401" width="22.140625" style="3" customWidth="1"/>
    <col min="6402" max="6402" width="9.7109375" style="3" customWidth="1"/>
    <col min="6403" max="6403" width="0.85546875" style="3" customWidth="1"/>
    <col min="6404" max="6404" width="16.42578125" style="3" customWidth="1"/>
    <col min="6405" max="6405" width="17.140625" style="3" customWidth="1"/>
    <col min="6406" max="6406" width="14.7109375" style="3" customWidth="1"/>
    <col min="6407" max="6407" width="30.85546875" style="3" bestFit="1" customWidth="1"/>
    <col min="6408" max="6408" width="1" style="3" customWidth="1"/>
    <col min="6409" max="6409" width="12.140625" style="3" customWidth="1"/>
    <col min="6410" max="6410" width="9.140625" style="3" customWidth="1"/>
    <col min="6411" max="6411" width="10" style="3" customWidth="1"/>
    <col min="6412" max="6412" width="10.140625" style="3" customWidth="1"/>
    <col min="6413" max="6413" width="14.42578125" style="3" bestFit="1" customWidth="1"/>
    <col min="6414" max="6414" width="13.140625" style="3" customWidth="1"/>
    <col min="6415" max="6417" width="10" style="3" customWidth="1"/>
    <col min="6418" max="6418" width="11.42578125" style="3" customWidth="1"/>
    <col min="6419" max="6419" width="9.85546875" style="3" customWidth="1"/>
    <col min="6420" max="6420" width="4.85546875" style="3" customWidth="1"/>
    <col min="6421" max="6439" width="11.42578125" style="3" customWidth="1"/>
    <col min="6440" max="6655" width="11.42578125" style="3"/>
    <col min="6656" max="6656" width="9.85546875" style="3" bestFit="1" customWidth="1"/>
    <col min="6657" max="6657" width="22.140625" style="3" customWidth="1"/>
    <col min="6658" max="6658" width="9.7109375" style="3" customWidth="1"/>
    <col min="6659" max="6659" width="0.85546875" style="3" customWidth="1"/>
    <col min="6660" max="6660" width="16.42578125" style="3" customWidth="1"/>
    <col min="6661" max="6661" width="17.140625" style="3" customWidth="1"/>
    <col min="6662" max="6662" width="14.7109375" style="3" customWidth="1"/>
    <col min="6663" max="6663" width="30.85546875" style="3" bestFit="1" customWidth="1"/>
    <col min="6664" max="6664" width="1" style="3" customWidth="1"/>
    <col min="6665" max="6665" width="12.140625" style="3" customWidth="1"/>
    <col min="6666" max="6666" width="9.140625" style="3" customWidth="1"/>
    <col min="6667" max="6667" width="10" style="3" customWidth="1"/>
    <col min="6668" max="6668" width="10.140625" style="3" customWidth="1"/>
    <col min="6669" max="6669" width="14.42578125" style="3" bestFit="1" customWidth="1"/>
    <col min="6670" max="6670" width="13.140625" style="3" customWidth="1"/>
    <col min="6671" max="6673" width="10" style="3" customWidth="1"/>
    <col min="6674" max="6674" width="11.42578125" style="3" customWidth="1"/>
    <col min="6675" max="6675" width="9.85546875" style="3" customWidth="1"/>
    <col min="6676" max="6676" width="4.85546875" style="3" customWidth="1"/>
    <col min="6677" max="6695" width="11.42578125" style="3" customWidth="1"/>
    <col min="6696" max="6911" width="11.42578125" style="3"/>
    <col min="6912" max="6912" width="9.85546875" style="3" bestFit="1" customWidth="1"/>
    <col min="6913" max="6913" width="22.140625" style="3" customWidth="1"/>
    <col min="6914" max="6914" width="9.7109375" style="3" customWidth="1"/>
    <col min="6915" max="6915" width="0.85546875" style="3" customWidth="1"/>
    <col min="6916" max="6916" width="16.42578125" style="3" customWidth="1"/>
    <col min="6917" max="6917" width="17.140625" style="3" customWidth="1"/>
    <col min="6918" max="6918" width="14.7109375" style="3" customWidth="1"/>
    <col min="6919" max="6919" width="30.85546875" style="3" bestFit="1" customWidth="1"/>
    <col min="6920" max="6920" width="1" style="3" customWidth="1"/>
    <col min="6921" max="6921" width="12.140625" style="3" customWidth="1"/>
    <col min="6922" max="6922" width="9.140625" style="3" customWidth="1"/>
    <col min="6923" max="6923" width="10" style="3" customWidth="1"/>
    <col min="6924" max="6924" width="10.140625" style="3" customWidth="1"/>
    <col min="6925" max="6925" width="14.42578125" style="3" bestFit="1" customWidth="1"/>
    <col min="6926" max="6926" width="13.140625" style="3" customWidth="1"/>
    <col min="6927" max="6929" width="10" style="3" customWidth="1"/>
    <col min="6930" max="6930" width="11.42578125" style="3" customWidth="1"/>
    <col min="6931" max="6931" width="9.85546875" style="3" customWidth="1"/>
    <col min="6932" max="6932" width="4.85546875" style="3" customWidth="1"/>
    <col min="6933" max="6951" width="11.42578125" style="3" customWidth="1"/>
    <col min="6952" max="7167" width="11.42578125" style="3"/>
    <col min="7168" max="7168" width="9.85546875" style="3" bestFit="1" customWidth="1"/>
    <col min="7169" max="7169" width="22.140625" style="3" customWidth="1"/>
    <col min="7170" max="7170" width="9.7109375" style="3" customWidth="1"/>
    <col min="7171" max="7171" width="0.85546875" style="3" customWidth="1"/>
    <col min="7172" max="7172" width="16.42578125" style="3" customWidth="1"/>
    <col min="7173" max="7173" width="17.140625" style="3" customWidth="1"/>
    <col min="7174" max="7174" width="14.7109375" style="3" customWidth="1"/>
    <col min="7175" max="7175" width="30.85546875" style="3" bestFit="1" customWidth="1"/>
    <col min="7176" max="7176" width="1" style="3" customWidth="1"/>
    <col min="7177" max="7177" width="12.140625" style="3" customWidth="1"/>
    <col min="7178" max="7178" width="9.140625" style="3" customWidth="1"/>
    <col min="7179" max="7179" width="10" style="3" customWidth="1"/>
    <col min="7180" max="7180" width="10.140625" style="3" customWidth="1"/>
    <col min="7181" max="7181" width="14.42578125" style="3" bestFit="1" customWidth="1"/>
    <col min="7182" max="7182" width="13.140625" style="3" customWidth="1"/>
    <col min="7183" max="7185" width="10" style="3" customWidth="1"/>
    <col min="7186" max="7186" width="11.42578125" style="3" customWidth="1"/>
    <col min="7187" max="7187" width="9.85546875" style="3" customWidth="1"/>
    <col min="7188" max="7188" width="4.85546875" style="3" customWidth="1"/>
    <col min="7189" max="7207" width="11.42578125" style="3" customWidth="1"/>
    <col min="7208" max="7423" width="11.42578125" style="3"/>
    <col min="7424" max="7424" width="9.85546875" style="3" bestFit="1" customWidth="1"/>
    <col min="7425" max="7425" width="22.140625" style="3" customWidth="1"/>
    <col min="7426" max="7426" width="9.7109375" style="3" customWidth="1"/>
    <col min="7427" max="7427" width="0.85546875" style="3" customWidth="1"/>
    <col min="7428" max="7428" width="16.42578125" style="3" customWidth="1"/>
    <col min="7429" max="7429" width="17.140625" style="3" customWidth="1"/>
    <col min="7430" max="7430" width="14.7109375" style="3" customWidth="1"/>
    <col min="7431" max="7431" width="30.85546875" style="3" bestFit="1" customWidth="1"/>
    <col min="7432" max="7432" width="1" style="3" customWidth="1"/>
    <col min="7433" max="7433" width="12.140625" style="3" customWidth="1"/>
    <col min="7434" max="7434" width="9.140625" style="3" customWidth="1"/>
    <col min="7435" max="7435" width="10" style="3" customWidth="1"/>
    <col min="7436" max="7436" width="10.140625" style="3" customWidth="1"/>
    <col min="7437" max="7437" width="14.42578125" style="3" bestFit="1" customWidth="1"/>
    <col min="7438" max="7438" width="13.140625" style="3" customWidth="1"/>
    <col min="7439" max="7441" width="10" style="3" customWidth="1"/>
    <col min="7442" max="7442" width="11.42578125" style="3" customWidth="1"/>
    <col min="7443" max="7443" width="9.85546875" style="3" customWidth="1"/>
    <col min="7444" max="7444" width="4.85546875" style="3" customWidth="1"/>
    <col min="7445" max="7463" width="11.42578125" style="3" customWidth="1"/>
    <col min="7464" max="7679" width="11.42578125" style="3"/>
    <col min="7680" max="7680" width="9.85546875" style="3" bestFit="1" customWidth="1"/>
    <col min="7681" max="7681" width="22.140625" style="3" customWidth="1"/>
    <col min="7682" max="7682" width="9.7109375" style="3" customWidth="1"/>
    <col min="7683" max="7683" width="0.85546875" style="3" customWidth="1"/>
    <col min="7684" max="7684" width="16.42578125" style="3" customWidth="1"/>
    <col min="7685" max="7685" width="17.140625" style="3" customWidth="1"/>
    <col min="7686" max="7686" width="14.7109375" style="3" customWidth="1"/>
    <col min="7687" max="7687" width="30.85546875" style="3" bestFit="1" customWidth="1"/>
    <col min="7688" max="7688" width="1" style="3" customWidth="1"/>
    <col min="7689" max="7689" width="12.140625" style="3" customWidth="1"/>
    <col min="7690" max="7690" width="9.140625" style="3" customWidth="1"/>
    <col min="7691" max="7691" width="10" style="3" customWidth="1"/>
    <col min="7692" max="7692" width="10.140625" style="3" customWidth="1"/>
    <col min="7693" max="7693" width="14.42578125" style="3" bestFit="1" customWidth="1"/>
    <col min="7694" max="7694" width="13.140625" style="3" customWidth="1"/>
    <col min="7695" max="7697" width="10" style="3" customWidth="1"/>
    <col min="7698" max="7698" width="11.42578125" style="3" customWidth="1"/>
    <col min="7699" max="7699" width="9.85546875" style="3" customWidth="1"/>
    <col min="7700" max="7700" width="4.85546875" style="3" customWidth="1"/>
    <col min="7701" max="7719" width="11.42578125" style="3" customWidth="1"/>
    <col min="7720" max="7935" width="11.42578125" style="3"/>
    <col min="7936" max="7936" width="9.85546875" style="3" bestFit="1" customWidth="1"/>
    <col min="7937" max="7937" width="22.140625" style="3" customWidth="1"/>
    <col min="7938" max="7938" width="9.7109375" style="3" customWidth="1"/>
    <col min="7939" max="7939" width="0.85546875" style="3" customWidth="1"/>
    <col min="7940" max="7940" width="16.42578125" style="3" customWidth="1"/>
    <col min="7941" max="7941" width="17.140625" style="3" customWidth="1"/>
    <col min="7942" max="7942" width="14.7109375" style="3" customWidth="1"/>
    <col min="7943" max="7943" width="30.85546875" style="3" bestFit="1" customWidth="1"/>
    <col min="7944" max="7944" width="1" style="3" customWidth="1"/>
    <col min="7945" max="7945" width="12.140625" style="3" customWidth="1"/>
    <col min="7946" max="7946" width="9.140625" style="3" customWidth="1"/>
    <col min="7947" max="7947" width="10" style="3" customWidth="1"/>
    <col min="7948" max="7948" width="10.140625" style="3" customWidth="1"/>
    <col min="7949" max="7949" width="14.42578125" style="3" bestFit="1" customWidth="1"/>
    <col min="7950" max="7950" width="13.140625" style="3" customWidth="1"/>
    <col min="7951" max="7953" width="10" style="3" customWidth="1"/>
    <col min="7954" max="7954" width="11.42578125" style="3" customWidth="1"/>
    <col min="7955" max="7955" width="9.85546875" style="3" customWidth="1"/>
    <col min="7956" max="7956" width="4.85546875" style="3" customWidth="1"/>
    <col min="7957" max="7975" width="11.42578125" style="3" customWidth="1"/>
    <col min="7976" max="8191" width="11.42578125" style="3"/>
    <col min="8192" max="8192" width="9.85546875" style="3" bestFit="1" customWidth="1"/>
    <col min="8193" max="8193" width="22.140625" style="3" customWidth="1"/>
    <col min="8194" max="8194" width="9.7109375" style="3" customWidth="1"/>
    <col min="8195" max="8195" width="0.85546875" style="3" customWidth="1"/>
    <col min="8196" max="8196" width="16.42578125" style="3" customWidth="1"/>
    <col min="8197" max="8197" width="17.140625" style="3" customWidth="1"/>
    <col min="8198" max="8198" width="14.7109375" style="3" customWidth="1"/>
    <col min="8199" max="8199" width="30.85546875" style="3" bestFit="1" customWidth="1"/>
    <col min="8200" max="8200" width="1" style="3" customWidth="1"/>
    <col min="8201" max="8201" width="12.140625" style="3" customWidth="1"/>
    <col min="8202" max="8202" width="9.140625" style="3" customWidth="1"/>
    <col min="8203" max="8203" width="10" style="3" customWidth="1"/>
    <col min="8204" max="8204" width="10.140625" style="3" customWidth="1"/>
    <col min="8205" max="8205" width="14.42578125" style="3" bestFit="1" customWidth="1"/>
    <col min="8206" max="8206" width="13.140625" style="3" customWidth="1"/>
    <col min="8207" max="8209" width="10" style="3" customWidth="1"/>
    <col min="8210" max="8210" width="11.42578125" style="3" customWidth="1"/>
    <col min="8211" max="8211" width="9.85546875" style="3" customWidth="1"/>
    <col min="8212" max="8212" width="4.85546875" style="3" customWidth="1"/>
    <col min="8213" max="8231" width="11.42578125" style="3" customWidth="1"/>
    <col min="8232" max="8447" width="11.42578125" style="3"/>
    <col min="8448" max="8448" width="9.85546875" style="3" bestFit="1" customWidth="1"/>
    <col min="8449" max="8449" width="22.140625" style="3" customWidth="1"/>
    <col min="8450" max="8450" width="9.7109375" style="3" customWidth="1"/>
    <col min="8451" max="8451" width="0.85546875" style="3" customWidth="1"/>
    <col min="8452" max="8452" width="16.42578125" style="3" customWidth="1"/>
    <col min="8453" max="8453" width="17.140625" style="3" customWidth="1"/>
    <col min="8454" max="8454" width="14.7109375" style="3" customWidth="1"/>
    <col min="8455" max="8455" width="30.85546875" style="3" bestFit="1" customWidth="1"/>
    <col min="8456" max="8456" width="1" style="3" customWidth="1"/>
    <col min="8457" max="8457" width="12.140625" style="3" customWidth="1"/>
    <col min="8458" max="8458" width="9.140625" style="3" customWidth="1"/>
    <col min="8459" max="8459" width="10" style="3" customWidth="1"/>
    <col min="8460" max="8460" width="10.140625" style="3" customWidth="1"/>
    <col min="8461" max="8461" width="14.42578125" style="3" bestFit="1" customWidth="1"/>
    <col min="8462" max="8462" width="13.140625" style="3" customWidth="1"/>
    <col min="8463" max="8465" width="10" style="3" customWidth="1"/>
    <col min="8466" max="8466" width="11.42578125" style="3" customWidth="1"/>
    <col min="8467" max="8467" width="9.85546875" style="3" customWidth="1"/>
    <col min="8468" max="8468" width="4.85546875" style="3" customWidth="1"/>
    <col min="8469" max="8487" width="11.42578125" style="3" customWidth="1"/>
    <col min="8488" max="8703" width="11.42578125" style="3"/>
    <col min="8704" max="8704" width="9.85546875" style="3" bestFit="1" customWidth="1"/>
    <col min="8705" max="8705" width="22.140625" style="3" customWidth="1"/>
    <col min="8706" max="8706" width="9.7109375" style="3" customWidth="1"/>
    <col min="8707" max="8707" width="0.85546875" style="3" customWidth="1"/>
    <col min="8708" max="8708" width="16.42578125" style="3" customWidth="1"/>
    <col min="8709" max="8709" width="17.140625" style="3" customWidth="1"/>
    <col min="8710" max="8710" width="14.7109375" style="3" customWidth="1"/>
    <col min="8711" max="8711" width="30.85546875" style="3" bestFit="1" customWidth="1"/>
    <col min="8712" max="8712" width="1" style="3" customWidth="1"/>
    <col min="8713" max="8713" width="12.140625" style="3" customWidth="1"/>
    <col min="8714" max="8714" width="9.140625" style="3" customWidth="1"/>
    <col min="8715" max="8715" width="10" style="3" customWidth="1"/>
    <col min="8716" max="8716" width="10.140625" style="3" customWidth="1"/>
    <col min="8717" max="8717" width="14.42578125" style="3" bestFit="1" customWidth="1"/>
    <col min="8718" max="8718" width="13.140625" style="3" customWidth="1"/>
    <col min="8719" max="8721" width="10" style="3" customWidth="1"/>
    <col min="8722" max="8722" width="11.42578125" style="3" customWidth="1"/>
    <col min="8723" max="8723" width="9.85546875" style="3" customWidth="1"/>
    <col min="8724" max="8724" width="4.85546875" style="3" customWidth="1"/>
    <col min="8725" max="8743" width="11.42578125" style="3" customWidth="1"/>
    <col min="8744" max="8959" width="11.42578125" style="3"/>
    <col min="8960" max="8960" width="9.85546875" style="3" bestFit="1" customWidth="1"/>
    <col min="8961" max="8961" width="22.140625" style="3" customWidth="1"/>
    <col min="8962" max="8962" width="9.7109375" style="3" customWidth="1"/>
    <col min="8963" max="8963" width="0.85546875" style="3" customWidth="1"/>
    <col min="8964" max="8964" width="16.42578125" style="3" customWidth="1"/>
    <col min="8965" max="8965" width="17.140625" style="3" customWidth="1"/>
    <col min="8966" max="8966" width="14.7109375" style="3" customWidth="1"/>
    <col min="8967" max="8967" width="30.85546875" style="3" bestFit="1" customWidth="1"/>
    <col min="8968" max="8968" width="1" style="3" customWidth="1"/>
    <col min="8969" max="8969" width="12.140625" style="3" customWidth="1"/>
    <col min="8970" max="8970" width="9.140625" style="3" customWidth="1"/>
    <col min="8971" max="8971" width="10" style="3" customWidth="1"/>
    <col min="8972" max="8972" width="10.140625" style="3" customWidth="1"/>
    <col min="8973" max="8973" width="14.42578125" style="3" bestFit="1" customWidth="1"/>
    <col min="8974" max="8974" width="13.140625" style="3" customWidth="1"/>
    <col min="8975" max="8977" width="10" style="3" customWidth="1"/>
    <col min="8978" max="8978" width="11.42578125" style="3" customWidth="1"/>
    <col min="8979" max="8979" width="9.85546875" style="3" customWidth="1"/>
    <col min="8980" max="8980" width="4.85546875" style="3" customWidth="1"/>
    <col min="8981" max="8999" width="11.42578125" style="3" customWidth="1"/>
    <col min="9000" max="9215" width="11.42578125" style="3"/>
    <col min="9216" max="9216" width="9.85546875" style="3" bestFit="1" customWidth="1"/>
    <col min="9217" max="9217" width="22.140625" style="3" customWidth="1"/>
    <col min="9218" max="9218" width="9.7109375" style="3" customWidth="1"/>
    <col min="9219" max="9219" width="0.85546875" style="3" customWidth="1"/>
    <col min="9220" max="9220" width="16.42578125" style="3" customWidth="1"/>
    <col min="9221" max="9221" width="17.140625" style="3" customWidth="1"/>
    <col min="9222" max="9222" width="14.7109375" style="3" customWidth="1"/>
    <col min="9223" max="9223" width="30.85546875" style="3" bestFit="1" customWidth="1"/>
    <col min="9224" max="9224" width="1" style="3" customWidth="1"/>
    <col min="9225" max="9225" width="12.140625" style="3" customWidth="1"/>
    <col min="9226" max="9226" width="9.140625" style="3" customWidth="1"/>
    <col min="9227" max="9227" width="10" style="3" customWidth="1"/>
    <col min="9228" max="9228" width="10.140625" style="3" customWidth="1"/>
    <col min="9229" max="9229" width="14.42578125" style="3" bestFit="1" customWidth="1"/>
    <col min="9230" max="9230" width="13.140625" style="3" customWidth="1"/>
    <col min="9231" max="9233" width="10" style="3" customWidth="1"/>
    <col min="9234" max="9234" width="11.42578125" style="3" customWidth="1"/>
    <col min="9235" max="9235" width="9.85546875" style="3" customWidth="1"/>
    <col min="9236" max="9236" width="4.85546875" style="3" customWidth="1"/>
    <col min="9237" max="9255" width="11.42578125" style="3" customWidth="1"/>
    <col min="9256" max="9471" width="11.42578125" style="3"/>
    <col min="9472" max="9472" width="9.85546875" style="3" bestFit="1" customWidth="1"/>
    <col min="9473" max="9473" width="22.140625" style="3" customWidth="1"/>
    <col min="9474" max="9474" width="9.7109375" style="3" customWidth="1"/>
    <col min="9475" max="9475" width="0.85546875" style="3" customWidth="1"/>
    <col min="9476" max="9476" width="16.42578125" style="3" customWidth="1"/>
    <col min="9477" max="9477" width="17.140625" style="3" customWidth="1"/>
    <col min="9478" max="9478" width="14.7109375" style="3" customWidth="1"/>
    <col min="9479" max="9479" width="30.85546875" style="3" bestFit="1" customWidth="1"/>
    <col min="9480" max="9480" width="1" style="3" customWidth="1"/>
    <col min="9481" max="9481" width="12.140625" style="3" customWidth="1"/>
    <col min="9482" max="9482" width="9.140625" style="3" customWidth="1"/>
    <col min="9483" max="9483" width="10" style="3" customWidth="1"/>
    <col min="9484" max="9484" width="10.140625" style="3" customWidth="1"/>
    <col min="9485" max="9485" width="14.42578125" style="3" bestFit="1" customWidth="1"/>
    <col min="9486" max="9486" width="13.140625" style="3" customWidth="1"/>
    <col min="9487" max="9489" width="10" style="3" customWidth="1"/>
    <col min="9490" max="9490" width="11.42578125" style="3" customWidth="1"/>
    <col min="9491" max="9491" width="9.85546875" style="3" customWidth="1"/>
    <col min="9492" max="9492" width="4.85546875" style="3" customWidth="1"/>
    <col min="9493" max="9511" width="11.42578125" style="3" customWidth="1"/>
    <col min="9512" max="9727" width="11.42578125" style="3"/>
    <col min="9728" max="9728" width="9.85546875" style="3" bestFit="1" customWidth="1"/>
    <col min="9729" max="9729" width="22.140625" style="3" customWidth="1"/>
    <col min="9730" max="9730" width="9.7109375" style="3" customWidth="1"/>
    <col min="9731" max="9731" width="0.85546875" style="3" customWidth="1"/>
    <col min="9732" max="9732" width="16.42578125" style="3" customWidth="1"/>
    <col min="9733" max="9733" width="17.140625" style="3" customWidth="1"/>
    <col min="9734" max="9734" width="14.7109375" style="3" customWidth="1"/>
    <col min="9735" max="9735" width="30.85546875" style="3" bestFit="1" customWidth="1"/>
    <col min="9736" max="9736" width="1" style="3" customWidth="1"/>
    <col min="9737" max="9737" width="12.140625" style="3" customWidth="1"/>
    <col min="9738" max="9738" width="9.140625" style="3" customWidth="1"/>
    <col min="9739" max="9739" width="10" style="3" customWidth="1"/>
    <col min="9740" max="9740" width="10.140625" style="3" customWidth="1"/>
    <col min="9741" max="9741" width="14.42578125" style="3" bestFit="1" customWidth="1"/>
    <col min="9742" max="9742" width="13.140625" style="3" customWidth="1"/>
    <col min="9743" max="9745" width="10" style="3" customWidth="1"/>
    <col min="9746" max="9746" width="11.42578125" style="3" customWidth="1"/>
    <col min="9747" max="9747" width="9.85546875" style="3" customWidth="1"/>
    <col min="9748" max="9748" width="4.85546875" style="3" customWidth="1"/>
    <col min="9749" max="9767" width="11.42578125" style="3" customWidth="1"/>
    <col min="9768" max="9983" width="11.42578125" style="3"/>
    <col min="9984" max="9984" width="9.85546875" style="3" bestFit="1" customWidth="1"/>
    <col min="9985" max="9985" width="22.140625" style="3" customWidth="1"/>
    <col min="9986" max="9986" width="9.7109375" style="3" customWidth="1"/>
    <col min="9987" max="9987" width="0.85546875" style="3" customWidth="1"/>
    <col min="9988" max="9988" width="16.42578125" style="3" customWidth="1"/>
    <col min="9989" max="9989" width="17.140625" style="3" customWidth="1"/>
    <col min="9990" max="9990" width="14.7109375" style="3" customWidth="1"/>
    <col min="9991" max="9991" width="30.85546875" style="3" bestFit="1" customWidth="1"/>
    <col min="9992" max="9992" width="1" style="3" customWidth="1"/>
    <col min="9993" max="9993" width="12.140625" style="3" customWidth="1"/>
    <col min="9994" max="9994" width="9.140625" style="3" customWidth="1"/>
    <col min="9995" max="9995" width="10" style="3" customWidth="1"/>
    <col min="9996" max="9996" width="10.140625" style="3" customWidth="1"/>
    <col min="9997" max="9997" width="14.42578125" style="3" bestFit="1" customWidth="1"/>
    <col min="9998" max="9998" width="13.140625" style="3" customWidth="1"/>
    <col min="9999" max="10001" width="10" style="3" customWidth="1"/>
    <col min="10002" max="10002" width="11.42578125" style="3" customWidth="1"/>
    <col min="10003" max="10003" width="9.85546875" style="3" customWidth="1"/>
    <col min="10004" max="10004" width="4.85546875" style="3" customWidth="1"/>
    <col min="10005" max="10023" width="11.42578125" style="3" customWidth="1"/>
    <col min="10024" max="10239" width="11.42578125" style="3"/>
    <col min="10240" max="10240" width="9.85546875" style="3" bestFit="1" customWidth="1"/>
    <col min="10241" max="10241" width="22.140625" style="3" customWidth="1"/>
    <col min="10242" max="10242" width="9.7109375" style="3" customWidth="1"/>
    <col min="10243" max="10243" width="0.85546875" style="3" customWidth="1"/>
    <col min="10244" max="10244" width="16.42578125" style="3" customWidth="1"/>
    <col min="10245" max="10245" width="17.140625" style="3" customWidth="1"/>
    <col min="10246" max="10246" width="14.7109375" style="3" customWidth="1"/>
    <col min="10247" max="10247" width="30.85546875" style="3" bestFit="1" customWidth="1"/>
    <col min="10248" max="10248" width="1" style="3" customWidth="1"/>
    <col min="10249" max="10249" width="12.140625" style="3" customWidth="1"/>
    <col min="10250" max="10250" width="9.140625" style="3" customWidth="1"/>
    <col min="10251" max="10251" width="10" style="3" customWidth="1"/>
    <col min="10252" max="10252" width="10.140625" style="3" customWidth="1"/>
    <col min="10253" max="10253" width="14.42578125" style="3" bestFit="1" customWidth="1"/>
    <col min="10254" max="10254" width="13.140625" style="3" customWidth="1"/>
    <col min="10255" max="10257" width="10" style="3" customWidth="1"/>
    <col min="10258" max="10258" width="11.42578125" style="3" customWidth="1"/>
    <col min="10259" max="10259" width="9.85546875" style="3" customWidth="1"/>
    <col min="10260" max="10260" width="4.85546875" style="3" customWidth="1"/>
    <col min="10261" max="10279" width="11.42578125" style="3" customWidth="1"/>
    <col min="10280" max="10495" width="11.42578125" style="3"/>
    <col min="10496" max="10496" width="9.85546875" style="3" bestFit="1" customWidth="1"/>
    <col min="10497" max="10497" width="22.140625" style="3" customWidth="1"/>
    <col min="10498" max="10498" width="9.7109375" style="3" customWidth="1"/>
    <col min="10499" max="10499" width="0.85546875" style="3" customWidth="1"/>
    <col min="10500" max="10500" width="16.42578125" style="3" customWidth="1"/>
    <col min="10501" max="10501" width="17.140625" style="3" customWidth="1"/>
    <col min="10502" max="10502" width="14.7109375" style="3" customWidth="1"/>
    <col min="10503" max="10503" width="30.85546875" style="3" bestFit="1" customWidth="1"/>
    <col min="10504" max="10504" width="1" style="3" customWidth="1"/>
    <col min="10505" max="10505" width="12.140625" style="3" customWidth="1"/>
    <col min="10506" max="10506" width="9.140625" style="3" customWidth="1"/>
    <col min="10507" max="10507" width="10" style="3" customWidth="1"/>
    <col min="10508" max="10508" width="10.140625" style="3" customWidth="1"/>
    <col min="10509" max="10509" width="14.42578125" style="3" bestFit="1" customWidth="1"/>
    <col min="10510" max="10510" width="13.140625" style="3" customWidth="1"/>
    <col min="10511" max="10513" width="10" style="3" customWidth="1"/>
    <col min="10514" max="10514" width="11.42578125" style="3" customWidth="1"/>
    <col min="10515" max="10515" width="9.85546875" style="3" customWidth="1"/>
    <col min="10516" max="10516" width="4.85546875" style="3" customWidth="1"/>
    <col min="10517" max="10535" width="11.42578125" style="3" customWidth="1"/>
    <col min="10536" max="10751" width="11.42578125" style="3"/>
    <col min="10752" max="10752" width="9.85546875" style="3" bestFit="1" customWidth="1"/>
    <col min="10753" max="10753" width="22.140625" style="3" customWidth="1"/>
    <col min="10754" max="10754" width="9.7109375" style="3" customWidth="1"/>
    <col min="10755" max="10755" width="0.85546875" style="3" customWidth="1"/>
    <col min="10756" max="10756" width="16.42578125" style="3" customWidth="1"/>
    <col min="10757" max="10757" width="17.140625" style="3" customWidth="1"/>
    <col min="10758" max="10758" width="14.7109375" style="3" customWidth="1"/>
    <col min="10759" max="10759" width="30.85546875" style="3" bestFit="1" customWidth="1"/>
    <col min="10760" max="10760" width="1" style="3" customWidth="1"/>
    <col min="10761" max="10761" width="12.140625" style="3" customWidth="1"/>
    <col min="10762" max="10762" width="9.140625" style="3" customWidth="1"/>
    <col min="10763" max="10763" width="10" style="3" customWidth="1"/>
    <col min="10764" max="10764" width="10.140625" style="3" customWidth="1"/>
    <col min="10765" max="10765" width="14.42578125" style="3" bestFit="1" customWidth="1"/>
    <col min="10766" max="10766" width="13.140625" style="3" customWidth="1"/>
    <col min="10767" max="10769" width="10" style="3" customWidth="1"/>
    <col min="10770" max="10770" width="11.42578125" style="3" customWidth="1"/>
    <col min="10771" max="10771" width="9.85546875" style="3" customWidth="1"/>
    <col min="10772" max="10772" width="4.85546875" style="3" customWidth="1"/>
    <col min="10773" max="10791" width="11.42578125" style="3" customWidth="1"/>
    <col min="10792" max="11007" width="11.42578125" style="3"/>
    <col min="11008" max="11008" width="9.85546875" style="3" bestFit="1" customWidth="1"/>
    <col min="11009" max="11009" width="22.140625" style="3" customWidth="1"/>
    <col min="11010" max="11010" width="9.7109375" style="3" customWidth="1"/>
    <col min="11011" max="11011" width="0.85546875" style="3" customWidth="1"/>
    <col min="11012" max="11012" width="16.42578125" style="3" customWidth="1"/>
    <col min="11013" max="11013" width="17.140625" style="3" customWidth="1"/>
    <col min="11014" max="11014" width="14.7109375" style="3" customWidth="1"/>
    <col min="11015" max="11015" width="30.85546875" style="3" bestFit="1" customWidth="1"/>
    <col min="11016" max="11016" width="1" style="3" customWidth="1"/>
    <col min="11017" max="11017" width="12.140625" style="3" customWidth="1"/>
    <col min="11018" max="11018" width="9.140625" style="3" customWidth="1"/>
    <col min="11019" max="11019" width="10" style="3" customWidth="1"/>
    <col min="11020" max="11020" width="10.140625" style="3" customWidth="1"/>
    <col min="11021" max="11021" width="14.42578125" style="3" bestFit="1" customWidth="1"/>
    <col min="11022" max="11022" width="13.140625" style="3" customWidth="1"/>
    <col min="11023" max="11025" width="10" style="3" customWidth="1"/>
    <col min="11026" max="11026" width="11.42578125" style="3" customWidth="1"/>
    <col min="11027" max="11027" width="9.85546875" style="3" customWidth="1"/>
    <col min="11028" max="11028" width="4.85546875" style="3" customWidth="1"/>
    <col min="11029" max="11047" width="11.42578125" style="3" customWidth="1"/>
    <col min="11048" max="11263" width="11.42578125" style="3"/>
    <col min="11264" max="11264" width="9.85546875" style="3" bestFit="1" customWidth="1"/>
    <col min="11265" max="11265" width="22.140625" style="3" customWidth="1"/>
    <col min="11266" max="11266" width="9.7109375" style="3" customWidth="1"/>
    <col min="11267" max="11267" width="0.85546875" style="3" customWidth="1"/>
    <col min="11268" max="11268" width="16.42578125" style="3" customWidth="1"/>
    <col min="11269" max="11269" width="17.140625" style="3" customWidth="1"/>
    <col min="11270" max="11270" width="14.7109375" style="3" customWidth="1"/>
    <col min="11271" max="11271" width="30.85546875" style="3" bestFit="1" customWidth="1"/>
    <col min="11272" max="11272" width="1" style="3" customWidth="1"/>
    <col min="11273" max="11273" width="12.140625" style="3" customWidth="1"/>
    <col min="11274" max="11274" width="9.140625" style="3" customWidth="1"/>
    <col min="11275" max="11275" width="10" style="3" customWidth="1"/>
    <col min="11276" max="11276" width="10.140625" style="3" customWidth="1"/>
    <col min="11277" max="11277" width="14.42578125" style="3" bestFit="1" customWidth="1"/>
    <col min="11278" max="11278" width="13.140625" style="3" customWidth="1"/>
    <col min="11279" max="11281" width="10" style="3" customWidth="1"/>
    <col min="11282" max="11282" width="11.42578125" style="3" customWidth="1"/>
    <col min="11283" max="11283" width="9.85546875" style="3" customWidth="1"/>
    <col min="11284" max="11284" width="4.85546875" style="3" customWidth="1"/>
    <col min="11285" max="11303" width="11.42578125" style="3" customWidth="1"/>
    <col min="11304" max="11519" width="11.42578125" style="3"/>
    <col min="11520" max="11520" width="9.85546875" style="3" bestFit="1" customWidth="1"/>
    <col min="11521" max="11521" width="22.140625" style="3" customWidth="1"/>
    <col min="11522" max="11522" width="9.7109375" style="3" customWidth="1"/>
    <col min="11523" max="11523" width="0.85546875" style="3" customWidth="1"/>
    <col min="11524" max="11524" width="16.42578125" style="3" customWidth="1"/>
    <col min="11525" max="11525" width="17.140625" style="3" customWidth="1"/>
    <col min="11526" max="11526" width="14.7109375" style="3" customWidth="1"/>
    <col min="11527" max="11527" width="30.85546875" style="3" bestFit="1" customWidth="1"/>
    <col min="11528" max="11528" width="1" style="3" customWidth="1"/>
    <col min="11529" max="11529" width="12.140625" style="3" customWidth="1"/>
    <col min="11530" max="11530" width="9.140625" style="3" customWidth="1"/>
    <col min="11531" max="11531" width="10" style="3" customWidth="1"/>
    <col min="11532" max="11532" width="10.140625" style="3" customWidth="1"/>
    <col min="11533" max="11533" width="14.42578125" style="3" bestFit="1" customWidth="1"/>
    <col min="11534" max="11534" width="13.140625" style="3" customWidth="1"/>
    <col min="11535" max="11537" width="10" style="3" customWidth="1"/>
    <col min="11538" max="11538" width="11.42578125" style="3" customWidth="1"/>
    <col min="11539" max="11539" width="9.85546875" style="3" customWidth="1"/>
    <col min="11540" max="11540" width="4.85546875" style="3" customWidth="1"/>
    <col min="11541" max="11559" width="11.42578125" style="3" customWidth="1"/>
    <col min="11560" max="11775" width="11.42578125" style="3"/>
    <col min="11776" max="11776" width="9.85546875" style="3" bestFit="1" customWidth="1"/>
    <col min="11777" max="11777" width="22.140625" style="3" customWidth="1"/>
    <col min="11778" max="11778" width="9.7109375" style="3" customWidth="1"/>
    <col min="11779" max="11779" width="0.85546875" style="3" customWidth="1"/>
    <col min="11780" max="11780" width="16.42578125" style="3" customWidth="1"/>
    <col min="11781" max="11781" width="17.140625" style="3" customWidth="1"/>
    <col min="11782" max="11782" width="14.7109375" style="3" customWidth="1"/>
    <col min="11783" max="11783" width="30.85546875" style="3" bestFit="1" customWidth="1"/>
    <col min="11784" max="11784" width="1" style="3" customWidth="1"/>
    <col min="11785" max="11785" width="12.140625" style="3" customWidth="1"/>
    <col min="11786" max="11786" width="9.140625" style="3" customWidth="1"/>
    <col min="11787" max="11787" width="10" style="3" customWidth="1"/>
    <col min="11788" max="11788" width="10.140625" style="3" customWidth="1"/>
    <col min="11789" max="11789" width="14.42578125" style="3" bestFit="1" customWidth="1"/>
    <col min="11790" max="11790" width="13.140625" style="3" customWidth="1"/>
    <col min="11791" max="11793" width="10" style="3" customWidth="1"/>
    <col min="11794" max="11794" width="11.42578125" style="3" customWidth="1"/>
    <col min="11795" max="11795" width="9.85546875" style="3" customWidth="1"/>
    <col min="11796" max="11796" width="4.85546875" style="3" customWidth="1"/>
    <col min="11797" max="11815" width="11.42578125" style="3" customWidth="1"/>
    <col min="11816" max="12031" width="11.42578125" style="3"/>
    <col min="12032" max="12032" width="9.85546875" style="3" bestFit="1" customWidth="1"/>
    <col min="12033" max="12033" width="22.140625" style="3" customWidth="1"/>
    <col min="12034" max="12034" width="9.7109375" style="3" customWidth="1"/>
    <col min="12035" max="12035" width="0.85546875" style="3" customWidth="1"/>
    <col min="12036" max="12036" width="16.42578125" style="3" customWidth="1"/>
    <col min="12037" max="12037" width="17.140625" style="3" customWidth="1"/>
    <col min="12038" max="12038" width="14.7109375" style="3" customWidth="1"/>
    <col min="12039" max="12039" width="30.85546875" style="3" bestFit="1" customWidth="1"/>
    <col min="12040" max="12040" width="1" style="3" customWidth="1"/>
    <col min="12041" max="12041" width="12.140625" style="3" customWidth="1"/>
    <col min="12042" max="12042" width="9.140625" style="3" customWidth="1"/>
    <col min="12043" max="12043" width="10" style="3" customWidth="1"/>
    <col min="12044" max="12044" width="10.140625" style="3" customWidth="1"/>
    <col min="12045" max="12045" width="14.42578125" style="3" bestFit="1" customWidth="1"/>
    <col min="12046" max="12046" width="13.140625" style="3" customWidth="1"/>
    <col min="12047" max="12049" width="10" style="3" customWidth="1"/>
    <col min="12050" max="12050" width="11.42578125" style="3" customWidth="1"/>
    <col min="12051" max="12051" width="9.85546875" style="3" customWidth="1"/>
    <col min="12052" max="12052" width="4.85546875" style="3" customWidth="1"/>
    <col min="12053" max="12071" width="11.42578125" style="3" customWidth="1"/>
    <col min="12072" max="12287" width="11.42578125" style="3"/>
    <col min="12288" max="12288" width="9.85546875" style="3" bestFit="1" customWidth="1"/>
    <col min="12289" max="12289" width="22.140625" style="3" customWidth="1"/>
    <col min="12290" max="12290" width="9.7109375" style="3" customWidth="1"/>
    <col min="12291" max="12291" width="0.85546875" style="3" customWidth="1"/>
    <col min="12292" max="12292" width="16.42578125" style="3" customWidth="1"/>
    <col min="12293" max="12293" width="17.140625" style="3" customWidth="1"/>
    <col min="12294" max="12294" width="14.7109375" style="3" customWidth="1"/>
    <col min="12295" max="12295" width="30.85546875" style="3" bestFit="1" customWidth="1"/>
    <col min="12296" max="12296" width="1" style="3" customWidth="1"/>
    <col min="12297" max="12297" width="12.140625" style="3" customWidth="1"/>
    <col min="12298" max="12298" width="9.140625" style="3" customWidth="1"/>
    <col min="12299" max="12299" width="10" style="3" customWidth="1"/>
    <col min="12300" max="12300" width="10.140625" style="3" customWidth="1"/>
    <col min="12301" max="12301" width="14.42578125" style="3" bestFit="1" customWidth="1"/>
    <col min="12302" max="12302" width="13.140625" style="3" customWidth="1"/>
    <col min="12303" max="12305" width="10" style="3" customWidth="1"/>
    <col min="12306" max="12306" width="11.42578125" style="3" customWidth="1"/>
    <col min="12307" max="12307" width="9.85546875" style="3" customWidth="1"/>
    <col min="12308" max="12308" width="4.85546875" style="3" customWidth="1"/>
    <col min="12309" max="12327" width="11.42578125" style="3" customWidth="1"/>
    <col min="12328" max="12543" width="11.42578125" style="3"/>
    <col min="12544" max="12544" width="9.85546875" style="3" bestFit="1" customWidth="1"/>
    <col min="12545" max="12545" width="22.140625" style="3" customWidth="1"/>
    <col min="12546" max="12546" width="9.7109375" style="3" customWidth="1"/>
    <col min="12547" max="12547" width="0.85546875" style="3" customWidth="1"/>
    <col min="12548" max="12548" width="16.42578125" style="3" customWidth="1"/>
    <col min="12549" max="12549" width="17.140625" style="3" customWidth="1"/>
    <col min="12550" max="12550" width="14.7109375" style="3" customWidth="1"/>
    <col min="12551" max="12551" width="30.85546875" style="3" bestFit="1" customWidth="1"/>
    <col min="12552" max="12552" width="1" style="3" customWidth="1"/>
    <col min="12553" max="12553" width="12.140625" style="3" customWidth="1"/>
    <col min="12554" max="12554" width="9.140625" style="3" customWidth="1"/>
    <col min="12555" max="12555" width="10" style="3" customWidth="1"/>
    <col min="12556" max="12556" width="10.140625" style="3" customWidth="1"/>
    <col min="12557" max="12557" width="14.42578125" style="3" bestFit="1" customWidth="1"/>
    <col min="12558" max="12558" width="13.140625" style="3" customWidth="1"/>
    <col min="12559" max="12561" width="10" style="3" customWidth="1"/>
    <col min="12562" max="12562" width="11.42578125" style="3" customWidth="1"/>
    <col min="12563" max="12563" width="9.85546875" style="3" customWidth="1"/>
    <col min="12564" max="12564" width="4.85546875" style="3" customWidth="1"/>
    <col min="12565" max="12583" width="11.42578125" style="3" customWidth="1"/>
    <col min="12584" max="12799" width="11.42578125" style="3"/>
    <col min="12800" max="12800" width="9.85546875" style="3" bestFit="1" customWidth="1"/>
    <col min="12801" max="12801" width="22.140625" style="3" customWidth="1"/>
    <col min="12802" max="12802" width="9.7109375" style="3" customWidth="1"/>
    <col min="12803" max="12803" width="0.85546875" style="3" customWidth="1"/>
    <col min="12804" max="12804" width="16.42578125" style="3" customWidth="1"/>
    <col min="12805" max="12805" width="17.140625" style="3" customWidth="1"/>
    <col min="12806" max="12806" width="14.7109375" style="3" customWidth="1"/>
    <col min="12807" max="12807" width="30.85546875" style="3" bestFit="1" customWidth="1"/>
    <col min="12808" max="12808" width="1" style="3" customWidth="1"/>
    <col min="12809" max="12809" width="12.140625" style="3" customWidth="1"/>
    <col min="12810" max="12810" width="9.140625" style="3" customWidth="1"/>
    <col min="12811" max="12811" width="10" style="3" customWidth="1"/>
    <col min="12812" max="12812" width="10.140625" style="3" customWidth="1"/>
    <col min="12813" max="12813" width="14.42578125" style="3" bestFit="1" customWidth="1"/>
    <col min="12814" max="12814" width="13.140625" style="3" customWidth="1"/>
    <col min="12815" max="12817" width="10" style="3" customWidth="1"/>
    <col min="12818" max="12818" width="11.42578125" style="3" customWidth="1"/>
    <col min="12819" max="12819" width="9.85546875" style="3" customWidth="1"/>
    <col min="12820" max="12820" width="4.85546875" style="3" customWidth="1"/>
    <col min="12821" max="12839" width="11.42578125" style="3" customWidth="1"/>
    <col min="12840" max="13055" width="11.42578125" style="3"/>
    <col min="13056" max="13056" width="9.85546875" style="3" bestFit="1" customWidth="1"/>
    <col min="13057" max="13057" width="22.140625" style="3" customWidth="1"/>
    <col min="13058" max="13058" width="9.7109375" style="3" customWidth="1"/>
    <col min="13059" max="13059" width="0.85546875" style="3" customWidth="1"/>
    <col min="13060" max="13060" width="16.42578125" style="3" customWidth="1"/>
    <col min="13061" max="13061" width="17.140625" style="3" customWidth="1"/>
    <col min="13062" max="13062" width="14.7109375" style="3" customWidth="1"/>
    <col min="13063" max="13063" width="30.85546875" style="3" bestFit="1" customWidth="1"/>
    <col min="13064" max="13064" width="1" style="3" customWidth="1"/>
    <col min="13065" max="13065" width="12.140625" style="3" customWidth="1"/>
    <col min="13066" max="13066" width="9.140625" style="3" customWidth="1"/>
    <col min="13067" max="13067" width="10" style="3" customWidth="1"/>
    <col min="13068" max="13068" width="10.140625" style="3" customWidth="1"/>
    <col min="13069" max="13069" width="14.42578125" style="3" bestFit="1" customWidth="1"/>
    <col min="13070" max="13070" width="13.140625" style="3" customWidth="1"/>
    <col min="13071" max="13073" width="10" style="3" customWidth="1"/>
    <col min="13074" max="13074" width="11.42578125" style="3" customWidth="1"/>
    <col min="13075" max="13075" width="9.85546875" style="3" customWidth="1"/>
    <col min="13076" max="13076" width="4.85546875" style="3" customWidth="1"/>
    <col min="13077" max="13095" width="11.42578125" style="3" customWidth="1"/>
    <col min="13096" max="13311" width="11.42578125" style="3"/>
    <col min="13312" max="13312" width="9.85546875" style="3" bestFit="1" customWidth="1"/>
    <col min="13313" max="13313" width="22.140625" style="3" customWidth="1"/>
    <col min="13314" max="13314" width="9.7109375" style="3" customWidth="1"/>
    <col min="13315" max="13315" width="0.85546875" style="3" customWidth="1"/>
    <col min="13316" max="13316" width="16.42578125" style="3" customWidth="1"/>
    <col min="13317" max="13317" width="17.140625" style="3" customWidth="1"/>
    <col min="13318" max="13318" width="14.7109375" style="3" customWidth="1"/>
    <col min="13319" max="13319" width="30.85546875" style="3" bestFit="1" customWidth="1"/>
    <col min="13320" max="13320" width="1" style="3" customWidth="1"/>
    <col min="13321" max="13321" width="12.140625" style="3" customWidth="1"/>
    <col min="13322" max="13322" width="9.140625" style="3" customWidth="1"/>
    <col min="13323" max="13323" width="10" style="3" customWidth="1"/>
    <col min="13324" max="13324" width="10.140625" style="3" customWidth="1"/>
    <col min="13325" max="13325" width="14.42578125" style="3" bestFit="1" customWidth="1"/>
    <col min="13326" max="13326" width="13.140625" style="3" customWidth="1"/>
    <col min="13327" max="13329" width="10" style="3" customWidth="1"/>
    <col min="13330" max="13330" width="11.42578125" style="3" customWidth="1"/>
    <col min="13331" max="13331" width="9.85546875" style="3" customWidth="1"/>
    <col min="13332" max="13332" width="4.85546875" style="3" customWidth="1"/>
    <col min="13333" max="13351" width="11.42578125" style="3" customWidth="1"/>
    <col min="13352" max="13567" width="11.42578125" style="3"/>
    <col min="13568" max="13568" width="9.85546875" style="3" bestFit="1" customWidth="1"/>
    <col min="13569" max="13569" width="22.140625" style="3" customWidth="1"/>
    <col min="13570" max="13570" width="9.7109375" style="3" customWidth="1"/>
    <col min="13571" max="13571" width="0.85546875" style="3" customWidth="1"/>
    <col min="13572" max="13572" width="16.42578125" style="3" customWidth="1"/>
    <col min="13573" max="13573" width="17.140625" style="3" customWidth="1"/>
    <col min="13574" max="13574" width="14.7109375" style="3" customWidth="1"/>
    <col min="13575" max="13575" width="30.85546875" style="3" bestFit="1" customWidth="1"/>
    <col min="13576" max="13576" width="1" style="3" customWidth="1"/>
    <col min="13577" max="13577" width="12.140625" style="3" customWidth="1"/>
    <col min="13578" max="13578" width="9.140625" style="3" customWidth="1"/>
    <col min="13579" max="13579" width="10" style="3" customWidth="1"/>
    <col min="13580" max="13580" width="10.140625" style="3" customWidth="1"/>
    <col min="13581" max="13581" width="14.42578125" style="3" bestFit="1" customWidth="1"/>
    <col min="13582" max="13582" width="13.140625" style="3" customWidth="1"/>
    <col min="13583" max="13585" width="10" style="3" customWidth="1"/>
    <col min="13586" max="13586" width="11.42578125" style="3" customWidth="1"/>
    <col min="13587" max="13587" width="9.85546875" style="3" customWidth="1"/>
    <col min="13588" max="13588" width="4.85546875" style="3" customWidth="1"/>
    <col min="13589" max="13607" width="11.42578125" style="3" customWidth="1"/>
    <col min="13608" max="13823" width="11.42578125" style="3"/>
    <col min="13824" max="13824" width="9.85546875" style="3" bestFit="1" customWidth="1"/>
    <col min="13825" max="13825" width="22.140625" style="3" customWidth="1"/>
    <col min="13826" max="13826" width="9.7109375" style="3" customWidth="1"/>
    <col min="13827" max="13827" width="0.85546875" style="3" customWidth="1"/>
    <col min="13828" max="13828" width="16.42578125" style="3" customWidth="1"/>
    <col min="13829" max="13829" width="17.140625" style="3" customWidth="1"/>
    <col min="13830" max="13830" width="14.7109375" style="3" customWidth="1"/>
    <col min="13831" max="13831" width="30.85546875" style="3" bestFit="1" customWidth="1"/>
    <col min="13832" max="13832" width="1" style="3" customWidth="1"/>
    <col min="13833" max="13833" width="12.140625" style="3" customWidth="1"/>
    <col min="13834" max="13834" width="9.140625" style="3" customWidth="1"/>
    <col min="13835" max="13835" width="10" style="3" customWidth="1"/>
    <col min="13836" max="13836" width="10.140625" style="3" customWidth="1"/>
    <col min="13837" max="13837" width="14.42578125" style="3" bestFit="1" customWidth="1"/>
    <col min="13838" max="13838" width="13.140625" style="3" customWidth="1"/>
    <col min="13839" max="13841" width="10" style="3" customWidth="1"/>
    <col min="13842" max="13842" width="11.42578125" style="3" customWidth="1"/>
    <col min="13843" max="13843" width="9.85546875" style="3" customWidth="1"/>
    <col min="13844" max="13844" width="4.85546875" style="3" customWidth="1"/>
    <col min="13845" max="13863" width="11.42578125" style="3" customWidth="1"/>
    <col min="13864" max="14079" width="11.42578125" style="3"/>
    <col min="14080" max="14080" width="9.85546875" style="3" bestFit="1" customWidth="1"/>
    <col min="14081" max="14081" width="22.140625" style="3" customWidth="1"/>
    <col min="14082" max="14082" width="9.7109375" style="3" customWidth="1"/>
    <col min="14083" max="14083" width="0.85546875" style="3" customWidth="1"/>
    <col min="14084" max="14084" width="16.42578125" style="3" customWidth="1"/>
    <col min="14085" max="14085" width="17.140625" style="3" customWidth="1"/>
    <col min="14086" max="14086" width="14.7109375" style="3" customWidth="1"/>
    <col min="14087" max="14087" width="30.85546875" style="3" bestFit="1" customWidth="1"/>
    <col min="14088" max="14088" width="1" style="3" customWidth="1"/>
    <col min="14089" max="14089" width="12.140625" style="3" customWidth="1"/>
    <col min="14090" max="14090" width="9.140625" style="3" customWidth="1"/>
    <col min="14091" max="14091" width="10" style="3" customWidth="1"/>
    <col min="14092" max="14092" width="10.140625" style="3" customWidth="1"/>
    <col min="14093" max="14093" width="14.42578125" style="3" bestFit="1" customWidth="1"/>
    <col min="14094" max="14094" width="13.140625" style="3" customWidth="1"/>
    <col min="14095" max="14097" width="10" style="3" customWidth="1"/>
    <col min="14098" max="14098" width="11.42578125" style="3" customWidth="1"/>
    <col min="14099" max="14099" width="9.85546875" style="3" customWidth="1"/>
    <col min="14100" max="14100" width="4.85546875" style="3" customWidth="1"/>
    <col min="14101" max="14119" width="11.42578125" style="3" customWidth="1"/>
    <col min="14120" max="14335" width="11.42578125" style="3"/>
    <col min="14336" max="14336" width="9.85546875" style="3" bestFit="1" customWidth="1"/>
    <col min="14337" max="14337" width="22.140625" style="3" customWidth="1"/>
    <col min="14338" max="14338" width="9.7109375" style="3" customWidth="1"/>
    <col min="14339" max="14339" width="0.85546875" style="3" customWidth="1"/>
    <col min="14340" max="14340" width="16.42578125" style="3" customWidth="1"/>
    <col min="14341" max="14341" width="17.140625" style="3" customWidth="1"/>
    <col min="14342" max="14342" width="14.7109375" style="3" customWidth="1"/>
    <col min="14343" max="14343" width="30.85546875" style="3" bestFit="1" customWidth="1"/>
    <col min="14344" max="14344" width="1" style="3" customWidth="1"/>
    <col min="14345" max="14345" width="12.140625" style="3" customWidth="1"/>
    <col min="14346" max="14346" width="9.140625" style="3" customWidth="1"/>
    <col min="14347" max="14347" width="10" style="3" customWidth="1"/>
    <col min="14348" max="14348" width="10.140625" style="3" customWidth="1"/>
    <col min="14349" max="14349" width="14.42578125" style="3" bestFit="1" customWidth="1"/>
    <col min="14350" max="14350" width="13.140625" style="3" customWidth="1"/>
    <col min="14351" max="14353" width="10" style="3" customWidth="1"/>
    <col min="14354" max="14354" width="11.42578125" style="3" customWidth="1"/>
    <col min="14355" max="14355" width="9.85546875" style="3" customWidth="1"/>
    <col min="14356" max="14356" width="4.85546875" style="3" customWidth="1"/>
    <col min="14357" max="14375" width="11.42578125" style="3" customWidth="1"/>
    <col min="14376" max="14591" width="11.42578125" style="3"/>
    <col min="14592" max="14592" width="9.85546875" style="3" bestFit="1" customWidth="1"/>
    <col min="14593" max="14593" width="22.140625" style="3" customWidth="1"/>
    <col min="14594" max="14594" width="9.7109375" style="3" customWidth="1"/>
    <col min="14595" max="14595" width="0.85546875" style="3" customWidth="1"/>
    <col min="14596" max="14596" width="16.42578125" style="3" customWidth="1"/>
    <col min="14597" max="14597" width="17.140625" style="3" customWidth="1"/>
    <col min="14598" max="14598" width="14.7109375" style="3" customWidth="1"/>
    <col min="14599" max="14599" width="30.85546875" style="3" bestFit="1" customWidth="1"/>
    <col min="14600" max="14600" width="1" style="3" customWidth="1"/>
    <col min="14601" max="14601" width="12.140625" style="3" customWidth="1"/>
    <col min="14602" max="14602" width="9.140625" style="3" customWidth="1"/>
    <col min="14603" max="14603" width="10" style="3" customWidth="1"/>
    <col min="14604" max="14604" width="10.140625" style="3" customWidth="1"/>
    <col min="14605" max="14605" width="14.42578125" style="3" bestFit="1" customWidth="1"/>
    <col min="14606" max="14606" width="13.140625" style="3" customWidth="1"/>
    <col min="14607" max="14609" width="10" style="3" customWidth="1"/>
    <col min="14610" max="14610" width="11.42578125" style="3" customWidth="1"/>
    <col min="14611" max="14611" width="9.85546875" style="3" customWidth="1"/>
    <col min="14612" max="14612" width="4.85546875" style="3" customWidth="1"/>
    <col min="14613" max="14631" width="11.42578125" style="3" customWidth="1"/>
    <col min="14632" max="14847" width="11.42578125" style="3"/>
    <col min="14848" max="14848" width="9.85546875" style="3" bestFit="1" customWidth="1"/>
    <col min="14849" max="14849" width="22.140625" style="3" customWidth="1"/>
    <col min="14850" max="14850" width="9.7109375" style="3" customWidth="1"/>
    <col min="14851" max="14851" width="0.85546875" style="3" customWidth="1"/>
    <col min="14852" max="14852" width="16.42578125" style="3" customWidth="1"/>
    <col min="14853" max="14853" width="17.140625" style="3" customWidth="1"/>
    <col min="14854" max="14854" width="14.7109375" style="3" customWidth="1"/>
    <col min="14855" max="14855" width="30.85546875" style="3" bestFit="1" customWidth="1"/>
    <col min="14856" max="14856" width="1" style="3" customWidth="1"/>
    <col min="14857" max="14857" width="12.140625" style="3" customWidth="1"/>
    <col min="14858" max="14858" width="9.140625" style="3" customWidth="1"/>
    <col min="14859" max="14859" width="10" style="3" customWidth="1"/>
    <col min="14860" max="14860" width="10.140625" style="3" customWidth="1"/>
    <col min="14861" max="14861" width="14.42578125" style="3" bestFit="1" customWidth="1"/>
    <col min="14862" max="14862" width="13.140625" style="3" customWidth="1"/>
    <col min="14863" max="14865" width="10" style="3" customWidth="1"/>
    <col min="14866" max="14866" width="11.42578125" style="3" customWidth="1"/>
    <col min="14867" max="14867" width="9.85546875" style="3" customWidth="1"/>
    <col min="14868" max="14868" width="4.85546875" style="3" customWidth="1"/>
    <col min="14869" max="14887" width="11.42578125" style="3" customWidth="1"/>
    <col min="14888" max="15103" width="11.42578125" style="3"/>
    <col min="15104" max="15104" width="9.85546875" style="3" bestFit="1" customWidth="1"/>
    <col min="15105" max="15105" width="22.140625" style="3" customWidth="1"/>
    <col min="15106" max="15106" width="9.7109375" style="3" customWidth="1"/>
    <col min="15107" max="15107" width="0.85546875" style="3" customWidth="1"/>
    <col min="15108" max="15108" width="16.42578125" style="3" customWidth="1"/>
    <col min="15109" max="15109" width="17.140625" style="3" customWidth="1"/>
    <col min="15110" max="15110" width="14.7109375" style="3" customWidth="1"/>
    <col min="15111" max="15111" width="30.85546875" style="3" bestFit="1" customWidth="1"/>
    <col min="15112" max="15112" width="1" style="3" customWidth="1"/>
    <col min="15113" max="15113" width="12.140625" style="3" customWidth="1"/>
    <col min="15114" max="15114" width="9.140625" style="3" customWidth="1"/>
    <col min="15115" max="15115" width="10" style="3" customWidth="1"/>
    <col min="15116" max="15116" width="10.140625" style="3" customWidth="1"/>
    <col min="15117" max="15117" width="14.42578125" style="3" bestFit="1" customWidth="1"/>
    <col min="15118" max="15118" width="13.140625" style="3" customWidth="1"/>
    <col min="15119" max="15121" width="10" style="3" customWidth="1"/>
    <col min="15122" max="15122" width="11.42578125" style="3" customWidth="1"/>
    <col min="15123" max="15123" width="9.85546875" style="3" customWidth="1"/>
    <col min="15124" max="15124" width="4.85546875" style="3" customWidth="1"/>
    <col min="15125" max="15143" width="11.42578125" style="3" customWidth="1"/>
    <col min="15144" max="15359" width="11.42578125" style="3"/>
    <col min="15360" max="15360" width="9.85546875" style="3" bestFit="1" customWidth="1"/>
    <col min="15361" max="15361" width="22.140625" style="3" customWidth="1"/>
    <col min="15362" max="15362" width="9.7109375" style="3" customWidth="1"/>
    <col min="15363" max="15363" width="0.85546875" style="3" customWidth="1"/>
    <col min="15364" max="15364" width="16.42578125" style="3" customWidth="1"/>
    <col min="15365" max="15365" width="17.140625" style="3" customWidth="1"/>
    <col min="15366" max="15366" width="14.7109375" style="3" customWidth="1"/>
    <col min="15367" max="15367" width="30.85546875" style="3" bestFit="1" customWidth="1"/>
    <col min="15368" max="15368" width="1" style="3" customWidth="1"/>
    <col min="15369" max="15369" width="12.140625" style="3" customWidth="1"/>
    <col min="15370" max="15370" width="9.140625" style="3" customWidth="1"/>
    <col min="15371" max="15371" width="10" style="3" customWidth="1"/>
    <col min="15372" max="15372" width="10.140625" style="3" customWidth="1"/>
    <col min="15373" max="15373" width="14.42578125" style="3" bestFit="1" customWidth="1"/>
    <col min="15374" max="15374" width="13.140625" style="3" customWidth="1"/>
    <col min="15375" max="15377" width="10" style="3" customWidth="1"/>
    <col min="15378" max="15378" width="11.42578125" style="3" customWidth="1"/>
    <col min="15379" max="15379" width="9.85546875" style="3" customWidth="1"/>
    <col min="15380" max="15380" width="4.85546875" style="3" customWidth="1"/>
    <col min="15381" max="15399" width="11.42578125" style="3" customWidth="1"/>
    <col min="15400" max="15615" width="11.42578125" style="3"/>
    <col min="15616" max="15616" width="9.85546875" style="3" bestFit="1" customWidth="1"/>
    <col min="15617" max="15617" width="22.140625" style="3" customWidth="1"/>
    <col min="15618" max="15618" width="9.7109375" style="3" customWidth="1"/>
    <col min="15619" max="15619" width="0.85546875" style="3" customWidth="1"/>
    <col min="15620" max="15620" width="16.42578125" style="3" customWidth="1"/>
    <col min="15621" max="15621" width="17.140625" style="3" customWidth="1"/>
    <col min="15622" max="15622" width="14.7109375" style="3" customWidth="1"/>
    <col min="15623" max="15623" width="30.85546875" style="3" bestFit="1" customWidth="1"/>
    <col min="15624" max="15624" width="1" style="3" customWidth="1"/>
    <col min="15625" max="15625" width="12.140625" style="3" customWidth="1"/>
    <col min="15626" max="15626" width="9.140625" style="3" customWidth="1"/>
    <col min="15627" max="15627" width="10" style="3" customWidth="1"/>
    <col min="15628" max="15628" width="10.140625" style="3" customWidth="1"/>
    <col min="15629" max="15629" width="14.42578125" style="3" bestFit="1" customWidth="1"/>
    <col min="15630" max="15630" width="13.140625" style="3" customWidth="1"/>
    <col min="15631" max="15633" width="10" style="3" customWidth="1"/>
    <col min="15634" max="15634" width="11.42578125" style="3" customWidth="1"/>
    <col min="15635" max="15635" width="9.85546875" style="3" customWidth="1"/>
    <col min="15636" max="15636" width="4.85546875" style="3" customWidth="1"/>
    <col min="15637" max="15655" width="11.42578125" style="3" customWidth="1"/>
    <col min="15656" max="15871" width="11.42578125" style="3"/>
    <col min="15872" max="15872" width="9.85546875" style="3" bestFit="1" customWidth="1"/>
    <col min="15873" max="15873" width="22.140625" style="3" customWidth="1"/>
    <col min="15874" max="15874" width="9.7109375" style="3" customWidth="1"/>
    <col min="15875" max="15875" width="0.85546875" style="3" customWidth="1"/>
    <col min="15876" max="15876" width="16.42578125" style="3" customWidth="1"/>
    <col min="15877" max="15877" width="17.140625" style="3" customWidth="1"/>
    <col min="15878" max="15878" width="14.7109375" style="3" customWidth="1"/>
    <col min="15879" max="15879" width="30.85546875" style="3" bestFit="1" customWidth="1"/>
    <col min="15880" max="15880" width="1" style="3" customWidth="1"/>
    <col min="15881" max="15881" width="12.140625" style="3" customWidth="1"/>
    <col min="15882" max="15882" width="9.140625" style="3" customWidth="1"/>
    <col min="15883" max="15883" width="10" style="3" customWidth="1"/>
    <col min="15884" max="15884" width="10.140625" style="3" customWidth="1"/>
    <col min="15885" max="15885" width="14.42578125" style="3" bestFit="1" customWidth="1"/>
    <col min="15886" max="15886" width="13.140625" style="3" customWidth="1"/>
    <col min="15887" max="15889" width="10" style="3" customWidth="1"/>
    <col min="15890" max="15890" width="11.42578125" style="3" customWidth="1"/>
    <col min="15891" max="15891" width="9.85546875" style="3" customWidth="1"/>
    <col min="15892" max="15892" width="4.85546875" style="3" customWidth="1"/>
    <col min="15893" max="15911" width="11.42578125" style="3" customWidth="1"/>
    <col min="15912" max="16127" width="11.42578125" style="3"/>
    <col min="16128" max="16128" width="9.85546875" style="3" bestFit="1" customWidth="1"/>
    <col min="16129" max="16129" width="22.140625" style="3" customWidth="1"/>
    <col min="16130" max="16130" width="9.7109375" style="3" customWidth="1"/>
    <col min="16131" max="16131" width="0.85546875" style="3" customWidth="1"/>
    <col min="16132" max="16132" width="16.42578125" style="3" customWidth="1"/>
    <col min="16133" max="16133" width="17.140625" style="3" customWidth="1"/>
    <col min="16134" max="16134" width="14.7109375" style="3" customWidth="1"/>
    <col min="16135" max="16135" width="30.85546875" style="3" bestFit="1" customWidth="1"/>
    <col min="16136" max="16136" width="1" style="3" customWidth="1"/>
    <col min="16137" max="16137" width="12.140625" style="3" customWidth="1"/>
    <col min="16138" max="16138" width="9.140625" style="3" customWidth="1"/>
    <col min="16139" max="16139" width="10" style="3" customWidth="1"/>
    <col min="16140" max="16140" width="10.140625" style="3" customWidth="1"/>
    <col min="16141" max="16141" width="14.42578125" style="3" bestFit="1" customWidth="1"/>
    <col min="16142" max="16142" width="13.140625" style="3" customWidth="1"/>
    <col min="16143" max="16145" width="10" style="3" customWidth="1"/>
    <col min="16146" max="16146" width="11.42578125" style="3" customWidth="1"/>
    <col min="16147" max="16147" width="9.85546875" style="3" customWidth="1"/>
    <col min="16148" max="16148" width="4.85546875" style="3" customWidth="1"/>
    <col min="16149" max="16167" width="11.42578125" style="3" customWidth="1"/>
    <col min="16168" max="16384" width="11.42578125" style="3"/>
  </cols>
  <sheetData>
    <row r="1" spans="1:38" ht="14.25" customHeight="1" x14ac:dyDescent="0.2">
      <c r="A1" s="1130"/>
      <c r="B1" s="658" t="str">
        <f>vergers!B1</f>
        <v>RETOUR AU SOMMAIRE</v>
      </c>
      <c r="C1" s="659"/>
      <c r="D1" s="1477" t="s">
        <v>162</v>
      </c>
      <c r="E1" s="1478"/>
      <c r="F1" s="696"/>
      <c r="G1" s="697"/>
      <c r="H1" s="697"/>
      <c r="I1" s="696"/>
      <c r="J1" s="696"/>
      <c r="K1" s="696"/>
      <c r="L1" s="696"/>
      <c r="M1" s="696"/>
      <c r="N1" s="696"/>
      <c r="O1" s="692"/>
      <c r="P1" s="2"/>
      <c r="Q1" s="2"/>
      <c r="R1" s="2"/>
      <c r="S1" s="2"/>
      <c r="T1" s="2"/>
      <c r="U1" s="2"/>
      <c r="V1" s="2"/>
      <c r="AI1" s="608"/>
      <c r="AJ1" s="573"/>
      <c r="AK1" s="2"/>
      <c r="AL1" s="2"/>
    </row>
    <row r="2" spans="1:38" ht="13.5" customHeight="1" x14ac:dyDescent="0.2">
      <c r="A2" s="680"/>
      <c r="B2" s="686"/>
      <c r="C2" s="686"/>
      <c r="D2" s="686"/>
      <c r="E2" s="673"/>
      <c r="F2" s="673"/>
      <c r="G2" s="673"/>
      <c r="H2" s="698"/>
      <c r="I2" s="673"/>
      <c r="J2" s="673"/>
      <c r="K2" s="673"/>
      <c r="L2" s="673"/>
      <c r="M2" s="673"/>
      <c r="N2" s="673"/>
      <c r="O2" s="674"/>
      <c r="P2" s="2"/>
      <c r="Q2" s="2"/>
      <c r="R2" s="2"/>
      <c r="S2" s="2"/>
      <c r="T2" s="2"/>
      <c r="U2" s="2"/>
      <c r="V2" s="2"/>
      <c r="AI2" s="608"/>
      <c r="AJ2" s="573"/>
      <c r="AK2" s="2"/>
      <c r="AL2" s="2"/>
    </row>
    <row r="3" spans="1:38" ht="15" customHeight="1" x14ac:dyDescent="0.2">
      <c r="A3" s="681"/>
      <c r="B3" s="1613" t="s">
        <v>1574</v>
      </c>
      <c r="C3" s="1614"/>
      <c r="D3" s="1614"/>
      <c r="E3" s="1615"/>
      <c r="F3" s="699"/>
      <c r="G3" s="699"/>
      <c r="H3" s="699"/>
      <c r="I3" s="690"/>
      <c r="J3" s="700"/>
      <c r="K3" s="673"/>
      <c r="L3" s="673"/>
      <c r="M3" s="673"/>
      <c r="N3" s="673"/>
      <c r="O3" s="674"/>
      <c r="P3" s="2"/>
      <c r="Q3" s="2"/>
      <c r="R3" s="2"/>
      <c r="S3" s="2"/>
      <c r="T3" s="2"/>
      <c r="U3" s="2"/>
      <c r="V3" s="2"/>
      <c r="AI3" s="608"/>
      <c r="AJ3" s="573"/>
      <c r="AK3" s="2"/>
      <c r="AL3" s="2"/>
    </row>
    <row r="4" spans="1:38" ht="15" customHeight="1" thickBot="1" x14ac:dyDescent="0.25">
      <c r="A4" s="681"/>
      <c r="B4" s="695"/>
      <c r="C4" s="695"/>
      <c r="D4" s="664"/>
      <c r="E4" s="695"/>
      <c r="F4" s="695"/>
      <c r="G4" s="695"/>
      <c r="H4" s="695"/>
      <c r="I4" s="690"/>
      <c r="J4" s="700"/>
      <c r="K4" s="673"/>
      <c r="L4" s="673"/>
      <c r="M4" s="673"/>
      <c r="N4" s="673"/>
      <c r="O4" s="674"/>
      <c r="P4" s="2"/>
      <c r="Q4" s="2"/>
      <c r="R4" s="2"/>
      <c r="S4" s="2"/>
      <c r="T4" s="2"/>
      <c r="U4" s="2"/>
      <c r="V4" s="2"/>
      <c r="AI4" s="608"/>
      <c r="AJ4" s="573"/>
      <c r="AK4" s="2"/>
      <c r="AL4" s="2"/>
    </row>
    <row r="5" spans="1:38" ht="15" customHeight="1" x14ac:dyDescent="0.2">
      <c r="A5" s="681"/>
      <c r="B5" s="1638" t="s">
        <v>1575</v>
      </c>
      <c r="C5" s="1639"/>
      <c r="D5" s="1639"/>
      <c r="E5" s="1639"/>
      <c r="F5" s="1639"/>
      <c r="G5" s="1640"/>
      <c r="H5" s="673"/>
      <c r="I5" s="690"/>
      <c r="J5" s="700"/>
      <c r="K5" s="673"/>
      <c r="L5" s="673"/>
      <c r="M5" s="673"/>
      <c r="N5" s="673"/>
      <c r="O5" s="674"/>
      <c r="P5" s="2"/>
      <c r="Q5" s="2"/>
      <c r="R5" s="2"/>
      <c r="S5" s="2"/>
      <c r="T5" s="2"/>
      <c r="U5" s="2"/>
      <c r="V5" s="2"/>
      <c r="AI5" s="608"/>
      <c r="AJ5" s="573"/>
      <c r="AK5" s="2"/>
      <c r="AL5" s="2"/>
    </row>
    <row r="6" spans="1:38" ht="15" customHeight="1" x14ac:dyDescent="0.2">
      <c r="A6" s="681"/>
      <c r="B6" s="1641"/>
      <c r="C6" s="1642"/>
      <c r="D6" s="1642"/>
      <c r="E6" s="1642"/>
      <c r="F6" s="1642"/>
      <c r="G6" s="1643"/>
      <c r="H6" s="673"/>
      <c r="I6" s="690"/>
      <c r="J6" s="700"/>
      <c r="K6" s="673"/>
      <c r="L6" s="673"/>
      <c r="M6" s="673"/>
      <c r="N6" s="673"/>
      <c r="O6" s="674"/>
      <c r="P6" s="2"/>
      <c r="Q6" s="2"/>
      <c r="R6" s="2"/>
      <c r="S6" s="2"/>
      <c r="T6" s="2"/>
      <c r="U6" s="2"/>
      <c r="V6" s="2"/>
      <c r="AI6" s="608"/>
      <c r="AJ6" s="573"/>
      <c r="AK6" s="2"/>
      <c r="AL6" s="2"/>
    </row>
    <row r="7" spans="1:38" ht="15" customHeight="1" x14ac:dyDescent="0.2">
      <c r="A7" s="681"/>
      <c r="B7" s="1641"/>
      <c r="C7" s="1642"/>
      <c r="D7" s="1642"/>
      <c r="E7" s="1642"/>
      <c r="F7" s="1642"/>
      <c r="G7" s="1643"/>
      <c r="H7" s="673"/>
      <c r="I7" s="690"/>
      <c r="J7" s="690"/>
      <c r="K7" s="690"/>
      <c r="L7" s="690"/>
      <c r="M7" s="690"/>
      <c r="N7" s="673"/>
      <c r="O7" s="674"/>
      <c r="P7" s="2"/>
      <c r="Q7" s="2"/>
      <c r="R7" s="2"/>
      <c r="S7" s="2"/>
      <c r="T7" s="2"/>
      <c r="U7" s="2"/>
      <c r="V7" s="2"/>
      <c r="AI7" s="608"/>
      <c r="AJ7" s="573"/>
      <c r="AK7" s="2"/>
      <c r="AL7" s="2"/>
    </row>
    <row r="8" spans="1:38" ht="15" customHeight="1" x14ac:dyDescent="0.2">
      <c r="A8" s="681"/>
      <c r="B8" s="1641"/>
      <c r="C8" s="1642"/>
      <c r="D8" s="1642"/>
      <c r="E8" s="1642"/>
      <c r="F8" s="1642"/>
      <c r="G8" s="1643"/>
      <c r="H8" s="673"/>
      <c r="I8" s="1647" t="s">
        <v>1576</v>
      </c>
      <c r="J8" s="1647"/>
      <c r="K8" s="1647"/>
      <c r="L8" s="1647"/>
      <c r="M8" s="1647"/>
      <c r="N8" s="673"/>
      <c r="O8" s="674"/>
      <c r="P8" s="2"/>
      <c r="Q8" s="2"/>
      <c r="R8" s="2"/>
      <c r="S8" s="2"/>
      <c r="T8" s="2"/>
      <c r="U8" s="2"/>
      <c r="V8" s="2"/>
      <c r="AI8" s="609"/>
      <c r="AJ8" s="573"/>
      <c r="AK8" s="2"/>
      <c r="AL8" s="2"/>
    </row>
    <row r="9" spans="1:38" ht="19.5" customHeight="1" thickBot="1" x14ac:dyDescent="0.25">
      <c r="A9" s="681"/>
      <c r="B9" s="1644"/>
      <c r="C9" s="1645"/>
      <c r="D9" s="1645"/>
      <c r="E9" s="1645"/>
      <c r="F9" s="1645"/>
      <c r="G9" s="1646"/>
      <c r="H9" s="673"/>
      <c r="I9" s="1528" t="str">
        <f>D1</f>
        <v>Cliques → ICI ←</v>
      </c>
      <c r="J9" s="1372"/>
      <c r="K9" s="1648" t="str">
        <f>'coût alimentation'!H59</f>
        <v>pour gérer ton/tes entrepôt(s)</v>
      </c>
      <c r="L9" s="1648"/>
      <c r="M9" s="1649"/>
      <c r="N9" s="673"/>
      <c r="O9" s="674"/>
      <c r="P9" s="2"/>
      <c r="Q9" s="2"/>
      <c r="R9" s="2"/>
      <c r="S9" s="2"/>
      <c r="T9" s="2"/>
      <c r="U9" s="2"/>
      <c r="V9" s="2"/>
      <c r="AI9" s="608"/>
      <c r="AJ9" s="573"/>
      <c r="AK9" s="2"/>
      <c r="AL9" s="2"/>
    </row>
    <row r="10" spans="1:38" ht="15" customHeight="1" x14ac:dyDescent="0.2">
      <c r="A10" s="681"/>
      <c r="B10" s="701"/>
      <c r="C10" s="701"/>
      <c r="D10" s="701"/>
      <c r="E10" s="701"/>
      <c r="F10" s="701"/>
      <c r="G10" s="701"/>
      <c r="H10" s="673"/>
      <c r="I10" s="673"/>
      <c r="J10" s="673"/>
      <c r="K10" s="673"/>
      <c r="L10" s="673"/>
      <c r="M10" s="673"/>
      <c r="N10" s="673"/>
      <c r="O10" s="674"/>
      <c r="P10" s="2"/>
      <c r="Q10" s="2"/>
      <c r="R10" s="2"/>
      <c r="S10" s="2"/>
      <c r="T10" s="2"/>
      <c r="U10" s="2"/>
      <c r="V10" s="2"/>
      <c r="AI10" s="608"/>
      <c r="AJ10" s="573"/>
      <c r="AK10" s="2"/>
      <c r="AL10" s="2"/>
    </row>
    <row r="11" spans="1:38" ht="15" customHeight="1" x14ac:dyDescent="0.2">
      <c r="A11" s="681"/>
      <c r="B11" s="701"/>
      <c r="C11" s="701"/>
      <c r="D11" s="701"/>
      <c r="E11" s="701"/>
      <c r="F11" s="701"/>
      <c r="G11" s="701"/>
      <c r="H11" s="673"/>
      <c r="I11" s="673"/>
      <c r="J11" s="700"/>
      <c r="K11" s="673"/>
      <c r="L11" s="673"/>
      <c r="M11" s="673"/>
      <c r="N11" s="673"/>
      <c r="O11" s="674"/>
      <c r="P11" s="2"/>
      <c r="Q11" s="2"/>
      <c r="R11" s="2"/>
      <c r="S11" s="2"/>
      <c r="T11" s="2"/>
      <c r="U11" s="2"/>
      <c r="V11" s="2"/>
      <c r="AI11" s="608"/>
      <c r="AJ11" s="573"/>
      <c r="AK11" s="2"/>
      <c r="AL11" s="2"/>
    </row>
    <row r="12" spans="1:38" ht="15" customHeight="1" x14ac:dyDescent="0.2">
      <c r="A12" s="681"/>
      <c r="B12" s="701"/>
      <c r="C12" s="701"/>
      <c r="D12" s="701"/>
      <c r="E12" s="701"/>
      <c r="F12" s="701"/>
      <c r="G12" s="701"/>
      <c r="H12" s="673"/>
      <c r="I12" s="673"/>
      <c r="J12" s="700"/>
      <c r="K12" s="673"/>
      <c r="L12" s="673"/>
      <c r="M12" s="673"/>
      <c r="N12" s="673"/>
      <c r="O12" s="674"/>
      <c r="P12" s="2"/>
      <c r="Q12" s="2"/>
      <c r="R12" s="2"/>
      <c r="S12" s="2"/>
      <c r="T12" s="2"/>
      <c r="U12" s="2"/>
      <c r="V12" s="2"/>
      <c r="AI12" s="608"/>
      <c r="AJ12" s="573"/>
      <c r="AK12" s="2"/>
      <c r="AL12" s="2"/>
    </row>
    <row r="13" spans="1:38" ht="15" customHeight="1" x14ac:dyDescent="0.2">
      <c r="A13" s="681"/>
      <c r="B13" s="701"/>
      <c r="C13" s="1613" t="s">
        <v>1624</v>
      </c>
      <c r="D13" s="1614"/>
      <c r="E13" s="1614"/>
      <c r="F13" s="1615"/>
      <c r="G13" s="673"/>
      <c r="H13" s="673"/>
      <c r="I13" s="673"/>
      <c r="J13" s="673"/>
      <c r="K13" s="673"/>
      <c r="L13" s="673"/>
      <c r="M13" s="673"/>
      <c r="N13" s="673"/>
      <c r="O13" s="674"/>
      <c r="P13" s="2"/>
      <c r="Q13" s="2"/>
      <c r="R13" s="2"/>
      <c r="S13" s="2"/>
      <c r="T13" s="2"/>
      <c r="U13" s="2"/>
      <c r="V13" s="2"/>
      <c r="AI13" s="608"/>
      <c r="AJ13" s="573"/>
      <c r="AK13" s="2"/>
      <c r="AL13" s="2"/>
    </row>
    <row r="14" spans="1:38" ht="15" customHeight="1" x14ac:dyDescent="0.2">
      <c r="A14" s="682"/>
      <c r="B14" s="673"/>
      <c r="C14" s="1616" t="s">
        <v>1503</v>
      </c>
      <c r="D14" s="1617"/>
      <c r="E14" s="1617"/>
      <c r="F14" s="965" t="str">
        <f>IF(parcelles!$K$2="","",parcelles!$K$2)</f>
        <v/>
      </c>
      <c r="G14" s="1618" t="s">
        <v>1577</v>
      </c>
      <c r="H14" s="1619"/>
      <c r="I14" s="1619"/>
      <c r="J14" s="1619"/>
      <c r="K14" s="673"/>
      <c r="L14" s="673"/>
      <c r="M14" s="702"/>
      <c r="N14" s="702"/>
      <c r="O14" s="693"/>
      <c r="P14" s="21"/>
      <c r="Q14" s="21"/>
      <c r="R14" s="21"/>
      <c r="S14" s="21"/>
      <c r="T14" s="21"/>
      <c r="U14" s="21"/>
      <c r="V14" s="21"/>
      <c r="X14" s="547"/>
      <c r="Y14" s="548"/>
      <c r="AA14" s="2"/>
      <c r="AB14" s="2"/>
      <c r="AI14" s="608"/>
      <c r="AJ14" s="573"/>
      <c r="AK14" s="2"/>
      <c r="AL14" s="2"/>
    </row>
    <row r="15" spans="1:38" ht="15" customHeight="1" x14ac:dyDescent="0.2">
      <c r="A15" s="682"/>
      <c r="B15" s="673"/>
      <c r="C15" s="673"/>
      <c r="D15" s="673"/>
      <c r="E15" s="673"/>
      <c r="F15" s="673"/>
      <c r="G15" s="673"/>
      <c r="H15" s="673"/>
      <c r="I15" s="673"/>
      <c r="J15" s="673"/>
      <c r="K15" s="673"/>
      <c r="L15" s="673"/>
      <c r="M15" s="702"/>
      <c r="N15" s="702"/>
      <c r="O15" s="693"/>
      <c r="P15" s="21"/>
      <c r="Q15" s="21"/>
      <c r="R15" s="21"/>
      <c r="S15" s="21"/>
      <c r="T15" s="21"/>
      <c r="U15" s="21"/>
      <c r="V15" s="21"/>
      <c r="X15" s="547"/>
      <c r="Y15" s="549"/>
      <c r="AA15" s="2"/>
      <c r="AB15" s="2"/>
      <c r="AI15" s="609"/>
      <c r="AJ15" s="573"/>
      <c r="AK15" s="2"/>
      <c r="AL15" s="2"/>
    </row>
    <row r="16" spans="1:38" ht="12.75" customHeight="1" x14ac:dyDescent="0.2">
      <c r="A16" s="682"/>
      <c r="B16" s="673"/>
      <c r="C16" s="673"/>
      <c r="D16" s="1620" t="str">
        <f>IF($F$14="Canada","Province",IF($F$14="","","Région"))</f>
        <v/>
      </c>
      <c r="E16" s="1621"/>
      <c r="F16" s="1620" t="s">
        <v>1578</v>
      </c>
      <c r="G16" s="1622"/>
      <c r="H16" s="973" t="s">
        <v>1579</v>
      </c>
      <c r="I16" s="550"/>
      <c r="J16" s="1623" t="s">
        <v>1580</v>
      </c>
      <c r="K16" s="1624"/>
      <c r="L16" s="1625"/>
      <c r="M16" s="550"/>
      <c r="N16" s="702"/>
      <c r="O16" s="693"/>
      <c r="P16" s="21"/>
      <c r="Q16" s="21"/>
      <c r="R16" s="21"/>
      <c r="S16" s="21"/>
      <c r="T16" s="21"/>
      <c r="U16" s="21"/>
      <c r="V16" s="21"/>
      <c r="X16" s="547"/>
      <c r="Y16" s="548"/>
      <c r="AA16" s="2"/>
      <c r="AB16" s="2"/>
      <c r="AI16" s="608"/>
      <c r="AJ16" s="573"/>
      <c r="AK16" s="2"/>
      <c r="AL16" s="2"/>
    </row>
    <row r="17" spans="1:39" ht="12.75" customHeight="1" x14ac:dyDescent="0.2">
      <c r="A17" s="678"/>
      <c r="B17" s="673"/>
      <c r="C17" s="673"/>
      <c r="D17" s="1652"/>
      <c r="E17" s="1653"/>
      <c r="F17" s="1652"/>
      <c r="G17" s="1653"/>
      <c r="H17" s="974" t="s">
        <v>1581</v>
      </c>
      <c r="I17" s="550"/>
      <c r="J17" s="1623" t="s">
        <v>1582</v>
      </c>
      <c r="K17" s="1624"/>
      <c r="L17" s="1625"/>
      <c r="M17" s="550"/>
      <c r="N17" s="702"/>
      <c r="O17" s="693"/>
      <c r="P17" s="21"/>
      <c r="Q17" s="21"/>
      <c r="R17" s="21"/>
      <c r="S17" s="21"/>
      <c r="T17" s="21"/>
      <c r="U17" s="21"/>
      <c r="V17" s="21"/>
      <c r="X17" s="547"/>
      <c r="Y17" s="548"/>
      <c r="AA17" s="2"/>
      <c r="AB17" s="2"/>
      <c r="AI17" s="608"/>
      <c r="AJ17" s="573"/>
      <c r="AK17" s="2"/>
      <c r="AL17" s="2"/>
    </row>
    <row r="18" spans="1:39" ht="12.75" customHeight="1" x14ac:dyDescent="0.2">
      <c r="A18" s="683"/>
      <c r="B18" s="703"/>
      <c r="C18" s="673"/>
      <c r="D18" s="673"/>
      <c r="E18" s="673"/>
      <c r="F18" s="673"/>
      <c r="G18" s="673"/>
      <c r="H18" s="974" t="s">
        <v>1583</v>
      </c>
      <c r="I18" s="550"/>
      <c r="J18" s="1623" t="s">
        <v>1584</v>
      </c>
      <c r="K18" s="1624"/>
      <c r="L18" s="1625"/>
      <c r="M18" s="550"/>
      <c r="N18" s="702"/>
      <c r="O18" s="693"/>
      <c r="P18" s="21"/>
      <c r="Q18" s="21"/>
      <c r="R18" s="21"/>
      <c r="S18" s="21"/>
      <c r="T18" s="21"/>
      <c r="U18" s="21"/>
      <c r="V18" s="21"/>
      <c r="X18" s="547"/>
      <c r="Y18" s="548"/>
      <c r="AA18" s="2"/>
      <c r="AB18" s="2"/>
      <c r="AI18" s="608"/>
      <c r="AJ18" s="573"/>
      <c r="AK18" s="2"/>
      <c r="AL18" s="2"/>
    </row>
    <row r="19" spans="1:39" s="125" customFormat="1" ht="15" customHeight="1" x14ac:dyDescent="0.2">
      <c r="A19" s="679"/>
      <c r="B19" s="660"/>
      <c r="C19" s="660"/>
      <c r="D19" s="1620" t="s">
        <v>1894</v>
      </c>
      <c r="E19" s="1621"/>
      <c r="F19" s="660"/>
      <c r="G19" s="660"/>
      <c r="H19" s="660"/>
      <c r="I19" s="673"/>
      <c r="J19" s="660"/>
      <c r="K19" s="665"/>
      <c r="L19" s="673"/>
      <c r="M19" s="667"/>
      <c r="N19" s="667"/>
      <c r="O19" s="691"/>
      <c r="P19" s="50"/>
      <c r="Q19" s="50"/>
      <c r="R19" s="50"/>
      <c r="S19" s="50"/>
      <c r="T19" s="50"/>
      <c r="U19" s="50"/>
      <c r="V19" s="50"/>
      <c r="W19" s="50"/>
      <c r="X19" s="50"/>
      <c r="Y19" s="548"/>
      <c r="Z19" s="50"/>
      <c r="AA19" s="30"/>
      <c r="AB19" s="30"/>
      <c r="AC19" s="50"/>
      <c r="AD19" s="50"/>
      <c r="AE19" s="50"/>
      <c r="AF19" s="50"/>
      <c r="AG19" s="50"/>
      <c r="AH19" s="50"/>
      <c r="AI19" s="608"/>
      <c r="AJ19" s="345"/>
      <c r="AK19" s="30"/>
      <c r="AL19" s="30"/>
      <c r="AM19" s="30"/>
    </row>
    <row r="20" spans="1:39" s="125" customFormat="1" ht="15" customHeight="1" x14ac:dyDescent="0.2">
      <c r="A20" s="679"/>
      <c r="B20" s="660"/>
      <c r="C20" s="660"/>
      <c r="D20" s="1652"/>
      <c r="E20" s="1653"/>
      <c r="F20" s="660"/>
      <c r="G20" s="660"/>
      <c r="H20" s="660"/>
      <c r="I20" s="702"/>
      <c r="J20" s="660"/>
      <c r="K20" s="665"/>
      <c r="L20" s="702"/>
      <c r="M20" s="667"/>
      <c r="N20" s="667"/>
      <c r="O20" s="691"/>
      <c r="P20" s="50"/>
      <c r="Q20" s="50"/>
      <c r="R20" s="50"/>
      <c r="S20" s="50"/>
      <c r="T20" s="50"/>
      <c r="U20" s="50"/>
      <c r="V20" s="50"/>
      <c r="W20" s="50"/>
      <c r="X20" s="50"/>
      <c r="Y20" s="548"/>
      <c r="Z20" s="50"/>
      <c r="AA20" s="30"/>
      <c r="AB20" s="30"/>
      <c r="AC20" s="50"/>
      <c r="AD20" s="50"/>
      <c r="AE20" s="50"/>
      <c r="AF20" s="50"/>
      <c r="AG20" s="50"/>
      <c r="AH20" s="50"/>
      <c r="AI20" s="608"/>
      <c r="AJ20" s="345"/>
      <c r="AK20" s="30"/>
      <c r="AL20" s="30"/>
      <c r="AM20" s="30"/>
    </row>
    <row r="21" spans="1:39" s="125" customFormat="1" ht="15" customHeight="1" x14ac:dyDescent="0.2">
      <c r="A21" s="679"/>
      <c r="B21" s="660"/>
      <c r="C21" s="660"/>
      <c r="D21" s="660"/>
      <c r="E21" s="660"/>
      <c r="F21" s="660"/>
      <c r="G21" s="660"/>
      <c r="H21" s="660"/>
      <c r="I21" s="702"/>
      <c r="J21" s="660"/>
      <c r="K21" s="665"/>
      <c r="L21" s="702"/>
      <c r="M21" s="667"/>
      <c r="N21" s="667"/>
      <c r="O21" s="691"/>
      <c r="P21" s="50"/>
      <c r="Q21" s="50"/>
      <c r="R21" s="50"/>
      <c r="S21" s="50"/>
      <c r="T21" s="50"/>
      <c r="U21" s="50"/>
      <c r="V21" s="50"/>
      <c r="W21" s="50"/>
      <c r="X21" s="50"/>
      <c r="Y21" s="548"/>
      <c r="Z21" s="50"/>
      <c r="AA21" s="30"/>
      <c r="AB21" s="30"/>
      <c r="AC21" s="50"/>
      <c r="AD21" s="50"/>
      <c r="AE21" s="50"/>
      <c r="AF21" s="50"/>
      <c r="AG21" s="50"/>
      <c r="AH21" s="50"/>
      <c r="AI21" s="608"/>
      <c r="AJ21" s="345"/>
      <c r="AK21" s="30"/>
      <c r="AL21" s="30"/>
      <c r="AM21" s="30"/>
    </row>
    <row r="22" spans="1:39" s="125" customFormat="1" ht="15" customHeight="1" x14ac:dyDescent="0.2">
      <c r="A22" s="679"/>
      <c r="B22" s="660"/>
      <c r="C22" s="660"/>
      <c r="D22" s="660"/>
      <c r="E22" s="660"/>
      <c r="F22" s="1620" t="s">
        <v>1585</v>
      </c>
      <c r="G22" s="1622"/>
      <c r="H22" s="1621"/>
      <c r="I22" s="1623" t="s">
        <v>1586</v>
      </c>
      <c r="J22" s="1625"/>
      <c r="K22" s="551" t="s">
        <v>1587</v>
      </c>
      <c r="L22" s="702"/>
      <c r="M22" s="741" t="str">
        <f>IF(F14="","",IF(OR(AND(F23="rendement nul dans cette région",VLOOKUP("Orge",BDD!HN97:IB129,15,FALSE)&gt;0),AND(F24="rendement nul dans cette région",VLOOKUP("Orge",BDD!HN97:IB129,15,FALSE)&gt;0),AND(F25="rendement nul dans cette région",VLOOKUP(C25,BDD!HN97:IB129,15,FALSE)&gt;0),AND(F26="rendement nul dans cette région",VLOOKUP(C26,BDD!HN97:IB129,15,FALSE)&gt;0),AND(F27="rendement nul dans cette région",VLOOKUP(C27,BDD!HN97:IB129,15,FALSE)&gt;0),AND(F28="rendement nul dans cette région",VLOOKUP(C28,BDD!HN97:IB129,15,FALSE)&gt;0),AND(F29="rendement nul dans cette région",VLOOKUP("Ensilage d'herbe",BDD!HN97:IB129,15,FALSE)&gt;0),AND(F30="rendement nul dans cette région",VLOOKUP(C30,BDD!HN97:IB129,15,FALSE)&gt;0),AND(F31="rendement nul dans cette région",VLOOKUP("Avoine",BDD!HN97:IB129,15,FALSE)&gt;0),AND(F32="rendement nul dans cette région",VLOOKUP("Avoine",BDD!HN97:IB129,15,FALSE)&gt;0),AND(F33="rendement nul dans cette région",VLOOKUP(C33,BDD!HN97:IB129,15,FALSE)&gt;0),AND(F34="rendement nul dans cette région",VLOOKUP(C34,BDD!HN97:IB129,15,FALSE)&gt;0),AND(F35="rendement nul dans cette région",VLOOKUP(C35,BDD!HN97:IB129,15,FALSE)&gt;0),AND(F36="rendement nul dans cette région",VLOOKUP(C36,BDD!HN97:IB129,15,FALSE)&gt;0),AND(F38="rendement nul dans cette région",VLOOKUP(C38,BDD!HN97:IB129,15,FALSE)&gt;0),AND(F39="rendement nul dans cette région",VLOOKUP(C39,BDD!HN97:IB129,15,FALSE)&gt;0),AND(F40="rendement nul dans cette région",VLOOKUP("Bouchons luzerne",BDD!HN97:IB129,15,FALSE)&gt;0)),"autre région",""))</f>
        <v/>
      </c>
      <c r="N22" s="741" t="str">
        <f>IF(M22&lt;&gt;"","surface à semer","")</f>
        <v/>
      </c>
      <c r="O22" s="694"/>
      <c r="P22" s="50"/>
      <c r="Q22" s="50"/>
      <c r="R22" s="50"/>
      <c r="S22" s="50"/>
      <c r="T22" s="50"/>
      <c r="U22" s="50"/>
      <c r="V22" s="50"/>
      <c r="W22" s="50"/>
      <c r="X22" s="50"/>
      <c r="Y22" s="549"/>
      <c r="Z22" s="50"/>
      <c r="AA22" s="30"/>
      <c r="AB22" s="30"/>
      <c r="AC22" s="50"/>
      <c r="AD22" s="50"/>
      <c r="AE22" s="50"/>
      <c r="AF22" s="50"/>
      <c r="AG22" s="50"/>
      <c r="AH22" s="50"/>
      <c r="AI22" s="609"/>
      <c r="AJ22" s="345"/>
      <c r="AK22" s="30"/>
      <c r="AL22" s="30"/>
      <c r="AM22" s="30"/>
    </row>
    <row r="23" spans="1:39" s="125" customFormat="1" ht="15" customHeight="1" x14ac:dyDescent="0.2">
      <c r="A23" s="679"/>
      <c r="B23" s="1650" t="s">
        <v>1588</v>
      </c>
      <c r="C23" s="1626" t="s">
        <v>1589</v>
      </c>
      <c r="D23" s="1627"/>
      <c r="E23" s="1628"/>
      <c r="F23" s="1629">
        <f>IF(OR($D$20="",SUMIF(BDD!$HO$96:$IB$96,$F$17,BDD!$HO$117:$IB$117)=0),0,IF(VLOOKUP($D$17,parcelles!$B$55:$S$77,3)=0,"rendement nul dans cette région",IF($D$20=conventionnel,(SUMIF(BDD!$HO$96:$IB$96,$F$17,BDD!$HO$117:$IB$117)/VLOOKUP($D$17,parcelles!$B$55:$S$77,3)),(SUMIF(BDD!$HO$96:$IB$96,$F$17,BDD!$HO$117:$IB$117)/VLOOKUP($D$17,parcelles!$B$55:$S$77,3)*1.2))))</f>
        <v>0</v>
      </c>
      <c r="G23" s="1630"/>
      <c r="H23" s="1631"/>
      <c r="I23" s="1629">
        <f>SUMIF(parcelles!C94:C141,C23,parcelles!E94:E141)+SUMIF(parcelles!M94:M141,C23,parcelles!O94:O141)</f>
        <v>0</v>
      </c>
      <c r="J23" s="1631"/>
      <c r="K23" s="1654">
        <f>IF(AND(I23=IF(F23="rendement nul dans cette région",N23,F23),I24&gt;0),I24,IF(AND(I23&gt;0,I24=IF(F24="rendement nul dans cette région",N24,F24)),I23,(-((IF(F23="rendement nul dans cette région",N23,F23)+IF(F24="rendement nul dans cette région",N24,F24))/2-($I$23+$I$24)))))</f>
        <v>0</v>
      </c>
      <c r="L23" s="702"/>
      <c r="M23" s="742"/>
      <c r="N23" s="742" t="str">
        <f>IF(M23="","",IF(AND(M23&gt;0,F23="rendement nul dans cette région"),ROUNDUP(SUMIF(BDD!HO96:IB96,$F$17,BDD!HO97:IB98)/VLOOKUP($M23,parcelles!$B$55:$S$77,3,FALSE),0),""))</f>
        <v/>
      </c>
      <c r="O23" s="694"/>
      <c r="P23" s="50"/>
      <c r="Q23" s="50"/>
      <c r="R23" s="50"/>
      <c r="S23" s="50"/>
      <c r="T23" s="50"/>
      <c r="U23" s="50"/>
      <c r="V23" s="50"/>
      <c r="W23" s="50"/>
      <c r="X23" s="50"/>
      <c r="Y23" s="549"/>
      <c r="Z23" s="50"/>
      <c r="AA23" s="30"/>
      <c r="AB23" s="30"/>
      <c r="AC23" s="50"/>
      <c r="AD23" s="50"/>
      <c r="AE23" s="50"/>
      <c r="AF23" s="50"/>
      <c r="AG23" s="50"/>
      <c r="AH23" s="50"/>
      <c r="AI23" s="609"/>
      <c r="AJ23" s="345"/>
      <c r="AK23" s="30"/>
      <c r="AL23" s="30"/>
      <c r="AM23" s="30"/>
    </row>
    <row r="24" spans="1:39" s="125" customFormat="1" ht="15" customHeight="1" x14ac:dyDescent="0.2">
      <c r="A24" s="679"/>
      <c r="B24" s="1651"/>
      <c r="C24" s="1626" t="s">
        <v>1590</v>
      </c>
      <c r="D24" s="1627"/>
      <c r="E24" s="1628"/>
      <c r="F24" s="1629">
        <f>IF(OR($D$20="",SUMIF(BDD!$HO$96:$IB$96,$F$17,BDD!$HO$117:$IB$117)=0),0,IF(VLOOKUP($D$17,parcelles!$B$55:$S$77,3)=0,"rendement nul dans cette région",IF($D$20=conventionnel,(SUMIF(BDD!$HO$96:$IB$96,$F$17,BDD!$HO$117:$IB$117)/VLOOKUP($D$17,parcelles!$B$55:$S$77,3)),(SUMIF(BDD!$HO$96:$IB$96,$F$17,BDD!$HO$117:$IB$117)/VLOOKUP($D$17,parcelles!$B$55:$S$77,3)*1.2))))</f>
        <v>0</v>
      </c>
      <c r="G24" s="1630"/>
      <c r="H24" s="1631"/>
      <c r="I24" s="1629">
        <f>SUMIF(parcelles!C94:C141,C24,parcelles!E94:E141)+SUMIF(parcelles!M94:M141,C24,parcelles!O94:O141)</f>
        <v>0</v>
      </c>
      <c r="J24" s="1631"/>
      <c r="K24" s="1654"/>
      <c r="L24" s="702"/>
      <c r="M24" s="742"/>
      <c r="N24" s="742" t="str">
        <f>IF(M24="","",IF(AND(M24&gt;0,F24="rendement nul dans cette région"),ROUNDUP(SUMIF(BDD!HO96:IB96,$F$17,BDD!HO98:IB99)/VLOOKUP($M24,parcelles!$B$55:$S$77,3,FALSE),0),""))</f>
        <v/>
      </c>
      <c r="O24" s="694"/>
      <c r="P24" s="50"/>
      <c r="Q24" s="50"/>
      <c r="R24" s="50"/>
      <c r="S24" s="50"/>
      <c r="T24" s="50"/>
      <c r="U24" s="50"/>
      <c r="V24" s="50"/>
      <c r="W24" s="50"/>
      <c r="X24" s="50"/>
      <c r="Y24" s="549"/>
      <c r="Z24" s="50"/>
      <c r="AA24" s="30"/>
      <c r="AB24" s="30"/>
      <c r="AC24" s="50"/>
      <c r="AD24" s="50"/>
      <c r="AE24" s="50"/>
      <c r="AF24" s="50"/>
      <c r="AG24" s="50"/>
      <c r="AH24" s="50"/>
      <c r="AI24" s="609"/>
      <c r="AJ24" s="345"/>
      <c r="AK24" s="30"/>
      <c r="AL24" s="30"/>
      <c r="AM24" s="30"/>
    </row>
    <row r="25" spans="1:39" s="125" customFormat="1" ht="15" customHeight="1" x14ac:dyDescent="0.2">
      <c r="A25" s="679"/>
      <c r="B25" s="690"/>
      <c r="C25" s="1632" t="s">
        <v>1591</v>
      </c>
      <c r="D25" s="1633"/>
      <c r="E25" s="1634"/>
      <c r="F25" s="1635">
        <f>IF(OR($D$20="",SUMIF(BDD!$HO$96:$IB$96,$F$17,BDD!$HO99:$IB99)=0),0,IF(VLOOKUP($D$17,parcelles!$B$55:$S$77,3)=0,"rendement nul dans cette région",IF($D$20=conventionnel,(SUMIF(BDD!$HO$96:$IB$96,$F$17,BDD!$HO99:$IB99)/VLOOKUP($D$17,parcelles!$B$55:$S$77,3)),(SUMIF(BDD!$HO$96:$IB$96,$F$17,BDD!$HO99:$IB99)/VLOOKUP($D$17,parcelles!$B$55:$S$77,3))*1.2)))</f>
        <v>0</v>
      </c>
      <c r="G25" s="1636"/>
      <c r="H25" s="1637"/>
      <c r="I25" s="1635">
        <f>SUMIF(parcelles!C94:C141,C25,parcelles!E94:E141)+SUMIF(parcelles!M94:M141,C25,parcelles!O94:O141)</f>
        <v>0</v>
      </c>
      <c r="J25" s="1637"/>
      <c r="K25" s="1072">
        <f>IF(F17="",0,IF(F25="rendement nul dans cette région",I25-IF(F25="rendement nul dans cette région",N25,F25),I25-F25))</f>
        <v>0</v>
      </c>
      <c r="L25" s="702"/>
      <c r="M25" s="742"/>
      <c r="N25" s="742" t="str">
        <f>IF(M25="","",IF(AND(M25&gt;0,F25="rendement nul dans cette région"),ROUNDUP(SUMIF(BDD!HO96:IB96,$F$17,BDD!HO99:IB100)/VLOOKUP($M25,parcelles!$B$55:$S$77,2,FALSE),0),""))</f>
        <v/>
      </c>
      <c r="O25" s="694"/>
      <c r="P25" s="50"/>
      <c r="Q25" s="50"/>
      <c r="R25" s="50"/>
      <c r="S25" s="50"/>
      <c r="T25" s="50"/>
      <c r="U25" s="50"/>
      <c r="V25" s="50"/>
      <c r="W25" s="50"/>
      <c r="X25" s="50"/>
      <c r="Y25" s="549"/>
      <c r="Z25" s="50"/>
      <c r="AA25" s="30"/>
      <c r="AB25" s="30"/>
      <c r="AC25" s="50"/>
      <c r="AD25" s="50"/>
      <c r="AE25" s="50"/>
      <c r="AF25" s="50"/>
      <c r="AG25" s="50"/>
      <c r="AH25" s="50"/>
      <c r="AI25" s="609"/>
      <c r="AJ25" s="345"/>
      <c r="AK25" s="30"/>
      <c r="AL25" s="30"/>
      <c r="AM25" s="30"/>
    </row>
    <row r="26" spans="1:39" s="554" customFormat="1" ht="15" customHeight="1" x14ac:dyDescent="0.2">
      <c r="A26" s="679"/>
      <c r="B26" s="690"/>
      <c r="C26" s="1626" t="s">
        <v>1593</v>
      </c>
      <c r="D26" s="1627"/>
      <c r="E26" s="1628"/>
      <c r="F26" s="1629">
        <f>IF(OR($D$20="",SUMIF(BDD!$HO$96:$IB$96,$F$17,BDD!$HO129:$IB129)=0),0,IF(VLOOKUP($D$17,parcelles!$B$55:$S$77,3)=0,"rendement nul dans cette région",IF($D$20=conventionnel,(SUMIF(BDD!$HO$96:$IB$96,$F$17,BDD!$HO129:$IB129)/VLOOKUP($D$17,parcelles!$B$55:$S$77,3)),(SUMIF(BDD!$HO$96:$IB$96,$F$17,BDD!$HO129:$IB129)/VLOOKUP($D$17,parcelles!$B$55:$S$77,3))*1.2)))</f>
        <v>0</v>
      </c>
      <c r="G26" s="1630"/>
      <c r="H26" s="1631"/>
      <c r="I26" s="1629">
        <f>SUMIF(parcelles!C94:C141,C26,parcelles!E94:E141)+SUMIF(parcelles!M94:M141,C26,parcelles!O94:O141)</f>
        <v>0</v>
      </c>
      <c r="J26" s="1631"/>
      <c r="K26" s="1071">
        <f>IF(F17="",0,IF(F26="rendement nul dans cette région",I26-IF(F26="rendement nul dans cette région",N26,F26),I26-F26))</f>
        <v>0</v>
      </c>
      <c r="L26" s="702"/>
      <c r="M26" s="742"/>
      <c r="N26" s="742" t="str">
        <f>IF(M26="","",IF(AND(M26&gt;0,F26="rendement nul dans cette région"),ROUNDUP(SUMIF(BDD!HO96:IB96,$F$17,BDD!HO100:IB101)/VLOOKUP($M26,parcelles!$B$55:$S$77,7,FALSE),0),""))</f>
        <v/>
      </c>
      <c r="O26" s="694"/>
      <c r="P26" s="552"/>
      <c r="Q26" s="552"/>
      <c r="R26" s="552"/>
      <c r="S26" s="552"/>
      <c r="T26" s="552"/>
      <c r="U26" s="552"/>
      <c r="V26" s="552"/>
      <c r="W26" s="552"/>
      <c r="X26" s="552"/>
      <c r="Y26" s="549"/>
      <c r="Z26" s="552"/>
      <c r="AA26" s="553"/>
      <c r="AB26" s="553"/>
      <c r="AC26" s="552"/>
      <c r="AD26" s="552"/>
      <c r="AE26" s="552"/>
      <c r="AF26" s="552"/>
      <c r="AG26" s="552"/>
      <c r="AH26" s="552"/>
      <c r="AI26" s="609"/>
      <c r="AJ26" s="970"/>
      <c r="AK26" s="553"/>
      <c r="AL26" s="553"/>
      <c r="AM26" s="553"/>
    </row>
    <row r="27" spans="1:39" s="554" customFormat="1" ht="15" customHeight="1" x14ac:dyDescent="0.2">
      <c r="A27" s="679"/>
      <c r="B27" s="690"/>
      <c r="C27" s="1632" t="s">
        <v>1594</v>
      </c>
      <c r="D27" s="1633"/>
      <c r="E27" s="1634"/>
      <c r="F27" s="1635">
        <f>IF(OR($D$20="",SUMIF(BDD!$HO$96:$IB$96,$F$17,BDD!$HO124:$IB124)=0),0,IF(VLOOKUP($D$17,parcelles!$B$55:$S$77,3)=0,"rendement nul dans cette région",IF($D$20=conventionnel,(SUMIF(BDD!$HO$96:$IB$96,$F$17,BDD!$HO124:$IB124)/VLOOKUP($D$17,parcelles!$B$55:$S$77,3)),(SUMIF(BDD!$HO$96:$IB$96,$F$17,BDD!$HO124:$IB124)/VLOOKUP($D$17,parcelles!$B$55:$S$77,3))*1.2)))</f>
        <v>0</v>
      </c>
      <c r="G27" s="1636"/>
      <c r="H27" s="1637"/>
      <c r="I27" s="1635">
        <f>SUMIF(parcelles!C94:C141,C27,parcelles!E94:E141)+SUMIF(parcelles!M94:M141,C27,parcelles!O94:O141)</f>
        <v>0</v>
      </c>
      <c r="J27" s="1637"/>
      <c r="K27" s="1072">
        <f>IF(F17="",0,IF(F27="rendement nul dans cette région",I27-IF(F27="rendement nul dans cette région",N27,F27),I27-F27))</f>
        <v>0</v>
      </c>
      <c r="L27" s="702"/>
      <c r="M27" s="742"/>
      <c r="N27" s="742" t="str">
        <f>IF(M27="","",IF(AND(M27&gt;0,F27="rendement nul dans cette région"),ROUNDUP(SUMIF(BDD!HO96:IB96,$F$17,BDD!HO101:IB102)/VLOOKUP($M27,parcelles!$B$55:$S$77,15,FALSE),0),""))</f>
        <v/>
      </c>
      <c r="O27" s="694"/>
      <c r="P27" s="552"/>
      <c r="Q27" s="552"/>
      <c r="R27" s="552"/>
      <c r="S27" s="552"/>
      <c r="T27" s="552"/>
      <c r="U27" s="552"/>
      <c r="V27" s="552"/>
      <c r="W27" s="552"/>
      <c r="X27" s="552"/>
      <c r="Y27" s="549"/>
      <c r="Z27" s="552"/>
      <c r="AA27" s="553"/>
      <c r="AB27" s="553"/>
      <c r="AC27" s="552"/>
      <c r="AD27" s="552"/>
      <c r="AE27" s="552"/>
      <c r="AF27" s="552"/>
      <c r="AG27" s="552"/>
      <c r="AH27" s="552"/>
      <c r="AI27" s="609"/>
      <c r="AJ27" s="970"/>
      <c r="AK27" s="553"/>
      <c r="AL27" s="553"/>
      <c r="AM27" s="553"/>
    </row>
    <row r="28" spans="1:39" s="554" customFormat="1" ht="15" customHeight="1" x14ac:dyDescent="0.2">
      <c r="A28" s="679"/>
      <c r="B28" s="661"/>
      <c r="C28" s="1626" t="s">
        <v>1440</v>
      </c>
      <c r="D28" s="1627"/>
      <c r="E28" s="1628"/>
      <c r="F28" s="1629">
        <f>IF(OR($D$20="",SUMIF(BDD!$HO$96:$IB$96,$F$17,BDD!$HO111:$IB111)=0),0,IF(VLOOKUP($D$17,parcelles!$B$55:$S$77,3)=0,"rendement nul dans cette région",IF($D$20=conventionnel,(SUMIF(BDD!$HO$96:$IB$96,$F$17,BDD!$HO111:$IB111)/VLOOKUP($D$17,parcelles!$B$55:$S$77,3)),(SUMIF(BDD!$HO$96:$IB$96,$F$17,BDD!$HO111:$IB111)/VLOOKUP($D$17,parcelles!$B$55:$S$77,3))*1.2)))</f>
        <v>0</v>
      </c>
      <c r="G28" s="1630"/>
      <c r="H28" s="1631"/>
      <c r="I28" s="1629">
        <f>IF(COUNTIF('pâtures et foin'!D25:BA25,C28)&lt;1,0,SUMIF('pâtures et foin'!D25:BA25,C28,'pâtures et foin'!D27:BA27))</f>
        <v>0</v>
      </c>
      <c r="J28" s="1631"/>
      <c r="K28" s="1071">
        <f>IF(F17="",0,IF(F28="rendement nul dans cette région",I28-IF(F28="rendement nul dans cette région",N28,F28),I28-F28))</f>
        <v>0</v>
      </c>
      <c r="L28" s="702"/>
      <c r="M28" s="741"/>
      <c r="N28" s="741"/>
      <c r="O28" s="694"/>
      <c r="P28" s="552"/>
      <c r="Q28" s="552"/>
      <c r="R28" s="552"/>
      <c r="S28" s="552"/>
      <c r="T28" s="552"/>
      <c r="U28" s="552"/>
      <c r="V28" s="552"/>
      <c r="W28" s="552"/>
      <c r="X28" s="552"/>
      <c r="Y28" s="549"/>
      <c r="Z28" s="552"/>
      <c r="AA28" s="553"/>
      <c r="AB28" s="553"/>
      <c r="AC28" s="552"/>
      <c r="AD28" s="552"/>
      <c r="AE28" s="552"/>
      <c r="AF28" s="552"/>
      <c r="AG28" s="552"/>
      <c r="AH28" s="552"/>
      <c r="AI28" s="609"/>
      <c r="AJ28" s="970"/>
      <c r="AK28" s="553"/>
      <c r="AL28" s="553"/>
      <c r="AM28" s="553"/>
    </row>
    <row r="29" spans="1:39" s="554" customFormat="1" ht="15" customHeight="1" x14ac:dyDescent="0.2">
      <c r="A29" s="679"/>
      <c r="B29" s="661"/>
      <c r="C29" s="1655" t="s">
        <v>1592</v>
      </c>
      <c r="D29" s="1656"/>
      <c r="E29" s="1657"/>
      <c r="F29" s="1635">
        <f>IF(OR($D$20="",SUMIF(BDD!$HO$96:$IB$96,$F$17,BDD!$HO107:$IB107)=0),0,IF(VLOOKUP($D$17,parcelles!$B$55:$S$77,3)=0,"rendement nul dans cette région",IF($D$20=conventionnel,(SUMIF(BDD!$HO$96:$IB$96,$F$17,BDD!$HO107:$IB107)/VLOOKUP($D$17,parcelles!$B$55:$S$77,3)),(SUMIF(BDD!$HO$96:$IB$96,$F$17,BDD!$HO107:$IB107)/VLOOKUP($D$17,parcelles!$B$55:$S$77,3))*1.2)))</f>
        <v>0</v>
      </c>
      <c r="G29" s="1636"/>
      <c r="H29" s="1637"/>
      <c r="I29" s="1635">
        <f>SUMIF(parcelles!C94:C141,C29,parcelles!E94:E141)+SUMIF(parcelles!M94:M141,C29,parcelles!O94:O141)</f>
        <v>0</v>
      </c>
      <c r="J29" s="1637"/>
      <c r="K29" s="1072">
        <f>IF(F17="",0,IF(F29="rendement nul dans cette région",I29-IF(F29="rendement nul dans cette région",N29,F29),I29-F29))</f>
        <v>0</v>
      </c>
      <c r="L29" s="702"/>
      <c r="M29" s="741"/>
      <c r="N29" s="741"/>
      <c r="O29" s="694"/>
      <c r="P29" s="552"/>
      <c r="Q29" s="552"/>
      <c r="R29" s="552"/>
      <c r="S29" s="552"/>
      <c r="T29" s="552"/>
      <c r="U29" s="552"/>
      <c r="V29" s="552"/>
      <c r="W29" s="552"/>
      <c r="X29" s="552"/>
      <c r="Y29" s="549"/>
      <c r="Z29" s="552"/>
      <c r="AA29" s="553"/>
      <c r="AB29" s="553"/>
      <c r="AC29" s="552"/>
      <c r="AD29" s="552"/>
      <c r="AE29" s="552"/>
      <c r="AF29" s="552"/>
      <c r="AG29" s="552"/>
      <c r="AH29" s="552"/>
      <c r="AI29" s="609"/>
      <c r="AJ29" s="970"/>
      <c r="AK29" s="553"/>
      <c r="AL29" s="553"/>
      <c r="AM29" s="553"/>
    </row>
    <row r="30" spans="1:39" s="554" customFormat="1" ht="15" customHeight="1" x14ac:dyDescent="0.2">
      <c r="A30" s="679"/>
      <c r="B30" s="690"/>
      <c r="C30" s="1626" t="s">
        <v>1595</v>
      </c>
      <c r="D30" s="1627"/>
      <c r="E30" s="1628"/>
      <c r="F30" s="1629">
        <f>IF(OR($D$20="",SUMIF(BDD!$HO$96:$IB$96,$F$17,BDD!$HO114:$IB114)=0),0,IF(VLOOKUP($D$17,parcelles!$B$55:$S$77,3)=0,"rendement nul dans cette région",IF($D$20=conventionnel,(SUMIF(BDD!$HO$96:$IB$96,$F$17,BDD!$HO114:$IB114)/VLOOKUP($D$17,parcelles!$B$55:$S$77,3)),(SUMIF(BDD!$HO$96:$IB$96,$F$17,BDD!$HO114:$IB114)/VLOOKUP($D$17,parcelles!$B$55:$S$77,3))*1.2)))</f>
        <v>0</v>
      </c>
      <c r="G30" s="1630"/>
      <c r="H30" s="1631"/>
      <c r="I30" s="1629">
        <f>SUMIF(parcelles!C94:C141,C30,parcelles!E94:E141)+SUMIF(parcelles!M94:M141,C30,parcelles!O94:O141)</f>
        <v>0</v>
      </c>
      <c r="J30" s="1631"/>
      <c r="K30" s="1071">
        <f>IF(F17="",0,IF(F30="rendement nul dans cette région",I30-IF(F30="rendement nul dans cette région",N30,F30),I30-F30))</f>
        <v>0</v>
      </c>
      <c r="L30" s="702"/>
      <c r="M30" s="742"/>
      <c r="N30" s="742" t="str">
        <f>IF(M30="","",IF(AND(M30&gt;0,F30="rendement nul dans cette région"),ROUNDUP(SUMIF(BDD!HO96:IB96,$F$17,BDD!HO104:IB105)/VLOOKUP($M30,parcelles!$B$55:$S$77,9,FALSE),0),""))</f>
        <v/>
      </c>
      <c r="O30" s="694"/>
      <c r="P30" s="552"/>
      <c r="Q30" s="552"/>
      <c r="R30" s="552"/>
      <c r="S30" s="552"/>
      <c r="T30" s="552"/>
      <c r="U30" s="552"/>
      <c r="V30" s="552"/>
      <c r="W30" s="552"/>
      <c r="X30" s="552"/>
      <c r="Y30" s="549"/>
      <c r="Z30" s="552"/>
      <c r="AA30" s="553"/>
      <c r="AB30" s="553"/>
      <c r="AC30" s="552"/>
      <c r="AD30" s="552"/>
      <c r="AE30" s="552"/>
      <c r="AF30" s="552"/>
      <c r="AG30" s="552"/>
      <c r="AH30" s="552"/>
      <c r="AI30" s="609"/>
      <c r="AJ30" s="970"/>
      <c r="AK30" s="553"/>
      <c r="AL30" s="553"/>
      <c r="AM30" s="553"/>
    </row>
    <row r="31" spans="1:39" s="554" customFormat="1" ht="15" customHeight="1" x14ac:dyDescent="0.2">
      <c r="A31" s="679"/>
      <c r="B31" s="1650" t="str">
        <f>B23</f>
        <v>OU</v>
      </c>
      <c r="C31" s="1632" t="s">
        <v>1596</v>
      </c>
      <c r="D31" s="1633"/>
      <c r="E31" s="1634"/>
      <c r="F31" s="1635">
        <f>IF(OR($D$20="",SUMIF(BDD!$HO$96:$IB$96,$F$17,BDD!$HO$97:$IB$97)=0),0,IF(VLOOKUP($D$17,parcelles!$B$55:$S$77,3)=0,"rendement nul dans cette région",IF($D$20=conventionnel,(SUMIF(BDD!$HO$96:$IB$96,$F$17,BDD!$HO$97:$IB$97)/VLOOKUP($D$17,parcelles!$B$55:$S$77,3)),(SUMIF(BDD!$HO$96:$IB$96,$F$17,BDD!$HO$97:$IB$97)/VLOOKUP($D$17,parcelles!$B$55:$S$77,3))*1.2)))</f>
        <v>0</v>
      </c>
      <c r="G31" s="1636"/>
      <c r="H31" s="1637"/>
      <c r="I31" s="1635">
        <f>SUMIF(parcelles!C94:C141,C31,parcelles!E94:E141)+SUMIF(parcelles!M94:M141,C31,parcelles!O94:O141)</f>
        <v>0</v>
      </c>
      <c r="J31" s="1637"/>
      <c r="K31" s="1661">
        <f>IF(AND(I31=IF(F31="rendement nul dans cette région",N31,F31),I32&gt;0),I32,IF(AND(I31&gt;0,I32=IF(F32="rendement nul dans cette région",N32,F32)),I23,(-((IF(F31="rendement nul dans cette région",N31,F31)+IF(F32="rendement nul dans cette région",N32,F32))/2-($I$31+$I$32)))))</f>
        <v>0</v>
      </c>
      <c r="L31" s="702"/>
      <c r="M31" s="742"/>
      <c r="N31" s="742" t="str">
        <f>IF(M31="","",IF(AND(M31&gt;0,F31="rendement nul dans cette région"),ROUNDUP(SUMIF(BDD!HO96:IB96,$F$17,BDD!HO105:IB106)/VLOOKUP($M31,parcelles!$B$55:$S$77,5,FALSE),0),""))</f>
        <v/>
      </c>
      <c r="O31" s="694"/>
      <c r="P31" s="552"/>
      <c r="Q31" s="552"/>
      <c r="R31" s="552"/>
      <c r="S31" s="552"/>
      <c r="T31" s="552"/>
      <c r="U31" s="552"/>
      <c r="V31" s="552"/>
      <c r="W31" s="552"/>
      <c r="X31" s="552"/>
      <c r="Y31" s="548"/>
      <c r="Z31" s="552"/>
      <c r="AA31" s="553"/>
      <c r="AB31" s="553"/>
      <c r="AC31" s="552"/>
      <c r="AD31" s="552"/>
      <c r="AE31" s="552"/>
      <c r="AF31" s="552"/>
      <c r="AG31" s="552"/>
      <c r="AH31" s="552"/>
      <c r="AI31" s="608"/>
      <c r="AJ31" s="970"/>
      <c r="AK31" s="553"/>
      <c r="AL31" s="553"/>
      <c r="AM31" s="553"/>
    </row>
    <row r="32" spans="1:39" s="554" customFormat="1" ht="15" customHeight="1" x14ac:dyDescent="0.2">
      <c r="A32" s="679"/>
      <c r="B32" s="1651"/>
      <c r="C32" s="1632" t="s">
        <v>1597</v>
      </c>
      <c r="D32" s="1633"/>
      <c r="E32" s="1634"/>
      <c r="F32" s="1635">
        <f>IF(OR($D$20="",SUMIF(BDD!$HO$96:$IB$96,$F$17,BDD!$HO$97:$IB$97)=0),0,IF(VLOOKUP($D$17,parcelles!$B$55:$S$77,3)=0,"rendement nul dans cette région",IF($D$20=conventionnel,(SUMIF(BDD!$HO$96:$IB$96,$F$17,BDD!$HO$97:$IB$97)/VLOOKUP($D$17,parcelles!$B$55:$S$77,3)),(SUMIF(BDD!$HO$96:$IB$96,$F$17,BDD!$HO$97:$IB$97)/VLOOKUP($D$17,parcelles!$B$55:$S$77,3))*1.2)))</f>
        <v>0</v>
      </c>
      <c r="G32" s="1636"/>
      <c r="H32" s="1637"/>
      <c r="I32" s="1635">
        <f>SUMIF(parcelles!C94:C141,C32,parcelles!E94:E141)+SUMIF(parcelles!M94:M141,C32,parcelles!O94:O141)</f>
        <v>0</v>
      </c>
      <c r="J32" s="1637"/>
      <c r="K32" s="1661"/>
      <c r="L32" s="702"/>
      <c r="M32" s="742"/>
      <c r="N32" s="742" t="str">
        <f>IF(M32="","",IF(AND(M32&gt;0,F32="rendement nul dans cette région"),ROUNDUP(SUMIF(BDD!HO96:IB96,$F$17,BDD!HO106:IB107)/VLOOKUP($M32,parcelles!$B$55:$S$77,6,FALSE),0),""))</f>
        <v/>
      </c>
      <c r="O32" s="694"/>
      <c r="P32" s="552"/>
      <c r="Q32" s="552"/>
      <c r="R32" s="552"/>
      <c r="S32" s="552"/>
      <c r="T32" s="552"/>
      <c r="U32" s="552"/>
      <c r="V32" s="552"/>
      <c r="W32" s="552"/>
      <c r="X32" s="552"/>
      <c r="Y32" s="548"/>
      <c r="Z32" s="552"/>
      <c r="AA32" s="553"/>
      <c r="AB32" s="553"/>
      <c r="AC32" s="552"/>
      <c r="AD32" s="552"/>
      <c r="AE32" s="552"/>
      <c r="AF32" s="552"/>
      <c r="AG32" s="552"/>
      <c r="AH32" s="552"/>
      <c r="AI32" s="608"/>
      <c r="AJ32" s="970"/>
      <c r="AK32" s="553"/>
      <c r="AL32" s="553"/>
      <c r="AM32" s="553"/>
    </row>
    <row r="33" spans="1:40" s="554" customFormat="1" ht="15" customHeight="1" x14ac:dyDescent="0.2">
      <c r="A33" s="679"/>
      <c r="B33" s="661"/>
      <c r="C33" s="1626" t="s">
        <v>1598</v>
      </c>
      <c r="D33" s="1627"/>
      <c r="E33" s="1628"/>
      <c r="F33" s="1629">
        <f>IF(OR($D$20="",SUMIF(BDD!$HO$96:$IB$96,$F$17,BDD!$HO119:$IB119)=0),0,IF(VLOOKUP($D$17,parcelles!$B$55:$S$77,3)=0,"rendement nul dans cette région",IF($D$20=conventionnel,(SUMIF(BDD!$HO$96:$IB$96,$F$17,BDD!$HO119:$IB119)/VLOOKUP($D$17,parcelles!$B$55:$S$77,3)),(SUMIF(BDD!$HO$96:$IB$96,$F$17,BDD!$HO119:$IB119)/VLOOKUP($D$17,parcelles!$B$55:$S$77,3))*1.2)))</f>
        <v>0</v>
      </c>
      <c r="G33" s="1630"/>
      <c r="H33" s="1631"/>
      <c r="I33" s="1629">
        <f>SUMIF(parcelles!C94:C141,C33,parcelles!E94:E141)+SUMIF(parcelles!M94:M141,C33,parcelles!O94:O141)</f>
        <v>0</v>
      </c>
      <c r="J33" s="1631"/>
      <c r="K33" s="1071">
        <f>IF(F17="",0,IF(F33="rendement nul dans cette région",I33-IF(F33="rendement nul dans cette région",N33,F33),I33-F33))</f>
        <v>0</v>
      </c>
      <c r="L33" s="702"/>
      <c r="M33" s="742"/>
      <c r="N33" s="742" t="str">
        <f>IF(M33="","",IF(AND(M33&gt;0,F33="rendement nul dans cette région"),ROUNDUP(SUMIF(BDD!HO96:IB96,$F$17,BDD!HO107:IB108)/VLOOKUP($M33,parcelles!$B$55:$S$77,13,FALSE),0),""))</f>
        <v/>
      </c>
      <c r="O33" s="694"/>
      <c r="P33" s="552"/>
      <c r="Q33" s="552"/>
      <c r="R33" s="552"/>
      <c r="S33" s="552"/>
      <c r="T33" s="552"/>
      <c r="U33" s="552"/>
      <c r="V33" s="552"/>
      <c r="W33" s="552"/>
      <c r="X33" s="552"/>
      <c r="Y33" s="548"/>
      <c r="Z33" s="552"/>
      <c r="AA33" s="553"/>
      <c r="AB33" s="553"/>
      <c r="AC33" s="552"/>
      <c r="AD33" s="552"/>
      <c r="AE33" s="552"/>
      <c r="AF33" s="552"/>
      <c r="AG33" s="552"/>
      <c r="AH33" s="552"/>
      <c r="AI33" s="608"/>
      <c r="AJ33" s="970"/>
      <c r="AK33" s="553"/>
      <c r="AL33" s="553"/>
      <c r="AM33" s="553"/>
    </row>
    <row r="34" spans="1:40" s="554" customFormat="1" ht="15" customHeight="1" x14ac:dyDescent="0.2">
      <c r="A34" s="679"/>
      <c r="B34" s="661"/>
      <c r="C34" s="1632" t="s">
        <v>1599</v>
      </c>
      <c r="D34" s="1633"/>
      <c r="E34" s="1634"/>
      <c r="F34" s="1635">
        <f>IF(OR($D$20="",SUMIF(BDD!$HO$96:$IB$96,$F$17,BDD!$HO98:$IB98)=0),0,IF(VLOOKUP($D$17,parcelles!$B$55:$S$77,3)=0,"rendement nul dans cette région",IF($D$20=conventionnel,(SUMIF(BDD!$HO$96:$IB$96,$F$17,BDD!$HO98:$IB98)/VLOOKUP($D$17,parcelles!$B$55:$S$77,3)),(SUMIF(BDD!$HO$96:$IB$96,$F$17,BDD!$HO98:$IB98)/VLOOKUP($D$17,parcelles!$B$55:$S$77,3))*1.2)))</f>
        <v>0</v>
      </c>
      <c r="G34" s="1636"/>
      <c r="H34" s="1637"/>
      <c r="I34" s="1635">
        <f>SUMIF(parcelles!C94:C141,C34,parcelles!E94:E141)+SUMIF(parcelles!M94:M141,C34,parcelles!O94:O141)</f>
        <v>0</v>
      </c>
      <c r="J34" s="1637"/>
      <c r="K34" s="1071">
        <f>IF(F17="",0,IF(F34="rendement nul dans cette région",I34-IF(N34="",0,IF(F34="rendement nul dans cette région",N34,F34)),I34-F34))</f>
        <v>0</v>
      </c>
      <c r="L34" s="702"/>
      <c r="M34" s="742"/>
      <c r="N34" s="742" t="str">
        <f>IF(M34="","",IF(AND(M34&gt;0,F34="rendement nul dans cette région"),ROUNDUP(SUMIF(BDD!HO96:IB96,$F$17,BDD!HO108:IB109)/VLOOKUP($M34,parcelles!$B$55:$S$77,10,FALSE),0),""))</f>
        <v/>
      </c>
      <c r="O34" s="694"/>
      <c r="P34" s="552"/>
      <c r="Q34" s="552"/>
      <c r="R34" s="552"/>
      <c r="S34" s="552"/>
      <c r="T34" s="552"/>
      <c r="U34" s="552"/>
      <c r="V34" s="552"/>
      <c r="W34" s="552"/>
      <c r="X34" s="552"/>
      <c r="Y34" s="548"/>
      <c r="Z34" s="552"/>
      <c r="AA34" s="553"/>
      <c r="AB34" s="553"/>
      <c r="AC34" s="552"/>
      <c r="AD34" s="552"/>
      <c r="AE34" s="552"/>
      <c r="AF34" s="552"/>
      <c r="AG34" s="552"/>
      <c r="AH34" s="552"/>
      <c r="AI34" s="608"/>
      <c r="AJ34" s="970"/>
      <c r="AK34" s="553"/>
      <c r="AL34" s="553"/>
      <c r="AM34" s="553"/>
    </row>
    <row r="35" spans="1:40" s="554" customFormat="1" ht="15" customHeight="1" x14ac:dyDescent="0.2">
      <c r="A35" s="679"/>
      <c r="B35" s="688"/>
      <c r="C35" s="1658" t="s">
        <v>576</v>
      </c>
      <c r="D35" s="1659"/>
      <c r="E35" s="1660"/>
      <c r="F35" s="1629">
        <f>IF(OR($D$20="",SUMIF(BDD!$HO$96:$IB$96,$F$17,BDD!$HO118:$IB118)=0),0,IF(VLOOKUP($D$17,parcelles!$B$55:$S$77,3)=0,"rendement nul dans cette région",IF(AND($D$20=conventionnel,SUMIF(BDD!$HO$96:$IB$96,$F$17,BDD!$HO118:$IB118)/7&lt;=SUM(F23+F25+F26+F33+F39)),"0ha car déjà couverts par les cultures à paille",IF(AND($D$20=conventionnel,SUMIF(BDD!$HO$96:$IB$96,$F$17,BDD!$HO118:$IB118)/7&gt;SUM(F23+F25+F26+F33+F39)),SUMIF(BDD!$HO$96:$IB$96,$F$17,BDD!$HO118:$IB118)/7-SUM(F23+F25+F26+F33+F39),IF(AND($D$20=bio,SUMIF(BDD!$HO$96:$IB$96,$F$17,BDD!$HO118:$IB118)/7&lt;=SUM(F23+F25+F26+F33+F39)),"0ha car déjà couverts par les cultures à paille",IF(AND($D$20=bio,SUMIF(BDD!$HO$96:$IB$96,$F$17,BDD!$HO118:$IB118)/7&gt;SUM(F23+F25+F26+F33+F39)),SUMIF(BDD!$HO$96:$IB$96,$F$17,BDD!$HO118:$IB118)/7-SUM(F23+F25+F26+F33+F39)*1.2))))))</f>
        <v>0</v>
      </c>
      <c r="G35" s="1630"/>
      <c r="H35" s="1631"/>
      <c r="I35" s="1629">
        <f>I39+I33+I26+I31+I32+I23+I24+I25</f>
        <v>0</v>
      </c>
      <c r="J35" s="1631"/>
      <c r="K35" s="1071">
        <f>IF(F17="",0,IF(F35="rendement nul dans cette région",I35-IF(F35="rendement nul dans cette région",N35,F35),IF(F35="0ha car déjà couverts par les cultures à paille",I35,I35-F35)))</f>
        <v>0</v>
      </c>
      <c r="L35" s="702"/>
      <c r="M35" s="741"/>
      <c r="N35" s="741"/>
      <c r="O35" s="694"/>
      <c r="P35" s="552"/>
      <c r="Q35" s="552"/>
      <c r="R35" s="552"/>
      <c r="S35" s="552"/>
      <c r="T35" s="552"/>
      <c r="U35" s="552"/>
      <c r="V35" s="552"/>
      <c r="W35" s="552"/>
      <c r="X35" s="552"/>
      <c r="Y35" s="548"/>
      <c r="Z35" s="552"/>
      <c r="AA35" s="553"/>
      <c r="AB35" s="553"/>
      <c r="AC35" s="552"/>
      <c r="AD35" s="552"/>
      <c r="AE35" s="552"/>
      <c r="AF35" s="552"/>
      <c r="AG35" s="552"/>
      <c r="AH35" s="552"/>
      <c r="AI35" s="608"/>
      <c r="AJ35" s="970"/>
      <c r="AK35" s="553"/>
      <c r="AL35" s="553"/>
      <c r="AM35" s="553"/>
    </row>
    <row r="36" spans="1:40" s="554" customFormat="1" ht="15" customHeight="1" x14ac:dyDescent="0.2">
      <c r="A36" s="679"/>
      <c r="B36" s="689"/>
      <c r="C36" s="1632" t="s">
        <v>1600</v>
      </c>
      <c r="D36" s="1633"/>
      <c r="E36" s="1634"/>
      <c r="F36" s="1635">
        <f>IF(OR($D$20="",SUMIF(BDD!$HO$96:$IB$96,$F$17,BDD!$HO115:$IB115)=0),0,IF(VLOOKUP($D$17,parcelles!$B$55:$S$77,3)=0,"rendement nul dans cette région",IF($D$20=conventionnel,(SUMIF(BDD!$HO$96:$IB$96,$F$17,BDD!$HO115:$IB115)/VLOOKUP($D$17,parcelles!$B$55:$S$77,3)),(SUMIF(BDD!$HO$96:$IB$96,$F$17,BDD!$HO115:$IB115)/VLOOKUP($D$17,parcelles!$B$55:$S$77,3))*1.2)))</f>
        <v>0</v>
      </c>
      <c r="G36" s="1636"/>
      <c r="H36" s="1636"/>
      <c r="I36" s="1635">
        <f>SUMIF(parcelles!C94:C141,C36,parcelles!E94:E141)+SUMIF(parcelles!M94:M141,C36,parcelles!O94:O141)</f>
        <v>0</v>
      </c>
      <c r="J36" s="1637"/>
      <c r="K36" s="1072">
        <f>IF(F17="",0,IF(F36="rendement nul dans cette région",I36-IF(F36="rendement nul dans cette région",N36,F36),I36-F36))</f>
        <v>0</v>
      </c>
      <c r="L36" s="702"/>
      <c r="M36" s="742"/>
      <c r="N36" s="742" t="str">
        <f>IF(M36="","",IF(AND(M36&gt;0,F36="rendement nul dans cette région"),ROUNDUP(SUMIF(BDD!HO96:IB96,$F$17,BDD!HO110:IB111)/VLOOKUP($M36,parcelles!$B$55:$S$77,8,FALSE),0),""))</f>
        <v/>
      </c>
      <c r="O36" s="694"/>
      <c r="P36" s="552"/>
      <c r="Q36" s="552"/>
      <c r="R36" s="552"/>
      <c r="S36" s="552"/>
      <c r="T36" s="552"/>
      <c r="U36" s="552"/>
      <c r="V36" s="552"/>
      <c r="W36" s="552"/>
      <c r="X36" s="552"/>
      <c r="Y36" s="548"/>
      <c r="Z36" s="552"/>
      <c r="AA36" s="553"/>
      <c r="AB36" s="553"/>
      <c r="AC36" s="552"/>
      <c r="AD36" s="552"/>
      <c r="AE36" s="552"/>
      <c r="AF36" s="552"/>
      <c r="AG36" s="552"/>
      <c r="AH36" s="552"/>
      <c r="AI36" s="608"/>
      <c r="AJ36" s="970"/>
      <c r="AK36" s="553"/>
      <c r="AL36" s="553"/>
      <c r="AM36" s="553"/>
    </row>
    <row r="37" spans="1:40" s="554" customFormat="1" ht="15" customHeight="1" x14ac:dyDescent="0.2">
      <c r="A37" s="679"/>
      <c r="B37" s="689"/>
      <c r="C37" s="1665" t="s">
        <v>1442</v>
      </c>
      <c r="D37" s="1666"/>
      <c r="E37" s="1667"/>
      <c r="F37" s="1668" t="str">
        <f>IF(AND(SUM(animaux!C28:C41)=0,SUM(animaux!C215:C228)=0),'pâtures et foin'!C20&amp;"ha dont 0ha boisés",'pâtures et foin'!C20&amp;"ha dont "&amp;SUM(animaux!C28:C41)+SUM(animaux!C215:C228)&amp;"ha boisés")</f>
        <v>0ha dont 0ha boisés</v>
      </c>
      <c r="G37" s="1669"/>
      <c r="H37" s="1669"/>
      <c r="I37" s="1670" t="str">
        <f>IF(AND('pâtures et foin'!C15="N.C.",'pâtures et foin'!C16="N.C."),SUMIF('pâtures et foin'!D25:BA25,C37,'pâtures et foin'!D27:BA27)&amp;" ha dont 0ha boisés",SUMIF('pâtures et foin'!D25:BA25,C37,'pâtures et foin'!D27:BA27)&amp;" ha dont "&amp;IF('pâtures et foin'!C15="N.C.",'pâtures et foin'!C16&amp;"ha boisés",IF('pâtures et foin'!C16="N.C.",'pâtures et foin'!C15&amp;"ha boisés",'pâtures et foin'!C15+'pâtures et foin'!C16&amp;"ha boisés")))</f>
        <v>0 ha dont 0ha boisés</v>
      </c>
      <c r="J37" s="1671"/>
      <c r="K37" s="1070"/>
      <c r="L37" s="702"/>
      <c r="M37" s="741"/>
      <c r="N37" s="741"/>
      <c r="O37" s="694"/>
      <c r="P37" s="552"/>
      <c r="Q37" s="552"/>
      <c r="R37" s="552"/>
      <c r="S37" s="552"/>
      <c r="T37" s="552"/>
      <c r="U37" s="552"/>
      <c r="V37" s="552"/>
      <c r="W37" s="552"/>
      <c r="X37" s="552"/>
      <c r="Y37" s="548"/>
      <c r="Z37" s="552"/>
      <c r="AA37" s="553"/>
      <c r="AB37" s="553"/>
      <c r="AC37" s="552"/>
      <c r="AD37" s="552"/>
      <c r="AE37" s="552"/>
      <c r="AF37" s="552"/>
      <c r="AG37" s="552"/>
      <c r="AH37" s="552"/>
      <c r="AI37" s="608"/>
      <c r="AJ37" s="970"/>
      <c r="AK37" s="553"/>
      <c r="AL37" s="553"/>
      <c r="AM37" s="553"/>
    </row>
    <row r="38" spans="1:40" s="554" customFormat="1" ht="15" customHeight="1" x14ac:dyDescent="0.2">
      <c r="A38" s="679"/>
      <c r="B38" s="689"/>
      <c r="C38" s="1655" t="s">
        <v>1601</v>
      </c>
      <c r="D38" s="1656"/>
      <c r="E38" s="1657"/>
      <c r="F38" s="1635">
        <f>IF(OR($D$20="",SUMIF(BDD!$HO$96:$IB$96,$F$17,BDD!$HO123:$IB123)=0),0,IF(VLOOKUP($D$17,parcelles!$B$55:$S$77,3)=0,"rendement nul dans cette région",IF($D$20=conventionnel,(SUMIF(BDD!$HO$96:$IB$96,$F$17,BDD!$HO123:$IB123)/VLOOKUP($D$17,parcelles!$B$55:$S$77,3)),(SUMIF(BDD!$HO$96:$IB$96,$F$17,BDD!$HO123:$IB123)/VLOOKUP($D$17,parcelles!$B$55:$S$77,3))*1.2)))</f>
        <v>0</v>
      </c>
      <c r="G38" s="1636"/>
      <c r="H38" s="1636"/>
      <c r="I38" s="1635">
        <f>SUMIF(parcelles!C94:C141,C38,parcelles!E94:E141)+SUMIF(parcelles!M94:M141,C38,parcelles!O94:O141)</f>
        <v>0</v>
      </c>
      <c r="J38" s="1637"/>
      <c r="K38" s="1072">
        <f>IF(F17="",0,IF(F38="rendement nul dans cette région",I38-IF(F38="rendement nul dans cette région",N38,F38),I38-F38))</f>
        <v>0</v>
      </c>
      <c r="L38" s="702"/>
      <c r="M38" s="742"/>
      <c r="N38" s="742" t="str">
        <f>IF(M38="","",IF(AND(M38&gt;0,F38="rendement nul dans cette région"),ROUNDUP(SUMIF(BDD!HO96:IB96,$F$17,BDD!HO112:IB113)/VLOOKUP($M38,parcelles!$B$55:$S$77,19,FALSE),0),""))</f>
        <v/>
      </c>
      <c r="O38" s="694"/>
      <c r="P38" s="552"/>
      <c r="Q38" s="552"/>
      <c r="R38" s="552"/>
      <c r="S38" s="552"/>
      <c r="T38" s="552"/>
      <c r="U38" s="552"/>
      <c r="V38" s="552"/>
      <c r="W38" s="552"/>
      <c r="X38" s="552"/>
      <c r="Y38" s="548"/>
      <c r="Z38" s="552"/>
      <c r="AA38" s="553"/>
      <c r="AB38" s="553"/>
      <c r="AC38" s="552"/>
      <c r="AD38" s="552"/>
      <c r="AE38" s="552"/>
      <c r="AF38" s="552"/>
      <c r="AG38" s="552"/>
      <c r="AH38" s="552"/>
      <c r="AI38" s="608"/>
      <c r="AJ38" s="970"/>
      <c r="AK38" s="553"/>
      <c r="AL38" s="553"/>
      <c r="AM38" s="553"/>
    </row>
    <row r="39" spans="1:40" s="554" customFormat="1" ht="15" customHeight="1" x14ac:dyDescent="0.2">
      <c r="A39" s="679"/>
      <c r="B39" s="689"/>
      <c r="C39" s="1662" t="s">
        <v>1895</v>
      </c>
      <c r="D39" s="1663"/>
      <c r="E39" s="1664"/>
      <c r="F39" s="1629">
        <f>IF(OR($D$20="",SUMIF(BDD!$HO$96:$IB$96,$F$17,BDD!$HO110:$IB110)=0),0,IF(VLOOKUP($D$17,parcelles!$B$55:$S$77,3)=0,"rendement nul dans cette région",IF($D$20=conventionnel,(SUMIF(BDD!$HO$96:$IB$96,$F$17,BDD!$HO110:$IB110)/VLOOKUP($D$17,parcelles!$B$55:$S$77,3)),(SUMIF(BDD!$HO$96:$IB$96,$F$17,BDD!$HO110:$IB110)/VLOOKUP($D$17,parcelles!$B$55:$S$77,3))*1.2)))</f>
        <v>0</v>
      </c>
      <c r="G39" s="1630"/>
      <c r="H39" s="1630"/>
      <c r="I39" s="1629">
        <f>SUMIF(parcelles!C94:C141,C39,parcelles!E94:E141)+SUMIF(parcelles!M94:M141,C39,parcelles!O94:O141)</f>
        <v>0</v>
      </c>
      <c r="J39" s="1631"/>
      <c r="K39" s="1071">
        <f>IF(F17="",0,IF(F39="rendement nul dans cette région",I39-IF(F39="rendement nul dans cette région",N39,F39),I39-F39))</f>
        <v>0</v>
      </c>
      <c r="L39" s="702"/>
      <c r="M39" s="742"/>
      <c r="N39" s="742" t="str">
        <f>IF(M39="","",IF(AND(M39&gt;0,F39="rendement nul dans cette région"),ROUNDUP(SUMIF(BDD!HO96:IB96,$F$17,BDD!HO113:IB114)/VLOOKUP($M39,parcelles!$B$55:$S$77,14,FALSE),0),""))</f>
        <v/>
      </c>
      <c r="O39" s="694"/>
      <c r="P39" s="552"/>
      <c r="Q39" s="552"/>
      <c r="R39" s="552"/>
      <c r="S39" s="552"/>
      <c r="T39" s="552"/>
      <c r="U39" s="552"/>
      <c r="V39" s="552"/>
      <c r="W39" s="552"/>
      <c r="X39" s="552"/>
      <c r="Y39" s="548"/>
      <c r="Z39" s="552"/>
      <c r="AA39" s="553"/>
      <c r="AB39" s="553"/>
      <c r="AC39" s="552"/>
      <c r="AD39" s="552"/>
      <c r="AE39" s="552"/>
      <c r="AF39" s="552"/>
      <c r="AG39" s="552"/>
      <c r="AH39" s="552"/>
      <c r="AI39" s="608"/>
      <c r="AJ39" s="970"/>
      <c r="AK39" s="553"/>
      <c r="AL39" s="553"/>
      <c r="AM39" s="553"/>
    </row>
    <row r="40" spans="1:40" s="554" customFormat="1" ht="15" customHeight="1" x14ac:dyDescent="0.2">
      <c r="A40" s="679"/>
      <c r="B40" s="689"/>
      <c r="C40" s="1665" t="s">
        <v>190</v>
      </c>
      <c r="D40" s="1666"/>
      <c r="E40" s="1667"/>
      <c r="F40" s="1635">
        <f>IF(OR($D$20="",SUMIF(BDD!$HO$96:$IB$96,$F$17,BDD!$HO100:$IB100)=0),0,IF(VLOOKUP($D$17,parcelles!$B$55:$S$77,3)=0,"rendement nul dans cette région",IF($D$20=conventionnel,(SUMIF(BDD!$HO$96:$IB$96,$F$17,BDD!$HO100:$IB100)/VLOOKUP($D$17,parcelles!$B$55:$S$77,3)),(SUMIF(BDD!$HO$96:$IB$96,$F$17,BDD!$HO100:$IB100)/VLOOKUP($D$17,parcelles!$B$55:$S$77,3))*1.2)))</f>
        <v>0</v>
      </c>
      <c r="G40" s="1636"/>
      <c r="H40" s="1636"/>
      <c r="I40" s="1635">
        <f>SUMIF(parcelles!C94:C141,C40,parcelles!E94:E141)+SUMIF(parcelles!M94:M141,C40,parcelles!O94:O141)</f>
        <v>0</v>
      </c>
      <c r="J40" s="1637"/>
      <c r="K40" s="1072">
        <f>IF(F17="",0,IF(F40="rendement nul dans cette région",I40-IF(F40="rendement nul dans cette région",N40,F40),I40-F40))</f>
        <v>0</v>
      </c>
      <c r="L40" s="702"/>
      <c r="M40" s="741"/>
      <c r="N40" s="741"/>
      <c r="O40" s="694"/>
      <c r="P40" s="552"/>
      <c r="Q40" s="552"/>
      <c r="R40" s="552"/>
      <c r="S40" s="552"/>
      <c r="T40" s="552"/>
      <c r="U40" s="552"/>
      <c r="V40" s="552"/>
      <c r="W40" s="552"/>
      <c r="X40" s="552"/>
      <c r="Y40" s="548"/>
      <c r="Z40" s="552"/>
      <c r="AA40" s="553"/>
      <c r="AB40" s="553"/>
      <c r="AC40" s="552"/>
      <c r="AD40" s="552"/>
      <c r="AE40" s="552"/>
      <c r="AF40" s="552"/>
      <c r="AG40" s="552"/>
      <c r="AH40" s="552"/>
      <c r="AI40" s="608"/>
      <c r="AJ40" s="970"/>
      <c r="AK40" s="553"/>
      <c r="AL40" s="553"/>
      <c r="AM40" s="553"/>
    </row>
    <row r="41" spans="1:40" s="554" customFormat="1" ht="15" customHeight="1" x14ac:dyDescent="0.2">
      <c r="A41" s="679"/>
      <c r="B41" s="666"/>
      <c r="C41" s="1662" t="s">
        <v>1396</v>
      </c>
      <c r="D41" s="1663"/>
      <c r="E41" s="1664"/>
      <c r="F41" s="1629">
        <f>SUM(F23:H34)+SUM(F36:H40)</f>
        <v>0</v>
      </c>
      <c r="G41" s="1630"/>
      <c r="H41" s="1630"/>
      <c r="I41" s="1629">
        <f>SUM(I23:J34)+SUM(I36:J40)</f>
        <v>0</v>
      </c>
      <c r="J41" s="1631"/>
      <c r="K41" s="661"/>
      <c r="L41" s="661"/>
      <c r="M41" s="662"/>
      <c r="N41" s="662"/>
      <c r="O41" s="691"/>
      <c r="P41" s="552"/>
      <c r="Q41" s="552"/>
      <c r="R41" s="552"/>
      <c r="S41" s="552"/>
      <c r="T41" s="552"/>
      <c r="U41" s="552"/>
      <c r="V41" s="552"/>
      <c r="W41" s="552"/>
      <c r="X41" s="552"/>
      <c r="Y41" s="548"/>
      <c r="Z41" s="552"/>
      <c r="AA41" s="553"/>
      <c r="AB41" s="553"/>
      <c r="AC41" s="552"/>
      <c r="AD41" s="552"/>
      <c r="AE41" s="552"/>
      <c r="AF41" s="552"/>
      <c r="AG41" s="552"/>
      <c r="AH41" s="552"/>
      <c r="AI41" s="608"/>
      <c r="AJ41" s="970"/>
      <c r="AK41" s="553"/>
      <c r="AL41" s="553"/>
      <c r="AM41" s="553"/>
    </row>
    <row r="42" spans="1:40" s="554" customFormat="1" ht="15" customHeight="1" x14ac:dyDescent="0.2">
      <c r="A42" s="679"/>
      <c r="B42" s="666"/>
      <c r="C42" s="666" t="str">
        <f>IF($F$23+$F$24=0,"",IF(I23*VLOOKUP($D$17,parcelles!$B$56:$Y$77,3)+I24*VLOOKUP($D$17,parcelles!$B$56:$Y$77,4)&lt;SUMIF(BDD!HO96:IB96,$F$17,BDD!HO97:IB98),"il te manque "&amp;ROUNDUP(SUMIF(BDD!HO96:IB96,$F$17,BDD!HO97:IB98)-(I23*VLOOKUP($D$17,parcelles!$B$56:$Y$77,3)+I24*VLOOKUP($D$17,parcelles!$B$56:$Y$77,4)),0)&amp;" tonnes d'orge, soit "&amp;($F$23+$F$24)/2-($I$23+$I$24)&amp;" ha environ.",""))</f>
        <v/>
      </c>
      <c r="D42" s="666"/>
      <c r="E42" s="660"/>
      <c r="F42" s="660"/>
      <c r="G42" s="660"/>
      <c r="H42" s="660"/>
      <c r="I42" s="660"/>
      <c r="J42" s="660"/>
      <c r="K42" s="661"/>
      <c r="L42" s="661"/>
      <c r="M42" s="662"/>
      <c r="N42" s="662"/>
      <c r="O42" s="663"/>
      <c r="P42" s="552"/>
      <c r="Q42" s="552"/>
      <c r="R42" s="552"/>
      <c r="S42" s="552"/>
      <c r="T42" s="552"/>
      <c r="U42" s="552"/>
      <c r="V42" s="552"/>
      <c r="W42" s="552"/>
      <c r="X42" s="552"/>
      <c r="Y42" s="548"/>
      <c r="Z42" s="552"/>
      <c r="AA42" s="553"/>
      <c r="AB42" s="553"/>
      <c r="AC42" s="552"/>
      <c r="AD42" s="552"/>
      <c r="AE42" s="552"/>
      <c r="AF42" s="552"/>
      <c r="AG42" s="552"/>
      <c r="AH42" s="552"/>
      <c r="AI42" s="608"/>
      <c r="AJ42" s="970"/>
      <c r="AK42" s="553"/>
      <c r="AL42" s="553"/>
      <c r="AM42" s="553"/>
    </row>
    <row r="43" spans="1:40" s="554" customFormat="1" ht="15" customHeight="1" x14ac:dyDescent="0.2">
      <c r="A43" s="679"/>
      <c r="B43" s="661"/>
      <c r="C43" s="666" t="str">
        <f>IF($F$31+$F$32=0,"",IF(I31*VLOOKUP($D$17,parcelles!$B$56:$Y$77,3)+I32*VLOOKUP($D$17,parcelles!$B$56:$Y$77,4)&lt;SUMIF(BDD!HO96:IB96,$F$17,BDD!HO105:IB106),"il te manque "&amp;ROUNDUP(SUMIF(BDD!HO96:IB96,$F$17,BDD!HN105:IB106)-(I31*VLOOKUP($D$17,parcelles!$B$56:$Y$77,3)+I32*VLOOKUP($D$17,parcelles!$B$56:$Y$77,4)),0)&amp;" tonnes d'avoine, soit "&amp;($F$31+$F$32)/2-($I$31+$I$32) &amp;" ha environ.",""))</f>
        <v/>
      </c>
      <c r="D43" s="661"/>
      <c r="E43" s="661"/>
      <c r="F43" s="661"/>
      <c r="G43" s="661"/>
      <c r="H43" s="661"/>
      <c r="I43" s="661"/>
      <c r="J43" s="661"/>
      <c r="K43" s="661"/>
      <c r="L43" s="661"/>
      <c r="M43" s="664"/>
      <c r="N43" s="662"/>
      <c r="O43" s="663"/>
      <c r="P43" s="552"/>
      <c r="Q43" s="552"/>
      <c r="R43" s="552"/>
      <c r="S43" s="552"/>
      <c r="T43" s="552"/>
      <c r="U43" s="552"/>
      <c r="V43" s="552"/>
      <c r="W43" s="552"/>
      <c r="X43" s="552"/>
      <c r="Y43" s="333"/>
      <c r="Z43" s="552"/>
      <c r="AA43" s="553"/>
      <c r="AB43" s="553"/>
      <c r="AC43" s="552"/>
      <c r="AD43" s="552"/>
      <c r="AE43" s="552"/>
      <c r="AF43" s="552"/>
      <c r="AG43" s="552"/>
      <c r="AH43" s="552"/>
      <c r="AI43" s="610"/>
      <c r="AJ43" s="970"/>
      <c r="AK43" s="553"/>
      <c r="AL43" s="553"/>
      <c r="AM43" s="553"/>
    </row>
    <row r="44" spans="1:40" s="554" customFormat="1" ht="15" customHeight="1" x14ac:dyDescent="0.2">
      <c r="A44" s="679"/>
      <c r="B44" s="661"/>
      <c r="C44" s="661"/>
      <c r="D44" s="664"/>
      <c r="E44" s="664"/>
      <c r="F44" s="664"/>
      <c r="G44" s="664"/>
      <c r="H44" s="664"/>
      <c r="I44" s="664"/>
      <c r="J44" s="664"/>
      <c r="K44" s="664"/>
      <c r="L44" s="664"/>
      <c r="M44" s="664"/>
      <c r="N44" s="662"/>
      <c r="O44" s="663"/>
      <c r="P44" s="552"/>
      <c r="Q44" s="552"/>
      <c r="R44" s="552"/>
      <c r="S44" s="552"/>
      <c r="T44" s="552"/>
      <c r="U44" s="552"/>
      <c r="V44" s="552"/>
      <c r="W44" s="552"/>
      <c r="X44" s="552"/>
      <c r="Y44" s="548"/>
      <c r="Z44" s="552"/>
      <c r="AA44" s="553"/>
      <c r="AB44" s="553"/>
      <c r="AC44" s="552"/>
      <c r="AD44" s="552"/>
      <c r="AE44" s="552"/>
      <c r="AF44" s="552"/>
      <c r="AG44" s="552"/>
      <c r="AH44" s="552"/>
      <c r="AI44" s="608"/>
      <c r="AJ44" s="970"/>
      <c r="AK44" s="553"/>
      <c r="AL44" s="553"/>
      <c r="AM44" s="553"/>
    </row>
    <row r="45" spans="1:40" s="554" customFormat="1" ht="15" customHeight="1" x14ac:dyDescent="0.2">
      <c r="A45" s="679"/>
      <c r="B45" s="686"/>
      <c r="C45" s="686"/>
      <c r="D45" s="664"/>
      <c r="E45" s="664"/>
      <c r="F45" s="664"/>
      <c r="G45" s="664"/>
      <c r="H45" s="664"/>
      <c r="I45" s="664"/>
      <c r="J45" s="664"/>
      <c r="K45" s="664"/>
      <c r="L45" s="662"/>
      <c r="M45" s="662"/>
      <c r="N45" s="662"/>
      <c r="O45" s="663"/>
      <c r="P45" s="552"/>
      <c r="Q45" s="552"/>
      <c r="R45" s="552"/>
      <c r="S45" s="552"/>
      <c r="T45" s="552"/>
      <c r="U45" s="552"/>
      <c r="V45" s="552"/>
      <c r="W45" s="552"/>
      <c r="X45" s="552"/>
      <c r="Y45" s="548"/>
      <c r="Z45" s="552"/>
      <c r="AA45" s="553"/>
      <c r="AB45" s="553"/>
      <c r="AC45" s="552"/>
      <c r="AD45" s="552"/>
      <c r="AE45" s="552"/>
      <c r="AF45" s="552"/>
      <c r="AG45" s="552"/>
      <c r="AH45" s="552"/>
      <c r="AI45" s="608"/>
      <c r="AJ45" s="970"/>
      <c r="AK45" s="553"/>
      <c r="AL45" s="553"/>
      <c r="AM45" s="553"/>
    </row>
    <row r="46" spans="1:40" s="554" customFormat="1" ht="15" customHeight="1" x14ac:dyDescent="0.2">
      <c r="A46" s="679"/>
      <c r="B46" s="1672" t="s">
        <v>1602</v>
      </c>
      <c r="C46" s="1672"/>
      <c r="D46" s="664"/>
      <c r="E46" s="664"/>
      <c r="F46" s="664"/>
      <c r="G46" s="664"/>
      <c r="H46" s="664"/>
      <c r="I46" s="664"/>
      <c r="J46" s="664"/>
      <c r="K46" s="664"/>
      <c r="L46" s="662"/>
      <c r="M46" s="662"/>
      <c r="N46" s="662"/>
      <c r="O46" s="663"/>
      <c r="P46" s="970"/>
      <c r="Q46" s="552"/>
      <c r="R46" s="552"/>
      <c r="S46" s="552"/>
      <c r="T46" s="552"/>
      <c r="U46" s="552"/>
      <c r="V46" s="552"/>
      <c r="W46" s="552"/>
      <c r="X46" s="552"/>
      <c r="Y46" s="548"/>
      <c r="Z46" s="552"/>
      <c r="AA46" s="553"/>
      <c r="AB46" s="553"/>
      <c r="AC46" s="552"/>
      <c r="AD46" s="552"/>
      <c r="AE46" s="552"/>
      <c r="AF46" s="552"/>
      <c r="AG46" s="552"/>
      <c r="AH46" s="552"/>
      <c r="AI46" s="608"/>
      <c r="AJ46" s="970"/>
      <c r="AK46" s="553"/>
      <c r="AL46" s="553"/>
      <c r="AM46" s="553"/>
    </row>
    <row r="47" spans="1:40" s="554" customFormat="1" ht="15" customHeight="1" x14ac:dyDescent="0.2">
      <c r="A47" s="679"/>
      <c r="B47" s="686"/>
      <c r="C47" s="686"/>
      <c r="D47" s="686"/>
      <c r="E47" s="664"/>
      <c r="F47" s="664"/>
      <c r="G47" s="664"/>
      <c r="H47" s="664"/>
      <c r="I47" s="664"/>
      <c r="J47" s="664"/>
      <c r="K47" s="664"/>
      <c r="L47" s="662"/>
      <c r="M47" s="662"/>
      <c r="N47" s="662"/>
      <c r="O47" s="663"/>
      <c r="P47" s="552"/>
      <c r="Q47" s="552"/>
      <c r="R47" s="552"/>
      <c r="S47" s="552"/>
      <c r="T47" s="552"/>
      <c r="U47" s="552"/>
      <c r="V47" s="552"/>
      <c r="W47" s="552"/>
      <c r="X47" s="552"/>
      <c r="Y47" s="552"/>
      <c r="Z47" s="548"/>
      <c r="AA47" s="552"/>
      <c r="AB47" s="553"/>
      <c r="AC47" s="553"/>
      <c r="AD47" s="552"/>
      <c r="AE47" s="552"/>
      <c r="AF47" s="552"/>
      <c r="AG47" s="552"/>
      <c r="AH47" s="552"/>
      <c r="AI47" s="609"/>
      <c r="AJ47" s="970"/>
      <c r="AK47" s="552"/>
      <c r="AL47" s="553"/>
      <c r="AM47" s="553"/>
    </row>
    <row r="48" spans="1:40" s="554" customFormat="1" ht="15" customHeight="1" thickBot="1" x14ac:dyDescent="0.25">
      <c r="A48" s="679"/>
      <c r="B48" s="661"/>
      <c r="C48" s="687"/>
      <c r="D48" s="664"/>
      <c r="E48" s="685"/>
      <c r="F48" s="661"/>
      <c r="G48" s="661"/>
      <c r="H48" s="664"/>
      <c r="I48" s="664"/>
      <c r="J48" s="661"/>
      <c r="K48" s="661"/>
      <c r="L48" s="971"/>
      <c r="M48" s="971"/>
      <c r="N48" s="971"/>
      <c r="O48" s="972"/>
      <c r="P48" s="969"/>
      <c r="Q48" s="969"/>
      <c r="R48" s="969"/>
      <c r="S48" s="969"/>
      <c r="T48" s="969"/>
      <c r="U48" s="970"/>
      <c r="V48" s="970"/>
      <c r="W48" s="970"/>
      <c r="X48" s="970"/>
      <c r="Y48" s="970"/>
      <c r="Z48" s="969"/>
      <c r="AA48" s="552"/>
      <c r="AB48" s="552"/>
      <c r="AC48" s="553"/>
      <c r="AD48" s="553"/>
      <c r="AE48" s="552"/>
      <c r="AF48" s="552"/>
      <c r="AG48" s="552"/>
      <c r="AH48" s="552"/>
      <c r="AI48" s="608"/>
      <c r="AJ48" s="970"/>
      <c r="AK48" s="553"/>
      <c r="AL48" s="552"/>
      <c r="AM48" s="553"/>
      <c r="AN48" s="553"/>
    </row>
    <row r="49" spans="1:40" s="554" customFormat="1" ht="15" customHeight="1" thickBot="1" x14ac:dyDescent="0.25">
      <c r="A49" s="679"/>
      <c r="B49" s="1673" t="s">
        <v>1605</v>
      </c>
      <c r="C49" s="1674"/>
      <c r="D49" s="661"/>
      <c r="E49" s="661"/>
      <c r="F49" s="1673" t="s">
        <v>1606</v>
      </c>
      <c r="G49" s="1674"/>
      <c r="H49" s="664"/>
      <c r="I49" s="664"/>
      <c r="J49" s="664"/>
      <c r="K49" s="664"/>
      <c r="L49" s="665"/>
      <c r="M49" s="1675"/>
      <c r="N49" s="1675"/>
      <c r="O49" s="1676"/>
      <c r="P49" s="1679"/>
      <c r="Q49" s="1679"/>
      <c r="R49" s="1679"/>
      <c r="S49" s="1679"/>
      <c r="T49" s="1679"/>
      <c r="U49" s="1612"/>
      <c r="V49" s="1612"/>
      <c r="W49" s="1612"/>
      <c r="X49" s="1612"/>
      <c r="Y49" s="1612"/>
      <c r="Z49" s="1679"/>
      <c r="AA49" s="552"/>
      <c r="AB49" s="552"/>
      <c r="AC49" s="553"/>
      <c r="AD49" s="553"/>
      <c r="AE49" s="552"/>
      <c r="AF49" s="552"/>
      <c r="AG49" s="552"/>
      <c r="AH49" s="552"/>
      <c r="AI49" s="609"/>
      <c r="AJ49" s="970"/>
      <c r="AK49" s="553"/>
      <c r="AL49" s="552"/>
      <c r="AM49" s="553"/>
      <c r="AN49" s="553"/>
    </row>
    <row r="50" spans="1:40" s="554" customFormat="1" ht="15" customHeight="1" x14ac:dyDescent="0.2">
      <c r="A50" s="679"/>
      <c r="B50" s="556" t="s">
        <v>1607</v>
      </c>
      <c r="C50" s="557">
        <f>BDD!HO45+BDD!IB45</f>
        <v>0</v>
      </c>
      <c r="D50" s="661"/>
      <c r="E50" s="666" t="str">
        <f>IF(C50=0,"","soit "&amp;C50*PrixAzote&amp;"€")</f>
        <v/>
      </c>
      <c r="F50" s="287" t="s">
        <v>65</v>
      </c>
      <c r="G50" s="558">
        <f>(SUMIF(parcelles!$C$94:$C$141,F50,parcelles!$E$94:$E$141)+SUMIF(parcelles!$M$94:$M$141,F50,parcelles!$O$94:$O$141))*VLOOKUP(F50,BDD!$HN$5:$HU$38,2,FALSE)</f>
        <v>0</v>
      </c>
      <c r="H50" s="666" t="str">
        <f>IF(G50=0,"","soit "&amp;G50*IF(OR(F14=CANADA,F14=USA),HLOOKUP(F50,BDD!P3:AY9,6,FALSE),HLOOKUP(F50,BDD!P32:AY38,6,FALSE))&amp;"€")</f>
        <v/>
      </c>
      <c r="I50" s="667"/>
      <c r="J50" s="667"/>
      <c r="K50" s="664"/>
      <c r="L50" s="665"/>
      <c r="M50" s="1675"/>
      <c r="N50" s="1675"/>
      <c r="O50" s="1676"/>
      <c r="P50" s="1679"/>
      <c r="Q50" s="1679"/>
      <c r="R50" s="1679"/>
      <c r="S50" s="1679"/>
      <c r="T50" s="1679"/>
      <c r="U50" s="1612"/>
      <c r="V50" s="1612"/>
      <c r="W50" s="1612"/>
      <c r="X50" s="1612"/>
      <c r="Y50" s="1612"/>
      <c r="Z50" s="1679"/>
      <c r="AA50" s="552"/>
      <c r="AB50" s="552"/>
      <c r="AC50" s="553"/>
      <c r="AD50" s="553"/>
      <c r="AE50" s="552"/>
      <c r="AF50" s="552"/>
      <c r="AG50" s="552"/>
      <c r="AH50" s="552"/>
      <c r="AI50" s="608"/>
      <c r="AJ50" s="970"/>
      <c r="AK50" s="553"/>
      <c r="AL50" s="552"/>
      <c r="AM50" s="553"/>
      <c r="AN50" s="553"/>
    </row>
    <row r="51" spans="1:40" s="554" customFormat="1" ht="15" customHeight="1" x14ac:dyDescent="0.2">
      <c r="A51" s="679"/>
      <c r="B51" s="287" t="s">
        <v>1608</v>
      </c>
      <c r="C51" s="558">
        <f>BDD!HP45+BDD!IC45</f>
        <v>0</v>
      </c>
      <c r="D51" s="661"/>
      <c r="E51" s="666" t="str">
        <f>IF(C51=0,"","soit "&amp;C51*PrixPhosphore&amp;"€")</f>
        <v/>
      </c>
      <c r="F51" s="315" t="s">
        <v>296</v>
      </c>
      <c r="G51" s="559">
        <f>(SUMIF(parcelles!$C$94:$C$141,F51,parcelles!$E$94:$E$141)+SUMIF(parcelles!$M$94:$M$141,F51,parcelles!$O$94:$O$141))*VLOOKUP(F51,BDD!$HN$5:$HU$38,2,FALSE)</f>
        <v>0</v>
      </c>
      <c r="H51" s="666" t="str">
        <f>IF(G51=0,"","soit "&amp;G51*IF(OR(F14=CANADA,F14=USA),HLOOKUP(F51,BDD!P3:AY9,6,FALSE),HLOOKUP(F51,BDD!P32:AY38,6,FALSE))&amp;"€")</f>
        <v/>
      </c>
      <c r="I51" s="667"/>
      <c r="J51" s="667"/>
      <c r="K51" s="664"/>
      <c r="L51" s="665"/>
      <c r="M51" s="971"/>
      <c r="N51" s="971"/>
      <c r="O51" s="972"/>
      <c r="P51" s="969"/>
      <c r="Q51" s="969"/>
      <c r="R51" s="969"/>
      <c r="S51" s="969"/>
      <c r="T51" s="969"/>
      <c r="U51" s="970"/>
      <c r="V51" s="970"/>
      <c r="W51" s="970"/>
      <c r="X51" s="970"/>
      <c r="Y51" s="970"/>
      <c r="Z51" s="969"/>
      <c r="AA51" s="552"/>
      <c r="AB51" s="552"/>
      <c r="AC51" s="553"/>
      <c r="AD51" s="553"/>
      <c r="AE51" s="552"/>
      <c r="AF51" s="552"/>
      <c r="AG51" s="552"/>
      <c r="AH51" s="552"/>
      <c r="AI51" s="608"/>
      <c r="AJ51" s="970"/>
      <c r="AK51" s="553"/>
      <c r="AL51" s="552"/>
      <c r="AM51" s="553"/>
      <c r="AN51" s="553"/>
    </row>
    <row r="52" spans="1:40" s="554" customFormat="1" ht="15" customHeight="1" x14ac:dyDescent="0.2">
      <c r="A52" s="679"/>
      <c r="B52" s="560" t="s">
        <v>1609</v>
      </c>
      <c r="C52" s="561">
        <f>BDD!HQ45+BDD!ID45</f>
        <v>0</v>
      </c>
      <c r="D52" s="661"/>
      <c r="E52" s="666" t="str">
        <f>IF(C52=0,"","soit "&amp;C52*PrixPotassium&amp;"€")</f>
        <v/>
      </c>
      <c r="F52" s="314" t="s">
        <v>339</v>
      </c>
      <c r="G52" s="562">
        <f>(SUMIF(parcelles!$C$94:$C$141,F52,parcelles!$E$94:$E$141)+SUMIF(parcelles!$M$94:$M$141,F52,parcelles!$O$94:$O$141))*VLOOKUP(F52,BDD!$HN$5:$HU$38,2,FALSE)</f>
        <v>0</v>
      </c>
      <c r="H52" s="666" t="str">
        <f>IF(G52=0,"","soit "&amp;G52*IF(OR(F14=CANADA,F14=USA),HLOOKUP(F52,BDD!P3:AY9,6,FALSE),HLOOKUP(F52,BDD!P32:AY38,6,FALSE))&amp;"€")</f>
        <v/>
      </c>
      <c r="I52" s="667"/>
      <c r="J52" s="667"/>
      <c r="K52" s="664"/>
      <c r="L52" s="665"/>
      <c r="M52" s="971"/>
      <c r="N52" s="971"/>
      <c r="O52" s="972"/>
      <c r="P52" s="969"/>
      <c r="Q52" s="969"/>
      <c r="R52" s="969"/>
      <c r="S52" s="969"/>
      <c r="T52" s="969"/>
      <c r="U52" s="970"/>
      <c r="V52" s="970"/>
      <c r="W52" s="970"/>
      <c r="X52" s="970"/>
      <c r="Y52" s="970"/>
      <c r="Z52" s="969"/>
      <c r="AA52" s="552"/>
      <c r="AB52" s="552"/>
      <c r="AC52" s="553"/>
      <c r="AD52" s="553"/>
      <c r="AE52" s="552"/>
      <c r="AF52" s="552"/>
      <c r="AG52" s="552"/>
      <c r="AH52" s="552"/>
      <c r="AI52" s="608"/>
      <c r="AJ52" s="970"/>
      <c r="AK52" s="553"/>
      <c r="AL52" s="552"/>
      <c r="AM52" s="553"/>
      <c r="AN52" s="553"/>
    </row>
    <row r="53" spans="1:40" s="554" customFormat="1" ht="15" customHeight="1" x14ac:dyDescent="0.2">
      <c r="A53" s="679"/>
      <c r="B53" s="287" t="s">
        <v>1610</v>
      </c>
      <c r="C53" s="558">
        <f>BDD!HR45+BDD!IE45</f>
        <v>0</v>
      </c>
      <c r="D53" s="661"/>
      <c r="E53" s="666" t="str">
        <f>IF(C53=0,"","soit "&amp;C53*PrixCalcium&amp;"€")</f>
        <v/>
      </c>
      <c r="F53" s="315" t="s">
        <v>340</v>
      </c>
      <c r="G53" s="559">
        <f>(SUMIF(parcelles!$C$94:$C$141,F53,parcelles!$E$94:$E$141)+SUMIF(parcelles!$M$94:$M$141,F53,parcelles!$O$94:$O$141))*VLOOKUP(F53,BDD!$HN$5:$HU$38,2,FALSE)</f>
        <v>0</v>
      </c>
      <c r="H53" s="666" t="str">
        <f>IF(G53=0,"","soit "&amp;G53*IF(OR(F14=CANADA,F14=USA),HLOOKUP(F53,BDD!P3:AY9,6,FALSE),HLOOKUP(F53,BDD!P32:AY38,6,FALSE))&amp;"€")</f>
        <v/>
      </c>
      <c r="I53" s="667"/>
      <c r="J53" s="667"/>
      <c r="K53" s="664"/>
      <c r="L53" s="665"/>
      <c r="M53" s="971"/>
      <c r="N53" s="971"/>
      <c r="O53" s="972"/>
      <c r="P53" s="969"/>
      <c r="Q53" s="969"/>
      <c r="R53" s="969"/>
      <c r="S53" s="969"/>
      <c r="T53" s="969"/>
      <c r="U53" s="970"/>
      <c r="V53" s="970"/>
      <c r="W53" s="970"/>
      <c r="X53" s="970"/>
      <c r="Y53" s="970"/>
      <c r="Z53" s="969"/>
      <c r="AA53" s="552"/>
      <c r="AB53" s="552"/>
      <c r="AC53" s="553"/>
      <c r="AD53" s="553"/>
      <c r="AE53" s="552"/>
      <c r="AF53" s="552"/>
      <c r="AG53" s="552"/>
      <c r="AH53" s="552"/>
      <c r="AI53" s="611"/>
      <c r="AJ53" s="970"/>
      <c r="AK53" s="553"/>
      <c r="AL53" s="552"/>
      <c r="AM53" s="553"/>
      <c r="AN53" s="553"/>
    </row>
    <row r="54" spans="1:40" s="554" customFormat="1" ht="15" customHeight="1" x14ac:dyDescent="0.2">
      <c r="A54" s="679"/>
      <c r="B54" s="560" t="s">
        <v>1611</v>
      </c>
      <c r="C54" s="561">
        <f>BDD!HS45+BDD!IF45</f>
        <v>0</v>
      </c>
      <c r="D54" s="661"/>
      <c r="E54" s="666" t="str">
        <f>IF(C54=0,"","soit "&amp;C54*PrixMagnésium&amp;"€")</f>
        <v/>
      </c>
      <c r="F54" s="314" t="s">
        <v>523</v>
      </c>
      <c r="G54" s="562">
        <f>(SUMIF(parcelles!$C$94:$C$141,F54,parcelles!$E$94:$E$141)+SUMIF(parcelles!$M$94:$M$141,F54,parcelles!$O$94:$O$141))*VLOOKUP(F54,BDD!$HN$5:$HU$38,2,FALSE)</f>
        <v>0</v>
      </c>
      <c r="H54" s="666" t="str">
        <f>IF(G54=0,"","soit "&amp;G54*IF(OR(F14=CANADA,F14=USA),HLOOKUP(F54,BDD!P3:AY9,6,FALSE),HLOOKUP(F54,BDD!P32:AY38,6,FALSE))&amp;"€")</f>
        <v/>
      </c>
      <c r="I54" s="667"/>
      <c r="J54" s="667"/>
      <c r="K54" s="664"/>
      <c r="L54" s="665"/>
      <c r="M54" s="971"/>
      <c r="N54" s="971"/>
      <c r="O54" s="972"/>
      <c r="P54" s="969"/>
      <c r="Q54" s="969"/>
      <c r="R54" s="969"/>
      <c r="S54" s="969"/>
      <c r="T54" s="969"/>
      <c r="U54" s="970"/>
      <c r="V54" s="970"/>
      <c r="W54" s="970"/>
      <c r="X54" s="970"/>
      <c r="Y54" s="970"/>
      <c r="Z54" s="969"/>
      <c r="AA54" s="552"/>
      <c r="AB54" s="552"/>
      <c r="AC54" s="553"/>
      <c r="AD54" s="553"/>
      <c r="AE54" s="552"/>
      <c r="AF54" s="552"/>
      <c r="AG54" s="552"/>
      <c r="AH54" s="552"/>
      <c r="AI54" s="609"/>
      <c r="AJ54" s="970"/>
      <c r="AK54" s="553"/>
      <c r="AL54" s="552"/>
      <c r="AM54" s="553"/>
      <c r="AN54" s="553"/>
    </row>
    <row r="55" spans="1:40" s="554" customFormat="1" ht="15" customHeight="1" x14ac:dyDescent="0.2">
      <c r="A55" s="679"/>
      <c r="B55" s="287" t="s">
        <v>1612</v>
      </c>
      <c r="C55" s="558">
        <f>BDD!HT45+BDD!IG45</f>
        <v>0</v>
      </c>
      <c r="D55" s="661"/>
      <c r="E55" s="666" t="str">
        <f>IF(C55=0,"","soit "&amp;C55*PrixSoufre&amp;"€")</f>
        <v/>
      </c>
      <c r="F55" s="315" t="s">
        <v>64</v>
      </c>
      <c r="G55" s="559">
        <f>(SUMIF(parcelles!$C$94:$C$141,F55,parcelles!$E$94:$E$141)+SUMIF(parcelles!$M$94:$M$141,F55,parcelles!$O$94:$O$141))*VLOOKUP(F55,BDD!$HN$5:$HU$38,2,FALSE)</f>
        <v>0</v>
      </c>
      <c r="H55" s="666" t="str">
        <f>IF(G55=0,"","soit "&amp;G55*IF(OR(F14=CANADA,F14=USA),HLOOKUP(F55,BDD!P3:AY9,6,FALSE),HLOOKUP(F55,BDD!P32:AY38,6,FALSE))&amp;"€")</f>
        <v/>
      </c>
      <c r="I55" s="667"/>
      <c r="J55" s="667"/>
      <c r="K55" s="664"/>
      <c r="L55" s="665"/>
      <c r="M55" s="971"/>
      <c r="N55" s="971"/>
      <c r="O55" s="972"/>
      <c r="P55" s="969"/>
      <c r="Q55" s="969"/>
      <c r="R55" s="969"/>
      <c r="S55" s="969"/>
      <c r="T55" s="969"/>
      <c r="U55" s="970"/>
      <c r="V55" s="970"/>
      <c r="W55" s="970"/>
      <c r="X55" s="970"/>
      <c r="Y55" s="970"/>
      <c r="Z55" s="969"/>
      <c r="AA55" s="552"/>
      <c r="AB55" s="552"/>
      <c r="AC55" s="553"/>
      <c r="AD55" s="553"/>
      <c r="AE55" s="552"/>
      <c r="AF55" s="552"/>
      <c r="AG55" s="552"/>
      <c r="AH55" s="552"/>
      <c r="AI55" s="609"/>
      <c r="AJ55" s="970"/>
      <c r="AK55" s="553"/>
      <c r="AL55" s="552"/>
      <c r="AM55" s="553"/>
      <c r="AN55" s="553"/>
    </row>
    <row r="56" spans="1:40" s="554" customFormat="1" ht="15" customHeight="1" x14ac:dyDescent="0.2">
      <c r="A56" s="679"/>
      <c r="B56" s="560" t="s">
        <v>1613</v>
      </c>
      <c r="C56" s="561">
        <f>BDD!HU45+BDD!IH45</f>
        <v>0</v>
      </c>
      <c r="D56" s="661"/>
      <c r="E56" s="666" t="str">
        <f>IF(C56=0,"","soit "&amp;C56*PrixFongicide&amp;"€")</f>
        <v/>
      </c>
      <c r="F56" s="314" t="s">
        <v>285</v>
      </c>
      <c r="G56" s="562">
        <f>(SUMIF(parcelles!$C$94:$C$141,F56,parcelles!$E$94:$E$141)+SUMIF(parcelles!$M$94:$M$141,F56,parcelles!$O$94:$O$141))*VLOOKUP(F56,BDD!$HN$5:$HU$38,2,FALSE)</f>
        <v>0</v>
      </c>
      <c r="H56" s="666" t="str">
        <f>IF(G56=0,"","soit "&amp;G56*IF(OR(F14=CANADA,F14=USA),HLOOKUP(F56,BDD!P3:AY9,6,FALSE),HLOOKUP(F56,BDD!P32:AY38,6,FALSE))&amp;"€ si semences GP, sinon "&amp;G56*IF(OR(F14=CANADA,F14=USA),HLOOKUP(F56,BDD!P3:AY9,5,FALSE),HLOOKUP(F56,BDD!P32:AY38,5,FALSE))&amp;"€")</f>
        <v/>
      </c>
      <c r="I56" s="667"/>
      <c r="J56" s="667"/>
      <c r="K56" s="664"/>
      <c r="L56" s="665"/>
      <c r="M56" s="971"/>
      <c r="N56" s="971"/>
      <c r="O56" s="972"/>
      <c r="P56" s="969"/>
      <c r="Q56" s="969"/>
      <c r="R56" s="969"/>
      <c r="S56" s="969"/>
      <c r="T56" s="969"/>
      <c r="U56" s="970"/>
      <c r="V56" s="970"/>
      <c r="W56" s="970"/>
      <c r="X56" s="970"/>
      <c r="Y56" s="970"/>
      <c r="Z56" s="969"/>
      <c r="AA56" s="552"/>
      <c r="AB56" s="552"/>
      <c r="AC56" s="553"/>
      <c r="AD56" s="553"/>
      <c r="AE56" s="552"/>
      <c r="AF56" s="552"/>
      <c r="AG56" s="552"/>
      <c r="AH56" s="552"/>
      <c r="AI56" s="609"/>
      <c r="AJ56" s="970"/>
      <c r="AK56" s="553"/>
      <c r="AL56" s="552"/>
      <c r="AM56" s="553"/>
      <c r="AN56" s="553"/>
    </row>
    <row r="57" spans="1:40" s="554" customFormat="1" ht="15" customHeight="1" x14ac:dyDescent="0.2">
      <c r="A57" s="679"/>
      <c r="B57" s="287" t="s">
        <v>1614</v>
      </c>
      <c r="C57" s="558">
        <f>BDD!HV45+BDD!II45</f>
        <v>0</v>
      </c>
      <c r="D57" s="661"/>
      <c r="E57" s="666" t="str">
        <f>IF(C57=0,"","soit "&amp;C57*PrixHerbicide&amp;"€")</f>
        <v/>
      </c>
      <c r="F57" s="315" t="s">
        <v>1507</v>
      </c>
      <c r="G57" s="559">
        <f>(SUMIF(parcelles!$C$94:$C$141,F57,parcelles!$E$94:$E$141)+SUMIF(parcelles!$M$94:$M$141,F57,parcelles!$O$94:$O$141))*VLOOKUP(F57,BDD!$HN$5:$HU$38,2,FALSE)</f>
        <v>0</v>
      </c>
      <c r="H57" s="666" t="str">
        <f>IF(G57=0,"","soit "&amp;G57*IF(OR(F14=CANADA,F14=USA),HLOOKUP(F57,BDD!P3:AY9,6,FALSE),HLOOKUP(F57,BDD!P32:AY38,6,FALSE))&amp;"€ si semences GP, sinon "&amp;G57*IF(OR(F14=CANADA,F14=USA),HLOOKUP(F57,BDD!P3:AY9,5,FALSE),HLOOKUP(F57,BDD!P32:AY38,5,FALSE))&amp;"€")</f>
        <v/>
      </c>
      <c r="I57" s="667"/>
      <c r="J57" s="667"/>
      <c r="K57" s="664"/>
      <c r="L57" s="665"/>
      <c r="M57" s="1675"/>
      <c r="N57" s="1675"/>
      <c r="O57" s="1676"/>
      <c r="P57" s="1679"/>
      <c r="Q57" s="1679"/>
      <c r="R57" s="1679"/>
      <c r="S57" s="1679"/>
      <c r="T57" s="1679"/>
      <c r="U57" s="1612"/>
      <c r="V57" s="1612"/>
      <c r="W57" s="1612"/>
      <c r="X57" s="1612"/>
      <c r="Y57" s="1612"/>
      <c r="Z57" s="1679"/>
      <c r="AA57" s="552"/>
      <c r="AB57" s="552"/>
      <c r="AC57" s="553"/>
      <c r="AD57" s="553"/>
      <c r="AE57" s="552"/>
      <c r="AF57" s="552"/>
      <c r="AG57" s="552"/>
      <c r="AH57" s="552"/>
      <c r="AI57" s="609"/>
      <c r="AJ57" s="970"/>
      <c r="AK57" s="553"/>
      <c r="AL57" s="552"/>
      <c r="AM57" s="553"/>
      <c r="AN57" s="553"/>
    </row>
    <row r="58" spans="1:40" s="554" customFormat="1" ht="15" customHeight="1" x14ac:dyDescent="0.2">
      <c r="A58" s="679"/>
      <c r="B58" s="560" t="s">
        <v>1615</v>
      </c>
      <c r="C58" s="561">
        <f>BDD!HW45+BDD!IJ45</f>
        <v>0</v>
      </c>
      <c r="D58" s="661"/>
      <c r="E58" s="666" t="str">
        <f>IF(C58=0,"","soit "&amp;C58*PrixInsecticide&amp;"€")</f>
        <v/>
      </c>
      <c r="F58" s="314" t="s">
        <v>498</v>
      </c>
      <c r="G58" s="562">
        <f>(SUMIF(parcelles!$C$94:$C$141,F58,parcelles!$E$94:$E$141)+SUMIF(parcelles!$M$94:$M$141,F58,parcelles!$O$94:$O$141))*VLOOKUP(F58,BDD!$HN$5:$HU$38,2,FALSE)</f>
        <v>0</v>
      </c>
      <c r="H58" s="666" t="str">
        <f>IF(G58=0,"","soit "&amp;G58*IF(OR(F14=CANADA,F14=USA),HLOOKUP(F58,BDD!P3:AY9,6,FALSE),HLOOKUP(F58,BDD!P32:AY38,6,FALSE))&amp;"€ si semences GP, sinon "&amp;G58*IF(OR(F14=CANADA,F14=USA),HLOOKUP(F58,BDD!P3:AY9,5,FALSE),HLOOKUP(F58,BDD!P32:AY38,5,FALSE))&amp;"€")</f>
        <v/>
      </c>
      <c r="I58" s="667"/>
      <c r="J58" s="667"/>
      <c r="K58" s="664"/>
      <c r="L58" s="665"/>
      <c r="M58" s="1675"/>
      <c r="N58" s="1675"/>
      <c r="O58" s="1676"/>
      <c r="P58" s="1679"/>
      <c r="Q58" s="1679"/>
      <c r="R58" s="1679"/>
      <c r="S58" s="1679"/>
      <c r="T58" s="1679"/>
      <c r="U58" s="1612"/>
      <c r="V58" s="1612"/>
      <c r="W58" s="1612"/>
      <c r="X58" s="1612"/>
      <c r="Y58" s="1612"/>
      <c r="Z58" s="1679"/>
      <c r="AA58" s="552"/>
      <c r="AB58" s="552"/>
      <c r="AC58" s="553"/>
      <c r="AD58" s="553"/>
      <c r="AE58" s="552"/>
      <c r="AF58" s="552"/>
      <c r="AG58" s="552"/>
      <c r="AH58" s="552"/>
      <c r="AI58" s="609"/>
      <c r="AJ58" s="970"/>
      <c r="AK58" s="553"/>
      <c r="AL58" s="552"/>
      <c r="AM58" s="553"/>
      <c r="AN58" s="553"/>
    </row>
    <row r="59" spans="1:40" s="554" customFormat="1" ht="15" customHeight="1" x14ac:dyDescent="0.2">
      <c r="A59" s="679"/>
      <c r="B59" s="287" t="s">
        <v>1616</v>
      </c>
      <c r="C59" s="558">
        <f>IF(AND(COUNTIF(parcelles!C94:C141,F50)=0,COUNTIF(parcelles!M94:M141,F50)=0),0,(IF(COUNTIF(parcelles!$C$94:$C$141,F50)&gt;0,VLOOKUP(F50,parcelles!$C$94:$E$141,2,FALSE),0)+IF(COUNTIF(parcelles!$M$94:$M$141,F50)&gt;0,VLOOKUP(F50,parcelles!$M$94:$O$141,2,FALSE),0))*2.5)</f>
        <v>0</v>
      </c>
      <c r="D59" s="661"/>
      <c r="E59" s="666" t="str">
        <f>IF(C59=0,"","soit "&amp;C59*PrixDéfanageChimique&amp;"€")</f>
        <v/>
      </c>
      <c r="F59" s="315" t="s">
        <v>63</v>
      </c>
      <c r="G59" s="559">
        <f>(SUMIF(parcelles!$C$94:$C$141,F59,parcelles!$E$94:$E$141)+SUMIF(parcelles!$M$94:$M$141,F59,parcelles!$O$94:$O$141))*VLOOKUP(F59,BDD!$HN$5:$HU$38,2,FALSE)</f>
        <v>0</v>
      </c>
      <c r="H59" s="666" t="str">
        <f>IF(G59=0,"","soit "&amp;G59*IF(OR(F14=CANADA,F14=USA),HLOOKUP(F59,BDD!P3:AY9,6,FALSE),HLOOKUP(F59,BDD!P32:AY38,6,FALSE))&amp;"€")</f>
        <v/>
      </c>
      <c r="I59" s="667"/>
      <c r="J59" s="667"/>
      <c r="K59" s="664"/>
      <c r="L59" s="665"/>
      <c r="M59" s="971"/>
      <c r="N59" s="971"/>
      <c r="O59" s="972"/>
      <c r="P59" s="969"/>
      <c r="Q59" s="969"/>
      <c r="R59" s="969"/>
      <c r="S59" s="969"/>
      <c r="T59" s="969"/>
      <c r="U59" s="970"/>
      <c r="V59" s="970"/>
      <c r="W59" s="970"/>
      <c r="X59" s="970"/>
      <c r="Y59" s="970"/>
      <c r="Z59" s="969"/>
      <c r="AA59" s="552"/>
      <c r="AB59" s="552"/>
      <c r="AC59" s="553"/>
      <c r="AD59" s="553"/>
      <c r="AE59" s="552"/>
      <c r="AF59" s="552"/>
      <c r="AG59" s="552"/>
      <c r="AH59" s="552"/>
      <c r="AI59" s="552"/>
      <c r="AJ59" s="970"/>
      <c r="AK59" s="563"/>
      <c r="AL59" s="552"/>
      <c r="AM59" s="553"/>
      <c r="AN59" s="553"/>
    </row>
    <row r="60" spans="1:40" s="554" customFormat="1" ht="15" customHeight="1" x14ac:dyDescent="0.2">
      <c r="A60" s="679"/>
      <c r="B60" s="564"/>
      <c r="C60" s="565"/>
      <c r="D60" s="661"/>
      <c r="E60" s="666" t="str">
        <f>IF(C60=0,"","soit "&amp;C60*21&amp;"€")</f>
        <v/>
      </c>
      <c r="F60" s="314" t="s">
        <v>298</v>
      </c>
      <c r="G60" s="562">
        <f>(SUMIF(parcelles!$C$94:$C$141,F60,parcelles!$E$94:$E$141)+SUMIF(parcelles!$M$94:$M$141,F60,parcelles!$O$94:$O$141))*VLOOKUP(F60,BDD!$HN$5:$HU$38,2,FALSE)</f>
        <v>0</v>
      </c>
      <c r="H60" s="666" t="str">
        <f>IF(G60=0,"","soit "&amp;G60*IF(OR(F14=CANADA,F14=USA),HLOOKUP(F60,BDD!P3:AY9,6,FALSE),HLOOKUP(F60,BDD!P32:AY38,6,FALSE))&amp;"€ si semences GP, sinon "&amp;G60*IF(OR(F14=CANADA,F14=USA),HLOOKUP(F60,BDD!P3:AY9,5,FALSE),HLOOKUP(F60,BDD!P32:AY38,5,FALSE))&amp;"€")</f>
        <v/>
      </c>
      <c r="I60" s="667"/>
      <c r="J60" s="667"/>
      <c r="K60" s="668"/>
      <c r="L60" s="665"/>
      <c r="M60" s="971"/>
      <c r="N60" s="971"/>
      <c r="O60" s="972"/>
      <c r="P60" s="969"/>
      <c r="Q60" s="969"/>
      <c r="R60" s="969"/>
      <c r="S60" s="969"/>
      <c r="T60" s="969"/>
      <c r="U60" s="970"/>
      <c r="V60" s="970"/>
      <c r="W60" s="970"/>
      <c r="X60" s="970"/>
      <c r="Y60" s="970"/>
      <c r="Z60" s="969"/>
      <c r="AA60" s="552"/>
      <c r="AB60" s="552"/>
      <c r="AC60" s="553"/>
      <c r="AD60" s="553"/>
      <c r="AE60" s="552"/>
      <c r="AF60" s="552"/>
      <c r="AG60" s="552"/>
      <c r="AH60" s="552"/>
      <c r="AI60" s="552"/>
      <c r="AJ60" s="970"/>
      <c r="AK60" s="563"/>
      <c r="AL60" s="552"/>
      <c r="AM60" s="553"/>
      <c r="AN60" s="553"/>
    </row>
    <row r="61" spans="1:40" s="554" customFormat="1" ht="15" customHeight="1" x14ac:dyDescent="0.2">
      <c r="A61" s="684"/>
      <c r="B61" s="287" t="s">
        <v>1619</v>
      </c>
      <c r="C61" s="558">
        <f>IF(COUNTIF(vergers!$C$45:$C$92,vergers!$C$7)=0,0,SUMIF(vergers!$C$45:$C$92,vergers!C7,vergers!$D$45:$D$92)*400)</f>
        <v>0</v>
      </c>
      <c r="D61" s="664"/>
      <c r="E61" s="666" t="str">
        <f>IF(C61=0,"","soit "&amp;C61*PrixEngraisPommiers&amp;"€")</f>
        <v/>
      </c>
      <c r="F61" s="315" t="s">
        <v>1509</v>
      </c>
      <c r="G61" s="559">
        <f>(SUMIF(parcelles!$C$94:$C$141,F61,parcelles!$E$94:$E$141)+SUMIF(parcelles!$M$94:$M$141,F61,parcelles!$O$94:$O$141))*VLOOKUP(F61,BDD!$HN$5:$HU$38,2,FALSE)</f>
        <v>0</v>
      </c>
      <c r="H61" s="666" t="str">
        <f>IF(G61=0,"","soit "&amp;G61*IF(OR(F14=CANADA,F14=USA),HLOOKUP(F61,BDD!P3:AY9,6,FALSE),HLOOKUP(F61,BDD!P32:AY38,6,FALSE))&amp;"€ si semences GP, sinon "&amp;G61*IF(OR(F14=CANADA,F14=USA),HLOOKUP(F61,BDD!P3:AY9,5,FALSE),HLOOKUP(F61,BDD!P32:AY38,5,FALSE))&amp;"€")</f>
        <v/>
      </c>
      <c r="I61" s="667"/>
      <c r="J61" s="667"/>
      <c r="K61" s="668"/>
      <c r="L61" s="665"/>
      <c r="M61" s="971"/>
      <c r="N61" s="971"/>
      <c r="O61" s="972"/>
      <c r="P61" s="969"/>
      <c r="Q61" s="969"/>
      <c r="R61" s="969"/>
      <c r="S61" s="969"/>
      <c r="T61" s="969"/>
      <c r="U61" s="970"/>
      <c r="V61" s="970"/>
      <c r="W61" s="970"/>
      <c r="X61" s="970"/>
      <c r="Y61" s="970"/>
      <c r="Z61" s="969"/>
      <c r="AA61" s="552"/>
      <c r="AB61" s="552"/>
      <c r="AC61" s="553"/>
      <c r="AD61" s="553"/>
      <c r="AE61" s="552"/>
      <c r="AF61" s="552"/>
      <c r="AG61" s="552"/>
      <c r="AH61" s="552"/>
      <c r="AI61" s="552"/>
      <c r="AJ61" s="552"/>
      <c r="AK61" s="563"/>
      <c r="AL61" s="552"/>
      <c r="AM61" s="553"/>
      <c r="AN61" s="553"/>
    </row>
    <row r="62" spans="1:40" s="554" customFormat="1" ht="15" customHeight="1" x14ac:dyDescent="0.2">
      <c r="A62" s="684"/>
      <c r="B62" s="560" t="s">
        <v>1618</v>
      </c>
      <c r="C62" s="561">
        <f>IF(COUNTIF(vergers!$C$45:$C$92,vergers!$D$7)=0,0,SUMIF(vergers!$C$45:$C$92,vergers!D7,vergers!$D$45:$D$92)*400)</f>
        <v>0</v>
      </c>
      <c r="D62" s="664"/>
      <c r="E62" s="666" t="str">
        <f>IF(C62=0,"","soit "&amp;C62*PrixEngraisPoiriers&amp;"€")</f>
        <v/>
      </c>
      <c r="F62" s="314" t="s">
        <v>499</v>
      </c>
      <c r="G62" s="562">
        <f>(SUMIF(parcelles!$C$94:$C$141,F62,parcelles!$E$94:$E$141)+SUMIF(parcelles!$M$94:$M$141,F62,parcelles!$O$94:$O$141))*VLOOKUP(F62,BDD!$HN$5:$HU$38,2,FALSE)</f>
        <v>0</v>
      </c>
      <c r="H62" s="666" t="str">
        <f>IF(G62=0,"","soit "&amp;G62*IF(OR(F14=CANADA,F14=USA),HLOOKUP(F62,BDD!P3:AY9,6,FALSE),HLOOKUP(F62,BDD!P32:AY38,6,FALSE))&amp;"€ si semences GP, sinon "&amp;G62*IF(OR(F14=CANADA,F14=USA),HLOOKUP(F62,BDD!P3:AY9,5,FALSE),HLOOKUP(F62,BDD!P32:AY38,5,FALSE))&amp;"€")</f>
        <v/>
      </c>
      <c r="I62" s="667"/>
      <c r="J62" s="667"/>
      <c r="K62" s="668"/>
      <c r="L62" s="665"/>
      <c r="M62" s="971"/>
      <c r="N62" s="971"/>
      <c r="O62" s="972"/>
      <c r="P62" s="969"/>
      <c r="Q62" s="969"/>
      <c r="R62" s="969"/>
      <c r="S62" s="969"/>
      <c r="T62" s="969"/>
      <c r="U62" s="970"/>
      <c r="V62" s="970"/>
      <c r="W62" s="970"/>
      <c r="X62" s="970"/>
      <c r="Y62" s="970"/>
      <c r="Z62" s="969"/>
      <c r="AA62" s="552"/>
      <c r="AB62" s="552"/>
      <c r="AC62" s="553"/>
      <c r="AD62" s="553"/>
      <c r="AE62" s="552"/>
      <c r="AF62" s="552"/>
      <c r="AG62" s="552"/>
      <c r="AH62" s="552"/>
      <c r="AI62" s="552"/>
      <c r="AJ62" s="552"/>
      <c r="AK62" s="563"/>
      <c r="AL62" s="552"/>
      <c r="AM62" s="553"/>
      <c r="AN62" s="553"/>
    </row>
    <row r="63" spans="1:40" s="554" customFormat="1" ht="15" customHeight="1" x14ac:dyDescent="0.2">
      <c r="A63" s="684"/>
      <c r="B63" s="287" t="s">
        <v>1617</v>
      </c>
      <c r="C63" s="558">
        <f>IF(COUNTIF(vergers!$C$45:$C$92,vergers!$E$7)=0,0,SUMIF(vergers!$C$45:$C$92,vergers!E7,vergers!$D$45:$D$92)*400)</f>
        <v>0</v>
      </c>
      <c r="D63" s="664"/>
      <c r="E63" s="666" t="str">
        <f>IF(C63=0,"","soit "&amp;C63*PrixEngraisPêchers&amp;"€")</f>
        <v/>
      </c>
      <c r="F63" s="315" t="s">
        <v>297</v>
      </c>
      <c r="G63" s="559">
        <f>(SUMIF(parcelles!$C$94:$C$141,F63,parcelles!$E$94:$E$141)+SUMIF(parcelles!$M$94:$M$141,F63,parcelles!$O$94:$O$141))*VLOOKUP(F63,BDD!$HN$5:$HU$38,2,FALSE)</f>
        <v>0</v>
      </c>
      <c r="H63" s="666" t="str">
        <f>IF(G63=0,"","soit "&amp;G63*IF(OR(F14=CANADA,F14=USA),HLOOKUP(F63,BDD!P3:AY9,6,FALSE),HLOOKUP(F63,BDD!P32:AY38,6,FALSE))&amp;"€")</f>
        <v/>
      </c>
      <c r="I63" s="667"/>
      <c r="J63" s="667"/>
      <c r="K63" s="668"/>
      <c r="L63" s="665"/>
      <c r="M63" s="971"/>
      <c r="N63" s="971"/>
      <c r="O63" s="972"/>
      <c r="P63" s="970"/>
      <c r="Q63" s="970"/>
      <c r="R63" s="970"/>
      <c r="S63" s="970"/>
      <c r="T63" s="970"/>
      <c r="U63" s="970"/>
      <c r="V63" s="970"/>
      <c r="W63" s="970"/>
      <c r="X63" s="970"/>
      <c r="Y63" s="970"/>
      <c r="Z63" s="969"/>
      <c r="AA63" s="552"/>
      <c r="AB63" s="552"/>
      <c r="AC63" s="553"/>
      <c r="AD63" s="553"/>
      <c r="AE63" s="552"/>
      <c r="AF63" s="552"/>
      <c r="AG63" s="552"/>
      <c r="AH63" s="552"/>
      <c r="AI63" s="552"/>
      <c r="AJ63" s="552"/>
      <c r="AK63" s="563"/>
      <c r="AL63" s="552"/>
      <c r="AM63" s="553"/>
      <c r="AN63" s="553"/>
    </row>
    <row r="64" spans="1:40" s="554" customFormat="1" ht="15" customHeight="1" x14ac:dyDescent="0.2">
      <c r="A64" s="684"/>
      <c r="B64" s="560" t="s">
        <v>1772</v>
      </c>
      <c r="C64" s="561">
        <f>IF(COUNTIF(vergers!$C$45:$C$92,vergers!$D$7)=0,0,SUMIF(vergers!$C$45:$C$92,vergers!F7,vergers!$D$45:$D$92)*400)</f>
        <v>0</v>
      </c>
      <c r="D64" s="664"/>
      <c r="E64" s="666" t="str">
        <f>IF(C64=0,"","soit "&amp;C64*PrixEngraisCerisier&amp;"€")</f>
        <v/>
      </c>
      <c r="F64" s="314" t="str">
        <f>parcelles!L53</f>
        <v>ERREUR</v>
      </c>
      <c r="G64" s="562">
        <f>(SUMIF(parcelles!$C$94:$C$141,F64,parcelles!$E$94:$E$141)+SUMIF(parcelles!$M$94:$M$141,F64,parcelles!$O$94:$O$141))*VLOOKUP(F64,BDD!$HN$5:$HU$38,2,FALSE)</f>
        <v>0</v>
      </c>
      <c r="H64" s="666" t="str">
        <f>IF(G64=0,"","soit "&amp;G64*IF(OR(F14=CANADA,F14=USA),HLOOKUP(F64,BDD!P3:AY9,6,FALSE),HLOOKUP(F64,BDD!P32:AY38,6,FALSE))&amp;"€")</f>
        <v/>
      </c>
      <c r="I64" s="667"/>
      <c r="J64" s="667"/>
      <c r="K64" s="668"/>
      <c r="L64" s="665"/>
      <c r="M64" s="971"/>
      <c r="N64" s="971"/>
      <c r="O64" s="972"/>
      <c r="P64" s="970"/>
      <c r="Q64" s="970"/>
      <c r="R64" s="970"/>
      <c r="S64" s="970"/>
      <c r="T64" s="970"/>
      <c r="U64" s="970"/>
      <c r="V64" s="970"/>
      <c r="W64" s="970"/>
      <c r="X64" s="970"/>
      <c r="Y64" s="970"/>
      <c r="Z64" s="969"/>
      <c r="AA64" s="552"/>
      <c r="AB64" s="552"/>
      <c r="AC64" s="553"/>
      <c r="AD64" s="553"/>
      <c r="AE64" s="552"/>
      <c r="AF64" s="552"/>
      <c r="AG64" s="552"/>
      <c r="AH64" s="552"/>
      <c r="AI64" s="552"/>
      <c r="AJ64" s="552"/>
      <c r="AK64" s="563"/>
      <c r="AL64" s="552"/>
      <c r="AM64" s="553"/>
      <c r="AN64" s="553"/>
    </row>
    <row r="65" spans="1:40" s="554" customFormat="1" ht="15" customHeight="1" x14ac:dyDescent="0.2">
      <c r="A65" s="684"/>
      <c r="B65" s="287" t="s">
        <v>1620</v>
      </c>
      <c r="C65" s="558">
        <f>IF(COUNTIF(vergers!$C$45:$C$92,vergers!$E$7)=0,0,SUMIF(vergers!$C$45:$C$92,vergers!G7,vergers!$D$45:$D$92)*400)</f>
        <v>0</v>
      </c>
      <c r="D65" s="664"/>
      <c r="E65" s="666" t="str">
        <f>IF(C65=0,"","soit "&amp;C65*PrixEngraisPruniers&amp;"€")</f>
        <v/>
      </c>
      <c r="F65" s="315" t="s">
        <v>76</v>
      </c>
      <c r="G65" s="559">
        <f>(SUMIF(parcelles!$C$94:$C$141,F65,parcelles!$E$94:$E$141)+SUMIF(parcelles!$M$94:$M$141,F65,parcelles!$O$94:$O$141))*VLOOKUP(F65,BDD!$HN$5:$HU$38,2,FALSE)</f>
        <v>0</v>
      </c>
      <c r="H65" s="666" t="str">
        <f>IF(G65=0,"","soit "&amp;G65*IF(OR(F14=CANADA,F14=USA),HLOOKUP(F65,BDD!P3:AY9,6,FALSE),HLOOKUP(F65,BDD!P32:AY38,6,FALSE))&amp;"€")</f>
        <v/>
      </c>
      <c r="I65" s="667"/>
      <c r="J65" s="667"/>
      <c r="K65" s="668"/>
      <c r="L65" s="665"/>
      <c r="M65" s="971"/>
      <c r="N65" s="971"/>
      <c r="O65" s="972"/>
      <c r="P65" s="970"/>
      <c r="Q65" s="970"/>
      <c r="R65" s="970"/>
      <c r="S65" s="970"/>
      <c r="T65" s="970"/>
      <c r="U65" s="970"/>
      <c r="V65" s="970"/>
      <c r="W65" s="970"/>
      <c r="X65" s="970"/>
      <c r="Y65" s="970"/>
      <c r="Z65" s="969"/>
      <c r="AA65" s="552"/>
      <c r="AB65" s="552"/>
      <c r="AC65" s="553"/>
      <c r="AD65" s="553"/>
      <c r="AE65" s="552"/>
      <c r="AF65" s="552"/>
      <c r="AG65" s="552"/>
      <c r="AH65" s="552"/>
      <c r="AI65" s="552"/>
      <c r="AJ65" s="552"/>
      <c r="AK65" s="563"/>
      <c r="AL65" s="552"/>
      <c r="AM65" s="553"/>
      <c r="AN65" s="553"/>
    </row>
    <row r="66" spans="1:40" s="554" customFormat="1" ht="15" customHeight="1" x14ac:dyDescent="0.2">
      <c r="A66" s="684"/>
      <c r="B66" s="560" t="s">
        <v>1621</v>
      </c>
      <c r="C66" s="561">
        <f>IF(COUNTIF(vergers!$C$45:$C$92,vergers!$D$7)=0,0,SUMIF(vergers!$C$45:$C$92,vergers!H7,vergers!$D$45:$D$92)*400)</f>
        <v>0</v>
      </c>
      <c r="D66" s="664"/>
      <c r="E66" s="666" t="str">
        <f>IF(C66=0,"","soit "&amp;C66*PrixEngraisMirabellier&amp;"€")</f>
        <v/>
      </c>
      <c r="F66" s="314" t="s">
        <v>500</v>
      </c>
      <c r="G66" s="562">
        <f>(SUMIF(parcelles!$C$94:$C$141,F66,parcelles!$E$94:$E$141)+SUMIF(parcelles!$M$94:$M$141,F66,parcelles!$O$94:$O$141))*VLOOKUP(F66,BDD!$HN$5:$HU$38,2,FALSE)</f>
        <v>0</v>
      </c>
      <c r="H66" s="666" t="str">
        <f>IF(G66=0,"","soit "&amp;G66*IF(OR(F14=CANADA,F14=USA),HLOOKUP(F66,BDD!P3:AY9,6,FALSE),HLOOKUP(F66,BDD!P32:AY38,6,FALSE))&amp;"€")</f>
        <v/>
      </c>
      <c r="I66" s="667"/>
      <c r="J66" s="667"/>
      <c r="K66" s="664"/>
      <c r="L66" s="669"/>
      <c r="M66" s="971"/>
      <c r="N66" s="971"/>
      <c r="O66" s="972"/>
      <c r="P66" s="970"/>
      <c r="Q66" s="970"/>
      <c r="R66" s="970"/>
      <c r="S66" s="970"/>
      <c r="T66" s="970"/>
      <c r="U66" s="970"/>
      <c r="V66" s="970"/>
      <c r="W66" s="970"/>
      <c r="X66" s="970"/>
      <c r="Y66" s="970"/>
      <c r="Z66" s="969"/>
      <c r="AA66" s="552"/>
      <c r="AB66" s="552"/>
      <c r="AC66" s="553"/>
      <c r="AD66" s="552"/>
      <c r="AE66" s="552"/>
      <c r="AF66" s="552"/>
      <c r="AG66" s="552"/>
      <c r="AH66" s="552"/>
      <c r="AI66" s="552"/>
      <c r="AJ66" s="563"/>
      <c r="AK66" s="552"/>
      <c r="AL66" s="553"/>
      <c r="AM66" s="553"/>
      <c r="AN66" s="553"/>
    </row>
    <row r="67" spans="1:40" s="554" customFormat="1" ht="15" customHeight="1" x14ac:dyDescent="0.2">
      <c r="A67" s="684"/>
      <c r="B67" s="287" t="s">
        <v>1773</v>
      </c>
      <c r="C67" s="558">
        <f>IF(COUNTIF(vergers!$C$45:$C$92,vergers!$C$7)=0,0,SUMIF(vergers!$C$45:$C$92,vergers!I7,vergers!$D$45:$D$92)*400)</f>
        <v>0</v>
      </c>
      <c r="D67" s="664"/>
      <c r="E67" s="666" t="str">
        <f>IF(C67=0,"","soit "&amp;C67*PrixEngraisNoyers&amp;"€")</f>
        <v/>
      </c>
      <c r="F67" s="301" t="s">
        <v>300</v>
      </c>
      <c r="G67" s="559">
        <f>(SUMIF(parcelles!$C$94:$C$141,F67,parcelles!$E$94:$E$141)+SUMIF(parcelles!$M$94:$M$141,F67,parcelles!$O$94:$O$141))*VLOOKUP(F67,BDD!$HN$5:$HU$38,2,FALSE)</f>
        <v>0</v>
      </c>
      <c r="H67" s="666" t="str">
        <f>IF(G67=0,"","soit "&amp;G67*IF(OR(F14=CANADA,F14=USA),HLOOKUP(F67,BDD!P3:AY9,6,FALSE),HLOOKUP(F67,BDD!P32:AY38,6,FALSE))&amp;"€")</f>
        <v/>
      </c>
      <c r="I67" s="667"/>
      <c r="J67" s="667"/>
      <c r="K67" s="664"/>
      <c r="L67" s="664"/>
      <c r="M67" s="664"/>
      <c r="N67" s="664"/>
      <c r="O67" s="670"/>
      <c r="P67" s="555"/>
      <c r="Q67" s="555"/>
      <c r="R67" s="555"/>
      <c r="S67" s="555"/>
      <c r="T67" s="555"/>
      <c r="U67" s="555"/>
      <c r="V67" s="555"/>
      <c r="W67" s="555"/>
      <c r="X67" s="555"/>
      <c r="Y67" s="552"/>
      <c r="Z67" s="552"/>
      <c r="AA67" s="552"/>
      <c r="AB67" s="553"/>
      <c r="AC67" s="552"/>
      <c r="AD67" s="552"/>
      <c r="AE67" s="552"/>
      <c r="AF67" s="552"/>
      <c r="AG67" s="552"/>
      <c r="AH67" s="552"/>
      <c r="AI67" s="563"/>
      <c r="AJ67" s="552"/>
      <c r="AK67" s="553"/>
      <c r="AL67" s="553"/>
      <c r="AM67" s="553"/>
    </row>
    <row r="68" spans="1:40" s="554" customFormat="1" ht="15" customHeight="1" x14ac:dyDescent="0.2">
      <c r="A68" s="684"/>
      <c r="B68" s="560" t="s">
        <v>1774</v>
      </c>
      <c r="C68" s="561">
        <f>IF(COUNTIF(vergers!$C$45:$C$92,vergers!$G$7)=0,0,SUMIF(vergers!$C$45:$C$92,vergers!J7,vergers!$D$45:$D$92)*400)</f>
        <v>0</v>
      </c>
      <c r="D68" s="664"/>
      <c r="E68" s="666" t="str">
        <f>IF(C68=0,"","soit "&amp;C68*PrixEngraisOliviers&amp;"€")</f>
        <v/>
      </c>
      <c r="F68" s="314" t="s">
        <v>501</v>
      </c>
      <c r="G68" s="562">
        <f>(SUMIF(parcelles!$C$94:$C$141,F68,parcelles!$E$94:$E$141)+SUMIF(parcelles!$M$94:$M$141,F68,parcelles!$O$94:$O$141))*VLOOKUP(F68,BDD!$HN$5:$HU$38,2,FALSE)</f>
        <v>0</v>
      </c>
      <c r="H68" s="666" t="str">
        <f>IF(G68=0,"","soit "&amp;G68*IF(OR(F14=CANADA,F14=USA),HLOOKUP(F68,BDD!P3:AY9,6,FALSE),HLOOKUP(F68,BDD!P32:AY38,6,FALSE))&amp;"€")</f>
        <v/>
      </c>
      <c r="I68" s="667"/>
      <c r="J68" s="667"/>
      <c r="K68" s="664"/>
      <c r="L68" s="664"/>
      <c r="M68" s="664"/>
      <c r="N68" s="664"/>
      <c r="O68" s="670"/>
      <c r="P68" s="555"/>
      <c r="Q68" s="555"/>
      <c r="R68" s="555"/>
      <c r="S68" s="555"/>
      <c r="T68" s="555"/>
      <c r="U68" s="555"/>
      <c r="V68" s="555"/>
      <c r="W68" s="555"/>
      <c r="X68" s="555"/>
      <c r="Y68" s="552"/>
      <c r="Z68" s="552"/>
      <c r="AA68" s="552"/>
      <c r="AB68" s="553"/>
      <c r="AC68" s="552"/>
      <c r="AD68" s="552"/>
      <c r="AE68" s="552"/>
      <c r="AF68" s="552"/>
      <c r="AG68" s="552"/>
      <c r="AH68" s="552"/>
      <c r="AI68" s="563"/>
      <c r="AJ68" s="552"/>
      <c r="AK68" s="553"/>
      <c r="AL68" s="553"/>
      <c r="AM68" s="553"/>
    </row>
    <row r="69" spans="1:40" s="554" customFormat="1" ht="15" customHeight="1" x14ac:dyDescent="0.2">
      <c r="A69" s="684"/>
      <c r="B69" s="287" t="s">
        <v>1775</v>
      </c>
      <c r="C69" s="558">
        <f>IF(COUNTIF(vergers!$C$45:$C$92,vergers!$H$7)=0,0,SUMIF(vergers!$C$45:$C$92,vergers!K7,vergers!$D$45:$D$92)*400)</f>
        <v>0</v>
      </c>
      <c r="D69" s="664"/>
      <c r="E69" s="666" t="str">
        <f>IF(C69=0,"","soit "&amp;C69*PrixEngraisFramboisier&amp;"€")</f>
        <v/>
      </c>
      <c r="F69" s="301" t="s">
        <v>49</v>
      </c>
      <c r="G69" s="559">
        <f>(SUMIF(parcelles!$C$94:$C$141,F69,parcelles!$E$94:$E$141)+SUMIF(parcelles!$M$94:$M$141,F69,parcelles!$O$94:$O$141))*VLOOKUP(F69,BDD!$HN$5:$HU$38,2,FALSE)</f>
        <v>0</v>
      </c>
      <c r="H69" s="666" t="str">
        <f>IF(G69=0,"","soit "&amp;G69*IF(OR(F14=CANADA,F14=USA),HLOOKUP(F69,BDD!P3:AY9,6,FALSE),HLOOKUP(F69,BDD!P32:AY38,6,FALSE))&amp;"€")</f>
        <v/>
      </c>
      <c r="I69" s="667"/>
      <c r="J69" s="667"/>
      <c r="K69" s="664"/>
      <c r="L69" s="664"/>
      <c r="M69" s="664"/>
      <c r="N69" s="664"/>
      <c r="O69" s="671"/>
      <c r="P69" s="555"/>
      <c r="Q69" s="555"/>
      <c r="R69" s="553"/>
      <c r="S69" s="553"/>
      <c r="T69" s="552"/>
      <c r="U69" s="552"/>
      <c r="V69" s="552"/>
      <c r="W69" s="552"/>
      <c r="X69" s="552"/>
      <c r="Y69" s="552"/>
      <c r="Z69" s="552"/>
      <c r="AA69" s="552"/>
      <c r="AB69" s="553"/>
      <c r="AC69" s="566"/>
      <c r="AD69" s="566"/>
      <c r="AE69" s="566"/>
      <c r="AF69" s="566"/>
      <c r="AG69" s="566"/>
      <c r="AH69" s="552"/>
      <c r="AI69" s="563"/>
      <c r="AJ69" s="552"/>
      <c r="AK69" s="553"/>
      <c r="AL69" s="553"/>
      <c r="AM69" s="553"/>
    </row>
    <row r="70" spans="1:40" s="554" customFormat="1" ht="15" customHeight="1" x14ac:dyDescent="0.2">
      <c r="A70" s="684"/>
      <c r="B70" s="560" t="s">
        <v>1776</v>
      </c>
      <c r="C70" s="561">
        <f>IF(COUNTIF(vergers!$C$45:$C$92,vergers!$E$7)=0,0,SUMIF(vergers!$C$45:$C$92,vergers!L7,vergers!$D$45:$D$92)*(3*14))</f>
        <v>0</v>
      </c>
      <c r="D70" s="664"/>
      <c r="E70" s="666" t="str">
        <f>IF(C70=0,"","soit "&amp;C70*PrixEngraisGroseiller&amp;"€")</f>
        <v/>
      </c>
      <c r="F70" s="314" t="s">
        <v>1548</v>
      </c>
      <c r="G70" s="562">
        <f>(SUMIF(parcelles!$C$94:$C$141,F70,parcelles!$E$94:$E$141)+SUMIF(parcelles!$M$94:$M$141,F70,parcelles!$O$94:$O$141))*VLOOKUP(F70,BDD!$HN$5:$HU$38,2,FALSE)</f>
        <v>0</v>
      </c>
      <c r="H70" s="666" t="str">
        <f>IF(G70=0,"","soit "&amp;G70*IF(OR(F14=CANADA,F14=USA),HLOOKUP(F70,BDD!P3:AY9,6,FALSE),HLOOKUP(F70,BDD!P32:AY38,6,FALSE))&amp;"€")</f>
        <v/>
      </c>
      <c r="I70" s="667"/>
      <c r="J70" s="667"/>
      <c r="K70" s="664"/>
      <c r="L70" s="664"/>
      <c r="M70" s="664"/>
      <c r="N70" s="664"/>
      <c r="O70" s="671"/>
      <c r="P70" s="555"/>
      <c r="Q70" s="555"/>
      <c r="R70" s="553"/>
      <c r="S70" s="553"/>
      <c r="T70" s="552"/>
      <c r="U70" s="552"/>
      <c r="V70" s="552"/>
      <c r="W70" s="552"/>
      <c r="X70" s="552"/>
      <c r="Y70" s="552"/>
      <c r="Z70" s="552"/>
      <c r="AA70" s="552"/>
      <c r="AB70" s="553"/>
      <c r="AC70" s="521"/>
      <c r="AD70" s="521"/>
      <c r="AE70" s="521"/>
      <c r="AF70" s="547"/>
      <c r="AG70" s="521"/>
      <c r="AH70" s="552"/>
      <c r="AI70" s="563"/>
      <c r="AJ70" s="552"/>
      <c r="AK70" s="553"/>
      <c r="AL70" s="553"/>
      <c r="AM70" s="553"/>
    </row>
    <row r="71" spans="1:40" s="554" customFormat="1" ht="15" customHeight="1" x14ac:dyDescent="0.2">
      <c r="A71" s="679"/>
      <c r="B71" s="287" t="s">
        <v>1777</v>
      </c>
      <c r="C71" s="558">
        <f>IF(COUNTIF(vergers!$C$45:$C$92,vergers!$D$7)=0,0,SUMIF(vergers!$C$45:$C$92,vergers!M7,vergers!$D$45:$D$92)*(3*21))</f>
        <v>0</v>
      </c>
      <c r="D71" s="664"/>
      <c r="E71" s="666" t="str">
        <f>IF(C71=0,"","soit "&amp;C71*PrixEngraisMyrtillers&amp;"€")</f>
        <v/>
      </c>
      <c r="F71" s="301" t="s">
        <v>1549</v>
      </c>
      <c r="G71" s="559">
        <f>(SUMIF(parcelles!$C$94:$C$141,F71,parcelles!$E$94:$E$141)+SUMIF(parcelles!$M$94:$M$141,F71,parcelles!$O$94:$O$141))*VLOOKUP(F71,BDD!$HN$5:$HU$38,2,FALSE)</f>
        <v>0</v>
      </c>
      <c r="H71" s="666" t="str">
        <f>IF(G71=0,"","soit "&amp;G71*IF(OR(F14=CANADA,F14=USA),HLOOKUP(F71,BDD!P3:AY9,6,FALSE),HLOOKUP(F71,BDD!P32:AY38,6,FALSE))&amp;"€")</f>
        <v/>
      </c>
      <c r="I71" s="667"/>
      <c r="J71" s="667"/>
      <c r="K71" s="664"/>
      <c r="L71" s="664"/>
      <c r="M71" s="664"/>
      <c r="N71" s="664"/>
      <c r="O71" s="671"/>
      <c r="P71" s="555"/>
      <c r="Q71" s="555"/>
      <c r="R71" s="553"/>
      <c r="S71" s="553"/>
      <c r="T71" s="552"/>
      <c r="U71" s="552"/>
      <c r="V71" s="552"/>
      <c r="W71" s="552"/>
      <c r="X71" s="552"/>
      <c r="Y71" s="552"/>
      <c r="Z71" s="552"/>
      <c r="AA71" s="552"/>
      <c r="AB71" s="553"/>
      <c r="AC71" s="521"/>
      <c r="AD71" s="521"/>
      <c r="AE71" s="521"/>
      <c r="AF71" s="547"/>
      <c r="AG71" s="521"/>
      <c r="AH71" s="552"/>
      <c r="AI71" s="563"/>
      <c r="AJ71" s="552"/>
      <c r="AK71" s="553"/>
      <c r="AL71" s="553"/>
      <c r="AM71" s="553"/>
    </row>
    <row r="72" spans="1:40" s="554" customFormat="1" ht="15" customHeight="1" x14ac:dyDescent="0.2">
      <c r="A72" s="679"/>
      <c r="B72" s="560" t="s">
        <v>1788</v>
      </c>
      <c r="C72" s="561">
        <f>IF(COUNTIF(vergers!$C$45:$C$92,vergers!$D$7)=0,0,SUMIF(vergers!$C$45:$C$92,vergers!D17,vergers!$D$45:$D$92)*400)</f>
        <v>0</v>
      </c>
      <c r="D72" s="664"/>
      <c r="E72" s="666" t="str">
        <f>IF(C72=0,"","soit "&amp;C72*PrixTraitementPommiers&amp;"€")</f>
        <v/>
      </c>
      <c r="F72" s="314" t="s">
        <v>331</v>
      </c>
      <c r="G72" s="562">
        <f>(SUMIF(parcelles!$C$94:$C$141,F72,parcelles!$E$94:$E$141)+SUMIF(parcelles!$M$94:$M$141,F72,parcelles!$O$94:$O$141))*VLOOKUP(F72,BDD!$HN$5:$HU$38,2,FALSE)</f>
        <v>0</v>
      </c>
      <c r="H72" s="666" t="str">
        <f>IF(G72=0,"","soit "&amp;G72*IF(OR(F14=CANADA,F14=USA),HLOOKUP(F72,BDD!P3:AY9,6,FALSE),HLOOKUP(F72,BDD!P32:AY38,6,FALSE))&amp;"€")</f>
        <v/>
      </c>
      <c r="I72" s="667"/>
      <c r="J72" s="667"/>
      <c r="K72" s="664"/>
      <c r="L72" s="664"/>
      <c r="M72" s="664"/>
      <c r="N72" s="664"/>
      <c r="O72" s="671"/>
      <c r="P72" s="553"/>
      <c r="Q72" s="553"/>
      <c r="R72" s="553"/>
      <c r="S72" s="553"/>
      <c r="T72" s="566"/>
      <c r="U72" s="566"/>
      <c r="V72" s="566"/>
      <c r="W72" s="566"/>
      <c r="X72" s="566"/>
      <c r="Y72" s="552"/>
      <c r="Z72" s="552"/>
      <c r="AA72" s="552"/>
      <c r="AB72" s="553"/>
      <c r="AC72" s="552"/>
      <c r="AD72" s="521"/>
      <c r="AE72" s="521"/>
      <c r="AF72" s="547"/>
      <c r="AG72" s="521"/>
      <c r="AH72" s="552"/>
      <c r="AI72" s="563"/>
      <c r="AJ72" s="552"/>
      <c r="AK72" s="553"/>
      <c r="AL72" s="553"/>
      <c r="AM72" s="553"/>
    </row>
    <row r="73" spans="1:40" s="554" customFormat="1" ht="15" customHeight="1" x14ac:dyDescent="0.2">
      <c r="A73" s="679"/>
      <c r="B73" s="287" t="s">
        <v>1779</v>
      </c>
      <c r="C73" s="558">
        <f>IF(COUNTIF(vergers!$C$45:$C$92,vergers!$E$7)=0,0,SUMIF(vergers!$C$45:$C$92,vergers!E17,vergers!$D$45:$D$92)*400)</f>
        <v>0</v>
      </c>
      <c r="D73" s="664"/>
      <c r="E73" s="666" t="str">
        <f>IF(C73=0,"","soit "&amp;C73*PrixTraitementPêchers&amp;"€")</f>
        <v/>
      </c>
      <c r="F73" s="301" t="s">
        <v>1529</v>
      </c>
      <c r="G73" s="559">
        <f>(SUMIF(parcelles!$C$94:$C$141,F73,parcelles!$E$94:$E$141)+SUMIF(parcelles!$M$94:$M$141,F73,parcelles!$O$94:$O$141))*VLOOKUP(F73,BDD!$HN$5:$HU$38,2,FALSE)</f>
        <v>0</v>
      </c>
      <c r="H73" s="666" t="str">
        <f>IF(G73=0,"","soit "&amp;G73*IF(OR(F14=CANADA,F14=USA),HLOOKUP(F73,BDD!P3:AY9,6,FALSE),HLOOKUP(F73,BDD!P32:AY38,6,FALSE))&amp;"€")</f>
        <v/>
      </c>
      <c r="I73" s="667"/>
      <c r="J73" s="667"/>
      <c r="K73" s="664"/>
      <c r="L73" s="664"/>
      <c r="M73" s="664"/>
      <c r="N73" s="664"/>
      <c r="O73" s="671"/>
      <c r="P73" s="553"/>
      <c r="Q73" s="553"/>
      <c r="R73" s="553"/>
      <c r="S73" s="553"/>
      <c r="T73" s="521"/>
      <c r="U73" s="521"/>
      <c r="V73" s="521"/>
      <c r="W73" s="547"/>
      <c r="X73" s="521"/>
      <c r="Y73" s="552"/>
      <c r="Z73" s="552"/>
      <c r="AA73" s="552"/>
      <c r="AB73" s="553"/>
      <c r="AC73" s="552"/>
      <c r="AD73" s="521"/>
      <c r="AE73" s="521"/>
      <c r="AF73" s="547"/>
      <c r="AG73" s="552"/>
      <c r="AH73" s="552"/>
      <c r="AI73" s="563"/>
      <c r="AJ73" s="552"/>
      <c r="AK73" s="553"/>
      <c r="AL73" s="553"/>
      <c r="AM73" s="553"/>
    </row>
    <row r="74" spans="1:40" x14ac:dyDescent="0.2">
      <c r="A74" s="678"/>
      <c r="B74" s="560" t="s">
        <v>1780</v>
      </c>
      <c r="C74" s="561">
        <f>IF(COUNTIF(vergers!$C$45:$C$92,vergers!$D$7)=0,0,SUMIF(vergers!$C$45:$C$92,vergers!F17,vergers!$D$45:$D$92)*400)</f>
        <v>0</v>
      </c>
      <c r="D74" s="664"/>
      <c r="E74" s="666" t="str">
        <f>IF(C74=0,"","soit "&amp;C74*PrixTraitementCerisiers&amp;"€")</f>
        <v/>
      </c>
      <c r="F74" s="314" t="s">
        <v>332</v>
      </c>
      <c r="G74" s="562">
        <f>(SUMIF(parcelles!$C$94:$C$141,F74,parcelles!$E$94:$E$141)+SUMIF(parcelles!$M$94:$M$141,F74,parcelles!$O$94:$O$141))*VLOOKUP(F74,BDD!$HN$5:$HU$38,2,FALSE)</f>
        <v>0</v>
      </c>
      <c r="H74" s="666" t="str">
        <f>IF(G74=0,"","soit "&amp;G74*IF(OR(F14=CANADA,F14=USA),HLOOKUP(F74,BDD!P3:AY9,6,FALSE),HLOOKUP(F74,BDD!P32:AY38,6,FALSE))&amp;"€")</f>
        <v/>
      </c>
      <c r="I74" s="667"/>
      <c r="J74" s="667"/>
      <c r="K74" s="672"/>
      <c r="L74" s="673"/>
      <c r="M74" s="673"/>
      <c r="N74" s="673"/>
      <c r="O74" s="674"/>
      <c r="P74" s="2"/>
      <c r="Q74" s="2"/>
      <c r="R74" s="2"/>
      <c r="S74" s="2"/>
      <c r="T74" s="2"/>
      <c r="U74" s="2"/>
      <c r="V74" s="2"/>
      <c r="W74" s="2"/>
      <c r="AC74" s="552"/>
      <c r="AD74" s="521"/>
      <c r="AE74" s="521"/>
      <c r="AF74" s="547"/>
      <c r="AG74" s="552"/>
      <c r="AH74" s="552"/>
      <c r="AI74" s="563"/>
      <c r="AJ74" s="552"/>
      <c r="AK74" s="553"/>
      <c r="AL74" s="553"/>
      <c r="AM74" s="553"/>
      <c r="AN74" s="554"/>
    </row>
    <row r="75" spans="1:40" x14ac:dyDescent="0.2">
      <c r="A75" s="678"/>
      <c r="B75" s="287" t="s">
        <v>1781</v>
      </c>
      <c r="C75" s="558">
        <f>IF(COUNTIF(vergers!$C$45:$C$92,vergers!$E$7)=0,0,SUMIF(vergers!$C$45:$C$92,vergers!G17,vergers!$D$45:$D$92)*400)</f>
        <v>0</v>
      </c>
      <c r="D75" s="664"/>
      <c r="E75" s="666" t="str">
        <f>IF(C75=0,"","soit "&amp;C75*PrixTraitementPruniers&amp;"€")</f>
        <v/>
      </c>
      <c r="F75" s="301" t="s">
        <v>333</v>
      </c>
      <c r="G75" s="559">
        <f>(SUMIF(parcelles!$C$94:$C$141,F75,parcelles!$E$94:$E$141)+SUMIF(parcelles!$M$94:$M$141,F75,parcelles!$O$94:$O$141))*VLOOKUP(F75,BDD!$HN$5:$HU$38,2,FALSE)</f>
        <v>0</v>
      </c>
      <c r="H75" s="666" t="str">
        <f>IF(G75=0,"","soit "&amp;G75*IF(OR(F14=CANADA,F14=USA),HLOOKUP(F75,BDD!P3:AY9,6,FALSE),HLOOKUP(F75,BDD!P32:AY38,6,FALSE))&amp;"€")</f>
        <v/>
      </c>
      <c r="I75" s="667"/>
      <c r="J75" s="667"/>
      <c r="K75" s="672"/>
      <c r="L75" s="673"/>
      <c r="M75" s="673"/>
      <c r="N75" s="673"/>
      <c r="O75" s="674"/>
      <c r="P75" s="2"/>
      <c r="Q75" s="2"/>
      <c r="R75" s="2"/>
      <c r="S75" s="2"/>
      <c r="T75" s="2"/>
      <c r="U75" s="2"/>
      <c r="V75" s="2"/>
      <c r="W75" s="2"/>
      <c r="AC75" s="552"/>
      <c r="AD75" s="521"/>
      <c r="AE75" s="521"/>
      <c r="AF75" s="547"/>
      <c r="AG75" s="552"/>
      <c r="AH75" s="552"/>
      <c r="AI75" s="563"/>
      <c r="AJ75" s="552"/>
      <c r="AK75" s="553"/>
      <c r="AL75" s="553"/>
      <c r="AM75" s="553"/>
      <c r="AN75" s="554"/>
    </row>
    <row r="76" spans="1:40" x14ac:dyDescent="0.2">
      <c r="A76" s="678"/>
      <c r="B76" s="560" t="s">
        <v>1782</v>
      </c>
      <c r="C76" s="561">
        <f>IF(COUNTIF(vergers!$C$45:$C$92,vergers!$D$7)=0,0,SUMIF(vergers!$C$45:$C$92,vergers!H17,vergers!$D$45:$D$92)*400)</f>
        <v>0</v>
      </c>
      <c r="D76" s="664"/>
      <c r="E76" s="666" t="str">
        <f>IF(C76=0,"","soit "&amp;C76*PrixTraitementMirabelliers&amp;"€")</f>
        <v/>
      </c>
      <c r="F76" s="314" t="s">
        <v>1439</v>
      </c>
      <c r="G76" s="562">
        <f>IF(SUMIF('pâtures et foin'!D26:BA26,F76,'pâtures et foin'!D27:BA27)=0,0,SUMIF('pâtures et foin'!D26:BA26,F76,'pâtures et foin'!D27:BA27)*VLOOKUP(F76,BDD!F10:H17,3,FALSE))</f>
        <v>0</v>
      </c>
      <c r="H76" s="666" t="str">
        <f>IF(G76=0,"","soit "&amp;G76*VLOOKUP(F76,BDD!F10:I17,2,FALSE)&amp;"€")</f>
        <v/>
      </c>
      <c r="I76" s="667"/>
      <c r="J76" s="667"/>
      <c r="K76" s="672"/>
      <c r="L76" s="673"/>
      <c r="M76" s="673"/>
      <c r="N76" s="673"/>
      <c r="O76" s="674"/>
      <c r="P76" s="2"/>
      <c r="Q76" s="2"/>
      <c r="R76" s="2"/>
      <c r="S76" s="2"/>
      <c r="T76" s="2"/>
      <c r="U76" s="2"/>
      <c r="V76" s="2"/>
      <c r="W76" s="2"/>
      <c r="AC76" s="552"/>
      <c r="AD76" s="521"/>
      <c r="AE76" s="521"/>
      <c r="AF76" s="547"/>
      <c r="AG76" s="552"/>
      <c r="AH76" s="552"/>
      <c r="AI76" s="563"/>
      <c r="AJ76" s="552"/>
      <c r="AK76" s="553"/>
      <c r="AL76" s="553"/>
      <c r="AM76" s="553"/>
      <c r="AN76" s="554"/>
    </row>
    <row r="77" spans="1:40" x14ac:dyDescent="0.2">
      <c r="A77" s="678"/>
      <c r="B77" s="287" t="s">
        <v>1783</v>
      </c>
      <c r="C77" s="558">
        <f>IF(COUNTIF(vergers!$C$45:$C$92,vergers!$C$7)=0,0,SUMIF(vergers!$C$45:$C$92,vergers!I17,vergers!$D$45:$D$92)*400)</f>
        <v>0</v>
      </c>
      <c r="D77" s="664"/>
      <c r="E77" s="666" t="str">
        <f>IF(C77=0,"","soit "&amp;C77*PrixTraitementNoyers&amp;"€")</f>
        <v/>
      </c>
      <c r="F77" s="301" t="s">
        <v>1441</v>
      </c>
      <c r="G77" s="559">
        <f>IF(SUMIF('pâtures et foin'!D26:BA26,F77,'pâtures et foin'!D27:BA27)=0,0,SUMIF('pâtures et foin'!D26:BA26,F77,'pâtures et foin'!D27:BA27)*VLOOKUP(F77,BDD!F10:H17,3,FALSE))</f>
        <v>0</v>
      </c>
      <c r="H77" s="666" t="str">
        <f>IF(G77=0,"","soit "&amp;G77*VLOOKUP(F77,BDD!F10:I17,2,FALSE)&amp;"€")</f>
        <v/>
      </c>
      <c r="I77" s="667"/>
      <c r="J77" s="667"/>
      <c r="K77" s="672"/>
      <c r="L77" s="673"/>
      <c r="M77" s="673"/>
      <c r="N77" s="673"/>
      <c r="O77" s="674"/>
      <c r="P77" s="2"/>
      <c r="Q77" s="2"/>
      <c r="R77" s="2"/>
      <c r="S77" s="2"/>
      <c r="T77" s="2"/>
      <c r="U77" s="2"/>
      <c r="V77" s="2"/>
      <c r="W77" s="2"/>
      <c r="AC77" s="552"/>
      <c r="AD77" s="521"/>
      <c r="AE77" s="521"/>
      <c r="AF77" s="547"/>
      <c r="AG77" s="552"/>
      <c r="AH77" s="552"/>
      <c r="AI77" s="563"/>
      <c r="AJ77" s="552"/>
      <c r="AK77" s="553"/>
      <c r="AL77" s="553"/>
      <c r="AM77" s="553"/>
      <c r="AN77" s="554"/>
    </row>
    <row r="78" spans="1:40" x14ac:dyDescent="0.2">
      <c r="A78" s="678"/>
      <c r="B78" s="560" t="s">
        <v>1784</v>
      </c>
      <c r="C78" s="561">
        <f>IF(COUNTIF(vergers!$C$45:$C$92,vergers!$G$7)=0,0,SUMIF(vergers!$C$45:$C$92,vergers!J17,vergers!$D$45:$D$92)*400)</f>
        <v>0</v>
      </c>
      <c r="D78" s="664"/>
      <c r="E78" s="666" t="str">
        <f>IF(C78=0,"","soit "&amp;C78*PrixTraitementOliviers&amp;"€")</f>
        <v/>
      </c>
      <c r="F78" s="314" t="s">
        <v>1443</v>
      </c>
      <c r="G78" s="562">
        <f>IF(SUMIF('pâtures et foin'!D26:BA26,F78,'pâtures et foin'!D27:BA27)=0,0,SUMIF('pâtures et foin'!D26:BA26,F78,'pâtures et foin'!D27:BA27)*VLOOKUP(F78,BDD!F10:H17,3,FALSE))</f>
        <v>0</v>
      </c>
      <c r="H78" s="666" t="str">
        <f>IF(G78=0,"","soit "&amp;G78*VLOOKUP(F78,BDD!F10:I17,2,FALSE)&amp;"€")</f>
        <v/>
      </c>
      <c r="I78" s="667"/>
      <c r="J78" s="667"/>
      <c r="K78" s="672"/>
      <c r="L78" s="673"/>
      <c r="M78" s="673"/>
      <c r="N78" s="673"/>
      <c r="O78" s="674"/>
      <c r="P78" s="2"/>
      <c r="Q78" s="2"/>
      <c r="R78" s="2"/>
      <c r="S78" s="2"/>
      <c r="T78" s="2"/>
      <c r="U78" s="2"/>
      <c r="V78" s="2"/>
      <c r="W78" s="2"/>
      <c r="AC78" s="552"/>
      <c r="AD78" s="521"/>
      <c r="AE78" s="521"/>
      <c r="AF78" s="547"/>
      <c r="AG78" s="552"/>
      <c r="AH78" s="552"/>
      <c r="AI78" s="563"/>
      <c r="AJ78" s="552"/>
      <c r="AK78" s="553"/>
      <c r="AL78" s="553"/>
      <c r="AM78" s="553"/>
      <c r="AN78" s="554"/>
    </row>
    <row r="79" spans="1:40" x14ac:dyDescent="0.2">
      <c r="A79" s="678"/>
      <c r="B79" s="287" t="s">
        <v>1785</v>
      </c>
      <c r="C79" s="558">
        <f>IF(COUNTIF(vergers!$C$45:$C$92,vergers!$H$7)=0,0,SUMIF(vergers!$C$45:$C$92,vergers!K17,vergers!$D$45:$D$92)*400)</f>
        <v>0</v>
      </c>
      <c r="D79" s="664"/>
      <c r="E79" s="666" t="str">
        <f>IF(C79=0,"","soit "&amp;C79*PrixTraitementFramboisiers&amp;"€")</f>
        <v/>
      </c>
      <c r="F79" s="301" t="s">
        <v>1445</v>
      </c>
      <c r="G79" s="559">
        <f>IF(SUMIF('pâtures et foin'!D26:BA26,F79,'pâtures et foin'!D27:BA27)=0,0,SUMIF('pâtures et foin'!D26:BA26,F79,'pâtures et foin'!D27:BA27)*VLOOKUP(F9,BDD!F10:H17,3,FALSE))</f>
        <v>0</v>
      </c>
      <c r="H79" s="666" t="str">
        <f>IF(G79=0,"","soit "&amp;G79*VLOOKUP(F79,BDD!F10:I17,2,FALSE)&amp;"€")</f>
        <v/>
      </c>
      <c r="I79" s="667"/>
      <c r="J79" s="667"/>
      <c r="K79" s="672"/>
      <c r="L79" s="673"/>
      <c r="M79" s="673"/>
      <c r="N79" s="673"/>
      <c r="O79" s="674"/>
      <c r="P79" s="2"/>
      <c r="Q79" s="2"/>
      <c r="R79" s="2"/>
      <c r="S79" s="2"/>
      <c r="T79" s="2"/>
      <c r="U79" s="2"/>
      <c r="V79" s="2"/>
      <c r="W79" s="2"/>
      <c r="AC79" s="552"/>
      <c r="AD79" s="521"/>
      <c r="AE79" s="521"/>
      <c r="AF79" s="547"/>
      <c r="AG79" s="552"/>
      <c r="AH79" s="552"/>
      <c r="AI79" s="563"/>
      <c r="AJ79" s="552"/>
      <c r="AK79" s="553"/>
      <c r="AL79" s="553"/>
      <c r="AM79" s="553"/>
      <c r="AN79" s="554"/>
    </row>
    <row r="80" spans="1:40" x14ac:dyDescent="0.2">
      <c r="A80" s="678"/>
      <c r="B80" s="560" t="s">
        <v>1786</v>
      </c>
      <c r="C80" s="561">
        <f>IF(COUNTIF(vergers!$C$45:$C$92,vergers!$E$7)=0,0,SUMIF(vergers!$C$45:$C$92,vergers!L17,vergers!$D$45:$D$92)*(3*14))</f>
        <v>0</v>
      </c>
      <c r="D80" s="664"/>
      <c r="E80" s="666" t="str">
        <f>IF(C80=0,"","soit "&amp;C80*PrixTraitementGroseillers&amp;"€")</f>
        <v/>
      </c>
      <c r="F80" s="314" t="s">
        <v>1446</v>
      </c>
      <c r="G80" s="562">
        <f>IF(SUMIF('pâtures et foin'!D26:BA26,F80,'pâtures et foin'!D27:BA27)=0,0,SUMIF('pâtures et foin'!D26:BA26,F80,'pâtures et foin'!D27:BA27)*VLOOKUP(F80,BDD!F10:H17,3,FALSE))</f>
        <v>0</v>
      </c>
      <c r="H80" s="666" t="str">
        <f>IF(G80=0,"","soit "&amp;G80*VLOOKUP(F80,BDD!F10:I17,2,FALSE)&amp;"€")</f>
        <v/>
      </c>
      <c r="I80" s="667"/>
      <c r="J80" s="667"/>
      <c r="K80" s="672"/>
      <c r="L80" s="673"/>
      <c r="M80" s="673"/>
      <c r="N80" s="673"/>
      <c r="O80" s="674"/>
      <c r="P80" s="2"/>
      <c r="Q80" s="2"/>
      <c r="R80" s="2"/>
      <c r="S80" s="2"/>
      <c r="T80" s="2"/>
      <c r="U80" s="2"/>
      <c r="V80" s="2"/>
      <c r="W80" s="2"/>
      <c r="AC80" s="552"/>
      <c r="AD80" s="552"/>
      <c r="AE80" s="521"/>
      <c r="AF80" s="547"/>
      <c r="AG80" s="552"/>
      <c r="AH80" s="552"/>
      <c r="AI80" s="563"/>
      <c r="AJ80" s="552"/>
      <c r="AK80" s="553"/>
      <c r="AL80" s="553"/>
      <c r="AM80" s="553"/>
      <c r="AN80" s="554"/>
    </row>
    <row r="81" spans="1:40" x14ac:dyDescent="0.2">
      <c r="A81" s="678"/>
      <c r="B81" s="287" t="s">
        <v>1787</v>
      </c>
      <c r="C81" s="558">
        <f>IF(COUNTIF(vergers!$C$45:$C$92,vergers!$D$7)=0,0,SUMIF(vergers!$C$45:$C$92,vergers!M17,vergers!$D$45:$D$92)*(3*21))</f>
        <v>0</v>
      </c>
      <c r="D81" s="664"/>
      <c r="E81" s="666" t="str">
        <f>IF(C81=0,"","soit "&amp;C81*PrixTraitementMyrtillers&amp;"€")</f>
        <v/>
      </c>
      <c r="F81" s="569" t="s">
        <v>1447</v>
      </c>
      <c r="G81" s="570">
        <f>IF(SUMIF('pâtures et foin'!D26:BA26,F81,'pâtures et foin'!D27:BA27)=0,0,SUMIF('pâtures et foin'!D26:BA26,F81,'pâtures et foin'!D27:BA27)*VLOOKUP(F81,BDD!F10:H17,3,FALSE))</f>
        <v>0</v>
      </c>
      <c r="H81" s="666" t="str">
        <f>IF(G81=0,"","soit "&amp;G81*VLOOKUP(F81,BDD!F10:I17,2,FALSE)&amp;"€")</f>
        <v/>
      </c>
      <c r="I81" s="667"/>
      <c r="J81" s="667"/>
      <c r="K81" s="672"/>
      <c r="L81" s="673"/>
      <c r="M81" s="673"/>
      <c r="N81" s="673"/>
      <c r="O81" s="674"/>
      <c r="P81" s="2"/>
      <c r="Q81" s="2"/>
      <c r="R81" s="2"/>
      <c r="S81" s="2"/>
      <c r="T81" s="2"/>
      <c r="U81" s="2"/>
      <c r="V81" s="2"/>
      <c r="W81" s="2"/>
      <c r="AC81" s="552"/>
      <c r="AD81" s="552"/>
      <c r="AE81" s="521"/>
      <c r="AF81" s="547"/>
      <c r="AG81" s="552"/>
      <c r="AH81" s="552"/>
      <c r="AI81" s="563"/>
      <c r="AJ81" s="552"/>
      <c r="AK81" s="553"/>
      <c r="AL81" s="553"/>
      <c r="AM81" s="553"/>
      <c r="AN81" s="554"/>
    </row>
    <row r="82" spans="1:40" ht="13.5" thickBot="1" x14ac:dyDescent="0.25">
      <c r="A82" s="678"/>
      <c r="B82" s="567" t="s">
        <v>1778</v>
      </c>
      <c r="C82" s="568">
        <f>IF(COUNTIF(vergers!$C$45:$C$92,vergers!$D$7)=0,0,SUMIF(vergers!$C$45:$C$92,vergers!D27,vergers!$D$45:$D$92)*400)</f>
        <v>0</v>
      </c>
      <c r="D82" s="664"/>
      <c r="E82" s="666" t="str">
        <f>IF(C82=0,"","soit "&amp;C82*PrixTraitementPoiriers&amp;"€")</f>
        <v/>
      </c>
      <c r="F82" s="314" t="s">
        <v>1644</v>
      </c>
      <c r="G82" s="562">
        <f>IF(SUMIF('pâtures et foin'!D26:BA26,F82,'pâtures et foin'!D27:BA27)=0,0,SUMIF('pâtures et foin'!D26:BA26,F82,'pâtures et foin'!D27:BA27)*VLOOKUP(F82,BDD!F10:H17,3,FALSE))</f>
        <v>0</v>
      </c>
      <c r="H82" s="666" t="str">
        <f>IF(G82=0,"","soit "&amp;G82*VLOOKUP(F82,BDD!F10:I17,2,FALSE)&amp;"€")</f>
        <v/>
      </c>
      <c r="I82" s="667"/>
      <c r="J82" s="667"/>
      <c r="K82" s="672"/>
      <c r="L82" s="673"/>
      <c r="M82" s="673"/>
      <c r="N82" s="673"/>
      <c r="O82" s="674"/>
      <c r="P82" s="2"/>
      <c r="Q82" s="2"/>
      <c r="R82" s="2"/>
      <c r="S82" s="2"/>
      <c r="T82" s="2"/>
      <c r="U82" s="2"/>
      <c r="V82" s="2"/>
      <c r="W82" s="2"/>
      <c r="AC82" s="552"/>
      <c r="AD82" s="552"/>
      <c r="AE82" s="521"/>
      <c r="AF82" s="547"/>
      <c r="AG82" s="552"/>
      <c r="AH82" s="552"/>
      <c r="AI82" s="563"/>
      <c r="AJ82" s="552"/>
      <c r="AK82" s="553"/>
      <c r="AL82" s="553"/>
      <c r="AM82" s="553"/>
      <c r="AN82" s="554"/>
    </row>
    <row r="83" spans="1:40" x14ac:dyDescent="0.2">
      <c r="A83" s="678"/>
      <c r="B83" s="673"/>
      <c r="C83" s="673"/>
      <c r="D83" s="673"/>
      <c r="E83" s="673"/>
      <c r="F83" s="569" t="s">
        <v>1645</v>
      </c>
      <c r="G83" s="570">
        <f>IF(SUMIF('pâtures et foin'!D26:BA26,F83,'pâtures et foin'!D27:BA27)=0,0,SUMIF('pâtures et foin'!D26:BA26,F83,'pâtures et foin'!D27:BA27)*VLOOKUP(F83,BDD!F10:H17,3,FALSE))</f>
        <v>0</v>
      </c>
      <c r="H83" s="666" t="str">
        <f>IF(G83=0,"","soit "&amp;G83*VLOOKUP(F83,BDD!F10:I17,2,FALSE)&amp;"€")</f>
        <v/>
      </c>
      <c r="I83" s="667"/>
      <c r="J83" s="667"/>
      <c r="K83" s="667"/>
      <c r="L83" s="673"/>
      <c r="M83" s="673"/>
      <c r="N83" s="673"/>
      <c r="O83" s="674"/>
      <c r="P83" s="2"/>
      <c r="Q83" s="2"/>
      <c r="R83" s="2"/>
      <c r="S83" s="2"/>
      <c r="T83" s="2"/>
      <c r="U83" s="2"/>
      <c r="V83" s="2"/>
      <c r="W83" s="2"/>
      <c r="AC83" s="552"/>
      <c r="AD83" s="552"/>
      <c r="AE83" s="521"/>
      <c r="AF83" s="547"/>
      <c r="AG83" s="552"/>
      <c r="AH83" s="552"/>
      <c r="AI83" s="563"/>
      <c r="AJ83" s="552"/>
      <c r="AK83" s="553"/>
      <c r="AL83" s="553"/>
      <c r="AM83" s="553"/>
      <c r="AN83" s="554"/>
    </row>
    <row r="84" spans="1:40" x14ac:dyDescent="0.2">
      <c r="A84" s="678"/>
      <c r="B84" s="1680" t="str">
        <f>'pâtures et foin'!B56</f>
        <v>RETOUR EN HAUT</v>
      </c>
      <c r="C84" s="1681"/>
      <c r="D84" s="673"/>
      <c r="E84" s="673"/>
      <c r="F84" s="314" t="s">
        <v>191</v>
      </c>
      <c r="G84" s="562">
        <f>IF(IF(AND(COUNTIF(parcelles!$C$94:$C$141,F84)=1,COUNTIF(parcelles!$M$94:$M$141,F84)=1),VLOOKUP(F84,parcelles!$C$94:$E$141,2,FALSE)+VLOOKUP(F84,parcelles!$M$94:$O$141,2,FALSE),0)=0,(IF(COUNTIF(parcelles!$C$94:$C$141,F84)&gt;0,VLOOKUP(F84,parcelles!$C$94:$E$141,2,FALSE),0)+IF(COUNTIF(parcelles!$M$94:$M$141,F84)&gt;0,VLOOKUP(F84,parcelles!$M$94:$O$141,2,FALSE),0))*VLOOKUP(F84,BDD!$HN$5:$HU$38,2,FALSE),IF(AND(COUNTIF(parcelles!$C$94:$C$141,F84)=1,COUNTIF(parcelles!$M$94:$M$141,F84)=1),VLOOKUP(F84,parcelles!$C$94:$E$141,2,FALSE)+VLOOKUP(F84,parcelles!$M$94:$O$141,2,FALSE),0)*VLOOKUP(F84,BDD!$HN$5:$HU$38,2,FALSE))</f>
        <v>0</v>
      </c>
      <c r="H84" s="666" t="str">
        <f>IF(G84=0,"","soit "&amp;G84*VLOOKUP(F84,BDD!F10:I17,2,FALSE)&amp;"€")</f>
        <v/>
      </c>
      <c r="I84" s="667"/>
      <c r="J84" s="667"/>
      <c r="K84" s="667"/>
      <c r="L84" s="673"/>
      <c r="M84" s="673"/>
      <c r="N84" s="673"/>
      <c r="O84" s="674"/>
      <c r="P84" s="2"/>
      <c r="Q84" s="2"/>
      <c r="R84" s="2"/>
      <c r="S84" s="2"/>
      <c r="T84" s="2"/>
      <c r="U84" s="2"/>
      <c r="V84" s="2"/>
      <c r="W84" s="2"/>
      <c r="AC84" s="552"/>
      <c r="AD84" s="552"/>
      <c r="AE84" s="521"/>
      <c r="AF84" s="547"/>
      <c r="AG84" s="552"/>
      <c r="AH84" s="552"/>
      <c r="AI84" s="563"/>
      <c r="AJ84" s="552"/>
      <c r="AK84" s="553"/>
      <c r="AL84" s="553"/>
      <c r="AM84" s="553"/>
      <c r="AN84" s="554"/>
    </row>
    <row r="85" spans="1:40" ht="13.5" thickBot="1" x14ac:dyDescent="0.25">
      <c r="A85" s="678"/>
      <c r="B85" s="1677" t="s">
        <v>162</v>
      </c>
      <c r="C85" s="1678"/>
      <c r="D85" s="673"/>
      <c r="E85" s="673"/>
      <c r="F85" s="310" t="s">
        <v>192</v>
      </c>
      <c r="G85" s="571">
        <f>IF(IF(AND(COUNTIF(parcelles!$C$94:$C$141,F85)=1,COUNTIF(parcelles!$M$94:$M$141,F85)=1),VLOOKUP(F85,parcelles!$C$94:$E$141,2,FALSE)+VLOOKUP(F85,parcelles!$M$94:$O$141,2,FALSE),0)=0,(IF(COUNTIF(parcelles!$C$94:$C$141,F85)&gt;0,VLOOKUP(F85,parcelles!$C$94:$E$141,2,FALSE),0)+IF(COUNTIF(parcelles!$M$94:$M$141,F85)&gt;0,VLOOKUP(F85,parcelles!$M$94:$O$141,2,FALSE),0))*VLOOKUP(F85,BDD!$HN$5:$HU$38,2,FALSE),IF(AND(COUNTIF(parcelles!$C$94:$C$141,F85)=1,COUNTIF(parcelles!$M$94:$M$141,F85)=1),VLOOKUP(F85,parcelles!$C$94:$E$141,2,FALSE)+VLOOKUP(F85,parcelles!$M$94:$O$141,2,FALSE),0)*VLOOKUP(F85,BDD!$HN$5:$HU$38,2,FALSE))</f>
        <v>0</v>
      </c>
      <c r="H85" s="666" t="str">
        <f>IF(G85=0,"","soit "&amp;G85*VLOOKUP(F85,BDD!F10:I17,2,FALSE)&amp;"€")</f>
        <v/>
      </c>
      <c r="I85" s="667"/>
      <c r="J85" s="667"/>
      <c r="K85" s="672"/>
      <c r="L85" s="673"/>
      <c r="M85" s="673"/>
      <c r="N85" s="673"/>
      <c r="O85" s="674"/>
      <c r="P85" s="2"/>
      <c r="Q85" s="2"/>
      <c r="R85" s="2"/>
      <c r="S85" s="2"/>
      <c r="T85" s="2"/>
      <c r="U85" s="2"/>
      <c r="V85" s="2"/>
      <c r="AC85" s="552"/>
      <c r="AD85" s="552"/>
      <c r="AE85" s="521"/>
      <c r="AF85" s="547"/>
      <c r="AG85" s="552"/>
      <c r="AH85" s="552"/>
      <c r="AI85" s="563"/>
      <c r="AJ85" s="552"/>
      <c r="AK85" s="553"/>
      <c r="AL85" s="553"/>
      <c r="AM85" s="553"/>
      <c r="AN85" s="554"/>
    </row>
    <row r="86" spans="1:40" ht="13.5" thickBot="1" x14ac:dyDescent="0.25">
      <c r="A86" s="677"/>
      <c r="B86" s="675"/>
      <c r="C86" s="675"/>
      <c r="D86" s="675"/>
      <c r="E86" s="675"/>
      <c r="F86" s="675"/>
      <c r="G86" s="675"/>
      <c r="H86" s="675"/>
      <c r="I86" s="675"/>
      <c r="J86" s="675"/>
      <c r="K86" s="675"/>
      <c r="L86" s="675"/>
      <c r="M86" s="675"/>
      <c r="N86" s="675"/>
      <c r="O86" s="676"/>
      <c r="P86" s="2"/>
      <c r="Q86" s="2"/>
      <c r="R86" s="2"/>
      <c r="S86" s="2"/>
      <c r="T86" s="2"/>
      <c r="U86" s="2"/>
      <c r="V86" s="2"/>
      <c r="AC86" s="552"/>
      <c r="AD86" s="552"/>
      <c r="AE86" s="521"/>
      <c r="AF86" s="547"/>
      <c r="AG86" s="552"/>
      <c r="AI86" s="563"/>
      <c r="AJ86" s="552"/>
      <c r="AK86" s="553"/>
      <c r="AL86" s="553"/>
    </row>
    <row r="87" spans="1:40" x14ac:dyDescent="0.2">
      <c r="A87" s="2"/>
      <c r="B87" s="2"/>
      <c r="C87" s="2"/>
      <c r="D87" s="2"/>
      <c r="E87" s="2"/>
      <c r="F87" s="2"/>
      <c r="G87" s="2"/>
      <c r="H87" s="2"/>
      <c r="I87" s="2"/>
      <c r="J87" s="2"/>
      <c r="K87" s="2"/>
      <c r="L87" s="2"/>
      <c r="M87" s="2"/>
      <c r="N87" s="2"/>
      <c r="O87" s="2"/>
      <c r="P87" s="2"/>
      <c r="Q87" s="2"/>
      <c r="R87" s="2"/>
      <c r="S87" s="2"/>
      <c r="T87" s="2"/>
      <c r="U87" s="2"/>
      <c r="V87" s="2"/>
      <c r="AC87" s="552"/>
      <c r="AD87" s="552"/>
      <c r="AE87" s="521"/>
      <c r="AF87" s="547"/>
      <c r="AG87" s="552"/>
      <c r="AI87" s="563"/>
      <c r="AJ87" s="552"/>
      <c r="AK87" s="553"/>
      <c r="AL87" s="553"/>
    </row>
    <row r="88" spans="1:40" x14ac:dyDescent="0.2">
      <c r="A88" s="2"/>
      <c r="B88" s="2"/>
      <c r="C88" s="2"/>
      <c r="D88" s="2"/>
      <c r="E88" s="2"/>
      <c r="F88" s="2"/>
      <c r="G88" s="2"/>
      <c r="H88" s="2"/>
      <c r="I88" s="2"/>
      <c r="J88" s="2"/>
      <c r="K88" s="2"/>
      <c r="L88" s="2"/>
      <c r="M88" s="2"/>
      <c r="N88" s="2"/>
      <c r="O88" s="2"/>
      <c r="P88" s="2"/>
      <c r="Q88" s="2"/>
      <c r="R88" s="2"/>
      <c r="S88" s="2"/>
      <c r="T88" s="2"/>
      <c r="U88" s="2"/>
      <c r="V88" s="2"/>
      <c r="AC88" s="552"/>
      <c r="AD88" s="552"/>
      <c r="AE88" s="521"/>
      <c r="AF88" s="547"/>
      <c r="AG88" s="552"/>
      <c r="AI88" s="563"/>
      <c r="AK88" s="2"/>
      <c r="AL88" s="2"/>
    </row>
    <row r="89" spans="1:40" x14ac:dyDescent="0.2">
      <c r="A89" s="2"/>
      <c r="B89" s="2"/>
      <c r="C89" s="2"/>
      <c r="D89" s="2"/>
      <c r="E89" s="2"/>
      <c r="F89" s="2"/>
      <c r="G89" s="2"/>
      <c r="H89" s="2"/>
      <c r="I89" s="2"/>
      <c r="J89" s="2"/>
      <c r="K89" s="2"/>
      <c r="L89" s="2"/>
      <c r="M89" s="2"/>
      <c r="N89" s="2"/>
      <c r="O89" s="2"/>
      <c r="P89" s="2"/>
      <c r="Q89" s="2"/>
      <c r="R89" s="2"/>
      <c r="S89" s="2"/>
      <c r="T89" s="2"/>
      <c r="U89" s="2"/>
      <c r="V89" s="2"/>
      <c r="AC89" s="552"/>
      <c r="AD89" s="552"/>
      <c r="AE89" s="521"/>
      <c r="AF89" s="547"/>
      <c r="AG89" s="552"/>
      <c r="AI89" s="563"/>
      <c r="AK89" s="2"/>
      <c r="AL89" s="2"/>
    </row>
    <row r="90" spans="1:40" x14ac:dyDescent="0.2">
      <c r="A90" s="2"/>
      <c r="B90" s="2"/>
      <c r="C90" s="2"/>
      <c r="D90" s="2"/>
      <c r="E90" s="2"/>
      <c r="F90" s="2"/>
      <c r="G90" s="2"/>
      <c r="H90" s="2"/>
      <c r="I90" s="2"/>
      <c r="J90" s="2"/>
      <c r="K90" s="2"/>
      <c r="L90" s="2"/>
      <c r="M90" s="2"/>
      <c r="N90" s="2"/>
      <c r="O90" s="2"/>
      <c r="P90" s="2"/>
      <c r="Q90" s="2"/>
      <c r="R90" s="2"/>
      <c r="S90" s="2"/>
      <c r="T90" s="2"/>
      <c r="U90" s="2"/>
      <c r="V90" s="2"/>
      <c r="AC90" s="552"/>
      <c r="AE90" s="521"/>
      <c r="AF90" s="547"/>
      <c r="AG90" s="552"/>
      <c r="AI90" s="563"/>
      <c r="AK90" s="2"/>
      <c r="AL90" s="2"/>
    </row>
    <row r="91" spans="1:40" x14ac:dyDescent="0.2">
      <c r="A91" s="2"/>
      <c r="B91" s="2"/>
      <c r="C91" s="2"/>
      <c r="D91" s="2"/>
      <c r="E91" s="2"/>
      <c r="F91" s="2"/>
      <c r="G91" s="2"/>
      <c r="H91" s="2"/>
      <c r="I91" s="2"/>
      <c r="J91" s="2"/>
      <c r="K91" s="2"/>
      <c r="L91" s="2"/>
      <c r="M91" s="2"/>
      <c r="N91" s="2"/>
      <c r="O91" s="2"/>
      <c r="P91" s="2"/>
      <c r="Q91" s="2"/>
      <c r="R91" s="2"/>
      <c r="S91" s="2"/>
      <c r="T91" s="2"/>
      <c r="U91" s="2"/>
      <c r="V91" s="2"/>
      <c r="AC91" s="552"/>
      <c r="AE91" s="521"/>
      <c r="AF91" s="547"/>
      <c r="AG91" s="552"/>
      <c r="AI91" s="563"/>
      <c r="AK91" s="2"/>
      <c r="AL91" s="2"/>
    </row>
    <row r="92" spans="1:40" x14ac:dyDescent="0.2">
      <c r="A92" s="2"/>
      <c r="B92" s="2"/>
      <c r="C92" s="2"/>
      <c r="D92" s="2"/>
      <c r="E92" s="2"/>
      <c r="F92" s="2"/>
      <c r="G92" s="2"/>
      <c r="H92" s="2"/>
      <c r="I92" s="2"/>
      <c r="J92" s="2"/>
      <c r="K92" s="2"/>
      <c r="L92" s="2"/>
      <c r="M92" s="2"/>
      <c r="N92" s="2"/>
      <c r="O92" s="2"/>
      <c r="P92" s="2"/>
      <c r="Q92" s="2"/>
      <c r="R92" s="2"/>
      <c r="S92" s="2"/>
      <c r="T92" s="2"/>
      <c r="U92" s="2"/>
      <c r="V92" s="2"/>
      <c r="AE92" s="521"/>
      <c r="AF92" s="547"/>
      <c r="AI92" s="563"/>
      <c r="AK92" s="2"/>
      <c r="AL92" s="2"/>
    </row>
    <row r="93" spans="1:40" x14ac:dyDescent="0.2">
      <c r="A93" s="2"/>
      <c r="B93" s="2"/>
      <c r="C93" s="2"/>
      <c r="D93" s="2"/>
      <c r="E93" s="2"/>
      <c r="F93" s="2"/>
      <c r="G93" s="2"/>
      <c r="H93" s="2"/>
      <c r="I93" s="2"/>
      <c r="J93" s="2"/>
      <c r="K93" s="2"/>
      <c r="L93" s="2"/>
      <c r="M93" s="2"/>
      <c r="N93" s="2"/>
      <c r="O93" s="2"/>
      <c r="P93" s="2"/>
      <c r="Q93" s="2"/>
      <c r="R93" s="2"/>
      <c r="S93" s="2"/>
      <c r="T93" s="2"/>
      <c r="U93" s="2"/>
      <c r="V93" s="2"/>
      <c r="AE93" s="521"/>
      <c r="AF93" s="547"/>
      <c r="AK93" s="2"/>
      <c r="AL93" s="2"/>
    </row>
    <row r="94" spans="1:40" x14ac:dyDescent="0.2">
      <c r="A94" s="2"/>
      <c r="B94" s="2"/>
      <c r="C94" s="2"/>
      <c r="D94" s="2"/>
      <c r="E94" s="2"/>
      <c r="F94" s="2"/>
      <c r="G94" s="2"/>
      <c r="H94" s="2"/>
      <c r="I94" s="2"/>
      <c r="J94" s="2"/>
      <c r="K94" s="2"/>
      <c r="L94" s="2"/>
      <c r="M94" s="2"/>
      <c r="N94" s="2"/>
      <c r="O94" s="2"/>
      <c r="P94" s="2"/>
      <c r="Q94" s="2"/>
      <c r="R94" s="2"/>
      <c r="S94" s="2"/>
      <c r="T94" s="2"/>
      <c r="U94" s="2"/>
      <c r="V94" s="2"/>
      <c r="AF94" s="547"/>
      <c r="AK94" s="2"/>
      <c r="AL94" s="2"/>
    </row>
    <row r="95" spans="1:40" x14ac:dyDescent="0.2">
      <c r="A95" s="2"/>
      <c r="B95" s="2"/>
      <c r="C95" s="2"/>
      <c r="D95" s="2"/>
      <c r="E95" s="2"/>
      <c r="F95" s="2"/>
      <c r="G95" s="2"/>
      <c r="H95" s="2"/>
      <c r="I95" s="2"/>
      <c r="J95" s="2"/>
      <c r="K95" s="2"/>
      <c r="L95" s="2"/>
      <c r="M95" s="2"/>
      <c r="N95" s="2"/>
      <c r="O95" s="2"/>
      <c r="P95" s="2"/>
      <c r="Q95" s="2"/>
      <c r="R95" s="2"/>
      <c r="S95" s="2"/>
      <c r="T95" s="2"/>
      <c r="U95" s="2"/>
      <c r="V95" s="2"/>
      <c r="AF95" s="547"/>
      <c r="AK95" s="2"/>
      <c r="AL95" s="2"/>
    </row>
    <row r="96" spans="1:40" x14ac:dyDescent="0.2">
      <c r="A96" s="2"/>
      <c r="B96" s="2"/>
      <c r="C96" s="2"/>
      <c r="D96" s="2"/>
      <c r="E96" s="2"/>
      <c r="F96" s="2"/>
      <c r="G96" s="2"/>
      <c r="H96" s="2"/>
      <c r="I96" s="2"/>
      <c r="J96" s="2"/>
      <c r="K96" s="2"/>
      <c r="L96" s="2"/>
      <c r="M96" s="2"/>
      <c r="N96" s="2"/>
      <c r="O96" s="2"/>
      <c r="P96" s="2"/>
      <c r="Q96" s="2"/>
      <c r="R96" s="2"/>
      <c r="S96" s="2"/>
      <c r="T96" s="2"/>
      <c r="U96" s="2"/>
      <c r="V96" s="2"/>
      <c r="AF96" s="547"/>
      <c r="AK96" s="2"/>
      <c r="AL96" s="2"/>
    </row>
    <row r="97" spans="1:38" x14ac:dyDescent="0.2">
      <c r="A97" s="2"/>
      <c r="B97" s="2"/>
      <c r="C97" s="2"/>
      <c r="D97" s="2"/>
      <c r="E97" s="2"/>
      <c r="F97" s="2"/>
      <c r="G97" s="2"/>
      <c r="H97" s="2"/>
      <c r="I97" s="2"/>
      <c r="J97" s="2"/>
      <c r="K97" s="2"/>
      <c r="L97" s="2"/>
      <c r="M97" s="2"/>
      <c r="N97" s="2"/>
      <c r="O97" s="2"/>
      <c r="P97" s="2"/>
      <c r="Q97" s="2"/>
      <c r="R97" s="2"/>
      <c r="S97" s="2"/>
      <c r="T97" s="2"/>
      <c r="U97" s="2"/>
      <c r="V97" s="2"/>
      <c r="AF97" s="547"/>
      <c r="AK97" s="2"/>
      <c r="AL97" s="2"/>
    </row>
    <row r="98" spans="1:38" x14ac:dyDescent="0.2">
      <c r="A98" s="2"/>
      <c r="B98" s="2"/>
      <c r="C98" s="2"/>
      <c r="D98" s="2"/>
      <c r="E98" s="2"/>
      <c r="F98" s="2"/>
      <c r="G98" s="2"/>
      <c r="H98" s="2"/>
      <c r="I98" s="2"/>
      <c r="J98" s="2"/>
      <c r="K98" s="2"/>
      <c r="L98" s="2"/>
      <c r="M98" s="2"/>
      <c r="N98" s="2"/>
      <c r="O98" s="2"/>
      <c r="P98" s="2"/>
      <c r="Q98" s="2"/>
      <c r="R98" s="2"/>
      <c r="S98" s="2"/>
      <c r="T98" s="2"/>
      <c r="U98" s="2"/>
      <c r="V98" s="2"/>
      <c r="AF98" s="547"/>
      <c r="AK98" s="2"/>
      <c r="AL98" s="2"/>
    </row>
    <row r="99" spans="1:38" x14ac:dyDescent="0.2">
      <c r="A99" s="2"/>
      <c r="B99" s="2"/>
      <c r="C99" s="2"/>
      <c r="D99" s="2"/>
      <c r="E99" s="2"/>
      <c r="F99" s="2"/>
      <c r="G99" s="2"/>
      <c r="H99" s="2"/>
      <c r="I99" s="2"/>
      <c r="J99" s="2"/>
      <c r="K99" s="2"/>
      <c r="L99" s="2"/>
      <c r="M99" s="2"/>
      <c r="N99" s="2"/>
      <c r="O99" s="2"/>
      <c r="P99" s="2"/>
      <c r="Q99" s="2"/>
      <c r="R99" s="2"/>
      <c r="S99" s="2"/>
      <c r="T99" s="2"/>
      <c r="U99" s="2"/>
      <c r="V99" s="2"/>
      <c r="AF99" s="547"/>
      <c r="AK99" s="2"/>
      <c r="AL99" s="2"/>
    </row>
    <row r="100" spans="1:38" x14ac:dyDescent="0.2">
      <c r="A100" s="2"/>
      <c r="B100" s="2"/>
      <c r="C100" s="2"/>
      <c r="D100" s="2"/>
      <c r="E100" s="2"/>
      <c r="F100" s="2"/>
      <c r="G100" s="2"/>
      <c r="H100" s="2"/>
      <c r="I100" s="2"/>
      <c r="J100" s="2"/>
      <c r="K100" s="2"/>
      <c r="L100" s="2"/>
      <c r="M100" s="2"/>
      <c r="N100" s="2"/>
      <c r="O100" s="2"/>
      <c r="P100" s="2"/>
      <c r="Q100" s="2"/>
      <c r="R100" s="2"/>
      <c r="S100" s="2"/>
      <c r="T100" s="2"/>
      <c r="U100" s="2"/>
      <c r="V100" s="2"/>
      <c r="AF100" s="547"/>
      <c r="AK100" s="2"/>
      <c r="AL100" s="2"/>
    </row>
    <row r="101" spans="1:38" x14ac:dyDescent="0.2">
      <c r="A101" s="2"/>
      <c r="B101" s="2"/>
      <c r="C101" s="2"/>
      <c r="D101" s="2"/>
      <c r="E101" s="2"/>
      <c r="F101" s="2"/>
      <c r="G101" s="2"/>
      <c r="H101" s="2"/>
      <c r="I101" s="2"/>
      <c r="J101" s="2"/>
      <c r="K101" s="2"/>
      <c r="L101" s="2"/>
      <c r="M101" s="2"/>
      <c r="N101" s="2"/>
      <c r="O101" s="2"/>
      <c r="P101" s="2"/>
      <c r="Q101" s="2"/>
      <c r="R101" s="2"/>
      <c r="S101" s="2"/>
      <c r="T101" s="2"/>
      <c r="U101" s="2"/>
      <c r="V101" s="2"/>
      <c r="AF101" s="547"/>
      <c r="AK101" s="2"/>
      <c r="AL101" s="2"/>
    </row>
    <row r="102" spans="1:38" x14ac:dyDescent="0.2">
      <c r="A102" s="2"/>
      <c r="B102" s="2"/>
      <c r="C102" s="2"/>
      <c r="D102" s="2"/>
      <c r="E102" s="2"/>
      <c r="F102" s="2"/>
      <c r="G102" s="2"/>
      <c r="H102" s="2"/>
      <c r="I102" s="2"/>
      <c r="J102" s="2"/>
      <c r="K102" s="2"/>
      <c r="L102" s="2"/>
      <c r="M102" s="2"/>
      <c r="N102" s="2"/>
      <c r="O102" s="2"/>
      <c r="P102" s="2"/>
      <c r="Q102" s="2"/>
      <c r="R102" s="2"/>
      <c r="S102" s="2"/>
      <c r="T102" s="2"/>
      <c r="U102" s="2"/>
      <c r="V102" s="2"/>
      <c r="AF102" s="547"/>
      <c r="AK102" s="2"/>
      <c r="AL102" s="2"/>
    </row>
    <row r="103" spans="1:38" x14ac:dyDescent="0.2">
      <c r="A103" s="2"/>
      <c r="B103" s="2"/>
      <c r="C103" s="2"/>
      <c r="D103" s="2"/>
      <c r="E103" s="2"/>
      <c r="F103" s="2"/>
      <c r="G103" s="2"/>
      <c r="H103" s="2"/>
      <c r="I103" s="2"/>
      <c r="J103" s="2"/>
      <c r="K103" s="2"/>
      <c r="L103" s="2"/>
      <c r="M103" s="2"/>
      <c r="N103" s="2"/>
      <c r="O103" s="2"/>
      <c r="P103" s="2"/>
      <c r="Q103" s="2"/>
      <c r="R103" s="2"/>
      <c r="S103" s="2"/>
      <c r="T103" s="2"/>
      <c r="U103" s="2"/>
      <c r="V103" s="2"/>
      <c r="AF103" s="547"/>
      <c r="AK103" s="2"/>
      <c r="AL103" s="2"/>
    </row>
    <row r="104" spans="1:38" x14ac:dyDescent="0.2">
      <c r="A104" s="2"/>
      <c r="B104" s="2"/>
      <c r="C104" s="2"/>
      <c r="D104" s="2"/>
      <c r="E104" s="2"/>
      <c r="F104" s="2"/>
      <c r="G104" s="2"/>
      <c r="H104" s="2"/>
      <c r="I104" s="2"/>
      <c r="J104" s="2"/>
      <c r="K104" s="2"/>
      <c r="L104" s="2"/>
      <c r="M104" s="2"/>
      <c r="N104" s="2"/>
      <c r="O104" s="2"/>
      <c r="P104" s="2"/>
      <c r="Q104" s="2"/>
      <c r="R104" s="2"/>
      <c r="S104" s="2"/>
      <c r="T104" s="2"/>
      <c r="U104" s="2"/>
      <c r="V104" s="2"/>
      <c r="AF104" s="547"/>
      <c r="AK104" s="2"/>
      <c r="AL104" s="2"/>
    </row>
    <row r="105" spans="1:38" x14ac:dyDescent="0.2">
      <c r="A105" s="2"/>
      <c r="B105" s="2"/>
      <c r="C105" s="2"/>
      <c r="D105" s="2"/>
      <c r="E105" s="2"/>
      <c r="F105" s="2"/>
      <c r="G105" s="2"/>
      <c r="H105" s="2"/>
      <c r="I105" s="2"/>
      <c r="J105" s="2"/>
      <c r="K105" s="2"/>
      <c r="L105" s="2"/>
      <c r="M105" s="2"/>
      <c r="N105" s="2"/>
      <c r="O105" s="2"/>
      <c r="P105" s="2"/>
      <c r="Q105" s="2"/>
      <c r="R105" s="2"/>
      <c r="S105" s="2"/>
      <c r="T105" s="2"/>
      <c r="U105" s="2"/>
      <c r="V105" s="2"/>
      <c r="AF105" s="547"/>
      <c r="AK105" s="2"/>
      <c r="AL105" s="2"/>
    </row>
    <row r="106" spans="1:38" x14ac:dyDescent="0.2">
      <c r="A106" s="2"/>
      <c r="B106" s="2"/>
      <c r="C106" s="2"/>
      <c r="D106" s="2"/>
      <c r="E106" s="2"/>
      <c r="F106" s="2"/>
      <c r="G106" s="2"/>
      <c r="H106" s="2"/>
      <c r="I106" s="2"/>
      <c r="J106" s="2"/>
      <c r="K106" s="2"/>
      <c r="L106" s="2"/>
      <c r="M106" s="2"/>
      <c r="N106" s="2"/>
      <c r="O106" s="2"/>
      <c r="P106" s="2"/>
      <c r="Q106" s="2"/>
      <c r="R106" s="2"/>
      <c r="S106" s="2"/>
      <c r="T106" s="2"/>
      <c r="U106" s="2"/>
      <c r="V106" s="2"/>
      <c r="AF106" s="547"/>
      <c r="AK106" s="2"/>
      <c r="AL106" s="2"/>
    </row>
    <row r="107" spans="1:38" x14ac:dyDescent="0.2">
      <c r="A107" s="2"/>
      <c r="B107" s="2"/>
      <c r="C107" s="2"/>
      <c r="D107" s="2"/>
      <c r="E107" s="2"/>
      <c r="F107" s="2"/>
      <c r="G107" s="2"/>
      <c r="H107" s="2"/>
      <c r="I107" s="2"/>
      <c r="J107" s="2"/>
      <c r="K107" s="2"/>
      <c r="L107" s="2"/>
      <c r="M107" s="2"/>
      <c r="N107" s="2"/>
      <c r="O107" s="2"/>
      <c r="P107" s="2"/>
      <c r="Q107" s="2"/>
      <c r="R107" s="2"/>
      <c r="S107" s="2"/>
      <c r="T107" s="2"/>
      <c r="U107" s="2"/>
      <c r="V107" s="2"/>
      <c r="AF107" s="547"/>
      <c r="AK107" s="2"/>
      <c r="AL107" s="2"/>
    </row>
    <row r="108" spans="1:38" x14ac:dyDescent="0.2">
      <c r="A108" s="2"/>
      <c r="B108" s="2"/>
      <c r="C108" s="2"/>
      <c r="D108" s="2"/>
      <c r="E108" s="2"/>
      <c r="F108" s="2"/>
      <c r="G108" s="2"/>
      <c r="H108" s="2"/>
      <c r="I108" s="2"/>
      <c r="J108" s="2"/>
      <c r="K108" s="2"/>
      <c r="L108" s="2"/>
      <c r="M108" s="2"/>
      <c r="N108" s="2"/>
      <c r="O108" s="2"/>
      <c r="P108" s="2"/>
      <c r="Q108" s="2"/>
      <c r="R108" s="2"/>
      <c r="S108" s="2"/>
      <c r="T108" s="2"/>
      <c r="U108" s="2"/>
      <c r="V108" s="2"/>
      <c r="AF108" s="547"/>
      <c r="AK108" s="2"/>
      <c r="AL108" s="2"/>
    </row>
    <row r="109" spans="1:38" x14ac:dyDescent="0.2">
      <c r="A109" s="2"/>
      <c r="B109" s="2"/>
      <c r="C109" s="2"/>
      <c r="D109" s="2"/>
      <c r="E109" s="2"/>
      <c r="F109" s="2"/>
      <c r="G109" s="2"/>
      <c r="H109" s="2"/>
      <c r="I109" s="2"/>
      <c r="J109" s="2"/>
      <c r="K109" s="2"/>
      <c r="L109" s="2"/>
      <c r="M109" s="2"/>
      <c r="N109" s="2"/>
      <c r="O109" s="2"/>
      <c r="P109" s="2"/>
      <c r="Q109" s="2"/>
      <c r="S109" s="2"/>
      <c r="T109" s="2"/>
      <c r="U109" s="2"/>
      <c r="V109" s="2"/>
      <c r="AF109" s="547"/>
      <c r="AK109" s="2"/>
      <c r="AL109" s="2"/>
    </row>
    <row r="110" spans="1:38" x14ac:dyDescent="0.2">
      <c r="A110" s="2"/>
      <c r="B110" s="2"/>
      <c r="C110" s="2"/>
      <c r="D110" s="2"/>
      <c r="E110" s="2"/>
      <c r="F110" s="2"/>
      <c r="G110" s="2"/>
      <c r="H110" s="2"/>
      <c r="I110" s="2"/>
      <c r="J110" s="2"/>
      <c r="K110" s="2"/>
      <c r="L110" s="2"/>
      <c r="M110" s="2"/>
      <c r="N110" s="2"/>
      <c r="O110" s="2"/>
      <c r="P110" s="2"/>
      <c r="Q110" s="2"/>
      <c r="AF110" s="547"/>
      <c r="AK110" s="2"/>
      <c r="AL110" s="2"/>
    </row>
    <row r="111" spans="1:38" x14ac:dyDescent="0.2">
      <c r="B111" s="2"/>
      <c r="C111" s="2"/>
      <c r="D111" s="2"/>
      <c r="E111" s="2"/>
      <c r="AF111" s="547"/>
      <c r="AK111" s="2"/>
      <c r="AL111" s="2"/>
    </row>
    <row r="112" spans="1:38" x14ac:dyDescent="0.2">
      <c r="B112" s="2"/>
      <c r="C112" s="2"/>
      <c r="D112" s="2"/>
      <c r="E112" s="2"/>
      <c r="AF112" s="547"/>
      <c r="AK112" s="2"/>
      <c r="AL112" s="2"/>
    </row>
    <row r="113" spans="2:38" x14ac:dyDescent="0.2">
      <c r="B113" s="2"/>
      <c r="C113" s="2"/>
      <c r="D113" s="2"/>
      <c r="E113" s="2"/>
      <c r="AF113" s="547"/>
      <c r="AK113" s="2"/>
      <c r="AL113" s="2"/>
    </row>
    <row r="114" spans="2:38" x14ac:dyDescent="0.2">
      <c r="B114" s="2"/>
      <c r="C114" s="2"/>
      <c r="D114" s="2"/>
      <c r="E114" s="2"/>
      <c r="AF114" s="547"/>
      <c r="AK114" s="2"/>
      <c r="AL114" s="2"/>
    </row>
    <row r="115" spans="2:38" x14ac:dyDescent="0.2">
      <c r="B115" s="2"/>
      <c r="C115" s="2"/>
      <c r="D115" s="2"/>
      <c r="AF115" s="547"/>
      <c r="AK115" s="2"/>
      <c r="AL115" s="2"/>
    </row>
    <row r="116" spans="2:38" x14ac:dyDescent="0.2">
      <c r="B116" s="2"/>
      <c r="C116" s="2"/>
      <c r="D116" s="2"/>
      <c r="AF116" s="547"/>
      <c r="AK116" s="2"/>
      <c r="AL116" s="2"/>
    </row>
    <row r="117" spans="2:38" x14ac:dyDescent="0.2">
      <c r="B117" s="2"/>
      <c r="C117" s="2"/>
      <c r="AF117" s="547"/>
      <c r="AK117" s="2"/>
      <c r="AL117" s="2"/>
    </row>
    <row r="118" spans="2:38" x14ac:dyDescent="0.2">
      <c r="B118" s="2"/>
      <c r="C118" s="2"/>
      <c r="AF118" s="547"/>
      <c r="AK118" s="2"/>
      <c r="AL118" s="2"/>
    </row>
    <row r="119" spans="2:38" x14ac:dyDescent="0.2">
      <c r="B119" s="2"/>
      <c r="C119" s="2"/>
      <c r="AF119" s="547"/>
      <c r="AK119" s="2"/>
      <c r="AL119" s="2"/>
    </row>
    <row r="120" spans="2:38" x14ac:dyDescent="0.2">
      <c r="B120" s="2"/>
      <c r="C120" s="2"/>
      <c r="AF120" s="547"/>
      <c r="AK120" s="2"/>
      <c r="AL120" s="2"/>
    </row>
    <row r="121" spans="2:38" x14ac:dyDescent="0.2">
      <c r="B121" s="2"/>
      <c r="C121" s="2"/>
      <c r="AK121" s="2"/>
      <c r="AL121" s="2"/>
    </row>
    <row r="122" spans="2:38" x14ac:dyDescent="0.2">
      <c r="AG122" s="547"/>
      <c r="AH122" s="572"/>
      <c r="AI122" s="21"/>
      <c r="AJ122" s="2"/>
      <c r="AK122" s="2"/>
    </row>
    <row r="123" spans="2:38" x14ac:dyDescent="0.2">
      <c r="AG123" s="547"/>
      <c r="AH123" s="572"/>
      <c r="AI123" s="21"/>
      <c r="AJ123" s="2"/>
      <c r="AK123" s="2"/>
    </row>
    <row r="124" spans="2:38" x14ac:dyDescent="0.2">
      <c r="AK124" s="2"/>
      <c r="AL124" s="2"/>
    </row>
    <row r="125" spans="2:38" x14ac:dyDescent="0.2">
      <c r="AK125" s="2"/>
      <c r="AL125" s="2"/>
    </row>
    <row r="126" spans="2:38" x14ac:dyDescent="0.2">
      <c r="AK126" s="2"/>
      <c r="AL126" s="2"/>
    </row>
    <row r="127" spans="2:38" x14ac:dyDescent="0.2">
      <c r="AK127" s="2"/>
      <c r="AL127" s="2"/>
    </row>
    <row r="128" spans="2:38" x14ac:dyDescent="0.2">
      <c r="AK128" s="2"/>
      <c r="AL128" s="2"/>
    </row>
    <row r="129" spans="37:38" x14ac:dyDescent="0.2">
      <c r="AK129" s="2"/>
      <c r="AL129" s="2"/>
    </row>
    <row r="130" spans="37:38" x14ac:dyDescent="0.2">
      <c r="AK130" s="2"/>
      <c r="AL130" s="2"/>
    </row>
    <row r="131" spans="37:38" x14ac:dyDescent="0.2">
      <c r="AK131" s="2"/>
      <c r="AL131" s="2"/>
    </row>
    <row r="132" spans="37:38" x14ac:dyDescent="0.2">
      <c r="AK132" s="2"/>
      <c r="AL132" s="2"/>
    </row>
    <row r="133" spans="37:38" x14ac:dyDescent="0.2">
      <c r="AK133" s="2"/>
      <c r="AL133" s="2"/>
    </row>
    <row r="134" spans="37:38" x14ac:dyDescent="0.2">
      <c r="AK134" s="2"/>
      <c r="AL134" s="2"/>
    </row>
    <row r="135" spans="37:38" x14ac:dyDescent="0.2">
      <c r="AK135" s="2"/>
      <c r="AL135" s="2"/>
    </row>
    <row r="136" spans="37:38" x14ac:dyDescent="0.2">
      <c r="AK136" s="2"/>
      <c r="AL136" s="2"/>
    </row>
    <row r="137" spans="37:38" x14ac:dyDescent="0.2">
      <c r="AK137" s="2"/>
      <c r="AL137" s="2"/>
    </row>
    <row r="138" spans="37:38" x14ac:dyDescent="0.2">
      <c r="AK138" s="2"/>
      <c r="AL138" s="2"/>
    </row>
    <row r="139" spans="37:38" x14ac:dyDescent="0.2">
      <c r="AK139" s="2"/>
      <c r="AL139" s="2"/>
    </row>
    <row r="140" spans="37:38" x14ac:dyDescent="0.2">
      <c r="AK140" s="2"/>
      <c r="AL140" s="2"/>
    </row>
    <row r="141" spans="37:38" x14ac:dyDescent="0.2">
      <c r="AK141" s="2"/>
      <c r="AL141" s="2"/>
    </row>
    <row r="142" spans="37:38" x14ac:dyDescent="0.2">
      <c r="AK142" s="2"/>
      <c r="AL142" s="2"/>
    </row>
    <row r="143" spans="37:38" x14ac:dyDescent="0.2">
      <c r="AK143" s="2"/>
      <c r="AL143" s="2"/>
    </row>
    <row r="144" spans="37:38" x14ac:dyDescent="0.2">
      <c r="AK144" s="2"/>
      <c r="AL144" s="2"/>
    </row>
    <row r="145" spans="37:38" x14ac:dyDescent="0.2">
      <c r="AK145" s="2"/>
      <c r="AL145" s="2"/>
    </row>
    <row r="146" spans="37:38" x14ac:dyDescent="0.2">
      <c r="AK146" s="2"/>
      <c r="AL146" s="2"/>
    </row>
    <row r="147" spans="37:38" x14ac:dyDescent="0.2">
      <c r="AK147" s="2"/>
      <c r="AL147" s="2"/>
    </row>
    <row r="148" spans="37:38" x14ac:dyDescent="0.2">
      <c r="AK148" s="2"/>
      <c r="AL148" s="2"/>
    </row>
    <row r="149" spans="37:38" x14ac:dyDescent="0.2">
      <c r="AK149" s="2"/>
      <c r="AL149" s="2"/>
    </row>
    <row r="150" spans="37:38" x14ac:dyDescent="0.2">
      <c r="AK150" s="2"/>
      <c r="AL150" s="2"/>
    </row>
    <row r="151" spans="37:38" x14ac:dyDescent="0.2">
      <c r="AK151" s="2"/>
      <c r="AL151" s="2"/>
    </row>
    <row r="152" spans="37:38" x14ac:dyDescent="0.2">
      <c r="AK152" s="2"/>
      <c r="AL152" s="2"/>
    </row>
    <row r="153" spans="37:38" x14ac:dyDescent="0.2">
      <c r="AK153" s="2"/>
      <c r="AL153" s="2"/>
    </row>
    <row r="154" spans="37:38" x14ac:dyDescent="0.2">
      <c r="AK154" s="2"/>
      <c r="AL154" s="2"/>
    </row>
    <row r="155" spans="37:38" x14ac:dyDescent="0.2">
      <c r="AK155" s="2"/>
      <c r="AL155" s="2"/>
    </row>
    <row r="156" spans="37:38" x14ac:dyDescent="0.2">
      <c r="AK156" s="2"/>
      <c r="AL156" s="2"/>
    </row>
    <row r="157" spans="37:38" x14ac:dyDescent="0.2">
      <c r="AK157" s="2"/>
      <c r="AL157" s="2"/>
    </row>
    <row r="158" spans="37:38" x14ac:dyDescent="0.2">
      <c r="AK158" s="2"/>
      <c r="AL158" s="2"/>
    </row>
    <row r="159" spans="37:38" x14ac:dyDescent="0.2">
      <c r="AK159" s="2"/>
      <c r="AL159" s="2"/>
    </row>
    <row r="160" spans="37:38" x14ac:dyDescent="0.2">
      <c r="AK160" s="2"/>
      <c r="AL160" s="2"/>
    </row>
    <row r="161" spans="37:38" x14ac:dyDescent="0.2">
      <c r="AK161" s="2"/>
      <c r="AL161" s="2"/>
    </row>
    <row r="162" spans="37:38" x14ac:dyDescent="0.2">
      <c r="AK162" s="2"/>
      <c r="AL162" s="2"/>
    </row>
    <row r="163" spans="37:38" x14ac:dyDescent="0.2">
      <c r="AK163" s="2"/>
      <c r="AL163" s="2"/>
    </row>
    <row r="164" spans="37:38" x14ac:dyDescent="0.2">
      <c r="AK164" s="2"/>
      <c r="AL164" s="2"/>
    </row>
    <row r="165" spans="37:38" x14ac:dyDescent="0.2">
      <c r="AK165" s="2"/>
      <c r="AL165" s="2"/>
    </row>
    <row r="166" spans="37:38" x14ac:dyDescent="0.2">
      <c r="AK166" s="2"/>
      <c r="AL166" s="2"/>
    </row>
    <row r="167" spans="37:38" x14ac:dyDescent="0.2">
      <c r="AK167" s="2"/>
      <c r="AL167" s="2"/>
    </row>
    <row r="168" spans="37:38" x14ac:dyDescent="0.2">
      <c r="AK168" s="2"/>
      <c r="AL168" s="2"/>
    </row>
    <row r="169" spans="37:38" x14ac:dyDescent="0.2">
      <c r="AK169" s="2"/>
      <c r="AL169" s="2"/>
    </row>
    <row r="170" spans="37:38" x14ac:dyDescent="0.2">
      <c r="AK170" s="2"/>
      <c r="AL170" s="2"/>
    </row>
    <row r="171" spans="37:38" x14ac:dyDescent="0.2">
      <c r="AK171" s="2"/>
      <c r="AL171" s="2"/>
    </row>
    <row r="172" spans="37:38" x14ac:dyDescent="0.2">
      <c r="AK172" s="2"/>
      <c r="AL172" s="2"/>
    </row>
    <row r="173" spans="37:38" x14ac:dyDescent="0.2">
      <c r="AK173" s="2"/>
      <c r="AL173" s="2"/>
    </row>
    <row r="174" spans="37:38" x14ac:dyDescent="0.2">
      <c r="AK174" s="2"/>
      <c r="AL174" s="2"/>
    </row>
    <row r="175" spans="37:38" x14ac:dyDescent="0.2">
      <c r="AK175" s="2"/>
      <c r="AL175" s="2"/>
    </row>
    <row r="176" spans="37:38" x14ac:dyDescent="0.2">
      <c r="AK176" s="2"/>
      <c r="AL176" s="2"/>
    </row>
    <row r="177" spans="37:38" x14ac:dyDescent="0.2">
      <c r="AK177" s="2"/>
      <c r="AL177" s="2"/>
    </row>
    <row r="178" spans="37:38" x14ac:dyDescent="0.2">
      <c r="AK178" s="2"/>
      <c r="AL178" s="2"/>
    </row>
    <row r="179" spans="37:38" x14ac:dyDescent="0.2">
      <c r="AK179" s="2"/>
      <c r="AL179" s="2"/>
    </row>
    <row r="180" spans="37:38" x14ac:dyDescent="0.2">
      <c r="AK180" s="2"/>
      <c r="AL180" s="2"/>
    </row>
    <row r="181" spans="37:38" x14ac:dyDescent="0.2">
      <c r="AK181" s="2"/>
      <c r="AL181" s="2"/>
    </row>
    <row r="182" spans="37:38" x14ac:dyDescent="0.2">
      <c r="AK182" s="2"/>
      <c r="AL182" s="2"/>
    </row>
    <row r="183" spans="37:38" x14ac:dyDescent="0.2">
      <c r="AK183" s="2"/>
      <c r="AL183" s="2"/>
    </row>
    <row r="184" spans="37:38" x14ac:dyDescent="0.2">
      <c r="AK184" s="2"/>
      <c r="AL184" s="2"/>
    </row>
    <row r="185" spans="37:38" x14ac:dyDescent="0.2">
      <c r="AK185" s="2"/>
      <c r="AL185" s="2"/>
    </row>
    <row r="186" spans="37:38" x14ac:dyDescent="0.2">
      <c r="AK186" s="2"/>
      <c r="AL186" s="2"/>
    </row>
    <row r="187" spans="37:38" x14ac:dyDescent="0.2">
      <c r="AK187" s="2"/>
      <c r="AL187" s="2"/>
    </row>
    <row r="188" spans="37:38" x14ac:dyDescent="0.2">
      <c r="AK188" s="2"/>
      <c r="AL188" s="2"/>
    </row>
    <row r="189" spans="37:38" x14ac:dyDescent="0.2">
      <c r="AK189" s="2"/>
      <c r="AL189" s="2"/>
    </row>
    <row r="190" spans="37:38" x14ac:dyDescent="0.2">
      <c r="AK190" s="2"/>
      <c r="AL190" s="2"/>
    </row>
    <row r="191" spans="37:38" x14ac:dyDescent="0.2">
      <c r="AK191" s="2"/>
      <c r="AL191" s="2"/>
    </row>
    <row r="192" spans="37:38" x14ac:dyDescent="0.2">
      <c r="AK192" s="2"/>
      <c r="AL192" s="2"/>
    </row>
    <row r="193" spans="37:38" x14ac:dyDescent="0.2">
      <c r="AK193" s="2"/>
      <c r="AL193" s="2"/>
    </row>
    <row r="194" spans="37:38" x14ac:dyDescent="0.2">
      <c r="AK194" s="2"/>
      <c r="AL194" s="2"/>
    </row>
    <row r="195" spans="37:38" x14ac:dyDescent="0.2">
      <c r="AK195" s="2"/>
      <c r="AL195" s="2"/>
    </row>
    <row r="196" spans="37:38" x14ac:dyDescent="0.2">
      <c r="AK196" s="2"/>
      <c r="AL196" s="2"/>
    </row>
    <row r="197" spans="37:38" x14ac:dyDescent="0.2">
      <c r="AK197" s="2"/>
      <c r="AL197" s="2"/>
    </row>
    <row r="198" spans="37:38" x14ac:dyDescent="0.2">
      <c r="AK198" s="2"/>
      <c r="AL198" s="2"/>
    </row>
    <row r="199" spans="37:38" x14ac:dyDescent="0.2">
      <c r="AK199" s="2"/>
      <c r="AL199" s="2"/>
    </row>
    <row r="200" spans="37:38" x14ac:dyDescent="0.2">
      <c r="AK200" s="2"/>
      <c r="AL200" s="2"/>
    </row>
    <row r="201" spans="37:38" x14ac:dyDescent="0.2">
      <c r="AK201" s="2"/>
      <c r="AL201" s="2"/>
    </row>
    <row r="202" spans="37:38" x14ac:dyDescent="0.2">
      <c r="AK202" s="2"/>
      <c r="AL202" s="2"/>
    </row>
    <row r="203" spans="37:38" x14ac:dyDescent="0.2">
      <c r="AK203" s="2"/>
      <c r="AL203" s="2"/>
    </row>
    <row r="204" spans="37:38" x14ac:dyDescent="0.2">
      <c r="AK204" s="2"/>
      <c r="AL204" s="2"/>
    </row>
    <row r="205" spans="37:38" x14ac:dyDescent="0.2">
      <c r="AK205" s="2"/>
      <c r="AL205" s="2"/>
    </row>
    <row r="206" spans="37:38" x14ac:dyDescent="0.2">
      <c r="AK206" s="2"/>
      <c r="AL206" s="2"/>
    </row>
    <row r="207" spans="37:38" x14ac:dyDescent="0.2">
      <c r="AK207" s="2"/>
      <c r="AL207" s="2"/>
    </row>
    <row r="208" spans="37:38" x14ac:dyDescent="0.2">
      <c r="AK208" s="2"/>
      <c r="AL208" s="2"/>
    </row>
    <row r="209" spans="37:38" x14ac:dyDescent="0.2">
      <c r="AK209" s="2"/>
      <c r="AL209" s="2"/>
    </row>
    <row r="210" spans="37:38" x14ac:dyDescent="0.2">
      <c r="AK210" s="2"/>
      <c r="AL210" s="2"/>
    </row>
    <row r="211" spans="37:38" x14ac:dyDescent="0.2">
      <c r="AK211" s="2"/>
      <c r="AL211" s="2"/>
    </row>
    <row r="212" spans="37:38" x14ac:dyDescent="0.2">
      <c r="AK212" s="2"/>
      <c r="AL212" s="2"/>
    </row>
    <row r="213" spans="37:38" x14ac:dyDescent="0.2">
      <c r="AK213" s="2"/>
      <c r="AL213" s="2"/>
    </row>
    <row r="214" spans="37:38" x14ac:dyDescent="0.2">
      <c r="AK214" s="2"/>
      <c r="AL214" s="2"/>
    </row>
    <row r="215" spans="37:38" x14ac:dyDescent="0.2">
      <c r="AK215" s="2"/>
      <c r="AL215" s="2"/>
    </row>
    <row r="216" spans="37:38" x14ac:dyDescent="0.2">
      <c r="AK216" s="2"/>
      <c r="AL216" s="2"/>
    </row>
    <row r="217" spans="37:38" x14ac:dyDescent="0.2">
      <c r="AK217" s="2"/>
      <c r="AL217" s="2"/>
    </row>
    <row r="218" spans="37:38" x14ac:dyDescent="0.2">
      <c r="AK218" s="2"/>
      <c r="AL218" s="2"/>
    </row>
    <row r="219" spans="37:38" x14ac:dyDescent="0.2">
      <c r="AK219" s="2"/>
      <c r="AL219" s="2"/>
    </row>
    <row r="220" spans="37:38" x14ac:dyDescent="0.2">
      <c r="AK220" s="2"/>
      <c r="AL220" s="2"/>
    </row>
    <row r="221" spans="37:38" x14ac:dyDescent="0.2">
      <c r="AK221" s="2"/>
      <c r="AL221" s="2"/>
    </row>
    <row r="222" spans="37:38" x14ac:dyDescent="0.2">
      <c r="AK222" s="2"/>
      <c r="AL222" s="2"/>
    </row>
    <row r="223" spans="37:38" x14ac:dyDescent="0.2">
      <c r="AK223" s="2"/>
      <c r="AL223" s="2"/>
    </row>
    <row r="224" spans="37:38" x14ac:dyDescent="0.2">
      <c r="AK224" s="2"/>
      <c r="AL224" s="2"/>
    </row>
    <row r="225" spans="37:38" x14ac:dyDescent="0.2">
      <c r="AK225" s="2"/>
      <c r="AL225" s="2"/>
    </row>
    <row r="226" spans="37:38" x14ac:dyDescent="0.2">
      <c r="AK226" s="2"/>
      <c r="AL226" s="2"/>
    </row>
    <row r="227" spans="37:38" x14ac:dyDescent="0.2">
      <c r="AK227" s="2"/>
      <c r="AL227" s="2"/>
    </row>
    <row r="228" spans="37:38" x14ac:dyDescent="0.2">
      <c r="AK228" s="2"/>
      <c r="AL228" s="2"/>
    </row>
    <row r="229" spans="37:38" x14ac:dyDescent="0.2">
      <c r="AK229" s="2"/>
      <c r="AL229" s="2"/>
    </row>
    <row r="230" spans="37:38" x14ac:dyDescent="0.2">
      <c r="AK230" s="2"/>
      <c r="AL230" s="2"/>
    </row>
    <row r="231" spans="37:38" x14ac:dyDescent="0.2">
      <c r="AK231" s="2"/>
      <c r="AL231" s="2"/>
    </row>
    <row r="232" spans="37:38" x14ac:dyDescent="0.2">
      <c r="AK232" s="2"/>
      <c r="AL232" s="2"/>
    </row>
    <row r="233" spans="37:38" x14ac:dyDescent="0.2">
      <c r="AK233" s="2"/>
      <c r="AL233" s="2"/>
    </row>
    <row r="234" spans="37:38" x14ac:dyDescent="0.2">
      <c r="AK234" s="2"/>
      <c r="AL234" s="2"/>
    </row>
    <row r="235" spans="37:38" x14ac:dyDescent="0.2">
      <c r="AK235" s="2"/>
      <c r="AL235" s="2"/>
    </row>
    <row r="236" spans="37:38" x14ac:dyDescent="0.2">
      <c r="AK236" s="2"/>
      <c r="AL236" s="2"/>
    </row>
    <row r="237" spans="37:38" x14ac:dyDescent="0.2">
      <c r="AK237" s="2"/>
      <c r="AL237" s="2"/>
    </row>
    <row r="238" spans="37:38" x14ac:dyDescent="0.2">
      <c r="AK238" s="2"/>
      <c r="AL238" s="2"/>
    </row>
    <row r="239" spans="37:38" x14ac:dyDescent="0.2">
      <c r="AK239" s="2"/>
      <c r="AL239" s="2"/>
    </row>
    <row r="240" spans="37:38" x14ac:dyDescent="0.2">
      <c r="AK240" s="2"/>
      <c r="AL240" s="2"/>
    </row>
    <row r="241" spans="37:38" x14ac:dyDescent="0.2">
      <c r="AK241" s="2"/>
      <c r="AL241" s="2"/>
    </row>
    <row r="242" spans="37:38" x14ac:dyDescent="0.2">
      <c r="AK242" s="2"/>
      <c r="AL242" s="2"/>
    </row>
    <row r="243" spans="37:38" x14ac:dyDescent="0.2">
      <c r="AK243" s="2"/>
      <c r="AL243" s="2"/>
    </row>
    <row r="244" spans="37:38" x14ac:dyDescent="0.2">
      <c r="AK244" s="2"/>
      <c r="AL244" s="2"/>
    </row>
    <row r="245" spans="37:38" x14ac:dyDescent="0.2">
      <c r="AK245" s="2"/>
      <c r="AL245" s="2"/>
    </row>
    <row r="246" spans="37:38" x14ac:dyDescent="0.2">
      <c r="AK246" s="2"/>
      <c r="AL246" s="2"/>
    </row>
    <row r="247" spans="37:38" x14ac:dyDescent="0.2">
      <c r="AK247" s="2"/>
      <c r="AL247" s="2"/>
    </row>
    <row r="248" spans="37:38" x14ac:dyDescent="0.2">
      <c r="AK248" s="2"/>
      <c r="AL248" s="2"/>
    </row>
    <row r="249" spans="37:38" x14ac:dyDescent="0.2">
      <c r="AK249" s="2"/>
      <c r="AL249" s="2"/>
    </row>
    <row r="250" spans="37:38" x14ac:dyDescent="0.2">
      <c r="AK250" s="2"/>
      <c r="AL250" s="2"/>
    </row>
    <row r="251" spans="37:38" x14ac:dyDescent="0.2">
      <c r="AK251" s="2"/>
      <c r="AL251" s="2"/>
    </row>
    <row r="252" spans="37:38" x14ac:dyDescent="0.2">
      <c r="AK252" s="2"/>
      <c r="AL252" s="2"/>
    </row>
    <row r="253" spans="37:38" x14ac:dyDescent="0.2">
      <c r="AK253" s="2"/>
      <c r="AL253" s="2"/>
    </row>
    <row r="254" spans="37:38" x14ac:dyDescent="0.2">
      <c r="AK254" s="2"/>
      <c r="AL254" s="2"/>
    </row>
    <row r="255" spans="37:38" x14ac:dyDescent="0.2">
      <c r="AK255" s="2"/>
      <c r="AL255" s="2"/>
    </row>
    <row r="256" spans="37:38" x14ac:dyDescent="0.2">
      <c r="AK256" s="2"/>
      <c r="AL256" s="2"/>
    </row>
    <row r="257" spans="37:38" x14ac:dyDescent="0.2">
      <c r="AK257" s="2"/>
      <c r="AL257" s="2"/>
    </row>
    <row r="258" spans="37:38" x14ac:dyDescent="0.2">
      <c r="AK258" s="2"/>
      <c r="AL258" s="2"/>
    </row>
    <row r="259" spans="37:38" x14ac:dyDescent="0.2">
      <c r="AK259" s="2"/>
      <c r="AL259" s="2"/>
    </row>
    <row r="260" spans="37:38" x14ac:dyDescent="0.2">
      <c r="AK260" s="2"/>
      <c r="AL260" s="2"/>
    </row>
    <row r="261" spans="37:38" x14ac:dyDescent="0.2">
      <c r="AK261" s="2"/>
      <c r="AL261" s="2"/>
    </row>
    <row r="262" spans="37:38" x14ac:dyDescent="0.2">
      <c r="AK262" s="2"/>
      <c r="AL262" s="2"/>
    </row>
    <row r="263" spans="37:38" x14ac:dyDescent="0.2">
      <c r="AK263" s="2"/>
      <c r="AL263" s="2"/>
    </row>
    <row r="264" spans="37:38" x14ac:dyDescent="0.2">
      <c r="AK264" s="2"/>
      <c r="AL264" s="2"/>
    </row>
    <row r="265" spans="37:38" x14ac:dyDescent="0.2">
      <c r="AK265" s="2"/>
      <c r="AL265" s="2"/>
    </row>
    <row r="266" spans="37:38" x14ac:dyDescent="0.2">
      <c r="AK266" s="2"/>
      <c r="AL266" s="2"/>
    </row>
    <row r="267" spans="37:38" x14ac:dyDescent="0.2">
      <c r="AK267" s="2"/>
      <c r="AL267" s="2"/>
    </row>
    <row r="268" spans="37:38" x14ac:dyDescent="0.2">
      <c r="AK268" s="2"/>
      <c r="AL268" s="2"/>
    </row>
    <row r="269" spans="37:38" x14ac:dyDescent="0.2">
      <c r="AK269" s="2"/>
      <c r="AL269" s="2"/>
    </row>
    <row r="270" spans="37:38" x14ac:dyDescent="0.2">
      <c r="AK270" s="2"/>
      <c r="AL270" s="2"/>
    </row>
    <row r="271" spans="37:38" x14ac:dyDescent="0.2">
      <c r="AK271" s="2"/>
      <c r="AL271" s="2"/>
    </row>
    <row r="272" spans="37:38" x14ac:dyDescent="0.2">
      <c r="AK272" s="2"/>
      <c r="AL272" s="2"/>
    </row>
    <row r="273" spans="37:38" x14ac:dyDescent="0.2">
      <c r="AK273" s="2"/>
      <c r="AL273" s="2"/>
    </row>
    <row r="274" spans="37:38" x14ac:dyDescent="0.2">
      <c r="AK274" s="2"/>
      <c r="AL274" s="2"/>
    </row>
    <row r="275" spans="37:38" x14ac:dyDescent="0.2">
      <c r="AK275" s="2"/>
      <c r="AL275" s="2"/>
    </row>
    <row r="276" spans="37:38" x14ac:dyDescent="0.2">
      <c r="AK276" s="2"/>
      <c r="AL276" s="2"/>
    </row>
    <row r="277" spans="37:38" x14ac:dyDescent="0.2">
      <c r="AK277" s="2"/>
      <c r="AL277" s="2"/>
    </row>
    <row r="278" spans="37:38" x14ac:dyDescent="0.2">
      <c r="AK278" s="2"/>
      <c r="AL278" s="2"/>
    </row>
    <row r="279" spans="37:38" x14ac:dyDescent="0.2">
      <c r="AK279" s="2"/>
      <c r="AL279" s="2"/>
    </row>
    <row r="280" spans="37:38" x14ac:dyDescent="0.2">
      <c r="AK280" s="2"/>
      <c r="AL280" s="2"/>
    </row>
    <row r="281" spans="37:38" x14ac:dyDescent="0.2">
      <c r="AK281" s="2"/>
      <c r="AL281" s="2"/>
    </row>
    <row r="282" spans="37:38" x14ac:dyDescent="0.2">
      <c r="AK282" s="2"/>
      <c r="AL282" s="2"/>
    </row>
    <row r="283" spans="37:38" x14ac:dyDescent="0.2">
      <c r="AK283" s="2"/>
      <c r="AL283" s="2"/>
    </row>
    <row r="284" spans="37:38" x14ac:dyDescent="0.2">
      <c r="AK284" s="2"/>
      <c r="AL284" s="2"/>
    </row>
    <row r="285" spans="37:38" x14ac:dyDescent="0.2">
      <c r="AK285" s="2"/>
      <c r="AL285" s="2"/>
    </row>
    <row r="286" spans="37:38" x14ac:dyDescent="0.2">
      <c r="AK286" s="2"/>
      <c r="AL286" s="2"/>
    </row>
    <row r="287" spans="37:38" x14ac:dyDescent="0.2">
      <c r="AK287" s="2"/>
      <c r="AL287" s="2"/>
    </row>
    <row r="288" spans="37:38" x14ac:dyDescent="0.2">
      <c r="AK288" s="2"/>
      <c r="AL288" s="2"/>
    </row>
    <row r="289" spans="37:38" x14ac:dyDescent="0.2">
      <c r="AK289" s="2"/>
      <c r="AL289" s="2"/>
    </row>
  </sheetData>
  <sheetProtection pivotTables="0"/>
  <mergeCells count="114">
    <mergeCell ref="B85:C85"/>
    <mergeCell ref="T57:T58"/>
    <mergeCell ref="U57:U58"/>
    <mergeCell ref="V57:V58"/>
    <mergeCell ref="W57:W58"/>
    <mergeCell ref="Z57:Z58"/>
    <mergeCell ref="B84:C84"/>
    <mergeCell ref="V49:V50"/>
    <mergeCell ref="W49:W50"/>
    <mergeCell ref="Z49:Z50"/>
    <mergeCell ref="M57:M58"/>
    <mergeCell ref="N57:N58"/>
    <mergeCell ref="O57:O58"/>
    <mergeCell ref="P57:P58"/>
    <mergeCell ref="Q57:Q58"/>
    <mergeCell ref="R57:R58"/>
    <mergeCell ref="S57:S58"/>
    <mergeCell ref="P49:P50"/>
    <mergeCell ref="Q49:Q50"/>
    <mergeCell ref="R49:R50"/>
    <mergeCell ref="S49:S50"/>
    <mergeCell ref="T49:T50"/>
    <mergeCell ref="U49:U50"/>
    <mergeCell ref="X49:X50"/>
    <mergeCell ref="B46:C46"/>
    <mergeCell ref="B49:C49"/>
    <mergeCell ref="F49:G49"/>
    <mergeCell ref="M49:M50"/>
    <mergeCell ref="N49:N50"/>
    <mergeCell ref="O49:O50"/>
    <mergeCell ref="C40:E40"/>
    <mergeCell ref="F40:H40"/>
    <mergeCell ref="I40:J40"/>
    <mergeCell ref="C41:E41"/>
    <mergeCell ref="F41:H41"/>
    <mergeCell ref="I41:J41"/>
    <mergeCell ref="C38:E38"/>
    <mergeCell ref="F38:H38"/>
    <mergeCell ref="I38:J38"/>
    <mergeCell ref="C39:E39"/>
    <mergeCell ref="F39:H39"/>
    <mergeCell ref="I39:J39"/>
    <mergeCell ref="C36:E36"/>
    <mergeCell ref="F36:H36"/>
    <mergeCell ref="I36:J36"/>
    <mergeCell ref="C37:E37"/>
    <mergeCell ref="F37:H37"/>
    <mergeCell ref="I37:J37"/>
    <mergeCell ref="C35:E35"/>
    <mergeCell ref="F35:H35"/>
    <mergeCell ref="I35:J35"/>
    <mergeCell ref="K31:K32"/>
    <mergeCell ref="C32:E32"/>
    <mergeCell ref="F32:H32"/>
    <mergeCell ref="I32:J32"/>
    <mergeCell ref="C33:E33"/>
    <mergeCell ref="F33:H33"/>
    <mergeCell ref="I33:J33"/>
    <mergeCell ref="B31:B32"/>
    <mergeCell ref="C31:E31"/>
    <mergeCell ref="F31:H31"/>
    <mergeCell ref="I31:J31"/>
    <mergeCell ref="C28:E28"/>
    <mergeCell ref="F28:H28"/>
    <mergeCell ref="I28:J28"/>
    <mergeCell ref="C29:E29"/>
    <mergeCell ref="F29:H29"/>
    <mergeCell ref="I29:J29"/>
    <mergeCell ref="D1:E1"/>
    <mergeCell ref="B3:E3"/>
    <mergeCell ref="B5:G9"/>
    <mergeCell ref="I8:M8"/>
    <mergeCell ref="I9:J9"/>
    <mergeCell ref="K9:M9"/>
    <mergeCell ref="F22:H22"/>
    <mergeCell ref="I22:J22"/>
    <mergeCell ref="B23:B24"/>
    <mergeCell ref="C23:E23"/>
    <mergeCell ref="F23:H23"/>
    <mergeCell ref="I23:J23"/>
    <mergeCell ref="D17:E17"/>
    <mergeCell ref="F17:G17"/>
    <mergeCell ref="J17:L17"/>
    <mergeCell ref="J18:L18"/>
    <mergeCell ref="K23:K24"/>
    <mergeCell ref="C24:E24"/>
    <mergeCell ref="F24:H24"/>
    <mergeCell ref="I24:J24"/>
    <mergeCell ref="D19:E19"/>
    <mergeCell ref="D20:E20"/>
    <mergeCell ref="Y49:Y50"/>
    <mergeCell ref="X57:X58"/>
    <mergeCell ref="Y57:Y58"/>
    <mergeCell ref="C13:F13"/>
    <mergeCell ref="C14:E14"/>
    <mergeCell ref="G14:J14"/>
    <mergeCell ref="D16:E16"/>
    <mergeCell ref="F16:G16"/>
    <mergeCell ref="J16:L16"/>
    <mergeCell ref="C26:E26"/>
    <mergeCell ref="F26:H26"/>
    <mergeCell ref="I26:J26"/>
    <mergeCell ref="C27:E27"/>
    <mergeCell ref="F27:H27"/>
    <mergeCell ref="I27:J27"/>
    <mergeCell ref="C25:E25"/>
    <mergeCell ref="F25:H25"/>
    <mergeCell ref="I25:J25"/>
    <mergeCell ref="C30:E30"/>
    <mergeCell ref="F30:H30"/>
    <mergeCell ref="I30:J30"/>
    <mergeCell ref="C34:E34"/>
    <mergeCell ref="F34:H34"/>
    <mergeCell ref="I34:J34"/>
  </mergeCells>
  <conditionalFormatting sqref="AI54:AI58">
    <cfRule type="cellIs" dxfId="221" priority="89" stopIfTrue="1" operator="equal">
      <formula>"N.C."</formula>
    </cfRule>
  </conditionalFormatting>
  <conditionalFormatting sqref="I41:J41">
    <cfRule type="cellIs" dxfId="220" priority="90" stopIfTrue="1" operator="lessThan">
      <formula>$F$41</formula>
    </cfRule>
    <cfRule type="cellIs" dxfId="219" priority="91" stopIfTrue="1" operator="greaterThanOrEqual">
      <formula>$F$41</formula>
    </cfRule>
  </conditionalFormatting>
  <conditionalFormatting sqref="B50:B59 B65:B71 F50:F81 F83:F85">
    <cfRule type="expression" dxfId="218" priority="92" stopIfTrue="1">
      <formula>IF(C50&gt;0,TRUE,FALSE)</formula>
    </cfRule>
  </conditionalFormatting>
  <conditionalFormatting sqref="C50:C59 C65:C71 G50:G81 G83:G85">
    <cfRule type="cellIs" dxfId="217" priority="93" stopIfTrue="1" operator="greaterThan">
      <formula>0</formula>
    </cfRule>
  </conditionalFormatting>
  <conditionalFormatting sqref="K23:K40">
    <cfRule type="cellIs" dxfId="216" priority="94" stopIfTrue="1" operator="greaterThan">
      <formula>0</formula>
    </cfRule>
  </conditionalFormatting>
  <conditionalFormatting sqref="I25">
    <cfRule type="cellIs" dxfId="215" priority="95" stopIfTrue="1" operator="lessThan">
      <formula>$F$25</formula>
    </cfRule>
    <cfRule type="cellIs" dxfId="214" priority="96" stopIfTrue="1" operator="greaterThanOrEqual">
      <formula>$F$25</formula>
    </cfRule>
  </conditionalFormatting>
  <conditionalFormatting sqref="I26">
    <cfRule type="cellIs" dxfId="213" priority="97" stopIfTrue="1" operator="lessThan">
      <formula>$F$26</formula>
    </cfRule>
    <cfRule type="cellIs" dxfId="212" priority="98" stopIfTrue="1" operator="greaterThanOrEqual">
      <formula>$F$26</formula>
    </cfRule>
  </conditionalFormatting>
  <conditionalFormatting sqref="I27">
    <cfRule type="cellIs" dxfId="211" priority="99" stopIfTrue="1" operator="lessThan">
      <formula>$F$27</formula>
    </cfRule>
    <cfRule type="cellIs" dxfId="210" priority="100" stopIfTrue="1" operator="greaterThanOrEqual">
      <formula>$F$27</formula>
    </cfRule>
  </conditionalFormatting>
  <conditionalFormatting sqref="I28">
    <cfRule type="cellIs" dxfId="209" priority="101" stopIfTrue="1" operator="lessThan">
      <formula>$F$28</formula>
    </cfRule>
    <cfRule type="cellIs" dxfId="208" priority="102" stopIfTrue="1" operator="greaterThanOrEqual">
      <formula>$F$28</formula>
    </cfRule>
  </conditionalFormatting>
  <conditionalFormatting sqref="I30">
    <cfRule type="cellIs" dxfId="207" priority="103" stopIfTrue="1" operator="lessThan">
      <formula>$F$30</formula>
    </cfRule>
    <cfRule type="cellIs" dxfId="206" priority="104" stopIfTrue="1" operator="greaterThanOrEqual">
      <formula>$F$30</formula>
    </cfRule>
  </conditionalFormatting>
  <conditionalFormatting sqref="I33">
    <cfRule type="cellIs" dxfId="205" priority="105" stopIfTrue="1" operator="lessThan">
      <formula>$F$33</formula>
    </cfRule>
    <cfRule type="cellIs" dxfId="204" priority="106" stopIfTrue="1" operator="greaterThanOrEqual">
      <formula>$F$33</formula>
    </cfRule>
  </conditionalFormatting>
  <conditionalFormatting sqref="I34">
    <cfRule type="cellIs" dxfId="203" priority="107" stopIfTrue="1" operator="lessThan">
      <formula>$F$34</formula>
    </cfRule>
    <cfRule type="cellIs" dxfId="202" priority="108" stopIfTrue="1" operator="greaterThanOrEqual">
      <formula>$F$34</formula>
    </cfRule>
  </conditionalFormatting>
  <conditionalFormatting sqref="I35">
    <cfRule type="cellIs" dxfId="201" priority="109" stopIfTrue="1" operator="lessThan">
      <formula>$F$35</formula>
    </cfRule>
    <cfRule type="cellIs" dxfId="200" priority="110" stopIfTrue="1" operator="greaterThanOrEqual">
      <formula>$F$35</formula>
    </cfRule>
  </conditionalFormatting>
  <conditionalFormatting sqref="I36">
    <cfRule type="cellIs" dxfId="199" priority="111" stopIfTrue="1" operator="lessThan">
      <formula>$F$36</formula>
    </cfRule>
    <cfRule type="cellIs" dxfId="198" priority="112" stopIfTrue="1" operator="greaterThanOrEqual">
      <formula>$F$36</formula>
    </cfRule>
  </conditionalFormatting>
  <conditionalFormatting sqref="I24">
    <cfRule type="expression" dxfId="197" priority="113" stopIfTrue="1">
      <formula>IF(OR($K$23=$N$47,$K$23&gt;$N$47), TRUE)</formula>
    </cfRule>
    <cfRule type="cellIs" dxfId="196" priority="114" stopIfTrue="1" operator="greaterThanOrEqual">
      <formula>$F$24</formula>
    </cfRule>
    <cfRule type="cellIs" dxfId="195" priority="115" stopIfTrue="1" operator="lessThan">
      <formula>$F$24</formula>
    </cfRule>
  </conditionalFormatting>
  <conditionalFormatting sqref="I38">
    <cfRule type="cellIs" dxfId="194" priority="116" stopIfTrue="1" operator="lessThan">
      <formula>$F$38</formula>
    </cfRule>
    <cfRule type="cellIs" dxfId="193" priority="117" stopIfTrue="1" operator="greaterThanOrEqual">
      <formula>$F$38</formula>
    </cfRule>
  </conditionalFormatting>
  <conditionalFormatting sqref="I39">
    <cfRule type="cellIs" dxfId="192" priority="118" stopIfTrue="1" operator="lessThan">
      <formula>$F$39</formula>
    </cfRule>
    <cfRule type="cellIs" dxfId="191" priority="119" stopIfTrue="1" operator="greaterThanOrEqual">
      <formula>$F$39</formula>
    </cfRule>
  </conditionalFormatting>
  <conditionalFormatting sqref="I23:J23">
    <cfRule type="expression" dxfId="190" priority="120" stopIfTrue="1">
      <formula>IF(OR($K$23=$N$47,$K$23&gt;$N$47), TRUE)</formula>
    </cfRule>
    <cfRule type="cellIs" dxfId="189" priority="121" stopIfTrue="1" operator="greaterThanOrEqual">
      <formula>$F$23</formula>
    </cfRule>
    <cfRule type="cellIs" dxfId="188" priority="122" stopIfTrue="1" operator="lessThan">
      <formula>"$P$22"</formula>
    </cfRule>
  </conditionalFormatting>
  <conditionalFormatting sqref="I29">
    <cfRule type="cellIs" dxfId="187" priority="123" stopIfTrue="1" operator="lessThan">
      <formula>$F$29</formula>
    </cfRule>
    <cfRule type="cellIs" dxfId="186" priority="124" stopIfTrue="1" operator="greaterThanOrEqual">
      <formula>$F$29</formula>
    </cfRule>
  </conditionalFormatting>
  <conditionalFormatting sqref="I31">
    <cfRule type="expression" dxfId="185" priority="125" stopIfTrue="1">
      <formula>IF(OR($K$31&gt;$N$55,$K$31=$N$55),TRUE)</formula>
    </cfRule>
    <cfRule type="cellIs" dxfId="184" priority="126" stopIfTrue="1" operator="greaterThanOrEqual">
      <formula>$F$31</formula>
    </cfRule>
    <cfRule type="cellIs" dxfId="183" priority="127" stopIfTrue="1" operator="lessThan">
      <formula>$F$31</formula>
    </cfRule>
  </conditionalFormatting>
  <conditionalFormatting sqref="I32">
    <cfRule type="expression" dxfId="182" priority="128" stopIfTrue="1">
      <formula>IF(OR($K$31&gt;$N$55,$K$31=$N$55),TRUE)</formula>
    </cfRule>
    <cfRule type="cellIs" dxfId="181" priority="129" stopIfTrue="1" operator="greaterThanOrEqual">
      <formula>$F$32</formula>
    </cfRule>
    <cfRule type="cellIs" dxfId="180" priority="130" stopIfTrue="1" operator="lessThan">
      <formula>$F$32</formula>
    </cfRule>
  </conditionalFormatting>
  <conditionalFormatting sqref="I40:J40">
    <cfRule type="cellIs" dxfId="179" priority="131" stopIfTrue="1" operator="lessThan">
      <formula>$F$40</formula>
    </cfRule>
    <cfRule type="cellIs" dxfId="178" priority="132" stopIfTrue="1" operator="greaterThanOrEqual">
      <formula>$F$40</formula>
    </cfRule>
  </conditionalFormatting>
  <conditionalFormatting sqref="M22">
    <cfRule type="expression" dxfId="177" priority="82">
      <formula>IF(M22="autre région",TRUE,FALSE)</formula>
    </cfRule>
  </conditionalFormatting>
  <conditionalFormatting sqref="N22">
    <cfRule type="expression" dxfId="176" priority="134" stopIfTrue="1">
      <formula>IF(M22="autre région",TRUE,FALSE)</formula>
    </cfRule>
  </conditionalFormatting>
  <conditionalFormatting sqref="I37:J37">
    <cfRule type="expression" dxfId="175" priority="459" stopIfTrue="1">
      <formula>IF($L$37&lt;SUMIF(M48:Z48,F17,M63:Z63),TRUE,FALSE)</formula>
    </cfRule>
    <cfRule type="expression" dxfId="174" priority="460" stopIfTrue="1">
      <formula>IF($L$37&gt;SUMIF(M48:Z48,F17,M63:Z63),TRUE,FALSE)</formula>
    </cfRule>
  </conditionalFormatting>
  <conditionalFormatting sqref="F82">
    <cfRule type="expression" dxfId="173" priority="74" stopIfTrue="1">
      <formula>IF(G82&gt;0,TRUE,FALSE)</formula>
    </cfRule>
  </conditionalFormatting>
  <conditionalFormatting sqref="G82">
    <cfRule type="cellIs" dxfId="172" priority="75" stopIfTrue="1" operator="greaterThan">
      <formula>0</formula>
    </cfRule>
  </conditionalFormatting>
  <conditionalFormatting sqref="B62">
    <cfRule type="expression" dxfId="171" priority="17" stopIfTrue="1">
      <formula>IF(C62&gt;0,TRUE,FALSE)</formula>
    </cfRule>
  </conditionalFormatting>
  <conditionalFormatting sqref="C62">
    <cfRule type="cellIs" dxfId="170" priority="18" stopIfTrue="1" operator="greaterThan">
      <formula>0</formula>
    </cfRule>
  </conditionalFormatting>
  <conditionalFormatting sqref="B64">
    <cfRule type="expression" dxfId="169" priority="15" stopIfTrue="1">
      <formula>IF(C64&gt;0,TRUE,FALSE)</formula>
    </cfRule>
  </conditionalFormatting>
  <conditionalFormatting sqref="C64">
    <cfRule type="cellIs" dxfId="168" priority="16" stopIfTrue="1" operator="greaterThan">
      <formula>0</formula>
    </cfRule>
  </conditionalFormatting>
  <conditionalFormatting sqref="B61">
    <cfRule type="expression" dxfId="167" priority="13" stopIfTrue="1">
      <formula>IF(C61&gt;0,TRUE,FALSE)</formula>
    </cfRule>
  </conditionalFormatting>
  <conditionalFormatting sqref="C61">
    <cfRule type="cellIs" dxfId="166" priority="14" stopIfTrue="1" operator="greaterThan">
      <formula>0</formula>
    </cfRule>
  </conditionalFormatting>
  <conditionalFormatting sqref="B63">
    <cfRule type="expression" dxfId="165" priority="11" stopIfTrue="1">
      <formula>IF(C63&gt;0,TRUE,FALSE)</formula>
    </cfRule>
  </conditionalFormatting>
  <conditionalFormatting sqref="C63">
    <cfRule type="cellIs" dxfId="164" priority="12" stopIfTrue="1" operator="greaterThan">
      <formula>0</formula>
    </cfRule>
  </conditionalFormatting>
  <conditionalFormatting sqref="B75:B81">
    <cfRule type="expression" dxfId="163" priority="9" stopIfTrue="1">
      <formula>IF(C75&gt;0,TRUE,FALSE)</formula>
    </cfRule>
  </conditionalFormatting>
  <conditionalFormatting sqref="C75:C81">
    <cfRule type="cellIs" dxfId="162" priority="10" stopIfTrue="1" operator="greaterThan">
      <formula>0</formula>
    </cfRule>
  </conditionalFormatting>
  <conditionalFormatting sqref="B72">
    <cfRule type="expression" dxfId="161" priority="7" stopIfTrue="1">
      <formula>IF(C72&gt;0,TRUE,FALSE)</formula>
    </cfRule>
  </conditionalFormatting>
  <conditionalFormatting sqref="C72">
    <cfRule type="cellIs" dxfId="160" priority="8" stopIfTrue="1" operator="greaterThan">
      <formula>0</formula>
    </cfRule>
  </conditionalFormatting>
  <conditionalFormatting sqref="B74">
    <cfRule type="expression" dxfId="159" priority="5" stopIfTrue="1">
      <formula>IF(C74&gt;0,TRUE,FALSE)</formula>
    </cfRule>
  </conditionalFormatting>
  <conditionalFormatting sqref="C74">
    <cfRule type="cellIs" dxfId="158" priority="6" stopIfTrue="1" operator="greaterThan">
      <formula>0</formula>
    </cfRule>
  </conditionalFormatting>
  <conditionalFormatting sqref="B73">
    <cfRule type="expression" dxfId="157" priority="3" stopIfTrue="1">
      <formula>IF(C73&gt;0,TRUE,FALSE)</formula>
    </cfRule>
  </conditionalFormatting>
  <conditionalFormatting sqref="C73">
    <cfRule type="cellIs" dxfId="156" priority="4" stopIfTrue="1" operator="greaterThan">
      <formula>0</formula>
    </cfRule>
  </conditionalFormatting>
  <conditionalFormatting sqref="B82">
    <cfRule type="expression" dxfId="155" priority="1" stopIfTrue="1">
      <formula>IF(C82&gt;0,TRUE,FALSE)</formula>
    </cfRule>
  </conditionalFormatting>
  <conditionalFormatting sqref="C82">
    <cfRule type="cellIs" dxfId="154" priority="2" stopIfTrue="1" operator="greaterThan">
      <formula>0</formula>
    </cfRule>
  </conditionalFormatting>
  <dataValidations count="53">
    <dataValidation type="list" allowBlank="1" showInputMessage="1" showErrorMessage="1" sqref="JE16:JE18 ACW16:ACW18 AMS16:AMS18 AWO16:AWO18 BGK16:BGK18 BQG16:BQG18 CAC16:CAC18 CJY16:CJY18 CTU16:CTU18 DDQ16:DDQ18 DNM16:DNM18 DXI16:DXI18 EHE16:EHE18 ERA16:ERA18 FAW16:FAW18 FKS16:FKS18 FUO16:FUO18 GEK16:GEK18 GOG16:GOG18 GYC16:GYC18 HHY16:HHY18 HRU16:HRU18 IBQ16:IBQ18 ILM16:ILM18 IVI16:IVI18 JFE16:JFE18 JPA16:JPA18 JYW16:JYW18 KIS16:KIS18 KSO16:KSO18 LCK16:LCK18 LMG16:LMG18 LWC16:LWC18 MFY16:MFY18 MPU16:MPU18 MZQ16:MZQ18 NJM16:NJM18 NTI16:NTI18 ODE16:ODE18 ONA16:ONA18 OWW16:OWW18 PGS16:PGS18 PQO16:PQO18 QAK16:QAK18 QKG16:QKG18 QUC16:QUC18 RDY16:RDY18 RNU16:RNU18 RXQ16:RXQ18 SHM16:SHM18 SRI16:SRI18 TBE16:TBE18 TLA16:TLA18 TUW16:TUW18 UES16:UES18 UOO16:UOO18 UYK16:UYK18 VIG16:VIG18 VSC16:VSC18 WBY16:WBY18 WLU16:WLU18 WVQ16:WVQ18 I65554:I65556 JE65554:JE65556 TA65554:TA65556 ACW65554:ACW65556 AMS65554:AMS65556 AWO65554:AWO65556 BGK65554:BGK65556 BQG65554:BQG65556 CAC65554:CAC65556 CJY65554:CJY65556 CTU65554:CTU65556 DDQ65554:DDQ65556 DNM65554:DNM65556 DXI65554:DXI65556 EHE65554:EHE65556 ERA65554:ERA65556 FAW65554:FAW65556 FKS65554:FKS65556 FUO65554:FUO65556 GEK65554:GEK65556 GOG65554:GOG65556 GYC65554:GYC65556 HHY65554:HHY65556 HRU65554:HRU65556 IBQ65554:IBQ65556 ILM65554:ILM65556 IVI65554:IVI65556 JFE65554:JFE65556 JPA65554:JPA65556 JYW65554:JYW65556 KIS65554:KIS65556 KSO65554:KSO65556 LCK65554:LCK65556 LMG65554:LMG65556 LWC65554:LWC65556 MFY65554:MFY65556 MPU65554:MPU65556 MZQ65554:MZQ65556 NJM65554:NJM65556 NTI65554:NTI65556 ODE65554:ODE65556 ONA65554:ONA65556 OWW65554:OWW65556 PGS65554:PGS65556 PQO65554:PQO65556 QAK65554:QAK65556 QKG65554:QKG65556 QUC65554:QUC65556 RDY65554:RDY65556 RNU65554:RNU65556 RXQ65554:RXQ65556 SHM65554:SHM65556 SRI65554:SRI65556 TBE65554:TBE65556 TLA65554:TLA65556 TUW65554:TUW65556 UES65554:UES65556 UOO65554:UOO65556 UYK65554:UYK65556 VIG65554:VIG65556 VSC65554:VSC65556 WBY65554:WBY65556 WLU65554:WLU65556 WVQ65554:WVQ65556 I131090:I131092 JE131090:JE131092 TA131090:TA131092 ACW131090:ACW131092 AMS131090:AMS131092 AWO131090:AWO131092 BGK131090:BGK131092 BQG131090:BQG131092 CAC131090:CAC131092 CJY131090:CJY131092 CTU131090:CTU131092 DDQ131090:DDQ131092 DNM131090:DNM131092 DXI131090:DXI131092 EHE131090:EHE131092 ERA131090:ERA131092 FAW131090:FAW131092 FKS131090:FKS131092 FUO131090:FUO131092 GEK131090:GEK131092 GOG131090:GOG131092 GYC131090:GYC131092 HHY131090:HHY131092 HRU131090:HRU131092 IBQ131090:IBQ131092 ILM131090:ILM131092 IVI131090:IVI131092 JFE131090:JFE131092 JPA131090:JPA131092 JYW131090:JYW131092 KIS131090:KIS131092 KSO131090:KSO131092 LCK131090:LCK131092 LMG131090:LMG131092 LWC131090:LWC131092 MFY131090:MFY131092 MPU131090:MPU131092 MZQ131090:MZQ131092 NJM131090:NJM131092 NTI131090:NTI131092 ODE131090:ODE131092 ONA131090:ONA131092 OWW131090:OWW131092 PGS131090:PGS131092 PQO131090:PQO131092 QAK131090:QAK131092 QKG131090:QKG131092 QUC131090:QUC131092 RDY131090:RDY131092 RNU131090:RNU131092 RXQ131090:RXQ131092 SHM131090:SHM131092 SRI131090:SRI131092 TBE131090:TBE131092 TLA131090:TLA131092 TUW131090:TUW131092 UES131090:UES131092 UOO131090:UOO131092 UYK131090:UYK131092 VIG131090:VIG131092 VSC131090:VSC131092 WBY131090:WBY131092 WLU131090:WLU131092 WVQ131090:WVQ131092 I196626:I196628 JE196626:JE196628 TA196626:TA196628 ACW196626:ACW196628 AMS196626:AMS196628 AWO196626:AWO196628 BGK196626:BGK196628 BQG196626:BQG196628 CAC196626:CAC196628 CJY196626:CJY196628 CTU196626:CTU196628 DDQ196626:DDQ196628 DNM196626:DNM196628 DXI196626:DXI196628 EHE196626:EHE196628 ERA196626:ERA196628 FAW196626:FAW196628 FKS196626:FKS196628 FUO196626:FUO196628 GEK196626:GEK196628 GOG196626:GOG196628 GYC196626:GYC196628 HHY196626:HHY196628 HRU196626:HRU196628 IBQ196626:IBQ196628 ILM196626:ILM196628 IVI196626:IVI196628 JFE196626:JFE196628 JPA196626:JPA196628 JYW196626:JYW196628 KIS196626:KIS196628 KSO196626:KSO196628 LCK196626:LCK196628 LMG196626:LMG196628 LWC196626:LWC196628 MFY196626:MFY196628 MPU196626:MPU196628 MZQ196626:MZQ196628 NJM196626:NJM196628 NTI196626:NTI196628 ODE196626:ODE196628 ONA196626:ONA196628 OWW196626:OWW196628 PGS196626:PGS196628 PQO196626:PQO196628 QAK196626:QAK196628 QKG196626:QKG196628 QUC196626:QUC196628 RDY196626:RDY196628 RNU196626:RNU196628 RXQ196626:RXQ196628 SHM196626:SHM196628 SRI196626:SRI196628 TBE196626:TBE196628 TLA196626:TLA196628 TUW196626:TUW196628 UES196626:UES196628 UOO196626:UOO196628 UYK196626:UYK196628 VIG196626:VIG196628 VSC196626:VSC196628 WBY196626:WBY196628 WLU196626:WLU196628 WVQ196626:WVQ196628 I262162:I262164 JE262162:JE262164 TA262162:TA262164 ACW262162:ACW262164 AMS262162:AMS262164 AWO262162:AWO262164 BGK262162:BGK262164 BQG262162:BQG262164 CAC262162:CAC262164 CJY262162:CJY262164 CTU262162:CTU262164 DDQ262162:DDQ262164 DNM262162:DNM262164 DXI262162:DXI262164 EHE262162:EHE262164 ERA262162:ERA262164 FAW262162:FAW262164 FKS262162:FKS262164 FUO262162:FUO262164 GEK262162:GEK262164 GOG262162:GOG262164 GYC262162:GYC262164 HHY262162:HHY262164 HRU262162:HRU262164 IBQ262162:IBQ262164 ILM262162:ILM262164 IVI262162:IVI262164 JFE262162:JFE262164 JPA262162:JPA262164 JYW262162:JYW262164 KIS262162:KIS262164 KSO262162:KSO262164 LCK262162:LCK262164 LMG262162:LMG262164 LWC262162:LWC262164 MFY262162:MFY262164 MPU262162:MPU262164 MZQ262162:MZQ262164 NJM262162:NJM262164 NTI262162:NTI262164 ODE262162:ODE262164 ONA262162:ONA262164 OWW262162:OWW262164 PGS262162:PGS262164 PQO262162:PQO262164 QAK262162:QAK262164 QKG262162:QKG262164 QUC262162:QUC262164 RDY262162:RDY262164 RNU262162:RNU262164 RXQ262162:RXQ262164 SHM262162:SHM262164 SRI262162:SRI262164 TBE262162:TBE262164 TLA262162:TLA262164 TUW262162:TUW262164 UES262162:UES262164 UOO262162:UOO262164 UYK262162:UYK262164 VIG262162:VIG262164 VSC262162:VSC262164 WBY262162:WBY262164 WLU262162:WLU262164 WVQ262162:WVQ262164 I327698:I327700 JE327698:JE327700 TA327698:TA327700 ACW327698:ACW327700 AMS327698:AMS327700 AWO327698:AWO327700 BGK327698:BGK327700 BQG327698:BQG327700 CAC327698:CAC327700 CJY327698:CJY327700 CTU327698:CTU327700 DDQ327698:DDQ327700 DNM327698:DNM327700 DXI327698:DXI327700 EHE327698:EHE327700 ERA327698:ERA327700 FAW327698:FAW327700 FKS327698:FKS327700 FUO327698:FUO327700 GEK327698:GEK327700 GOG327698:GOG327700 GYC327698:GYC327700 HHY327698:HHY327700 HRU327698:HRU327700 IBQ327698:IBQ327700 ILM327698:ILM327700 IVI327698:IVI327700 JFE327698:JFE327700 JPA327698:JPA327700 JYW327698:JYW327700 KIS327698:KIS327700 KSO327698:KSO327700 LCK327698:LCK327700 LMG327698:LMG327700 LWC327698:LWC327700 MFY327698:MFY327700 MPU327698:MPU327700 MZQ327698:MZQ327700 NJM327698:NJM327700 NTI327698:NTI327700 ODE327698:ODE327700 ONA327698:ONA327700 OWW327698:OWW327700 PGS327698:PGS327700 PQO327698:PQO327700 QAK327698:QAK327700 QKG327698:QKG327700 QUC327698:QUC327700 RDY327698:RDY327700 RNU327698:RNU327700 RXQ327698:RXQ327700 SHM327698:SHM327700 SRI327698:SRI327700 TBE327698:TBE327700 TLA327698:TLA327700 TUW327698:TUW327700 UES327698:UES327700 UOO327698:UOO327700 UYK327698:UYK327700 VIG327698:VIG327700 VSC327698:VSC327700 WBY327698:WBY327700 WLU327698:WLU327700 WVQ327698:WVQ327700 I393234:I393236 JE393234:JE393236 TA393234:TA393236 ACW393234:ACW393236 AMS393234:AMS393236 AWO393234:AWO393236 BGK393234:BGK393236 BQG393234:BQG393236 CAC393234:CAC393236 CJY393234:CJY393236 CTU393234:CTU393236 DDQ393234:DDQ393236 DNM393234:DNM393236 DXI393234:DXI393236 EHE393234:EHE393236 ERA393234:ERA393236 FAW393234:FAW393236 FKS393234:FKS393236 FUO393234:FUO393236 GEK393234:GEK393236 GOG393234:GOG393236 GYC393234:GYC393236 HHY393234:HHY393236 HRU393234:HRU393236 IBQ393234:IBQ393236 ILM393234:ILM393236 IVI393234:IVI393236 JFE393234:JFE393236 JPA393234:JPA393236 JYW393234:JYW393236 KIS393234:KIS393236 KSO393234:KSO393236 LCK393234:LCK393236 LMG393234:LMG393236 LWC393234:LWC393236 MFY393234:MFY393236 MPU393234:MPU393236 MZQ393234:MZQ393236 NJM393234:NJM393236 NTI393234:NTI393236 ODE393234:ODE393236 ONA393234:ONA393236 OWW393234:OWW393236 PGS393234:PGS393236 PQO393234:PQO393236 QAK393234:QAK393236 QKG393234:QKG393236 QUC393234:QUC393236 RDY393234:RDY393236 RNU393234:RNU393236 RXQ393234:RXQ393236 SHM393234:SHM393236 SRI393234:SRI393236 TBE393234:TBE393236 TLA393234:TLA393236 TUW393234:TUW393236 UES393234:UES393236 UOO393234:UOO393236 UYK393234:UYK393236 VIG393234:VIG393236 VSC393234:VSC393236 WBY393234:WBY393236 WLU393234:WLU393236 WVQ393234:WVQ393236 I458770:I458772 JE458770:JE458772 TA458770:TA458772 ACW458770:ACW458772 AMS458770:AMS458772 AWO458770:AWO458772 BGK458770:BGK458772 BQG458770:BQG458772 CAC458770:CAC458772 CJY458770:CJY458772 CTU458770:CTU458772 DDQ458770:DDQ458772 DNM458770:DNM458772 DXI458770:DXI458772 EHE458770:EHE458772 ERA458770:ERA458772 FAW458770:FAW458772 FKS458770:FKS458772 FUO458770:FUO458772 GEK458770:GEK458772 GOG458770:GOG458772 GYC458770:GYC458772 HHY458770:HHY458772 HRU458770:HRU458772 IBQ458770:IBQ458772 ILM458770:ILM458772 IVI458770:IVI458772 JFE458770:JFE458772 JPA458770:JPA458772 JYW458770:JYW458772 KIS458770:KIS458772 KSO458770:KSO458772 LCK458770:LCK458772 LMG458770:LMG458772 LWC458770:LWC458772 MFY458770:MFY458772 MPU458770:MPU458772 MZQ458770:MZQ458772 NJM458770:NJM458772 NTI458770:NTI458772 ODE458770:ODE458772 ONA458770:ONA458772 OWW458770:OWW458772 PGS458770:PGS458772 PQO458770:PQO458772 QAK458770:QAK458772 QKG458770:QKG458772 QUC458770:QUC458772 RDY458770:RDY458772 RNU458770:RNU458772 RXQ458770:RXQ458772 SHM458770:SHM458772 SRI458770:SRI458772 TBE458770:TBE458772 TLA458770:TLA458772 TUW458770:TUW458772 UES458770:UES458772 UOO458770:UOO458772 UYK458770:UYK458772 VIG458770:VIG458772 VSC458770:VSC458772 WBY458770:WBY458772 WLU458770:WLU458772 WVQ458770:WVQ458772 I524306:I524308 JE524306:JE524308 TA524306:TA524308 ACW524306:ACW524308 AMS524306:AMS524308 AWO524306:AWO524308 BGK524306:BGK524308 BQG524306:BQG524308 CAC524306:CAC524308 CJY524306:CJY524308 CTU524306:CTU524308 DDQ524306:DDQ524308 DNM524306:DNM524308 DXI524306:DXI524308 EHE524306:EHE524308 ERA524306:ERA524308 FAW524306:FAW524308 FKS524306:FKS524308 FUO524306:FUO524308 GEK524306:GEK524308 GOG524306:GOG524308 GYC524306:GYC524308 HHY524306:HHY524308 HRU524306:HRU524308 IBQ524306:IBQ524308 ILM524306:ILM524308 IVI524306:IVI524308 JFE524306:JFE524308 JPA524306:JPA524308 JYW524306:JYW524308 KIS524306:KIS524308 KSO524306:KSO524308 LCK524306:LCK524308 LMG524306:LMG524308 LWC524306:LWC524308 MFY524306:MFY524308 MPU524306:MPU524308 MZQ524306:MZQ524308 NJM524306:NJM524308 NTI524306:NTI524308 ODE524306:ODE524308 ONA524306:ONA524308 OWW524306:OWW524308 PGS524306:PGS524308 PQO524306:PQO524308 QAK524306:QAK524308 QKG524306:QKG524308 QUC524306:QUC524308 RDY524306:RDY524308 RNU524306:RNU524308 RXQ524306:RXQ524308 SHM524306:SHM524308 SRI524306:SRI524308 TBE524306:TBE524308 TLA524306:TLA524308 TUW524306:TUW524308 UES524306:UES524308 UOO524306:UOO524308 UYK524306:UYK524308 VIG524306:VIG524308 VSC524306:VSC524308 WBY524306:WBY524308 WLU524306:WLU524308 WVQ524306:WVQ524308 I589842:I589844 JE589842:JE589844 TA589842:TA589844 ACW589842:ACW589844 AMS589842:AMS589844 AWO589842:AWO589844 BGK589842:BGK589844 BQG589842:BQG589844 CAC589842:CAC589844 CJY589842:CJY589844 CTU589842:CTU589844 DDQ589842:DDQ589844 DNM589842:DNM589844 DXI589842:DXI589844 EHE589842:EHE589844 ERA589842:ERA589844 FAW589842:FAW589844 FKS589842:FKS589844 FUO589842:FUO589844 GEK589842:GEK589844 GOG589842:GOG589844 GYC589842:GYC589844 HHY589842:HHY589844 HRU589842:HRU589844 IBQ589842:IBQ589844 ILM589842:ILM589844 IVI589842:IVI589844 JFE589842:JFE589844 JPA589842:JPA589844 JYW589842:JYW589844 KIS589842:KIS589844 KSO589842:KSO589844 LCK589842:LCK589844 LMG589842:LMG589844 LWC589842:LWC589844 MFY589842:MFY589844 MPU589842:MPU589844 MZQ589842:MZQ589844 NJM589842:NJM589844 NTI589842:NTI589844 ODE589842:ODE589844 ONA589842:ONA589844 OWW589842:OWW589844 PGS589842:PGS589844 PQO589842:PQO589844 QAK589842:QAK589844 QKG589842:QKG589844 QUC589842:QUC589844 RDY589842:RDY589844 RNU589842:RNU589844 RXQ589842:RXQ589844 SHM589842:SHM589844 SRI589842:SRI589844 TBE589842:TBE589844 TLA589842:TLA589844 TUW589842:TUW589844 UES589842:UES589844 UOO589842:UOO589844 UYK589842:UYK589844 VIG589842:VIG589844 VSC589842:VSC589844 WBY589842:WBY589844 WLU589842:WLU589844 WVQ589842:WVQ589844 I655378:I655380 JE655378:JE655380 TA655378:TA655380 ACW655378:ACW655380 AMS655378:AMS655380 AWO655378:AWO655380 BGK655378:BGK655380 BQG655378:BQG655380 CAC655378:CAC655380 CJY655378:CJY655380 CTU655378:CTU655380 DDQ655378:DDQ655380 DNM655378:DNM655380 DXI655378:DXI655380 EHE655378:EHE655380 ERA655378:ERA655380 FAW655378:FAW655380 FKS655378:FKS655380 FUO655378:FUO655380 GEK655378:GEK655380 GOG655378:GOG655380 GYC655378:GYC655380 HHY655378:HHY655380 HRU655378:HRU655380 IBQ655378:IBQ655380 ILM655378:ILM655380 IVI655378:IVI655380 JFE655378:JFE655380 JPA655378:JPA655380 JYW655378:JYW655380 KIS655378:KIS655380 KSO655378:KSO655380 LCK655378:LCK655380 LMG655378:LMG655380 LWC655378:LWC655380 MFY655378:MFY655380 MPU655378:MPU655380 MZQ655378:MZQ655380 NJM655378:NJM655380 NTI655378:NTI655380 ODE655378:ODE655380 ONA655378:ONA655380 OWW655378:OWW655380 PGS655378:PGS655380 PQO655378:PQO655380 QAK655378:QAK655380 QKG655378:QKG655380 QUC655378:QUC655380 RDY655378:RDY655380 RNU655378:RNU655380 RXQ655378:RXQ655380 SHM655378:SHM655380 SRI655378:SRI655380 TBE655378:TBE655380 TLA655378:TLA655380 TUW655378:TUW655380 UES655378:UES655380 UOO655378:UOO655380 UYK655378:UYK655380 VIG655378:VIG655380 VSC655378:VSC655380 WBY655378:WBY655380 WLU655378:WLU655380 WVQ655378:WVQ655380 I720914:I720916 JE720914:JE720916 TA720914:TA720916 ACW720914:ACW720916 AMS720914:AMS720916 AWO720914:AWO720916 BGK720914:BGK720916 BQG720914:BQG720916 CAC720914:CAC720916 CJY720914:CJY720916 CTU720914:CTU720916 DDQ720914:DDQ720916 DNM720914:DNM720916 DXI720914:DXI720916 EHE720914:EHE720916 ERA720914:ERA720916 FAW720914:FAW720916 FKS720914:FKS720916 FUO720914:FUO720916 GEK720914:GEK720916 GOG720914:GOG720916 GYC720914:GYC720916 HHY720914:HHY720916 HRU720914:HRU720916 IBQ720914:IBQ720916 ILM720914:ILM720916 IVI720914:IVI720916 JFE720914:JFE720916 JPA720914:JPA720916 JYW720914:JYW720916 KIS720914:KIS720916 KSO720914:KSO720916 LCK720914:LCK720916 LMG720914:LMG720916 LWC720914:LWC720916 MFY720914:MFY720916 MPU720914:MPU720916 MZQ720914:MZQ720916 NJM720914:NJM720916 NTI720914:NTI720916 ODE720914:ODE720916 ONA720914:ONA720916 OWW720914:OWW720916 PGS720914:PGS720916 PQO720914:PQO720916 QAK720914:QAK720916 QKG720914:QKG720916 QUC720914:QUC720916 RDY720914:RDY720916 RNU720914:RNU720916 RXQ720914:RXQ720916 SHM720914:SHM720916 SRI720914:SRI720916 TBE720914:TBE720916 TLA720914:TLA720916 TUW720914:TUW720916 UES720914:UES720916 UOO720914:UOO720916 UYK720914:UYK720916 VIG720914:VIG720916 VSC720914:VSC720916 WBY720914:WBY720916 WLU720914:WLU720916 WVQ720914:WVQ720916 I786450:I786452 JE786450:JE786452 TA786450:TA786452 ACW786450:ACW786452 AMS786450:AMS786452 AWO786450:AWO786452 BGK786450:BGK786452 BQG786450:BQG786452 CAC786450:CAC786452 CJY786450:CJY786452 CTU786450:CTU786452 DDQ786450:DDQ786452 DNM786450:DNM786452 DXI786450:DXI786452 EHE786450:EHE786452 ERA786450:ERA786452 FAW786450:FAW786452 FKS786450:FKS786452 FUO786450:FUO786452 GEK786450:GEK786452 GOG786450:GOG786452 GYC786450:GYC786452 HHY786450:HHY786452 HRU786450:HRU786452 IBQ786450:IBQ786452 ILM786450:ILM786452 IVI786450:IVI786452 JFE786450:JFE786452 JPA786450:JPA786452 JYW786450:JYW786452 KIS786450:KIS786452 KSO786450:KSO786452 LCK786450:LCK786452 LMG786450:LMG786452 LWC786450:LWC786452 MFY786450:MFY786452 MPU786450:MPU786452 MZQ786450:MZQ786452 NJM786450:NJM786452 NTI786450:NTI786452 ODE786450:ODE786452 ONA786450:ONA786452 OWW786450:OWW786452 PGS786450:PGS786452 PQO786450:PQO786452 QAK786450:QAK786452 QKG786450:QKG786452 QUC786450:QUC786452 RDY786450:RDY786452 RNU786450:RNU786452 RXQ786450:RXQ786452 SHM786450:SHM786452 SRI786450:SRI786452 TBE786450:TBE786452 TLA786450:TLA786452 TUW786450:TUW786452 UES786450:UES786452 UOO786450:UOO786452 UYK786450:UYK786452 VIG786450:VIG786452 VSC786450:VSC786452 WBY786450:WBY786452 WLU786450:WLU786452 WVQ786450:WVQ786452 I851986:I851988 JE851986:JE851988 TA851986:TA851988 ACW851986:ACW851988 AMS851986:AMS851988 AWO851986:AWO851988 BGK851986:BGK851988 BQG851986:BQG851988 CAC851986:CAC851988 CJY851986:CJY851988 CTU851986:CTU851988 DDQ851986:DDQ851988 DNM851986:DNM851988 DXI851986:DXI851988 EHE851986:EHE851988 ERA851986:ERA851988 FAW851986:FAW851988 FKS851986:FKS851988 FUO851986:FUO851988 GEK851986:GEK851988 GOG851986:GOG851988 GYC851986:GYC851988 HHY851986:HHY851988 HRU851986:HRU851988 IBQ851986:IBQ851988 ILM851986:ILM851988 IVI851986:IVI851988 JFE851986:JFE851988 JPA851986:JPA851988 JYW851986:JYW851988 KIS851986:KIS851988 KSO851986:KSO851988 LCK851986:LCK851988 LMG851986:LMG851988 LWC851986:LWC851988 MFY851986:MFY851988 MPU851986:MPU851988 MZQ851986:MZQ851988 NJM851986:NJM851988 NTI851986:NTI851988 ODE851986:ODE851988 ONA851986:ONA851988 OWW851986:OWW851988 PGS851986:PGS851988 PQO851986:PQO851988 QAK851986:QAK851988 QKG851986:QKG851988 QUC851986:QUC851988 RDY851986:RDY851988 RNU851986:RNU851988 RXQ851986:RXQ851988 SHM851986:SHM851988 SRI851986:SRI851988 TBE851986:TBE851988 TLA851986:TLA851988 TUW851986:TUW851988 UES851986:UES851988 UOO851986:UOO851988 UYK851986:UYK851988 VIG851986:VIG851988 VSC851986:VSC851988 WBY851986:WBY851988 WLU851986:WLU851988 WVQ851986:WVQ851988 I917522:I917524 JE917522:JE917524 TA917522:TA917524 ACW917522:ACW917524 AMS917522:AMS917524 AWO917522:AWO917524 BGK917522:BGK917524 BQG917522:BQG917524 CAC917522:CAC917524 CJY917522:CJY917524 CTU917522:CTU917524 DDQ917522:DDQ917524 DNM917522:DNM917524 DXI917522:DXI917524 EHE917522:EHE917524 ERA917522:ERA917524 FAW917522:FAW917524 FKS917522:FKS917524 FUO917522:FUO917524 GEK917522:GEK917524 GOG917522:GOG917524 GYC917522:GYC917524 HHY917522:HHY917524 HRU917522:HRU917524 IBQ917522:IBQ917524 ILM917522:ILM917524 IVI917522:IVI917524 JFE917522:JFE917524 JPA917522:JPA917524 JYW917522:JYW917524 KIS917522:KIS917524 KSO917522:KSO917524 LCK917522:LCK917524 LMG917522:LMG917524 LWC917522:LWC917524 MFY917522:MFY917524 MPU917522:MPU917524 MZQ917522:MZQ917524 NJM917522:NJM917524 NTI917522:NTI917524 ODE917522:ODE917524 ONA917522:ONA917524 OWW917522:OWW917524 PGS917522:PGS917524 PQO917522:PQO917524 QAK917522:QAK917524 QKG917522:QKG917524 QUC917522:QUC917524 RDY917522:RDY917524 RNU917522:RNU917524 RXQ917522:RXQ917524 SHM917522:SHM917524 SRI917522:SRI917524 TBE917522:TBE917524 TLA917522:TLA917524 TUW917522:TUW917524 UES917522:UES917524 UOO917522:UOO917524 UYK917522:UYK917524 VIG917522:VIG917524 VSC917522:VSC917524 WBY917522:WBY917524 WLU917522:WLU917524 WVQ917522:WVQ917524 I983058:I983060 JE983058:JE983060 TA983058:TA983060 ACW983058:ACW983060 AMS983058:AMS983060 AWO983058:AWO983060 BGK983058:BGK983060 BQG983058:BQG983060 CAC983058:CAC983060 CJY983058:CJY983060 CTU983058:CTU983060 DDQ983058:DDQ983060 DNM983058:DNM983060 DXI983058:DXI983060 EHE983058:EHE983060 ERA983058:ERA983060 FAW983058:FAW983060 FKS983058:FKS983060 FUO983058:FUO983060 GEK983058:GEK983060 GOG983058:GOG983060 GYC983058:GYC983060 HHY983058:HHY983060 HRU983058:HRU983060 IBQ983058:IBQ983060 ILM983058:ILM983060 IVI983058:IVI983060 JFE983058:JFE983060 JPA983058:JPA983060 JYW983058:JYW983060 KIS983058:KIS983060 KSO983058:KSO983060 LCK983058:LCK983060 LMG983058:LMG983060 LWC983058:LWC983060 MFY983058:MFY983060 MPU983058:MPU983060 MZQ983058:MZQ983060 NJM983058:NJM983060 NTI983058:NTI983060 ODE983058:ODE983060 ONA983058:ONA983060 OWW983058:OWW983060 PGS983058:PGS983060 PQO983058:PQO983060 QAK983058:QAK983060 QKG983058:QKG983060 QUC983058:QUC983060 RDY983058:RDY983060 RNU983058:RNU983060 RXQ983058:RXQ983060 SHM983058:SHM983060 SRI983058:SRI983060 TBE983058:TBE983060 TLA983058:TLA983060 TUW983058:TUW983060 UES983058:UES983060 UOO983058:UOO983060 UYK983058:UYK983060 VIG983058:VIG983060 VSC983058:VSC983060 WBY983058:WBY983060 WLU983058:WLU983060 WVQ983058:WVQ983060 TA16:TA18 JI16:JI18 TE16:TE18 ADA16:ADA18 AMW16:AMW18 AWS16:AWS18 BGO16:BGO18 BQK16:BQK18 CAG16:CAG18 CKC16:CKC18 CTY16:CTY18 DDU16:DDU18 DNQ16:DNQ18 DXM16:DXM18 EHI16:EHI18 ERE16:ERE18 FBA16:FBA18 FKW16:FKW18 FUS16:FUS18 GEO16:GEO18 GOK16:GOK18 GYG16:GYG18 HIC16:HIC18 HRY16:HRY18 IBU16:IBU18 ILQ16:ILQ18 IVM16:IVM18 JFI16:JFI18 JPE16:JPE18 JZA16:JZA18 KIW16:KIW18 KSS16:KSS18 LCO16:LCO18 LMK16:LMK18 LWG16:LWG18 MGC16:MGC18 MPY16:MPY18 MZU16:MZU18 NJQ16:NJQ18 NTM16:NTM18 ODI16:ODI18 ONE16:ONE18 OXA16:OXA18 PGW16:PGW18 PQS16:PQS18 QAO16:QAO18 QKK16:QKK18 QUG16:QUG18 REC16:REC18 RNY16:RNY18 RXU16:RXU18 SHQ16:SHQ18 SRM16:SRM18 TBI16:TBI18 TLE16:TLE18 TVA16:TVA18 UEW16:UEW18 UOS16:UOS18 UYO16:UYO18 VIK16:VIK18 VSG16:VSG18 WCC16:WCC18 WLY16:WLY18 WVU16:WVU18 M65554:M65556 JI65554:JI65556 TE65554:TE65556 ADA65554:ADA65556 AMW65554:AMW65556 AWS65554:AWS65556 BGO65554:BGO65556 BQK65554:BQK65556 CAG65554:CAG65556 CKC65554:CKC65556 CTY65554:CTY65556 DDU65554:DDU65556 DNQ65554:DNQ65556 DXM65554:DXM65556 EHI65554:EHI65556 ERE65554:ERE65556 FBA65554:FBA65556 FKW65554:FKW65556 FUS65554:FUS65556 GEO65554:GEO65556 GOK65554:GOK65556 GYG65554:GYG65556 HIC65554:HIC65556 HRY65554:HRY65556 IBU65554:IBU65556 ILQ65554:ILQ65556 IVM65554:IVM65556 JFI65554:JFI65556 JPE65554:JPE65556 JZA65554:JZA65556 KIW65554:KIW65556 KSS65554:KSS65556 LCO65554:LCO65556 LMK65554:LMK65556 LWG65554:LWG65556 MGC65554:MGC65556 MPY65554:MPY65556 MZU65554:MZU65556 NJQ65554:NJQ65556 NTM65554:NTM65556 ODI65554:ODI65556 ONE65554:ONE65556 OXA65554:OXA65556 PGW65554:PGW65556 PQS65554:PQS65556 QAO65554:QAO65556 QKK65554:QKK65556 QUG65554:QUG65556 REC65554:REC65556 RNY65554:RNY65556 RXU65554:RXU65556 SHQ65554:SHQ65556 SRM65554:SRM65556 TBI65554:TBI65556 TLE65554:TLE65556 TVA65554:TVA65556 UEW65554:UEW65556 UOS65554:UOS65556 UYO65554:UYO65556 VIK65554:VIK65556 VSG65554:VSG65556 WCC65554:WCC65556 WLY65554:WLY65556 WVU65554:WVU65556 M131090:M131092 JI131090:JI131092 TE131090:TE131092 ADA131090:ADA131092 AMW131090:AMW131092 AWS131090:AWS131092 BGO131090:BGO131092 BQK131090:BQK131092 CAG131090:CAG131092 CKC131090:CKC131092 CTY131090:CTY131092 DDU131090:DDU131092 DNQ131090:DNQ131092 DXM131090:DXM131092 EHI131090:EHI131092 ERE131090:ERE131092 FBA131090:FBA131092 FKW131090:FKW131092 FUS131090:FUS131092 GEO131090:GEO131092 GOK131090:GOK131092 GYG131090:GYG131092 HIC131090:HIC131092 HRY131090:HRY131092 IBU131090:IBU131092 ILQ131090:ILQ131092 IVM131090:IVM131092 JFI131090:JFI131092 JPE131090:JPE131092 JZA131090:JZA131092 KIW131090:KIW131092 KSS131090:KSS131092 LCO131090:LCO131092 LMK131090:LMK131092 LWG131090:LWG131092 MGC131090:MGC131092 MPY131090:MPY131092 MZU131090:MZU131092 NJQ131090:NJQ131092 NTM131090:NTM131092 ODI131090:ODI131092 ONE131090:ONE131092 OXA131090:OXA131092 PGW131090:PGW131092 PQS131090:PQS131092 QAO131090:QAO131092 QKK131090:QKK131092 QUG131090:QUG131092 REC131090:REC131092 RNY131090:RNY131092 RXU131090:RXU131092 SHQ131090:SHQ131092 SRM131090:SRM131092 TBI131090:TBI131092 TLE131090:TLE131092 TVA131090:TVA131092 UEW131090:UEW131092 UOS131090:UOS131092 UYO131090:UYO131092 VIK131090:VIK131092 VSG131090:VSG131092 WCC131090:WCC131092 WLY131090:WLY131092 WVU131090:WVU131092 M196626:M196628 JI196626:JI196628 TE196626:TE196628 ADA196626:ADA196628 AMW196626:AMW196628 AWS196626:AWS196628 BGO196626:BGO196628 BQK196626:BQK196628 CAG196626:CAG196628 CKC196626:CKC196628 CTY196626:CTY196628 DDU196626:DDU196628 DNQ196626:DNQ196628 DXM196626:DXM196628 EHI196626:EHI196628 ERE196626:ERE196628 FBA196626:FBA196628 FKW196626:FKW196628 FUS196626:FUS196628 GEO196626:GEO196628 GOK196626:GOK196628 GYG196626:GYG196628 HIC196626:HIC196628 HRY196626:HRY196628 IBU196626:IBU196628 ILQ196626:ILQ196628 IVM196626:IVM196628 JFI196626:JFI196628 JPE196626:JPE196628 JZA196626:JZA196628 KIW196626:KIW196628 KSS196626:KSS196628 LCO196626:LCO196628 LMK196626:LMK196628 LWG196626:LWG196628 MGC196626:MGC196628 MPY196626:MPY196628 MZU196626:MZU196628 NJQ196626:NJQ196628 NTM196626:NTM196628 ODI196626:ODI196628 ONE196626:ONE196628 OXA196626:OXA196628 PGW196626:PGW196628 PQS196626:PQS196628 QAO196626:QAO196628 QKK196626:QKK196628 QUG196626:QUG196628 REC196626:REC196628 RNY196626:RNY196628 RXU196626:RXU196628 SHQ196626:SHQ196628 SRM196626:SRM196628 TBI196626:TBI196628 TLE196626:TLE196628 TVA196626:TVA196628 UEW196626:UEW196628 UOS196626:UOS196628 UYO196626:UYO196628 VIK196626:VIK196628 VSG196626:VSG196628 WCC196626:WCC196628 WLY196626:WLY196628 WVU196626:WVU196628 M262162:M262164 JI262162:JI262164 TE262162:TE262164 ADA262162:ADA262164 AMW262162:AMW262164 AWS262162:AWS262164 BGO262162:BGO262164 BQK262162:BQK262164 CAG262162:CAG262164 CKC262162:CKC262164 CTY262162:CTY262164 DDU262162:DDU262164 DNQ262162:DNQ262164 DXM262162:DXM262164 EHI262162:EHI262164 ERE262162:ERE262164 FBA262162:FBA262164 FKW262162:FKW262164 FUS262162:FUS262164 GEO262162:GEO262164 GOK262162:GOK262164 GYG262162:GYG262164 HIC262162:HIC262164 HRY262162:HRY262164 IBU262162:IBU262164 ILQ262162:ILQ262164 IVM262162:IVM262164 JFI262162:JFI262164 JPE262162:JPE262164 JZA262162:JZA262164 KIW262162:KIW262164 KSS262162:KSS262164 LCO262162:LCO262164 LMK262162:LMK262164 LWG262162:LWG262164 MGC262162:MGC262164 MPY262162:MPY262164 MZU262162:MZU262164 NJQ262162:NJQ262164 NTM262162:NTM262164 ODI262162:ODI262164 ONE262162:ONE262164 OXA262162:OXA262164 PGW262162:PGW262164 PQS262162:PQS262164 QAO262162:QAO262164 QKK262162:QKK262164 QUG262162:QUG262164 REC262162:REC262164 RNY262162:RNY262164 RXU262162:RXU262164 SHQ262162:SHQ262164 SRM262162:SRM262164 TBI262162:TBI262164 TLE262162:TLE262164 TVA262162:TVA262164 UEW262162:UEW262164 UOS262162:UOS262164 UYO262162:UYO262164 VIK262162:VIK262164 VSG262162:VSG262164 WCC262162:WCC262164 WLY262162:WLY262164 WVU262162:WVU262164 M327698:M327700 JI327698:JI327700 TE327698:TE327700 ADA327698:ADA327700 AMW327698:AMW327700 AWS327698:AWS327700 BGO327698:BGO327700 BQK327698:BQK327700 CAG327698:CAG327700 CKC327698:CKC327700 CTY327698:CTY327700 DDU327698:DDU327700 DNQ327698:DNQ327700 DXM327698:DXM327700 EHI327698:EHI327700 ERE327698:ERE327700 FBA327698:FBA327700 FKW327698:FKW327700 FUS327698:FUS327700 GEO327698:GEO327700 GOK327698:GOK327700 GYG327698:GYG327700 HIC327698:HIC327700 HRY327698:HRY327700 IBU327698:IBU327700 ILQ327698:ILQ327700 IVM327698:IVM327700 JFI327698:JFI327700 JPE327698:JPE327700 JZA327698:JZA327700 KIW327698:KIW327700 KSS327698:KSS327700 LCO327698:LCO327700 LMK327698:LMK327700 LWG327698:LWG327700 MGC327698:MGC327700 MPY327698:MPY327700 MZU327698:MZU327700 NJQ327698:NJQ327700 NTM327698:NTM327700 ODI327698:ODI327700 ONE327698:ONE327700 OXA327698:OXA327700 PGW327698:PGW327700 PQS327698:PQS327700 QAO327698:QAO327700 QKK327698:QKK327700 QUG327698:QUG327700 REC327698:REC327700 RNY327698:RNY327700 RXU327698:RXU327700 SHQ327698:SHQ327700 SRM327698:SRM327700 TBI327698:TBI327700 TLE327698:TLE327700 TVA327698:TVA327700 UEW327698:UEW327700 UOS327698:UOS327700 UYO327698:UYO327700 VIK327698:VIK327700 VSG327698:VSG327700 WCC327698:WCC327700 WLY327698:WLY327700 WVU327698:WVU327700 M393234:M393236 JI393234:JI393236 TE393234:TE393236 ADA393234:ADA393236 AMW393234:AMW393236 AWS393234:AWS393236 BGO393234:BGO393236 BQK393234:BQK393236 CAG393234:CAG393236 CKC393234:CKC393236 CTY393234:CTY393236 DDU393234:DDU393236 DNQ393234:DNQ393236 DXM393234:DXM393236 EHI393234:EHI393236 ERE393234:ERE393236 FBA393234:FBA393236 FKW393234:FKW393236 FUS393234:FUS393236 GEO393234:GEO393236 GOK393234:GOK393236 GYG393234:GYG393236 HIC393234:HIC393236 HRY393234:HRY393236 IBU393234:IBU393236 ILQ393234:ILQ393236 IVM393234:IVM393236 JFI393234:JFI393236 JPE393234:JPE393236 JZA393234:JZA393236 KIW393234:KIW393236 KSS393234:KSS393236 LCO393234:LCO393236 LMK393234:LMK393236 LWG393234:LWG393236 MGC393234:MGC393236 MPY393234:MPY393236 MZU393234:MZU393236 NJQ393234:NJQ393236 NTM393234:NTM393236 ODI393234:ODI393236 ONE393234:ONE393236 OXA393234:OXA393236 PGW393234:PGW393236 PQS393234:PQS393236 QAO393234:QAO393236 QKK393234:QKK393236 QUG393234:QUG393236 REC393234:REC393236 RNY393234:RNY393236 RXU393234:RXU393236 SHQ393234:SHQ393236 SRM393234:SRM393236 TBI393234:TBI393236 TLE393234:TLE393236 TVA393234:TVA393236 UEW393234:UEW393236 UOS393234:UOS393236 UYO393234:UYO393236 VIK393234:VIK393236 VSG393234:VSG393236 WCC393234:WCC393236 WLY393234:WLY393236 WVU393234:WVU393236 M458770:M458772 JI458770:JI458772 TE458770:TE458772 ADA458770:ADA458772 AMW458770:AMW458772 AWS458770:AWS458772 BGO458770:BGO458772 BQK458770:BQK458772 CAG458770:CAG458772 CKC458770:CKC458772 CTY458770:CTY458772 DDU458770:DDU458772 DNQ458770:DNQ458772 DXM458770:DXM458772 EHI458770:EHI458772 ERE458770:ERE458772 FBA458770:FBA458772 FKW458770:FKW458772 FUS458770:FUS458772 GEO458770:GEO458772 GOK458770:GOK458772 GYG458770:GYG458772 HIC458770:HIC458772 HRY458770:HRY458772 IBU458770:IBU458772 ILQ458770:ILQ458772 IVM458770:IVM458772 JFI458770:JFI458772 JPE458770:JPE458772 JZA458770:JZA458772 KIW458770:KIW458772 KSS458770:KSS458772 LCO458770:LCO458772 LMK458770:LMK458772 LWG458770:LWG458772 MGC458770:MGC458772 MPY458770:MPY458772 MZU458770:MZU458772 NJQ458770:NJQ458772 NTM458770:NTM458772 ODI458770:ODI458772 ONE458770:ONE458772 OXA458770:OXA458772 PGW458770:PGW458772 PQS458770:PQS458772 QAO458770:QAO458772 QKK458770:QKK458772 QUG458770:QUG458772 REC458770:REC458772 RNY458770:RNY458772 RXU458770:RXU458772 SHQ458770:SHQ458772 SRM458770:SRM458772 TBI458770:TBI458772 TLE458770:TLE458772 TVA458770:TVA458772 UEW458770:UEW458772 UOS458770:UOS458772 UYO458770:UYO458772 VIK458770:VIK458772 VSG458770:VSG458772 WCC458770:WCC458772 WLY458770:WLY458772 WVU458770:WVU458772 M524306:M524308 JI524306:JI524308 TE524306:TE524308 ADA524306:ADA524308 AMW524306:AMW524308 AWS524306:AWS524308 BGO524306:BGO524308 BQK524306:BQK524308 CAG524306:CAG524308 CKC524306:CKC524308 CTY524306:CTY524308 DDU524306:DDU524308 DNQ524306:DNQ524308 DXM524306:DXM524308 EHI524306:EHI524308 ERE524306:ERE524308 FBA524306:FBA524308 FKW524306:FKW524308 FUS524306:FUS524308 GEO524306:GEO524308 GOK524306:GOK524308 GYG524306:GYG524308 HIC524306:HIC524308 HRY524306:HRY524308 IBU524306:IBU524308 ILQ524306:ILQ524308 IVM524306:IVM524308 JFI524306:JFI524308 JPE524306:JPE524308 JZA524306:JZA524308 KIW524306:KIW524308 KSS524306:KSS524308 LCO524306:LCO524308 LMK524306:LMK524308 LWG524306:LWG524308 MGC524306:MGC524308 MPY524306:MPY524308 MZU524306:MZU524308 NJQ524306:NJQ524308 NTM524306:NTM524308 ODI524306:ODI524308 ONE524306:ONE524308 OXA524306:OXA524308 PGW524306:PGW524308 PQS524306:PQS524308 QAO524306:QAO524308 QKK524306:QKK524308 QUG524306:QUG524308 REC524306:REC524308 RNY524306:RNY524308 RXU524306:RXU524308 SHQ524306:SHQ524308 SRM524306:SRM524308 TBI524306:TBI524308 TLE524306:TLE524308 TVA524306:TVA524308 UEW524306:UEW524308 UOS524306:UOS524308 UYO524306:UYO524308 VIK524306:VIK524308 VSG524306:VSG524308 WCC524306:WCC524308 WLY524306:WLY524308 WVU524306:WVU524308 M589842:M589844 JI589842:JI589844 TE589842:TE589844 ADA589842:ADA589844 AMW589842:AMW589844 AWS589842:AWS589844 BGO589842:BGO589844 BQK589842:BQK589844 CAG589842:CAG589844 CKC589842:CKC589844 CTY589842:CTY589844 DDU589842:DDU589844 DNQ589842:DNQ589844 DXM589842:DXM589844 EHI589842:EHI589844 ERE589842:ERE589844 FBA589842:FBA589844 FKW589842:FKW589844 FUS589842:FUS589844 GEO589842:GEO589844 GOK589842:GOK589844 GYG589842:GYG589844 HIC589842:HIC589844 HRY589842:HRY589844 IBU589842:IBU589844 ILQ589842:ILQ589844 IVM589842:IVM589844 JFI589842:JFI589844 JPE589842:JPE589844 JZA589842:JZA589844 KIW589842:KIW589844 KSS589842:KSS589844 LCO589842:LCO589844 LMK589842:LMK589844 LWG589842:LWG589844 MGC589842:MGC589844 MPY589842:MPY589844 MZU589842:MZU589844 NJQ589842:NJQ589844 NTM589842:NTM589844 ODI589842:ODI589844 ONE589842:ONE589844 OXA589842:OXA589844 PGW589842:PGW589844 PQS589842:PQS589844 QAO589842:QAO589844 QKK589842:QKK589844 QUG589842:QUG589844 REC589842:REC589844 RNY589842:RNY589844 RXU589842:RXU589844 SHQ589842:SHQ589844 SRM589842:SRM589844 TBI589842:TBI589844 TLE589842:TLE589844 TVA589842:TVA589844 UEW589842:UEW589844 UOS589842:UOS589844 UYO589842:UYO589844 VIK589842:VIK589844 VSG589842:VSG589844 WCC589842:WCC589844 WLY589842:WLY589844 WVU589842:WVU589844 M655378:M655380 JI655378:JI655380 TE655378:TE655380 ADA655378:ADA655380 AMW655378:AMW655380 AWS655378:AWS655380 BGO655378:BGO655380 BQK655378:BQK655380 CAG655378:CAG655380 CKC655378:CKC655380 CTY655378:CTY655380 DDU655378:DDU655380 DNQ655378:DNQ655380 DXM655378:DXM655380 EHI655378:EHI655380 ERE655378:ERE655380 FBA655378:FBA655380 FKW655378:FKW655380 FUS655378:FUS655380 GEO655378:GEO655380 GOK655378:GOK655380 GYG655378:GYG655380 HIC655378:HIC655380 HRY655378:HRY655380 IBU655378:IBU655380 ILQ655378:ILQ655380 IVM655378:IVM655380 JFI655378:JFI655380 JPE655378:JPE655380 JZA655378:JZA655380 KIW655378:KIW655380 KSS655378:KSS655380 LCO655378:LCO655380 LMK655378:LMK655380 LWG655378:LWG655380 MGC655378:MGC655380 MPY655378:MPY655380 MZU655378:MZU655380 NJQ655378:NJQ655380 NTM655378:NTM655380 ODI655378:ODI655380 ONE655378:ONE655380 OXA655378:OXA655380 PGW655378:PGW655380 PQS655378:PQS655380 QAO655378:QAO655380 QKK655378:QKK655380 QUG655378:QUG655380 REC655378:REC655380 RNY655378:RNY655380 RXU655378:RXU655380 SHQ655378:SHQ655380 SRM655378:SRM655380 TBI655378:TBI655380 TLE655378:TLE655380 TVA655378:TVA655380 UEW655378:UEW655380 UOS655378:UOS655380 UYO655378:UYO655380 VIK655378:VIK655380 VSG655378:VSG655380 WCC655378:WCC655380 WLY655378:WLY655380 WVU655378:WVU655380 M720914:M720916 JI720914:JI720916 TE720914:TE720916 ADA720914:ADA720916 AMW720914:AMW720916 AWS720914:AWS720916 BGO720914:BGO720916 BQK720914:BQK720916 CAG720914:CAG720916 CKC720914:CKC720916 CTY720914:CTY720916 DDU720914:DDU720916 DNQ720914:DNQ720916 DXM720914:DXM720916 EHI720914:EHI720916 ERE720914:ERE720916 FBA720914:FBA720916 FKW720914:FKW720916 FUS720914:FUS720916 GEO720914:GEO720916 GOK720914:GOK720916 GYG720914:GYG720916 HIC720914:HIC720916 HRY720914:HRY720916 IBU720914:IBU720916 ILQ720914:ILQ720916 IVM720914:IVM720916 JFI720914:JFI720916 JPE720914:JPE720916 JZA720914:JZA720916 KIW720914:KIW720916 KSS720914:KSS720916 LCO720914:LCO720916 LMK720914:LMK720916 LWG720914:LWG720916 MGC720914:MGC720916 MPY720914:MPY720916 MZU720914:MZU720916 NJQ720914:NJQ720916 NTM720914:NTM720916 ODI720914:ODI720916 ONE720914:ONE720916 OXA720914:OXA720916 PGW720914:PGW720916 PQS720914:PQS720916 QAO720914:QAO720916 QKK720914:QKK720916 QUG720914:QUG720916 REC720914:REC720916 RNY720914:RNY720916 RXU720914:RXU720916 SHQ720914:SHQ720916 SRM720914:SRM720916 TBI720914:TBI720916 TLE720914:TLE720916 TVA720914:TVA720916 UEW720914:UEW720916 UOS720914:UOS720916 UYO720914:UYO720916 VIK720914:VIK720916 VSG720914:VSG720916 WCC720914:WCC720916 WLY720914:WLY720916 WVU720914:WVU720916 M786450:M786452 JI786450:JI786452 TE786450:TE786452 ADA786450:ADA786452 AMW786450:AMW786452 AWS786450:AWS786452 BGO786450:BGO786452 BQK786450:BQK786452 CAG786450:CAG786452 CKC786450:CKC786452 CTY786450:CTY786452 DDU786450:DDU786452 DNQ786450:DNQ786452 DXM786450:DXM786452 EHI786450:EHI786452 ERE786450:ERE786452 FBA786450:FBA786452 FKW786450:FKW786452 FUS786450:FUS786452 GEO786450:GEO786452 GOK786450:GOK786452 GYG786450:GYG786452 HIC786450:HIC786452 HRY786450:HRY786452 IBU786450:IBU786452 ILQ786450:ILQ786452 IVM786450:IVM786452 JFI786450:JFI786452 JPE786450:JPE786452 JZA786450:JZA786452 KIW786450:KIW786452 KSS786450:KSS786452 LCO786450:LCO786452 LMK786450:LMK786452 LWG786450:LWG786452 MGC786450:MGC786452 MPY786450:MPY786452 MZU786450:MZU786452 NJQ786450:NJQ786452 NTM786450:NTM786452 ODI786450:ODI786452 ONE786450:ONE786452 OXA786450:OXA786452 PGW786450:PGW786452 PQS786450:PQS786452 QAO786450:QAO786452 QKK786450:QKK786452 QUG786450:QUG786452 REC786450:REC786452 RNY786450:RNY786452 RXU786450:RXU786452 SHQ786450:SHQ786452 SRM786450:SRM786452 TBI786450:TBI786452 TLE786450:TLE786452 TVA786450:TVA786452 UEW786450:UEW786452 UOS786450:UOS786452 UYO786450:UYO786452 VIK786450:VIK786452 VSG786450:VSG786452 WCC786450:WCC786452 WLY786450:WLY786452 WVU786450:WVU786452 M851986:M851988 JI851986:JI851988 TE851986:TE851988 ADA851986:ADA851988 AMW851986:AMW851988 AWS851986:AWS851988 BGO851986:BGO851988 BQK851986:BQK851988 CAG851986:CAG851988 CKC851986:CKC851988 CTY851986:CTY851988 DDU851986:DDU851988 DNQ851986:DNQ851988 DXM851986:DXM851988 EHI851986:EHI851988 ERE851986:ERE851988 FBA851986:FBA851988 FKW851986:FKW851988 FUS851986:FUS851988 GEO851986:GEO851988 GOK851986:GOK851988 GYG851986:GYG851988 HIC851986:HIC851988 HRY851986:HRY851988 IBU851986:IBU851988 ILQ851986:ILQ851988 IVM851986:IVM851988 JFI851986:JFI851988 JPE851986:JPE851988 JZA851986:JZA851988 KIW851986:KIW851988 KSS851986:KSS851988 LCO851986:LCO851988 LMK851986:LMK851988 LWG851986:LWG851988 MGC851986:MGC851988 MPY851986:MPY851988 MZU851986:MZU851988 NJQ851986:NJQ851988 NTM851986:NTM851988 ODI851986:ODI851988 ONE851986:ONE851988 OXA851986:OXA851988 PGW851986:PGW851988 PQS851986:PQS851988 QAO851986:QAO851988 QKK851986:QKK851988 QUG851986:QUG851988 REC851986:REC851988 RNY851986:RNY851988 RXU851986:RXU851988 SHQ851986:SHQ851988 SRM851986:SRM851988 TBI851986:TBI851988 TLE851986:TLE851988 TVA851986:TVA851988 UEW851986:UEW851988 UOS851986:UOS851988 UYO851986:UYO851988 VIK851986:VIK851988 VSG851986:VSG851988 WCC851986:WCC851988 WLY851986:WLY851988 WVU851986:WVU851988 M917522:M917524 JI917522:JI917524 TE917522:TE917524 ADA917522:ADA917524 AMW917522:AMW917524 AWS917522:AWS917524 BGO917522:BGO917524 BQK917522:BQK917524 CAG917522:CAG917524 CKC917522:CKC917524 CTY917522:CTY917524 DDU917522:DDU917524 DNQ917522:DNQ917524 DXM917522:DXM917524 EHI917522:EHI917524 ERE917522:ERE917524 FBA917522:FBA917524 FKW917522:FKW917524 FUS917522:FUS917524 GEO917522:GEO917524 GOK917522:GOK917524 GYG917522:GYG917524 HIC917522:HIC917524 HRY917522:HRY917524 IBU917522:IBU917524 ILQ917522:ILQ917524 IVM917522:IVM917524 JFI917522:JFI917524 JPE917522:JPE917524 JZA917522:JZA917524 KIW917522:KIW917524 KSS917522:KSS917524 LCO917522:LCO917524 LMK917522:LMK917524 LWG917522:LWG917524 MGC917522:MGC917524 MPY917522:MPY917524 MZU917522:MZU917524 NJQ917522:NJQ917524 NTM917522:NTM917524 ODI917522:ODI917524 ONE917522:ONE917524 OXA917522:OXA917524 PGW917522:PGW917524 PQS917522:PQS917524 QAO917522:QAO917524 QKK917522:QKK917524 QUG917522:QUG917524 REC917522:REC917524 RNY917522:RNY917524 RXU917522:RXU917524 SHQ917522:SHQ917524 SRM917522:SRM917524 TBI917522:TBI917524 TLE917522:TLE917524 TVA917522:TVA917524 UEW917522:UEW917524 UOS917522:UOS917524 UYO917522:UYO917524 VIK917522:VIK917524 VSG917522:VSG917524 WCC917522:WCC917524 WLY917522:WLY917524 WVU917522:WVU917524 M983058:M983060 JI983058:JI983060 TE983058:TE983060 ADA983058:ADA983060 AMW983058:AMW983060 AWS983058:AWS983060 BGO983058:BGO983060 BQK983058:BQK983060 CAG983058:CAG983060 CKC983058:CKC983060 CTY983058:CTY983060 DDU983058:DDU983060 DNQ983058:DNQ983060 DXM983058:DXM983060 EHI983058:EHI983060 ERE983058:ERE983060 FBA983058:FBA983060 FKW983058:FKW983060 FUS983058:FUS983060 GEO983058:GEO983060 GOK983058:GOK983060 GYG983058:GYG983060 HIC983058:HIC983060 HRY983058:HRY983060 IBU983058:IBU983060 ILQ983058:ILQ983060 IVM983058:IVM983060 JFI983058:JFI983060 JPE983058:JPE983060 JZA983058:JZA983060 KIW983058:KIW983060 KSS983058:KSS983060 LCO983058:LCO983060 LMK983058:LMK983060 LWG983058:LWG983060 MGC983058:MGC983060 MPY983058:MPY983060 MZU983058:MZU983060 NJQ983058:NJQ983060 NTM983058:NTM983060 ODI983058:ODI983060 ONE983058:ONE983060 OXA983058:OXA983060 PGW983058:PGW983060 PQS983058:PQS983060 QAO983058:QAO983060 QKK983058:QKK983060 QUG983058:QUG983060 REC983058:REC983060 RNY983058:RNY983060 RXU983058:RXU983060 SHQ983058:SHQ983060 SRM983058:SRM983060 TBI983058:TBI983060 TLE983058:TLE983060 TVA983058:TVA983060 UEW983058:UEW983060 UOS983058:UOS983060 UYO983058:UYO983060 VIK983058:VIK983060 VSG983058:VSG983060 WCC983058:WCC983060 WLY983058:WLY983060 WVU983058:WVU983060">
      <formula1>$I$20:$I$21</formula1>
    </dataValidation>
    <dataValidation type="list" allowBlank="1" showInputMessage="1" showErrorMessage="1" sqref="WVU983082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JI65578 TE65578 ADA65578 AMW65578 AWS65578 BGO65578 BQK65578 CAG65578 CKC65578 CTY65578 DDU65578 DNQ65578 DXM65578 EHI65578 ERE65578 FBA65578 FKW65578 FUS65578 GEO65578 GOK65578 GYG65578 HIC65578 HRY65578 IBU65578 ILQ65578 IVM65578 JFI65578 JPE65578 JZA65578 KIW65578 KSS65578 LCO65578 LMK65578 LWG65578 MGC65578 MPY65578 MZU65578 NJQ65578 NTM65578 ODI65578 ONE65578 OXA65578 PGW65578 PQS65578 QAO65578 QKK65578 QUG65578 REC65578 RNY65578 RXU65578 SHQ65578 SRM65578 TBI65578 TLE65578 TVA65578 UEW65578 UOS65578 UYO65578 VIK65578 VSG65578 WCC65578 WLY65578 WVU65578 JI131114 TE131114 ADA131114 AMW131114 AWS131114 BGO131114 BQK131114 CAG131114 CKC131114 CTY131114 DDU131114 DNQ131114 DXM131114 EHI131114 ERE131114 FBA131114 FKW131114 FUS131114 GEO131114 GOK131114 GYG131114 HIC131114 HRY131114 IBU131114 ILQ131114 IVM131114 JFI131114 JPE131114 JZA131114 KIW131114 KSS131114 LCO131114 LMK131114 LWG131114 MGC131114 MPY131114 MZU131114 NJQ131114 NTM131114 ODI131114 ONE131114 OXA131114 PGW131114 PQS131114 QAO131114 QKK131114 QUG131114 REC131114 RNY131114 RXU131114 SHQ131114 SRM131114 TBI131114 TLE131114 TVA131114 UEW131114 UOS131114 UYO131114 VIK131114 VSG131114 WCC131114 WLY131114 WVU131114 JI196650 TE196650 ADA196650 AMW196650 AWS196650 BGO196650 BQK196650 CAG196650 CKC196650 CTY196650 DDU196650 DNQ196650 DXM196650 EHI196650 ERE196650 FBA196650 FKW196650 FUS196650 GEO196650 GOK196650 GYG196650 HIC196650 HRY196650 IBU196650 ILQ196650 IVM196650 JFI196650 JPE196650 JZA196650 KIW196650 KSS196650 LCO196650 LMK196650 LWG196650 MGC196650 MPY196650 MZU196650 NJQ196650 NTM196650 ODI196650 ONE196650 OXA196650 PGW196650 PQS196650 QAO196650 QKK196650 QUG196650 REC196650 RNY196650 RXU196650 SHQ196650 SRM196650 TBI196650 TLE196650 TVA196650 UEW196650 UOS196650 UYO196650 VIK196650 VSG196650 WCC196650 WLY196650 WVU196650 JI262186 TE262186 ADA262186 AMW262186 AWS262186 BGO262186 BQK262186 CAG262186 CKC262186 CTY262186 DDU262186 DNQ262186 DXM262186 EHI262186 ERE262186 FBA262186 FKW262186 FUS262186 GEO262186 GOK262186 GYG262186 HIC262186 HRY262186 IBU262186 ILQ262186 IVM262186 JFI262186 JPE262186 JZA262186 KIW262186 KSS262186 LCO262186 LMK262186 LWG262186 MGC262186 MPY262186 MZU262186 NJQ262186 NTM262186 ODI262186 ONE262186 OXA262186 PGW262186 PQS262186 QAO262186 QKK262186 QUG262186 REC262186 RNY262186 RXU262186 SHQ262186 SRM262186 TBI262186 TLE262186 TVA262186 UEW262186 UOS262186 UYO262186 VIK262186 VSG262186 WCC262186 WLY262186 WVU262186 JI327722 TE327722 ADA327722 AMW327722 AWS327722 BGO327722 BQK327722 CAG327722 CKC327722 CTY327722 DDU327722 DNQ327722 DXM327722 EHI327722 ERE327722 FBA327722 FKW327722 FUS327722 GEO327722 GOK327722 GYG327722 HIC327722 HRY327722 IBU327722 ILQ327722 IVM327722 JFI327722 JPE327722 JZA327722 KIW327722 KSS327722 LCO327722 LMK327722 LWG327722 MGC327722 MPY327722 MZU327722 NJQ327722 NTM327722 ODI327722 ONE327722 OXA327722 PGW327722 PQS327722 QAO327722 QKK327722 QUG327722 REC327722 RNY327722 RXU327722 SHQ327722 SRM327722 TBI327722 TLE327722 TVA327722 UEW327722 UOS327722 UYO327722 VIK327722 VSG327722 WCC327722 WLY327722 WVU327722 JI393258 TE393258 ADA393258 AMW393258 AWS393258 BGO393258 BQK393258 CAG393258 CKC393258 CTY393258 DDU393258 DNQ393258 DXM393258 EHI393258 ERE393258 FBA393258 FKW393258 FUS393258 GEO393258 GOK393258 GYG393258 HIC393258 HRY393258 IBU393258 ILQ393258 IVM393258 JFI393258 JPE393258 JZA393258 KIW393258 KSS393258 LCO393258 LMK393258 LWG393258 MGC393258 MPY393258 MZU393258 NJQ393258 NTM393258 ODI393258 ONE393258 OXA393258 PGW393258 PQS393258 QAO393258 QKK393258 QUG393258 REC393258 RNY393258 RXU393258 SHQ393258 SRM393258 TBI393258 TLE393258 TVA393258 UEW393258 UOS393258 UYO393258 VIK393258 VSG393258 WCC393258 WLY393258 WVU393258 JI458794 TE458794 ADA458794 AMW458794 AWS458794 BGO458794 BQK458794 CAG458794 CKC458794 CTY458794 DDU458794 DNQ458794 DXM458794 EHI458794 ERE458794 FBA458794 FKW458794 FUS458794 GEO458794 GOK458794 GYG458794 HIC458794 HRY458794 IBU458794 ILQ458794 IVM458794 JFI458794 JPE458794 JZA458794 KIW458794 KSS458794 LCO458794 LMK458794 LWG458794 MGC458794 MPY458794 MZU458794 NJQ458794 NTM458794 ODI458794 ONE458794 OXA458794 PGW458794 PQS458794 QAO458794 QKK458794 QUG458794 REC458794 RNY458794 RXU458794 SHQ458794 SRM458794 TBI458794 TLE458794 TVA458794 UEW458794 UOS458794 UYO458794 VIK458794 VSG458794 WCC458794 WLY458794 WVU458794 JI524330 TE524330 ADA524330 AMW524330 AWS524330 BGO524330 BQK524330 CAG524330 CKC524330 CTY524330 DDU524330 DNQ524330 DXM524330 EHI524330 ERE524330 FBA524330 FKW524330 FUS524330 GEO524330 GOK524330 GYG524330 HIC524330 HRY524330 IBU524330 ILQ524330 IVM524330 JFI524330 JPE524330 JZA524330 KIW524330 KSS524330 LCO524330 LMK524330 LWG524330 MGC524330 MPY524330 MZU524330 NJQ524330 NTM524330 ODI524330 ONE524330 OXA524330 PGW524330 PQS524330 QAO524330 QKK524330 QUG524330 REC524330 RNY524330 RXU524330 SHQ524330 SRM524330 TBI524330 TLE524330 TVA524330 UEW524330 UOS524330 UYO524330 VIK524330 VSG524330 WCC524330 WLY524330 WVU524330 JI589866 TE589866 ADA589866 AMW589866 AWS589866 BGO589866 BQK589866 CAG589866 CKC589866 CTY589866 DDU589866 DNQ589866 DXM589866 EHI589866 ERE589866 FBA589866 FKW589866 FUS589866 GEO589866 GOK589866 GYG589866 HIC589866 HRY589866 IBU589866 ILQ589866 IVM589866 JFI589866 JPE589866 JZA589866 KIW589866 KSS589866 LCO589866 LMK589866 LWG589866 MGC589866 MPY589866 MZU589866 NJQ589866 NTM589866 ODI589866 ONE589866 OXA589866 PGW589866 PQS589866 QAO589866 QKK589866 QUG589866 REC589866 RNY589866 RXU589866 SHQ589866 SRM589866 TBI589866 TLE589866 TVA589866 UEW589866 UOS589866 UYO589866 VIK589866 VSG589866 WCC589866 WLY589866 WVU589866 JI655402 TE655402 ADA655402 AMW655402 AWS655402 BGO655402 BQK655402 CAG655402 CKC655402 CTY655402 DDU655402 DNQ655402 DXM655402 EHI655402 ERE655402 FBA655402 FKW655402 FUS655402 GEO655402 GOK655402 GYG655402 HIC655402 HRY655402 IBU655402 ILQ655402 IVM655402 JFI655402 JPE655402 JZA655402 KIW655402 KSS655402 LCO655402 LMK655402 LWG655402 MGC655402 MPY655402 MZU655402 NJQ655402 NTM655402 ODI655402 ONE655402 OXA655402 PGW655402 PQS655402 QAO655402 QKK655402 QUG655402 REC655402 RNY655402 RXU655402 SHQ655402 SRM655402 TBI655402 TLE655402 TVA655402 UEW655402 UOS655402 UYO655402 VIK655402 VSG655402 WCC655402 WLY655402 WVU655402 JI720938 TE720938 ADA720938 AMW720938 AWS720938 BGO720938 BQK720938 CAG720938 CKC720938 CTY720938 DDU720938 DNQ720938 DXM720938 EHI720938 ERE720938 FBA720938 FKW720938 FUS720938 GEO720938 GOK720938 GYG720938 HIC720938 HRY720938 IBU720938 ILQ720938 IVM720938 JFI720938 JPE720938 JZA720938 KIW720938 KSS720938 LCO720938 LMK720938 LWG720938 MGC720938 MPY720938 MZU720938 NJQ720938 NTM720938 ODI720938 ONE720938 OXA720938 PGW720938 PQS720938 QAO720938 QKK720938 QUG720938 REC720938 RNY720938 RXU720938 SHQ720938 SRM720938 TBI720938 TLE720938 TVA720938 UEW720938 UOS720938 UYO720938 VIK720938 VSG720938 WCC720938 WLY720938 WVU720938 JI786474 TE786474 ADA786474 AMW786474 AWS786474 BGO786474 BQK786474 CAG786474 CKC786474 CTY786474 DDU786474 DNQ786474 DXM786474 EHI786474 ERE786474 FBA786474 FKW786474 FUS786474 GEO786474 GOK786474 GYG786474 HIC786474 HRY786474 IBU786474 ILQ786474 IVM786474 JFI786474 JPE786474 JZA786474 KIW786474 KSS786474 LCO786474 LMK786474 LWG786474 MGC786474 MPY786474 MZU786474 NJQ786474 NTM786474 ODI786474 ONE786474 OXA786474 PGW786474 PQS786474 QAO786474 QKK786474 QUG786474 REC786474 RNY786474 RXU786474 SHQ786474 SRM786474 TBI786474 TLE786474 TVA786474 UEW786474 UOS786474 UYO786474 VIK786474 VSG786474 WCC786474 WLY786474 WVU786474 JI852010 TE852010 ADA852010 AMW852010 AWS852010 BGO852010 BQK852010 CAG852010 CKC852010 CTY852010 DDU852010 DNQ852010 DXM852010 EHI852010 ERE852010 FBA852010 FKW852010 FUS852010 GEO852010 GOK852010 GYG852010 HIC852010 HRY852010 IBU852010 ILQ852010 IVM852010 JFI852010 JPE852010 JZA852010 KIW852010 KSS852010 LCO852010 LMK852010 LWG852010 MGC852010 MPY852010 MZU852010 NJQ852010 NTM852010 ODI852010 ONE852010 OXA852010 PGW852010 PQS852010 QAO852010 QKK852010 QUG852010 REC852010 RNY852010 RXU852010 SHQ852010 SRM852010 TBI852010 TLE852010 TVA852010 UEW852010 UOS852010 UYO852010 VIK852010 VSG852010 WCC852010 WLY852010 WVU852010 JI917546 TE917546 ADA917546 AMW917546 AWS917546 BGO917546 BQK917546 CAG917546 CKC917546 CTY917546 DDU917546 DNQ917546 DXM917546 EHI917546 ERE917546 FBA917546 FKW917546 FUS917546 GEO917546 GOK917546 GYG917546 HIC917546 HRY917546 IBU917546 ILQ917546 IVM917546 JFI917546 JPE917546 JZA917546 KIW917546 KSS917546 LCO917546 LMK917546 LWG917546 MGC917546 MPY917546 MZU917546 NJQ917546 NTM917546 ODI917546 ONE917546 OXA917546 PGW917546 PQS917546 QAO917546 QKK917546 QUG917546 REC917546 RNY917546 RXU917546 SHQ917546 SRM917546 TBI917546 TLE917546 TVA917546 UEW917546 UOS917546 UYO917546 VIK917546 VSG917546 WCC917546 WLY917546 WVU917546 JI983082 TE983082 ADA983082 AMW983082 AWS983082 BGO983082 BQK983082 CAG983082 CKC983082 CTY983082 DDU983082 DNQ983082 DXM983082 EHI983082 ERE983082 FBA983082 FKW983082 FUS983082 GEO983082 GOK983082 GYG983082 HIC983082 HRY983082 IBU983082 ILQ983082 IVM983082 JFI983082 JPE983082 JZA983082 KIW983082 KSS983082 LCO983082 LMK983082 LWG983082 MGC983082 MPY983082 MZU983082 NJQ983082 NTM983082 ODI983082 ONE983082 OXA983082 PGW983082 PQS983082 QAO983082 QKK983082 QUG983082 REC983082 RNY983082 RXU983082 SHQ983082 SRM983082 TBI983082 TLE983082 TVA983082 UEW983082 UOS983082 UYO983082 VIK983082 VSG983082 WCC983082 WLY983082">
      <formula1>OFFSET(ListeRegions,68,MATCH(JA14,ListePays,0)-1,COUNTA(OFFSET(ListeRegions,,MATCH(JA14,ListePays,0)-1))-1)</formula1>
    </dataValidation>
    <dataValidation type="list" allowBlank="1" showInputMessage="1" showErrorMessage="1" sqref="WVU983081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formula1>OFFSET(ListeRegions,68,MATCH(JA14,ListePays,0)-1,COUNTA(OFFSET(ListeRegions,,MATCH(JA14,ListePays,0)-1))-1)</formula1>
    </dataValidation>
    <dataValidation type="list" allowBlank="1" showInputMessage="1" showErrorMessage="1" sqref="WVU983080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JI65576 TE65576 ADA65576 AMW65576 AWS65576 BGO65576 BQK65576 CAG65576 CKC65576 CTY65576 DDU65576 DNQ65576 DXM65576 EHI65576 ERE65576 FBA65576 FKW65576 FUS65576 GEO65576 GOK65576 GYG65576 HIC65576 HRY65576 IBU65576 ILQ65576 IVM65576 JFI65576 JPE65576 JZA65576 KIW65576 KSS65576 LCO65576 LMK65576 LWG65576 MGC65576 MPY65576 MZU65576 NJQ65576 NTM65576 ODI65576 ONE65576 OXA65576 PGW65576 PQS65576 QAO65576 QKK65576 QUG65576 REC65576 RNY65576 RXU65576 SHQ65576 SRM65576 TBI65576 TLE65576 TVA65576 UEW65576 UOS65576 UYO65576 VIK65576 VSG65576 WCC65576 WLY65576 WVU65576 JI131112 TE131112 ADA131112 AMW131112 AWS131112 BGO131112 BQK131112 CAG131112 CKC131112 CTY131112 DDU131112 DNQ131112 DXM131112 EHI131112 ERE131112 FBA131112 FKW131112 FUS131112 GEO131112 GOK131112 GYG131112 HIC131112 HRY131112 IBU131112 ILQ131112 IVM131112 JFI131112 JPE131112 JZA131112 KIW131112 KSS131112 LCO131112 LMK131112 LWG131112 MGC131112 MPY131112 MZU131112 NJQ131112 NTM131112 ODI131112 ONE131112 OXA131112 PGW131112 PQS131112 QAO131112 QKK131112 QUG131112 REC131112 RNY131112 RXU131112 SHQ131112 SRM131112 TBI131112 TLE131112 TVA131112 UEW131112 UOS131112 UYO131112 VIK131112 VSG131112 WCC131112 WLY131112 WVU131112 JI196648 TE196648 ADA196648 AMW196648 AWS196648 BGO196648 BQK196648 CAG196648 CKC196648 CTY196648 DDU196648 DNQ196648 DXM196648 EHI196648 ERE196648 FBA196648 FKW196648 FUS196648 GEO196648 GOK196648 GYG196648 HIC196648 HRY196648 IBU196648 ILQ196648 IVM196648 JFI196648 JPE196648 JZA196648 KIW196648 KSS196648 LCO196648 LMK196648 LWG196648 MGC196648 MPY196648 MZU196648 NJQ196648 NTM196648 ODI196648 ONE196648 OXA196648 PGW196648 PQS196648 QAO196648 QKK196648 QUG196648 REC196648 RNY196648 RXU196648 SHQ196648 SRM196648 TBI196648 TLE196648 TVA196648 UEW196648 UOS196648 UYO196648 VIK196648 VSG196648 WCC196648 WLY196648 WVU196648 JI262184 TE262184 ADA262184 AMW262184 AWS262184 BGO262184 BQK262184 CAG262184 CKC262184 CTY262184 DDU262184 DNQ262184 DXM262184 EHI262184 ERE262184 FBA262184 FKW262184 FUS262184 GEO262184 GOK262184 GYG262184 HIC262184 HRY262184 IBU262184 ILQ262184 IVM262184 JFI262184 JPE262184 JZA262184 KIW262184 KSS262184 LCO262184 LMK262184 LWG262184 MGC262184 MPY262184 MZU262184 NJQ262184 NTM262184 ODI262184 ONE262184 OXA262184 PGW262184 PQS262184 QAO262184 QKK262184 QUG262184 REC262184 RNY262184 RXU262184 SHQ262184 SRM262184 TBI262184 TLE262184 TVA262184 UEW262184 UOS262184 UYO262184 VIK262184 VSG262184 WCC262184 WLY262184 WVU262184 JI327720 TE327720 ADA327720 AMW327720 AWS327720 BGO327720 BQK327720 CAG327720 CKC327720 CTY327720 DDU327720 DNQ327720 DXM327720 EHI327720 ERE327720 FBA327720 FKW327720 FUS327720 GEO327720 GOK327720 GYG327720 HIC327720 HRY327720 IBU327720 ILQ327720 IVM327720 JFI327720 JPE327720 JZA327720 KIW327720 KSS327720 LCO327720 LMK327720 LWG327720 MGC327720 MPY327720 MZU327720 NJQ327720 NTM327720 ODI327720 ONE327720 OXA327720 PGW327720 PQS327720 QAO327720 QKK327720 QUG327720 REC327720 RNY327720 RXU327720 SHQ327720 SRM327720 TBI327720 TLE327720 TVA327720 UEW327720 UOS327720 UYO327720 VIK327720 VSG327720 WCC327720 WLY327720 WVU327720 JI393256 TE393256 ADA393256 AMW393256 AWS393256 BGO393256 BQK393256 CAG393256 CKC393256 CTY393256 DDU393256 DNQ393256 DXM393256 EHI393256 ERE393256 FBA393256 FKW393256 FUS393256 GEO393256 GOK393256 GYG393256 HIC393256 HRY393256 IBU393256 ILQ393256 IVM393256 JFI393256 JPE393256 JZA393256 KIW393256 KSS393256 LCO393256 LMK393256 LWG393256 MGC393256 MPY393256 MZU393256 NJQ393256 NTM393256 ODI393256 ONE393256 OXA393256 PGW393256 PQS393256 QAO393256 QKK393256 QUG393256 REC393256 RNY393256 RXU393256 SHQ393256 SRM393256 TBI393256 TLE393256 TVA393256 UEW393256 UOS393256 UYO393256 VIK393256 VSG393256 WCC393256 WLY393256 WVU393256 JI458792 TE458792 ADA458792 AMW458792 AWS458792 BGO458792 BQK458792 CAG458792 CKC458792 CTY458792 DDU458792 DNQ458792 DXM458792 EHI458792 ERE458792 FBA458792 FKW458792 FUS458792 GEO458792 GOK458792 GYG458792 HIC458792 HRY458792 IBU458792 ILQ458792 IVM458792 JFI458792 JPE458792 JZA458792 KIW458792 KSS458792 LCO458792 LMK458792 LWG458792 MGC458792 MPY458792 MZU458792 NJQ458792 NTM458792 ODI458792 ONE458792 OXA458792 PGW458792 PQS458792 QAO458792 QKK458792 QUG458792 REC458792 RNY458792 RXU458792 SHQ458792 SRM458792 TBI458792 TLE458792 TVA458792 UEW458792 UOS458792 UYO458792 VIK458792 VSG458792 WCC458792 WLY458792 WVU458792 JI524328 TE524328 ADA524328 AMW524328 AWS524328 BGO524328 BQK524328 CAG524328 CKC524328 CTY524328 DDU524328 DNQ524328 DXM524328 EHI524328 ERE524328 FBA524328 FKW524328 FUS524328 GEO524328 GOK524328 GYG524328 HIC524328 HRY524328 IBU524328 ILQ524328 IVM524328 JFI524328 JPE524328 JZA524328 KIW524328 KSS524328 LCO524328 LMK524328 LWG524328 MGC524328 MPY524328 MZU524328 NJQ524328 NTM524328 ODI524328 ONE524328 OXA524328 PGW524328 PQS524328 QAO524328 QKK524328 QUG524328 REC524328 RNY524328 RXU524328 SHQ524328 SRM524328 TBI524328 TLE524328 TVA524328 UEW524328 UOS524328 UYO524328 VIK524328 VSG524328 WCC524328 WLY524328 WVU524328 JI589864 TE589864 ADA589864 AMW589864 AWS589864 BGO589864 BQK589864 CAG589864 CKC589864 CTY589864 DDU589864 DNQ589864 DXM589864 EHI589864 ERE589864 FBA589864 FKW589864 FUS589864 GEO589864 GOK589864 GYG589864 HIC589864 HRY589864 IBU589864 ILQ589864 IVM589864 JFI589864 JPE589864 JZA589864 KIW589864 KSS589864 LCO589864 LMK589864 LWG589864 MGC589864 MPY589864 MZU589864 NJQ589864 NTM589864 ODI589864 ONE589864 OXA589864 PGW589864 PQS589864 QAO589864 QKK589864 QUG589864 REC589864 RNY589864 RXU589864 SHQ589864 SRM589864 TBI589864 TLE589864 TVA589864 UEW589864 UOS589864 UYO589864 VIK589864 VSG589864 WCC589864 WLY589864 WVU589864 JI655400 TE655400 ADA655400 AMW655400 AWS655400 BGO655400 BQK655400 CAG655400 CKC655400 CTY655400 DDU655400 DNQ655400 DXM655400 EHI655400 ERE655400 FBA655400 FKW655400 FUS655400 GEO655400 GOK655400 GYG655400 HIC655400 HRY655400 IBU655400 ILQ655400 IVM655400 JFI655400 JPE655400 JZA655400 KIW655400 KSS655400 LCO655400 LMK655400 LWG655400 MGC655400 MPY655400 MZU655400 NJQ655400 NTM655400 ODI655400 ONE655400 OXA655400 PGW655400 PQS655400 QAO655400 QKK655400 QUG655400 REC655400 RNY655400 RXU655400 SHQ655400 SRM655400 TBI655400 TLE655400 TVA655400 UEW655400 UOS655400 UYO655400 VIK655400 VSG655400 WCC655400 WLY655400 WVU655400 JI720936 TE720936 ADA720936 AMW720936 AWS720936 BGO720936 BQK720936 CAG720936 CKC720936 CTY720936 DDU720936 DNQ720936 DXM720936 EHI720936 ERE720936 FBA720936 FKW720936 FUS720936 GEO720936 GOK720936 GYG720936 HIC720936 HRY720936 IBU720936 ILQ720936 IVM720936 JFI720936 JPE720936 JZA720936 KIW720936 KSS720936 LCO720936 LMK720936 LWG720936 MGC720936 MPY720936 MZU720936 NJQ720936 NTM720936 ODI720936 ONE720936 OXA720936 PGW720936 PQS720936 QAO720936 QKK720936 QUG720936 REC720936 RNY720936 RXU720936 SHQ720936 SRM720936 TBI720936 TLE720936 TVA720936 UEW720936 UOS720936 UYO720936 VIK720936 VSG720936 WCC720936 WLY720936 WVU720936 JI786472 TE786472 ADA786472 AMW786472 AWS786472 BGO786472 BQK786472 CAG786472 CKC786472 CTY786472 DDU786472 DNQ786472 DXM786472 EHI786472 ERE786472 FBA786472 FKW786472 FUS786472 GEO786472 GOK786472 GYG786472 HIC786472 HRY786472 IBU786472 ILQ786472 IVM786472 JFI786472 JPE786472 JZA786472 KIW786472 KSS786472 LCO786472 LMK786472 LWG786472 MGC786472 MPY786472 MZU786472 NJQ786472 NTM786472 ODI786472 ONE786472 OXA786472 PGW786472 PQS786472 QAO786472 QKK786472 QUG786472 REC786472 RNY786472 RXU786472 SHQ786472 SRM786472 TBI786472 TLE786472 TVA786472 UEW786472 UOS786472 UYO786472 VIK786472 VSG786472 WCC786472 WLY786472 WVU786472 JI852008 TE852008 ADA852008 AMW852008 AWS852008 BGO852008 BQK852008 CAG852008 CKC852008 CTY852008 DDU852008 DNQ852008 DXM852008 EHI852008 ERE852008 FBA852008 FKW852008 FUS852008 GEO852008 GOK852008 GYG852008 HIC852008 HRY852008 IBU852008 ILQ852008 IVM852008 JFI852008 JPE852008 JZA852008 KIW852008 KSS852008 LCO852008 LMK852008 LWG852008 MGC852008 MPY852008 MZU852008 NJQ852008 NTM852008 ODI852008 ONE852008 OXA852008 PGW852008 PQS852008 QAO852008 QKK852008 QUG852008 REC852008 RNY852008 RXU852008 SHQ852008 SRM852008 TBI852008 TLE852008 TVA852008 UEW852008 UOS852008 UYO852008 VIK852008 VSG852008 WCC852008 WLY852008 WVU852008 JI917544 TE917544 ADA917544 AMW917544 AWS917544 BGO917544 BQK917544 CAG917544 CKC917544 CTY917544 DDU917544 DNQ917544 DXM917544 EHI917544 ERE917544 FBA917544 FKW917544 FUS917544 GEO917544 GOK917544 GYG917544 HIC917544 HRY917544 IBU917544 ILQ917544 IVM917544 JFI917544 JPE917544 JZA917544 KIW917544 KSS917544 LCO917544 LMK917544 LWG917544 MGC917544 MPY917544 MZU917544 NJQ917544 NTM917544 ODI917544 ONE917544 OXA917544 PGW917544 PQS917544 QAO917544 QKK917544 QUG917544 REC917544 RNY917544 RXU917544 SHQ917544 SRM917544 TBI917544 TLE917544 TVA917544 UEW917544 UOS917544 UYO917544 VIK917544 VSG917544 WCC917544 WLY917544 WVU917544 JI983080 TE983080 ADA983080 AMW983080 AWS983080 BGO983080 BQK983080 CAG983080 CKC983080 CTY983080 DDU983080 DNQ983080 DXM983080 EHI983080 ERE983080 FBA983080 FKW983080 FUS983080 GEO983080 GOK983080 GYG983080 HIC983080 HRY983080 IBU983080 ILQ983080 IVM983080 JFI983080 JPE983080 JZA983080 KIW983080 KSS983080 LCO983080 LMK983080 LWG983080 MGC983080 MPY983080 MZU983080 NJQ983080 NTM983080 ODI983080 ONE983080 OXA983080 PGW983080 PQS983080 QAO983080 QKK983080 QUG983080 REC983080 RNY983080 RXU983080 SHQ983080 SRM983080 TBI983080 TLE983080 TVA983080 UEW983080 UOS983080 UYO983080 VIK983080 VSG983080 WCC983080 WLY983080">
      <formula1>OFFSET(ListeRegions,68,MATCH(JA14,ListePays,0)-1,COUNTA(OFFSET(ListeRegions,,MATCH(JA14,ListePays,0)-1))-1)</formula1>
    </dataValidation>
    <dataValidation type="list" allowBlank="1" showInputMessage="1" showErrorMessage="1" sqref="WVU983079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formula1>OFFSET(ListeRegions,68,MATCH(JA14,ListePays,0)-1,COUNTA(OFFSET(ListeRegions,,MATCH(JA14,ListePays,0)-1))-1)</formula1>
    </dataValidation>
    <dataValidation type="list" allowBlank="1" showInputMessage="1" showErrorMessage="1" sqref="WVU983078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JI65574 TE65574 ADA65574 AMW65574 AWS65574 BGO65574 BQK65574 CAG65574 CKC65574 CTY65574 DDU65574 DNQ65574 DXM65574 EHI65574 ERE65574 FBA65574 FKW65574 FUS65574 GEO65574 GOK65574 GYG65574 HIC65574 HRY65574 IBU65574 ILQ65574 IVM65574 JFI65574 JPE65574 JZA65574 KIW65574 KSS65574 LCO65574 LMK65574 LWG65574 MGC65574 MPY65574 MZU65574 NJQ65574 NTM65574 ODI65574 ONE65574 OXA65574 PGW65574 PQS65574 QAO65574 QKK65574 QUG65574 REC65574 RNY65574 RXU65574 SHQ65574 SRM65574 TBI65574 TLE65574 TVA65574 UEW65574 UOS65574 UYO65574 VIK65574 VSG65574 WCC65574 WLY65574 WVU65574 JI131110 TE131110 ADA131110 AMW131110 AWS131110 BGO131110 BQK131110 CAG131110 CKC131110 CTY131110 DDU131110 DNQ131110 DXM131110 EHI131110 ERE131110 FBA131110 FKW131110 FUS131110 GEO131110 GOK131110 GYG131110 HIC131110 HRY131110 IBU131110 ILQ131110 IVM131110 JFI131110 JPE131110 JZA131110 KIW131110 KSS131110 LCO131110 LMK131110 LWG131110 MGC131110 MPY131110 MZU131110 NJQ131110 NTM131110 ODI131110 ONE131110 OXA131110 PGW131110 PQS131110 QAO131110 QKK131110 QUG131110 REC131110 RNY131110 RXU131110 SHQ131110 SRM131110 TBI131110 TLE131110 TVA131110 UEW131110 UOS131110 UYO131110 VIK131110 VSG131110 WCC131110 WLY131110 WVU131110 JI196646 TE196646 ADA196646 AMW196646 AWS196646 BGO196646 BQK196646 CAG196646 CKC196646 CTY196646 DDU196646 DNQ196646 DXM196646 EHI196646 ERE196646 FBA196646 FKW196646 FUS196646 GEO196646 GOK196646 GYG196646 HIC196646 HRY196646 IBU196646 ILQ196646 IVM196646 JFI196646 JPE196646 JZA196646 KIW196646 KSS196646 LCO196646 LMK196646 LWG196646 MGC196646 MPY196646 MZU196646 NJQ196646 NTM196646 ODI196646 ONE196646 OXA196646 PGW196646 PQS196646 QAO196646 QKK196646 QUG196646 REC196646 RNY196646 RXU196646 SHQ196646 SRM196646 TBI196646 TLE196646 TVA196646 UEW196646 UOS196646 UYO196646 VIK196646 VSG196646 WCC196646 WLY196646 WVU196646 JI262182 TE262182 ADA262182 AMW262182 AWS262182 BGO262182 BQK262182 CAG262182 CKC262182 CTY262182 DDU262182 DNQ262182 DXM262182 EHI262182 ERE262182 FBA262182 FKW262182 FUS262182 GEO262182 GOK262182 GYG262182 HIC262182 HRY262182 IBU262182 ILQ262182 IVM262182 JFI262182 JPE262182 JZA262182 KIW262182 KSS262182 LCO262182 LMK262182 LWG262182 MGC262182 MPY262182 MZU262182 NJQ262182 NTM262182 ODI262182 ONE262182 OXA262182 PGW262182 PQS262182 QAO262182 QKK262182 QUG262182 REC262182 RNY262182 RXU262182 SHQ262182 SRM262182 TBI262182 TLE262182 TVA262182 UEW262182 UOS262182 UYO262182 VIK262182 VSG262182 WCC262182 WLY262182 WVU262182 JI327718 TE327718 ADA327718 AMW327718 AWS327718 BGO327718 BQK327718 CAG327718 CKC327718 CTY327718 DDU327718 DNQ327718 DXM327718 EHI327718 ERE327718 FBA327718 FKW327718 FUS327718 GEO327718 GOK327718 GYG327718 HIC327718 HRY327718 IBU327718 ILQ327718 IVM327718 JFI327718 JPE327718 JZA327718 KIW327718 KSS327718 LCO327718 LMK327718 LWG327718 MGC327718 MPY327718 MZU327718 NJQ327718 NTM327718 ODI327718 ONE327718 OXA327718 PGW327718 PQS327718 QAO327718 QKK327718 QUG327718 REC327718 RNY327718 RXU327718 SHQ327718 SRM327718 TBI327718 TLE327718 TVA327718 UEW327718 UOS327718 UYO327718 VIK327718 VSG327718 WCC327718 WLY327718 WVU327718 JI393254 TE393254 ADA393254 AMW393254 AWS393254 BGO393254 BQK393254 CAG393254 CKC393254 CTY393254 DDU393254 DNQ393254 DXM393254 EHI393254 ERE393254 FBA393254 FKW393254 FUS393254 GEO393254 GOK393254 GYG393254 HIC393254 HRY393254 IBU393254 ILQ393254 IVM393254 JFI393254 JPE393254 JZA393254 KIW393254 KSS393254 LCO393254 LMK393254 LWG393254 MGC393254 MPY393254 MZU393254 NJQ393254 NTM393254 ODI393254 ONE393254 OXA393254 PGW393254 PQS393254 QAO393254 QKK393254 QUG393254 REC393254 RNY393254 RXU393254 SHQ393254 SRM393254 TBI393254 TLE393254 TVA393254 UEW393254 UOS393254 UYO393254 VIK393254 VSG393254 WCC393254 WLY393254 WVU393254 JI458790 TE458790 ADA458790 AMW458790 AWS458790 BGO458790 BQK458790 CAG458790 CKC458790 CTY458790 DDU458790 DNQ458790 DXM458790 EHI458790 ERE458790 FBA458790 FKW458790 FUS458790 GEO458790 GOK458790 GYG458790 HIC458790 HRY458790 IBU458790 ILQ458790 IVM458790 JFI458790 JPE458790 JZA458790 KIW458790 KSS458790 LCO458790 LMK458790 LWG458790 MGC458790 MPY458790 MZU458790 NJQ458790 NTM458790 ODI458790 ONE458790 OXA458790 PGW458790 PQS458790 QAO458790 QKK458790 QUG458790 REC458790 RNY458790 RXU458790 SHQ458790 SRM458790 TBI458790 TLE458790 TVA458790 UEW458790 UOS458790 UYO458790 VIK458790 VSG458790 WCC458790 WLY458790 WVU458790 JI524326 TE524326 ADA524326 AMW524326 AWS524326 BGO524326 BQK524326 CAG524326 CKC524326 CTY524326 DDU524326 DNQ524326 DXM524326 EHI524326 ERE524326 FBA524326 FKW524326 FUS524326 GEO524326 GOK524326 GYG524326 HIC524326 HRY524326 IBU524326 ILQ524326 IVM524326 JFI524326 JPE524326 JZA524326 KIW524326 KSS524326 LCO524326 LMK524326 LWG524326 MGC524326 MPY524326 MZU524326 NJQ524326 NTM524326 ODI524326 ONE524326 OXA524326 PGW524326 PQS524326 QAO524326 QKK524326 QUG524326 REC524326 RNY524326 RXU524326 SHQ524326 SRM524326 TBI524326 TLE524326 TVA524326 UEW524326 UOS524326 UYO524326 VIK524326 VSG524326 WCC524326 WLY524326 WVU524326 JI589862 TE589862 ADA589862 AMW589862 AWS589862 BGO589862 BQK589862 CAG589862 CKC589862 CTY589862 DDU589862 DNQ589862 DXM589862 EHI589862 ERE589862 FBA589862 FKW589862 FUS589862 GEO589862 GOK589862 GYG589862 HIC589862 HRY589862 IBU589862 ILQ589862 IVM589862 JFI589862 JPE589862 JZA589862 KIW589862 KSS589862 LCO589862 LMK589862 LWG589862 MGC589862 MPY589862 MZU589862 NJQ589862 NTM589862 ODI589862 ONE589862 OXA589862 PGW589862 PQS589862 QAO589862 QKK589862 QUG589862 REC589862 RNY589862 RXU589862 SHQ589862 SRM589862 TBI589862 TLE589862 TVA589862 UEW589862 UOS589862 UYO589862 VIK589862 VSG589862 WCC589862 WLY589862 WVU589862 JI655398 TE655398 ADA655398 AMW655398 AWS655398 BGO655398 BQK655398 CAG655398 CKC655398 CTY655398 DDU655398 DNQ655398 DXM655398 EHI655398 ERE655398 FBA655398 FKW655398 FUS655398 GEO655398 GOK655398 GYG655398 HIC655398 HRY655398 IBU655398 ILQ655398 IVM655398 JFI655398 JPE655398 JZA655398 KIW655398 KSS655398 LCO655398 LMK655398 LWG655398 MGC655398 MPY655398 MZU655398 NJQ655398 NTM655398 ODI655398 ONE655398 OXA655398 PGW655398 PQS655398 QAO655398 QKK655398 QUG655398 REC655398 RNY655398 RXU655398 SHQ655398 SRM655398 TBI655398 TLE655398 TVA655398 UEW655398 UOS655398 UYO655398 VIK655398 VSG655398 WCC655398 WLY655398 WVU655398 JI720934 TE720934 ADA720934 AMW720934 AWS720934 BGO720934 BQK720934 CAG720934 CKC720934 CTY720934 DDU720934 DNQ720934 DXM720934 EHI720934 ERE720934 FBA720934 FKW720934 FUS720934 GEO720934 GOK720934 GYG720934 HIC720934 HRY720934 IBU720934 ILQ720934 IVM720934 JFI720934 JPE720934 JZA720934 KIW720934 KSS720934 LCO720934 LMK720934 LWG720934 MGC720934 MPY720934 MZU720934 NJQ720934 NTM720934 ODI720934 ONE720934 OXA720934 PGW720934 PQS720934 QAO720934 QKK720934 QUG720934 REC720934 RNY720934 RXU720934 SHQ720934 SRM720934 TBI720934 TLE720934 TVA720934 UEW720934 UOS720934 UYO720934 VIK720934 VSG720934 WCC720934 WLY720934 WVU720934 JI786470 TE786470 ADA786470 AMW786470 AWS786470 BGO786470 BQK786470 CAG786470 CKC786470 CTY786470 DDU786470 DNQ786470 DXM786470 EHI786470 ERE786470 FBA786470 FKW786470 FUS786470 GEO786470 GOK786470 GYG786470 HIC786470 HRY786470 IBU786470 ILQ786470 IVM786470 JFI786470 JPE786470 JZA786470 KIW786470 KSS786470 LCO786470 LMK786470 LWG786470 MGC786470 MPY786470 MZU786470 NJQ786470 NTM786470 ODI786470 ONE786470 OXA786470 PGW786470 PQS786470 QAO786470 QKK786470 QUG786470 REC786470 RNY786470 RXU786470 SHQ786470 SRM786470 TBI786470 TLE786470 TVA786470 UEW786470 UOS786470 UYO786470 VIK786470 VSG786470 WCC786470 WLY786470 WVU786470 JI852006 TE852006 ADA852006 AMW852006 AWS852006 BGO852006 BQK852006 CAG852006 CKC852006 CTY852006 DDU852006 DNQ852006 DXM852006 EHI852006 ERE852006 FBA852006 FKW852006 FUS852006 GEO852006 GOK852006 GYG852006 HIC852006 HRY852006 IBU852006 ILQ852006 IVM852006 JFI852006 JPE852006 JZA852006 KIW852006 KSS852006 LCO852006 LMK852006 LWG852006 MGC852006 MPY852006 MZU852006 NJQ852006 NTM852006 ODI852006 ONE852006 OXA852006 PGW852006 PQS852006 QAO852006 QKK852006 QUG852006 REC852006 RNY852006 RXU852006 SHQ852006 SRM852006 TBI852006 TLE852006 TVA852006 UEW852006 UOS852006 UYO852006 VIK852006 VSG852006 WCC852006 WLY852006 WVU852006 JI917542 TE917542 ADA917542 AMW917542 AWS917542 BGO917542 BQK917542 CAG917542 CKC917542 CTY917542 DDU917542 DNQ917542 DXM917542 EHI917542 ERE917542 FBA917542 FKW917542 FUS917542 GEO917542 GOK917542 GYG917542 HIC917542 HRY917542 IBU917542 ILQ917542 IVM917542 JFI917542 JPE917542 JZA917542 KIW917542 KSS917542 LCO917542 LMK917542 LWG917542 MGC917542 MPY917542 MZU917542 NJQ917542 NTM917542 ODI917542 ONE917542 OXA917542 PGW917542 PQS917542 QAO917542 QKK917542 QUG917542 REC917542 RNY917542 RXU917542 SHQ917542 SRM917542 TBI917542 TLE917542 TVA917542 UEW917542 UOS917542 UYO917542 VIK917542 VSG917542 WCC917542 WLY917542 WVU917542 JI983078 TE983078 ADA983078 AMW983078 AWS983078 BGO983078 BQK983078 CAG983078 CKC983078 CTY983078 DDU983078 DNQ983078 DXM983078 EHI983078 ERE983078 FBA983078 FKW983078 FUS983078 GEO983078 GOK983078 GYG983078 HIC983078 HRY983078 IBU983078 ILQ983078 IVM983078 JFI983078 JPE983078 JZA983078 KIW983078 KSS983078 LCO983078 LMK983078 LWG983078 MGC983078 MPY983078 MZU983078 NJQ983078 NTM983078 ODI983078 ONE983078 OXA983078 PGW983078 PQS983078 QAO983078 QKK983078 QUG983078 REC983078 RNY983078 RXU983078 SHQ983078 SRM983078 TBI983078 TLE983078 TVA983078 UEW983078 UOS983078 UYO983078 VIK983078 VSG983078 WCC983078 WLY983078">
      <formula1>OFFSET(ListeRegions,68,MATCH(JA14,ListePays,0)-1,COUNTA(OFFSET(ListeRegions,,MATCH(JA14,ListePays,0)-1))-1)</formula1>
    </dataValidation>
    <dataValidation type="list" allowBlank="1" showInputMessage="1" showErrorMessage="1" sqref="WVU983077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formula1>OFFSET(ListeRegions,68,MATCH(JA14,ListePays,0)-1,COUNTA(OFFSET(ListeRegions,,MATCH(JA14,ListePays,0)-1))-1)</formula1>
    </dataValidation>
    <dataValidation type="list" allowBlank="1" showInputMessage="1" showErrorMessage="1" sqref="WVU983076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JI65572 TE65572 ADA65572 AMW65572 AWS65572 BGO65572 BQK65572 CAG65572 CKC65572 CTY65572 DDU65572 DNQ65572 DXM65572 EHI65572 ERE65572 FBA65572 FKW65572 FUS65572 GEO65572 GOK65572 GYG65572 HIC65572 HRY65572 IBU65572 ILQ65572 IVM65572 JFI65572 JPE65572 JZA65572 KIW65572 KSS65572 LCO65572 LMK65572 LWG65572 MGC65572 MPY65572 MZU65572 NJQ65572 NTM65572 ODI65572 ONE65572 OXA65572 PGW65572 PQS65572 QAO65572 QKK65572 QUG65572 REC65572 RNY65572 RXU65572 SHQ65572 SRM65572 TBI65572 TLE65572 TVA65572 UEW65572 UOS65572 UYO65572 VIK65572 VSG65572 WCC65572 WLY65572 WVU65572 JI131108 TE131108 ADA131108 AMW131108 AWS131108 BGO131108 BQK131108 CAG131108 CKC131108 CTY131108 DDU131108 DNQ131108 DXM131108 EHI131108 ERE131108 FBA131108 FKW131108 FUS131108 GEO131108 GOK131108 GYG131108 HIC131108 HRY131108 IBU131108 ILQ131108 IVM131108 JFI131108 JPE131108 JZA131108 KIW131108 KSS131108 LCO131108 LMK131108 LWG131108 MGC131108 MPY131108 MZU131108 NJQ131108 NTM131108 ODI131108 ONE131108 OXA131108 PGW131108 PQS131108 QAO131108 QKK131108 QUG131108 REC131108 RNY131108 RXU131108 SHQ131108 SRM131108 TBI131108 TLE131108 TVA131108 UEW131108 UOS131108 UYO131108 VIK131108 VSG131108 WCC131108 WLY131108 WVU131108 JI196644 TE196644 ADA196644 AMW196644 AWS196644 BGO196644 BQK196644 CAG196644 CKC196644 CTY196644 DDU196644 DNQ196644 DXM196644 EHI196644 ERE196644 FBA196644 FKW196644 FUS196644 GEO196644 GOK196644 GYG196644 HIC196644 HRY196644 IBU196644 ILQ196644 IVM196644 JFI196644 JPE196644 JZA196644 KIW196644 KSS196644 LCO196644 LMK196644 LWG196644 MGC196644 MPY196644 MZU196644 NJQ196644 NTM196644 ODI196644 ONE196644 OXA196644 PGW196644 PQS196644 QAO196644 QKK196644 QUG196644 REC196644 RNY196644 RXU196644 SHQ196644 SRM196644 TBI196644 TLE196644 TVA196644 UEW196644 UOS196644 UYO196644 VIK196644 VSG196644 WCC196644 WLY196644 WVU196644 JI262180 TE262180 ADA262180 AMW262180 AWS262180 BGO262180 BQK262180 CAG262180 CKC262180 CTY262180 DDU262180 DNQ262180 DXM262180 EHI262180 ERE262180 FBA262180 FKW262180 FUS262180 GEO262180 GOK262180 GYG262180 HIC262180 HRY262180 IBU262180 ILQ262180 IVM262180 JFI262180 JPE262180 JZA262180 KIW262180 KSS262180 LCO262180 LMK262180 LWG262180 MGC262180 MPY262180 MZU262180 NJQ262180 NTM262180 ODI262180 ONE262180 OXA262180 PGW262180 PQS262180 QAO262180 QKK262180 QUG262180 REC262180 RNY262180 RXU262180 SHQ262180 SRM262180 TBI262180 TLE262180 TVA262180 UEW262180 UOS262180 UYO262180 VIK262180 VSG262180 WCC262180 WLY262180 WVU262180 JI327716 TE327716 ADA327716 AMW327716 AWS327716 BGO327716 BQK327716 CAG327716 CKC327716 CTY327716 DDU327716 DNQ327716 DXM327716 EHI327716 ERE327716 FBA327716 FKW327716 FUS327716 GEO327716 GOK327716 GYG327716 HIC327716 HRY327716 IBU327716 ILQ327716 IVM327716 JFI327716 JPE327716 JZA327716 KIW327716 KSS327716 LCO327716 LMK327716 LWG327716 MGC327716 MPY327716 MZU327716 NJQ327716 NTM327716 ODI327716 ONE327716 OXA327716 PGW327716 PQS327716 QAO327716 QKK327716 QUG327716 REC327716 RNY327716 RXU327716 SHQ327716 SRM327716 TBI327716 TLE327716 TVA327716 UEW327716 UOS327716 UYO327716 VIK327716 VSG327716 WCC327716 WLY327716 WVU327716 JI393252 TE393252 ADA393252 AMW393252 AWS393252 BGO393252 BQK393252 CAG393252 CKC393252 CTY393252 DDU393252 DNQ393252 DXM393252 EHI393252 ERE393252 FBA393252 FKW393252 FUS393252 GEO393252 GOK393252 GYG393252 HIC393252 HRY393252 IBU393252 ILQ393252 IVM393252 JFI393252 JPE393252 JZA393252 KIW393252 KSS393252 LCO393252 LMK393252 LWG393252 MGC393252 MPY393252 MZU393252 NJQ393252 NTM393252 ODI393252 ONE393252 OXA393252 PGW393252 PQS393252 QAO393252 QKK393252 QUG393252 REC393252 RNY393252 RXU393252 SHQ393252 SRM393252 TBI393252 TLE393252 TVA393252 UEW393252 UOS393252 UYO393252 VIK393252 VSG393252 WCC393252 WLY393252 WVU393252 JI458788 TE458788 ADA458788 AMW458788 AWS458788 BGO458788 BQK458788 CAG458788 CKC458788 CTY458788 DDU458788 DNQ458788 DXM458788 EHI458788 ERE458788 FBA458788 FKW458788 FUS458788 GEO458788 GOK458788 GYG458788 HIC458788 HRY458788 IBU458788 ILQ458788 IVM458788 JFI458788 JPE458788 JZA458788 KIW458788 KSS458788 LCO458788 LMK458788 LWG458788 MGC458788 MPY458788 MZU458788 NJQ458788 NTM458788 ODI458788 ONE458788 OXA458788 PGW458788 PQS458788 QAO458788 QKK458788 QUG458788 REC458788 RNY458788 RXU458788 SHQ458788 SRM458788 TBI458788 TLE458788 TVA458788 UEW458788 UOS458788 UYO458788 VIK458788 VSG458788 WCC458788 WLY458788 WVU458788 JI524324 TE524324 ADA524324 AMW524324 AWS524324 BGO524324 BQK524324 CAG524324 CKC524324 CTY524324 DDU524324 DNQ524324 DXM524324 EHI524324 ERE524324 FBA524324 FKW524324 FUS524324 GEO524324 GOK524324 GYG524324 HIC524324 HRY524324 IBU524324 ILQ524324 IVM524324 JFI524324 JPE524324 JZA524324 KIW524324 KSS524324 LCO524324 LMK524324 LWG524324 MGC524324 MPY524324 MZU524324 NJQ524324 NTM524324 ODI524324 ONE524324 OXA524324 PGW524324 PQS524324 QAO524324 QKK524324 QUG524324 REC524324 RNY524324 RXU524324 SHQ524324 SRM524324 TBI524324 TLE524324 TVA524324 UEW524324 UOS524324 UYO524324 VIK524324 VSG524324 WCC524324 WLY524324 WVU524324 JI589860 TE589860 ADA589860 AMW589860 AWS589860 BGO589860 BQK589860 CAG589860 CKC589860 CTY589860 DDU589860 DNQ589860 DXM589860 EHI589860 ERE589860 FBA589860 FKW589860 FUS589860 GEO589860 GOK589860 GYG589860 HIC589860 HRY589860 IBU589860 ILQ589860 IVM589860 JFI589860 JPE589860 JZA589860 KIW589860 KSS589860 LCO589860 LMK589860 LWG589860 MGC589860 MPY589860 MZU589860 NJQ589860 NTM589860 ODI589860 ONE589860 OXA589860 PGW589860 PQS589860 QAO589860 QKK589860 QUG589860 REC589860 RNY589860 RXU589860 SHQ589860 SRM589860 TBI589860 TLE589860 TVA589860 UEW589860 UOS589860 UYO589860 VIK589860 VSG589860 WCC589860 WLY589860 WVU589860 JI655396 TE655396 ADA655396 AMW655396 AWS655396 BGO655396 BQK655396 CAG655396 CKC655396 CTY655396 DDU655396 DNQ655396 DXM655396 EHI655396 ERE655396 FBA655396 FKW655396 FUS655396 GEO655396 GOK655396 GYG655396 HIC655396 HRY655396 IBU655396 ILQ655396 IVM655396 JFI655396 JPE655396 JZA655396 KIW655396 KSS655396 LCO655396 LMK655396 LWG655396 MGC655396 MPY655396 MZU655396 NJQ655396 NTM655396 ODI655396 ONE655396 OXA655396 PGW655396 PQS655396 QAO655396 QKK655396 QUG655396 REC655396 RNY655396 RXU655396 SHQ655396 SRM655396 TBI655396 TLE655396 TVA655396 UEW655396 UOS655396 UYO655396 VIK655396 VSG655396 WCC655396 WLY655396 WVU655396 JI720932 TE720932 ADA720932 AMW720932 AWS720932 BGO720932 BQK720932 CAG720932 CKC720932 CTY720932 DDU720932 DNQ720932 DXM720932 EHI720932 ERE720932 FBA720932 FKW720932 FUS720932 GEO720932 GOK720932 GYG720932 HIC720932 HRY720932 IBU720932 ILQ720932 IVM720932 JFI720932 JPE720932 JZA720932 KIW720932 KSS720932 LCO720932 LMK720932 LWG720932 MGC720932 MPY720932 MZU720932 NJQ720932 NTM720932 ODI720932 ONE720932 OXA720932 PGW720932 PQS720932 QAO720932 QKK720932 QUG720932 REC720932 RNY720932 RXU720932 SHQ720932 SRM720932 TBI720932 TLE720932 TVA720932 UEW720932 UOS720932 UYO720932 VIK720932 VSG720932 WCC720932 WLY720932 WVU720932 JI786468 TE786468 ADA786468 AMW786468 AWS786468 BGO786468 BQK786468 CAG786468 CKC786468 CTY786468 DDU786468 DNQ786468 DXM786468 EHI786468 ERE786468 FBA786468 FKW786468 FUS786468 GEO786468 GOK786468 GYG786468 HIC786468 HRY786468 IBU786468 ILQ786468 IVM786468 JFI786468 JPE786468 JZA786468 KIW786468 KSS786468 LCO786468 LMK786468 LWG786468 MGC786468 MPY786468 MZU786468 NJQ786468 NTM786468 ODI786468 ONE786468 OXA786468 PGW786468 PQS786468 QAO786468 QKK786468 QUG786468 REC786468 RNY786468 RXU786468 SHQ786468 SRM786468 TBI786468 TLE786468 TVA786468 UEW786468 UOS786468 UYO786468 VIK786468 VSG786468 WCC786468 WLY786468 WVU786468 JI852004 TE852004 ADA852004 AMW852004 AWS852004 BGO852004 BQK852004 CAG852004 CKC852004 CTY852004 DDU852004 DNQ852004 DXM852004 EHI852004 ERE852004 FBA852004 FKW852004 FUS852004 GEO852004 GOK852004 GYG852004 HIC852004 HRY852004 IBU852004 ILQ852004 IVM852004 JFI852004 JPE852004 JZA852004 KIW852004 KSS852004 LCO852004 LMK852004 LWG852004 MGC852004 MPY852004 MZU852004 NJQ852004 NTM852004 ODI852004 ONE852004 OXA852004 PGW852004 PQS852004 QAO852004 QKK852004 QUG852004 REC852004 RNY852004 RXU852004 SHQ852004 SRM852004 TBI852004 TLE852004 TVA852004 UEW852004 UOS852004 UYO852004 VIK852004 VSG852004 WCC852004 WLY852004 WVU852004 JI917540 TE917540 ADA917540 AMW917540 AWS917540 BGO917540 BQK917540 CAG917540 CKC917540 CTY917540 DDU917540 DNQ917540 DXM917540 EHI917540 ERE917540 FBA917540 FKW917540 FUS917540 GEO917540 GOK917540 GYG917540 HIC917540 HRY917540 IBU917540 ILQ917540 IVM917540 JFI917540 JPE917540 JZA917540 KIW917540 KSS917540 LCO917540 LMK917540 LWG917540 MGC917540 MPY917540 MZU917540 NJQ917540 NTM917540 ODI917540 ONE917540 OXA917540 PGW917540 PQS917540 QAO917540 QKK917540 QUG917540 REC917540 RNY917540 RXU917540 SHQ917540 SRM917540 TBI917540 TLE917540 TVA917540 UEW917540 UOS917540 UYO917540 VIK917540 VSG917540 WCC917540 WLY917540 WVU917540 JI983076 TE983076 ADA983076 AMW983076 AWS983076 BGO983076 BQK983076 CAG983076 CKC983076 CTY983076 DDU983076 DNQ983076 DXM983076 EHI983076 ERE983076 FBA983076 FKW983076 FUS983076 GEO983076 GOK983076 GYG983076 HIC983076 HRY983076 IBU983076 ILQ983076 IVM983076 JFI983076 JPE983076 JZA983076 KIW983076 KSS983076 LCO983076 LMK983076 LWG983076 MGC983076 MPY983076 MZU983076 NJQ983076 NTM983076 ODI983076 ONE983076 OXA983076 PGW983076 PQS983076 QAO983076 QKK983076 QUG983076 REC983076 RNY983076 RXU983076 SHQ983076 SRM983076 TBI983076 TLE983076 TVA983076 UEW983076 UOS983076 UYO983076 VIK983076 VSG983076 WCC983076 WLY983076">
      <formula1>OFFSET(ListeRegions,68,MATCH(JA14,ListePays,0)-1,COUNTA(OFFSET(ListeRegions,,MATCH(JA14,ListePays,0)-1))-1)</formula1>
    </dataValidation>
    <dataValidation type="list" allowBlank="1" showInputMessage="1" showErrorMessage="1" sqref="WVU983075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formula1>OFFSET(ListeRegions,68,MATCH(JA14,ListePays,0)-1,COUNTA(OFFSET(ListeRegions,,MATCH(JA14,ListePays,0)-1))-1)</formula1>
    </dataValidation>
    <dataValidation type="list" allowBlank="1" showInputMessage="1" showErrorMessage="1" sqref="WVU983074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JI65570 TE65570 ADA65570 AMW65570 AWS65570 BGO65570 BQK65570 CAG65570 CKC65570 CTY65570 DDU65570 DNQ65570 DXM65570 EHI65570 ERE65570 FBA65570 FKW65570 FUS65570 GEO65570 GOK65570 GYG65570 HIC65570 HRY65570 IBU65570 ILQ65570 IVM65570 JFI65570 JPE65570 JZA65570 KIW65570 KSS65570 LCO65570 LMK65570 LWG65570 MGC65570 MPY65570 MZU65570 NJQ65570 NTM65570 ODI65570 ONE65570 OXA65570 PGW65570 PQS65570 QAO65570 QKK65570 QUG65570 REC65570 RNY65570 RXU65570 SHQ65570 SRM65570 TBI65570 TLE65570 TVA65570 UEW65570 UOS65570 UYO65570 VIK65570 VSG65570 WCC65570 WLY65570 WVU65570 JI131106 TE131106 ADA131106 AMW131106 AWS131106 BGO131106 BQK131106 CAG131106 CKC131106 CTY131106 DDU131106 DNQ131106 DXM131106 EHI131106 ERE131106 FBA131106 FKW131106 FUS131106 GEO131106 GOK131106 GYG131106 HIC131106 HRY131106 IBU131106 ILQ131106 IVM131106 JFI131106 JPE131106 JZA131106 KIW131106 KSS131106 LCO131106 LMK131106 LWG131106 MGC131106 MPY131106 MZU131106 NJQ131106 NTM131106 ODI131106 ONE131106 OXA131106 PGW131106 PQS131106 QAO131106 QKK131106 QUG131106 REC131106 RNY131106 RXU131106 SHQ131106 SRM131106 TBI131106 TLE131106 TVA131106 UEW131106 UOS131106 UYO131106 VIK131106 VSG131106 WCC131106 WLY131106 WVU131106 JI196642 TE196642 ADA196642 AMW196642 AWS196642 BGO196642 BQK196642 CAG196642 CKC196642 CTY196642 DDU196642 DNQ196642 DXM196642 EHI196642 ERE196642 FBA196642 FKW196642 FUS196642 GEO196642 GOK196642 GYG196642 HIC196642 HRY196642 IBU196642 ILQ196642 IVM196642 JFI196642 JPE196642 JZA196642 KIW196642 KSS196642 LCO196642 LMK196642 LWG196642 MGC196642 MPY196642 MZU196642 NJQ196642 NTM196642 ODI196642 ONE196642 OXA196642 PGW196642 PQS196642 QAO196642 QKK196642 QUG196642 REC196642 RNY196642 RXU196642 SHQ196642 SRM196642 TBI196642 TLE196642 TVA196642 UEW196642 UOS196642 UYO196642 VIK196642 VSG196642 WCC196642 WLY196642 WVU196642 JI262178 TE262178 ADA262178 AMW262178 AWS262178 BGO262178 BQK262178 CAG262178 CKC262178 CTY262178 DDU262178 DNQ262178 DXM262178 EHI262178 ERE262178 FBA262178 FKW262178 FUS262178 GEO262178 GOK262178 GYG262178 HIC262178 HRY262178 IBU262178 ILQ262178 IVM262178 JFI262178 JPE262178 JZA262178 KIW262178 KSS262178 LCO262178 LMK262178 LWG262178 MGC262178 MPY262178 MZU262178 NJQ262178 NTM262178 ODI262178 ONE262178 OXA262178 PGW262178 PQS262178 QAO262178 QKK262178 QUG262178 REC262178 RNY262178 RXU262178 SHQ262178 SRM262178 TBI262178 TLE262178 TVA262178 UEW262178 UOS262178 UYO262178 VIK262178 VSG262178 WCC262178 WLY262178 WVU262178 JI327714 TE327714 ADA327714 AMW327714 AWS327714 BGO327714 BQK327714 CAG327714 CKC327714 CTY327714 DDU327714 DNQ327714 DXM327714 EHI327714 ERE327714 FBA327714 FKW327714 FUS327714 GEO327714 GOK327714 GYG327714 HIC327714 HRY327714 IBU327714 ILQ327714 IVM327714 JFI327714 JPE327714 JZA327714 KIW327714 KSS327714 LCO327714 LMK327714 LWG327714 MGC327714 MPY327714 MZU327714 NJQ327714 NTM327714 ODI327714 ONE327714 OXA327714 PGW327714 PQS327714 QAO327714 QKK327714 QUG327714 REC327714 RNY327714 RXU327714 SHQ327714 SRM327714 TBI327714 TLE327714 TVA327714 UEW327714 UOS327714 UYO327714 VIK327714 VSG327714 WCC327714 WLY327714 WVU327714 JI393250 TE393250 ADA393250 AMW393250 AWS393250 BGO393250 BQK393250 CAG393250 CKC393250 CTY393250 DDU393250 DNQ393250 DXM393250 EHI393250 ERE393250 FBA393250 FKW393250 FUS393250 GEO393250 GOK393250 GYG393250 HIC393250 HRY393250 IBU393250 ILQ393250 IVM393250 JFI393250 JPE393250 JZA393250 KIW393250 KSS393250 LCO393250 LMK393250 LWG393250 MGC393250 MPY393250 MZU393250 NJQ393250 NTM393250 ODI393250 ONE393250 OXA393250 PGW393250 PQS393250 QAO393250 QKK393250 QUG393250 REC393250 RNY393250 RXU393250 SHQ393250 SRM393250 TBI393250 TLE393250 TVA393250 UEW393250 UOS393250 UYO393250 VIK393250 VSG393250 WCC393250 WLY393250 WVU393250 JI458786 TE458786 ADA458786 AMW458786 AWS458786 BGO458786 BQK458786 CAG458786 CKC458786 CTY458786 DDU458786 DNQ458786 DXM458786 EHI458786 ERE458786 FBA458786 FKW458786 FUS458786 GEO458786 GOK458786 GYG458786 HIC458786 HRY458786 IBU458786 ILQ458786 IVM458786 JFI458786 JPE458786 JZA458786 KIW458786 KSS458786 LCO458786 LMK458786 LWG458786 MGC458786 MPY458786 MZU458786 NJQ458786 NTM458786 ODI458786 ONE458786 OXA458786 PGW458786 PQS458786 QAO458786 QKK458786 QUG458786 REC458786 RNY458786 RXU458786 SHQ458786 SRM458786 TBI458786 TLE458786 TVA458786 UEW458786 UOS458786 UYO458786 VIK458786 VSG458786 WCC458786 WLY458786 WVU458786 JI524322 TE524322 ADA524322 AMW524322 AWS524322 BGO524322 BQK524322 CAG524322 CKC524322 CTY524322 DDU524322 DNQ524322 DXM524322 EHI524322 ERE524322 FBA524322 FKW524322 FUS524322 GEO524322 GOK524322 GYG524322 HIC524322 HRY524322 IBU524322 ILQ524322 IVM524322 JFI524322 JPE524322 JZA524322 KIW524322 KSS524322 LCO524322 LMK524322 LWG524322 MGC524322 MPY524322 MZU524322 NJQ524322 NTM524322 ODI524322 ONE524322 OXA524322 PGW524322 PQS524322 QAO524322 QKK524322 QUG524322 REC524322 RNY524322 RXU524322 SHQ524322 SRM524322 TBI524322 TLE524322 TVA524322 UEW524322 UOS524322 UYO524322 VIK524322 VSG524322 WCC524322 WLY524322 WVU524322 JI589858 TE589858 ADA589858 AMW589858 AWS589858 BGO589858 BQK589858 CAG589858 CKC589858 CTY589858 DDU589858 DNQ589858 DXM589858 EHI589858 ERE589858 FBA589858 FKW589858 FUS589858 GEO589858 GOK589858 GYG589858 HIC589858 HRY589858 IBU589858 ILQ589858 IVM589858 JFI589858 JPE589858 JZA589858 KIW589858 KSS589858 LCO589858 LMK589858 LWG589858 MGC589858 MPY589858 MZU589858 NJQ589858 NTM589858 ODI589858 ONE589858 OXA589858 PGW589858 PQS589858 QAO589858 QKK589858 QUG589858 REC589858 RNY589858 RXU589858 SHQ589858 SRM589858 TBI589858 TLE589858 TVA589858 UEW589858 UOS589858 UYO589858 VIK589858 VSG589858 WCC589858 WLY589858 WVU589858 JI655394 TE655394 ADA655394 AMW655394 AWS655394 BGO655394 BQK655394 CAG655394 CKC655394 CTY655394 DDU655394 DNQ655394 DXM655394 EHI655394 ERE655394 FBA655394 FKW655394 FUS655394 GEO655394 GOK655394 GYG655394 HIC655394 HRY655394 IBU655394 ILQ655394 IVM655394 JFI655394 JPE655394 JZA655394 KIW655394 KSS655394 LCO655394 LMK655394 LWG655394 MGC655394 MPY655394 MZU655394 NJQ655394 NTM655394 ODI655394 ONE655394 OXA655394 PGW655394 PQS655394 QAO655394 QKK655394 QUG655394 REC655394 RNY655394 RXU655394 SHQ655394 SRM655394 TBI655394 TLE655394 TVA655394 UEW655394 UOS655394 UYO655394 VIK655394 VSG655394 WCC655394 WLY655394 WVU655394 JI720930 TE720930 ADA720930 AMW720930 AWS720930 BGO720930 BQK720930 CAG720930 CKC720930 CTY720930 DDU720930 DNQ720930 DXM720930 EHI720930 ERE720930 FBA720930 FKW720930 FUS720930 GEO720930 GOK720930 GYG720930 HIC720930 HRY720930 IBU720930 ILQ720930 IVM720930 JFI720930 JPE720930 JZA720930 KIW720930 KSS720930 LCO720930 LMK720930 LWG720930 MGC720930 MPY720930 MZU720930 NJQ720930 NTM720930 ODI720930 ONE720930 OXA720930 PGW720930 PQS720930 QAO720930 QKK720930 QUG720930 REC720930 RNY720930 RXU720930 SHQ720930 SRM720930 TBI720930 TLE720930 TVA720930 UEW720930 UOS720930 UYO720930 VIK720930 VSG720930 WCC720930 WLY720930 WVU720930 JI786466 TE786466 ADA786466 AMW786466 AWS786466 BGO786466 BQK786466 CAG786466 CKC786466 CTY786466 DDU786466 DNQ786466 DXM786466 EHI786466 ERE786466 FBA786466 FKW786466 FUS786466 GEO786466 GOK786466 GYG786466 HIC786466 HRY786466 IBU786466 ILQ786466 IVM786466 JFI786466 JPE786466 JZA786466 KIW786466 KSS786466 LCO786466 LMK786466 LWG786466 MGC786466 MPY786466 MZU786466 NJQ786466 NTM786466 ODI786466 ONE786466 OXA786466 PGW786466 PQS786466 QAO786466 QKK786466 QUG786466 REC786466 RNY786466 RXU786466 SHQ786466 SRM786466 TBI786466 TLE786466 TVA786466 UEW786466 UOS786466 UYO786466 VIK786466 VSG786466 WCC786466 WLY786466 WVU786466 JI852002 TE852002 ADA852002 AMW852002 AWS852002 BGO852002 BQK852002 CAG852002 CKC852002 CTY852002 DDU852002 DNQ852002 DXM852002 EHI852002 ERE852002 FBA852002 FKW852002 FUS852002 GEO852002 GOK852002 GYG852002 HIC852002 HRY852002 IBU852002 ILQ852002 IVM852002 JFI852002 JPE852002 JZA852002 KIW852002 KSS852002 LCO852002 LMK852002 LWG852002 MGC852002 MPY852002 MZU852002 NJQ852002 NTM852002 ODI852002 ONE852002 OXA852002 PGW852002 PQS852002 QAO852002 QKK852002 QUG852002 REC852002 RNY852002 RXU852002 SHQ852002 SRM852002 TBI852002 TLE852002 TVA852002 UEW852002 UOS852002 UYO852002 VIK852002 VSG852002 WCC852002 WLY852002 WVU852002 JI917538 TE917538 ADA917538 AMW917538 AWS917538 BGO917538 BQK917538 CAG917538 CKC917538 CTY917538 DDU917538 DNQ917538 DXM917538 EHI917538 ERE917538 FBA917538 FKW917538 FUS917538 GEO917538 GOK917538 GYG917538 HIC917538 HRY917538 IBU917538 ILQ917538 IVM917538 JFI917538 JPE917538 JZA917538 KIW917538 KSS917538 LCO917538 LMK917538 LWG917538 MGC917538 MPY917538 MZU917538 NJQ917538 NTM917538 ODI917538 ONE917538 OXA917538 PGW917538 PQS917538 QAO917538 QKK917538 QUG917538 REC917538 RNY917538 RXU917538 SHQ917538 SRM917538 TBI917538 TLE917538 TVA917538 UEW917538 UOS917538 UYO917538 VIK917538 VSG917538 WCC917538 WLY917538 WVU917538 JI983074 TE983074 ADA983074 AMW983074 AWS983074 BGO983074 BQK983074 CAG983074 CKC983074 CTY983074 DDU983074 DNQ983074 DXM983074 EHI983074 ERE983074 FBA983074 FKW983074 FUS983074 GEO983074 GOK983074 GYG983074 HIC983074 HRY983074 IBU983074 ILQ983074 IVM983074 JFI983074 JPE983074 JZA983074 KIW983074 KSS983074 LCO983074 LMK983074 LWG983074 MGC983074 MPY983074 MZU983074 NJQ983074 NTM983074 ODI983074 ONE983074 OXA983074 PGW983074 PQS983074 QAO983074 QKK983074 QUG983074 REC983074 RNY983074 RXU983074 SHQ983074 SRM983074 TBI983074 TLE983074 TVA983074 UEW983074 UOS983074 UYO983074 VIK983074 VSG983074 WCC983074 WLY983074">
      <formula1>OFFSET(ListeRegions,68,MATCH(JA14,ListePays,0)-1,COUNTA(OFFSET(ListeRegions,,MATCH(JA14,ListePays,0)-1))-1)</formula1>
    </dataValidation>
    <dataValidation type="list" allowBlank="1" showInputMessage="1" showErrorMessage="1" sqref="WVU983073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formula1>OFFSET(ListeRegions,68,MATCH(JA14,ListePays,0)-1,COUNTA(OFFSET(ListeRegions,,MATCH(JA14,ListePays,0)-1))-1)</formula1>
    </dataValidation>
    <dataValidation type="list" allowBlank="1" showInputMessage="1" showErrorMessage="1" sqref="WVU983072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JI65568 TE65568 ADA65568 AMW65568 AWS65568 BGO65568 BQK65568 CAG65568 CKC65568 CTY65568 DDU65568 DNQ65568 DXM65568 EHI65568 ERE65568 FBA65568 FKW65568 FUS65568 GEO65568 GOK65568 GYG65568 HIC65568 HRY65568 IBU65568 ILQ65568 IVM65568 JFI65568 JPE65568 JZA65568 KIW65568 KSS65568 LCO65568 LMK65568 LWG65568 MGC65568 MPY65568 MZU65568 NJQ65568 NTM65568 ODI65568 ONE65568 OXA65568 PGW65568 PQS65568 QAO65568 QKK65568 QUG65568 REC65568 RNY65568 RXU65568 SHQ65568 SRM65568 TBI65568 TLE65568 TVA65568 UEW65568 UOS65568 UYO65568 VIK65568 VSG65568 WCC65568 WLY65568 WVU65568 JI131104 TE131104 ADA131104 AMW131104 AWS131104 BGO131104 BQK131104 CAG131104 CKC131104 CTY131104 DDU131104 DNQ131104 DXM131104 EHI131104 ERE131104 FBA131104 FKW131104 FUS131104 GEO131104 GOK131104 GYG131104 HIC131104 HRY131104 IBU131104 ILQ131104 IVM131104 JFI131104 JPE131104 JZA131104 KIW131104 KSS131104 LCO131104 LMK131104 LWG131104 MGC131104 MPY131104 MZU131104 NJQ131104 NTM131104 ODI131104 ONE131104 OXA131104 PGW131104 PQS131104 QAO131104 QKK131104 QUG131104 REC131104 RNY131104 RXU131104 SHQ131104 SRM131104 TBI131104 TLE131104 TVA131104 UEW131104 UOS131104 UYO131104 VIK131104 VSG131104 WCC131104 WLY131104 WVU131104 JI196640 TE196640 ADA196640 AMW196640 AWS196640 BGO196640 BQK196640 CAG196640 CKC196640 CTY196640 DDU196640 DNQ196640 DXM196640 EHI196640 ERE196640 FBA196640 FKW196640 FUS196640 GEO196640 GOK196640 GYG196640 HIC196640 HRY196640 IBU196640 ILQ196640 IVM196640 JFI196640 JPE196640 JZA196640 KIW196640 KSS196640 LCO196640 LMK196640 LWG196640 MGC196640 MPY196640 MZU196640 NJQ196640 NTM196640 ODI196640 ONE196640 OXA196640 PGW196640 PQS196640 QAO196640 QKK196640 QUG196640 REC196640 RNY196640 RXU196640 SHQ196640 SRM196640 TBI196640 TLE196640 TVA196640 UEW196640 UOS196640 UYO196640 VIK196640 VSG196640 WCC196640 WLY196640 WVU196640 JI262176 TE262176 ADA262176 AMW262176 AWS262176 BGO262176 BQK262176 CAG262176 CKC262176 CTY262176 DDU262176 DNQ262176 DXM262176 EHI262176 ERE262176 FBA262176 FKW262176 FUS262176 GEO262176 GOK262176 GYG262176 HIC262176 HRY262176 IBU262176 ILQ262176 IVM262176 JFI262176 JPE262176 JZA262176 KIW262176 KSS262176 LCO262176 LMK262176 LWG262176 MGC262176 MPY262176 MZU262176 NJQ262176 NTM262176 ODI262176 ONE262176 OXA262176 PGW262176 PQS262176 QAO262176 QKK262176 QUG262176 REC262176 RNY262176 RXU262176 SHQ262176 SRM262176 TBI262176 TLE262176 TVA262176 UEW262176 UOS262176 UYO262176 VIK262176 VSG262176 WCC262176 WLY262176 WVU262176 JI327712 TE327712 ADA327712 AMW327712 AWS327712 BGO327712 BQK327712 CAG327712 CKC327712 CTY327712 DDU327712 DNQ327712 DXM327712 EHI327712 ERE327712 FBA327712 FKW327712 FUS327712 GEO327712 GOK327712 GYG327712 HIC327712 HRY327712 IBU327712 ILQ327712 IVM327712 JFI327712 JPE327712 JZA327712 KIW327712 KSS327712 LCO327712 LMK327712 LWG327712 MGC327712 MPY327712 MZU327712 NJQ327712 NTM327712 ODI327712 ONE327712 OXA327712 PGW327712 PQS327712 QAO327712 QKK327712 QUG327712 REC327712 RNY327712 RXU327712 SHQ327712 SRM327712 TBI327712 TLE327712 TVA327712 UEW327712 UOS327712 UYO327712 VIK327712 VSG327712 WCC327712 WLY327712 WVU327712 JI393248 TE393248 ADA393248 AMW393248 AWS393248 BGO393248 BQK393248 CAG393248 CKC393248 CTY393248 DDU393248 DNQ393248 DXM393248 EHI393248 ERE393248 FBA393248 FKW393248 FUS393248 GEO393248 GOK393248 GYG393248 HIC393248 HRY393248 IBU393248 ILQ393248 IVM393248 JFI393248 JPE393248 JZA393248 KIW393248 KSS393248 LCO393248 LMK393248 LWG393248 MGC393248 MPY393248 MZU393248 NJQ393248 NTM393248 ODI393248 ONE393248 OXA393248 PGW393248 PQS393248 QAO393248 QKK393248 QUG393248 REC393248 RNY393248 RXU393248 SHQ393248 SRM393248 TBI393248 TLE393248 TVA393248 UEW393248 UOS393248 UYO393248 VIK393248 VSG393248 WCC393248 WLY393248 WVU393248 JI458784 TE458784 ADA458784 AMW458784 AWS458784 BGO458784 BQK458784 CAG458784 CKC458784 CTY458784 DDU458784 DNQ458784 DXM458784 EHI458784 ERE458784 FBA458784 FKW458784 FUS458784 GEO458784 GOK458784 GYG458784 HIC458784 HRY458784 IBU458784 ILQ458784 IVM458784 JFI458784 JPE458784 JZA458784 KIW458784 KSS458784 LCO458784 LMK458784 LWG458784 MGC458784 MPY458784 MZU458784 NJQ458784 NTM458784 ODI458784 ONE458784 OXA458784 PGW458784 PQS458784 QAO458784 QKK458784 QUG458784 REC458784 RNY458784 RXU458784 SHQ458784 SRM458784 TBI458784 TLE458784 TVA458784 UEW458784 UOS458784 UYO458784 VIK458784 VSG458784 WCC458784 WLY458784 WVU458784 JI524320 TE524320 ADA524320 AMW524320 AWS524320 BGO524320 BQK524320 CAG524320 CKC524320 CTY524320 DDU524320 DNQ524320 DXM524320 EHI524320 ERE524320 FBA524320 FKW524320 FUS524320 GEO524320 GOK524320 GYG524320 HIC524320 HRY524320 IBU524320 ILQ524320 IVM524320 JFI524320 JPE524320 JZA524320 KIW524320 KSS524320 LCO524320 LMK524320 LWG524320 MGC524320 MPY524320 MZU524320 NJQ524320 NTM524320 ODI524320 ONE524320 OXA524320 PGW524320 PQS524320 QAO524320 QKK524320 QUG524320 REC524320 RNY524320 RXU524320 SHQ524320 SRM524320 TBI524320 TLE524320 TVA524320 UEW524320 UOS524320 UYO524320 VIK524320 VSG524320 WCC524320 WLY524320 WVU524320 JI589856 TE589856 ADA589856 AMW589856 AWS589856 BGO589856 BQK589856 CAG589856 CKC589856 CTY589856 DDU589856 DNQ589856 DXM589856 EHI589856 ERE589856 FBA589856 FKW589856 FUS589856 GEO589856 GOK589856 GYG589856 HIC589856 HRY589856 IBU589856 ILQ589856 IVM589856 JFI589856 JPE589856 JZA589856 KIW589856 KSS589856 LCO589856 LMK589856 LWG589856 MGC589856 MPY589856 MZU589856 NJQ589856 NTM589856 ODI589856 ONE589856 OXA589856 PGW589856 PQS589856 QAO589856 QKK589856 QUG589856 REC589856 RNY589856 RXU589856 SHQ589856 SRM589856 TBI589856 TLE589856 TVA589856 UEW589856 UOS589856 UYO589856 VIK589856 VSG589856 WCC589856 WLY589856 WVU589856 JI655392 TE655392 ADA655392 AMW655392 AWS655392 BGO655392 BQK655392 CAG655392 CKC655392 CTY655392 DDU655392 DNQ655392 DXM655392 EHI655392 ERE655392 FBA655392 FKW655392 FUS655392 GEO655392 GOK655392 GYG655392 HIC655392 HRY655392 IBU655392 ILQ655392 IVM655392 JFI655392 JPE655392 JZA655392 KIW655392 KSS655392 LCO655392 LMK655392 LWG655392 MGC655392 MPY655392 MZU655392 NJQ655392 NTM655392 ODI655392 ONE655392 OXA655392 PGW655392 PQS655392 QAO655392 QKK655392 QUG655392 REC655392 RNY655392 RXU655392 SHQ655392 SRM655392 TBI655392 TLE655392 TVA655392 UEW655392 UOS655392 UYO655392 VIK655392 VSG655392 WCC655392 WLY655392 WVU655392 JI720928 TE720928 ADA720928 AMW720928 AWS720928 BGO720928 BQK720928 CAG720928 CKC720928 CTY720928 DDU720928 DNQ720928 DXM720928 EHI720928 ERE720928 FBA720928 FKW720928 FUS720928 GEO720928 GOK720928 GYG720928 HIC720928 HRY720928 IBU720928 ILQ720928 IVM720928 JFI720928 JPE720928 JZA720928 KIW720928 KSS720928 LCO720928 LMK720928 LWG720928 MGC720928 MPY720928 MZU720928 NJQ720928 NTM720928 ODI720928 ONE720928 OXA720928 PGW720928 PQS720928 QAO720928 QKK720928 QUG720928 REC720928 RNY720928 RXU720928 SHQ720928 SRM720928 TBI720928 TLE720928 TVA720928 UEW720928 UOS720928 UYO720928 VIK720928 VSG720928 WCC720928 WLY720928 WVU720928 JI786464 TE786464 ADA786464 AMW786464 AWS786464 BGO786464 BQK786464 CAG786464 CKC786464 CTY786464 DDU786464 DNQ786464 DXM786464 EHI786464 ERE786464 FBA786464 FKW786464 FUS786464 GEO786464 GOK786464 GYG786464 HIC786464 HRY786464 IBU786464 ILQ786464 IVM786464 JFI786464 JPE786464 JZA786464 KIW786464 KSS786464 LCO786464 LMK786464 LWG786464 MGC786464 MPY786464 MZU786464 NJQ786464 NTM786464 ODI786464 ONE786464 OXA786464 PGW786464 PQS786464 QAO786464 QKK786464 QUG786464 REC786464 RNY786464 RXU786464 SHQ786464 SRM786464 TBI786464 TLE786464 TVA786464 UEW786464 UOS786464 UYO786464 VIK786464 VSG786464 WCC786464 WLY786464 WVU786464 JI852000 TE852000 ADA852000 AMW852000 AWS852000 BGO852000 BQK852000 CAG852000 CKC852000 CTY852000 DDU852000 DNQ852000 DXM852000 EHI852000 ERE852000 FBA852000 FKW852000 FUS852000 GEO852000 GOK852000 GYG852000 HIC852000 HRY852000 IBU852000 ILQ852000 IVM852000 JFI852000 JPE852000 JZA852000 KIW852000 KSS852000 LCO852000 LMK852000 LWG852000 MGC852000 MPY852000 MZU852000 NJQ852000 NTM852000 ODI852000 ONE852000 OXA852000 PGW852000 PQS852000 QAO852000 QKK852000 QUG852000 REC852000 RNY852000 RXU852000 SHQ852000 SRM852000 TBI852000 TLE852000 TVA852000 UEW852000 UOS852000 UYO852000 VIK852000 VSG852000 WCC852000 WLY852000 WVU852000 JI917536 TE917536 ADA917536 AMW917536 AWS917536 BGO917536 BQK917536 CAG917536 CKC917536 CTY917536 DDU917536 DNQ917536 DXM917536 EHI917536 ERE917536 FBA917536 FKW917536 FUS917536 GEO917536 GOK917536 GYG917536 HIC917536 HRY917536 IBU917536 ILQ917536 IVM917536 JFI917536 JPE917536 JZA917536 KIW917536 KSS917536 LCO917536 LMK917536 LWG917536 MGC917536 MPY917536 MZU917536 NJQ917536 NTM917536 ODI917536 ONE917536 OXA917536 PGW917536 PQS917536 QAO917536 QKK917536 QUG917536 REC917536 RNY917536 RXU917536 SHQ917536 SRM917536 TBI917536 TLE917536 TVA917536 UEW917536 UOS917536 UYO917536 VIK917536 VSG917536 WCC917536 WLY917536 WVU917536 JI983072 TE983072 ADA983072 AMW983072 AWS983072 BGO983072 BQK983072 CAG983072 CKC983072 CTY983072 DDU983072 DNQ983072 DXM983072 EHI983072 ERE983072 FBA983072 FKW983072 FUS983072 GEO983072 GOK983072 GYG983072 HIC983072 HRY983072 IBU983072 ILQ983072 IVM983072 JFI983072 JPE983072 JZA983072 KIW983072 KSS983072 LCO983072 LMK983072 LWG983072 MGC983072 MPY983072 MZU983072 NJQ983072 NTM983072 ODI983072 ONE983072 OXA983072 PGW983072 PQS983072 QAO983072 QKK983072 QUG983072 REC983072 RNY983072 RXU983072 SHQ983072 SRM983072 TBI983072 TLE983072 TVA983072 UEW983072 UOS983072 UYO983072 VIK983072 VSG983072 WCC983072 WLY983072">
      <formula1>OFFSET(ListeRegions,68,MATCH(JA14,ListePays,0)-1,COUNTA(OFFSET(ListeRegions,,MATCH(JA14,ListePays,0)-1))-1)</formula1>
    </dataValidation>
    <dataValidation type="list" allowBlank="1" showInputMessage="1" showErrorMessage="1" sqref="WVU983071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formula1>OFFSET(ListeRegions,68,MATCH(JA14,ListePays,0)-1,COUNTA(OFFSET(ListeRegions,,MATCH(JA14,ListePays,0)-1))-1)</formula1>
    </dataValidation>
    <dataValidation type="list" allowBlank="1" showInputMessage="1" showErrorMessage="1" sqref="WVU983070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JI65566 TE65566 ADA65566 AMW65566 AWS65566 BGO65566 BQK65566 CAG65566 CKC65566 CTY65566 DDU65566 DNQ65566 DXM65566 EHI65566 ERE65566 FBA65566 FKW65566 FUS65566 GEO65566 GOK65566 GYG65566 HIC65566 HRY65566 IBU65566 ILQ65566 IVM65566 JFI65566 JPE65566 JZA65566 KIW65566 KSS65566 LCO65566 LMK65566 LWG65566 MGC65566 MPY65566 MZU65566 NJQ65566 NTM65566 ODI65566 ONE65566 OXA65566 PGW65566 PQS65566 QAO65566 QKK65566 QUG65566 REC65566 RNY65566 RXU65566 SHQ65566 SRM65566 TBI65566 TLE65566 TVA65566 UEW65566 UOS65566 UYO65566 VIK65566 VSG65566 WCC65566 WLY65566 WVU65566 JI131102 TE131102 ADA131102 AMW131102 AWS131102 BGO131102 BQK131102 CAG131102 CKC131102 CTY131102 DDU131102 DNQ131102 DXM131102 EHI131102 ERE131102 FBA131102 FKW131102 FUS131102 GEO131102 GOK131102 GYG131102 HIC131102 HRY131102 IBU131102 ILQ131102 IVM131102 JFI131102 JPE131102 JZA131102 KIW131102 KSS131102 LCO131102 LMK131102 LWG131102 MGC131102 MPY131102 MZU131102 NJQ131102 NTM131102 ODI131102 ONE131102 OXA131102 PGW131102 PQS131102 QAO131102 QKK131102 QUG131102 REC131102 RNY131102 RXU131102 SHQ131102 SRM131102 TBI131102 TLE131102 TVA131102 UEW131102 UOS131102 UYO131102 VIK131102 VSG131102 WCC131102 WLY131102 WVU131102 JI196638 TE196638 ADA196638 AMW196638 AWS196638 BGO196638 BQK196638 CAG196638 CKC196638 CTY196638 DDU196638 DNQ196638 DXM196638 EHI196638 ERE196638 FBA196638 FKW196638 FUS196638 GEO196638 GOK196638 GYG196638 HIC196638 HRY196638 IBU196638 ILQ196638 IVM196638 JFI196638 JPE196638 JZA196638 KIW196638 KSS196638 LCO196638 LMK196638 LWG196638 MGC196638 MPY196638 MZU196638 NJQ196638 NTM196638 ODI196638 ONE196638 OXA196638 PGW196638 PQS196638 QAO196638 QKK196638 QUG196638 REC196638 RNY196638 RXU196638 SHQ196638 SRM196638 TBI196638 TLE196638 TVA196638 UEW196638 UOS196638 UYO196638 VIK196638 VSG196638 WCC196638 WLY196638 WVU196638 JI262174 TE262174 ADA262174 AMW262174 AWS262174 BGO262174 BQK262174 CAG262174 CKC262174 CTY262174 DDU262174 DNQ262174 DXM262174 EHI262174 ERE262174 FBA262174 FKW262174 FUS262174 GEO262174 GOK262174 GYG262174 HIC262174 HRY262174 IBU262174 ILQ262174 IVM262174 JFI262174 JPE262174 JZA262174 KIW262174 KSS262174 LCO262174 LMK262174 LWG262174 MGC262174 MPY262174 MZU262174 NJQ262174 NTM262174 ODI262174 ONE262174 OXA262174 PGW262174 PQS262174 QAO262174 QKK262174 QUG262174 REC262174 RNY262174 RXU262174 SHQ262174 SRM262174 TBI262174 TLE262174 TVA262174 UEW262174 UOS262174 UYO262174 VIK262174 VSG262174 WCC262174 WLY262174 WVU262174 JI327710 TE327710 ADA327710 AMW327710 AWS327710 BGO327710 BQK327710 CAG327710 CKC327710 CTY327710 DDU327710 DNQ327710 DXM327710 EHI327710 ERE327710 FBA327710 FKW327710 FUS327710 GEO327710 GOK327710 GYG327710 HIC327710 HRY327710 IBU327710 ILQ327710 IVM327710 JFI327710 JPE327710 JZA327710 KIW327710 KSS327710 LCO327710 LMK327710 LWG327710 MGC327710 MPY327710 MZU327710 NJQ327710 NTM327710 ODI327710 ONE327710 OXA327710 PGW327710 PQS327710 QAO327710 QKK327710 QUG327710 REC327710 RNY327710 RXU327710 SHQ327710 SRM327710 TBI327710 TLE327710 TVA327710 UEW327710 UOS327710 UYO327710 VIK327710 VSG327710 WCC327710 WLY327710 WVU327710 JI393246 TE393246 ADA393246 AMW393246 AWS393246 BGO393246 BQK393246 CAG393246 CKC393246 CTY393246 DDU393246 DNQ393246 DXM393246 EHI393246 ERE393246 FBA393246 FKW393246 FUS393246 GEO393246 GOK393246 GYG393246 HIC393246 HRY393246 IBU393246 ILQ393246 IVM393246 JFI393246 JPE393246 JZA393246 KIW393246 KSS393246 LCO393246 LMK393246 LWG393246 MGC393246 MPY393246 MZU393246 NJQ393246 NTM393246 ODI393246 ONE393246 OXA393246 PGW393246 PQS393246 QAO393246 QKK393246 QUG393246 REC393246 RNY393246 RXU393246 SHQ393246 SRM393246 TBI393246 TLE393246 TVA393246 UEW393246 UOS393246 UYO393246 VIK393246 VSG393246 WCC393246 WLY393246 WVU393246 JI458782 TE458782 ADA458782 AMW458782 AWS458782 BGO458782 BQK458782 CAG458782 CKC458782 CTY458782 DDU458782 DNQ458782 DXM458782 EHI458782 ERE458782 FBA458782 FKW458782 FUS458782 GEO458782 GOK458782 GYG458782 HIC458782 HRY458782 IBU458782 ILQ458782 IVM458782 JFI458782 JPE458782 JZA458782 KIW458782 KSS458782 LCO458782 LMK458782 LWG458782 MGC458782 MPY458782 MZU458782 NJQ458782 NTM458782 ODI458782 ONE458782 OXA458782 PGW458782 PQS458782 QAO458782 QKK458782 QUG458782 REC458782 RNY458782 RXU458782 SHQ458782 SRM458782 TBI458782 TLE458782 TVA458782 UEW458782 UOS458782 UYO458782 VIK458782 VSG458782 WCC458782 WLY458782 WVU458782 JI524318 TE524318 ADA524318 AMW524318 AWS524318 BGO524318 BQK524318 CAG524318 CKC524318 CTY524318 DDU524318 DNQ524318 DXM524318 EHI524318 ERE524318 FBA524318 FKW524318 FUS524318 GEO524318 GOK524318 GYG524318 HIC524318 HRY524318 IBU524318 ILQ524318 IVM524318 JFI524318 JPE524318 JZA524318 KIW524318 KSS524318 LCO524318 LMK524318 LWG524318 MGC524318 MPY524318 MZU524318 NJQ524318 NTM524318 ODI524318 ONE524318 OXA524318 PGW524318 PQS524318 QAO524318 QKK524318 QUG524318 REC524318 RNY524318 RXU524318 SHQ524318 SRM524318 TBI524318 TLE524318 TVA524318 UEW524318 UOS524318 UYO524318 VIK524318 VSG524318 WCC524318 WLY524318 WVU524318 JI589854 TE589854 ADA589854 AMW589854 AWS589854 BGO589854 BQK589854 CAG589854 CKC589854 CTY589854 DDU589854 DNQ589854 DXM589854 EHI589854 ERE589854 FBA589854 FKW589854 FUS589854 GEO589854 GOK589854 GYG589854 HIC589854 HRY589854 IBU589854 ILQ589854 IVM589854 JFI589854 JPE589854 JZA589854 KIW589854 KSS589854 LCO589854 LMK589854 LWG589854 MGC589854 MPY589854 MZU589854 NJQ589854 NTM589854 ODI589854 ONE589854 OXA589854 PGW589854 PQS589854 QAO589854 QKK589854 QUG589854 REC589854 RNY589854 RXU589854 SHQ589854 SRM589854 TBI589854 TLE589854 TVA589854 UEW589854 UOS589854 UYO589854 VIK589854 VSG589854 WCC589854 WLY589854 WVU589854 JI655390 TE655390 ADA655390 AMW655390 AWS655390 BGO655390 BQK655390 CAG655390 CKC655390 CTY655390 DDU655390 DNQ655390 DXM655390 EHI655390 ERE655390 FBA655390 FKW655390 FUS655390 GEO655390 GOK655390 GYG655390 HIC655390 HRY655390 IBU655390 ILQ655390 IVM655390 JFI655390 JPE655390 JZA655390 KIW655390 KSS655390 LCO655390 LMK655390 LWG655390 MGC655390 MPY655390 MZU655390 NJQ655390 NTM655390 ODI655390 ONE655390 OXA655390 PGW655390 PQS655390 QAO655390 QKK655390 QUG655390 REC655390 RNY655390 RXU655390 SHQ655390 SRM655390 TBI655390 TLE655390 TVA655390 UEW655390 UOS655390 UYO655390 VIK655390 VSG655390 WCC655390 WLY655390 WVU655390 JI720926 TE720926 ADA720926 AMW720926 AWS720926 BGO720926 BQK720926 CAG720926 CKC720926 CTY720926 DDU720926 DNQ720926 DXM720926 EHI720926 ERE720926 FBA720926 FKW720926 FUS720926 GEO720926 GOK720926 GYG720926 HIC720926 HRY720926 IBU720926 ILQ720926 IVM720926 JFI720926 JPE720926 JZA720926 KIW720926 KSS720926 LCO720926 LMK720926 LWG720926 MGC720926 MPY720926 MZU720926 NJQ720926 NTM720926 ODI720926 ONE720926 OXA720926 PGW720926 PQS720926 QAO720926 QKK720926 QUG720926 REC720926 RNY720926 RXU720926 SHQ720926 SRM720926 TBI720926 TLE720926 TVA720926 UEW720926 UOS720926 UYO720926 VIK720926 VSG720926 WCC720926 WLY720926 WVU720926 JI786462 TE786462 ADA786462 AMW786462 AWS786462 BGO786462 BQK786462 CAG786462 CKC786462 CTY786462 DDU786462 DNQ786462 DXM786462 EHI786462 ERE786462 FBA786462 FKW786462 FUS786462 GEO786462 GOK786462 GYG786462 HIC786462 HRY786462 IBU786462 ILQ786462 IVM786462 JFI786462 JPE786462 JZA786462 KIW786462 KSS786462 LCO786462 LMK786462 LWG786462 MGC786462 MPY786462 MZU786462 NJQ786462 NTM786462 ODI786462 ONE786462 OXA786462 PGW786462 PQS786462 QAO786462 QKK786462 QUG786462 REC786462 RNY786462 RXU786462 SHQ786462 SRM786462 TBI786462 TLE786462 TVA786462 UEW786462 UOS786462 UYO786462 VIK786462 VSG786462 WCC786462 WLY786462 WVU786462 JI851998 TE851998 ADA851998 AMW851998 AWS851998 BGO851998 BQK851998 CAG851998 CKC851998 CTY851998 DDU851998 DNQ851998 DXM851998 EHI851998 ERE851998 FBA851998 FKW851998 FUS851998 GEO851998 GOK851998 GYG851998 HIC851998 HRY851998 IBU851998 ILQ851998 IVM851998 JFI851998 JPE851998 JZA851998 KIW851998 KSS851998 LCO851998 LMK851998 LWG851998 MGC851998 MPY851998 MZU851998 NJQ851998 NTM851998 ODI851998 ONE851998 OXA851998 PGW851998 PQS851998 QAO851998 QKK851998 QUG851998 REC851998 RNY851998 RXU851998 SHQ851998 SRM851998 TBI851998 TLE851998 TVA851998 UEW851998 UOS851998 UYO851998 VIK851998 VSG851998 WCC851998 WLY851998 WVU851998 JI917534 TE917534 ADA917534 AMW917534 AWS917534 BGO917534 BQK917534 CAG917534 CKC917534 CTY917534 DDU917534 DNQ917534 DXM917534 EHI917534 ERE917534 FBA917534 FKW917534 FUS917534 GEO917534 GOK917534 GYG917534 HIC917534 HRY917534 IBU917534 ILQ917534 IVM917534 JFI917534 JPE917534 JZA917534 KIW917534 KSS917534 LCO917534 LMK917534 LWG917534 MGC917534 MPY917534 MZU917534 NJQ917534 NTM917534 ODI917534 ONE917534 OXA917534 PGW917534 PQS917534 QAO917534 QKK917534 QUG917534 REC917534 RNY917534 RXU917534 SHQ917534 SRM917534 TBI917534 TLE917534 TVA917534 UEW917534 UOS917534 UYO917534 VIK917534 VSG917534 WCC917534 WLY917534 WVU917534 JI983070 TE983070 ADA983070 AMW983070 AWS983070 BGO983070 BQK983070 CAG983070 CKC983070 CTY983070 DDU983070 DNQ983070 DXM983070 EHI983070 ERE983070 FBA983070 FKW983070 FUS983070 GEO983070 GOK983070 GYG983070 HIC983070 HRY983070 IBU983070 ILQ983070 IVM983070 JFI983070 JPE983070 JZA983070 KIW983070 KSS983070 LCO983070 LMK983070 LWG983070 MGC983070 MPY983070 MZU983070 NJQ983070 NTM983070 ODI983070 ONE983070 OXA983070 PGW983070 PQS983070 QAO983070 QKK983070 QUG983070 REC983070 RNY983070 RXU983070 SHQ983070 SRM983070 TBI983070 TLE983070 TVA983070 UEW983070 UOS983070 UYO983070 VIK983070 VSG983070 WCC983070 WLY983070">
      <formula1>OFFSET(ListeRegions,68,MATCH(JA14,ListePays,0)-1,COUNTA(OFFSET(ListeRegions,,MATCH(JA14,ListePays,0)-1))-1)</formula1>
    </dataValidation>
    <dataValidation type="list" allowBlank="1" showInputMessage="1" showErrorMessage="1" sqref="WVU983069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formula1>OFFSET(ListeRegions,68,MATCH(JA14,ListePays,0)-1,COUNTA(OFFSET(ListeRegions,,MATCH(JA14,ListePays,0)-1))-1)</formula1>
    </dataValidation>
    <dataValidation type="list" allowBlank="1" showInputMessage="1" showErrorMessage="1" sqref="WVU983068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formula1>OFFSET(ListeRegions,68,MATCH(JA14,ListePays,0)-1,COUNTA(OFFSET(ListeRegions,,MATCH(JA14,ListePays,0)-1))-1)</formula1>
    </dataValidation>
    <dataValidation type="list" allowBlank="1" showInputMessage="1" showErrorMessage="1" sqref="WVU983067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formula1>OFFSET(ListeRegions,68,MATCH(JA14,ListePays,0)-1,COUNTA(OFFSET(ListeRegions,,MATCH(JA14,ListePays,0)-1))-1)</formula1>
    </dataValidation>
    <dataValidation type="list" allowBlank="1" showInputMessage="1" showErrorMessage="1" sqref="WVU983066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formula1>OFFSET(ListeRegions,68,MATCH(JA14,ListePays,0)-1,COUNTA(OFFSET(ListeRegions,,MATCH(JA14,ListePays,0)-1))-1)</formula1>
    </dataValidation>
    <dataValidation type="list" allowBlank="1" showInputMessage="1" showErrorMessage="1" sqref="WVU983065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formula1>OFFSET(ListeRegions,68,MATCH(JA14,ListePays,0)-1,COUNTA(OFFSET(ListeRegions,,MATCH(JA14,ListePays,0)-1))-1)</formula1>
    </dataValidation>
    <dataValidation type="list" allowBlank="1" showInputMessage="1" showErrorMessage="1" sqref="WVK983059:WVL983059 IY17:IZ17 SU17:SV17 ACQ17:ACR17 AMM17:AMN17 AWI17:AWJ17 BGE17:BGF17 BQA17:BQB17 BZW17:BZX17 CJS17:CJT17 CTO17:CTP17 DDK17:DDL17 DNG17:DNH17 DXC17:DXD17 EGY17:EGZ17 EQU17:EQV17 FAQ17:FAR17 FKM17:FKN17 FUI17:FUJ17 GEE17:GEF17 GOA17:GOB17 GXW17:GXX17 HHS17:HHT17 HRO17:HRP17 IBK17:IBL17 ILG17:ILH17 IVC17:IVD17 JEY17:JEZ17 JOU17:JOV17 JYQ17:JYR17 KIM17:KIN17 KSI17:KSJ17 LCE17:LCF17 LMA17:LMB17 LVW17:LVX17 MFS17:MFT17 MPO17:MPP17 MZK17:MZL17 NJG17:NJH17 NTC17:NTD17 OCY17:OCZ17 OMU17:OMV17 OWQ17:OWR17 PGM17:PGN17 PQI17:PQJ17 QAE17:QAF17 QKA17:QKB17 QTW17:QTX17 RDS17:RDT17 RNO17:RNP17 RXK17:RXL17 SHG17:SHH17 SRC17:SRD17 TAY17:TAZ17 TKU17:TKV17 TUQ17:TUR17 UEM17:UEN17 UOI17:UOJ17 UYE17:UYF17 VIA17:VIB17 VRW17:VRX17 WBS17:WBT17 WLO17:WLP17 WVK17:WVL17 D65555:E65555 IY65555:IZ65555 SU65555:SV65555 ACQ65555:ACR65555 AMM65555:AMN65555 AWI65555:AWJ65555 BGE65555:BGF65555 BQA65555:BQB65555 BZW65555:BZX65555 CJS65555:CJT65555 CTO65555:CTP65555 DDK65555:DDL65555 DNG65555:DNH65555 DXC65555:DXD65555 EGY65555:EGZ65555 EQU65555:EQV65555 FAQ65555:FAR65555 FKM65555:FKN65555 FUI65555:FUJ65555 GEE65555:GEF65555 GOA65555:GOB65555 GXW65555:GXX65555 HHS65555:HHT65555 HRO65555:HRP65555 IBK65555:IBL65555 ILG65555:ILH65555 IVC65555:IVD65555 JEY65555:JEZ65555 JOU65555:JOV65555 JYQ65555:JYR65555 KIM65555:KIN65555 KSI65555:KSJ65555 LCE65555:LCF65555 LMA65555:LMB65555 LVW65555:LVX65555 MFS65555:MFT65555 MPO65555:MPP65555 MZK65555:MZL65555 NJG65555:NJH65555 NTC65555:NTD65555 OCY65555:OCZ65555 OMU65555:OMV65555 OWQ65555:OWR65555 PGM65555:PGN65555 PQI65555:PQJ65555 QAE65555:QAF65555 QKA65555:QKB65555 QTW65555:QTX65555 RDS65555:RDT65555 RNO65555:RNP65555 RXK65555:RXL65555 SHG65555:SHH65555 SRC65555:SRD65555 TAY65555:TAZ65555 TKU65555:TKV65555 TUQ65555:TUR65555 UEM65555:UEN65555 UOI65555:UOJ65555 UYE65555:UYF65555 VIA65555:VIB65555 VRW65555:VRX65555 WBS65555:WBT65555 WLO65555:WLP65555 WVK65555:WVL65555 D131091:E131091 IY131091:IZ131091 SU131091:SV131091 ACQ131091:ACR131091 AMM131091:AMN131091 AWI131091:AWJ131091 BGE131091:BGF131091 BQA131091:BQB131091 BZW131091:BZX131091 CJS131091:CJT131091 CTO131091:CTP131091 DDK131091:DDL131091 DNG131091:DNH131091 DXC131091:DXD131091 EGY131091:EGZ131091 EQU131091:EQV131091 FAQ131091:FAR131091 FKM131091:FKN131091 FUI131091:FUJ131091 GEE131091:GEF131091 GOA131091:GOB131091 GXW131091:GXX131091 HHS131091:HHT131091 HRO131091:HRP131091 IBK131091:IBL131091 ILG131091:ILH131091 IVC131091:IVD131091 JEY131091:JEZ131091 JOU131091:JOV131091 JYQ131091:JYR131091 KIM131091:KIN131091 KSI131091:KSJ131091 LCE131091:LCF131091 LMA131091:LMB131091 LVW131091:LVX131091 MFS131091:MFT131091 MPO131091:MPP131091 MZK131091:MZL131091 NJG131091:NJH131091 NTC131091:NTD131091 OCY131091:OCZ131091 OMU131091:OMV131091 OWQ131091:OWR131091 PGM131091:PGN131091 PQI131091:PQJ131091 QAE131091:QAF131091 QKA131091:QKB131091 QTW131091:QTX131091 RDS131091:RDT131091 RNO131091:RNP131091 RXK131091:RXL131091 SHG131091:SHH131091 SRC131091:SRD131091 TAY131091:TAZ131091 TKU131091:TKV131091 TUQ131091:TUR131091 UEM131091:UEN131091 UOI131091:UOJ131091 UYE131091:UYF131091 VIA131091:VIB131091 VRW131091:VRX131091 WBS131091:WBT131091 WLO131091:WLP131091 WVK131091:WVL131091 D196627:E196627 IY196627:IZ196627 SU196627:SV196627 ACQ196627:ACR196627 AMM196627:AMN196627 AWI196627:AWJ196627 BGE196627:BGF196627 BQA196627:BQB196627 BZW196627:BZX196627 CJS196627:CJT196627 CTO196627:CTP196627 DDK196627:DDL196627 DNG196627:DNH196627 DXC196627:DXD196627 EGY196627:EGZ196627 EQU196627:EQV196627 FAQ196627:FAR196627 FKM196627:FKN196627 FUI196627:FUJ196627 GEE196627:GEF196627 GOA196627:GOB196627 GXW196627:GXX196627 HHS196627:HHT196627 HRO196627:HRP196627 IBK196627:IBL196627 ILG196627:ILH196627 IVC196627:IVD196627 JEY196627:JEZ196627 JOU196627:JOV196627 JYQ196627:JYR196627 KIM196627:KIN196627 KSI196627:KSJ196627 LCE196627:LCF196627 LMA196627:LMB196627 LVW196627:LVX196627 MFS196627:MFT196627 MPO196627:MPP196627 MZK196627:MZL196627 NJG196627:NJH196627 NTC196627:NTD196627 OCY196627:OCZ196627 OMU196627:OMV196627 OWQ196627:OWR196627 PGM196627:PGN196627 PQI196627:PQJ196627 QAE196627:QAF196627 QKA196627:QKB196627 QTW196627:QTX196627 RDS196627:RDT196627 RNO196627:RNP196627 RXK196627:RXL196627 SHG196627:SHH196627 SRC196627:SRD196627 TAY196627:TAZ196627 TKU196627:TKV196627 TUQ196627:TUR196627 UEM196627:UEN196627 UOI196627:UOJ196627 UYE196627:UYF196627 VIA196627:VIB196627 VRW196627:VRX196627 WBS196627:WBT196627 WLO196627:WLP196627 WVK196627:WVL196627 D262163:E262163 IY262163:IZ262163 SU262163:SV262163 ACQ262163:ACR262163 AMM262163:AMN262163 AWI262163:AWJ262163 BGE262163:BGF262163 BQA262163:BQB262163 BZW262163:BZX262163 CJS262163:CJT262163 CTO262163:CTP262163 DDK262163:DDL262163 DNG262163:DNH262163 DXC262163:DXD262163 EGY262163:EGZ262163 EQU262163:EQV262163 FAQ262163:FAR262163 FKM262163:FKN262163 FUI262163:FUJ262163 GEE262163:GEF262163 GOA262163:GOB262163 GXW262163:GXX262163 HHS262163:HHT262163 HRO262163:HRP262163 IBK262163:IBL262163 ILG262163:ILH262163 IVC262163:IVD262163 JEY262163:JEZ262163 JOU262163:JOV262163 JYQ262163:JYR262163 KIM262163:KIN262163 KSI262163:KSJ262163 LCE262163:LCF262163 LMA262163:LMB262163 LVW262163:LVX262163 MFS262163:MFT262163 MPO262163:MPP262163 MZK262163:MZL262163 NJG262163:NJH262163 NTC262163:NTD262163 OCY262163:OCZ262163 OMU262163:OMV262163 OWQ262163:OWR262163 PGM262163:PGN262163 PQI262163:PQJ262163 QAE262163:QAF262163 QKA262163:QKB262163 QTW262163:QTX262163 RDS262163:RDT262163 RNO262163:RNP262163 RXK262163:RXL262163 SHG262163:SHH262163 SRC262163:SRD262163 TAY262163:TAZ262163 TKU262163:TKV262163 TUQ262163:TUR262163 UEM262163:UEN262163 UOI262163:UOJ262163 UYE262163:UYF262163 VIA262163:VIB262163 VRW262163:VRX262163 WBS262163:WBT262163 WLO262163:WLP262163 WVK262163:WVL262163 D327699:E327699 IY327699:IZ327699 SU327699:SV327699 ACQ327699:ACR327699 AMM327699:AMN327699 AWI327699:AWJ327699 BGE327699:BGF327699 BQA327699:BQB327699 BZW327699:BZX327699 CJS327699:CJT327699 CTO327699:CTP327699 DDK327699:DDL327699 DNG327699:DNH327699 DXC327699:DXD327699 EGY327699:EGZ327699 EQU327699:EQV327699 FAQ327699:FAR327699 FKM327699:FKN327699 FUI327699:FUJ327699 GEE327699:GEF327699 GOA327699:GOB327699 GXW327699:GXX327699 HHS327699:HHT327699 HRO327699:HRP327699 IBK327699:IBL327699 ILG327699:ILH327699 IVC327699:IVD327699 JEY327699:JEZ327699 JOU327699:JOV327699 JYQ327699:JYR327699 KIM327699:KIN327699 KSI327699:KSJ327699 LCE327699:LCF327699 LMA327699:LMB327699 LVW327699:LVX327699 MFS327699:MFT327699 MPO327699:MPP327699 MZK327699:MZL327699 NJG327699:NJH327699 NTC327699:NTD327699 OCY327699:OCZ327699 OMU327699:OMV327699 OWQ327699:OWR327699 PGM327699:PGN327699 PQI327699:PQJ327699 QAE327699:QAF327699 QKA327699:QKB327699 QTW327699:QTX327699 RDS327699:RDT327699 RNO327699:RNP327699 RXK327699:RXL327699 SHG327699:SHH327699 SRC327699:SRD327699 TAY327699:TAZ327699 TKU327699:TKV327699 TUQ327699:TUR327699 UEM327699:UEN327699 UOI327699:UOJ327699 UYE327699:UYF327699 VIA327699:VIB327699 VRW327699:VRX327699 WBS327699:WBT327699 WLO327699:WLP327699 WVK327699:WVL327699 D393235:E393235 IY393235:IZ393235 SU393235:SV393235 ACQ393235:ACR393235 AMM393235:AMN393235 AWI393235:AWJ393235 BGE393235:BGF393235 BQA393235:BQB393235 BZW393235:BZX393235 CJS393235:CJT393235 CTO393235:CTP393235 DDK393235:DDL393235 DNG393235:DNH393235 DXC393235:DXD393235 EGY393235:EGZ393235 EQU393235:EQV393235 FAQ393235:FAR393235 FKM393235:FKN393235 FUI393235:FUJ393235 GEE393235:GEF393235 GOA393235:GOB393235 GXW393235:GXX393235 HHS393235:HHT393235 HRO393235:HRP393235 IBK393235:IBL393235 ILG393235:ILH393235 IVC393235:IVD393235 JEY393235:JEZ393235 JOU393235:JOV393235 JYQ393235:JYR393235 KIM393235:KIN393235 KSI393235:KSJ393235 LCE393235:LCF393235 LMA393235:LMB393235 LVW393235:LVX393235 MFS393235:MFT393235 MPO393235:MPP393235 MZK393235:MZL393235 NJG393235:NJH393235 NTC393235:NTD393235 OCY393235:OCZ393235 OMU393235:OMV393235 OWQ393235:OWR393235 PGM393235:PGN393235 PQI393235:PQJ393235 QAE393235:QAF393235 QKA393235:QKB393235 QTW393235:QTX393235 RDS393235:RDT393235 RNO393235:RNP393235 RXK393235:RXL393235 SHG393235:SHH393235 SRC393235:SRD393235 TAY393235:TAZ393235 TKU393235:TKV393235 TUQ393235:TUR393235 UEM393235:UEN393235 UOI393235:UOJ393235 UYE393235:UYF393235 VIA393235:VIB393235 VRW393235:VRX393235 WBS393235:WBT393235 WLO393235:WLP393235 WVK393235:WVL393235 D458771:E458771 IY458771:IZ458771 SU458771:SV458771 ACQ458771:ACR458771 AMM458771:AMN458771 AWI458771:AWJ458771 BGE458771:BGF458771 BQA458771:BQB458771 BZW458771:BZX458771 CJS458771:CJT458771 CTO458771:CTP458771 DDK458771:DDL458771 DNG458771:DNH458771 DXC458771:DXD458771 EGY458771:EGZ458771 EQU458771:EQV458771 FAQ458771:FAR458771 FKM458771:FKN458771 FUI458771:FUJ458771 GEE458771:GEF458771 GOA458771:GOB458771 GXW458771:GXX458771 HHS458771:HHT458771 HRO458771:HRP458771 IBK458771:IBL458771 ILG458771:ILH458771 IVC458771:IVD458771 JEY458771:JEZ458771 JOU458771:JOV458771 JYQ458771:JYR458771 KIM458771:KIN458771 KSI458771:KSJ458771 LCE458771:LCF458771 LMA458771:LMB458771 LVW458771:LVX458771 MFS458771:MFT458771 MPO458771:MPP458771 MZK458771:MZL458771 NJG458771:NJH458771 NTC458771:NTD458771 OCY458771:OCZ458771 OMU458771:OMV458771 OWQ458771:OWR458771 PGM458771:PGN458771 PQI458771:PQJ458771 QAE458771:QAF458771 QKA458771:QKB458771 QTW458771:QTX458771 RDS458771:RDT458771 RNO458771:RNP458771 RXK458771:RXL458771 SHG458771:SHH458771 SRC458771:SRD458771 TAY458771:TAZ458771 TKU458771:TKV458771 TUQ458771:TUR458771 UEM458771:UEN458771 UOI458771:UOJ458771 UYE458771:UYF458771 VIA458771:VIB458771 VRW458771:VRX458771 WBS458771:WBT458771 WLO458771:WLP458771 WVK458771:WVL458771 D524307:E524307 IY524307:IZ524307 SU524307:SV524307 ACQ524307:ACR524307 AMM524307:AMN524307 AWI524307:AWJ524307 BGE524307:BGF524307 BQA524307:BQB524307 BZW524307:BZX524307 CJS524307:CJT524307 CTO524307:CTP524307 DDK524307:DDL524307 DNG524307:DNH524307 DXC524307:DXD524307 EGY524307:EGZ524307 EQU524307:EQV524307 FAQ524307:FAR524307 FKM524307:FKN524307 FUI524307:FUJ524307 GEE524307:GEF524307 GOA524307:GOB524307 GXW524307:GXX524307 HHS524307:HHT524307 HRO524307:HRP524307 IBK524307:IBL524307 ILG524307:ILH524307 IVC524307:IVD524307 JEY524307:JEZ524307 JOU524307:JOV524307 JYQ524307:JYR524307 KIM524307:KIN524307 KSI524307:KSJ524307 LCE524307:LCF524307 LMA524307:LMB524307 LVW524307:LVX524307 MFS524307:MFT524307 MPO524307:MPP524307 MZK524307:MZL524307 NJG524307:NJH524307 NTC524307:NTD524307 OCY524307:OCZ524307 OMU524307:OMV524307 OWQ524307:OWR524307 PGM524307:PGN524307 PQI524307:PQJ524307 QAE524307:QAF524307 QKA524307:QKB524307 QTW524307:QTX524307 RDS524307:RDT524307 RNO524307:RNP524307 RXK524307:RXL524307 SHG524307:SHH524307 SRC524307:SRD524307 TAY524307:TAZ524307 TKU524307:TKV524307 TUQ524307:TUR524307 UEM524307:UEN524307 UOI524307:UOJ524307 UYE524307:UYF524307 VIA524307:VIB524307 VRW524307:VRX524307 WBS524307:WBT524307 WLO524307:WLP524307 WVK524307:WVL524307 D589843:E589843 IY589843:IZ589843 SU589843:SV589843 ACQ589843:ACR589843 AMM589843:AMN589843 AWI589843:AWJ589843 BGE589843:BGF589843 BQA589843:BQB589843 BZW589843:BZX589843 CJS589843:CJT589843 CTO589843:CTP589843 DDK589843:DDL589843 DNG589843:DNH589843 DXC589843:DXD589843 EGY589843:EGZ589843 EQU589843:EQV589843 FAQ589843:FAR589843 FKM589843:FKN589843 FUI589843:FUJ589843 GEE589843:GEF589843 GOA589843:GOB589843 GXW589843:GXX589843 HHS589843:HHT589843 HRO589843:HRP589843 IBK589843:IBL589843 ILG589843:ILH589843 IVC589843:IVD589843 JEY589843:JEZ589843 JOU589843:JOV589843 JYQ589843:JYR589843 KIM589843:KIN589843 KSI589843:KSJ589843 LCE589843:LCF589843 LMA589843:LMB589843 LVW589843:LVX589843 MFS589843:MFT589843 MPO589843:MPP589843 MZK589843:MZL589843 NJG589843:NJH589843 NTC589843:NTD589843 OCY589843:OCZ589843 OMU589843:OMV589843 OWQ589843:OWR589843 PGM589843:PGN589843 PQI589843:PQJ589843 QAE589843:QAF589843 QKA589843:QKB589843 QTW589843:QTX589843 RDS589843:RDT589843 RNO589843:RNP589843 RXK589843:RXL589843 SHG589843:SHH589843 SRC589843:SRD589843 TAY589843:TAZ589843 TKU589843:TKV589843 TUQ589843:TUR589843 UEM589843:UEN589843 UOI589843:UOJ589843 UYE589843:UYF589843 VIA589843:VIB589843 VRW589843:VRX589843 WBS589843:WBT589843 WLO589843:WLP589843 WVK589843:WVL589843 D655379:E655379 IY655379:IZ655379 SU655379:SV655379 ACQ655379:ACR655379 AMM655379:AMN655379 AWI655379:AWJ655379 BGE655379:BGF655379 BQA655379:BQB655379 BZW655379:BZX655379 CJS655379:CJT655379 CTO655379:CTP655379 DDK655379:DDL655379 DNG655379:DNH655379 DXC655379:DXD655379 EGY655379:EGZ655379 EQU655379:EQV655379 FAQ655379:FAR655379 FKM655379:FKN655379 FUI655379:FUJ655379 GEE655379:GEF655379 GOA655379:GOB655379 GXW655379:GXX655379 HHS655379:HHT655379 HRO655379:HRP655379 IBK655379:IBL655379 ILG655379:ILH655379 IVC655379:IVD655379 JEY655379:JEZ655379 JOU655379:JOV655379 JYQ655379:JYR655379 KIM655379:KIN655379 KSI655379:KSJ655379 LCE655379:LCF655379 LMA655379:LMB655379 LVW655379:LVX655379 MFS655379:MFT655379 MPO655379:MPP655379 MZK655379:MZL655379 NJG655379:NJH655379 NTC655379:NTD655379 OCY655379:OCZ655379 OMU655379:OMV655379 OWQ655379:OWR655379 PGM655379:PGN655379 PQI655379:PQJ655379 QAE655379:QAF655379 QKA655379:QKB655379 QTW655379:QTX655379 RDS655379:RDT655379 RNO655379:RNP655379 RXK655379:RXL655379 SHG655379:SHH655379 SRC655379:SRD655379 TAY655379:TAZ655379 TKU655379:TKV655379 TUQ655379:TUR655379 UEM655379:UEN655379 UOI655379:UOJ655379 UYE655379:UYF655379 VIA655379:VIB655379 VRW655379:VRX655379 WBS655379:WBT655379 WLO655379:WLP655379 WVK655379:WVL655379 D720915:E720915 IY720915:IZ720915 SU720915:SV720915 ACQ720915:ACR720915 AMM720915:AMN720915 AWI720915:AWJ720915 BGE720915:BGF720915 BQA720915:BQB720915 BZW720915:BZX720915 CJS720915:CJT720915 CTO720915:CTP720915 DDK720915:DDL720915 DNG720915:DNH720915 DXC720915:DXD720915 EGY720915:EGZ720915 EQU720915:EQV720915 FAQ720915:FAR720915 FKM720915:FKN720915 FUI720915:FUJ720915 GEE720915:GEF720915 GOA720915:GOB720915 GXW720915:GXX720915 HHS720915:HHT720915 HRO720915:HRP720915 IBK720915:IBL720915 ILG720915:ILH720915 IVC720915:IVD720915 JEY720915:JEZ720915 JOU720915:JOV720915 JYQ720915:JYR720915 KIM720915:KIN720915 KSI720915:KSJ720915 LCE720915:LCF720915 LMA720915:LMB720915 LVW720915:LVX720915 MFS720915:MFT720915 MPO720915:MPP720915 MZK720915:MZL720915 NJG720915:NJH720915 NTC720915:NTD720915 OCY720915:OCZ720915 OMU720915:OMV720915 OWQ720915:OWR720915 PGM720915:PGN720915 PQI720915:PQJ720915 QAE720915:QAF720915 QKA720915:QKB720915 QTW720915:QTX720915 RDS720915:RDT720915 RNO720915:RNP720915 RXK720915:RXL720915 SHG720915:SHH720915 SRC720915:SRD720915 TAY720915:TAZ720915 TKU720915:TKV720915 TUQ720915:TUR720915 UEM720915:UEN720915 UOI720915:UOJ720915 UYE720915:UYF720915 VIA720915:VIB720915 VRW720915:VRX720915 WBS720915:WBT720915 WLO720915:WLP720915 WVK720915:WVL720915 D786451:E786451 IY786451:IZ786451 SU786451:SV786451 ACQ786451:ACR786451 AMM786451:AMN786451 AWI786451:AWJ786451 BGE786451:BGF786451 BQA786451:BQB786451 BZW786451:BZX786451 CJS786451:CJT786451 CTO786451:CTP786451 DDK786451:DDL786451 DNG786451:DNH786451 DXC786451:DXD786451 EGY786451:EGZ786451 EQU786451:EQV786451 FAQ786451:FAR786451 FKM786451:FKN786451 FUI786451:FUJ786451 GEE786451:GEF786451 GOA786451:GOB786451 GXW786451:GXX786451 HHS786451:HHT786451 HRO786451:HRP786451 IBK786451:IBL786451 ILG786451:ILH786451 IVC786451:IVD786451 JEY786451:JEZ786451 JOU786451:JOV786451 JYQ786451:JYR786451 KIM786451:KIN786451 KSI786451:KSJ786451 LCE786451:LCF786451 LMA786451:LMB786451 LVW786451:LVX786451 MFS786451:MFT786451 MPO786451:MPP786451 MZK786451:MZL786451 NJG786451:NJH786451 NTC786451:NTD786451 OCY786451:OCZ786451 OMU786451:OMV786451 OWQ786451:OWR786451 PGM786451:PGN786451 PQI786451:PQJ786451 QAE786451:QAF786451 QKA786451:QKB786451 QTW786451:QTX786451 RDS786451:RDT786451 RNO786451:RNP786451 RXK786451:RXL786451 SHG786451:SHH786451 SRC786451:SRD786451 TAY786451:TAZ786451 TKU786451:TKV786451 TUQ786451:TUR786451 UEM786451:UEN786451 UOI786451:UOJ786451 UYE786451:UYF786451 VIA786451:VIB786451 VRW786451:VRX786451 WBS786451:WBT786451 WLO786451:WLP786451 WVK786451:WVL786451 D851987:E851987 IY851987:IZ851987 SU851987:SV851987 ACQ851987:ACR851987 AMM851987:AMN851987 AWI851987:AWJ851987 BGE851987:BGF851987 BQA851987:BQB851987 BZW851987:BZX851987 CJS851987:CJT851987 CTO851987:CTP851987 DDK851987:DDL851987 DNG851987:DNH851987 DXC851987:DXD851987 EGY851987:EGZ851987 EQU851987:EQV851987 FAQ851987:FAR851987 FKM851987:FKN851987 FUI851987:FUJ851987 GEE851987:GEF851987 GOA851987:GOB851987 GXW851987:GXX851987 HHS851987:HHT851987 HRO851987:HRP851987 IBK851987:IBL851987 ILG851987:ILH851987 IVC851987:IVD851987 JEY851987:JEZ851987 JOU851987:JOV851987 JYQ851987:JYR851987 KIM851987:KIN851987 KSI851987:KSJ851987 LCE851987:LCF851987 LMA851987:LMB851987 LVW851987:LVX851987 MFS851987:MFT851987 MPO851987:MPP851987 MZK851987:MZL851987 NJG851987:NJH851987 NTC851987:NTD851987 OCY851987:OCZ851987 OMU851987:OMV851987 OWQ851987:OWR851987 PGM851987:PGN851987 PQI851987:PQJ851987 QAE851987:QAF851987 QKA851987:QKB851987 QTW851987:QTX851987 RDS851987:RDT851987 RNO851987:RNP851987 RXK851987:RXL851987 SHG851987:SHH851987 SRC851987:SRD851987 TAY851987:TAZ851987 TKU851987:TKV851987 TUQ851987:TUR851987 UEM851987:UEN851987 UOI851987:UOJ851987 UYE851987:UYF851987 VIA851987:VIB851987 VRW851987:VRX851987 WBS851987:WBT851987 WLO851987:WLP851987 WVK851987:WVL851987 D917523:E917523 IY917523:IZ917523 SU917523:SV917523 ACQ917523:ACR917523 AMM917523:AMN917523 AWI917523:AWJ917523 BGE917523:BGF917523 BQA917523:BQB917523 BZW917523:BZX917523 CJS917523:CJT917523 CTO917523:CTP917523 DDK917523:DDL917523 DNG917523:DNH917523 DXC917523:DXD917523 EGY917523:EGZ917523 EQU917523:EQV917523 FAQ917523:FAR917523 FKM917523:FKN917523 FUI917523:FUJ917523 GEE917523:GEF917523 GOA917523:GOB917523 GXW917523:GXX917523 HHS917523:HHT917523 HRO917523:HRP917523 IBK917523:IBL917523 ILG917523:ILH917523 IVC917523:IVD917523 JEY917523:JEZ917523 JOU917523:JOV917523 JYQ917523:JYR917523 KIM917523:KIN917523 KSI917523:KSJ917523 LCE917523:LCF917523 LMA917523:LMB917523 LVW917523:LVX917523 MFS917523:MFT917523 MPO917523:MPP917523 MZK917523:MZL917523 NJG917523:NJH917523 NTC917523:NTD917523 OCY917523:OCZ917523 OMU917523:OMV917523 OWQ917523:OWR917523 PGM917523:PGN917523 PQI917523:PQJ917523 QAE917523:QAF917523 QKA917523:QKB917523 QTW917523:QTX917523 RDS917523:RDT917523 RNO917523:RNP917523 RXK917523:RXL917523 SHG917523:SHH917523 SRC917523:SRD917523 TAY917523:TAZ917523 TKU917523:TKV917523 TUQ917523:TUR917523 UEM917523:UEN917523 UOI917523:UOJ917523 UYE917523:UYF917523 VIA917523:VIB917523 VRW917523:VRX917523 WBS917523:WBT917523 WLO917523:WLP917523 WVK917523:WVL917523 D983059:E983059 IY983059:IZ983059 SU983059:SV983059 ACQ983059:ACR983059 AMM983059:AMN983059 AWI983059:AWJ983059 BGE983059:BGF983059 BQA983059:BQB983059 BZW983059:BZX983059 CJS983059:CJT983059 CTO983059:CTP983059 DDK983059:DDL983059 DNG983059:DNH983059 DXC983059:DXD983059 EGY983059:EGZ983059 EQU983059:EQV983059 FAQ983059:FAR983059 FKM983059:FKN983059 FUI983059:FUJ983059 GEE983059:GEF983059 GOA983059:GOB983059 GXW983059:GXX983059 HHS983059:HHT983059 HRO983059:HRP983059 IBK983059:IBL983059 ILG983059:ILH983059 IVC983059:IVD983059 JEY983059:JEZ983059 JOU983059:JOV983059 JYQ983059:JYR983059 KIM983059:KIN983059 KSI983059:KSJ983059 LCE983059:LCF983059 LMA983059:LMB983059 LVW983059:LVX983059 MFS983059:MFT983059 MPO983059:MPP983059 MZK983059:MZL983059 NJG983059:NJH983059 NTC983059:NTD983059 OCY983059:OCZ983059 OMU983059:OMV983059 OWQ983059:OWR983059 PGM983059:PGN983059 PQI983059:PQJ983059 QAE983059:QAF983059 QKA983059:QKB983059 QTW983059:QTX983059 RDS983059:RDT983059 RNO983059:RNP983059 RXK983059:RXL983059 SHG983059:SHH983059 SRC983059:SRD983059 TAY983059:TAZ983059 TKU983059:TKV983059 TUQ983059:TUR983059 UEM983059:UEN983059 UOI983059:UOJ983059 UYE983059:UYF983059 VIA983059:VIB983059 VRW983059:VRX983059 WBS983059:WBT983059 WLO983059:WLP983059">
      <formula1>OFFSET(ListeRegions,68,MATCH(F14,ListePays,0)-1,COUNTA(OFFSET(ListeRegions,,MATCH(F14,ListePays,0)-1))-1)</formula1>
    </dataValidation>
    <dataValidation type="list" allowBlank="1" showInputMessage="1" showErrorMessage="1" sqref="D17:E17">
      <formula1>OFFSET(ListeRegions,1,MATCH(F14,ListePays,0)-1,COUNTA(OFFSET(ListeRegions,,MATCH(F14,ListePays,0)-1))-1)</formula1>
    </dataValidation>
    <dataValidation type="list" allowBlank="1" showInputMessage="1" showErrorMessage="1" sqref="M23">
      <formula1>OFFSET(ListeRegions,1,MATCH(F14,ListePays,0)-1,COUNTA(OFFSET(ListeRegions,,MATCH(F14,ListePays,0)-1))-1)</formula1>
    </dataValidation>
    <dataValidation type="list" allowBlank="1" showInputMessage="1" showErrorMessage="1" sqref="JA17 WVM983059 WLQ983059 WBU983059 VRY983059 VIC983059 UYG983059 UOK983059 UEO983059 TUS983059 TKW983059 TBA983059 SRE983059 SHI983059 RXM983059 RNQ983059 RDU983059 QTY983059 QKC983059 QAG983059 PQK983059 PGO983059 OWS983059 OMW983059 ODA983059 NTE983059 NJI983059 MZM983059 MPQ983059 MFU983059 LVY983059 LMC983059 LCG983059 KSK983059 KIO983059 JYS983059 JOW983059 JFA983059 IVE983059 ILI983059 IBM983059 HRQ983059 HHU983059 GXY983059 GOC983059 GEG983059 FUK983059 FKO983059 FAS983059 EQW983059 EHA983059 DXE983059 DNI983059 DDM983059 CTQ983059 CJU983059 BZY983059 BQC983059 BGG983059 AWK983059 AMO983059 ACS983059 SW983059 JA983059 F983059 WVM917523 WLQ917523 WBU917523 VRY917523 VIC917523 UYG917523 UOK917523 UEO917523 TUS917523 TKW917523 TBA917523 SRE917523 SHI917523 RXM917523 RNQ917523 RDU917523 QTY917523 QKC917523 QAG917523 PQK917523 PGO917523 OWS917523 OMW917523 ODA917523 NTE917523 NJI917523 MZM917523 MPQ917523 MFU917523 LVY917523 LMC917523 LCG917523 KSK917523 KIO917523 JYS917523 JOW917523 JFA917523 IVE917523 ILI917523 IBM917523 HRQ917523 HHU917523 GXY917523 GOC917523 GEG917523 FUK917523 FKO917523 FAS917523 EQW917523 EHA917523 DXE917523 DNI917523 DDM917523 CTQ917523 CJU917523 BZY917523 BQC917523 BGG917523 AWK917523 AMO917523 ACS917523 SW917523 JA917523 F917523 WVM851987 WLQ851987 WBU851987 VRY851987 VIC851987 UYG851987 UOK851987 UEO851987 TUS851987 TKW851987 TBA851987 SRE851987 SHI851987 RXM851987 RNQ851987 RDU851987 QTY851987 QKC851987 QAG851987 PQK851987 PGO851987 OWS851987 OMW851987 ODA851987 NTE851987 NJI851987 MZM851987 MPQ851987 MFU851987 LVY851987 LMC851987 LCG851987 KSK851987 KIO851987 JYS851987 JOW851987 JFA851987 IVE851987 ILI851987 IBM851987 HRQ851987 HHU851987 GXY851987 GOC851987 GEG851987 FUK851987 FKO851987 FAS851987 EQW851987 EHA851987 DXE851987 DNI851987 DDM851987 CTQ851987 CJU851987 BZY851987 BQC851987 BGG851987 AWK851987 AMO851987 ACS851987 SW851987 JA851987 F851987 WVM786451 WLQ786451 WBU786451 VRY786451 VIC786451 UYG786451 UOK786451 UEO786451 TUS786451 TKW786451 TBA786451 SRE786451 SHI786451 RXM786451 RNQ786451 RDU786451 QTY786451 QKC786451 QAG786451 PQK786451 PGO786451 OWS786451 OMW786451 ODA786451 NTE786451 NJI786451 MZM786451 MPQ786451 MFU786451 LVY786451 LMC786451 LCG786451 KSK786451 KIO786451 JYS786451 JOW786451 JFA786451 IVE786451 ILI786451 IBM786451 HRQ786451 HHU786451 GXY786451 GOC786451 GEG786451 FUK786451 FKO786451 FAS786451 EQW786451 EHA786451 DXE786451 DNI786451 DDM786451 CTQ786451 CJU786451 BZY786451 BQC786451 BGG786451 AWK786451 AMO786451 ACS786451 SW786451 JA786451 F786451 WVM720915 WLQ720915 WBU720915 VRY720915 VIC720915 UYG720915 UOK720915 UEO720915 TUS720915 TKW720915 TBA720915 SRE720915 SHI720915 RXM720915 RNQ720915 RDU720915 QTY720915 QKC720915 QAG720915 PQK720915 PGO720915 OWS720915 OMW720915 ODA720915 NTE720915 NJI720915 MZM720915 MPQ720915 MFU720915 LVY720915 LMC720915 LCG720915 KSK720915 KIO720915 JYS720915 JOW720915 JFA720915 IVE720915 ILI720915 IBM720915 HRQ720915 HHU720915 GXY720915 GOC720915 GEG720915 FUK720915 FKO720915 FAS720915 EQW720915 EHA720915 DXE720915 DNI720915 DDM720915 CTQ720915 CJU720915 BZY720915 BQC720915 BGG720915 AWK720915 AMO720915 ACS720915 SW720915 JA720915 F720915 WVM655379 WLQ655379 WBU655379 VRY655379 VIC655379 UYG655379 UOK655379 UEO655379 TUS655379 TKW655379 TBA655379 SRE655379 SHI655379 RXM655379 RNQ655379 RDU655379 QTY655379 QKC655379 QAG655379 PQK655379 PGO655379 OWS655379 OMW655379 ODA655379 NTE655379 NJI655379 MZM655379 MPQ655379 MFU655379 LVY655379 LMC655379 LCG655379 KSK655379 KIO655379 JYS655379 JOW655379 JFA655379 IVE655379 ILI655379 IBM655379 HRQ655379 HHU655379 GXY655379 GOC655379 GEG655379 FUK655379 FKO655379 FAS655379 EQW655379 EHA655379 DXE655379 DNI655379 DDM655379 CTQ655379 CJU655379 BZY655379 BQC655379 BGG655379 AWK655379 AMO655379 ACS655379 SW655379 JA655379 F655379 WVM589843 WLQ589843 WBU589843 VRY589843 VIC589843 UYG589843 UOK589843 UEO589843 TUS589843 TKW589843 TBA589843 SRE589843 SHI589843 RXM589843 RNQ589843 RDU589843 QTY589843 QKC589843 QAG589843 PQK589843 PGO589843 OWS589843 OMW589843 ODA589843 NTE589843 NJI589843 MZM589843 MPQ589843 MFU589843 LVY589843 LMC589843 LCG589843 KSK589843 KIO589843 JYS589843 JOW589843 JFA589843 IVE589843 ILI589843 IBM589843 HRQ589843 HHU589843 GXY589843 GOC589843 GEG589843 FUK589843 FKO589843 FAS589843 EQW589843 EHA589843 DXE589843 DNI589843 DDM589843 CTQ589843 CJU589843 BZY589843 BQC589843 BGG589843 AWK589843 AMO589843 ACS589843 SW589843 JA589843 F589843 WVM524307 WLQ524307 WBU524307 VRY524307 VIC524307 UYG524307 UOK524307 UEO524307 TUS524307 TKW524307 TBA524307 SRE524307 SHI524307 RXM524307 RNQ524307 RDU524307 QTY524307 QKC524307 QAG524307 PQK524307 PGO524307 OWS524307 OMW524307 ODA524307 NTE524307 NJI524307 MZM524307 MPQ524307 MFU524307 LVY524307 LMC524307 LCG524307 KSK524307 KIO524307 JYS524307 JOW524307 JFA524307 IVE524307 ILI524307 IBM524307 HRQ524307 HHU524307 GXY524307 GOC524307 GEG524307 FUK524307 FKO524307 FAS524307 EQW524307 EHA524307 DXE524307 DNI524307 DDM524307 CTQ524307 CJU524307 BZY524307 BQC524307 BGG524307 AWK524307 AMO524307 ACS524307 SW524307 JA524307 F524307 WVM458771 WLQ458771 WBU458771 VRY458771 VIC458771 UYG458771 UOK458771 UEO458771 TUS458771 TKW458771 TBA458771 SRE458771 SHI458771 RXM458771 RNQ458771 RDU458771 QTY458771 QKC458771 QAG458771 PQK458771 PGO458771 OWS458771 OMW458771 ODA458771 NTE458771 NJI458771 MZM458771 MPQ458771 MFU458771 LVY458771 LMC458771 LCG458771 KSK458771 KIO458771 JYS458771 JOW458771 JFA458771 IVE458771 ILI458771 IBM458771 HRQ458771 HHU458771 GXY458771 GOC458771 GEG458771 FUK458771 FKO458771 FAS458771 EQW458771 EHA458771 DXE458771 DNI458771 DDM458771 CTQ458771 CJU458771 BZY458771 BQC458771 BGG458771 AWK458771 AMO458771 ACS458771 SW458771 JA458771 F458771 WVM393235 WLQ393235 WBU393235 VRY393235 VIC393235 UYG393235 UOK393235 UEO393235 TUS393235 TKW393235 TBA393235 SRE393235 SHI393235 RXM393235 RNQ393235 RDU393235 QTY393235 QKC393235 QAG393235 PQK393235 PGO393235 OWS393235 OMW393235 ODA393235 NTE393235 NJI393235 MZM393235 MPQ393235 MFU393235 LVY393235 LMC393235 LCG393235 KSK393235 KIO393235 JYS393235 JOW393235 JFA393235 IVE393235 ILI393235 IBM393235 HRQ393235 HHU393235 GXY393235 GOC393235 GEG393235 FUK393235 FKO393235 FAS393235 EQW393235 EHA393235 DXE393235 DNI393235 DDM393235 CTQ393235 CJU393235 BZY393235 BQC393235 BGG393235 AWK393235 AMO393235 ACS393235 SW393235 JA393235 F393235 WVM327699 WLQ327699 WBU327699 VRY327699 VIC327699 UYG327699 UOK327699 UEO327699 TUS327699 TKW327699 TBA327699 SRE327699 SHI327699 RXM327699 RNQ327699 RDU327699 QTY327699 QKC327699 QAG327699 PQK327699 PGO327699 OWS327699 OMW327699 ODA327699 NTE327699 NJI327699 MZM327699 MPQ327699 MFU327699 LVY327699 LMC327699 LCG327699 KSK327699 KIO327699 JYS327699 JOW327699 JFA327699 IVE327699 ILI327699 IBM327699 HRQ327699 HHU327699 GXY327699 GOC327699 GEG327699 FUK327699 FKO327699 FAS327699 EQW327699 EHA327699 DXE327699 DNI327699 DDM327699 CTQ327699 CJU327699 BZY327699 BQC327699 BGG327699 AWK327699 AMO327699 ACS327699 SW327699 JA327699 F327699 WVM262163 WLQ262163 WBU262163 VRY262163 VIC262163 UYG262163 UOK262163 UEO262163 TUS262163 TKW262163 TBA262163 SRE262163 SHI262163 RXM262163 RNQ262163 RDU262163 QTY262163 QKC262163 QAG262163 PQK262163 PGO262163 OWS262163 OMW262163 ODA262163 NTE262163 NJI262163 MZM262163 MPQ262163 MFU262163 LVY262163 LMC262163 LCG262163 KSK262163 KIO262163 JYS262163 JOW262163 JFA262163 IVE262163 ILI262163 IBM262163 HRQ262163 HHU262163 GXY262163 GOC262163 GEG262163 FUK262163 FKO262163 FAS262163 EQW262163 EHA262163 DXE262163 DNI262163 DDM262163 CTQ262163 CJU262163 BZY262163 BQC262163 BGG262163 AWK262163 AMO262163 ACS262163 SW262163 JA262163 F262163 WVM196627 WLQ196627 WBU196627 VRY196627 VIC196627 UYG196627 UOK196627 UEO196627 TUS196627 TKW196627 TBA196627 SRE196627 SHI196627 RXM196627 RNQ196627 RDU196627 QTY196627 QKC196627 QAG196627 PQK196627 PGO196627 OWS196627 OMW196627 ODA196627 NTE196627 NJI196627 MZM196627 MPQ196627 MFU196627 LVY196627 LMC196627 LCG196627 KSK196627 KIO196627 JYS196627 JOW196627 JFA196627 IVE196627 ILI196627 IBM196627 HRQ196627 HHU196627 GXY196627 GOC196627 GEG196627 FUK196627 FKO196627 FAS196627 EQW196627 EHA196627 DXE196627 DNI196627 DDM196627 CTQ196627 CJU196627 BZY196627 BQC196627 BGG196627 AWK196627 AMO196627 ACS196627 SW196627 JA196627 F196627 WVM131091 WLQ131091 WBU131091 VRY131091 VIC131091 UYG131091 UOK131091 UEO131091 TUS131091 TKW131091 TBA131091 SRE131091 SHI131091 RXM131091 RNQ131091 RDU131091 QTY131091 QKC131091 QAG131091 PQK131091 PGO131091 OWS131091 OMW131091 ODA131091 NTE131091 NJI131091 MZM131091 MPQ131091 MFU131091 LVY131091 LMC131091 LCG131091 KSK131091 KIO131091 JYS131091 JOW131091 JFA131091 IVE131091 ILI131091 IBM131091 HRQ131091 HHU131091 GXY131091 GOC131091 GEG131091 FUK131091 FKO131091 FAS131091 EQW131091 EHA131091 DXE131091 DNI131091 DDM131091 CTQ131091 CJU131091 BZY131091 BQC131091 BGG131091 AWK131091 AMO131091 ACS131091 SW131091 JA131091 F131091 WVM65555 WLQ65555 WBU65555 VRY65555 VIC65555 UYG65555 UOK65555 UEO65555 TUS65555 TKW65555 TBA65555 SRE65555 SHI65555 RXM65555 RNQ65555 RDU65555 QTY65555 QKC65555 QAG65555 PQK65555 PGO65555 OWS65555 OMW65555 ODA65555 NTE65555 NJI65555 MZM65555 MPQ65555 MFU65555 LVY65555 LMC65555 LCG65555 KSK65555 KIO65555 JYS65555 JOW65555 JFA65555 IVE65555 ILI65555 IBM65555 HRQ65555 HHU65555 GXY65555 GOC65555 GEG65555 FUK65555 FKO65555 FAS65555 EQW65555 EHA65555 DXE65555 DNI65555 DDM65555 CTQ65555 CJU65555 BZY65555 BQC65555 BGG65555 AWK65555 AMO65555 ACS65555 SW65555 JA65555 F65555 WVM17 WLQ17 WBU17 VRY17 VIC17 UYG17 UOK17 UEO17 TUS17 TKW17 TBA17 SRE17 SHI17 RXM17 RNQ17 RDU17 QTY17 QKC17 QAG17 PQK17 PGO17 OWS17 OMW17 ODA17 NTE17 NJI17 MZM17 MPQ17 MFU17 LVY17 LMC17 LCG17 KSK17 KIO17 JYS17 JOW17 JFA17 IVE17 ILI17 IBM17 HRQ17 HHU17 GXY17 GOC17 GEG17 FUK17 FKO17 FAS17 EQW17 EHA17 DXE17 DNI17 DDM17 CTQ17 CJU17 BZY17 BQC17 BGG17 AWK17 AMO17 ACS17 SW17">
      <formula1>$M$48:$Z$48</formula1>
    </dataValidation>
    <dataValidation type="list" allowBlank="1" showInputMessage="1" showErrorMessage="1" sqref="M131114 M65578 M983082 M917546 M852010 M786474 M720938 M655402 M589866 M524330 M458794 M393258 M327722 M262186 M196650">
      <formula1>OFFSET(ListeRegions,68,MATCH(F65552,ListePays,0)-1,COUNTA(OFFSET(ListeRegions,,MATCH(F65552,ListePays,0)-1))-1)</formula1>
    </dataValidation>
    <dataValidation type="list" allowBlank="1" showInputMessage="1" showErrorMessage="1" sqref="M131113 M65577 M983081 M917545 M852009 M786473 M720937 M655401 M589865 M524329 M458793 M393257 M327721 M262185 M196649">
      <formula1>OFFSET(ListeRegions,68,MATCH(F65552,ListePays,0)-1,COUNTA(OFFSET(ListeRegions,,MATCH(F65552,ListePays,0)-1))-1)</formula1>
    </dataValidation>
    <dataValidation type="list" allowBlank="1" showInputMessage="1" showErrorMessage="1" sqref="M131112 M65576 M983080 M917544 M852008 M786472 M720936 M655400 M589864 M524328 M458792 M393256 M327720 M262184 M196648">
      <formula1>OFFSET(ListeRegions,68,MATCH(F65552,ListePays,0)-1,COUNTA(OFFSET(ListeRegions,,MATCH(F65552,ListePays,0)-1))-1)</formula1>
    </dataValidation>
    <dataValidation type="list" allowBlank="1" showInputMessage="1" showErrorMessage="1" sqref="M131111 M65575 M983079 M917543 M852007 M786471 M720935 M655399 M589863 M524327 M458791 M393255 M327719 M262183 M196647">
      <formula1>OFFSET(ListeRegions,68,MATCH(F65552,ListePays,0)-1,COUNTA(OFFSET(ListeRegions,,MATCH(F65552,ListePays,0)-1))-1)</formula1>
    </dataValidation>
    <dataValidation type="list" allowBlank="1" showInputMessage="1" showErrorMessage="1" sqref="M131110 M65574 M983078 M917542 M852006 M786470 M720934 M655398 M589862 M524326 M458790 M393254 M327718 M262182 M196646">
      <formula1>OFFSET(ListeRegions,68,MATCH(F65552,ListePays,0)-1,COUNTA(OFFSET(ListeRegions,,MATCH(F65552,ListePays,0)-1))-1)</formula1>
    </dataValidation>
    <dataValidation type="list" allowBlank="1" showInputMessage="1" showErrorMessage="1" sqref="M131109 M65573 M983077 M917541 M852005 M786469 M720933 M655397 M589861 M524325 M458789 M393253 M327717 M262181 M196645">
      <formula1>OFFSET(ListeRegions,68,MATCH(F65552,ListePays,0)-1,COUNTA(OFFSET(ListeRegions,,MATCH(F65552,ListePays,0)-1))-1)</formula1>
    </dataValidation>
    <dataValidation type="list" allowBlank="1" showInputMessage="1" showErrorMessage="1" sqref="M131108 M65572 M983076 M917540 M852004 M786468 M720932 M655396 M589860 M524324 M458788 M393252 M327716 M262180 M196644">
      <formula1>OFFSET(ListeRegions,68,MATCH(F65552,ListePays,0)-1,COUNTA(OFFSET(ListeRegions,,MATCH(F65552,ListePays,0)-1))-1)</formula1>
    </dataValidation>
    <dataValidation type="list" allowBlank="1" showInputMessage="1" showErrorMessage="1" sqref="M131107 M65571 M983075 M917539 M852003 M786467 M720931 M655395 M589859 M524323 M458787 M393251 M327715 M262179 M196643">
      <formula1>OFFSET(ListeRegions,68,MATCH(F65552,ListePays,0)-1,COUNTA(OFFSET(ListeRegions,,MATCH(F65552,ListePays,0)-1))-1)</formula1>
    </dataValidation>
    <dataValidation type="list" allowBlank="1" showInputMessage="1" showErrorMessage="1" sqref="M131106 M65570 M983074 M917538 M852002 M786466 M720930 M655394 M589858 M524322 M458786 M393250 M327714 M262178 M196642">
      <formula1>OFFSET(ListeRegions,68,MATCH(F65552,ListePays,0)-1,COUNTA(OFFSET(ListeRegions,,MATCH(F65552,ListePays,0)-1))-1)</formula1>
    </dataValidation>
    <dataValidation type="list" allowBlank="1" showInputMessage="1" showErrorMessage="1" sqref="M131105 M65569 M983073 M917537 M852001 M786465 M720929 M655393 M589857 M524321 M458785 M393249 M327713 M262177 M196641">
      <formula1>OFFSET(ListeRegions,68,MATCH(F65552,ListePays,0)-1,COUNTA(OFFSET(ListeRegions,,MATCH(F65552,ListePays,0)-1))-1)</formula1>
    </dataValidation>
    <dataValidation type="list" allowBlank="1" showInputMessage="1" showErrorMessage="1" sqref="M131104 M65568 M983072 M917536 M852000 M786464 M720928 M655392 M589856 M524320 M458784 M393248 M327712 M262176 M196640">
      <formula1>OFFSET(ListeRegions,68,MATCH(F65552,ListePays,0)-1,COUNTA(OFFSET(ListeRegions,,MATCH(F65552,ListePays,0)-1))-1)</formula1>
    </dataValidation>
    <dataValidation type="list" allowBlank="1" showInputMessage="1" showErrorMessage="1" sqref="M131103 M65567 M983071 M917535 M851999 M786463 M720927 M655391 M589855 M524319 M458783 M393247 M327711 M262175 M196639">
      <formula1>OFFSET(ListeRegions,68,MATCH(F65552,ListePays,0)-1,COUNTA(OFFSET(ListeRegions,,MATCH(F65552,ListePays,0)-1))-1)</formula1>
    </dataValidation>
    <dataValidation type="list" allowBlank="1" showInputMessage="1" showErrorMessage="1" sqref="M131102 M65566 M983070 M917534 M851998 M786462 M720926 M655390 M589854 M524318 M458782 M393246 M327710 M262174 M196638">
      <formula1>OFFSET(ListeRegions,68,MATCH(F65552,ListePays,0)-1,COUNTA(OFFSET(ListeRegions,,MATCH(F65552,ListePays,0)-1))-1)</formula1>
    </dataValidation>
    <dataValidation type="list" allowBlank="1" showInputMessage="1" showErrorMessage="1" sqref="M131101 M65565 M983069 M917533 M851997 M786461 M720925 M655389 M589853 M524317 M458781 M393245 M327709 M262173 M196637">
      <formula1>OFFSET(ListeRegions,68,MATCH(F65552,ListePays,0)-1,COUNTA(OFFSET(ListeRegions,,MATCH(F65552,ListePays,0)-1))-1)</formula1>
    </dataValidation>
    <dataValidation type="list" allowBlank="1" showInputMessage="1" showErrorMessage="1" sqref="M131100 M65564 M983068 M917532 M851996 M786460 M720924 M655388 M589852 M524316 M458780 M393244 M327708 M262172 M196636">
      <formula1>OFFSET(ListeRegions,68,MATCH(F65552,ListePays,0)-1,COUNTA(OFFSET(ListeRegions,,MATCH(F65552,ListePays,0)-1))-1)</formula1>
    </dataValidation>
    <dataValidation type="list" allowBlank="1" showInputMessage="1" showErrorMessage="1" sqref="M131099 M65563 M983067 M917531 M851995 M786459 M720923 M655387 M589851 M524315 M458779 M393243 M327707 M262171 M196635">
      <formula1>OFFSET(ListeRegions,68,MATCH(F65552,ListePays,0)-1,COUNTA(OFFSET(ListeRegions,,MATCH(F65552,ListePays,0)-1))-1)</formula1>
    </dataValidation>
    <dataValidation type="list" allowBlank="1" showInputMessage="1" showErrorMessage="1" sqref="M131098 M65562 M983066 M917530 M851994 M786458 M720922 M655386 M589850 M524314 M458778 M393242 M327706 M262170 M196634">
      <formula1>OFFSET(ListeRegions,68,MATCH(F65552,ListePays,0)-1,COUNTA(OFFSET(ListeRegions,,MATCH(F65552,ListePays,0)-1))-1)</formula1>
    </dataValidation>
    <dataValidation type="list" allowBlank="1" showInputMessage="1" showErrorMessage="1" sqref="M131097 M65561 M983065 M917529 M851993 M786457 M720921 M655385 M589849 M524313 M458777 M393241 M327705 M262169 M196633">
      <formula1>OFFSET(ListeRegions,68,MATCH(F65552,ListePays,0)-1,COUNTA(OFFSET(ListeRegions,,MATCH(F65552,ListePays,0)-1))-1)</formula1>
    </dataValidation>
    <dataValidation type="list" allowBlank="1" showInputMessage="1" showErrorMessage="1" sqref="M24">
      <formula1>OFFSET(ListeRegions,1,MATCH(F14,ListePays,0)-1,COUNTA(OFFSET(ListeRegions,,MATCH(F14,ListePays,0)-1))-1)</formula1>
    </dataValidation>
    <dataValidation type="list" allowBlank="1" showInputMessage="1" showErrorMessage="1" sqref="M25">
      <formula1>OFFSET(ListeRegions,1,MATCH(F14,ListePays,0)-1,COUNTA(OFFSET(ListeRegions,,MATCH(F14,ListePays,0)-1))-1)</formula1>
    </dataValidation>
    <dataValidation type="list" allowBlank="1" showInputMessage="1" showErrorMessage="1" sqref="M26">
      <formula1>OFFSET(ListeRegions,1,MATCH(F14,ListePays,0)-1,COUNTA(OFFSET(ListeRegions,,MATCH(F14,ListePays,0)-1))-1)</formula1>
    </dataValidation>
    <dataValidation type="list" allowBlank="1" showInputMessage="1" showErrorMessage="1" sqref="M27">
      <formula1>OFFSET(ListeRegions,1,MATCH(F14,ListePays,0)-1,COUNTA(OFFSET(ListeRegions,,MATCH(F14,ListePays,0)-1))-1)</formula1>
    </dataValidation>
    <dataValidation type="list" allowBlank="1" showInputMessage="1" showErrorMessage="1" sqref="M30">
      <formula1>OFFSET(ListeRegions,1,MATCH(F14,ListePays,0)-1,COUNTA(OFFSET(ListeRegions,,MATCH(F14,ListePays,0)-1))-1)</formula1>
    </dataValidation>
    <dataValidation type="list" allowBlank="1" showInputMessage="1" showErrorMessage="1" sqref="M31">
      <formula1>OFFSET(ListeRegions,1,MATCH(F14,ListePays,0)-1,COUNTA(OFFSET(ListeRegions,,MATCH(F14,ListePays,0)-1))-1)</formula1>
    </dataValidation>
    <dataValidation type="list" allowBlank="1" showInputMessage="1" showErrorMessage="1" sqref="M32">
      <formula1>OFFSET(ListeRegions,1,MATCH(F14,ListePays,0)-1,COUNTA(OFFSET(ListeRegions,,MATCH(F14,ListePays,0)-1))-1)</formula1>
    </dataValidation>
    <dataValidation type="list" allowBlank="1" showInputMessage="1" showErrorMessage="1" sqref="M33">
      <formula1>OFFSET(ListeRegions,1,MATCH(F14,ListePays,0)-1,COUNTA(OFFSET(ListeRegions,,MATCH(F14,ListePays,0)-1))-1)</formula1>
    </dataValidation>
    <dataValidation type="list" allowBlank="1" showInputMessage="1" showErrorMessage="1" sqref="M34">
      <formula1>OFFSET(ListeRegions,1,MATCH(F14,ListePays,0)-1,COUNTA(OFFSET(ListeRegions,,MATCH(F14,ListePays,0)-1))-1)</formula1>
    </dataValidation>
    <dataValidation type="list" allowBlank="1" showInputMessage="1" showErrorMessage="1" sqref="M36">
      <formula1>OFFSET(ListeRegions,1,MATCH(F14,ListePays,0)-1,COUNTA(OFFSET(ListeRegions,,MATCH(F14,ListePays,0)-1))-1)</formula1>
    </dataValidation>
    <dataValidation type="list" allowBlank="1" showInputMessage="1" showErrorMessage="1" sqref="M38">
      <formula1>OFFSET(ListeRegions,1,MATCH(F14,ListePays,0)-1,COUNTA(OFFSET(ListeRegions,,MATCH(F14,ListePays,0)-1))-1)</formula1>
    </dataValidation>
    <dataValidation type="list" allowBlank="1" showInputMessage="1" showErrorMessage="1" sqref="M39">
      <formula1>OFFSET(ListeRegions,1,MATCH(F14,ListePays,0)-1,COUNTA(OFFSET(ListeRegions,,MATCH(F14,ListePays,0)-1))-1)</formula1>
    </dataValidation>
  </dataValidations>
  <hyperlinks>
    <hyperlink ref="D1:E1" location="notice!A1" display="Cliques → ICI ←"/>
    <hyperlink ref="G14:H14" location="parcelles!A1" display="Cliques → ICI ←"/>
    <hyperlink ref="I9:J9" location="'entrepôts et local phyto'!A1" display="'entrepôts et local phyto'!A1"/>
    <hyperlink ref="B85:C85" location="'semences, engrais et traitement'!A1" display="Cliques → ICI ←"/>
  </hyperlinks>
  <pageMargins left="0.78740157499999996" right="0.78740157499999996" top="0.984251969" bottom="0.984251969" header="0.5" footer="0.5"/>
  <pageSetup paperSize="9" orientation="portrait" r:id="rId1"/>
  <headerFooter alignWithMargins="0"/>
  <ignoredErrors>
    <ignoredError sqref="G79 I28:J37" formula="1"/>
    <ignoredError sqref="I9 N23:N39"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84" id="{109CC5A2-ABF7-4EC1-A6E2-620E7F92AFD0}">
            <xm:f>IF(AND($F23="rendement nul dans cette région",BDD!$IB97&gt;0),TRUE,FALSE)</xm:f>
            <x14:dxf>
              <font>
                <b val="0"/>
                <i val="0"/>
                <color theme="1"/>
              </font>
              <fill>
                <patternFill>
                  <bgColor rgb="FF00FFFF"/>
                </patternFill>
              </fill>
              <border>
                <left style="thin">
                  <color auto="1"/>
                </left>
                <right style="thin">
                  <color auto="1"/>
                </right>
                <top style="thin">
                  <color auto="1"/>
                </top>
                <bottom style="thin">
                  <color auto="1"/>
                </bottom>
                <vertical/>
                <horizontal/>
              </border>
            </x14:dxf>
          </x14:cfRule>
          <xm:sqref>M23 M25:M27 M30:M31 M33:M34 M36 M38:M39</xm:sqref>
        </x14:conditionalFormatting>
        <x14:conditionalFormatting xmlns:xm="http://schemas.microsoft.com/office/excel/2006/main">
          <x14:cfRule type="expression" priority="83" id="{417B25DD-E30F-4D82-B293-EF84B92E165B}">
            <xm:f>IF(AND($F23="rendement nul dans cette région",BDD!$IB$97&gt;0),TRUE,FALSE)</xm:f>
            <x14:dxf>
              <font>
                <b val="0"/>
                <i val="0"/>
                <color theme="1"/>
              </font>
              <fill>
                <patternFill patternType="none">
                  <bgColor auto="1"/>
                </patternFill>
              </fill>
              <border>
                <left style="thin">
                  <color auto="1"/>
                </left>
                <right style="thin">
                  <color auto="1"/>
                </right>
                <top style="thin">
                  <color auto="1"/>
                </top>
                <bottom style="thin">
                  <color auto="1"/>
                </bottom>
                <vertical/>
                <horizontal/>
              </border>
            </x14:dxf>
          </x14:cfRule>
          <xm:sqref>N23</xm:sqref>
        </x14:conditionalFormatting>
        <x14:conditionalFormatting xmlns:xm="http://schemas.microsoft.com/office/excel/2006/main">
          <x14:cfRule type="expression" priority="71" id="{5B9E55AB-2831-41CA-9FED-6A914A61DC7A}">
            <xm:f>IF(AND($F24="rendement nul dans cette région",BDD!$IB97&gt;0),TRUE,FALSE)</xm:f>
            <x14:dxf>
              <font>
                <b val="0"/>
                <i val="0"/>
                <color theme="1"/>
              </font>
              <fill>
                <patternFill>
                  <bgColor rgb="FF00FFFF"/>
                </patternFill>
              </fill>
              <border>
                <left style="thin">
                  <color auto="1"/>
                </left>
                <right style="thin">
                  <color auto="1"/>
                </right>
                <top style="thin">
                  <color auto="1"/>
                </top>
                <bottom style="thin">
                  <color auto="1"/>
                </bottom>
                <vertical/>
                <horizontal/>
              </border>
            </x14:dxf>
          </x14:cfRule>
          <xm:sqref>M24 M32</xm:sqref>
        </x14:conditionalFormatting>
        <x14:conditionalFormatting xmlns:xm="http://schemas.microsoft.com/office/excel/2006/main">
          <x14:cfRule type="expression" priority="52" id="{369D9AF2-E969-43BA-AEA0-651539AC8D50}">
            <xm:f>IF(AND($F24="rendement nul dans cette région",BDD!$IB$97&gt;0),TRUE,FALSE)</xm:f>
            <x14:dxf>
              <font>
                <b val="0"/>
                <i val="0"/>
                <color theme="1"/>
              </font>
              <fill>
                <patternFill patternType="none">
                  <bgColor auto="1"/>
                </patternFill>
              </fill>
              <border>
                <left style="thin">
                  <color auto="1"/>
                </left>
                <right style="thin">
                  <color auto="1"/>
                </right>
                <top style="thin">
                  <color auto="1"/>
                </top>
                <bottom style="thin">
                  <color auto="1"/>
                </bottom>
                <vertical/>
                <horizontal/>
              </border>
            </x14:dxf>
          </x14:cfRule>
          <xm:sqref>N24</xm:sqref>
        </x14:conditionalFormatting>
        <x14:conditionalFormatting xmlns:xm="http://schemas.microsoft.com/office/excel/2006/main">
          <x14:cfRule type="expression" priority="51" id="{80A0DB93-934D-4C9F-9DE9-6A0069C4DFC4}">
            <xm:f>IF(AND($F25="rendement nul dans cette région",BDD!$IB99&gt;0),TRUE,FALSE)</xm:f>
            <x14:dxf>
              <font>
                <b val="0"/>
                <i val="0"/>
                <color theme="1"/>
              </font>
              <fill>
                <patternFill patternType="none">
                  <bgColor auto="1"/>
                </patternFill>
              </fill>
              <border>
                <left style="thin">
                  <color auto="1"/>
                </left>
                <right style="thin">
                  <color auto="1"/>
                </right>
                <top style="thin">
                  <color auto="1"/>
                </top>
                <bottom style="thin">
                  <color auto="1"/>
                </bottom>
                <vertical/>
                <horizontal/>
              </border>
            </x14:dxf>
          </x14:cfRule>
          <xm:sqref>N25:N27 N30:N34 N36 N38:N39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BDD!$M$2:$M$3</xm:f>
          </x14:formula1>
          <xm:sqref>I16:I18 M16:M18</xm:sqref>
        </x14:dataValidation>
        <x14:dataValidation type="list" allowBlank="1" showInputMessage="1" showErrorMessage="1">
          <x14:formula1>
            <xm:f>BDD!$M$27:$M$28</xm:f>
          </x14:formula1>
          <xm:sqref>D20:E20</xm:sqref>
        </x14:dataValidation>
        <x14:dataValidation type="list" allowBlank="1" showInputMessage="1" showErrorMessage="1">
          <x14:formula1>
            <xm:f>BDD!$HO$96:$IB$96</xm:f>
          </x14:formula1>
          <xm:sqref>F17:G17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M1001"/>
  <sheetViews>
    <sheetView zoomScaleNormal="100" workbookViewId="0"/>
  </sheetViews>
  <sheetFormatPr baseColWidth="10" defaultRowHeight="12.75" x14ac:dyDescent="0.2"/>
  <cols>
    <col min="1" max="1" width="11.42578125" style="323" customWidth="1"/>
    <col min="2" max="2" width="15.28515625" style="323" customWidth="1"/>
    <col min="3" max="4" width="12.5703125" style="323" customWidth="1"/>
    <col min="5" max="5" width="11.42578125" style="323" customWidth="1"/>
    <col min="6" max="6" width="9" style="323" customWidth="1"/>
    <col min="7" max="7" width="23.7109375" style="323" customWidth="1"/>
    <col min="8" max="8" width="27.7109375" style="323" customWidth="1"/>
    <col min="9" max="9" width="11.42578125" style="323" customWidth="1"/>
    <col min="10" max="10" width="11.42578125" style="108" customWidth="1"/>
    <col min="11" max="12" width="11.42578125" style="323" customWidth="1"/>
    <col min="13" max="13" width="11.42578125" style="267" customWidth="1"/>
    <col min="14" max="18" width="11.42578125" style="108" customWidth="1"/>
    <col min="19" max="20" width="11.42578125" style="268" customWidth="1"/>
    <col min="21" max="21" width="23" style="108" customWidth="1"/>
    <col min="22" max="23" width="11.42578125" style="108" customWidth="1"/>
    <col min="24" max="24" width="12" style="108" customWidth="1"/>
    <col min="25" max="27" width="11.42578125" style="108" customWidth="1"/>
    <col min="28" max="28" width="14" style="108" customWidth="1"/>
    <col min="29" max="29" width="14.85546875" style="108" customWidth="1"/>
    <col min="30" max="30" width="11.42578125" style="108" customWidth="1"/>
    <col min="31" max="31" width="13.28515625" style="108" customWidth="1"/>
    <col min="32" max="32" width="11.42578125" style="108" customWidth="1"/>
    <col min="33" max="33" width="19.85546875" style="108" customWidth="1"/>
    <col min="34" max="35" width="11.42578125" style="108" customWidth="1"/>
    <col min="36" max="36" width="15.5703125" style="267" customWidth="1"/>
    <col min="37" max="51" width="11.42578125" style="269"/>
    <col min="52" max="52" width="11.42578125" style="456"/>
    <col min="53" max="60" width="11.42578125" style="64" customWidth="1"/>
    <col min="61" max="63" width="16.7109375" style="64" customWidth="1"/>
    <col min="64" max="64" width="11.42578125" style="64" customWidth="1"/>
    <col min="65" max="67" width="11.5703125" style="64" customWidth="1"/>
    <col min="68" max="76" width="11.42578125" style="64" customWidth="1"/>
    <col min="77" max="79" width="16.7109375" style="64" customWidth="1"/>
    <col min="80" max="115" width="11.42578125" style="64" customWidth="1"/>
    <col min="116" max="116" width="23" style="64" customWidth="1"/>
    <col min="117" max="130" width="11.42578125" style="64" customWidth="1"/>
    <col min="131" max="134" width="9.140625" style="324" customWidth="1"/>
    <col min="135" max="142" width="11.42578125" style="325"/>
    <col min="143" max="143" width="11.42578125" style="270"/>
    <col min="144" max="180" width="11.42578125" style="269"/>
    <col min="181" max="181" width="11.42578125" style="269" customWidth="1"/>
    <col min="182" max="182" width="15.28515625" style="269" customWidth="1"/>
    <col min="183" max="184" width="12.5703125" style="269" customWidth="1"/>
    <col min="185" max="185" width="11.42578125" style="269" customWidth="1"/>
    <col min="186" max="186" width="9" style="269" customWidth="1"/>
    <col min="187" max="187" width="23.7109375" style="269" customWidth="1"/>
    <col min="188" max="188" width="27.7109375" style="269" customWidth="1"/>
    <col min="189" max="189" width="11.42578125" style="269" customWidth="1"/>
    <col min="190" max="190" width="2.7109375" style="269" customWidth="1"/>
    <col min="191" max="191" width="8.7109375" style="269" customWidth="1"/>
    <col min="192" max="192" width="23.7109375" style="269" customWidth="1"/>
    <col min="193" max="193" width="27.7109375" style="269" customWidth="1"/>
    <col min="194" max="206" width="11.42578125" style="269" customWidth="1"/>
    <col min="207" max="207" width="16.5703125" style="269" bestFit="1" customWidth="1"/>
    <col min="208" max="208" width="17" style="269" bestFit="1" customWidth="1"/>
    <col min="209" max="209" width="11.42578125" style="269" customWidth="1"/>
    <col min="210" max="210" width="15.5703125" style="269" customWidth="1"/>
    <col min="211" max="211" width="9.28515625" style="269" customWidth="1"/>
    <col min="212" max="212" width="12" style="269" customWidth="1"/>
    <col min="213" max="213" width="11.140625" style="269" customWidth="1"/>
    <col min="214" max="214" width="11.42578125" style="269" customWidth="1"/>
    <col min="215" max="215" width="8.140625" style="269" customWidth="1"/>
    <col min="216" max="216" width="13.28515625" style="269" customWidth="1"/>
    <col min="217" max="217" width="19.7109375" style="269" customWidth="1"/>
    <col min="218" max="218" width="14.140625" style="269" customWidth="1"/>
    <col min="219" max="219" width="14.85546875" style="269" customWidth="1"/>
    <col min="220" max="220" width="9.28515625" style="269" customWidth="1"/>
    <col min="221" max="221" width="16.85546875" style="269" customWidth="1"/>
    <col min="222" max="222" width="11.85546875" style="269" customWidth="1"/>
    <col min="223" max="223" width="21.5703125" style="269" customWidth="1"/>
    <col min="224" max="224" width="20.42578125" style="269" customWidth="1"/>
    <col min="225" max="225" width="22.28515625" style="269" customWidth="1"/>
    <col min="226" max="226" width="11.42578125" style="269" customWidth="1"/>
    <col min="227" max="227" width="18.5703125" style="269" customWidth="1"/>
    <col min="228" max="228" width="14.28515625" style="269" customWidth="1"/>
    <col min="229" max="229" width="12.7109375" style="269" customWidth="1"/>
    <col min="230" max="230" width="13.5703125" style="269" customWidth="1"/>
    <col min="231" max="231" width="22.5703125" style="269" customWidth="1"/>
    <col min="232" max="233" width="22.42578125" style="269" customWidth="1"/>
    <col min="234" max="234" width="23.140625" style="269" customWidth="1"/>
    <col min="235" max="235" width="11.42578125" style="269" customWidth="1"/>
    <col min="236" max="236" width="19.85546875" style="269" customWidth="1"/>
    <col min="237" max="237" width="11.42578125" style="269" customWidth="1"/>
    <col min="238" max="238" width="6.42578125" style="269" customWidth="1"/>
    <col min="239" max="239" width="14" style="269" customWidth="1"/>
    <col min="240" max="240" width="7.85546875" style="269" customWidth="1"/>
    <col min="241" max="247" width="11.42578125" style="269" customWidth="1"/>
    <col min="248" max="248" width="13.5703125" style="269" customWidth="1"/>
    <col min="249" max="249" width="17.42578125" style="269" customWidth="1"/>
    <col min="250" max="251" width="11.42578125" style="269" customWidth="1"/>
    <col min="252" max="252" width="20.7109375" style="269" customWidth="1"/>
    <col min="253" max="253" width="11.42578125" style="269" customWidth="1"/>
    <col min="254" max="254" width="13.42578125" style="269" customWidth="1"/>
    <col min="255" max="257" width="11.42578125" style="269" customWidth="1"/>
    <col min="258" max="258" width="15.42578125" style="269" customWidth="1"/>
    <col min="259" max="259" width="13.5703125" style="269" customWidth="1"/>
    <col min="260" max="260" width="20" style="269" customWidth="1"/>
    <col min="261" max="262" width="11.42578125" style="269" customWidth="1"/>
    <col min="263" max="263" width="21.7109375" style="269" customWidth="1"/>
    <col min="264" max="264" width="13.5703125" style="269" customWidth="1"/>
    <col min="265" max="265" width="19.140625" style="269" customWidth="1"/>
    <col min="266" max="266" width="23" style="269" customWidth="1"/>
    <col min="267" max="268" width="11.42578125" style="269" customWidth="1"/>
    <col min="269" max="269" width="12" style="269" customWidth="1"/>
    <col min="270" max="272" width="11.42578125" style="269" customWidth="1"/>
    <col min="273" max="273" width="14" style="269" customWidth="1"/>
    <col min="274" max="274" width="14.85546875" style="269" customWidth="1"/>
    <col min="275" max="275" width="11.42578125" style="269" customWidth="1"/>
    <col min="276" max="276" width="13.28515625" style="269" customWidth="1"/>
    <col min="277" max="277" width="11.42578125" style="269" customWidth="1"/>
    <col min="278" max="278" width="19.85546875" style="269" customWidth="1"/>
    <col min="279" max="280" width="11.42578125" style="269" customWidth="1"/>
    <col min="281" max="281" width="16.28515625" style="269" customWidth="1"/>
    <col min="282" max="282" width="14.28515625" style="269" customWidth="1"/>
    <col min="283" max="283" width="9.140625" style="269" customWidth="1"/>
    <col min="284" max="284" width="17.28515625" style="269" customWidth="1"/>
    <col min="285" max="285" width="20.42578125" style="269" customWidth="1"/>
    <col min="286" max="286" width="17.5703125" style="269" customWidth="1"/>
    <col min="287" max="287" width="15.42578125" style="269" customWidth="1"/>
    <col min="288" max="288" width="12.85546875" style="269" customWidth="1"/>
    <col min="289" max="289" width="15.5703125" style="269" bestFit="1" customWidth="1"/>
    <col min="290" max="290" width="24.42578125" style="269" bestFit="1" customWidth="1"/>
    <col min="291" max="291" width="16" style="269" bestFit="1" customWidth="1"/>
    <col min="292" max="292" width="15.5703125" style="269" customWidth="1"/>
    <col min="293" max="436" width="11.42578125" style="269"/>
    <col min="437" max="437" width="11.42578125" style="269" customWidth="1"/>
    <col min="438" max="438" width="15.28515625" style="269" customWidth="1"/>
    <col min="439" max="440" width="12.5703125" style="269" customWidth="1"/>
    <col min="441" max="441" width="11.42578125" style="269" customWidth="1"/>
    <col min="442" max="442" width="9" style="269" customWidth="1"/>
    <col min="443" max="443" width="23.7109375" style="269" customWidth="1"/>
    <col min="444" max="444" width="27.7109375" style="269" customWidth="1"/>
    <col min="445" max="445" width="11.42578125" style="269" customWidth="1"/>
    <col min="446" max="446" width="2.7109375" style="269" customWidth="1"/>
    <col min="447" max="447" width="8.7109375" style="269" customWidth="1"/>
    <col min="448" max="448" width="23.7109375" style="269" customWidth="1"/>
    <col min="449" max="449" width="27.7109375" style="269" customWidth="1"/>
    <col min="450" max="462" width="11.42578125" style="269" customWidth="1"/>
    <col min="463" max="463" width="16.5703125" style="269" bestFit="1" customWidth="1"/>
    <col min="464" max="464" width="17" style="269" bestFit="1" customWidth="1"/>
    <col min="465" max="465" width="11.42578125" style="269" customWidth="1"/>
    <col min="466" max="466" width="15.5703125" style="269" customWidth="1"/>
    <col min="467" max="467" width="9.28515625" style="269" customWidth="1"/>
    <col min="468" max="468" width="12" style="269" customWidth="1"/>
    <col min="469" max="469" width="11.140625" style="269" customWidth="1"/>
    <col min="470" max="470" width="11.42578125" style="269" customWidth="1"/>
    <col min="471" max="471" width="8.140625" style="269" customWidth="1"/>
    <col min="472" max="472" width="13.28515625" style="269" customWidth="1"/>
    <col min="473" max="473" width="19.7109375" style="269" customWidth="1"/>
    <col min="474" max="474" width="14.140625" style="269" customWidth="1"/>
    <col min="475" max="475" width="14.85546875" style="269" customWidth="1"/>
    <col min="476" max="476" width="9.28515625" style="269" customWidth="1"/>
    <col min="477" max="477" width="16.85546875" style="269" customWidth="1"/>
    <col min="478" max="478" width="11.85546875" style="269" customWidth="1"/>
    <col min="479" max="479" width="21.5703125" style="269" customWidth="1"/>
    <col min="480" max="480" width="20.42578125" style="269" customWidth="1"/>
    <col min="481" max="481" width="22.28515625" style="269" customWidth="1"/>
    <col min="482" max="482" width="11.42578125" style="269" customWidth="1"/>
    <col min="483" max="483" width="18.5703125" style="269" customWidth="1"/>
    <col min="484" max="484" width="14.28515625" style="269" customWidth="1"/>
    <col min="485" max="485" width="12.7109375" style="269" customWidth="1"/>
    <col min="486" max="486" width="13.5703125" style="269" customWidth="1"/>
    <col min="487" max="487" width="22.5703125" style="269" customWidth="1"/>
    <col min="488" max="489" width="22.42578125" style="269" customWidth="1"/>
    <col min="490" max="490" width="23.140625" style="269" customWidth="1"/>
    <col min="491" max="491" width="11.42578125" style="269" customWidth="1"/>
    <col min="492" max="492" width="19.85546875" style="269" customWidth="1"/>
    <col min="493" max="493" width="11.42578125" style="269" customWidth="1"/>
    <col min="494" max="494" width="6.42578125" style="269" customWidth="1"/>
    <col min="495" max="495" width="14" style="269" customWidth="1"/>
    <col min="496" max="496" width="7.85546875" style="269" customWidth="1"/>
    <col min="497" max="503" width="11.42578125" style="269" customWidth="1"/>
    <col min="504" max="504" width="13.5703125" style="269" customWidth="1"/>
    <col min="505" max="505" width="17.42578125" style="269" customWidth="1"/>
    <col min="506" max="507" width="11.42578125" style="269" customWidth="1"/>
    <col min="508" max="508" width="20.7109375" style="269" customWidth="1"/>
    <col min="509" max="509" width="11.42578125" style="269" customWidth="1"/>
    <col min="510" max="510" width="13.42578125" style="269" customWidth="1"/>
    <col min="511" max="513" width="11.42578125" style="269" customWidth="1"/>
    <col min="514" max="514" width="15.42578125" style="269" customWidth="1"/>
    <col min="515" max="515" width="13.5703125" style="269" customWidth="1"/>
    <col min="516" max="516" width="20" style="269" customWidth="1"/>
    <col min="517" max="518" width="11.42578125" style="269" customWidth="1"/>
    <col min="519" max="519" width="21.7109375" style="269" customWidth="1"/>
    <col min="520" max="520" width="13.5703125" style="269" customWidth="1"/>
    <col min="521" max="521" width="19.140625" style="269" customWidth="1"/>
    <col min="522" max="522" width="23" style="269" customWidth="1"/>
    <col min="523" max="524" width="11.42578125" style="269" customWidth="1"/>
    <col min="525" max="525" width="12" style="269" customWidth="1"/>
    <col min="526" max="528" width="11.42578125" style="269" customWidth="1"/>
    <col min="529" max="529" width="14" style="269" customWidth="1"/>
    <col min="530" max="530" width="14.85546875" style="269" customWidth="1"/>
    <col min="531" max="531" width="11.42578125" style="269" customWidth="1"/>
    <col min="532" max="532" width="13.28515625" style="269" customWidth="1"/>
    <col min="533" max="533" width="11.42578125" style="269" customWidth="1"/>
    <col min="534" max="534" width="19.85546875" style="269" customWidth="1"/>
    <col min="535" max="536" width="11.42578125" style="269" customWidth="1"/>
    <col min="537" max="537" width="16.28515625" style="269" customWidth="1"/>
    <col min="538" max="538" width="14.28515625" style="269" customWidth="1"/>
    <col min="539" max="539" width="9.140625" style="269" customWidth="1"/>
    <col min="540" max="540" width="17.28515625" style="269" customWidth="1"/>
    <col min="541" max="541" width="20.42578125" style="269" customWidth="1"/>
    <col min="542" max="542" width="17.5703125" style="269" customWidth="1"/>
    <col min="543" max="543" width="15.42578125" style="269" customWidth="1"/>
    <col min="544" max="544" width="12.85546875" style="269" customWidth="1"/>
    <col min="545" max="545" width="15.5703125" style="269" bestFit="1" customWidth="1"/>
    <col min="546" max="546" width="24.42578125" style="269" bestFit="1" customWidth="1"/>
    <col min="547" max="547" width="16" style="269" bestFit="1" customWidth="1"/>
    <col min="548" max="548" width="15.5703125" style="269" customWidth="1"/>
    <col min="549" max="692" width="11.42578125" style="269"/>
    <col min="693" max="693" width="11.42578125" style="269" customWidth="1"/>
    <col min="694" max="694" width="15.28515625" style="269" customWidth="1"/>
    <col min="695" max="696" width="12.5703125" style="269" customWidth="1"/>
    <col min="697" max="697" width="11.42578125" style="269" customWidth="1"/>
    <col min="698" max="698" width="9" style="269" customWidth="1"/>
    <col min="699" max="699" width="23.7109375" style="269" customWidth="1"/>
    <col min="700" max="700" width="27.7109375" style="269" customWidth="1"/>
    <col min="701" max="701" width="11.42578125" style="269" customWidth="1"/>
    <col min="702" max="702" width="2.7109375" style="269" customWidth="1"/>
    <col min="703" max="703" width="8.7109375" style="269" customWidth="1"/>
    <col min="704" max="704" width="23.7109375" style="269" customWidth="1"/>
    <col min="705" max="705" width="27.7109375" style="269" customWidth="1"/>
    <col min="706" max="718" width="11.42578125" style="269" customWidth="1"/>
    <col min="719" max="719" width="16.5703125" style="269" bestFit="1" customWidth="1"/>
    <col min="720" max="720" width="17" style="269" bestFit="1" customWidth="1"/>
    <col min="721" max="721" width="11.42578125" style="269" customWidth="1"/>
    <col min="722" max="722" width="15.5703125" style="269" customWidth="1"/>
    <col min="723" max="723" width="9.28515625" style="269" customWidth="1"/>
    <col min="724" max="724" width="12" style="269" customWidth="1"/>
    <col min="725" max="725" width="11.140625" style="269" customWidth="1"/>
    <col min="726" max="726" width="11.42578125" style="269" customWidth="1"/>
    <col min="727" max="727" width="8.140625" style="269" customWidth="1"/>
    <col min="728" max="728" width="13.28515625" style="269" customWidth="1"/>
    <col min="729" max="729" width="19.7109375" style="269" customWidth="1"/>
    <col min="730" max="730" width="14.140625" style="269" customWidth="1"/>
    <col min="731" max="731" width="14.85546875" style="269" customWidth="1"/>
    <col min="732" max="732" width="9.28515625" style="269" customWidth="1"/>
    <col min="733" max="733" width="16.85546875" style="269" customWidth="1"/>
    <col min="734" max="734" width="11.85546875" style="269" customWidth="1"/>
    <col min="735" max="735" width="21.5703125" style="269" customWidth="1"/>
    <col min="736" max="736" width="20.42578125" style="269" customWidth="1"/>
    <col min="737" max="737" width="22.28515625" style="269" customWidth="1"/>
    <col min="738" max="738" width="11.42578125" style="269" customWidth="1"/>
    <col min="739" max="739" width="18.5703125" style="269" customWidth="1"/>
    <col min="740" max="740" width="14.28515625" style="269" customWidth="1"/>
    <col min="741" max="741" width="12.7109375" style="269" customWidth="1"/>
    <col min="742" max="742" width="13.5703125" style="269" customWidth="1"/>
    <col min="743" max="743" width="22.5703125" style="269" customWidth="1"/>
    <col min="744" max="745" width="22.42578125" style="269" customWidth="1"/>
    <col min="746" max="746" width="23.140625" style="269" customWidth="1"/>
    <col min="747" max="747" width="11.42578125" style="269" customWidth="1"/>
    <col min="748" max="748" width="19.85546875" style="269" customWidth="1"/>
    <col min="749" max="749" width="11.42578125" style="269" customWidth="1"/>
    <col min="750" max="750" width="6.42578125" style="269" customWidth="1"/>
    <col min="751" max="751" width="14" style="269" customWidth="1"/>
    <col min="752" max="752" width="7.85546875" style="269" customWidth="1"/>
    <col min="753" max="759" width="11.42578125" style="269" customWidth="1"/>
    <col min="760" max="760" width="13.5703125" style="269" customWidth="1"/>
    <col min="761" max="761" width="17.42578125" style="269" customWidth="1"/>
    <col min="762" max="763" width="11.42578125" style="269" customWidth="1"/>
    <col min="764" max="764" width="20.7109375" style="269" customWidth="1"/>
    <col min="765" max="765" width="11.42578125" style="269" customWidth="1"/>
    <col min="766" max="766" width="13.42578125" style="269" customWidth="1"/>
    <col min="767" max="769" width="11.42578125" style="269" customWidth="1"/>
    <col min="770" max="770" width="15.42578125" style="269" customWidth="1"/>
    <col min="771" max="771" width="13.5703125" style="269" customWidth="1"/>
    <col min="772" max="772" width="20" style="269" customWidth="1"/>
    <col min="773" max="774" width="11.42578125" style="269" customWidth="1"/>
    <col min="775" max="775" width="21.7109375" style="269" customWidth="1"/>
    <col min="776" max="776" width="13.5703125" style="269" customWidth="1"/>
    <col min="777" max="777" width="19.140625" style="269" customWidth="1"/>
    <col min="778" max="778" width="23" style="269" customWidth="1"/>
    <col min="779" max="780" width="11.42578125" style="269" customWidth="1"/>
    <col min="781" max="781" width="12" style="269" customWidth="1"/>
    <col min="782" max="784" width="11.42578125" style="269" customWidth="1"/>
    <col min="785" max="785" width="14" style="269" customWidth="1"/>
    <col min="786" max="786" width="14.85546875" style="269" customWidth="1"/>
    <col min="787" max="787" width="11.42578125" style="269" customWidth="1"/>
    <col min="788" max="788" width="13.28515625" style="269" customWidth="1"/>
    <col min="789" max="789" width="11.42578125" style="269" customWidth="1"/>
    <col min="790" max="790" width="19.85546875" style="269" customWidth="1"/>
    <col min="791" max="792" width="11.42578125" style="269" customWidth="1"/>
    <col min="793" max="793" width="16.28515625" style="269" customWidth="1"/>
    <col min="794" max="794" width="14.28515625" style="269" customWidth="1"/>
    <col min="795" max="795" width="9.140625" style="269" customWidth="1"/>
    <col min="796" max="796" width="17.28515625" style="269" customWidth="1"/>
    <col min="797" max="797" width="20.42578125" style="269" customWidth="1"/>
    <col min="798" max="798" width="17.5703125" style="269" customWidth="1"/>
    <col min="799" max="799" width="15.42578125" style="269" customWidth="1"/>
    <col min="800" max="800" width="12.85546875" style="269" customWidth="1"/>
    <col min="801" max="801" width="15.5703125" style="269" bestFit="1" customWidth="1"/>
    <col min="802" max="802" width="24.42578125" style="269" bestFit="1" customWidth="1"/>
    <col min="803" max="803" width="16" style="269" bestFit="1" customWidth="1"/>
    <col min="804" max="804" width="15.5703125" style="269" customWidth="1"/>
    <col min="805" max="948" width="11.42578125" style="269"/>
    <col min="949" max="949" width="11.42578125" style="269" customWidth="1"/>
    <col min="950" max="950" width="15.28515625" style="269" customWidth="1"/>
    <col min="951" max="952" width="12.5703125" style="269" customWidth="1"/>
    <col min="953" max="953" width="11.42578125" style="269" customWidth="1"/>
    <col min="954" max="954" width="9" style="269" customWidth="1"/>
    <col min="955" max="955" width="23.7109375" style="269" customWidth="1"/>
    <col min="956" max="956" width="27.7109375" style="269" customWidth="1"/>
    <col min="957" max="957" width="11.42578125" style="269" customWidth="1"/>
    <col min="958" max="958" width="2.7109375" style="269" customWidth="1"/>
    <col min="959" max="959" width="8.7109375" style="269" customWidth="1"/>
    <col min="960" max="960" width="23.7109375" style="269" customWidth="1"/>
    <col min="961" max="961" width="27.7109375" style="269" customWidth="1"/>
    <col min="962" max="974" width="11.42578125" style="269" customWidth="1"/>
    <col min="975" max="975" width="16.5703125" style="269" bestFit="1" customWidth="1"/>
    <col min="976" max="976" width="17" style="269" bestFit="1" customWidth="1"/>
    <col min="977" max="977" width="11.42578125" style="269" customWidth="1"/>
    <col min="978" max="978" width="15.5703125" style="269" customWidth="1"/>
    <col min="979" max="979" width="9.28515625" style="269" customWidth="1"/>
    <col min="980" max="980" width="12" style="269" customWidth="1"/>
    <col min="981" max="981" width="11.140625" style="269" customWidth="1"/>
    <col min="982" max="982" width="11.42578125" style="269" customWidth="1"/>
    <col min="983" max="983" width="8.140625" style="269" customWidth="1"/>
    <col min="984" max="984" width="13.28515625" style="269" customWidth="1"/>
    <col min="985" max="985" width="19.7109375" style="269" customWidth="1"/>
    <col min="986" max="986" width="14.140625" style="269" customWidth="1"/>
    <col min="987" max="987" width="14.85546875" style="269" customWidth="1"/>
    <col min="988" max="988" width="9.28515625" style="269" customWidth="1"/>
    <col min="989" max="989" width="16.85546875" style="269" customWidth="1"/>
    <col min="990" max="990" width="11.85546875" style="269" customWidth="1"/>
    <col min="991" max="991" width="21.5703125" style="269" customWidth="1"/>
    <col min="992" max="992" width="20.42578125" style="269" customWidth="1"/>
    <col min="993" max="993" width="22.28515625" style="269" customWidth="1"/>
    <col min="994" max="994" width="11.42578125" style="269" customWidth="1"/>
    <col min="995" max="995" width="18.5703125" style="269" customWidth="1"/>
    <col min="996" max="996" width="14.28515625" style="269" customWidth="1"/>
    <col min="997" max="997" width="12.7109375" style="269" customWidth="1"/>
    <col min="998" max="998" width="13.5703125" style="269" customWidth="1"/>
    <col min="999" max="999" width="22.5703125" style="269" customWidth="1"/>
    <col min="1000" max="1001" width="22.42578125" style="269" customWidth="1"/>
    <col min="1002" max="1002" width="23.140625" style="269" customWidth="1"/>
    <col min="1003" max="1003" width="11.42578125" style="269" customWidth="1"/>
    <col min="1004" max="1004" width="19.85546875" style="269" customWidth="1"/>
    <col min="1005" max="1005" width="11.42578125" style="269" customWidth="1"/>
    <col min="1006" max="1006" width="6.42578125" style="269" customWidth="1"/>
    <col min="1007" max="1007" width="14" style="269" customWidth="1"/>
    <col min="1008" max="1008" width="7.85546875" style="269" customWidth="1"/>
    <col min="1009" max="1015" width="11.42578125" style="269" customWidth="1"/>
    <col min="1016" max="1016" width="13.5703125" style="269" customWidth="1"/>
    <col min="1017" max="1017" width="17.42578125" style="269" customWidth="1"/>
    <col min="1018" max="1019" width="11.42578125" style="269" customWidth="1"/>
    <col min="1020" max="1020" width="20.7109375" style="269" customWidth="1"/>
    <col min="1021" max="1021" width="11.42578125" style="269" customWidth="1"/>
    <col min="1022" max="1022" width="13.42578125" style="269" customWidth="1"/>
    <col min="1023" max="1025" width="11.42578125" style="269" customWidth="1"/>
    <col min="1026" max="1026" width="15.42578125" style="269" customWidth="1"/>
    <col min="1027" max="1027" width="13.5703125" style="269" customWidth="1"/>
    <col min="1028" max="1028" width="20" style="269" customWidth="1"/>
    <col min="1029" max="1030" width="11.42578125" style="269" customWidth="1"/>
    <col min="1031" max="1031" width="21.7109375" style="269" customWidth="1"/>
    <col min="1032" max="1032" width="13.5703125" style="269" customWidth="1"/>
    <col min="1033" max="1033" width="19.140625" style="269" customWidth="1"/>
    <col min="1034" max="1034" width="23" style="269" customWidth="1"/>
    <col min="1035" max="1036" width="11.42578125" style="269" customWidth="1"/>
    <col min="1037" max="1037" width="12" style="269" customWidth="1"/>
    <col min="1038" max="1040" width="11.42578125" style="269" customWidth="1"/>
    <col min="1041" max="1041" width="14" style="269" customWidth="1"/>
    <col min="1042" max="1042" width="14.85546875" style="269" customWidth="1"/>
    <col min="1043" max="1043" width="11.42578125" style="269" customWidth="1"/>
    <col min="1044" max="1044" width="13.28515625" style="269" customWidth="1"/>
    <col min="1045" max="1045" width="11.42578125" style="269" customWidth="1"/>
    <col min="1046" max="1046" width="19.85546875" style="269" customWidth="1"/>
    <col min="1047" max="1048" width="11.42578125" style="269" customWidth="1"/>
    <col min="1049" max="1049" width="16.28515625" style="269" customWidth="1"/>
    <col min="1050" max="1050" width="14.28515625" style="269" customWidth="1"/>
    <col min="1051" max="1051" width="9.140625" style="269" customWidth="1"/>
    <col min="1052" max="1052" width="17.28515625" style="269" customWidth="1"/>
    <col min="1053" max="1053" width="20.42578125" style="269" customWidth="1"/>
    <col min="1054" max="1054" width="17.5703125" style="269" customWidth="1"/>
    <col min="1055" max="1055" width="15.42578125" style="269" customWidth="1"/>
    <col min="1056" max="1056" width="12.85546875" style="269" customWidth="1"/>
    <col min="1057" max="1057" width="15.5703125" style="269" bestFit="1" customWidth="1"/>
    <col min="1058" max="1058" width="24.42578125" style="269" bestFit="1" customWidth="1"/>
    <col min="1059" max="1059" width="16" style="269" bestFit="1" customWidth="1"/>
    <col min="1060" max="1060" width="15.5703125" style="269" customWidth="1"/>
    <col min="1061" max="1204" width="11.42578125" style="269"/>
    <col min="1205" max="1205" width="11.42578125" style="269" customWidth="1"/>
    <col min="1206" max="1206" width="15.28515625" style="269" customWidth="1"/>
    <col min="1207" max="1208" width="12.5703125" style="269" customWidth="1"/>
    <col min="1209" max="1209" width="11.42578125" style="269" customWidth="1"/>
    <col min="1210" max="1210" width="9" style="269" customWidth="1"/>
    <col min="1211" max="1211" width="23.7109375" style="269" customWidth="1"/>
    <col min="1212" max="1212" width="27.7109375" style="269" customWidth="1"/>
    <col min="1213" max="1213" width="11.42578125" style="269" customWidth="1"/>
    <col min="1214" max="1214" width="2.7109375" style="269" customWidth="1"/>
    <col min="1215" max="1215" width="8.7109375" style="269" customWidth="1"/>
    <col min="1216" max="1216" width="23.7109375" style="269" customWidth="1"/>
    <col min="1217" max="1217" width="27.7109375" style="269" customWidth="1"/>
    <col min="1218" max="1230" width="11.42578125" style="269" customWidth="1"/>
    <col min="1231" max="1231" width="16.5703125" style="269" bestFit="1" customWidth="1"/>
    <col min="1232" max="1232" width="17" style="269" bestFit="1" customWidth="1"/>
    <col min="1233" max="1233" width="11.42578125" style="269" customWidth="1"/>
    <col min="1234" max="1234" width="15.5703125" style="269" customWidth="1"/>
    <col min="1235" max="1235" width="9.28515625" style="269" customWidth="1"/>
    <col min="1236" max="1236" width="12" style="269" customWidth="1"/>
    <col min="1237" max="1237" width="11.140625" style="269" customWidth="1"/>
    <col min="1238" max="1238" width="11.42578125" style="269" customWidth="1"/>
    <col min="1239" max="1239" width="8.140625" style="269" customWidth="1"/>
    <col min="1240" max="1240" width="13.28515625" style="269" customWidth="1"/>
    <col min="1241" max="1241" width="19.7109375" style="269" customWidth="1"/>
    <col min="1242" max="1242" width="14.140625" style="269" customWidth="1"/>
    <col min="1243" max="1243" width="14.85546875" style="269" customWidth="1"/>
    <col min="1244" max="1244" width="9.28515625" style="269" customWidth="1"/>
    <col min="1245" max="1245" width="16.85546875" style="269" customWidth="1"/>
    <col min="1246" max="1246" width="11.85546875" style="269" customWidth="1"/>
    <col min="1247" max="1247" width="21.5703125" style="269" customWidth="1"/>
    <col min="1248" max="1248" width="20.42578125" style="269" customWidth="1"/>
    <col min="1249" max="1249" width="22.28515625" style="269" customWidth="1"/>
    <col min="1250" max="1250" width="11.42578125" style="269" customWidth="1"/>
    <col min="1251" max="1251" width="18.5703125" style="269" customWidth="1"/>
    <col min="1252" max="1252" width="14.28515625" style="269" customWidth="1"/>
    <col min="1253" max="1253" width="12.7109375" style="269" customWidth="1"/>
    <col min="1254" max="1254" width="13.5703125" style="269" customWidth="1"/>
    <col min="1255" max="1255" width="22.5703125" style="269" customWidth="1"/>
    <col min="1256" max="1257" width="22.42578125" style="269" customWidth="1"/>
    <col min="1258" max="1258" width="23.140625" style="269" customWidth="1"/>
    <col min="1259" max="1259" width="11.42578125" style="269" customWidth="1"/>
    <col min="1260" max="1260" width="19.85546875" style="269" customWidth="1"/>
    <col min="1261" max="1261" width="11.42578125" style="269" customWidth="1"/>
    <col min="1262" max="1262" width="6.42578125" style="269" customWidth="1"/>
    <col min="1263" max="1263" width="14" style="269" customWidth="1"/>
    <col min="1264" max="1264" width="7.85546875" style="269" customWidth="1"/>
    <col min="1265" max="1271" width="11.42578125" style="269" customWidth="1"/>
    <col min="1272" max="1272" width="13.5703125" style="269" customWidth="1"/>
    <col min="1273" max="1273" width="17.42578125" style="269" customWidth="1"/>
    <col min="1274" max="1275" width="11.42578125" style="269" customWidth="1"/>
    <col min="1276" max="1276" width="20.7109375" style="269" customWidth="1"/>
    <col min="1277" max="1277" width="11.42578125" style="269" customWidth="1"/>
    <col min="1278" max="1278" width="13.42578125" style="269" customWidth="1"/>
    <col min="1279" max="1281" width="11.42578125" style="269" customWidth="1"/>
    <col min="1282" max="1282" width="15.42578125" style="269" customWidth="1"/>
    <col min="1283" max="1283" width="13.5703125" style="269" customWidth="1"/>
    <col min="1284" max="1284" width="20" style="269" customWidth="1"/>
    <col min="1285" max="1286" width="11.42578125" style="269" customWidth="1"/>
    <col min="1287" max="1287" width="21.7109375" style="269" customWidth="1"/>
    <col min="1288" max="1288" width="13.5703125" style="269" customWidth="1"/>
    <col min="1289" max="1289" width="19.140625" style="269" customWidth="1"/>
    <col min="1290" max="1290" width="23" style="269" customWidth="1"/>
    <col min="1291" max="1292" width="11.42578125" style="269" customWidth="1"/>
    <col min="1293" max="1293" width="12" style="269" customWidth="1"/>
    <col min="1294" max="1296" width="11.42578125" style="269" customWidth="1"/>
    <col min="1297" max="1297" width="14" style="269" customWidth="1"/>
    <col min="1298" max="1298" width="14.85546875" style="269" customWidth="1"/>
    <col min="1299" max="1299" width="11.42578125" style="269" customWidth="1"/>
    <col min="1300" max="1300" width="13.28515625" style="269" customWidth="1"/>
    <col min="1301" max="1301" width="11.42578125" style="269" customWidth="1"/>
    <col min="1302" max="1302" width="19.85546875" style="269" customWidth="1"/>
    <col min="1303" max="1304" width="11.42578125" style="269" customWidth="1"/>
    <col min="1305" max="1305" width="16.28515625" style="269" customWidth="1"/>
    <col min="1306" max="1306" width="14.28515625" style="269" customWidth="1"/>
    <col min="1307" max="1307" width="9.140625" style="269" customWidth="1"/>
    <col min="1308" max="1308" width="17.28515625" style="269" customWidth="1"/>
    <col min="1309" max="1309" width="20.42578125" style="269" customWidth="1"/>
    <col min="1310" max="1310" width="17.5703125" style="269" customWidth="1"/>
    <col min="1311" max="1311" width="15.42578125" style="269" customWidth="1"/>
    <col min="1312" max="1312" width="12.85546875" style="269" customWidth="1"/>
    <col min="1313" max="1313" width="15.5703125" style="269" bestFit="1" customWidth="1"/>
    <col min="1314" max="1314" width="24.42578125" style="269" bestFit="1" customWidth="1"/>
    <col min="1315" max="1315" width="16" style="269" bestFit="1" customWidth="1"/>
    <col min="1316" max="1316" width="15.5703125" style="269" customWidth="1"/>
    <col min="1317" max="1460" width="11.42578125" style="269"/>
    <col min="1461" max="1461" width="11.42578125" style="269" customWidth="1"/>
    <col min="1462" max="1462" width="15.28515625" style="269" customWidth="1"/>
    <col min="1463" max="1464" width="12.5703125" style="269" customWidth="1"/>
    <col min="1465" max="1465" width="11.42578125" style="269" customWidth="1"/>
    <col min="1466" max="1466" width="9" style="269" customWidth="1"/>
    <col min="1467" max="1467" width="23.7109375" style="269" customWidth="1"/>
    <col min="1468" max="1468" width="27.7109375" style="269" customWidth="1"/>
    <col min="1469" max="1469" width="11.42578125" style="269" customWidth="1"/>
    <col min="1470" max="1470" width="2.7109375" style="269" customWidth="1"/>
    <col min="1471" max="1471" width="8.7109375" style="269" customWidth="1"/>
    <col min="1472" max="1472" width="23.7109375" style="269" customWidth="1"/>
    <col min="1473" max="1473" width="27.7109375" style="269" customWidth="1"/>
    <col min="1474" max="1486" width="11.42578125" style="269" customWidth="1"/>
    <col min="1487" max="1487" width="16.5703125" style="269" bestFit="1" customWidth="1"/>
    <col min="1488" max="1488" width="17" style="269" bestFit="1" customWidth="1"/>
    <col min="1489" max="1489" width="11.42578125" style="269" customWidth="1"/>
    <col min="1490" max="1490" width="15.5703125" style="269" customWidth="1"/>
    <col min="1491" max="1491" width="9.28515625" style="269" customWidth="1"/>
    <col min="1492" max="1492" width="12" style="269" customWidth="1"/>
    <col min="1493" max="1493" width="11.140625" style="269" customWidth="1"/>
    <col min="1494" max="1494" width="11.42578125" style="269" customWidth="1"/>
    <col min="1495" max="1495" width="8.140625" style="269" customWidth="1"/>
    <col min="1496" max="1496" width="13.28515625" style="269" customWidth="1"/>
    <col min="1497" max="1497" width="19.7109375" style="269" customWidth="1"/>
    <col min="1498" max="1498" width="14.140625" style="269" customWidth="1"/>
    <col min="1499" max="1499" width="14.85546875" style="269" customWidth="1"/>
    <col min="1500" max="1500" width="9.28515625" style="269" customWidth="1"/>
    <col min="1501" max="1501" width="16.85546875" style="269" customWidth="1"/>
    <col min="1502" max="1502" width="11.85546875" style="269" customWidth="1"/>
    <col min="1503" max="1503" width="21.5703125" style="269" customWidth="1"/>
    <col min="1504" max="1504" width="20.42578125" style="269" customWidth="1"/>
    <col min="1505" max="1505" width="22.28515625" style="269" customWidth="1"/>
    <col min="1506" max="1506" width="11.42578125" style="269" customWidth="1"/>
    <col min="1507" max="1507" width="18.5703125" style="269" customWidth="1"/>
    <col min="1508" max="1508" width="14.28515625" style="269" customWidth="1"/>
    <col min="1509" max="1509" width="12.7109375" style="269" customWidth="1"/>
    <col min="1510" max="1510" width="13.5703125" style="269" customWidth="1"/>
    <col min="1511" max="1511" width="22.5703125" style="269" customWidth="1"/>
    <col min="1512" max="1513" width="22.42578125" style="269" customWidth="1"/>
    <col min="1514" max="1514" width="23.140625" style="269" customWidth="1"/>
    <col min="1515" max="1515" width="11.42578125" style="269" customWidth="1"/>
    <col min="1516" max="1516" width="19.85546875" style="269" customWidth="1"/>
    <col min="1517" max="1517" width="11.42578125" style="269" customWidth="1"/>
    <col min="1518" max="1518" width="6.42578125" style="269" customWidth="1"/>
    <col min="1519" max="1519" width="14" style="269" customWidth="1"/>
    <col min="1520" max="1520" width="7.85546875" style="269" customWidth="1"/>
    <col min="1521" max="1527" width="11.42578125" style="269" customWidth="1"/>
    <col min="1528" max="1528" width="13.5703125" style="269" customWidth="1"/>
    <col min="1529" max="1529" width="17.42578125" style="269" customWidth="1"/>
    <col min="1530" max="1531" width="11.42578125" style="269" customWidth="1"/>
    <col min="1532" max="1532" width="20.7109375" style="269" customWidth="1"/>
    <col min="1533" max="1533" width="11.42578125" style="269" customWidth="1"/>
    <col min="1534" max="1534" width="13.42578125" style="269" customWidth="1"/>
    <col min="1535" max="1537" width="11.42578125" style="269" customWidth="1"/>
    <col min="1538" max="1538" width="15.42578125" style="269" customWidth="1"/>
    <col min="1539" max="1539" width="13.5703125" style="269" customWidth="1"/>
    <col min="1540" max="1540" width="20" style="269" customWidth="1"/>
    <col min="1541" max="1542" width="11.42578125" style="269" customWidth="1"/>
    <col min="1543" max="1543" width="21.7109375" style="269" customWidth="1"/>
    <col min="1544" max="1544" width="13.5703125" style="269" customWidth="1"/>
    <col min="1545" max="1545" width="19.140625" style="269" customWidth="1"/>
    <col min="1546" max="1546" width="23" style="269" customWidth="1"/>
    <col min="1547" max="1548" width="11.42578125" style="269" customWidth="1"/>
    <col min="1549" max="1549" width="12" style="269" customWidth="1"/>
    <col min="1550" max="1552" width="11.42578125" style="269" customWidth="1"/>
    <col min="1553" max="1553" width="14" style="269" customWidth="1"/>
    <col min="1554" max="1554" width="14.85546875" style="269" customWidth="1"/>
    <col min="1555" max="1555" width="11.42578125" style="269" customWidth="1"/>
    <col min="1556" max="1556" width="13.28515625" style="269" customWidth="1"/>
    <col min="1557" max="1557" width="11.42578125" style="269" customWidth="1"/>
    <col min="1558" max="1558" width="19.85546875" style="269" customWidth="1"/>
    <col min="1559" max="1560" width="11.42578125" style="269" customWidth="1"/>
    <col min="1561" max="1561" width="16.28515625" style="269" customWidth="1"/>
    <col min="1562" max="1562" width="14.28515625" style="269" customWidth="1"/>
    <col min="1563" max="1563" width="9.140625" style="269" customWidth="1"/>
    <col min="1564" max="1564" width="17.28515625" style="269" customWidth="1"/>
    <col min="1565" max="1565" width="20.42578125" style="269" customWidth="1"/>
    <col min="1566" max="1566" width="17.5703125" style="269" customWidth="1"/>
    <col min="1567" max="1567" width="15.42578125" style="269" customWidth="1"/>
    <col min="1568" max="1568" width="12.85546875" style="269" customWidth="1"/>
    <col min="1569" max="1569" width="15.5703125" style="269" bestFit="1" customWidth="1"/>
    <col min="1570" max="1570" width="24.42578125" style="269" bestFit="1" customWidth="1"/>
    <col min="1571" max="1571" width="16" style="269" bestFit="1" customWidth="1"/>
    <col min="1572" max="1572" width="15.5703125" style="269" customWidth="1"/>
    <col min="1573" max="1716" width="11.42578125" style="269"/>
    <col min="1717" max="1717" width="11.42578125" style="269" customWidth="1"/>
    <col min="1718" max="1718" width="15.28515625" style="269" customWidth="1"/>
    <col min="1719" max="1720" width="12.5703125" style="269" customWidth="1"/>
    <col min="1721" max="1721" width="11.42578125" style="269" customWidth="1"/>
    <col min="1722" max="1722" width="9" style="269" customWidth="1"/>
    <col min="1723" max="1723" width="23.7109375" style="269" customWidth="1"/>
    <col min="1724" max="1724" width="27.7109375" style="269" customWidth="1"/>
    <col min="1725" max="1725" width="11.42578125" style="269" customWidth="1"/>
    <col min="1726" max="1726" width="2.7109375" style="269" customWidth="1"/>
    <col min="1727" max="1727" width="8.7109375" style="269" customWidth="1"/>
    <col min="1728" max="1728" width="23.7109375" style="269" customWidth="1"/>
    <col min="1729" max="1729" width="27.7109375" style="269" customWidth="1"/>
    <col min="1730" max="1742" width="11.42578125" style="269" customWidth="1"/>
    <col min="1743" max="1743" width="16.5703125" style="269" bestFit="1" customWidth="1"/>
    <col min="1744" max="1744" width="17" style="269" bestFit="1" customWidth="1"/>
    <col min="1745" max="1745" width="11.42578125" style="269" customWidth="1"/>
    <col min="1746" max="1746" width="15.5703125" style="269" customWidth="1"/>
    <col min="1747" max="1747" width="9.28515625" style="269" customWidth="1"/>
    <col min="1748" max="1748" width="12" style="269" customWidth="1"/>
    <col min="1749" max="1749" width="11.140625" style="269" customWidth="1"/>
    <col min="1750" max="1750" width="11.42578125" style="269" customWidth="1"/>
    <col min="1751" max="1751" width="8.140625" style="269" customWidth="1"/>
    <col min="1752" max="1752" width="13.28515625" style="269" customWidth="1"/>
    <col min="1753" max="1753" width="19.7109375" style="269" customWidth="1"/>
    <col min="1754" max="1754" width="14.140625" style="269" customWidth="1"/>
    <col min="1755" max="1755" width="14.85546875" style="269" customWidth="1"/>
    <col min="1756" max="1756" width="9.28515625" style="269" customWidth="1"/>
    <col min="1757" max="1757" width="16.85546875" style="269" customWidth="1"/>
    <col min="1758" max="1758" width="11.85546875" style="269" customWidth="1"/>
    <col min="1759" max="1759" width="21.5703125" style="269" customWidth="1"/>
    <col min="1760" max="1760" width="20.42578125" style="269" customWidth="1"/>
    <col min="1761" max="1761" width="22.28515625" style="269" customWidth="1"/>
    <col min="1762" max="1762" width="11.42578125" style="269" customWidth="1"/>
    <col min="1763" max="1763" width="18.5703125" style="269" customWidth="1"/>
    <col min="1764" max="1764" width="14.28515625" style="269" customWidth="1"/>
    <col min="1765" max="1765" width="12.7109375" style="269" customWidth="1"/>
    <col min="1766" max="1766" width="13.5703125" style="269" customWidth="1"/>
    <col min="1767" max="1767" width="22.5703125" style="269" customWidth="1"/>
    <col min="1768" max="1769" width="22.42578125" style="269" customWidth="1"/>
    <col min="1770" max="1770" width="23.140625" style="269" customWidth="1"/>
    <col min="1771" max="1771" width="11.42578125" style="269" customWidth="1"/>
    <col min="1772" max="1772" width="19.85546875" style="269" customWidth="1"/>
    <col min="1773" max="1773" width="11.42578125" style="269" customWidth="1"/>
    <col min="1774" max="1774" width="6.42578125" style="269" customWidth="1"/>
    <col min="1775" max="1775" width="14" style="269" customWidth="1"/>
    <col min="1776" max="1776" width="7.85546875" style="269" customWidth="1"/>
    <col min="1777" max="1783" width="11.42578125" style="269" customWidth="1"/>
    <col min="1784" max="1784" width="13.5703125" style="269" customWidth="1"/>
    <col min="1785" max="1785" width="17.42578125" style="269" customWidth="1"/>
    <col min="1786" max="1787" width="11.42578125" style="269" customWidth="1"/>
    <col min="1788" max="1788" width="20.7109375" style="269" customWidth="1"/>
    <col min="1789" max="1789" width="11.42578125" style="269" customWidth="1"/>
    <col min="1790" max="1790" width="13.42578125" style="269" customWidth="1"/>
    <col min="1791" max="1793" width="11.42578125" style="269" customWidth="1"/>
    <col min="1794" max="1794" width="15.42578125" style="269" customWidth="1"/>
    <col min="1795" max="1795" width="13.5703125" style="269" customWidth="1"/>
    <col min="1796" max="1796" width="20" style="269" customWidth="1"/>
    <col min="1797" max="1798" width="11.42578125" style="269" customWidth="1"/>
    <col min="1799" max="1799" width="21.7109375" style="269" customWidth="1"/>
    <col min="1800" max="1800" width="13.5703125" style="269" customWidth="1"/>
    <col min="1801" max="1801" width="19.140625" style="269" customWidth="1"/>
    <col min="1802" max="1802" width="23" style="269" customWidth="1"/>
    <col min="1803" max="1804" width="11.42578125" style="269" customWidth="1"/>
    <col min="1805" max="1805" width="12" style="269" customWidth="1"/>
    <col min="1806" max="1808" width="11.42578125" style="269" customWidth="1"/>
    <col min="1809" max="1809" width="14" style="269" customWidth="1"/>
    <col min="1810" max="1810" width="14.85546875" style="269" customWidth="1"/>
    <col min="1811" max="1811" width="11.42578125" style="269" customWidth="1"/>
    <col min="1812" max="1812" width="13.28515625" style="269" customWidth="1"/>
    <col min="1813" max="1813" width="11.42578125" style="269" customWidth="1"/>
    <col min="1814" max="1814" width="19.85546875" style="269" customWidth="1"/>
    <col min="1815" max="1816" width="11.42578125" style="269" customWidth="1"/>
    <col min="1817" max="1817" width="16.28515625" style="269" customWidth="1"/>
    <col min="1818" max="1818" width="14.28515625" style="269" customWidth="1"/>
    <col min="1819" max="1819" width="9.140625" style="269" customWidth="1"/>
    <col min="1820" max="1820" width="17.28515625" style="269" customWidth="1"/>
    <col min="1821" max="1821" width="20.42578125" style="269" customWidth="1"/>
    <col min="1822" max="1822" width="17.5703125" style="269" customWidth="1"/>
    <col min="1823" max="1823" width="15.42578125" style="269" customWidth="1"/>
    <col min="1824" max="1824" width="12.85546875" style="269" customWidth="1"/>
    <col min="1825" max="1825" width="15.5703125" style="269" bestFit="1" customWidth="1"/>
    <col min="1826" max="1826" width="24.42578125" style="269" bestFit="1" customWidth="1"/>
    <col min="1827" max="1827" width="16" style="269" bestFit="1" customWidth="1"/>
    <col min="1828" max="1828" width="15.5703125" style="269" customWidth="1"/>
    <col min="1829" max="1972" width="11.42578125" style="269"/>
    <col min="1973" max="1973" width="11.42578125" style="269" customWidth="1"/>
    <col min="1974" max="1974" width="15.28515625" style="269" customWidth="1"/>
    <col min="1975" max="1976" width="12.5703125" style="269" customWidth="1"/>
    <col min="1977" max="1977" width="11.42578125" style="269" customWidth="1"/>
    <col min="1978" max="1978" width="9" style="269" customWidth="1"/>
    <col min="1979" max="1979" width="23.7109375" style="269" customWidth="1"/>
    <col min="1980" max="1980" width="27.7109375" style="269" customWidth="1"/>
    <col min="1981" max="1981" width="11.42578125" style="269" customWidth="1"/>
    <col min="1982" max="1982" width="2.7109375" style="269" customWidth="1"/>
    <col min="1983" max="1983" width="8.7109375" style="269" customWidth="1"/>
    <col min="1984" max="1984" width="23.7109375" style="269" customWidth="1"/>
    <col min="1985" max="1985" width="27.7109375" style="269" customWidth="1"/>
    <col min="1986" max="1998" width="11.42578125" style="269" customWidth="1"/>
    <col min="1999" max="1999" width="16.5703125" style="269" bestFit="1" customWidth="1"/>
    <col min="2000" max="2000" width="17" style="269" bestFit="1" customWidth="1"/>
    <col min="2001" max="2001" width="11.42578125" style="269" customWidth="1"/>
    <col min="2002" max="2002" width="15.5703125" style="269" customWidth="1"/>
    <col min="2003" max="2003" width="9.28515625" style="269" customWidth="1"/>
    <col min="2004" max="2004" width="12" style="269" customWidth="1"/>
    <col min="2005" max="2005" width="11.140625" style="269" customWidth="1"/>
    <col min="2006" max="2006" width="11.42578125" style="269" customWidth="1"/>
    <col min="2007" max="2007" width="8.140625" style="269" customWidth="1"/>
    <col min="2008" max="2008" width="13.28515625" style="269" customWidth="1"/>
    <col min="2009" max="2009" width="19.7109375" style="269" customWidth="1"/>
    <col min="2010" max="2010" width="14.140625" style="269" customWidth="1"/>
    <col min="2011" max="2011" width="14.85546875" style="269" customWidth="1"/>
    <col min="2012" max="2012" width="9.28515625" style="269" customWidth="1"/>
    <col min="2013" max="2013" width="16.85546875" style="269" customWidth="1"/>
    <col min="2014" max="2014" width="11.85546875" style="269" customWidth="1"/>
    <col min="2015" max="2015" width="21.5703125" style="269" customWidth="1"/>
    <col min="2016" max="2016" width="20.42578125" style="269" customWidth="1"/>
    <col min="2017" max="2017" width="22.28515625" style="269" customWidth="1"/>
    <col min="2018" max="2018" width="11.42578125" style="269" customWidth="1"/>
    <col min="2019" max="2019" width="18.5703125" style="269" customWidth="1"/>
    <col min="2020" max="2020" width="14.28515625" style="269" customWidth="1"/>
    <col min="2021" max="2021" width="12.7109375" style="269" customWidth="1"/>
    <col min="2022" max="2022" width="13.5703125" style="269" customWidth="1"/>
    <col min="2023" max="2023" width="22.5703125" style="269" customWidth="1"/>
    <col min="2024" max="2025" width="22.42578125" style="269" customWidth="1"/>
    <col min="2026" max="2026" width="23.140625" style="269" customWidth="1"/>
    <col min="2027" max="2027" width="11.42578125" style="269" customWidth="1"/>
    <col min="2028" max="2028" width="19.85546875" style="269" customWidth="1"/>
    <col min="2029" max="2029" width="11.42578125" style="269" customWidth="1"/>
    <col min="2030" max="2030" width="6.42578125" style="269" customWidth="1"/>
    <col min="2031" max="2031" width="14" style="269" customWidth="1"/>
    <col min="2032" max="2032" width="7.85546875" style="269" customWidth="1"/>
    <col min="2033" max="2039" width="11.42578125" style="269" customWidth="1"/>
    <col min="2040" max="2040" width="13.5703125" style="269" customWidth="1"/>
    <col min="2041" max="2041" width="17.42578125" style="269" customWidth="1"/>
    <col min="2042" max="2043" width="11.42578125" style="269" customWidth="1"/>
    <col min="2044" max="2044" width="20.7109375" style="269" customWidth="1"/>
    <col min="2045" max="2045" width="11.42578125" style="269" customWidth="1"/>
    <col min="2046" max="2046" width="13.42578125" style="269" customWidth="1"/>
    <col min="2047" max="2049" width="11.42578125" style="269" customWidth="1"/>
    <col min="2050" max="2050" width="15.42578125" style="269" customWidth="1"/>
    <col min="2051" max="2051" width="13.5703125" style="269" customWidth="1"/>
    <col min="2052" max="2052" width="20" style="269" customWidth="1"/>
    <col min="2053" max="2054" width="11.42578125" style="269" customWidth="1"/>
    <col min="2055" max="2055" width="21.7109375" style="269" customWidth="1"/>
    <col min="2056" max="2056" width="13.5703125" style="269" customWidth="1"/>
    <col min="2057" max="2057" width="19.140625" style="269" customWidth="1"/>
    <col min="2058" max="2058" width="23" style="269" customWidth="1"/>
    <col min="2059" max="2060" width="11.42578125" style="269" customWidth="1"/>
    <col min="2061" max="2061" width="12" style="269" customWidth="1"/>
    <col min="2062" max="2064" width="11.42578125" style="269" customWidth="1"/>
    <col min="2065" max="2065" width="14" style="269" customWidth="1"/>
    <col min="2066" max="2066" width="14.85546875" style="269" customWidth="1"/>
    <col min="2067" max="2067" width="11.42578125" style="269" customWidth="1"/>
    <col min="2068" max="2068" width="13.28515625" style="269" customWidth="1"/>
    <col min="2069" max="2069" width="11.42578125" style="269" customWidth="1"/>
    <col min="2070" max="2070" width="19.85546875" style="269" customWidth="1"/>
    <col min="2071" max="2072" width="11.42578125" style="269" customWidth="1"/>
    <col min="2073" max="2073" width="16.28515625" style="269" customWidth="1"/>
    <col min="2074" max="2074" width="14.28515625" style="269" customWidth="1"/>
    <col min="2075" max="2075" width="9.140625" style="269" customWidth="1"/>
    <col min="2076" max="2076" width="17.28515625" style="269" customWidth="1"/>
    <col min="2077" max="2077" width="20.42578125" style="269" customWidth="1"/>
    <col min="2078" max="2078" width="17.5703125" style="269" customWidth="1"/>
    <col min="2079" max="2079" width="15.42578125" style="269" customWidth="1"/>
    <col min="2080" max="2080" width="12.85546875" style="269" customWidth="1"/>
    <col min="2081" max="2081" width="15.5703125" style="269" bestFit="1" customWidth="1"/>
    <col min="2082" max="2082" width="24.42578125" style="269" bestFit="1" customWidth="1"/>
    <col min="2083" max="2083" width="16" style="269" bestFit="1" customWidth="1"/>
    <col min="2084" max="2084" width="15.5703125" style="269" customWidth="1"/>
    <col min="2085" max="2228" width="11.42578125" style="269"/>
    <col min="2229" max="2229" width="11.42578125" style="269" customWidth="1"/>
    <col min="2230" max="2230" width="15.28515625" style="269" customWidth="1"/>
    <col min="2231" max="2232" width="12.5703125" style="269" customWidth="1"/>
    <col min="2233" max="2233" width="11.42578125" style="269" customWidth="1"/>
    <col min="2234" max="2234" width="9" style="269" customWidth="1"/>
    <col min="2235" max="2235" width="23.7109375" style="269" customWidth="1"/>
    <col min="2236" max="2236" width="27.7109375" style="269" customWidth="1"/>
    <col min="2237" max="2237" width="11.42578125" style="269" customWidth="1"/>
    <col min="2238" max="2238" width="2.7109375" style="269" customWidth="1"/>
    <col min="2239" max="2239" width="8.7109375" style="269" customWidth="1"/>
    <col min="2240" max="2240" width="23.7109375" style="269" customWidth="1"/>
    <col min="2241" max="2241" width="27.7109375" style="269" customWidth="1"/>
    <col min="2242" max="2254" width="11.42578125" style="269" customWidth="1"/>
    <col min="2255" max="2255" width="16.5703125" style="269" bestFit="1" customWidth="1"/>
    <col min="2256" max="2256" width="17" style="269" bestFit="1" customWidth="1"/>
    <col min="2257" max="2257" width="11.42578125" style="269" customWidth="1"/>
    <col min="2258" max="2258" width="15.5703125" style="269" customWidth="1"/>
    <col min="2259" max="2259" width="9.28515625" style="269" customWidth="1"/>
    <col min="2260" max="2260" width="12" style="269" customWidth="1"/>
    <col min="2261" max="2261" width="11.140625" style="269" customWidth="1"/>
    <col min="2262" max="2262" width="11.42578125" style="269" customWidth="1"/>
    <col min="2263" max="2263" width="8.140625" style="269" customWidth="1"/>
    <col min="2264" max="2264" width="13.28515625" style="269" customWidth="1"/>
    <col min="2265" max="2265" width="19.7109375" style="269" customWidth="1"/>
    <col min="2266" max="2266" width="14.140625" style="269" customWidth="1"/>
    <col min="2267" max="2267" width="14.85546875" style="269" customWidth="1"/>
    <col min="2268" max="2268" width="9.28515625" style="269" customWidth="1"/>
    <col min="2269" max="2269" width="16.85546875" style="269" customWidth="1"/>
    <col min="2270" max="2270" width="11.85546875" style="269" customWidth="1"/>
    <col min="2271" max="2271" width="21.5703125" style="269" customWidth="1"/>
    <col min="2272" max="2272" width="20.42578125" style="269" customWidth="1"/>
    <col min="2273" max="2273" width="22.28515625" style="269" customWidth="1"/>
    <col min="2274" max="2274" width="11.42578125" style="269" customWidth="1"/>
    <col min="2275" max="2275" width="18.5703125" style="269" customWidth="1"/>
    <col min="2276" max="2276" width="14.28515625" style="269" customWidth="1"/>
    <col min="2277" max="2277" width="12.7109375" style="269" customWidth="1"/>
    <col min="2278" max="2278" width="13.5703125" style="269" customWidth="1"/>
    <col min="2279" max="2279" width="22.5703125" style="269" customWidth="1"/>
    <col min="2280" max="2281" width="22.42578125" style="269" customWidth="1"/>
    <col min="2282" max="2282" width="23.140625" style="269" customWidth="1"/>
    <col min="2283" max="2283" width="11.42578125" style="269" customWidth="1"/>
    <col min="2284" max="2284" width="19.85546875" style="269" customWidth="1"/>
    <col min="2285" max="2285" width="11.42578125" style="269" customWidth="1"/>
    <col min="2286" max="2286" width="6.42578125" style="269" customWidth="1"/>
    <col min="2287" max="2287" width="14" style="269" customWidth="1"/>
    <col min="2288" max="2288" width="7.85546875" style="269" customWidth="1"/>
    <col min="2289" max="2295" width="11.42578125" style="269" customWidth="1"/>
    <col min="2296" max="2296" width="13.5703125" style="269" customWidth="1"/>
    <col min="2297" max="2297" width="17.42578125" style="269" customWidth="1"/>
    <col min="2298" max="2299" width="11.42578125" style="269" customWidth="1"/>
    <col min="2300" max="2300" width="20.7109375" style="269" customWidth="1"/>
    <col min="2301" max="2301" width="11.42578125" style="269" customWidth="1"/>
    <col min="2302" max="2302" width="13.42578125" style="269" customWidth="1"/>
    <col min="2303" max="2305" width="11.42578125" style="269" customWidth="1"/>
    <col min="2306" max="2306" width="15.42578125" style="269" customWidth="1"/>
    <col min="2307" max="2307" width="13.5703125" style="269" customWidth="1"/>
    <col min="2308" max="2308" width="20" style="269" customWidth="1"/>
    <col min="2309" max="2310" width="11.42578125" style="269" customWidth="1"/>
    <col min="2311" max="2311" width="21.7109375" style="269" customWidth="1"/>
    <col min="2312" max="2312" width="13.5703125" style="269" customWidth="1"/>
    <col min="2313" max="2313" width="19.140625" style="269" customWidth="1"/>
    <col min="2314" max="2314" width="23" style="269" customWidth="1"/>
    <col min="2315" max="2316" width="11.42578125" style="269" customWidth="1"/>
    <col min="2317" max="2317" width="12" style="269" customWidth="1"/>
    <col min="2318" max="2320" width="11.42578125" style="269" customWidth="1"/>
    <col min="2321" max="2321" width="14" style="269" customWidth="1"/>
    <col min="2322" max="2322" width="14.85546875" style="269" customWidth="1"/>
    <col min="2323" max="2323" width="11.42578125" style="269" customWidth="1"/>
    <col min="2324" max="2324" width="13.28515625" style="269" customWidth="1"/>
    <col min="2325" max="2325" width="11.42578125" style="269" customWidth="1"/>
    <col min="2326" max="2326" width="19.85546875" style="269" customWidth="1"/>
    <col min="2327" max="2328" width="11.42578125" style="269" customWidth="1"/>
    <col min="2329" max="2329" width="16.28515625" style="269" customWidth="1"/>
    <col min="2330" max="2330" width="14.28515625" style="269" customWidth="1"/>
    <col min="2331" max="2331" width="9.140625" style="269" customWidth="1"/>
    <col min="2332" max="2332" width="17.28515625" style="269" customWidth="1"/>
    <col min="2333" max="2333" width="20.42578125" style="269" customWidth="1"/>
    <col min="2334" max="2334" width="17.5703125" style="269" customWidth="1"/>
    <col min="2335" max="2335" width="15.42578125" style="269" customWidth="1"/>
    <col min="2336" max="2336" width="12.85546875" style="269" customWidth="1"/>
    <col min="2337" max="2337" width="15.5703125" style="269" bestFit="1" customWidth="1"/>
    <col min="2338" max="2338" width="24.42578125" style="269" bestFit="1" customWidth="1"/>
    <col min="2339" max="2339" width="16" style="269" bestFit="1" customWidth="1"/>
    <col min="2340" max="2340" width="15.5703125" style="269" customWidth="1"/>
    <col min="2341" max="2484" width="11.42578125" style="269"/>
    <col min="2485" max="2485" width="11.42578125" style="269" customWidth="1"/>
    <col min="2486" max="2486" width="15.28515625" style="269" customWidth="1"/>
    <col min="2487" max="2488" width="12.5703125" style="269" customWidth="1"/>
    <col min="2489" max="2489" width="11.42578125" style="269" customWidth="1"/>
    <col min="2490" max="2490" width="9" style="269" customWidth="1"/>
    <col min="2491" max="2491" width="23.7109375" style="269" customWidth="1"/>
    <col min="2492" max="2492" width="27.7109375" style="269" customWidth="1"/>
    <col min="2493" max="2493" width="11.42578125" style="269" customWidth="1"/>
    <col min="2494" max="2494" width="2.7109375" style="269" customWidth="1"/>
    <col min="2495" max="2495" width="8.7109375" style="269" customWidth="1"/>
    <col min="2496" max="2496" width="23.7109375" style="269" customWidth="1"/>
    <col min="2497" max="2497" width="27.7109375" style="269" customWidth="1"/>
    <col min="2498" max="2510" width="11.42578125" style="269" customWidth="1"/>
    <col min="2511" max="2511" width="16.5703125" style="269" bestFit="1" customWidth="1"/>
    <col min="2512" max="2512" width="17" style="269" bestFit="1" customWidth="1"/>
    <col min="2513" max="2513" width="11.42578125" style="269" customWidth="1"/>
    <col min="2514" max="2514" width="15.5703125" style="269" customWidth="1"/>
    <col min="2515" max="2515" width="9.28515625" style="269" customWidth="1"/>
    <col min="2516" max="2516" width="12" style="269" customWidth="1"/>
    <col min="2517" max="2517" width="11.140625" style="269" customWidth="1"/>
    <col min="2518" max="2518" width="11.42578125" style="269" customWidth="1"/>
    <col min="2519" max="2519" width="8.140625" style="269" customWidth="1"/>
    <col min="2520" max="2520" width="13.28515625" style="269" customWidth="1"/>
    <col min="2521" max="2521" width="19.7109375" style="269" customWidth="1"/>
    <col min="2522" max="2522" width="14.140625" style="269" customWidth="1"/>
    <col min="2523" max="2523" width="14.85546875" style="269" customWidth="1"/>
    <col min="2524" max="2524" width="9.28515625" style="269" customWidth="1"/>
    <col min="2525" max="2525" width="16.85546875" style="269" customWidth="1"/>
    <col min="2526" max="2526" width="11.85546875" style="269" customWidth="1"/>
    <col min="2527" max="2527" width="21.5703125" style="269" customWidth="1"/>
    <col min="2528" max="2528" width="20.42578125" style="269" customWidth="1"/>
    <col min="2529" max="2529" width="22.28515625" style="269" customWidth="1"/>
    <col min="2530" max="2530" width="11.42578125" style="269" customWidth="1"/>
    <col min="2531" max="2531" width="18.5703125" style="269" customWidth="1"/>
    <col min="2532" max="2532" width="14.28515625" style="269" customWidth="1"/>
    <col min="2533" max="2533" width="12.7109375" style="269" customWidth="1"/>
    <col min="2534" max="2534" width="13.5703125" style="269" customWidth="1"/>
    <col min="2535" max="2535" width="22.5703125" style="269" customWidth="1"/>
    <col min="2536" max="2537" width="22.42578125" style="269" customWidth="1"/>
    <col min="2538" max="2538" width="23.140625" style="269" customWidth="1"/>
    <col min="2539" max="2539" width="11.42578125" style="269" customWidth="1"/>
    <col min="2540" max="2540" width="19.85546875" style="269" customWidth="1"/>
    <col min="2541" max="2541" width="11.42578125" style="269" customWidth="1"/>
    <col min="2542" max="2542" width="6.42578125" style="269" customWidth="1"/>
    <col min="2543" max="2543" width="14" style="269" customWidth="1"/>
    <col min="2544" max="2544" width="7.85546875" style="269" customWidth="1"/>
    <col min="2545" max="2551" width="11.42578125" style="269" customWidth="1"/>
    <col min="2552" max="2552" width="13.5703125" style="269" customWidth="1"/>
    <col min="2553" max="2553" width="17.42578125" style="269" customWidth="1"/>
    <col min="2554" max="2555" width="11.42578125" style="269" customWidth="1"/>
    <col min="2556" max="2556" width="20.7109375" style="269" customWidth="1"/>
    <col min="2557" max="2557" width="11.42578125" style="269" customWidth="1"/>
    <col min="2558" max="2558" width="13.42578125" style="269" customWidth="1"/>
    <col min="2559" max="2561" width="11.42578125" style="269" customWidth="1"/>
    <col min="2562" max="2562" width="15.42578125" style="269" customWidth="1"/>
    <col min="2563" max="2563" width="13.5703125" style="269" customWidth="1"/>
    <col min="2564" max="2564" width="20" style="269" customWidth="1"/>
    <col min="2565" max="2566" width="11.42578125" style="269" customWidth="1"/>
    <col min="2567" max="2567" width="21.7109375" style="269" customWidth="1"/>
    <col min="2568" max="2568" width="13.5703125" style="269" customWidth="1"/>
    <col min="2569" max="2569" width="19.140625" style="269" customWidth="1"/>
    <col min="2570" max="2570" width="23" style="269" customWidth="1"/>
    <col min="2571" max="2572" width="11.42578125" style="269" customWidth="1"/>
    <col min="2573" max="2573" width="12" style="269" customWidth="1"/>
    <col min="2574" max="2576" width="11.42578125" style="269" customWidth="1"/>
    <col min="2577" max="2577" width="14" style="269" customWidth="1"/>
    <col min="2578" max="2578" width="14.85546875" style="269" customWidth="1"/>
    <col min="2579" max="2579" width="11.42578125" style="269" customWidth="1"/>
    <col min="2580" max="2580" width="13.28515625" style="269" customWidth="1"/>
    <col min="2581" max="2581" width="11.42578125" style="269" customWidth="1"/>
    <col min="2582" max="2582" width="19.85546875" style="269" customWidth="1"/>
    <col min="2583" max="2584" width="11.42578125" style="269" customWidth="1"/>
    <col min="2585" max="2585" width="16.28515625" style="269" customWidth="1"/>
    <col min="2586" max="2586" width="14.28515625" style="269" customWidth="1"/>
    <col min="2587" max="2587" width="9.140625" style="269" customWidth="1"/>
    <col min="2588" max="2588" width="17.28515625" style="269" customWidth="1"/>
    <col min="2589" max="2589" width="20.42578125" style="269" customWidth="1"/>
    <col min="2590" max="2590" width="17.5703125" style="269" customWidth="1"/>
    <col min="2591" max="2591" width="15.42578125" style="269" customWidth="1"/>
    <col min="2592" max="2592" width="12.85546875" style="269" customWidth="1"/>
    <col min="2593" max="2593" width="15.5703125" style="269" bestFit="1" customWidth="1"/>
    <col min="2594" max="2594" width="24.42578125" style="269" bestFit="1" customWidth="1"/>
    <col min="2595" max="2595" width="16" style="269" bestFit="1" customWidth="1"/>
    <col min="2596" max="2596" width="15.5703125" style="269" customWidth="1"/>
    <col min="2597" max="2740" width="11.42578125" style="269"/>
    <col min="2741" max="2741" width="11.42578125" style="269" customWidth="1"/>
    <col min="2742" max="2742" width="15.28515625" style="269" customWidth="1"/>
    <col min="2743" max="2744" width="12.5703125" style="269" customWidth="1"/>
    <col min="2745" max="2745" width="11.42578125" style="269" customWidth="1"/>
    <col min="2746" max="2746" width="9" style="269" customWidth="1"/>
    <col min="2747" max="2747" width="23.7109375" style="269" customWidth="1"/>
    <col min="2748" max="2748" width="27.7109375" style="269" customWidth="1"/>
    <col min="2749" max="2749" width="11.42578125" style="269" customWidth="1"/>
    <col min="2750" max="2750" width="2.7109375" style="269" customWidth="1"/>
    <col min="2751" max="2751" width="8.7109375" style="269" customWidth="1"/>
    <col min="2752" max="2752" width="23.7109375" style="269" customWidth="1"/>
    <col min="2753" max="2753" width="27.7109375" style="269" customWidth="1"/>
    <col min="2754" max="2766" width="11.42578125" style="269" customWidth="1"/>
    <col min="2767" max="2767" width="16.5703125" style="269" bestFit="1" customWidth="1"/>
    <col min="2768" max="2768" width="17" style="269" bestFit="1" customWidth="1"/>
    <col min="2769" max="2769" width="11.42578125" style="269" customWidth="1"/>
    <col min="2770" max="2770" width="15.5703125" style="269" customWidth="1"/>
    <col min="2771" max="2771" width="9.28515625" style="269" customWidth="1"/>
    <col min="2772" max="2772" width="12" style="269" customWidth="1"/>
    <col min="2773" max="2773" width="11.140625" style="269" customWidth="1"/>
    <col min="2774" max="2774" width="11.42578125" style="269" customWidth="1"/>
    <col min="2775" max="2775" width="8.140625" style="269" customWidth="1"/>
    <col min="2776" max="2776" width="13.28515625" style="269" customWidth="1"/>
    <col min="2777" max="2777" width="19.7109375" style="269" customWidth="1"/>
    <col min="2778" max="2778" width="14.140625" style="269" customWidth="1"/>
    <col min="2779" max="2779" width="14.85546875" style="269" customWidth="1"/>
    <col min="2780" max="2780" width="9.28515625" style="269" customWidth="1"/>
    <col min="2781" max="2781" width="16.85546875" style="269" customWidth="1"/>
    <col min="2782" max="2782" width="11.85546875" style="269" customWidth="1"/>
    <col min="2783" max="2783" width="21.5703125" style="269" customWidth="1"/>
    <col min="2784" max="2784" width="20.42578125" style="269" customWidth="1"/>
    <col min="2785" max="2785" width="22.28515625" style="269" customWidth="1"/>
    <col min="2786" max="2786" width="11.42578125" style="269" customWidth="1"/>
    <col min="2787" max="2787" width="18.5703125" style="269" customWidth="1"/>
    <col min="2788" max="2788" width="14.28515625" style="269" customWidth="1"/>
    <col min="2789" max="2789" width="12.7109375" style="269" customWidth="1"/>
    <col min="2790" max="2790" width="13.5703125" style="269" customWidth="1"/>
    <col min="2791" max="2791" width="22.5703125" style="269" customWidth="1"/>
    <col min="2792" max="2793" width="22.42578125" style="269" customWidth="1"/>
    <col min="2794" max="2794" width="23.140625" style="269" customWidth="1"/>
    <col min="2795" max="2795" width="11.42578125" style="269" customWidth="1"/>
    <col min="2796" max="2796" width="19.85546875" style="269" customWidth="1"/>
    <col min="2797" max="2797" width="11.42578125" style="269" customWidth="1"/>
    <col min="2798" max="2798" width="6.42578125" style="269" customWidth="1"/>
    <col min="2799" max="2799" width="14" style="269" customWidth="1"/>
    <col min="2800" max="2800" width="7.85546875" style="269" customWidth="1"/>
    <col min="2801" max="2807" width="11.42578125" style="269" customWidth="1"/>
    <col min="2808" max="2808" width="13.5703125" style="269" customWidth="1"/>
    <col min="2809" max="2809" width="17.42578125" style="269" customWidth="1"/>
    <col min="2810" max="2811" width="11.42578125" style="269" customWidth="1"/>
    <col min="2812" max="2812" width="20.7109375" style="269" customWidth="1"/>
    <col min="2813" max="2813" width="11.42578125" style="269" customWidth="1"/>
    <col min="2814" max="2814" width="13.42578125" style="269" customWidth="1"/>
    <col min="2815" max="2817" width="11.42578125" style="269" customWidth="1"/>
    <col min="2818" max="2818" width="15.42578125" style="269" customWidth="1"/>
    <col min="2819" max="2819" width="13.5703125" style="269" customWidth="1"/>
    <col min="2820" max="2820" width="20" style="269" customWidth="1"/>
    <col min="2821" max="2822" width="11.42578125" style="269" customWidth="1"/>
    <col min="2823" max="2823" width="21.7109375" style="269" customWidth="1"/>
    <col min="2824" max="2824" width="13.5703125" style="269" customWidth="1"/>
    <col min="2825" max="2825" width="19.140625" style="269" customWidth="1"/>
    <col min="2826" max="2826" width="23" style="269" customWidth="1"/>
    <col min="2827" max="2828" width="11.42578125" style="269" customWidth="1"/>
    <col min="2829" max="2829" width="12" style="269" customWidth="1"/>
    <col min="2830" max="2832" width="11.42578125" style="269" customWidth="1"/>
    <col min="2833" max="2833" width="14" style="269" customWidth="1"/>
    <col min="2834" max="2834" width="14.85546875" style="269" customWidth="1"/>
    <col min="2835" max="2835" width="11.42578125" style="269" customWidth="1"/>
    <col min="2836" max="2836" width="13.28515625" style="269" customWidth="1"/>
    <col min="2837" max="2837" width="11.42578125" style="269" customWidth="1"/>
    <col min="2838" max="2838" width="19.85546875" style="269" customWidth="1"/>
    <col min="2839" max="2840" width="11.42578125" style="269" customWidth="1"/>
    <col min="2841" max="2841" width="16.28515625" style="269" customWidth="1"/>
    <col min="2842" max="2842" width="14.28515625" style="269" customWidth="1"/>
    <col min="2843" max="2843" width="9.140625" style="269" customWidth="1"/>
    <col min="2844" max="2844" width="17.28515625" style="269" customWidth="1"/>
    <col min="2845" max="2845" width="20.42578125" style="269" customWidth="1"/>
    <col min="2846" max="2846" width="17.5703125" style="269" customWidth="1"/>
    <col min="2847" max="2847" width="15.42578125" style="269" customWidth="1"/>
    <col min="2848" max="2848" width="12.85546875" style="269" customWidth="1"/>
    <col min="2849" max="2849" width="15.5703125" style="269" bestFit="1" customWidth="1"/>
    <col min="2850" max="2850" width="24.42578125" style="269" bestFit="1" customWidth="1"/>
    <col min="2851" max="2851" width="16" style="269" bestFit="1" customWidth="1"/>
    <col min="2852" max="2852" width="15.5703125" style="269" customWidth="1"/>
    <col min="2853" max="2996" width="11.42578125" style="269"/>
    <col min="2997" max="2997" width="11.42578125" style="269" customWidth="1"/>
    <col min="2998" max="2998" width="15.28515625" style="269" customWidth="1"/>
    <col min="2999" max="3000" width="12.5703125" style="269" customWidth="1"/>
    <col min="3001" max="3001" width="11.42578125" style="269" customWidth="1"/>
    <col min="3002" max="3002" width="9" style="269" customWidth="1"/>
    <col min="3003" max="3003" width="23.7109375" style="269" customWidth="1"/>
    <col min="3004" max="3004" width="27.7109375" style="269" customWidth="1"/>
    <col min="3005" max="3005" width="11.42578125" style="269" customWidth="1"/>
    <col min="3006" max="3006" width="2.7109375" style="269" customWidth="1"/>
    <col min="3007" max="3007" width="8.7109375" style="269" customWidth="1"/>
    <col min="3008" max="3008" width="23.7109375" style="269" customWidth="1"/>
    <col min="3009" max="3009" width="27.7109375" style="269" customWidth="1"/>
    <col min="3010" max="3022" width="11.42578125" style="269" customWidth="1"/>
    <col min="3023" max="3023" width="16.5703125" style="269" bestFit="1" customWidth="1"/>
    <col min="3024" max="3024" width="17" style="269" bestFit="1" customWidth="1"/>
    <col min="3025" max="3025" width="11.42578125" style="269" customWidth="1"/>
    <col min="3026" max="3026" width="15.5703125" style="269" customWidth="1"/>
    <col min="3027" max="3027" width="9.28515625" style="269" customWidth="1"/>
    <col min="3028" max="3028" width="12" style="269" customWidth="1"/>
    <col min="3029" max="3029" width="11.140625" style="269" customWidth="1"/>
    <col min="3030" max="3030" width="11.42578125" style="269" customWidth="1"/>
    <col min="3031" max="3031" width="8.140625" style="269" customWidth="1"/>
    <col min="3032" max="3032" width="13.28515625" style="269" customWidth="1"/>
    <col min="3033" max="3033" width="19.7109375" style="269" customWidth="1"/>
    <col min="3034" max="3034" width="14.140625" style="269" customWidth="1"/>
    <col min="3035" max="3035" width="14.85546875" style="269" customWidth="1"/>
    <col min="3036" max="3036" width="9.28515625" style="269" customWidth="1"/>
    <col min="3037" max="3037" width="16.85546875" style="269" customWidth="1"/>
    <col min="3038" max="3038" width="11.85546875" style="269" customWidth="1"/>
    <col min="3039" max="3039" width="21.5703125" style="269" customWidth="1"/>
    <col min="3040" max="3040" width="20.42578125" style="269" customWidth="1"/>
    <col min="3041" max="3041" width="22.28515625" style="269" customWidth="1"/>
    <col min="3042" max="3042" width="11.42578125" style="269" customWidth="1"/>
    <col min="3043" max="3043" width="18.5703125" style="269" customWidth="1"/>
    <col min="3044" max="3044" width="14.28515625" style="269" customWidth="1"/>
    <col min="3045" max="3045" width="12.7109375" style="269" customWidth="1"/>
    <col min="3046" max="3046" width="13.5703125" style="269" customWidth="1"/>
    <col min="3047" max="3047" width="22.5703125" style="269" customWidth="1"/>
    <col min="3048" max="3049" width="22.42578125" style="269" customWidth="1"/>
    <col min="3050" max="3050" width="23.140625" style="269" customWidth="1"/>
    <col min="3051" max="3051" width="11.42578125" style="269" customWidth="1"/>
    <col min="3052" max="3052" width="19.85546875" style="269" customWidth="1"/>
    <col min="3053" max="3053" width="11.42578125" style="269" customWidth="1"/>
    <col min="3054" max="3054" width="6.42578125" style="269" customWidth="1"/>
    <col min="3055" max="3055" width="14" style="269" customWidth="1"/>
    <col min="3056" max="3056" width="7.85546875" style="269" customWidth="1"/>
    <col min="3057" max="3063" width="11.42578125" style="269" customWidth="1"/>
    <col min="3064" max="3064" width="13.5703125" style="269" customWidth="1"/>
    <col min="3065" max="3065" width="17.42578125" style="269" customWidth="1"/>
    <col min="3066" max="3067" width="11.42578125" style="269" customWidth="1"/>
    <col min="3068" max="3068" width="20.7109375" style="269" customWidth="1"/>
    <col min="3069" max="3069" width="11.42578125" style="269" customWidth="1"/>
    <col min="3070" max="3070" width="13.42578125" style="269" customWidth="1"/>
    <col min="3071" max="3073" width="11.42578125" style="269" customWidth="1"/>
    <col min="3074" max="3074" width="15.42578125" style="269" customWidth="1"/>
    <col min="3075" max="3075" width="13.5703125" style="269" customWidth="1"/>
    <col min="3076" max="3076" width="20" style="269" customWidth="1"/>
    <col min="3077" max="3078" width="11.42578125" style="269" customWidth="1"/>
    <col min="3079" max="3079" width="21.7109375" style="269" customWidth="1"/>
    <col min="3080" max="3080" width="13.5703125" style="269" customWidth="1"/>
    <col min="3081" max="3081" width="19.140625" style="269" customWidth="1"/>
    <col min="3082" max="3082" width="23" style="269" customWidth="1"/>
    <col min="3083" max="3084" width="11.42578125" style="269" customWidth="1"/>
    <col min="3085" max="3085" width="12" style="269" customWidth="1"/>
    <col min="3086" max="3088" width="11.42578125" style="269" customWidth="1"/>
    <col min="3089" max="3089" width="14" style="269" customWidth="1"/>
    <col min="3090" max="3090" width="14.85546875" style="269" customWidth="1"/>
    <col min="3091" max="3091" width="11.42578125" style="269" customWidth="1"/>
    <col min="3092" max="3092" width="13.28515625" style="269" customWidth="1"/>
    <col min="3093" max="3093" width="11.42578125" style="269" customWidth="1"/>
    <col min="3094" max="3094" width="19.85546875" style="269" customWidth="1"/>
    <col min="3095" max="3096" width="11.42578125" style="269" customWidth="1"/>
    <col min="3097" max="3097" width="16.28515625" style="269" customWidth="1"/>
    <col min="3098" max="3098" width="14.28515625" style="269" customWidth="1"/>
    <col min="3099" max="3099" width="9.140625" style="269" customWidth="1"/>
    <col min="3100" max="3100" width="17.28515625" style="269" customWidth="1"/>
    <col min="3101" max="3101" width="20.42578125" style="269" customWidth="1"/>
    <col min="3102" max="3102" width="17.5703125" style="269" customWidth="1"/>
    <col min="3103" max="3103" width="15.42578125" style="269" customWidth="1"/>
    <col min="3104" max="3104" width="12.85546875" style="269" customWidth="1"/>
    <col min="3105" max="3105" width="15.5703125" style="269" bestFit="1" customWidth="1"/>
    <col min="3106" max="3106" width="24.42578125" style="269" bestFit="1" customWidth="1"/>
    <col min="3107" max="3107" width="16" style="269" bestFit="1" customWidth="1"/>
    <col min="3108" max="3108" width="15.5703125" style="269" customWidth="1"/>
    <col min="3109" max="3252" width="11.42578125" style="269"/>
    <col min="3253" max="3253" width="11.42578125" style="269" customWidth="1"/>
    <col min="3254" max="3254" width="15.28515625" style="269" customWidth="1"/>
    <col min="3255" max="3256" width="12.5703125" style="269" customWidth="1"/>
    <col min="3257" max="3257" width="11.42578125" style="269" customWidth="1"/>
    <col min="3258" max="3258" width="9" style="269" customWidth="1"/>
    <col min="3259" max="3259" width="23.7109375" style="269" customWidth="1"/>
    <col min="3260" max="3260" width="27.7109375" style="269" customWidth="1"/>
    <col min="3261" max="3261" width="11.42578125" style="269" customWidth="1"/>
    <col min="3262" max="3262" width="2.7109375" style="269" customWidth="1"/>
    <col min="3263" max="3263" width="8.7109375" style="269" customWidth="1"/>
    <col min="3264" max="3264" width="23.7109375" style="269" customWidth="1"/>
    <col min="3265" max="3265" width="27.7109375" style="269" customWidth="1"/>
    <col min="3266" max="3278" width="11.42578125" style="269" customWidth="1"/>
    <col min="3279" max="3279" width="16.5703125" style="269" bestFit="1" customWidth="1"/>
    <col min="3280" max="3280" width="17" style="269" bestFit="1" customWidth="1"/>
    <col min="3281" max="3281" width="11.42578125" style="269" customWidth="1"/>
    <col min="3282" max="3282" width="15.5703125" style="269" customWidth="1"/>
    <col min="3283" max="3283" width="9.28515625" style="269" customWidth="1"/>
    <col min="3284" max="3284" width="12" style="269" customWidth="1"/>
    <col min="3285" max="3285" width="11.140625" style="269" customWidth="1"/>
    <col min="3286" max="3286" width="11.42578125" style="269" customWidth="1"/>
    <col min="3287" max="3287" width="8.140625" style="269" customWidth="1"/>
    <col min="3288" max="3288" width="13.28515625" style="269" customWidth="1"/>
    <col min="3289" max="3289" width="19.7109375" style="269" customWidth="1"/>
    <col min="3290" max="3290" width="14.140625" style="269" customWidth="1"/>
    <col min="3291" max="3291" width="14.85546875" style="269" customWidth="1"/>
    <col min="3292" max="3292" width="9.28515625" style="269" customWidth="1"/>
    <col min="3293" max="3293" width="16.85546875" style="269" customWidth="1"/>
    <col min="3294" max="3294" width="11.85546875" style="269" customWidth="1"/>
    <col min="3295" max="3295" width="21.5703125" style="269" customWidth="1"/>
    <col min="3296" max="3296" width="20.42578125" style="269" customWidth="1"/>
    <col min="3297" max="3297" width="22.28515625" style="269" customWidth="1"/>
    <col min="3298" max="3298" width="11.42578125" style="269" customWidth="1"/>
    <col min="3299" max="3299" width="18.5703125" style="269" customWidth="1"/>
    <col min="3300" max="3300" width="14.28515625" style="269" customWidth="1"/>
    <col min="3301" max="3301" width="12.7109375" style="269" customWidth="1"/>
    <col min="3302" max="3302" width="13.5703125" style="269" customWidth="1"/>
    <col min="3303" max="3303" width="22.5703125" style="269" customWidth="1"/>
    <col min="3304" max="3305" width="22.42578125" style="269" customWidth="1"/>
    <col min="3306" max="3306" width="23.140625" style="269" customWidth="1"/>
    <col min="3307" max="3307" width="11.42578125" style="269" customWidth="1"/>
    <col min="3308" max="3308" width="19.85546875" style="269" customWidth="1"/>
    <col min="3309" max="3309" width="11.42578125" style="269" customWidth="1"/>
    <col min="3310" max="3310" width="6.42578125" style="269" customWidth="1"/>
    <col min="3311" max="3311" width="14" style="269" customWidth="1"/>
    <col min="3312" max="3312" width="7.85546875" style="269" customWidth="1"/>
    <col min="3313" max="3319" width="11.42578125" style="269" customWidth="1"/>
    <col min="3320" max="3320" width="13.5703125" style="269" customWidth="1"/>
    <col min="3321" max="3321" width="17.42578125" style="269" customWidth="1"/>
    <col min="3322" max="3323" width="11.42578125" style="269" customWidth="1"/>
    <col min="3324" max="3324" width="20.7109375" style="269" customWidth="1"/>
    <col min="3325" max="3325" width="11.42578125" style="269" customWidth="1"/>
    <col min="3326" max="3326" width="13.42578125" style="269" customWidth="1"/>
    <col min="3327" max="3329" width="11.42578125" style="269" customWidth="1"/>
    <col min="3330" max="3330" width="15.42578125" style="269" customWidth="1"/>
    <col min="3331" max="3331" width="13.5703125" style="269" customWidth="1"/>
    <col min="3332" max="3332" width="20" style="269" customWidth="1"/>
    <col min="3333" max="3334" width="11.42578125" style="269" customWidth="1"/>
    <col min="3335" max="3335" width="21.7109375" style="269" customWidth="1"/>
    <col min="3336" max="3336" width="13.5703125" style="269" customWidth="1"/>
    <col min="3337" max="3337" width="19.140625" style="269" customWidth="1"/>
    <col min="3338" max="3338" width="23" style="269" customWidth="1"/>
    <col min="3339" max="3340" width="11.42578125" style="269" customWidth="1"/>
    <col min="3341" max="3341" width="12" style="269" customWidth="1"/>
    <col min="3342" max="3344" width="11.42578125" style="269" customWidth="1"/>
    <col min="3345" max="3345" width="14" style="269" customWidth="1"/>
    <col min="3346" max="3346" width="14.85546875" style="269" customWidth="1"/>
    <col min="3347" max="3347" width="11.42578125" style="269" customWidth="1"/>
    <col min="3348" max="3348" width="13.28515625" style="269" customWidth="1"/>
    <col min="3349" max="3349" width="11.42578125" style="269" customWidth="1"/>
    <col min="3350" max="3350" width="19.85546875" style="269" customWidth="1"/>
    <col min="3351" max="3352" width="11.42578125" style="269" customWidth="1"/>
    <col min="3353" max="3353" width="16.28515625" style="269" customWidth="1"/>
    <col min="3354" max="3354" width="14.28515625" style="269" customWidth="1"/>
    <col min="3355" max="3355" width="9.140625" style="269" customWidth="1"/>
    <col min="3356" max="3356" width="17.28515625" style="269" customWidth="1"/>
    <col min="3357" max="3357" width="20.42578125" style="269" customWidth="1"/>
    <col min="3358" max="3358" width="17.5703125" style="269" customWidth="1"/>
    <col min="3359" max="3359" width="15.42578125" style="269" customWidth="1"/>
    <col min="3360" max="3360" width="12.85546875" style="269" customWidth="1"/>
    <col min="3361" max="3361" width="15.5703125" style="269" bestFit="1" customWidth="1"/>
    <col min="3362" max="3362" width="24.42578125" style="269" bestFit="1" customWidth="1"/>
    <col min="3363" max="3363" width="16" style="269" bestFit="1" customWidth="1"/>
    <col min="3364" max="3364" width="15.5703125" style="269" customWidth="1"/>
    <col min="3365" max="3508" width="11.42578125" style="269"/>
    <col min="3509" max="3509" width="11.42578125" style="269" customWidth="1"/>
    <col min="3510" max="3510" width="15.28515625" style="269" customWidth="1"/>
    <col min="3511" max="3512" width="12.5703125" style="269" customWidth="1"/>
    <col min="3513" max="3513" width="11.42578125" style="269" customWidth="1"/>
    <col min="3514" max="3514" width="9" style="269" customWidth="1"/>
    <col min="3515" max="3515" width="23.7109375" style="269" customWidth="1"/>
    <col min="3516" max="3516" width="27.7109375" style="269" customWidth="1"/>
    <col min="3517" max="3517" width="11.42578125" style="269" customWidth="1"/>
    <col min="3518" max="3518" width="2.7109375" style="269" customWidth="1"/>
    <col min="3519" max="3519" width="8.7109375" style="269" customWidth="1"/>
    <col min="3520" max="3520" width="23.7109375" style="269" customWidth="1"/>
    <col min="3521" max="3521" width="27.7109375" style="269" customWidth="1"/>
    <col min="3522" max="3534" width="11.42578125" style="269" customWidth="1"/>
    <col min="3535" max="3535" width="16.5703125" style="269" bestFit="1" customWidth="1"/>
    <col min="3536" max="3536" width="17" style="269" bestFit="1" customWidth="1"/>
    <col min="3537" max="3537" width="11.42578125" style="269" customWidth="1"/>
    <col min="3538" max="3538" width="15.5703125" style="269" customWidth="1"/>
    <col min="3539" max="3539" width="9.28515625" style="269" customWidth="1"/>
    <col min="3540" max="3540" width="12" style="269" customWidth="1"/>
    <col min="3541" max="3541" width="11.140625" style="269" customWidth="1"/>
    <col min="3542" max="3542" width="11.42578125" style="269" customWidth="1"/>
    <col min="3543" max="3543" width="8.140625" style="269" customWidth="1"/>
    <col min="3544" max="3544" width="13.28515625" style="269" customWidth="1"/>
    <col min="3545" max="3545" width="19.7109375" style="269" customWidth="1"/>
    <col min="3546" max="3546" width="14.140625" style="269" customWidth="1"/>
    <col min="3547" max="3547" width="14.85546875" style="269" customWidth="1"/>
    <col min="3548" max="3548" width="9.28515625" style="269" customWidth="1"/>
    <col min="3549" max="3549" width="16.85546875" style="269" customWidth="1"/>
    <col min="3550" max="3550" width="11.85546875" style="269" customWidth="1"/>
    <col min="3551" max="3551" width="21.5703125" style="269" customWidth="1"/>
    <col min="3552" max="3552" width="20.42578125" style="269" customWidth="1"/>
    <col min="3553" max="3553" width="22.28515625" style="269" customWidth="1"/>
    <col min="3554" max="3554" width="11.42578125" style="269" customWidth="1"/>
    <col min="3555" max="3555" width="18.5703125" style="269" customWidth="1"/>
    <col min="3556" max="3556" width="14.28515625" style="269" customWidth="1"/>
    <col min="3557" max="3557" width="12.7109375" style="269" customWidth="1"/>
    <col min="3558" max="3558" width="13.5703125" style="269" customWidth="1"/>
    <col min="3559" max="3559" width="22.5703125" style="269" customWidth="1"/>
    <col min="3560" max="3561" width="22.42578125" style="269" customWidth="1"/>
    <col min="3562" max="3562" width="23.140625" style="269" customWidth="1"/>
    <col min="3563" max="3563" width="11.42578125" style="269" customWidth="1"/>
    <col min="3564" max="3564" width="19.85546875" style="269" customWidth="1"/>
    <col min="3565" max="3565" width="11.42578125" style="269" customWidth="1"/>
    <col min="3566" max="3566" width="6.42578125" style="269" customWidth="1"/>
    <col min="3567" max="3567" width="14" style="269" customWidth="1"/>
    <col min="3568" max="3568" width="7.85546875" style="269" customWidth="1"/>
    <col min="3569" max="3575" width="11.42578125" style="269" customWidth="1"/>
    <col min="3576" max="3576" width="13.5703125" style="269" customWidth="1"/>
    <col min="3577" max="3577" width="17.42578125" style="269" customWidth="1"/>
    <col min="3578" max="3579" width="11.42578125" style="269" customWidth="1"/>
    <col min="3580" max="3580" width="20.7109375" style="269" customWidth="1"/>
    <col min="3581" max="3581" width="11.42578125" style="269" customWidth="1"/>
    <col min="3582" max="3582" width="13.42578125" style="269" customWidth="1"/>
    <col min="3583" max="3585" width="11.42578125" style="269" customWidth="1"/>
    <col min="3586" max="3586" width="15.42578125" style="269" customWidth="1"/>
    <col min="3587" max="3587" width="13.5703125" style="269" customWidth="1"/>
    <col min="3588" max="3588" width="20" style="269" customWidth="1"/>
    <col min="3589" max="3590" width="11.42578125" style="269" customWidth="1"/>
    <col min="3591" max="3591" width="21.7109375" style="269" customWidth="1"/>
    <col min="3592" max="3592" width="13.5703125" style="269" customWidth="1"/>
    <col min="3593" max="3593" width="19.140625" style="269" customWidth="1"/>
    <col min="3594" max="3594" width="23" style="269" customWidth="1"/>
    <col min="3595" max="3596" width="11.42578125" style="269" customWidth="1"/>
    <col min="3597" max="3597" width="12" style="269" customWidth="1"/>
    <col min="3598" max="3600" width="11.42578125" style="269" customWidth="1"/>
    <col min="3601" max="3601" width="14" style="269" customWidth="1"/>
    <col min="3602" max="3602" width="14.85546875" style="269" customWidth="1"/>
    <col min="3603" max="3603" width="11.42578125" style="269" customWidth="1"/>
    <col min="3604" max="3604" width="13.28515625" style="269" customWidth="1"/>
    <col min="3605" max="3605" width="11.42578125" style="269" customWidth="1"/>
    <col min="3606" max="3606" width="19.85546875" style="269" customWidth="1"/>
    <col min="3607" max="3608" width="11.42578125" style="269" customWidth="1"/>
    <col min="3609" max="3609" width="16.28515625" style="269" customWidth="1"/>
    <col min="3610" max="3610" width="14.28515625" style="269" customWidth="1"/>
    <col min="3611" max="3611" width="9.140625" style="269" customWidth="1"/>
    <col min="3612" max="3612" width="17.28515625" style="269" customWidth="1"/>
    <col min="3613" max="3613" width="20.42578125" style="269" customWidth="1"/>
    <col min="3614" max="3614" width="17.5703125" style="269" customWidth="1"/>
    <col min="3615" max="3615" width="15.42578125" style="269" customWidth="1"/>
    <col min="3616" max="3616" width="12.85546875" style="269" customWidth="1"/>
    <col min="3617" max="3617" width="15.5703125" style="269" bestFit="1" customWidth="1"/>
    <col min="3618" max="3618" width="24.42578125" style="269" bestFit="1" customWidth="1"/>
    <col min="3619" max="3619" width="16" style="269" bestFit="1" customWidth="1"/>
    <col min="3620" max="3620" width="15.5703125" style="269" customWidth="1"/>
    <col min="3621" max="3764" width="11.42578125" style="269"/>
    <col min="3765" max="3765" width="11.42578125" style="269" customWidth="1"/>
    <col min="3766" max="3766" width="15.28515625" style="269" customWidth="1"/>
    <col min="3767" max="3768" width="12.5703125" style="269" customWidth="1"/>
    <col min="3769" max="3769" width="11.42578125" style="269" customWidth="1"/>
    <col min="3770" max="3770" width="9" style="269" customWidth="1"/>
    <col min="3771" max="3771" width="23.7109375" style="269" customWidth="1"/>
    <col min="3772" max="3772" width="27.7109375" style="269" customWidth="1"/>
    <col min="3773" max="3773" width="11.42578125" style="269" customWidth="1"/>
    <col min="3774" max="3774" width="2.7109375" style="269" customWidth="1"/>
    <col min="3775" max="3775" width="8.7109375" style="269" customWidth="1"/>
    <col min="3776" max="3776" width="23.7109375" style="269" customWidth="1"/>
    <col min="3777" max="3777" width="27.7109375" style="269" customWidth="1"/>
    <col min="3778" max="3790" width="11.42578125" style="269" customWidth="1"/>
    <col min="3791" max="3791" width="16.5703125" style="269" bestFit="1" customWidth="1"/>
    <col min="3792" max="3792" width="17" style="269" bestFit="1" customWidth="1"/>
    <col min="3793" max="3793" width="11.42578125" style="269" customWidth="1"/>
    <col min="3794" max="3794" width="15.5703125" style="269" customWidth="1"/>
    <col min="3795" max="3795" width="9.28515625" style="269" customWidth="1"/>
    <col min="3796" max="3796" width="12" style="269" customWidth="1"/>
    <col min="3797" max="3797" width="11.140625" style="269" customWidth="1"/>
    <col min="3798" max="3798" width="11.42578125" style="269" customWidth="1"/>
    <col min="3799" max="3799" width="8.140625" style="269" customWidth="1"/>
    <col min="3800" max="3800" width="13.28515625" style="269" customWidth="1"/>
    <col min="3801" max="3801" width="19.7109375" style="269" customWidth="1"/>
    <col min="3802" max="3802" width="14.140625" style="269" customWidth="1"/>
    <col min="3803" max="3803" width="14.85546875" style="269" customWidth="1"/>
    <col min="3804" max="3804" width="9.28515625" style="269" customWidth="1"/>
    <col min="3805" max="3805" width="16.85546875" style="269" customWidth="1"/>
    <col min="3806" max="3806" width="11.85546875" style="269" customWidth="1"/>
    <col min="3807" max="3807" width="21.5703125" style="269" customWidth="1"/>
    <col min="3808" max="3808" width="20.42578125" style="269" customWidth="1"/>
    <col min="3809" max="3809" width="22.28515625" style="269" customWidth="1"/>
    <col min="3810" max="3810" width="11.42578125" style="269" customWidth="1"/>
    <col min="3811" max="3811" width="18.5703125" style="269" customWidth="1"/>
    <col min="3812" max="3812" width="14.28515625" style="269" customWidth="1"/>
    <col min="3813" max="3813" width="12.7109375" style="269" customWidth="1"/>
    <col min="3814" max="3814" width="13.5703125" style="269" customWidth="1"/>
    <col min="3815" max="3815" width="22.5703125" style="269" customWidth="1"/>
    <col min="3816" max="3817" width="22.42578125" style="269" customWidth="1"/>
    <col min="3818" max="3818" width="23.140625" style="269" customWidth="1"/>
    <col min="3819" max="3819" width="11.42578125" style="269" customWidth="1"/>
    <col min="3820" max="3820" width="19.85546875" style="269" customWidth="1"/>
    <col min="3821" max="3821" width="11.42578125" style="269" customWidth="1"/>
    <col min="3822" max="3822" width="6.42578125" style="269" customWidth="1"/>
    <col min="3823" max="3823" width="14" style="269" customWidth="1"/>
    <col min="3824" max="3824" width="7.85546875" style="269" customWidth="1"/>
    <col min="3825" max="3831" width="11.42578125" style="269" customWidth="1"/>
    <col min="3832" max="3832" width="13.5703125" style="269" customWidth="1"/>
    <col min="3833" max="3833" width="17.42578125" style="269" customWidth="1"/>
    <col min="3834" max="3835" width="11.42578125" style="269" customWidth="1"/>
    <col min="3836" max="3836" width="20.7109375" style="269" customWidth="1"/>
    <col min="3837" max="3837" width="11.42578125" style="269" customWidth="1"/>
    <col min="3838" max="3838" width="13.42578125" style="269" customWidth="1"/>
    <col min="3839" max="3841" width="11.42578125" style="269" customWidth="1"/>
    <col min="3842" max="3842" width="15.42578125" style="269" customWidth="1"/>
    <col min="3843" max="3843" width="13.5703125" style="269" customWidth="1"/>
    <col min="3844" max="3844" width="20" style="269" customWidth="1"/>
    <col min="3845" max="3846" width="11.42578125" style="269" customWidth="1"/>
    <col min="3847" max="3847" width="21.7109375" style="269" customWidth="1"/>
    <col min="3848" max="3848" width="13.5703125" style="269" customWidth="1"/>
    <col min="3849" max="3849" width="19.140625" style="269" customWidth="1"/>
    <col min="3850" max="3850" width="23" style="269" customWidth="1"/>
    <col min="3851" max="3852" width="11.42578125" style="269" customWidth="1"/>
    <col min="3853" max="3853" width="12" style="269" customWidth="1"/>
    <col min="3854" max="3856" width="11.42578125" style="269" customWidth="1"/>
    <col min="3857" max="3857" width="14" style="269" customWidth="1"/>
    <col min="3858" max="3858" width="14.85546875" style="269" customWidth="1"/>
    <col min="3859" max="3859" width="11.42578125" style="269" customWidth="1"/>
    <col min="3860" max="3860" width="13.28515625" style="269" customWidth="1"/>
    <col min="3861" max="3861" width="11.42578125" style="269" customWidth="1"/>
    <col min="3862" max="3862" width="19.85546875" style="269" customWidth="1"/>
    <col min="3863" max="3864" width="11.42578125" style="269" customWidth="1"/>
    <col min="3865" max="3865" width="16.28515625" style="269" customWidth="1"/>
    <col min="3866" max="3866" width="14.28515625" style="269" customWidth="1"/>
    <col min="3867" max="3867" width="9.140625" style="269" customWidth="1"/>
    <col min="3868" max="3868" width="17.28515625" style="269" customWidth="1"/>
    <col min="3869" max="3869" width="20.42578125" style="269" customWidth="1"/>
    <col min="3870" max="3870" width="17.5703125" style="269" customWidth="1"/>
    <col min="3871" max="3871" width="15.42578125" style="269" customWidth="1"/>
    <col min="3872" max="3872" width="12.85546875" style="269" customWidth="1"/>
    <col min="3873" max="3873" width="15.5703125" style="269" bestFit="1" customWidth="1"/>
    <col min="3874" max="3874" width="24.42578125" style="269" bestFit="1" customWidth="1"/>
    <col min="3875" max="3875" width="16" style="269" bestFit="1" customWidth="1"/>
    <col min="3876" max="3876" width="15.5703125" style="269" customWidth="1"/>
    <col min="3877" max="4020" width="11.42578125" style="269"/>
    <col min="4021" max="4021" width="11.42578125" style="269" customWidth="1"/>
    <col min="4022" max="4022" width="15.28515625" style="269" customWidth="1"/>
    <col min="4023" max="4024" width="12.5703125" style="269" customWidth="1"/>
    <col min="4025" max="4025" width="11.42578125" style="269" customWidth="1"/>
    <col min="4026" max="4026" width="9" style="269" customWidth="1"/>
    <col min="4027" max="4027" width="23.7109375" style="269" customWidth="1"/>
    <col min="4028" max="4028" width="27.7109375" style="269" customWidth="1"/>
    <col min="4029" max="4029" width="11.42578125" style="269" customWidth="1"/>
    <col min="4030" max="4030" width="2.7109375" style="269" customWidth="1"/>
    <col min="4031" max="4031" width="8.7109375" style="269" customWidth="1"/>
    <col min="4032" max="4032" width="23.7109375" style="269" customWidth="1"/>
    <col min="4033" max="4033" width="27.7109375" style="269" customWidth="1"/>
    <col min="4034" max="4046" width="11.42578125" style="269" customWidth="1"/>
    <col min="4047" max="4047" width="16.5703125" style="269" bestFit="1" customWidth="1"/>
    <col min="4048" max="4048" width="17" style="269" bestFit="1" customWidth="1"/>
    <col min="4049" max="4049" width="11.42578125" style="269" customWidth="1"/>
    <col min="4050" max="4050" width="15.5703125" style="269" customWidth="1"/>
    <col min="4051" max="4051" width="9.28515625" style="269" customWidth="1"/>
    <col min="4052" max="4052" width="12" style="269" customWidth="1"/>
    <col min="4053" max="4053" width="11.140625" style="269" customWidth="1"/>
    <col min="4054" max="4054" width="11.42578125" style="269" customWidth="1"/>
    <col min="4055" max="4055" width="8.140625" style="269" customWidth="1"/>
    <col min="4056" max="4056" width="13.28515625" style="269" customWidth="1"/>
    <col min="4057" max="4057" width="19.7109375" style="269" customWidth="1"/>
    <col min="4058" max="4058" width="14.140625" style="269" customWidth="1"/>
    <col min="4059" max="4059" width="14.85546875" style="269" customWidth="1"/>
    <col min="4060" max="4060" width="9.28515625" style="269" customWidth="1"/>
    <col min="4061" max="4061" width="16.85546875" style="269" customWidth="1"/>
    <col min="4062" max="4062" width="11.85546875" style="269" customWidth="1"/>
    <col min="4063" max="4063" width="21.5703125" style="269" customWidth="1"/>
    <col min="4064" max="4064" width="20.42578125" style="269" customWidth="1"/>
    <col min="4065" max="4065" width="22.28515625" style="269" customWidth="1"/>
    <col min="4066" max="4066" width="11.42578125" style="269" customWidth="1"/>
    <col min="4067" max="4067" width="18.5703125" style="269" customWidth="1"/>
    <col min="4068" max="4068" width="14.28515625" style="269" customWidth="1"/>
    <col min="4069" max="4069" width="12.7109375" style="269" customWidth="1"/>
    <col min="4070" max="4070" width="13.5703125" style="269" customWidth="1"/>
    <col min="4071" max="4071" width="22.5703125" style="269" customWidth="1"/>
    <col min="4072" max="4073" width="22.42578125" style="269" customWidth="1"/>
    <col min="4074" max="4074" width="23.140625" style="269" customWidth="1"/>
    <col min="4075" max="4075" width="11.42578125" style="269" customWidth="1"/>
    <col min="4076" max="4076" width="19.85546875" style="269" customWidth="1"/>
    <col min="4077" max="4077" width="11.42578125" style="269" customWidth="1"/>
    <col min="4078" max="4078" width="6.42578125" style="269" customWidth="1"/>
    <col min="4079" max="4079" width="14" style="269" customWidth="1"/>
    <col min="4080" max="4080" width="7.85546875" style="269" customWidth="1"/>
    <col min="4081" max="4087" width="11.42578125" style="269" customWidth="1"/>
    <col min="4088" max="4088" width="13.5703125" style="269" customWidth="1"/>
    <col min="4089" max="4089" width="17.42578125" style="269" customWidth="1"/>
    <col min="4090" max="4091" width="11.42578125" style="269" customWidth="1"/>
    <col min="4092" max="4092" width="20.7109375" style="269" customWidth="1"/>
    <col min="4093" max="4093" width="11.42578125" style="269" customWidth="1"/>
    <col min="4094" max="4094" width="13.42578125" style="269" customWidth="1"/>
    <col min="4095" max="4097" width="11.42578125" style="269" customWidth="1"/>
    <col min="4098" max="4098" width="15.42578125" style="269" customWidth="1"/>
    <col min="4099" max="4099" width="13.5703125" style="269" customWidth="1"/>
    <col min="4100" max="4100" width="20" style="269" customWidth="1"/>
    <col min="4101" max="4102" width="11.42578125" style="269" customWidth="1"/>
    <col min="4103" max="4103" width="21.7109375" style="269" customWidth="1"/>
    <col min="4104" max="4104" width="13.5703125" style="269" customWidth="1"/>
    <col min="4105" max="4105" width="19.140625" style="269" customWidth="1"/>
    <col min="4106" max="4106" width="23" style="269" customWidth="1"/>
    <col min="4107" max="4108" width="11.42578125" style="269" customWidth="1"/>
    <col min="4109" max="4109" width="12" style="269" customWidth="1"/>
    <col min="4110" max="4112" width="11.42578125" style="269" customWidth="1"/>
    <col min="4113" max="4113" width="14" style="269" customWidth="1"/>
    <col min="4114" max="4114" width="14.85546875" style="269" customWidth="1"/>
    <col min="4115" max="4115" width="11.42578125" style="269" customWidth="1"/>
    <col min="4116" max="4116" width="13.28515625" style="269" customWidth="1"/>
    <col min="4117" max="4117" width="11.42578125" style="269" customWidth="1"/>
    <col min="4118" max="4118" width="19.85546875" style="269" customWidth="1"/>
    <col min="4119" max="4120" width="11.42578125" style="269" customWidth="1"/>
    <col min="4121" max="4121" width="16.28515625" style="269" customWidth="1"/>
    <col min="4122" max="4122" width="14.28515625" style="269" customWidth="1"/>
    <col min="4123" max="4123" width="9.140625" style="269" customWidth="1"/>
    <col min="4124" max="4124" width="17.28515625" style="269" customWidth="1"/>
    <col min="4125" max="4125" width="20.42578125" style="269" customWidth="1"/>
    <col min="4126" max="4126" width="17.5703125" style="269" customWidth="1"/>
    <col min="4127" max="4127" width="15.42578125" style="269" customWidth="1"/>
    <col min="4128" max="4128" width="12.85546875" style="269" customWidth="1"/>
    <col min="4129" max="4129" width="15.5703125" style="269" bestFit="1" customWidth="1"/>
    <col min="4130" max="4130" width="24.42578125" style="269" bestFit="1" customWidth="1"/>
    <col min="4131" max="4131" width="16" style="269" bestFit="1" customWidth="1"/>
    <col min="4132" max="4132" width="15.5703125" style="269" customWidth="1"/>
    <col min="4133" max="4276" width="11.42578125" style="269"/>
    <col min="4277" max="4277" width="11.42578125" style="269" customWidth="1"/>
    <col min="4278" max="4278" width="15.28515625" style="269" customWidth="1"/>
    <col min="4279" max="4280" width="12.5703125" style="269" customWidth="1"/>
    <col min="4281" max="4281" width="11.42578125" style="269" customWidth="1"/>
    <col min="4282" max="4282" width="9" style="269" customWidth="1"/>
    <col min="4283" max="4283" width="23.7109375" style="269" customWidth="1"/>
    <col min="4284" max="4284" width="27.7109375" style="269" customWidth="1"/>
    <col min="4285" max="4285" width="11.42578125" style="269" customWidth="1"/>
    <col min="4286" max="4286" width="2.7109375" style="269" customWidth="1"/>
    <col min="4287" max="4287" width="8.7109375" style="269" customWidth="1"/>
    <col min="4288" max="4288" width="23.7109375" style="269" customWidth="1"/>
    <col min="4289" max="4289" width="27.7109375" style="269" customWidth="1"/>
    <col min="4290" max="4302" width="11.42578125" style="269" customWidth="1"/>
    <col min="4303" max="4303" width="16.5703125" style="269" bestFit="1" customWidth="1"/>
    <col min="4304" max="4304" width="17" style="269" bestFit="1" customWidth="1"/>
    <col min="4305" max="4305" width="11.42578125" style="269" customWidth="1"/>
    <col min="4306" max="4306" width="15.5703125" style="269" customWidth="1"/>
    <col min="4307" max="4307" width="9.28515625" style="269" customWidth="1"/>
    <col min="4308" max="4308" width="12" style="269" customWidth="1"/>
    <col min="4309" max="4309" width="11.140625" style="269" customWidth="1"/>
    <col min="4310" max="4310" width="11.42578125" style="269" customWidth="1"/>
    <col min="4311" max="4311" width="8.140625" style="269" customWidth="1"/>
    <col min="4312" max="4312" width="13.28515625" style="269" customWidth="1"/>
    <col min="4313" max="4313" width="19.7109375" style="269" customWidth="1"/>
    <col min="4314" max="4314" width="14.140625" style="269" customWidth="1"/>
    <col min="4315" max="4315" width="14.85546875" style="269" customWidth="1"/>
    <col min="4316" max="4316" width="9.28515625" style="269" customWidth="1"/>
    <col min="4317" max="4317" width="16.85546875" style="269" customWidth="1"/>
    <col min="4318" max="4318" width="11.85546875" style="269" customWidth="1"/>
    <col min="4319" max="4319" width="21.5703125" style="269" customWidth="1"/>
    <col min="4320" max="4320" width="20.42578125" style="269" customWidth="1"/>
    <col min="4321" max="4321" width="22.28515625" style="269" customWidth="1"/>
    <col min="4322" max="4322" width="11.42578125" style="269" customWidth="1"/>
    <col min="4323" max="4323" width="18.5703125" style="269" customWidth="1"/>
    <col min="4324" max="4324" width="14.28515625" style="269" customWidth="1"/>
    <col min="4325" max="4325" width="12.7109375" style="269" customWidth="1"/>
    <col min="4326" max="4326" width="13.5703125" style="269" customWidth="1"/>
    <col min="4327" max="4327" width="22.5703125" style="269" customWidth="1"/>
    <col min="4328" max="4329" width="22.42578125" style="269" customWidth="1"/>
    <col min="4330" max="4330" width="23.140625" style="269" customWidth="1"/>
    <col min="4331" max="4331" width="11.42578125" style="269" customWidth="1"/>
    <col min="4332" max="4332" width="19.85546875" style="269" customWidth="1"/>
    <col min="4333" max="4333" width="11.42578125" style="269" customWidth="1"/>
    <col min="4334" max="4334" width="6.42578125" style="269" customWidth="1"/>
    <col min="4335" max="4335" width="14" style="269" customWidth="1"/>
    <col min="4336" max="4336" width="7.85546875" style="269" customWidth="1"/>
    <col min="4337" max="4343" width="11.42578125" style="269" customWidth="1"/>
    <col min="4344" max="4344" width="13.5703125" style="269" customWidth="1"/>
    <col min="4345" max="4345" width="17.42578125" style="269" customWidth="1"/>
    <col min="4346" max="4347" width="11.42578125" style="269" customWidth="1"/>
    <col min="4348" max="4348" width="20.7109375" style="269" customWidth="1"/>
    <col min="4349" max="4349" width="11.42578125" style="269" customWidth="1"/>
    <col min="4350" max="4350" width="13.42578125" style="269" customWidth="1"/>
    <col min="4351" max="4353" width="11.42578125" style="269" customWidth="1"/>
    <col min="4354" max="4354" width="15.42578125" style="269" customWidth="1"/>
    <col min="4355" max="4355" width="13.5703125" style="269" customWidth="1"/>
    <col min="4356" max="4356" width="20" style="269" customWidth="1"/>
    <col min="4357" max="4358" width="11.42578125" style="269" customWidth="1"/>
    <col min="4359" max="4359" width="21.7109375" style="269" customWidth="1"/>
    <col min="4360" max="4360" width="13.5703125" style="269" customWidth="1"/>
    <col min="4361" max="4361" width="19.140625" style="269" customWidth="1"/>
    <col min="4362" max="4362" width="23" style="269" customWidth="1"/>
    <col min="4363" max="4364" width="11.42578125" style="269" customWidth="1"/>
    <col min="4365" max="4365" width="12" style="269" customWidth="1"/>
    <col min="4366" max="4368" width="11.42578125" style="269" customWidth="1"/>
    <col min="4369" max="4369" width="14" style="269" customWidth="1"/>
    <col min="4370" max="4370" width="14.85546875" style="269" customWidth="1"/>
    <col min="4371" max="4371" width="11.42578125" style="269" customWidth="1"/>
    <col min="4372" max="4372" width="13.28515625" style="269" customWidth="1"/>
    <col min="4373" max="4373" width="11.42578125" style="269" customWidth="1"/>
    <col min="4374" max="4374" width="19.85546875" style="269" customWidth="1"/>
    <col min="4375" max="4376" width="11.42578125" style="269" customWidth="1"/>
    <col min="4377" max="4377" width="16.28515625" style="269" customWidth="1"/>
    <col min="4378" max="4378" width="14.28515625" style="269" customWidth="1"/>
    <col min="4379" max="4379" width="9.140625" style="269" customWidth="1"/>
    <col min="4380" max="4380" width="17.28515625" style="269" customWidth="1"/>
    <col min="4381" max="4381" width="20.42578125" style="269" customWidth="1"/>
    <col min="4382" max="4382" width="17.5703125" style="269" customWidth="1"/>
    <col min="4383" max="4383" width="15.42578125" style="269" customWidth="1"/>
    <col min="4384" max="4384" width="12.85546875" style="269" customWidth="1"/>
    <col min="4385" max="4385" width="15.5703125" style="269" bestFit="1" customWidth="1"/>
    <col min="4386" max="4386" width="24.42578125" style="269" bestFit="1" customWidth="1"/>
    <col min="4387" max="4387" width="16" style="269" bestFit="1" customWidth="1"/>
    <col min="4388" max="4388" width="15.5703125" style="269" customWidth="1"/>
    <col min="4389" max="4532" width="11.42578125" style="269"/>
    <col min="4533" max="4533" width="11.42578125" style="269" customWidth="1"/>
    <col min="4534" max="4534" width="15.28515625" style="269" customWidth="1"/>
    <col min="4535" max="4536" width="12.5703125" style="269" customWidth="1"/>
    <col min="4537" max="4537" width="11.42578125" style="269" customWidth="1"/>
    <col min="4538" max="4538" width="9" style="269" customWidth="1"/>
    <col min="4539" max="4539" width="23.7109375" style="269" customWidth="1"/>
    <col min="4540" max="4540" width="27.7109375" style="269" customWidth="1"/>
    <col min="4541" max="4541" width="11.42578125" style="269" customWidth="1"/>
    <col min="4542" max="4542" width="2.7109375" style="269" customWidth="1"/>
    <col min="4543" max="4543" width="8.7109375" style="269" customWidth="1"/>
    <col min="4544" max="4544" width="23.7109375" style="269" customWidth="1"/>
    <col min="4545" max="4545" width="27.7109375" style="269" customWidth="1"/>
    <col min="4546" max="4558" width="11.42578125" style="269" customWidth="1"/>
    <col min="4559" max="4559" width="16.5703125" style="269" bestFit="1" customWidth="1"/>
    <col min="4560" max="4560" width="17" style="269" bestFit="1" customWidth="1"/>
    <col min="4561" max="4561" width="11.42578125" style="269" customWidth="1"/>
    <col min="4562" max="4562" width="15.5703125" style="269" customWidth="1"/>
    <col min="4563" max="4563" width="9.28515625" style="269" customWidth="1"/>
    <col min="4564" max="4564" width="12" style="269" customWidth="1"/>
    <col min="4565" max="4565" width="11.140625" style="269" customWidth="1"/>
    <col min="4566" max="4566" width="11.42578125" style="269" customWidth="1"/>
    <col min="4567" max="4567" width="8.140625" style="269" customWidth="1"/>
    <col min="4568" max="4568" width="13.28515625" style="269" customWidth="1"/>
    <col min="4569" max="4569" width="19.7109375" style="269" customWidth="1"/>
    <col min="4570" max="4570" width="14.140625" style="269" customWidth="1"/>
    <col min="4571" max="4571" width="14.85546875" style="269" customWidth="1"/>
    <col min="4572" max="4572" width="9.28515625" style="269" customWidth="1"/>
    <col min="4573" max="4573" width="16.85546875" style="269" customWidth="1"/>
    <col min="4574" max="4574" width="11.85546875" style="269" customWidth="1"/>
    <col min="4575" max="4575" width="21.5703125" style="269" customWidth="1"/>
    <col min="4576" max="4576" width="20.42578125" style="269" customWidth="1"/>
    <col min="4577" max="4577" width="22.28515625" style="269" customWidth="1"/>
    <col min="4578" max="4578" width="11.42578125" style="269" customWidth="1"/>
    <col min="4579" max="4579" width="18.5703125" style="269" customWidth="1"/>
    <col min="4580" max="4580" width="14.28515625" style="269" customWidth="1"/>
    <col min="4581" max="4581" width="12.7109375" style="269" customWidth="1"/>
    <col min="4582" max="4582" width="13.5703125" style="269" customWidth="1"/>
    <col min="4583" max="4583" width="22.5703125" style="269" customWidth="1"/>
    <col min="4584" max="4585" width="22.42578125" style="269" customWidth="1"/>
    <col min="4586" max="4586" width="23.140625" style="269" customWidth="1"/>
    <col min="4587" max="4587" width="11.42578125" style="269" customWidth="1"/>
    <col min="4588" max="4588" width="19.85546875" style="269" customWidth="1"/>
    <col min="4589" max="4589" width="11.42578125" style="269" customWidth="1"/>
    <col min="4590" max="4590" width="6.42578125" style="269" customWidth="1"/>
    <col min="4591" max="4591" width="14" style="269" customWidth="1"/>
    <col min="4592" max="4592" width="7.85546875" style="269" customWidth="1"/>
    <col min="4593" max="4599" width="11.42578125" style="269" customWidth="1"/>
    <col min="4600" max="4600" width="13.5703125" style="269" customWidth="1"/>
    <col min="4601" max="4601" width="17.42578125" style="269" customWidth="1"/>
    <col min="4602" max="4603" width="11.42578125" style="269" customWidth="1"/>
    <col min="4604" max="4604" width="20.7109375" style="269" customWidth="1"/>
    <col min="4605" max="4605" width="11.42578125" style="269" customWidth="1"/>
    <col min="4606" max="4606" width="13.42578125" style="269" customWidth="1"/>
    <col min="4607" max="4609" width="11.42578125" style="269" customWidth="1"/>
    <col min="4610" max="4610" width="15.42578125" style="269" customWidth="1"/>
    <col min="4611" max="4611" width="13.5703125" style="269" customWidth="1"/>
    <col min="4612" max="4612" width="20" style="269" customWidth="1"/>
    <col min="4613" max="4614" width="11.42578125" style="269" customWidth="1"/>
    <col min="4615" max="4615" width="21.7109375" style="269" customWidth="1"/>
    <col min="4616" max="4616" width="13.5703125" style="269" customWidth="1"/>
    <col min="4617" max="4617" width="19.140625" style="269" customWidth="1"/>
    <col min="4618" max="4618" width="23" style="269" customWidth="1"/>
    <col min="4619" max="4620" width="11.42578125" style="269" customWidth="1"/>
    <col min="4621" max="4621" width="12" style="269" customWidth="1"/>
    <col min="4622" max="4624" width="11.42578125" style="269" customWidth="1"/>
    <col min="4625" max="4625" width="14" style="269" customWidth="1"/>
    <col min="4626" max="4626" width="14.85546875" style="269" customWidth="1"/>
    <col min="4627" max="4627" width="11.42578125" style="269" customWidth="1"/>
    <col min="4628" max="4628" width="13.28515625" style="269" customWidth="1"/>
    <col min="4629" max="4629" width="11.42578125" style="269" customWidth="1"/>
    <col min="4630" max="4630" width="19.85546875" style="269" customWidth="1"/>
    <col min="4631" max="4632" width="11.42578125" style="269" customWidth="1"/>
    <col min="4633" max="4633" width="16.28515625" style="269" customWidth="1"/>
    <col min="4634" max="4634" width="14.28515625" style="269" customWidth="1"/>
    <col min="4635" max="4635" width="9.140625" style="269" customWidth="1"/>
    <col min="4636" max="4636" width="17.28515625" style="269" customWidth="1"/>
    <col min="4637" max="4637" width="20.42578125" style="269" customWidth="1"/>
    <col min="4638" max="4638" width="17.5703125" style="269" customWidth="1"/>
    <col min="4639" max="4639" width="15.42578125" style="269" customWidth="1"/>
    <col min="4640" max="4640" width="12.85546875" style="269" customWidth="1"/>
    <col min="4641" max="4641" width="15.5703125" style="269" bestFit="1" customWidth="1"/>
    <col min="4642" max="4642" width="24.42578125" style="269" bestFit="1" customWidth="1"/>
    <col min="4643" max="4643" width="16" style="269" bestFit="1" customWidth="1"/>
    <col min="4644" max="4644" width="15.5703125" style="269" customWidth="1"/>
    <col min="4645" max="4788" width="11.42578125" style="269"/>
    <col min="4789" max="4789" width="11.42578125" style="269" customWidth="1"/>
    <col min="4790" max="4790" width="15.28515625" style="269" customWidth="1"/>
    <col min="4791" max="4792" width="12.5703125" style="269" customWidth="1"/>
    <col min="4793" max="4793" width="11.42578125" style="269" customWidth="1"/>
    <col min="4794" max="4794" width="9" style="269" customWidth="1"/>
    <col min="4795" max="4795" width="23.7109375" style="269" customWidth="1"/>
    <col min="4796" max="4796" width="27.7109375" style="269" customWidth="1"/>
    <col min="4797" max="4797" width="11.42578125" style="269" customWidth="1"/>
    <col min="4798" max="4798" width="2.7109375" style="269" customWidth="1"/>
    <col min="4799" max="4799" width="8.7109375" style="269" customWidth="1"/>
    <col min="4800" max="4800" width="23.7109375" style="269" customWidth="1"/>
    <col min="4801" max="4801" width="27.7109375" style="269" customWidth="1"/>
    <col min="4802" max="4814" width="11.42578125" style="269" customWidth="1"/>
    <col min="4815" max="4815" width="16.5703125" style="269" bestFit="1" customWidth="1"/>
    <col min="4816" max="4816" width="17" style="269" bestFit="1" customWidth="1"/>
    <col min="4817" max="4817" width="11.42578125" style="269" customWidth="1"/>
    <col min="4818" max="4818" width="15.5703125" style="269" customWidth="1"/>
    <col min="4819" max="4819" width="9.28515625" style="269" customWidth="1"/>
    <col min="4820" max="4820" width="12" style="269" customWidth="1"/>
    <col min="4821" max="4821" width="11.140625" style="269" customWidth="1"/>
    <col min="4822" max="4822" width="11.42578125" style="269" customWidth="1"/>
    <col min="4823" max="4823" width="8.140625" style="269" customWidth="1"/>
    <col min="4824" max="4824" width="13.28515625" style="269" customWidth="1"/>
    <col min="4825" max="4825" width="19.7109375" style="269" customWidth="1"/>
    <col min="4826" max="4826" width="14.140625" style="269" customWidth="1"/>
    <col min="4827" max="4827" width="14.85546875" style="269" customWidth="1"/>
    <col min="4828" max="4828" width="9.28515625" style="269" customWidth="1"/>
    <col min="4829" max="4829" width="16.85546875" style="269" customWidth="1"/>
    <col min="4830" max="4830" width="11.85546875" style="269" customWidth="1"/>
    <col min="4831" max="4831" width="21.5703125" style="269" customWidth="1"/>
    <col min="4832" max="4832" width="20.42578125" style="269" customWidth="1"/>
    <col min="4833" max="4833" width="22.28515625" style="269" customWidth="1"/>
    <col min="4834" max="4834" width="11.42578125" style="269" customWidth="1"/>
    <col min="4835" max="4835" width="18.5703125" style="269" customWidth="1"/>
    <col min="4836" max="4836" width="14.28515625" style="269" customWidth="1"/>
    <col min="4837" max="4837" width="12.7109375" style="269" customWidth="1"/>
    <col min="4838" max="4838" width="13.5703125" style="269" customWidth="1"/>
    <col min="4839" max="4839" width="22.5703125" style="269" customWidth="1"/>
    <col min="4840" max="4841" width="22.42578125" style="269" customWidth="1"/>
    <col min="4842" max="4842" width="23.140625" style="269" customWidth="1"/>
    <col min="4843" max="4843" width="11.42578125" style="269" customWidth="1"/>
    <col min="4844" max="4844" width="19.85546875" style="269" customWidth="1"/>
    <col min="4845" max="4845" width="11.42578125" style="269" customWidth="1"/>
    <col min="4846" max="4846" width="6.42578125" style="269" customWidth="1"/>
    <col min="4847" max="4847" width="14" style="269" customWidth="1"/>
    <col min="4848" max="4848" width="7.85546875" style="269" customWidth="1"/>
    <col min="4849" max="4855" width="11.42578125" style="269" customWidth="1"/>
    <col min="4856" max="4856" width="13.5703125" style="269" customWidth="1"/>
    <col min="4857" max="4857" width="17.42578125" style="269" customWidth="1"/>
    <col min="4858" max="4859" width="11.42578125" style="269" customWidth="1"/>
    <col min="4860" max="4860" width="20.7109375" style="269" customWidth="1"/>
    <col min="4861" max="4861" width="11.42578125" style="269" customWidth="1"/>
    <col min="4862" max="4862" width="13.42578125" style="269" customWidth="1"/>
    <col min="4863" max="4865" width="11.42578125" style="269" customWidth="1"/>
    <col min="4866" max="4866" width="15.42578125" style="269" customWidth="1"/>
    <col min="4867" max="4867" width="13.5703125" style="269" customWidth="1"/>
    <col min="4868" max="4868" width="20" style="269" customWidth="1"/>
    <col min="4869" max="4870" width="11.42578125" style="269" customWidth="1"/>
    <col min="4871" max="4871" width="21.7109375" style="269" customWidth="1"/>
    <col min="4872" max="4872" width="13.5703125" style="269" customWidth="1"/>
    <col min="4873" max="4873" width="19.140625" style="269" customWidth="1"/>
    <col min="4874" max="4874" width="23" style="269" customWidth="1"/>
    <col min="4875" max="4876" width="11.42578125" style="269" customWidth="1"/>
    <col min="4877" max="4877" width="12" style="269" customWidth="1"/>
    <col min="4878" max="4880" width="11.42578125" style="269" customWidth="1"/>
    <col min="4881" max="4881" width="14" style="269" customWidth="1"/>
    <col min="4882" max="4882" width="14.85546875" style="269" customWidth="1"/>
    <col min="4883" max="4883" width="11.42578125" style="269" customWidth="1"/>
    <col min="4884" max="4884" width="13.28515625" style="269" customWidth="1"/>
    <col min="4885" max="4885" width="11.42578125" style="269" customWidth="1"/>
    <col min="4886" max="4886" width="19.85546875" style="269" customWidth="1"/>
    <col min="4887" max="4888" width="11.42578125" style="269" customWidth="1"/>
    <col min="4889" max="4889" width="16.28515625" style="269" customWidth="1"/>
    <col min="4890" max="4890" width="14.28515625" style="269" customWidth="1"/>
    <col min="4891" max="4891" width="9.140625" style="269" customWidth="1"/>
    <col min="4892" max="4892" width="17.28515625" style="269" customWidth="1"/>
    <col min="4893" max="4893" width="20.42578125" style="269" customWidth="1"/>
    <col min="4894" max="4894" width="17.5703125" style="269" customWidth="1"/>
    <col min="4895" max="4895" width="15.42578125" style="269" customWidth="1"/>
    <col min="4896" max="4896" width="12.85546875" style="269" customWidth="1"/>
    <col min="4897" max="4897" width="15.5703125" style="269" bestFit="1" customWidth="1"/>
    <col min="4898" max="4898" width="24.42578125" style="269" bestFit="1" customWidth="1"/>
    <col min="4899" max="4899" width="16" style="269" bestFit="1" customWidth="1"/>
    <col min="4900" max="4900" width="15.5703125" style="269" customWidth="1"/>
    <col min="4901" max="5044" width="11.42578125" style="269"/>
    <col min="5045" max="5045" width="11.42578125" style="269" customWidth="1"/>
    <col min="5046" max="5046" width="15.28515625" style="269" customWidth="1"/>
    <col min="5047" max="5048" width="12.5703125" style="269" customWidth="1"/>
    <col min="5049" max="5049" width="11.42578125" style="269" customWidth="1"/>
    <col min="5050" max="5050" width="9" style="269" customWidth="1"/>
    <col min="5051" max="5051" width="23.7109375" style="269" customWidth="1"/>
    <col min="5052" max="5052" width="27.7109375" style="269" customWidth="1"/>
    <col min="5053" max="5053" width="11.42578125" style="269" customWidth="1"/>
    <col min="5054" max="5054" width="2.7109375" style="269" customWidth="1"/>
    <col min="5055" max="5055" width="8.7109375" style="269" customWidth="1"/>
    <col min="5056" max="5056" width="23.7109375" style="269" customWidth="1"/>
    <col min="5057" max="5057" width="27.7109375" style="269" customWidth="1"/>
    <col min="5058" max="5070" width="11.42578125" style="269" customWidth="1"/>
    <col min="5071" max="5071" width="16.5703125" style="269" bestFit="1" customWidth="1"/>
    <col min="5072" max="5072" width="17" style="269" bestFit="1" customWidth="1"/>
    <col min="5073" max="5073" width="11.42578125" style="269" customWidth="1"/>
    <col min="5074" max="5074" width="15.5703125" style="269" customWidth="1"/>
    <col min="5075" max="5075" width="9.28515625" style="269" customWidth="1"/>
    <col min="5076" max="5076" width="12" style="269" customWidth="1"/>
    <col min="5077" max="5077" width="11.140625" style="269" customWidth="1"/>
    <col min="5078" max="5078" width="11.42578125" style="269" customWidth="1"/>
    <col min="5079" max="5079" width="8.140625" style="269" customWidth="1"/>
    <col min="5080" max="5080" width="13.28515625" style="269" customWidth="1"/>
    <col min="5081" max="5081" width="19.7109375" style="269" customWidth="1"/>
    <col min="5082" max="5082" width="14.140625" style="269" customWidth="1"/>
    <col min="5083" max="5083" width="14.85546875" style="269" customWidth="1"/>
    <col min="5084" max="5084" width="9.28515625" style="269" customWidth="1"/>
    <col min="5085" max="5085" width="16.85546875" style="269" customWidth="1"/>
    <col min="5086" max="5086" width="11.85546875" style="269" customWidth="1"/>
    <col min="5087" max="5087" width="21.5703125" style="269" customWidth="1"/>
    <col min="5088" max="5088" width="20.42578125" style="269" customWidth="1"/>
    <col min="5089" max="5089" width="22.28515625" style="269" customWidth="1"/>
    <col min="5090" max="5090" width="11.42578125" style="269" customWidth="1"/>
    <col min="5091" max="5091" width="18.5703125" style="269" customWidth="1"/>
    <col min="5092" max="5092" width="14.28515625" style="269" customWidth="1"/>
    <col min="5093" max="5093" width="12.7109375" style="269" customWidth="1"/>
    <col min="5094" max="5094" width="13.5703125" style="269" customWidth="1"/>
    <col min="5095" max="5095" width="22.5703125" style="269" customWidth="1"/>
    <col min="5096" max="5097" width="22.42578125" style="269" customWidth="1"/>
    <col min="5098" max="5098" width="23.140625" style="269" customWidth="1"/>
    <col min="5099" max="5099" width="11.42578125" style="269" customWidth="1"/>
    <col min="5100" max="5100" width="19.85546875" style="269" customWidth="1"/>
    <col min="5101" max="5101" width="11.42578125" style="269" customWidth="1"/>
    <col min="5102" max="5102" width="6.42578125" style="269" customWidth="1"/>
    <col min="5103" max="5103" width="14" style="269" customWidth="1"/>
    <col min="5104" max="5104" width="7.85546875" style="269" customWidth="1"/>
    <col min="5105" max="5111" width="11.42578125" style="269" customWidth="1"/>
    <col min="5112" max="5112" width="13.5703125" style="269" customWidth="1"/>
    <col min="5113" max="5113" width="17.42578125" style="269" customWidth="1"/>
    <col min="5114" max="5115" width="11.42578125" style="269" customWidth="1"/>
    <col min="5116" max="5116" width="20.7109375" style="269" customWidth="1"/>
    <col min="5117" max="5117" width="11.42578125" style="269" customWidth="1"/>
    <col min="5118" max="5118" width="13.42578125" style="269" customWidth="1"/>
    <col min="5119" max="5121" width="11.42578125" style="269" customWidth="1"/>
    <col min="5122" max="5122" width="15.42578125" style="269" customWidth="1"/>
    <col min="5123" max="5123" width="13.5703125" style="269" customWidth="1"/>
    <col min="5124" max="5124" width="20" style="269" customWidth="1"/>
    <col min="5125" max="5126" width="11.42578125" style="269" customWidth="1"/>
    <col min="5127" max="5127" width="21.7109375" style="269" customWidth="1"/>
    <col min="5128" max="5128" width="13.5703125" style="269" customWidth="1"/>
    <col min="5129" max="5129" width="19.140625" style="269" customWidth="1"/>
    <col min="5130" max="5130" width="23" style="269" customWidth="1"/>
    <col min="5131" max="5132" width="11.42578125" style="269" customWidth="1"/>
    <col min="5133" max="5133" width="12" style="269" customWidth="1"/>
    <col min="5134" max="5136" width="11.42578125" style="269" customWidth="1"/>
    <col min="5137" max="5137" width="14" style="269" customWidth="1"/>
    <col min="5138" max="5138" width="14.85546875" style="269" customWidth="1"/>
    <col min="5139" max="5139" width="11.42578125" style="269" customWidth="1"/>
    <col min="5140" max="5140" width="13.28515625" style="269" customWidth="1"/>
    <col min="5141" max="5141" width="11.42578125" style="269" customWidth="1"/>
    <col min="5142" max="5142" width="19.85546875" style="269" customWidth="1"/>
    <col min="5143" max="5144" width="11.42578125" style="269" customWidth="1"/>
    <col min="5145" max="5145" width="16.28515625" style="269" customWidth="1"/>
    <col min="5146" max="5146" width="14.28515625" style="269" customWidth="1"/>
    <col min="5147" max="5147" width="9.140625" style="269" customWidth="1"/>
    <col min="5148" max="5148" width="17.28515625" style="269" customWidth="1"/>
    <col min="5149" max="5149" width="20.42578125" style="269" customWidth="1"/>
    <col min="5150" max="5150" width="17.5703125" style="269" customWidth="1"/>
    <col min="5151" max="5151" width="15.42578125" style="269" customWidth="1"/>
    <col min="5152" max="5152" width="12.85546875" style="269" customWidth="1"/>
    <col min="5153" max="5153" width="15.5703125" style="269" bestFit="1" customWidth="1"/>
    <col min="5154" max="5154" width="24.42578125" style="269" bestFit="1" customWidth="1"/>
    <col min="5155" max="5155" width="16" style="269" bestFit="1" customWidth="1"/>
    <col min="5156" max="5156" width="15.5703125" style="269" customWidth="1"/>
    <col min="5157" max="5300" width="11.42578125" style="269"/>
    <col min="5301" max="5301" width="11.42578125" style="269" customWidth="1"/>
    <col min="5302" max="5302" width="15.28515625" style="269" customWidth="1"/>
    <col min="5303" max="5304" width="12.5703125" style="269" customWidth="1"/>
    <col min="5305" max="5305" width="11.42578125" style="269" customWidth="1"/>
    <col min="5306" max="5306" width="9" style="269" customWidth="1"/>
    <col min="5307" max="5307" width="23.7109375" style="269" customWidth="1"/>
    <col min="5308" max="5308" width="27.7109375" style="269" customWidth="1"/>
    <col min="5309" max="5309" width="11.42578125" style="269" customWidth="1"/>
    <col min="5310" max="5310" width="2.7109375" style="269" customWidth="1"/>
    <col min="5311" max="5311" width="8.7109375" style="269" customWidth="1"/>
    <col min="5312" max="5312" width="23.7109375" style="269" customWidth="1"/>
    <col min="5313" max="5313" width="27.7109375" style="269" customWidth="1"/>
    <col min="5314" max="5326" width="11.42578125" style="269" customWidth="1"/>
    <col min="5327" max="5327" width="16.5703125" style="269" bestFit="1" customWidth="1"/>
    <col min="5328" max="5328" width="17" style="269" bestFit="1" customWidth="1"/>
    <col min="5329" max="5329" width="11.42578125" style="269" customWidth="1"/>
    <col min="5330" max="5330" width="15.5703125" style="269" customWidth="1"/>
    <col min="5331" max="5331" width="9.28515625" style="269" customWidth="1"/>
    <col min="5332" max="5332" width="12" style="269" customWidth="1"/>
    <col min="5333" max="5333" width="11.140625" style="269" customWidth="1"/>
    <col min="5334" max="5334" width="11.42578125" style="269" customWidth="1"/>
    <col min="5335" max="5335" width="8.140625" style="269" customWidth="1"/>
    <col min="5336" max="5336" width="13.28515625" style="269" customWidth="1"/>
    <col min="5337" max="5337" width="19.7109375" style="269" customWidth="1"/>
    <col min="5338" max="5338" width="14.140625" style="269" customWidth="1"/>
    <col min="5339" max="5339" width="14.85546875" style="269" customWidth="1"/>
    <col min="5340" max="5340" width="9.28515625" style="269" customWidth="1"/>
    <col min="5341" max="5341" width="16.85546875" style="269" customWidth="1"/>
    <col min="5342" max="5342" width="11.85546875" style="269" customWidth="1"/>
    <col min="5343" max="5343" width="21.5703125" style="269" customWidth="1"/>
    <col min="5344" max="5344" width="20.42578125" style="269" customWidth="1"/>
    <col min="5345" max="5345" width="22.28515625" style="269" customWidth="1"/>
    <col min="5346" max="5346" width="11.42578125" style="269" customWidth="1"/>
    <col min="5347" max="5347" width="18.5703125" style="269" customWidth="1"/>
    <col min="5348" max="5348" width="14.28515625" style="269" customWidth="1"/>
    <col min="5349" max="5349" width="12.7109375" style="269" customWidth="1"/>
    <col min="5350" max="5350" width="13.5703125" style="269" customWidth="1"/>
    <col min="5351" max="5351" width="22.5703125" style="269" customWidth="1"/>
    <col min="5352" max="5353" width="22.42578125" style="269" customWidth="1"/>
    <col min="5354" max="5354" width="23.140625" style="269" customWidth="1"/>
    <col min="5355" max="5355" width="11.42578125" style="269" customWidth="1"/>
    <col min="5356" max="5356" width="19.85546875" style="269" customWidth="1"/>
    <col min="5357" max="5357" width="11.42578125" style="269" customWidth="1"/>
    <col min="5358" max="5358" width="6.42578125" style="269" customWidth="1"/>
    <col min="5359" max="5359" width="14" style="269" customWidth="1"/>
    <col min="5360" max="5360" width="7.85546875" style="269" customWidth="1"/>
    <col min="5361" max="5367" width="11.42578125" style="269" customWidth="1"/>
    <col min="5368" max="5368" width="13.5703125" style="269" customWidth="1"/>
    <col min="5369" max="5369" width="17.42578125" style="269" customWidth="1"/>
    <col min="5370" max="5371" width="11.42578125" style="269" customWidth="1"/>
    <col min="5372" max="5372" width="20.7109375" style="269" customWidth="1"/>
    <col min="5373" max="5373" width="11.42578125" style="269" customWidth="1"/>
    <col min="5374" max="5374" width="13.42578125" style="269" customWidth="1"/>
    <col min="5375" max="5377" width="11.42578125" style="269" customWidth="1"/>
    <col min="5378" max="5378" width="15.42578125" style="269" customWidth="1"/>
    <col min="5379" max="5379" width="13.5703125" style="269" customWidth="1"/>
    <col min="5380" max="5380" width="20" style="269" customWidth="1"/>
    <col min="5381" max="5382" width="11.42578125" style="269" customWidth="1"/>
    <col min="5383" max="5383" width="21.7109375" style="269" customWidth="1"/>
    <col min="5384" max="5384" width="13.5703125" style="269" customWidth="1"/>
    <col min="5385" max="5385" width="19.140625" style="269" customWidth="1"/>
    <col min="5386" max="5386" width="23" style="269" customWidth="1"/>
    <col min="5387" max="5388" width="11.42578125" style="269" customWidth="1"/>
    <col min="5389" max="5389" width="12" style="269" customWidth="1"/>
    <col min="5390" max="5392" width="11.42578125" style="269" customWidth="1"/>
    <col min="5393" max="5393" width="14" style="269" customWidth="1"/>
    <col min="5394" max="5394" width="14.85546875" style="269" customWidth="1"/>
    <col min="5395" max="5395" width="11.42578125" style="269" customWidth="1"/>
    <col min="5396" max="5396" width="13.28515625" style="269" customWidth="1"/>
    <col min="5397" max="5397" width="11.42578125" style="269" customWidth="1"/>
    <col min="5398" max="5398" width="19.85546875" style="269" customWidth="1"/>
    <col min="5399" max="5400" width="11.42578125" style="269" customWidth="1"/>
    <col min="5401" max="5401" width="16.28515625" style="269" customWidth="1"/>
    <col min="5402" max="5402" width="14.28515625" style="269" customWidth="1"/>
    <col min="5403" max="5403" width="9.140625" style="269" customWidth="1"/>
    <col min="5404" max="5404" width="17.28515625" style="269" customWidth="1"/>
    <col min="5405" max="5405" width="20.42578125" style="269" customWidth="1"/>
    <col min="5406" max="5406" width="17.5703125" style="269" customWidth="1"/>
    <col min="5407" max="5407" width="15.42578125" style="269" customWidth="1"/>
    <col min="5408" max="5408" width="12.85546875" style="269" customWidth="1"/>
    <col min="5409" max="5409" width="15.5703125" style="269" bestFit="1" customWidth="1"/>
    <col min="5410" max="5410" width="24.42578125" style="269" bestFit="1" customWidth="1"/>
    <col min="5411" max="5411" width="16" style="269" bestFit="1" customWidth="1"/>
    <col min="5412" max="5412" width="15.5703125" style="269" customWidth="1"/>
    <col min="5413" max="5556" width="11.42578125" style="269"/>
    <col min="5557" max="5557" width="11.42578125" style="269" customWidth="1"/>
    <col min="5558" max="5558" width="15.28515625" style="269" customWidth="1"/>
    <col min="5559" max="5560" width="12.5703125" style="269" customWidth="1"/>
    <col min="5561" max="5561" width="11.42578125" style="269" customWidth="1"/>
    <col min="5562" max="5562" width="9" style="269" customWidth="1"/>
    <col min="5563" max="5563" width="23.7109375" style="269" customWidth="1"/>
    <col min="5564" max="5564" width="27.7109375" style="269" customWidth="1"/>
    <col min="5565" max="5565" width="11.42578125" style="269" customWidth="1"/>
    <col min="5566" max="5566" width="2.7109375" style="269" customWidth="1"/>
    <col min="5567" max="5567" width="8.7109375" style="269" customWidth="1"/>
    <col min="5568" max="5568" width="23.7109375" style="269" customWidth="1"/>
    <col min="5569" max="5569" width="27.7109375" style="269" customWidth="1"/>
    <col min="5570" max="5582" width="11.42578125" style="269" customWidth="1"/>
    <col min="5583" max="5583" width="16.5703125" style="269" bestFit="1" customWidth="1"/>
    <col min="5584" max="5584" width="17" style="269" bestFit="1" customWidth="1"/>
    <col min="5585" max="5585" width="11.42578125" style="269" customWidth="1"/>
    <col min="5586" max="5586" width="15.5703125" style="269" customWidth="1"/>
    <col min="5587" max="5587" width="9.28515625" style="269" customWidth="1"/>
    <col min="5588" max="5588" width="12" style="269" customWidth="1"/>
    <col min="5589" max="5589" width="11.140625" style="269" customWidth="1"/>
    <col min="5590" max="5590" width="11.42578125" style="269" customWidth="1"/>
    <col min="5591" max="5591" width="8.140625" style="269" customWidth="1"/>
    <col min="5592" max="5592" width="13.28515625" style="269" customWidth="1"/>
    <col min="5593" max="5593" width="19.7109375" style="269" customWidth="1"/>
    <col min="5594" max="5594" width="14.140625" style="269" customWidth="1"/>
    <col min="5595" max="5595" width="14.85546875" style="269" customWidth="1"/>
    <col min="5596" max="5596" width="9.28515625" style="269" customWidth="1"/>
    <col min="5597" max="5597" width="16.85546875" style="269" customWidth="1"/>
    <col min="5598" max="5598" width="11.85546875" style="269" customWidth="1"/>
    <col min="5599" max="5599" width="21.5703125" style="269" customWidth="1"/>
    <col min="5600" max="5600" width="20.42578125" style="269" customWidth="1"/>
    <col min="5601" max="5601" width="22.28515625" style="269" customWidth="1"/>
    <col min="5602" max="5602" width="11.42578125" style="269" customWidth="1"/>
    <col min="5603" max="5603" width="18.5703125" style="269" customWidth="1"/>
    <col min="5604" max="5604" width="14.28515625" style="269" customWidth="1"/>
    <col min="5605" max="5605" width="12.7109375" style="269" customWidth="1"/>
    <col min="5606" max="5606" width="13.5703125" style="269" customWidth="1"/>
    <col min="5607" max="5607" width="22.5703125" style="269" customWidth="1"/>
    <col min="5608" max="5609" width="22.42578125" style="269" customWidth="1"/>
    <col min="5610" max="5610" width="23.140625" style="269" customWidth="1"/>
    <col min="5611" max="5611" width="11.42578125" style="269" customWidth="1"/>
    <col min="5612" max="5612" width="19.85546875" style="269" customWidth="1"/>
    <col min="5613" max="5613" width="11.42578125" style="269" customWidth="1"/>
    <col min="5614" max="5614" width="6.42578125" style="269" customWidth="1"/>
    <col min="5615" max="5615" width="14" style="269" customWidth="1"/>
    <col min="5616" max="5616" width="7.85546875" style="269" customWidth="1"/>
    <col min="5617" max="5623" width="11.42578125" style="269" customWidth="1"/>
    <col min="5624" max="5624" width="13.5703125" style="269" customWidth="1"/>
    <col min="5625" max="5625" width="17.42578125" style="269" customWidth="1"/>
    <col min="5626" max="5627" width="11.42578125" style="269" customWidth="1"/>
    <col min="5628" max="5628" width="20.7109375" style="269" customWidth="1"/>
    <col min="5629" max="5629" width="11.42578125" style="269" customWidth="1"/>
    <col min="5630" max="5630" width="13.42578125" style="269" customWidth="1"/>
    <col min="5631" max="5633" width="11.42578125" style="269" customWidth="1"/>
    <col min="5634" max="5634" width="15.42578125" style="269" customWidth="1"/>
    <col min="5635" max="5635" width="13.5703125" style="269" customWidth="1"/>
    <col min="5636" max="5636" width="20" style="269" customWidth="1"/>
    <col min="5637" max="5638" width="11.42578125" style="269" customWidth="1"/>
    <col min="5639" max="5639" width="21.7109375" style="269" customWidth="1"/>
    <col min="5640" max="5640" width="13.5703125" style="269" customWidth="1"/>
    <col min="5641" max="5641" width="19.140625" style="269" customWidth="1"/>
    <col min="5642" max="5642" width="23" style="269" customWidth="1"/>
    <col min="5643" max="5644" width="11.42578125" style="269" customWidth="1"/>
    <col min="5645" max="5645" width="12" style="269" customWidth="1"/>
    <col min="5646" max="5648" width="11.42578125" style="269" customWidth="1"/>
    <col min="5649" max="5649" width="14" style="269" customWidth="1"/>
    <col min="5650" max="5650" width="14.85546875" style="269" customWidth="1"/>
    <col min="5651" max="5651" width="11.42578125" style="269" customWidth="1"/>
    <col min="5652" max="5652" width="13.28515625" style="269" customWidth="1"/>
    <col min="5653" max="5653" width="11.42578125" style="269" customWidth="1"/>
    <col min="5654" max="5654" width="19.85546875" style="269" customWidth="1"/>
    <col min="5655" max="5656" width="11.42578125" style="269" customWidth="1"/>
    <col min="5657" max="5657" width="16.28515625" style="269" customWidth="1"/>
    <col min="5658" max="5658" width="14.28515625" style="269" customWidth="1"/>
    <col min="5659" max="5659" width="9.140625" style="269" customWidth="1"/>
    <col min="5660" max="5660" width="17.28515625" style="269" customWidth="1"/>
    <col min="5661" max="5661" width="20.42578125" style="269" customWidth="1"/>
    <col min="5662" max="5662" width="17.5703125" style="269" customWidth="1"/>
    <col min="5663" max="5663" width="15.42578125" style="269" customWidth="1"/>
    <col min="5664" max="5664" width="12.85546875" style="269" customWidth="1"/>
    <col min="5665" max="5665" width="15.5703125" style="269" bestFit="1" customWidth="1"/>
    <col min="5666" max="5666" width="24.42578125" style="269" bestFit="1" customWidth="1"/>
    <col min="5667" max="5667" width="16" style="269" bestFit="1" customWidth="1"/>
    <col min="5668" max="5668" width="15.5703125" style="269" customWidth="1"/>
    <col min="5669" max="5812" width="11.42578125" style="269"/>
    <col min="5813" max="5813" width="11.42578125" style="269" customWidth="1"/>
    <col min="5814" max="5814" width="15.28515625" style="269" customWidth="1"/>
    <col min="5815" max="5816" width="12.5703125" style="269" customWidth="1"/>
    <col min="5817" max="5817" width="11.42578125" style="269" customWidth="1"/>
    <col min="5818" max="5818" width="9" style="269" customWidth="1"/>
    <col min="5819" max="5819" width="23.7109375" style="269" customWidth="1"/>
    <col min="5820" max="5820" width="27.7109375" style="269" customWidth="1"/>
    <col min="5821" max="5821" width="11.42578125" style="269" customWidth="1"/>
    <col min="5822" max="5822" width="2.7109375" style="269" customWidth="1"/>
    <col min="5823" max="5823" width="8.7109375" style="269" customWidth="1"/>
    <col min="5824" max="5824" width="23.7109375" style="269" customWidth="1"/>
    <col min="5825" max="5825" width="27.7109375" style="269" customWidth="1"/>
    <col min="5826" max="5838" width="11.42578125" style="269" customWidth="1"/>
    <col min="5839" max="5839" width="16.5703125" style="269" bestFit="1" customWidth="1"/>
    <col min="5840" max="5840" width="17" style="269" bestFit="1" customWidth="1"/>
    <col min="5841" max="5841" width="11.42578125" style="269" customWidth="1"/>
    <col min="5842" max="5842" width="15.5703125" style="269" customWidth="1"/>
    <col min="5843" max="5843" width="9.28515625" style="269" customWidth="1"/>
    <col min="5844" max="5844" width="12" style="269" customWidth="1"/>
    <col min="5845" max="5845" width="11.140625" style="269" customWidth="1"/>
    <col min="5846" max="5846" width="11.42578125" style="269" customWidth="1"/>
    <col min="5847" max="5847" width="8.140625" style="269" customWidth="1"/>
    <col min="5848" max="5848" width="13.28515625" style="269" customWidth="1"/>
    <col min="5849" max="5849" width="19.7109375" style="269" customWidth="1"/>
    <col min="5850" max="5850" width="14.140625" style="269" customWidth="1"/>
    <col min="5851" max="5851" width="14.85546875" style="269" customWidth="1"/>
    <col min="5852" max="5852" width="9.28515625" style="269" customWidth="1"/>
    <col min="5853" max="5853" width="16.85546875" style="269" customWidth="1"/>
    <col min="5854" max="5854" width="11.85546875" style="269" customWidth="1"/>
    <col min="5855" max="5855" width="21.5703125" style="269" customWidth="1"/>
    <col min="5856" max="5856" width="20.42578125" style="269" customWidth="1"/>
    <col min="5857" max="5857" width="22.28515625" style="269" customWidth="1"/>
    <col min="5858" max="5858" width="11.42578125" style="269" customWidth="1"/>
    <col min="5859" max="5859" width="18.5703125" style="269" customWidth="1"/>
    <col min="5860" max="5860" width="14.28515625" style="269" customWidth="1"/>
    <col min="5861" max="5861" width="12.7109375" style="269" customWidth="1"/>
    <col min="5862" max="5862" width="13.5703125" style="269" customWidth="1"/>
    <col min="5863" max="5863" width="22.5703125" style="269" customWidth="1"/>
    <col min="5864" max="5865" width="22.42578125" style="269" customWidth="1"/>
    <col min="5866" max="5866" width="23.140625" style="269" customWidth="1"/>
    <col min="5867" max="5867" width="11.42578125" style="269" customWidth="1"/>
    <col min="5868" max="5868" width="19.85546875" style="269" customWidth="1"/>
    <col min="5869" max="5869" width="11.42578125" style="269" customWidth="1"/>
    <col min="5870" max="5870" width="6.42578125" style="269" customWidth="1"/>
    <col min="5871" max="5871" width="14" style="269" customWidth="1"/>
    <col min="5872" max="5872" width="7.85546875" style="269" customWidth="1"/>
    <col min="5873" max="5879" width="11.42578125" style="269" customWidth="1"/>
    <col min="5880" max="5880" width="13.5703125" style="269" customWidth="1"/>
    <col min="5881" max="5881" width="17.42578125" style="269" customWidth="1"/>
    <col min="5882" max="5883" width="11.42578125" style="269" customWidth="1"/>
    <col min="5884" max="5884" width="20.7109375" style="269" customWidth="1"/>
    <col min="5885" max="5885" width="11.42578125" style="269" customWidth="1"/>
    <col min="5886" max="5886" width="13.42578125" style="269" customWidth="1"/>
    <col min="5887" max="5889" width="11.42578125" style="269" customWidth="1"/>
    <col min="5890" max="5890" width="15.42578125" style="269" customWidth="1"/>
    <col min="5891" max="5891" width="13.5703125" style="269" customWidth="1"/>
    <col min="5892" max="5892" width="20" style="269" customWidth="1"/>
    <col min="5893" max="5894" width="11.42578125" style="269" customWidth="1"/>
    <col min="5895" max="5895" width="21.7109375" style="269" customWidth="1"/>
    <col min="5896" max="5896" width="13.5703125" style="269" customWidth="1"/>
    <col min="5897" max="5897" width="19.140625" style="269" customWidth="1"/>
    <col min="5898" max="5898" width="23" style="269" customWidth="1"/>
    <col min="5899" max="5900" width="11.42578125" style="269" customWidth="1"/>
    <col min="5901" max="5901" width="12" style="269" customWidth="1"/>
    <col min="5902" max="5904" width="11.42578125" style="269" customWidth="1"/>
    <col min="5905" max="5905" width="14" style="269" customWidth="1"/>
    <col min="5906" max="5906" width="14.85546875" style="269" customWidth="1"/>
    <col min="5907" max="5907" width="11.42578125" style="269" customWidth="1"/>
    <col min="5908" max="5908" width="13.28515625" style="269" customWidth="1"/>
    <col min="5909" max="5909" width="11.42578125" style="269" customWidth="1"/>
    <col min="5910" max="5910" width="19.85546875" style="269" customWidth="1"/>
    <col min="5911" max="5912" width="11.42578125" style="269" customWidth="1"/>
    <col min="5913" max="5913" width="16.28515625" style="269" customWidth="1"/>
    <col min="5914" max="5914" width="14.28515625" style="269" customWidth="1"/>
    <col min="5915" max="5915" width="9.140625" style="269" customWidth="1"/>
    <col min="5916" max="5916" width="17.28515625" style="269" customWidth="1"/>
    <col min="5917" max="5917" width="20.42578125" style="269" customWidth="1"/>
    <col min="5918" max="5918" width="17.5703125" style="269" customWidth="1"/>
    <col min="5919" max="5919" width="15.42578125" style="269" customWidth="1"/>
    <col min="5920" max="5920" width="12.85546875" style="269" customWidth="1"/>
    <col min="5921" max="5921" width="15.5703125" style="269" bestFit="1" customWidth="1"/>
    <col min="5922" max="5922" width="24.42578125" style="269" bestFit="1" customWidth="1"/>
    <col min="5923" max="5923" width="16" style="269" bestFit="1" customWidth="1"/>
    <col min="5924" max="5924" width="15.5703125" style="269" customWidth="1"/>
    <col min="5925" max="6068" width="11.42578125" style="269"/>
    <col min="6069" max="6069" width="11.42578125" style="269" customWidth="1"/>
    <col min="6070" max="6070" width="15.28515625" style="269" customWidth="1"/>
    <col min="6071" max="6072" width="12.5703125" style="269" customWidth="1"/>
    <col min="6073" max="6073" width="11.42578125" style="269" customWidth="1"/>
    <col min="6074" max="6074" width="9" style="269" customWidth="1"/>
    <col min="6075" max="6075" width="23.7109375" style="269" customWidth="1"/>
    <col min="6076" max="6076" width="27.7109375" style="269" customWidth="1"/>
    <col min="6077" max="6077" width="11.42578125" style="269" customWidth="1"/>
    <col min="6078" max="6078" width="2.7109375" style="269" customWidth="1"/>
    <col min="6079" max="6079" width="8.7109375" style="269" customWidth="1"/>
    <col min="6080" max="6080" width="23.7109375" style="269" customWidth="1"/>
    <col min="6081" max="6081" width="27.7109375" style="269" customWidth="1"/>
    <col min="6082" max="6094" width="11.42578125" style="269" customWidth="1"/>
    <col min="6095" max="6095" width="16.5703125" style="269" bestFit="1" customWidth="1"/>
    <col min="6096" max="6096" width="17" style="269" bestFit="1" customWidth="1"/>
    <col min="6097" max="6097" width="11.42578125" style="269" customWidth="1"/>
    <col min="6098" max="6098" width="15.5703125" style="269" customWidth="1"/>
    <col min="6099" max="6099" width="9.28515625" style="269" customWidth="1"/>
    <col min="6100" max="6100" width="12" style="269" customWidth="1"/>
    <col min="6101" max="6101" width="11.140625" style="269" customWidth="1"/>
    <col min="6102" max="6102" width="11.42578125" style="269" customWidth="1"/>
    <col min="6103" max="6103" width="8.140625" style="269" customWidth="1"/>
    <col min="6104" max="6104" width="13.28515625" style="269" customWidth="1"/>
    <col min="6105" max="6105" width="19.7109375" style="269" customWidth="1"/>
    <col min="6106" max="6106" width="14.140625" style="269" customWidth="1"/>
    <col min="6107" max="6107" width="14.85546875" style="269" customWidth="1"/>
    <col min="6108" max="6108" width="9.28515625" style="269" customWidth="1"/>
    <col min="6109" max="6109" width="16.85546875" style="269" customWidth="1"/>
    <col min="6110" max="6110" width="11.85546875" style="269" customWidth="1"/>
    <col min="6111" max="6111" width="21.5703125" style="269" customWidth="1"/>
    <col min="6112" max="6112" width="20.42578125" style="269" customWidth="1"/>
    <col min="6113" max="6113" width="22.28515625" style="269" customWidth="1"/>
    <col min="6114" max="6114" width="11.42578125" style="269" customWidth="1"/>
    <col min="6115" max="6115" width="18.5703125" style="269" customWidth="1"/>
    <col min="6116" max="6116" width="14.28515625" style="269" customWidth="1"/>
    <col min="6117" max="6117" width="12.7109375" style="269" customWidth="1"/>
    <col min="6118" max="6118" width="13.5703125" style="269" customWidth="1"/>
    <col min="6119" max="6119" width="22.5703125" style="269" customWidth="1"/>
    <col min="6120" max="6121" width="22.42578125" style="269" customWidth="1"/>
    <col min="6122" max="6122" width="23.140625" style="269" customWidth="1"/>
    <col min="6123" max="6123" width="11.42578125" style="269" customWidth="1"/>
    <col min="6124" max="6124" width="19.85546875" style="269" customWidth="1"/>
    <col min="6125" max="6125" width="11.42578125" style="269" customWidth="1"/>
    <col min="6126" max="6126" width="6.42578125" style="269" customWidth="1"/>
    <col min="6127" max="6127" width="14" style="269" customWidth="1"/>
    <col min="6128" max="6128" width="7.85546875" style="269" customWidth="1"/>
    <col min="6129" max="6135" width="11.42578125" style="269" customWidth="1"/>
    <col min="6136" max="6136" width="13.5703125" style="269" customWidth="1"/>
    <col min="6137" max="6137" width="17.42578125" style="269" customWidth="1"/>
    <col min="6138" max="6139" width="11.42578125" style="269" customWidth="1"/>
    <col min="6140" max="6140" width="20.7109375" style="269" customWidth="1"/>
    <col min="6141" max="6141" width="11.42578125" style="269" customWidth="1"/>
    <col min="6142" max="6142" width="13.42578125" style="269" customWidth="1"/>
    <col min="6143" max="6145" width="11.42578125" style="269" customWidth="1"/>
    <col min="6146" max="6146" width="15.42578125" style="269" customWidth="1"/>
    <col min="6147" max="6147" width="13.5703125" style="269" customWidth="1"/>
    <col min="6148" max="6148" width="20" style="269" customWidth="1"/>
    <col min="6149" max="6150" width="11.42578125" style="269" customWidth="1"/>
    <col min="6151" max="6151" width="21.7109375" style="269" customWidth="1"/>
    <col min="6152" max="6152" width="13.5703125" style="269" customWidth="1"/>
    <col min="6153" max="6153" width="19.140625" style="269" customWidth="1"/>
    <col min="6154" max="6154" width="23" style="269" customWidth="1"/>
    <col min="6155" max="6156" width="11.42578125" style="269" customWidth="1"/>
    <col min="6157" max="6157" width="12" style="269" customWidth="1"/>
    <col min="6158" max="6160" width="11.42578125" style="269" customWidth="1"/>
    <col min="6161" max="6161" width="14" style="269" customWidth="1"/>
    <col min="6162" max="6162" width="14.85546875" style="269" customWidth="1"/>
    <col min="6163" max="6163" width="11.42578125" style="269" customWidth="1"/>
    <col min="6164" max="6164" width="13.28515625" style="269" customWidth="1"/>
    <col min="6165" max="6165" width="11.42578125" style="269" customWidth="1"/>
    <col min="6166" max="6166" width="19.85546875" style="269" customWidth="1"/>
    <col min="6167" max="6168" width="11.42578125" style="269" customWidth="1"/>
    <col min="6169" max="6169" width="16.28515625" style="269" customWidth="1"/>
    <col min="6170" max="6170" width="14.28515625" style="269" customWidth="1"/>
    <col min="6171" max="6171" width="9.140625" style="269" customWidth="1"/>
    <col min="6172" max="6172" width="17.28515625" style="269" customWidth="1"/>
    <col min="6173" max="6173" width="20.42578125" style="269" customWidth="1"/>
    <col min="6174" max="6174" width="17.5703125" style="269" customWidth="1"/>
    <col min="6175" max="6175" width="15.42578125" style="269" customWidth="1"/>
    <col min="6176" max="6176" width="12.85546875" style="269" customWidth="1"/>
    <col min="6177" max="6177" width="15.5703125" style="269" bestFit="1" customWidth="1"/>
    <col min="6178" max="6178" width="24.42578125" style="269" bestFit="1" customWidth="1"/>
    <col min="6179" max="6179" width="16" style="269" bestFit="1" customWidth="1"/>
    <col min="6180" max="6180" width="15.5703125" style="269" customWidth="1"/>
    <col min="6181" max="6324" width="11.42578125" style="269"/>
    <col min="6325" max="6325" width="11.42578125" style="269" customWidth="1"/>
    <col min="6326" max="6326" width="15.28515625" style="269" customWidth="1"/>
    <col min="6327" max="6328" width="12.5703125" style="269" customWidth="1"/>
    <col min="6329" max="6329" width="11.42578125" style="269" customWidth="1"/>
    <col min="6330" max="6330" width="9" style="269" customWidth="1"/>
    <col min="6331" max="6331" width="23.7109375" style="269" customWidth="1"/>
    <col min="6332" max="6332" width="27.7109375" style="269" customWidth="1"/>
    <col min="6333" max="6333" width="11.42578125" style="269" customWidth="1"/>
    <col min="6334" max="6334" width="2.7109375" style="269" customWidth="1"/>
    <col min="6335" max="6335" width="8.7109375" style="269" customWidth="1"/>
    <col min="6336" max="6336" width="23.7109375" style="269" customWidth="1"/>
    <col min="6337" max="6337" width="27.7109375" style="269" customWidth="1"/>
    <col min="6338" max="6350" width="11.42578125" style="269" customWidth="1"/>
    <col min="6351" max="6351" width="16.5703125" style="269" bestFit="1" customWidth="1"/>
    <col min="6352" max="6352" width="17" style="269" bestFit="1" customWidth="1"/>
    <col min="6353" max="6353" width="11.42578125" style="269" customWidth="1"/>
    <col min="6354" max="6354" width="15.5703125" style="269" customWidth="1"/>
    <col min="6355" max="6355" width="9.28515625" style="269" customWidth="1"/>
    <col min="6356" max="6356" width="12" style="269" customWidth="1"/>
    <col min="6357" max="6357" width="11.140625" style="269" customWidth="1"/>
    <col min="6358" max="6358" width="11.42578125" style="269" customWidth="1"/>
    <col min="6359" max="6359" width="8.140625" style="269" customWidth="1"/>
    <col min="6360" max="6360" width="13.28515625" style="269" customWidth="1"/>
    <col min="6361" max="6361" width="19.7109375" style="269" customWidth="1"/>
    <col min="6362" max="6362" width="14.140625" style="269" customWidth="1"/>
    <col min="6363" max="6363" width="14.85546875" style="269" customWidth="1"/>
    <col min="6364" max="6364" width="9.28515625" style="269" customWidth="1"/>
    <col min="6365" max="6365" width="16.85546875" style="269" customWidth="1"/>
    <col min="6366" max="6366" width="11.85546875" style="269" customWidth="1"/>
    <col min="6367" max="6367" width="21.5703125" style="269" customWidth="1"/>
    <col min="6368" max="6368" width="20.42578125" style="269" customWidth="1"/>
    <col min="6369" max="6369" width="22.28515625" style="269" customWidth="1"/>
    <col min="6370" max="6370" width="11.42578125" style="269" customWidth="1"/>
    <col min="6371" max="6371" width="18.5703125" style="269" customWidth="1"/>
    <col min="6372" max="6372" width="14.28515625" style="269" customWidth="1"/>
    <col min="6373" max="6373" width="12.7109375" style="269" customWidth="1"/>
    <col min="6374" max="6374" width="13.5703125" style="269" customWidth="1"/>
    <col min="6375" max="6375" width="22.5703125" style="269" customWidth="1"/>
    <col min="6376" max="6377" width="22.42578125" style="269" customWidth="1"/>
    <col min="6378" max="6378" width="23.140625" style="269" customWidth="1"/>
    <col min="6379" max="6379" width="11.42578125" style="269" customWidth="1"/>
    <col min="6380" max="6380" width="19.85546875" style="269" customWidth="1"/>
    <col min="6381" max="6381" width="11.42578125" style="269" customWidth="1"/>
    <col min="6382" max="6382" width="6.42578125" style="269" customWidth="1"/>
    <col min="6383" max="6383" width="14" style="269" customWidth="1"/>
    <col min="6384" max="6384" width="7.85546875" style="269" customWidth="1"/>
    <col min="6385" max="6391" width="11.42578125" style="269" customWidth="1"/>
    <col min="6392" max="6392" width="13.5703125" style="269" customWidth="1"/>
    <col min="6393" max="6393" width="17.42578125" style="269" customWidth="1"/>
    <col min="6394" max="6395" width="11.42578125" style="269" customWidth="1"/>
    <col min="6396" max="6396" width="20.7109375" style="269" customWidth="1"/>
    <col min="6397" max="6397" width="11.42578125" style="269" customWidth="1"/>
    <col min="6398" max="6398" width="13.42578125" style="269" customWidth="1"/>
    <col min="6399" max="6401" width="11.42578125" style="269" customWidth="1"/>
    <col min="6402" max="6402" width="15.42578125" style="269" customWidth="1"/>
    <col min="6403" max="6403" width="13.5703125" style="269" customWidth="1"/>
    <col min="6404" max="6404" width="20" style="269" customWidth="1"/>
    <col min="6405" max="6406" width="11.42578125" style="269" customWidth="1"/>
    <col min="6407" max="6407" width="21.7109375" style="269" customWidth="1"/>
    <col min="6408" max="6408" width="13.5703125" style="269" customWidth="1"/>
    <col min="6409" max="6409" width="19.140625" style="269" customWidth="1"/>
    <col min="6410" max="6410" width="23" style="269" customWidth="1"/>
    <col min="6411" max="6412" width="11.42578125" style="269" customWidth="1"/>
    <col min="6413" max="6413" width="12" style="269" customWidth="1"/>
    <col min="6414" max="6416" width="11.42578125" style="269" customWidth="1"/>
    <col min="6417" max="6417" width="14" style="269" customWidth="1"/>
    <col min="6418" max="6418" width="14.85546875" style="269" customWidth="1"/>
    <col min="6419" max="6419" width="11.42578125" style="269" customWidth="1"/>
    <col min="6420" max="6420" width="13.28515625" style="269" customWidth="1"/>
    <col min="6421" max="6421" width="11.42578125" style="269" customWidth="1"/>
    <col min="6422" max="6422" width="19.85546875" style="269" customWidth="1"/>
    <col min="6423" max="6424" width="11.42578125" style="269" customWidth="1"/>
    <col min="6425" max="6425" width="16.28515625" style="269" customWidth="1"/>
    <col min="6426" max="6426" width="14.28515625" style="269" customWidth="1"/>
    <col min="6427" max="6427" width="9.140625" style="269" customWidth="1"/>
    <col min="6428" max="6428" width="17.28515625" style="269" customWidth="1"/>
    <col min="6429" max="6429" width="20.42578125" style="269" customWidth="1"/>
    <col min="6430" max="6430" width="17.5703125" style="269" customWidth="1"/>
    <col min="6431" max="6431" width="15.42578125" style="269" customWidth="1"/>
    <col min="6432" max="6432" width="12.85546875" style="269" customWidth="1"/>
    <col min="6433" max="6433" width="15.5703125" style="269" bestFit="1" customWidth="1"/>
    <col min="6434" max="6434" width="24.42578125" style="269" bestFit="1" customWidth="1"/>
    <col min="6435" max="6435" width="16" style="269" bestFit="1" customWidth="1"/>
    <col min="6436" max="6436" width="15.5703125" style="269" customWidth="1"/>
    <col min="6437" max="6580" width="11.42578125" style="269"/>
    <col min="6581" max="6581" width="11.42578125" style="269" customWidth="1"/>
    <col min="6582" max="6582" width="15.28515625" style="269" customWidth="1"/>
    <col min="6583" max="6584" width="12.5703125" style="269" customWidth="1"/>
    <col min="6585" max="6585" width="11.42578125" style="269" customWidth="1"/>
    <col min="6586" max="6586" width="9" style="269" customWidth="1"/>
    <col min="6587" max="6587" width="23.7109375" style="269" customWidth="1"/>
    <col min="6588" max="6588" width="27.7109375" style="269" customWidth="1"/>
    <col min="6589" max="6589" width="11.42578125" style="269" customWidth="1"/>
    <col min="6590" max="6590" width="2.7109375" style="269" customWidth="1"/>
    <col min="6591" max="6591" width="8.7109375" style="269" customWidth="1"/>
    <col min="6592" max="6592" width="23.7109375" style="269" customWidth="1"/>
    <col min="6593" max="6593" width="27.7109375" style="269" customWidth="1"/>
    <col min="6594" max="6606" width="11.42578125" style="269" customWidth="1"/>
    <col min="6607" max="6607" width="16.5703125" style="269" bestFit="1" customWidth="1"/>
    <col min="6608" max="6608" width="17" style="269" bestFit="1" customWidth="1"/>
    <col min="6609" max="6609" width="11.42578125" style="269" customWidth="1"/>
    <col min="6610" max="6610" width="15.5703125" style="269" customWidth="1"/>
    <col min="6611" max="6611" width="9.28515625" style="269" customWidth="1"/>
    <col min="6612" max="6612" width="12" style="269" customWidth="1"/>
    <col min="6613" max="6613" width="11.140625" style="269" customWidth="1"/>
    <col min="6614" max="6614" width="11.42578125" style="269" customWidth="1"/>
    <col min="6615" max="6615" width="8.140625" style="269" customWidth="1"/>
    <col min="6616" max="6616" width="13.28515625" style="269" customWidth="1"/>
    <col min="6617" max="6617" width="19.7109375" style="269" customWidth="1"/>
    <col min="6618" max="6618" width="14.140625" style="269" customWidth="1"/>
    <col min="6619" max="6619" width="14.85546875" style="269" customWidth="1"/>
    <col min="6620" max="6620" width="9.28515625" style="269" customWidth="1"/>
    <col min="6621" max="6621" width="16.85546875" style="269" customWidth="1"/>
    <col min="6622" max="6622" width="11.85546875" style="269" customWidth="1"/>
    <col min="6623" max="6623" width="21.5703125" style="269" customWidth="1"/>
    <col min="6624" max="6624" width="20.42578125" style="269" customWidth="1"/>
    <col min="6625" max="6625" width="22.28515625" style="269" customWidth="1"/>
    <col min="6626" max="6626" width="11.42578125" style="269" customWidth="1"/>
    <col min="6627" max="6627" width="18.5703125" style="269" customWidth="1"/>
    <col min="6628" max="6628" width="14.28515625" style="269" customWidth="1"/>
    <col min="6629" max="6629" width="12.7109375" style="269" customWidth="1"/>
    <col min="6630" max="6630" width="13.5703125" style="269" customWidth="1"/>
    <col min="6631" max="6631" width="22.5703125" style="269" customWidth="1"/>
    <col min="6632" max="6633" width="22.42578125" style="269" customWidth="1"/>
    <col min="6634" max="6634" width="23.140625" style="269" customWidth="1"/>
    <col min="6635" max="6635" width="11.42578125" style="269" customWidth="1"/>
    <col min="6636" max="6636" width="19.85546875" style="269" customWidth="1"/>
    <col min="6637" max="6637" width="11.42578125" style="269" customWidth="1"/>
    <col min="6638" max="6638" width="6.42578125" style="269" customWidth="1"/>
    <col min="6639" max="6639" width="14" style="269" customWidth="1"/>
    <col min="6640" max="6640" width="7.85546875" style="269" customWidth="1"/>
    <col min="6641" max="6647" width="11.42578125" style="269" customWidth="1"/>
    <col min="6648" max="6648" width="13.5703125" style="269" customWidth="1"/>
    <col min="6649" max="6649" width="17.42578125" style="269" customWidth="1"/>
    <col min="6650" max="6651" width="11.42578125" style="269" customWidth="1"/>
    <col min="6652" max="6652" width="20.7109375" style="269" customWidth="1"/>
    <col min="6653" max="6653" width="11.42578125" style="269" customWidth="1"/>
    <col min="6654" max="6654" width="13.42578125" style="269" customWidth="1"/>
    <col min="6655" max="6657" width="11.42578125" style="269" customWidth="1"/>
    <col min="6658" max="6658" width="15.42578125" style="269" customWidth="1"/>
    <col min="6659" max="6659" width="13.5703125" style="269" customWidth="1"/>
    <col min="6660" max="6660" width="20" style="269" customWidth="1"/>
    <col min="6661" max="6662" width="11.42578125" style="269" customWidth="1"/>
    <col min="6663" max="6663" width="21.7109375" style="269" customWidth="1"/>
    <col min="6664" max="6664" width="13.5703125" style="269" customWidth="1"/>
    <col min="6665" max="6665" width="19.140625" style="269" customWidth="1"/>
    <col min="6666" max="6666" width="23" style="269" customWidth="1"/>
    <col min="6667" max="6668" width="11.42578125" style="269" customWidth="1"/>
    <col min="6669" max="6669" width="12" style="269" customWidth="1"/>
    <col min="6670" max="6672" width="11.42578125" style="269" customWidth="1"/>
    <col min="6673" max="6673" width="14" style="269" customWidth="1"/>
    <col min="6674" max="6674" width="14.85546875" style="269" customWidth="1"/>
    <col min="6675" max="6675" width="11.42578125" style="269" customWidth="1"/>
    <col min="6676" max="6676" width="13.28515625" style="269" customWidth="1"/>
    <col min="6677" max="6677" width="11.42578125" style="269" customWidth="1"/>
    <col min="6678" max="6678" width="19.85546875" style="269" customWidth="1"/>
    <col min="6679" max="6680" width="11.42578125" style="269" customWidth="1"/>
    <col min="6681" max="6681" width="16.28515625" style="269" customWidth="1"/>
    <col min="6682" max="6682" width="14.28515625" style="269" customWidth="1"/>
    <col min="6683" max="6683" width="9.140625" style="269" customWidth="1"/>
    <col min="6684" max="6684" width="17.28515625" style="269" customWidth="1"/>
    <col min="6685" max="6685" width="20.42578125" style="269" customWidth="1"/>
    <col min="6686" max="6686" width="17.5703125" style="269" customWidth="1"/>
    <col min="6687" max="6687" width="15.42578125" style="269" customWidth="1"/>
    <col min="6688" max="6688" width="12.85546875" style="269" customWidth="1"/>
    <col min="6689" max="6689" width="15.5703125" style="269" bestFit="1" customWidth="1"/>
    <col min="6690" max="6690" width="24.42578125" style="269" bestFit="1" customWidth="1"/>
    <col min="6691" max="6691" width="16" style="269" bestFit="1" customWidth="1"/>
    <col min="6692" max="6692" width="15.5703125" style="269" customWidth="1"/>
    <col min="6693" max="6836" width="11.42578125" style="269"/>
    <col min="6837" max="6837" width="11.42578125" style="269" customWidth="1"/>
    <col min="6838" max="6838" width="15.28515625" style="269" customWidth="1"/>
    <col min="6839" max="6840" width="12.5703125" style="269" customWidth="1"/>
    <col min="6841" max="6841" width="11.42578125" style="269" customWidth="1"/>
    <col min="6842" max="6842" width="9" style="269" customWidth="1"/>
    <col min="6843" max="6843" width="23.7109375" style="269" customWidth="1"/>
    <col min="6844" max="6844" width="27.7109375" style="269" customWidth="1"/>
    <col min="6845" max="6845" width="11.42578125" style="269" customWidth="1"/>
    <col min="6846" max="6846" width="2.7109375" style="269" customWidth="1"/>
    <col min="6847" max="6847" width="8.7109375" style="269" customWidth="1"/>
    <col min="6848" max="6848" width="23.7109375" style="269" customWidth="1"/>
    <col min="6849" max="6849" width="27.7109375" style="269" customWidth="1"/>
    <col min="6850" max="6862" width="11.42578125" style="269" customWidth="1"/>
    <col min="6863" max="6863" width="16.5703125" style="269" bestFit="1" customWidth="1"/>
    <col min="6864" max="6864" width="17" style="269" bestFit="1" customWidth="1"/>
    <col min="6865" max="6865" width="11.42578125" style="269" customWidth="1"/>
    <col min="6866" max="6866" width="15.5703125" style="269" customWidth="1"/>
    <col min="6867" max="6867" width="9.28515625" style="269" customWidth="1"/>
    <col min="6868" max="6868" width="12" style="269" customWidth="1"/>
    <col min="6869" max="6869" width="11.140625" style="269" customWidth="1"/>
    <col min="6870" max="6870" width="11.42578125" style="269" customWidth="1"/>
    <col min="6871" max="6871" width="8.140625" style="269" customWidth="1"/>
    <col min="6872" max="6872" width="13.28515625" style="269" customWidth="1"/>
    <col min="6873" max="6873" width="19.7109375" style="269" customWidth="1"/>
    <col min="6874" max="6874" width="14.140625" style="269" customWidth="1"/>
    <col min="6875" max="6875" width="14.85546875" style="269" customWidth="1"/>
    <col min="6876" max="6876" width="9.28515625" style="269" customWidth="1"/>
    <col min="6877" max="6877" width="16.85546875" style="269" customWidth="1"/>
    <col min="6878" max="6878" width="11.85546875" style="269" customWidth="1"/>
    <col min="6879" max="6879" width="21.5703125" style="269" customWidth="1"/>
    <col min="6880" max="6880" width="20.42578125" style="269" customWidth="1"/>
    <col min="6881" max="6881" width="22.28515625" style="269" customWidth="1"/>
    <col min="6882" max="6882" width="11.42578125" style="269" customWidth="1"/>
    <col min="6883" max="6883" width="18.5703125" style="269" customWidth="1"/>
    <col min="6884" max="6884" width="14.28515625" style="269" customWidth="1"/>
    <col min="6885" max="6885" width="12.7109375" style="269" customWidth="1"/>
    <col min="6886" max="6886" width="13.5703125" style="269" customWidth="1"/>
    <col min="6887" max="6887" width="22.5703125" style="269" customWidth="1"/>
    <col min="6888" max="6889" width="22.42578125" style="269" customWidth="1"/>
    <col min="6890" max="6890" width="23.140625" style="269" customWidth="1"/>
    <col min="6891" max="6891" width="11.42578125" style="269" customWidth="1"/>
    <col min="6892" max="6892" width="19.85546875" style="269" customWidth="1"/>
    <col min="6893" max="6893" width="11.42578125" style="269" customWidth="1"/>
    <col min="6894" max="6894" width="6.42578125" style="269" customWidth="1"/>
    <col min="6895" max="6895" width="14" style="269" customWidth="1"/>
    <col min="6896" max="6896" width="7.85546875" style="269" customWidth="1"/>
    <col min="6897" max="6903" width="11.42578125" style="269" customWidth="1"/>
    <col min="6904" max="6904" width="13.5703125" style="269" customWidth="1"/>
    <col min="6905" max="6905" width="17.42578125" style="269" customWidth="1"/>
    <col min="6906" max="6907" width="11.42578125" style="269" customWidth="1"/>
    <col min="6908" max="6908" width="20.7109375" style="269" customWidth="1"/>
    <col min="6909" max="6909" width="11.42578125" style="269" customWidth="1"/>
    <col min="6910" max="6910" width="13.42578125" style="269" customWidth="1"/>
    <col min="6911" max="6913" width="11.42578125" style="269" customWidth="1"/>
    <col min="6914" max="6914" width="15.42578125" style="269" customWidth="1"/>
    <col min="6915" max="6915" width="13.5703125" style="269" customWidth="1"/>
    <col min="6916" max="6916" width="20" style="269" customWidth="1"/>
    <col min="6917" max="6918" width="11.42578125" style="269" customWidth="1"/>
    <col min="6919" max="6919" width="21.7109375" style="269" customWidth="1"/>
    <col min="6920" max="6920" width="13.5703125" style="269" customWidth="1"/>
    <col min="6921" max="6921" width="19.140625" style="269" customWidth="1"/>
    <col min="6922" max="6922" width="23" style="269" customWidth="1"/>
    <col min="6923" max="6924" width="11.42578125" style="269" customWidth="1"/>
    <col min="6925" max="6925" width="12" style="269" customWidth="1"/>
    <col min="6926" max="6928" width="11.42578125" style="269" customWidth="1"/>
    <col min="6929" max="6929" width="14" style="269" customWidth="1"/>
    <col min="6930" max="6930" width="14.85546875" style="269" customWidth="1"/>
    <col min="6931" max="6931" width="11.42578125" style="269" customWidth="1"/>
    <col min="6932" max="6932" width="13.28515625" style="269" customWidth="1"/>
    <col min="6933" max="6933" width="11.42578125" style="269" customWidth="1"/>
    <col min="6934" max="6934" width="19.85546875" style="269" customWidth="1"/>
    <col min="6935" max="6936" width="11.42578125" style="269" customWidth="1"/>
    <col min="6937" max="6937" width="16.28515625" style="269" customWidth="1"/>
    <col min="6938" max="6938" width="14.28515625" style="269" customWidth="1"/>
    <col min="6939" max="6939" width="9.140625" style="269" customWidth="1"/>
    <col min="6940" max="6940" width="17.28515625" style="269" customWidth="1"/>
    <col min="6941" max="6941" width="20.42578125" style="269" customWidth="1"/>
    <col min="6942" max="6942" width="17.5703125" style="269" customWidth="1"/>
    <col min="6943" max="6943" width="15.42578125" style="269" customWidth="1"/>
    <col min="6944" max="6944" width="12.85546875" style="269" customWidth="1"/>
    <col min="6945" max="6945" width="15.5703125" style="269" bestFit="1" customWidth="1"/>
    <col min="6946" max="6946" width="24.42578125" style="269" bestFit="1" customWidth="1"/>
    <col min="6947" max="6947" width="16" style="269" bestFit="1" customWidth="1"/>
    <col min="6948" max="6948" width="15.5703125" style="269" customWidth="1"/>
    <col min="6949" max="7092" width="11.42578125" style="269"/>
    <col min="7093" max="7093" width="11.42578125" style="269" customWidth="1"/>
    <col min="7094" max="7094" width="15.28515625" style="269" customWidth="1"/>
    <col min="7095" max="7096" width="12.5703125" style="269" customWidth="1"/>
    <col min="7097" max="7097" width="11.42578125" style="269" customWidth="1"/>
    <col min="7098" max="7098" width="9" style="269" customWidth="1"/>
    <col min="7099" max="7099" width="23.7109375" style="269" customWidth="1"/>
    <col min="7100" max="7100" width="27.7109375" style="269" customWidth="1"/>
    <col min="7101" max="7101" width="11.42578125" style="269" customWidth="1"/>
    <col min="7102" max="7102" width="2.7109375" style="269" customWidth="1"/>
    <col min="7103" max="7103" width="8.7109375" style="269" customWidth="1"/>
    <col min="7104" max="7104" width="23.7109375" style="269" customWidth="1"/>
    <col min="7105" max="7105" width="27.7109375" style="269" customWidth="1"/>
    <col min="7106" max="7118" width="11.42578125" style="269" customWidth="1"/>
    <col min="7119" max="7119" width="16.5703125" style="269" bestFit="1" customWidth="1"/>
    <col min="7120" max="7120" width="17" style="269" bestFit="1" customWidth="1"/>
    <col min="7121" max="7121" width="11.42578125" style="269" customWidth="1"/>
    <col min="7122" max="7122" width="15.5703125" style="269" customWidth="1"/>
    <col min="7123" max="7123" width="9.28515625" style="269" customWidth="1"/>
    <col min="7124" max="7124" width="12" style="269" customWidth="1"/>
    <col min="7125" max="7125" width="11.140625" style="269" customWidth="1"/>
    <col min="7126" max="7126" width="11.42578125" style="269" customWidth="1"/>
    <col min="7127" max="7127" width="8.140625" style="269" customWidth="1"/>
    <col min="7128" max="7128" width="13.28515625" style="269" customWidth="1"/>
    <col min="7129" max="7129" width="19.7109375" style="269" customWidth="1"/>
    <col min="7130" max="7130" width="14.140625" style="269" customWidth="1"/>
    <col min="7131" max="7131" width="14.85546875" style="269" customWidth="1"/>
    <col min="7132" max="7132" width="9.28515625" style="269" customWidth="1"/>
    <col min="7133" max="7133" width="16.85546875" style="269" customWidth="1"/>
    <col min="7134" max="7134" width="11.85546875" style="269" customWidth="1"/>
    <col min="7135" max="7135" width="21.5703125" style="269" customWidth="1"/>
    <col min="7136" max="7136" width="20.42578125" style="269" customWidth="1"/>
    <col min="7137" max="7137" width="22.28515625" style="269" customWidth="1"/>
    <col min="7138" max="7138" width="11.42578125" style="269" customWidth="1"/>
    <col min="7139" max="7139" width="18.5703125" style="269" customWidth="1"/>
    <col min="7140" max="7140" width="14.28515625" style="269" customWidth="1"/>
    <col min="7141" max="7141" width="12.7109375" style="269" customWidth="1"/>
    <col min="7142" max="7142" width="13.5703125" style="269" customWidth="1"/>
    <col min="7143" max="7143" width="22.5703125" style="269" customWidth="1"/>
    <col min="7144" max="7145" width="22.42578125" style="269" customWidth="1"/>
    <col min="7146" max="7146" width="23.140625" style="269" customWidth="1"/>
    <col min="7147" max="7147" width="11.42578125" style="269" customWidth="1"/>
    <col min="7148" max="7148" width="19.85546875" style="269" customWidth="1"/>
    <col min="7149" max="7149" width="11.42578125" style="269" customWidth="1"/>
    <col min="7150" max="7150" width="6.42578125" style="269" customWidth="1"/>
    <col min="7151" max="7151" width="14" style="269" customWidth="1"/>
    <col min="7152" max="7152" width="7.85546875" style="269" customWidth="1"/>
    <col min="7153" max="7159" width="11.42578125" style="269" customWidth="1"/>
    <col min="7160" max="7160" width="13.5703125" style="269" customWidth="1"/>
    <col min="7161" max="7161" width="17.42578125" style="269" customWidth="1"/>
    <col min="7162" max="7163" width="11.42578125" style="269" customWidth="1"/>
    <col min="7164" max="7164" width="20.7109375" style="269" customWidth="1"/>
    <col min="7165" max="7165" width="11.42578125" style="269" customWidth="1"/>
    <col min="7166" max="7166" width="13.42578125" style="269" customWidth="1"/>
    <col min="7167" max="7169" width="11.42578125" style="269" customWidth="1"/>
    <col min="7170" max="7170" width="15.42578125" style="269" customWidth="1"/>
    <col min="7171" max="7171" width="13.5703125" style="269" customWidth="1"/>
    <col min="7172" max="7172" width="20" style="269" customWidth="1"/>
    <col min="7173" max="7174" width="11.42578125" style="269" customWidth="1"/>
    <col min="7175" max="7175" width="21.7109375" style="269" customWidth="1"/>
    <col min="7176" max="7176" width="13.5703125" style="269" customWidth="1"/>
    <col min="7177" max="7177" width="19.140625" style="269" customWidth="1"/>
    <col min="7178" max="7178" width="23" style="269" customWidth="1"/>
    <col min="7179" max="7180" width="11.42578125" style="269" customWidth="1"/>
    <col min="7181" max="7181" width="12" style="269" customWidth="1"/>
    <col min="7182" max="7184" width="11.42578125" style="269" customWidth="1"/>
    <col min="7185" max="7185" width="14" style="269" customWidth="1"/>
    <col min="7186" max="7186" width="14.85546875" style="269" customWidth="1"/>
    <col min="7187" max="7187" width="11.42578125" style="269" customWidth="1"/>
    <col min="7188" max="7188" width="13.28515625" style="269" customWidth="1"/>
    <col min="7189" max="7189" width="11.42578125" style="269" customWidth="1"/>
    <col min="7190" max="7190" width="19.85546875" style="269" customWidth="1"/>
    <col min="7191" max="7192" width="11.42578125" style="269" customWidth="1"/>
    <col min="7193" max="7193" width="16.28515625" style="269" customWidth="1"/>
    <col min="7194" max="7194" width="14.28515625" style="269" customWidth="1"/>
    <col min="7195" max="7195" width="9.140625" style="269" customWidth="1"/>
    <col min="7196" max="7196" width="17.28515625" style="269" customWidth="1"/>
    <col min="7197" max="7197" width="20.42578125" style="269" customWidth="1"/>
    <col min="7198" max="7198" width="17.5703125" style="269" customWidth="1"/>
    <col min="7199" max="7199" width="15.42578125" style="269" customWidth="1"/>
    <col min="7200" max="7200" width="12.85546875" style="269" customWidth="1"/>
    <col min="7201" max="7201" width="15.5703125" style="269" bestFit="1" customWidth="1"/>
    <col min="7202" max="7202" width="24.42578125" style="269" bestFit="1" customWidth="1"/>
    <col min="7203" max="7203" width="16" style="269" bestFit="1" customWidth="1"/>
    <col min="7204" max="7204" width="15.5703125" style="269" customWidth="1"/>
    <col min="7205" max="7348" width="11.42578125" style="269"/>
    <col min="7349" max="7349" width="11.42578125" style="269" customWidth="1"/>
    <col min="7350" max="7350" width="15.28515625" style="269" customWidth="1"/>
    <col min="7351" max="7352" width="12.5703125" style="269" customWidth="1"/>
    <col min="7353" max="7353" width="11.42578125" style="269" customWidth="1"/>
    <col min="7354" max="7354" width="9" style="269" customWidth="1"/>
    <col min="7355" max="7355" width="23.7109375" style="269" customWidth="1"/>
    <col min="7356" max="7356" width="27.7109375" style="269" customWidth="1"/>
    <col min="7357" max="7357" width="11.42578125" style="269" customWidth="1"/>
    <col min="7358" max="7358" width="2.7109375" style="269" customWidth="1"/>
    <col min="7359" max="7359" width="8.7109375" style="269" customWidth="1"/>
    <col min="7360" max="7360" width="23.7109375" style="269" customWidth="1"/>
    <col min="7361" max="7361" width="27.7109375" style="269" customWidth="1"/>
    <col min="7362" max="7374" width="11.42578125" style="269" customWidth="1"/>
    <col min="7375" max="7375" width="16.5703125" style="269" bestFit="1" customWidth="1"/>
    <col min="7376" max="7376" width="17" style="269" bestFit="1" customWidth="1"/>
    <col min="7377" max="7377" width="11.42578125" style="269" customWidth="1"/>
    <col min="7378" max="7378" width="15.5703125" style="269" customWidth="1"/>
    <col min="7379" max="7379" width="9.28515625" style="269" customWidth="1"/>
    <col min="7380" max="7380" width="12" style="269" customWidth="1"/>
    <col min="7381" max="7381" width="11.140625" style="269" customWidth="1"/>
    <col min="7382" max="7382" width="11.42578125" style="269" customWidth="1"/>
    <col min="7383" max="7383" width="8.140625" style="269" customWidth="1"/>
    <col min="7384" max="7384" width="13.28515625" style="269" customWidth="1"/>
    <col min="7385" max="7385" width="19.7109375" style="269" customWidth="1"/>
    <col min="7386" max="7386" width="14.140625" style="269" customWidth="1"/>
    <col min="7387" max="7387" width="14.85546875" style="269" customWidth="1"/>
    <col min="7388" max="7388" width="9.28515625" style="269" customWidth="1"/>
    <col min="7389" max="7389" width="16.85546875" style="269" customWidth="1"/>
    <col min="7390" max="7390" width="11.85546875" style="269" customWidth="1"/>
    <col min="7391" max="7391" width="21.5703125" style="269" customWidth="1"/>
    <col min="7392" max="7392" width="20.42578125" style="269" customWidth="1"/>
    <col min="7393" max="7393" width="22.28515625" style="269" customWidth="1"/>
    <col min="7394" max="7394" width="11.42578125" style="269" customWidth="1"/>
    <col min="7395" max="7395" width="18.5703125" style="269" customWidth="1"/>
    <col min="7396" max="7396" width="14.28515625" style="269" customWidth="1"/>
    <col min="7397" max="7397" width="12.7109375" style="269" customWidth="1"/>
    <col min="7398" max="7398" width="13.5703125" style="269" customWidth="1"/>
    <col min="7399" max="7399" width="22.5703125" style="269" customWidth="1"/>
    <col min="7400" max="7401" width="22.42578125" style="269" customWidth="1"/>
    <col min="7402" max="7402" width="23.140625" style="269" customWidth="1"/>
    <col min="7403" max="7403" width="11.42578125" style="269" customWidth="1"/>
    <col min="7404" max="7404" width="19.85546875" style="269" customWidth="1"/>
    <col min="7405" max="7405" width="11.42578125" style="269" customWidth="1"/>
    <col min="7406" max="7406" width="6.42578125" style="269" customWidth="1"/>
    <col min="7407" max="7407" width="14" style="269" customWidth="1"/>
    <col min="7408" max="7408" width="7.85546875" style="269" customWidth="1"/>
    <col min="7409" max="7415" width="11.42578125" style="269" customWidth="1"/>
    <col min="7416" max="7416" width="13.5703125" style="269" customWidth="1"/>
    <col min="7417" max="7417" width="17.42578125" style="269" customWidth="1"/>
    <col min="7418" max="7419" width="11.42578125" style="269" customWidth="1"/>
    <col min="7420" max="7420" width="20.7109375" style="269" customWidth="1"/>
    <col min="7421" max="7421" width="11.42578125" style="269" customWidth="1"/>
    <col min="7422" max="7422" width="13.42578125" style="269" customWidth="1"/>
    <col min="7423" max="7425" width="11.42578125" style="269" customWidth="1"/>
    <col min="7426" max="7426" width="15.42578125" style="269" customWidth="1"/>
    <col min="7427" max="7427" width="13.5703125" style="269" customWidth="1"/>
    <col min="7428" max="7428" width="20" style="269" customWidth="1"/>
    <col min="7429" max="7430" width="11.42578125" style="269" customWidth="1"/>
    <col min="7431" max="7431" width="21.7109375" style="269" customWidth="1"/>
    <col min="7432" max="7432" width="13.5703125" style="269" customWidth="1"/>
    <col min="7433" max="7433" width="19.140625" style="269" customWidth="1"/>
    <col min="7434" max="7434" width="23" style="269" customWidth="1"/>
    <col min="7435" max="7436" width="11.42578125" style="269" customWidth="1"/>
    <col min="7437" max="7437" width="12" style="269" customWidth="1"/>
    <col min="7438" max="7440" width="11.42578125" style="269" customWidth="1"/>
    <col min="7441" max="7441" width="14" style="269" customWidth="1"/>
    <col min="7442" max="7442" width="14.85546875" style="269" customWidth="1"/>
    <col min="7443" max="7443" width="11.42578125" style="269" customWidth="1"/>
    <col min="7444" max="7444" width="13.28515625" style="269" customWidth="1"/>
    <col min="7445" max="7445" width="11.42578125" style="269" customWidth="1"/>
    <col min="7446" max="7446" width="19.85546875" style="269" customWidth="1"/>
    <col min="7447" max="7448" width="11.42578125" style="269" customWidth="1"/>
    <col min="7449" max="7449" width="16.28515625" style="269" customWidth="1"/>
    <col min="7450" max="7450" width="14.28515625" style="269" customWidth="1"/>
    <col min="7451" max="7451" width="9.140625" style="269" customWidth="1"/>
    <col min="7452" max="7452" width="17.28515625" style="269" customWidth="1"/>
    <col min="7453" max="7453" width="20.42578125" style="269" customWidth="1"/>
    <col min="7454" max="7454" width="17.5703125" style="269" customWidth="1"/>
    <col min="7455" max="7455" width="15.42578125" style="269" customWidth="1"/>
    <col min="7456" max="7456" width="12.85546875" style="269" customWidth="1"/>
    <col min="7457" max="7457" width="15.5703125" style="269" bestFit="1" customWidth="1"/>
    <col min="7458" max="7458" width="24.42578125" style="269" bestFit="1" customWidth="1"/>
    <col min="7459" max="7459" width="16" style="269" bestFit="1" customWidth="1"/>
    <col min="7460" max="7460" width="15.5703125" style="269" customWidth="1"/>
    <col min="7461" max="7604" width="11.42578125" style="269"/>
    <col min="7605" max="7605" width="11.42578125" style="269" customWidth="1"/>
    <col min="7606" max="7606" width="15.28515625" style="269" customWidth="1"/>
    <col min="7607" max="7608" width="12.5703125" style="269" customWidth="1"/>
    <col min="7609" max="7609" width="11.42578125" style="269" customWidth="1"/>
    <col min="7610" max="7610" width="9" style="269" customWidth="1"/>
    <col min="7611" max="7611" width="23.7109375" style="269" customWidth="1"/>
    <col min="7612" max="7612" width="27.7109375" style="269" customWidth="1"/>
    <col min="7613" max="7613" width="11.42578125" style="269" customWidth="1"/>
    <col min="7614" max="7614" width="2.7109375" style="269" customWidth="1"/>
    <col min="7615" max="7615" width="8.7109375" style="269" customWidth="1"/>
    <col min="7616" max="7616" width="23.7109375" style="269" customWidth="1"/>
    <col min="7617" max="7617" width="27.7109375" style="269" customWidth="1"/>
    <col min="7618" max="7630" width="11.42578125" style="269" customWidth="1"/>
    <col min="7631" max="7631" width="16.5703125" style="269" bestFit="1" customWidth="1"/>
    <col min="7632" max="7632" width="17" style="269" bestFit="1" customWidth="1"/>
    <col min="7633" max="7633" width="11.42578125" style="269" customWidth="1"/>
    <col min="7634" max="7634" width="15.5703125" style="269" customWidth="1"/>
    <col min="7635" max="7635" width="9.28515625" style="269" customWidth="1"/>
    <col min="7636" max="7636" width="12" style="269" customWidth="1"/>
    <col min="7637" max="7637" width="11.140625" style="269" customWidth="1"/>
    <col min="7638" max="7638" width="11.42578125" style="269" customWidth="1"/>
    <col min="7639" max="7639" width="8.140625" style="269" customWidth="1"/>
    <col min="7640" max="7640" width="13.28515625" style="269" customWidth="1"/>
    <col min="7641" max="7641" width="19.7109375" style="269" customWidth="1"/>
    <col min="7642" max="7642" width="14.140625" style="269" customWidth="1"/>
    <col min="7643" max="7643" width="14.85546875" style="269" customWidth="1"/>
    <col min="7644" max="7644" width="9.28515625" style="269" customWidth="1"/>
    <col min="7645" max="7645" width="16.85546875" style="269" customWidth="1"/>
    <col min="7646" max="7646" width="11.85546875" style="269" customWidth="1"/>
    <col min="7647" max="7647" width="21.5703125" style="269" customWidth="1"/>
    <col min="7648" max="7648" width="20.42578125" style="269" customWidth="1"/>
    <col min="7649" max="7649" width="22.28515625" style="269" customWidth="1"/>
    <col min="7650" max="7650" width="11.42578125" style="269" customWidth="1"/>
    <col min="7651" max="7651" width="18.5703125" style="269" customWidth="1"/>
    <col min="7652" max="7652" width="14.28515625" style="269" customWidth="1"/>
    <col min="7653" max="7653" width="12.7109375" style="269" customWidth="1"/>
    <col min="7654" max="7654" width="13.5703125" style="269" customWidth="1"/>
    <col min="7655" max="7655" width="22.5703125" style="269" customWidth="1"/>
    <col min="7656" max="7657" width="22.42578125" style="269" customWidth="1"/>
    <col min="7658" max="7658" width="23.140625" style="269" customWidth="1"/>
    <col min="7659" max="7659" width="11.42578125" style="269" customWidth="1"/>
    <col min="7660" max="7660" width="19.85546875" style="269" customWidth="1"/>
    <col min="7661" max="7661" width="11.42578125" style="269" customWidth="1"/>
    <col min="7662" max="7662" width="6.42578125" style="269" customWidth="1"/>
    <col min="7663" max="7663" width="14" style="269" customWidth="1"/>
    <col min="7664" max="7664" width="7.85546875" style="269" customWidth="1"/>
    <col min="7665" max="7671" width="11.42578125" style="269" customWidth="1"/>
    <col min="7672" max="7672" width="13.5703125" style="269" customWidth="1"/>
    <col min="7673" max="7673" width="17.42578125" style="269" customWidth="1"/>
    <col min="7674" max="7675" width="11.42578125" style="269" customWidth="1"/>
    <col min="7676" max="7676" width="20.7109375" style="269" customWidth="1"/>
    <col min="7677" max="7677" width="11.42578125" style="269" customWidth="1"/>
    <col min="7678" max="7678" width="13.42578125" style="269" customWidth="1"/>
    <col min="7679" max="7681" width="11.42578125" style="269" customWidth="1"/>
    <col min="7682" max="7682" width="15.42578125" style="269" customWidth="1"/>
    <col min="7683" max="7683" width="13.5703125" style="269" customWidth="1"/>
    <col min="7684" max="7684" width="20" style="269" customWidth="1"/>
    <col min="7685" max="7686" width="11.42578125" style="269" customWidth="1"/>
    <col min="7687" max="7687" width="21.7109375" style="269" customWidth="1"/>
    <col min="7688" max="7688" width="13.5703125" style="269" customWidth="1"/>
    <col min="7689" max="7689" width="19.140625" style="269" customWidth="1"/>
    <col min="7690" max="7690" width="23" style="269" customWidth="1"/>
    <col min="7691" max="7692" width="11.42578125" style="269" customWidth="1"/>
    <col min="7693" max="7693" width="12" style="269" customWidth="1"/>
    <col min="7694" max="7696" width="11.42578125" style="269" customWidth="1"/>
    <col min="7697" max="7697" width="14" style="269" customWidth="1"/>
    <col min="7698" max="7698" width="14.85546875" style="269" customWidth="1"/>
    <col min="7699" max="7699" width="11.42578125" style="269" customWidth="1"/>
    <col min="7700" max="7700" width="13.28515625" style="269" customWidth="1"/>
    <col min="7701" max="7701" width="11.42578125" style="269" customWidth="1"/>
    <col min="7702" max="7702" width="19.85546875" style="269" customWidth="1"/>
    <col min="7703" max="7704" width="11.42578125" style="269" customWidth="1"/>
    <col min="7705" max="7705" width="16.28515625" style="269" customWidth="1"/>
    <col min="7706" max="7706" width="14.28515625" style="269" customWidth="1"/>
    <col min="7707" max="7707" width="9.140625" style="269" customWidth="1"/>
    <col min="7708" max="7708" width="17.28515625" style="269" customWidth="1"/>
    <col min="7709" max="7709" width="20.42578125" style="269" customWidth="1"/>
    <col min="7710" max="7710" width="17.5703125" style="269" customWidth="1"/>
    <col min="7711" max="7711" width="15.42578125" style="269" customWidth="1"/>
    <col min="7712" max="7712" width="12.85546875" style="269" customWidth="1"/>
    <col min="7713" max="7713" width="15.5703125" style="269" bestFit="1" customWidth="1"/>
    <col min="7714" max="7714" width="24.42578125" style="269" bestFit="1" customWidth="1"/>
    <col min="7715" max="7715" width="16" style="269" bestFit="1" customWidth="1"/>
    <col min="7716" max="7716" width="15.5703125" style="269" customWidth="1"/>
    <col min="7717" max="7860" width="11.42578125" style="269"/>
    <col min="7861" max="7861" width="11.42578125" style="269" customWidth="1"/>
    <col min="7862" max="7862" width="15.28515625" style="269" customWidth="1"/>
    <col min="7863" max="7864" width="12.5703125" style="269" customWidth="1"/>
    <col min="7865" max="7865" width="11.42578125" style="269" customWidth="1"/>
    <col min="7866" max="7866" width="9" style="269" customWidth="1"/>
    <col min="7867" max="7867" width="23.7109375" style="269" customWidth="1"/>
    <col min="7868" max="7868" width="27.7109375" style="269" customWidth="1"/>
    <col min="7869" max="7869" width="11.42578125" style="269" customWidth="1"/>
    <col min="7870" max="7870" width="2.7109375" style="269" customWidth="1"/>
    <col min="7871" max="7871" width="8.7109375" style="269" customWidth="1"/>
    <col min="7872" max="7872" width="23.7109375" style="269" customWidth="1"/>
    <col min="7873" max="7873" width="27.7109375" style="269" customWidth="1"/>
    <col min="7874" max="7886" width="11.42578125" style="269" customWidth="1"/>
    <col min="7887" max="7887" width="16.5703125" style="269" bestFit="1" customWidth="1"/>
    <col min="7888" max="7888" width="17" style="269" bestFit="1" customWidth="1"/>
    <col min="7889" max="7889" width="11.42578125" style="269" customWidth="1"/>
    <col min="7890" max="7890" width="15.5703125" style="269" customWidth="1"/>
    <col min="7891" max="7891" width="9.28515625" style="269" customWidth="1"/>
    <col min="7892" max="7892" width="12" style="269" customWidth="1"/>
    <col min="7893" max="7893" width="11.140625" style="269" customWidth="1"/>
    <col min="7894" max="7894" width="11.42578125" style="269" customWidth="1"/>
    <col min="7895" max="7895" width="8.140625" style="269" customWidth="1"/>
    <col min="7896" max="7896" width="13.28515625" style="269" customWidth="1"/>
    <col min="7897" max="7897" width="19.7109375" style="269" customWidth="1"/>
    <col min="7898" max="7898" width="14.140625" style="269" customWidth="1"/>
    <col min="7899" max="7899" width="14.85546875" style="269" customWidth="1"/>
    <col min="7900" max="7900" width="9.28515625" style="269" customWidth="1"/>
    <col min="7901" max="7901" width="16.85546875" style="269" customWidth="1"/>
    <col min="7902" max="7902" width="11.85546875" style="269" customWidth="1"/>
    <col min="7903" max="7903" width="21.5703125" style="269" customWidth="1"/>
    <col min="7904" max="7904" width="20.42578125" style="269" customWidth="1"/>
    <col min="7905" max="7905" width="22.28515625" style="269" customWidth="1"/>
    <col min="7906" max="7906" width="11.42578125" style="269" customWidth="1"/>
    <col min="7907" max="7907" width="18.5703125" style="269" customWidth="1"/>
    <col min="7908" max="7908" width="14.28515625" style="269" customWidth="1"/>
    <col min="7909" max="7909" width="12.7109375" style="269" customWidth="1"/>
    <col min="7910" max="7910" width="13.5703125" style="269" customWidth="1"/>
    <col min="7911" max="7911" width="22.5703125" style="269" customWidth="1"/>
    <col min="7912" max="7913" width="22.42578125" style="269" customWidth="1"/>
    <col min="7914" max="7914" width="23.140625" style="269" customWidth="1"/>
    <col min="7915" max="7915" width="11.42578125" style="269" customWidth="1"/>
    <col min="7916" max="7916" width="19.85546875" style="269" customWidth="1"/>
    <col min="7917" max="7917" width="11.42578125" style="269" customWidth="1"/>
    <col min="7918" max="7918" width="6.42578125" style="269" customWidth="1"/>
    <col min="7919" max="7919" width="14" style="269" customWidth="1"/>
    <col min="7920" max="7920" width="7.85546875" style="269" customWidth="1"/>
    <col min="7921" max="7927" width="11.42578125" style="269" customWidth="1"/>
    <col min="7928" max="7928" width="13.5703125" style="269" customWidth="1"/>
    <col min="7929" max="7929" width="17.42578125" style="269" customWidth="1"/>
    <col min="7930" max="7931" width="11.42578125" style="269" customWidth="1"/>
    <col min="7932" max="7932" width="20.7109375" style="269" customWidth="1"/>
    <col min="7933" max="7933" width="11.42578125" style="269" customWidth="1"/>
    <col min="7934" max="7934" width="13.42578125" style="269" customWidth="1"/>
    <col min="7935" max="7937" width="11.42578125" style="269" customWidth="1"/>
    <col min="7938" max="7938" width="15.42578125" style="269" customWidth="1"/>
    <col min="7939" max="7939" width="13.5703125" style="269" customWidth="1"/>
    <col min="7940" max="7940" width="20" style="269" customWidth="1"/>
    <col min="7941" max="7942" width="11.42578125" style="269" customWidth="1"/>
    <col min="7943" max="7943" width="21.7109375" style="269" customWidth="1"/>
    <col min="7944" max="7944" width="13.5703125" style="269" customWidth="1"/>
    <col min="7945" max="7945" width="19.140625" style="269" customWidth="1"/>
    <col min="7946" max="7946" width="23" style="269" customWidth="1"/>
    <col min="7947" max="7948" width="11.42578125" style="269" customWidth="1"/>
    <col min="7949" max="7949" width="12" style="269" customWidth="1"/>
    <col min="7950" max="7952" width="11.42578125" style="269" customWidth="1"/>
    <col min="7953" max="7953" width="14" style="269" customWidth="1"/>
    <col min="7954" max="7954" width="14.85546875" style="269" customWidth="1"/>
    <col min="7955" max="7955" width="11.42578125" style="269" customWidth="1"/>
    <col min="7956" max="7956" width="13.28515625" style="269" customWidth="1"/>
    <col min="7957" max="7957" width="11.42578125" style="269" customWidth="1"/>
    <col min="7958" max="7958" width="19.85546875" style="269" customWidth="1"/>
    <col min="7959" max="7960" width="11.42578125" style="269" customWidth="1"/>
    <col min="7961" max="7961" width="16.28515625" style="269" customWidth="1"/>
    <col min="7962" max="7962" width="14.28515625" style="269" customWidth="1"/>
    <col min="7963" max="7963" width="9.140625" style="269" customWidth="1"/>
    <col min="7964" max="7964" width="17.28515625" style="269" customWidth="1"/>
    <col min="7965" max="7965" width="20.42578125" style="269" customWidth="1"/>
    <col min="7966" max="7966" width="17.5703125" style="269" customWidth="1"/>
    <col min="7967" max="7967" width="15.42578125" style="269" customWidth="1"/>
    <col min="7968" max="7968" width="12.85546875" style="269" customWidth="1"/>
    <col min="7969" max="7969" width="15.5703125" style="269" bestFit="1" customWidth="1"/>
    <col min="7970" max="7970" width="24.42578125" style="269" bestFit="1" customWidth="1"/>
    <col min="7971" max="7971" width="16" style="269" bestFit="1" customWidth="1"/>
    <col min="7972" max="7972" width="15.5703125" style="269" customWidth="1"/>
    <col min="7973" max="8116" width="11.42578125" style="269"/>
    <col min="8117" max="8117" width="11.42578125" style="269" customWidth="1"/>
    <col min="8118" max="8118" width="15.28515625" style="269" customWidth="1"/>
    <col min="8119" max="8120" width="12.5703125" style="269" customWidth="1"/>
    <col min="8121" max="8121" width="11.42578125" style="269" customWidth="1"/>
    <col min="8122" max="8122" width="9" style="269" customWidth="1"/>
    <col min="8123" max="8123" width="23.7109375" style="269" customWidth="1"/>
    <col min="8124" max="8124" width="27.7109375" style="269" customWidth="1"/>
    <col min="8125" max="8125" width="11.42578125" style="269" customWidth="1"/>
    <col min="8126" max="8126" width="2.7109375" style="269" customWidth="1"/>
    <col min="8127" max="8127" width="8.7109375" style="269" customWidth="1"/>
    <col min="8128" max="8128" width="23.7109375" style="269" customWidth="1"/>
    <col min="8129" max="8129" width="27.7109375" style="269" customWidth="1"/>
    <col min="8130" max="8142" width="11.42578125" style="269" customWidth="1"/>
    <col min="8143" max="8143" width="16.5703125" style="269" bestFit="1" customWidth="1"/>
    <col min="8144" max="8144" width="17" style="269" bestFit="1" customWidth="1"/>
    <col min="8145" max="8145" width="11.42578125" style="269" customWidth="1"/>
    <col min="8146" max="8146" width="15.5703125" style="269" customWidth="1"/>
    <col min="8147" max="8147" width="9.28515625" style="269" customWidth="1"/>
    <col min="8148" max="8148" width="12" style="269" customWidth="1"/>
    <col min="8149" max="8149" width="11.140625" style="269" customWidth="1"/>
    <col min="8150" max="8150" width="11.42578125" style="269" customWidth="1"/>
    <col min="8151" max="8151" width="8.140625" style="269" customWidth="1"/>
    <col min="8152" max="8152" width="13.28515625" style="269" customWidth="1"/>
    <col min="8153" max="8153" width="19.7109375" style="269" customWidth="1"/>
    <col min="8154" max="8154" width="14.140625" style="269" customWidth="1"/>
    <col min="8155" max="8155" width="14.85546875" style="269" customWidth="1"/>
    <col min="8156" max="8156" width="9.28515625" style="269" customWidth="1"/>
    <col min="8157" max="8157" width="16.85546875" style="269" customWidth="1"/>
    <col min="8158" max="8158" width="11.85546875" style="269" customWidth="1"/>
    <col min="8159" max="8159" width="21.5703125" style="269" customWidth="1"/>
    <col min="8160" max="8160" width="20.42578125" style="269" customWidth="1"/>
    <col min="8161" max="8161" width="22.28515625" style="269" customWidth="1"/>
    <col min="8162" max="8162" width="11.42578125" style="269" customWidth="1"/>
    <col min="8163" max="8163" width="18.5703125" style="269" customWidth="1"/>
    <col min="8164" max="8164" width="14.28515625" style="269" customWidth="1"/>
    <col min="8165" max="8165" width="12.7109375" style="269" customWidth="1"/>
    <col min="8166" max="8166" width="13.5703125" style="269" customWidth="1"/>
    <col min="8167" max="8167" width="22.5703125" style="269" customWidth="1"/>
    <col min="8168" max="8169" width="22.42578125" style="269" customWidth="1"/>
    <col min="8170" max="8170" width="23.140625" style="269" customWidth="1"/>
    <col min="8171" max="8171" width="11.42578125" style="269" customWidth="1"/>
    <col min="8172" max="8172" width="19.85546875" style="269" customWidth="1"/>
    <col min="8173" max="8173" width="11.42578125" style="269" customWidth="1"/>
    <col min="8174" max="8174" width="6.42578125" style="269" customWidth="1"/>
    <col min="8175" max="8175" width="14" style="269" customWidth="1"/>
    <col min="8176" max="8176" width="7.85546875" style="269" customWidth="1"/>
    <col min="8177" max="8183" width="11.42578125" style="269" customWidth="1"/>
    <col min="8184" max="8184" width="13.5703125" style="269" customWidth="1"/>
    <col min="8185" max="8185" width="17.42578125" style="269" customWidth="1"/>
    <col min="8186" max="8187" width="11.42578125" style="269" customWidth="1"/>
    <col min="8188" max="8188" width="20.7109375" style="269" customWidth="1"/>
    <col min="8189" max="8189" width="11.42578125" style="269" customWidth="1"/>
    <col min="8190" max="8190" width="13.42578125" style="269" customWidth="1"/>
    <col min="8191" max="8193" width="11.42578125" style="269" customWidth="1"/>
    <col min="8194" max="8194" width="15.42578125" style="269" customWidth="1"/>
    <col min="8195" max="8195" width="13.5703125" style="269" customWidth="1"/>
    <col min="8196" max="8196" width="20" style="269" customWidth="1"/>
    <col min="8197" max="8198" width="11.42578125" style="269" customWidth="1"/>
    <col min="8199" max="8199" width="21.7109375" style="269" customWidth="1"/>
    <col min="8200" max="8200" width="13.5703125" style="269" customWidth="1"/>
    <col min="8201" max="8201" width="19.140625" style="269" customWidth="1"/>
    <col min="8202" max="8202" width="23" style="269" customWidth="1"/>
    <col min="8203" max="8204" width="11.42578125" style="269" customWidth="1"/>
    <col min="8205" max="8205" width="12" style="269" customWidth="1"/>
    <col min="8206" max="8208" width="11.42578125" style="269" customWidth="1"/>
    <col min="8209" max="8209" width="14" style="269" customWidth="1"/>
    <col min="8210" max="8210" width="14.85546875" style="269" customWidth="1"/>
    <col min="8211" max="8211" width="11.42578125" style="269" customWidth="1"/>
    <col min="8212" max="8212" width="13.28515625" style="269" customWidth="1"/>
    <col min="8213" max="8213" width="11.42578125" style="269" customWidth="1"/>
    <col min="8214" max="8214" width="19.85546875" style="269" customWidth="1"/>
    <col min="8215" max="8216" width="11.42578125" style="269" customWidth="1"/>
    <col min="8217" max="8217" width="16.28515625" style="269" customWidth="1"/>
    <col min="8218" max="8218" width="14.28515625" style="269" customWidth="1"/>
    <col min="8219" max="8219" width="9.140625" style="269" customWidth="1"/>
    <col min="8220" max="8220" width="17.28515625" style="269" customWidth="1"/>
    <col min="8221" max="8221" width="20.42578125" style="269" customWidth="1"/>
    <col min="8222" max="8222" width="17.5703125" style="269" customWidth="1"/>
    <col min="8223" max="8223" width="15.42578125" style="269" customWidth="1"/>
    <col min="8224" max="8224" width="12.85546875" style="269" customWidth="1"/>
    <col min="8225" max="8225" width="15.5703125" style="269" bestFit="1" customWidth="1"/>
    <col min="8226" max="8226" width="24.42578125" style="269" bestFit="1" customWidth="1"/>
    <col min="8227" max="8227" width="16" style="269" bestFit="1" customWidth="1"/>
    <col min="8228" max="8228" width="15.5703125" style="269" customWidth="1"/>
    <col min="8229" max="8372" width="11.42578125" style="269"/>
    <col min="8373" max="8373" width="11.42578125" style="269" customWidth="1"/>
    <col min="8374" max="8374" width="15.28515625" style="269" customWidth="1"/>
    <col min="8375" max="8376" width="12.5703125" style="269" customWidth="1"/>
    <col min="8377" max="8377" width="11.42578125" style="269" customWidth="1"/>
    <col min="8378" max="8378" width="9" style="269" customWidth="1"/>
    <col min="8379" max="8379" width="23.7109375" style="269" customWidth="1"/>
    <col min="8380" max="8380" width="27.7109375" style="269" customWidth="1"/>
    <col min="8381" max="8381" width="11.42578125" style="269" customWidth="1"/>
    <col min="8382" max="8382" width="2.7109375" style="269" customWidth="1"/>
    <col min="8383" max="8383" width="8.7109375" style="269" customWidth="1"/>
    <col min="8384" max="8384" width="23.7109375" style="269" customWidth="1"/>
    <col min="8385" max="8385" width="27.7109375" style="269" customWidth="1"/>
    <col min="8386" max="8398" width="11.42578125" style="269" customWidth="1"/>
    <col min="8399" max="8399" width="16.5703125" style="269" bestFit="1" customWidth="1"/>
    <col min="8400" max="8400" width="17" style="269" bestFit="1" customWidth="1"/>
    <col min="8401" max="8401" width="11.42578125" style="269" customWidth="1"/>
    <col min="8402" max="8402" width="15.5703125" style="269" customWidth="1"/>
    <col min="8403" max="8403" width="9.28515625" style="269" customWidth="1"/>
    <col min="8404" max="8404" width="12" style="269" customWidth="1"/>
    <col min="8405" max="8405" width="11.140625" style="269" customWidth="1"/>
    <col min="8406" max="8406" width="11.42578125" style="269" customWidth="1"/>
    <col min="8407" max="8407" width="8.140625" style="269" customWidth="1"/>
    <col min="8408" max="8408" width="13.28515625" style="269" customWidth="1"/>
    <col min="8409" max="8409" width="19.7109375" style="269" customWidth="1"/>
    <col min="8410" max="8410" width="14.140625" style="269" customWidth="1"/>
    <col min="8411" max="8411" width="14.85546875" style="269" customWidth="1"/>
    <col min="8412" max="8412" width="9.28515625" style="269" customWidth="1"/>
    <col min="8413" max="8413" width="16.85546875" style="269" customWidth="1"/>
    <col min="8414" max="8414" width="11.85546875" style="269" customWidth="1"/>
    <col min="8415" max="8415" width="21.5703125" style="269" customWidth="1"/>
    <col min="8416" max="8416" width="20.42578125" style="269" customWidth="1"/>
    <col min="8417" max="8417" width="22.28515625" style="269" customWidth="1"/>
    <col min="8418" max="8418" width="11.42578125" style="269" customWidth="1"/>
    <col min="8419" max="8419" width="18.5703125" style="269" customWidth="1"/>
    <col min="8420" max="8420" width="14.28515625" style="269" customWidth="1"/>
    <col min="8421" max="8421" width="12.7109375" style="269" customWidth="1"/>
    <col min="8422" max="8422" width="13.5703125" style="269" customWidth="1"/>
    <col min="8423" max="8423" width="22.5703125" style="269" customWidth="1"/>
    <col min="8424" max="8425" width="22.42578125" style="269" customWidth="1"/>
    <col min="8426" max="8426" width="23.140625" style="269" customWidth="1"/>
    <col min="8427" max="8427" width="11.42578125" style="269" customWidth="1"/>
    <col min="8428" max="8428" width="19.85546875" style="269" customWidth="1"/>
    <col min="8429" max="8429" width="11.42578125" style="269" customWidth="1"/>
    <col min="8430" max="8430" width="6.42578125" style="269" customWidth="1"/>
    <col min="8431" max="8431" width="14" style="269" customWidth="1"/>
    <col min="8432" max="8432" width="7.85546875" style="269" customWidth="1"/>
    <col min="8433" max="8439" width="11.42578125" style="269" customWidth="1"/>
    <col min="8440" max="8440" width="13.5703125" style="269" customWidth="1"/>
    <col min="8441" max="8441" width="17.42578125" style="269" customWidth="1"/>
    <col min="8442" max="8443" width="11.42578125" style="269" customWidth="1"/>
    <col min="8444" max="8444" width="20.7109375" style="269" customWidth="1"/>
    <col min="8445" max="8445" width="11.42578125" style="269" customWidth="1"/>
    <col min="8446" max="8446" width="13.42578125" style="269" customWidth="1"/>
    <col min="8447" max="8449" width="11.42578125" style="269" customWidth="1"/>
    <col min="8450" max="8450" width="15.42578125" style="269" customWidth="1"/>
    <col min="8451" max="8451" width="13.5703125" style="269" customWidth="1"/>
    <col min="8452" max="8452" width="20" style="269" customWidth="1"/>
    <col min="8453" max="8454" width="11.42578125" style="269" customWidth="1"/>
    <col min="8455" max="8455" width="21.7109375" style="269" customWidth="1"/>
    <col min="8456" max="8456" width="13.5703125" style="269" customWidth="1"/>
    <col min="8457" max="8457" width="19.140625" style="269" customWidth="1"/>
    <col min="8458" max="8458" width="23" style="269" customWidth="1"/>
    <col min="8459" max="8460" width="11.42578125" style="269" customWidth="1"/>
    <col min="8461" max="8461" width="12" style="269" customWidth="1"/>
    <col min="8462" max="8464" width="11.42578125" style="269" customWidth="1"/>
    <col min="8465" max="8465" width="14" style="269" customWidth="1"/>
    <col min="8466" max="8466" width="14.85546875" style="269" customWidth="1"/>
    <col min="8467" max="8467" width="11.42578125" style="269" customWidth="1"/>
    <col min="8468" max="8468" width="13.28515625" style="269" customWidth="1"/>
    <col min="8469" max="8469" width="11.42578125" style="269" customWidth="1"/>
    <col min="8470" max="8470" width="19.85546875" style="269" customWidth="1"/>
    <col min="8471" max="8472" width="11.42578125" style="269" customWidth="1"/>
    <col min="8473" max="8473" width="16.28515625" style="269" customWidth="1"/>
    <col min="8474" max="8474" width="14.28515625" style="269" customWidth="1"/>
    <col min="8475" max="8475" width="9.140625" style="269" customWidth="1"/>
    <col min="8476" max="8476" width="17.28515625" style="269" customWidth="1"/>
    <col min="8477" max="8477" width="20.42578125" style="269" customWidth="1"/>
    <col min="8478" max="8478" width="17.5703125" style="269" customWidth="1"/>
    <col min="8479" max="8479" width="15.42578125" style="269" customWidth="1"/>
    <col min="8480" max="8480" width="12.85546875" style="269" customWidth="1"/>
    <col min="8481" max="8481" width="15.5703125" style="269" bestFit="1" customWidth="1"/>
    <col min="8482" max="8482" width="24.42578125" style="269" bestFit="1" customWidth="1"/>
    <col min="8483" max="8483" width="16" style="269" bestFit="1" customWidth="1"/>
    <col min="8484" max="8484" width="15.5703125" style="269" customWidth="1"/>
    <col min="8485" max="8628" width="11.42578125" style="269"/>
    <col min="8629" max="8629" width="11.42578125" style="269" customWidth="1"/>
    <col min="8630" max="8630" width="15.28515625" style="269" customWidth="1"/>
    <col min="8631" max="8632" width="12.5703125" style="269" customWidth="1"/>
    <col min="8633" max="8633" width="11.42578125" style="269" customWidth="1"/>
    <col min="8634" max="8634" width="9" style="269" customWidth="1"/>
    <col min="8635" max="8635" width="23.7109375" style="269" customWidth="1"/>
    <col min="8636" max="8636" width="27.7109375" style="269" customWidth="1"/>
    <col min="8637" max="8637" width="11.42578125" style="269" customWidth="1"/>
    <col min="8638" max="8638" width="2.7109375" style="269" customWidth="1"/>
    <col min="8639" max="8639" width="8.7109375" style="269" customWidth="1"/>
    <col min="8640" max="8640" width="23.7109375" style="269" customWidth="1"/>
    <col min="8641" max="8641" width="27.7109375" style="269" customWidth="1"/>
    <col min="8642" max="8654" width="11.42578125" style="269" customWidth="1"/>
    <col min="8655" max="8655" width="16.5703125" style="269" bestFit="1" customWidth="1"/>
    <col min="8656" max="8656" width="17" style="269" bestFit="1" customWidth="1"/>
    <col min="8657" max="8657" width="11.42578125" style="269" customWidth="1"/>
    <col min="8658" max="8658" width="15.5703125" style="269" customWidth="1"/>
    <col min="8659" max="8659" width="9.28515625" style="269" customWidth="1"/>
    <col min="8660" max="8660" width="12" style="269" customWidth="1"/>
    <col min="8661" max="8661" width="11.140625" style="269" customWidth="1"/>
    <col min="8662" max="8662" width="11.42578125" style="269" customWidth="1"/>
    <col min="8663" max="8663" width="8.140625" style="269" customWidth="1"/>
    <col min="8664" max="8664" width="13.28515625" style="269" customWidth="1"/>
    <col min="8665" max="8665" width="19.7109375" style="269" customWidth="1"/>
    <col min="8666" max="8666" width="14.140625" style="269" customWidth="1"/>
    <col min="8667" max="8667" width="14.85546875" style="269" customWidth="1"/>
    <col min="8668" max="8668" width="9.28515625" style="269" customWidth="1"/>
    <col min="8669" max="8669" width="16.85546875" style="269" customWidth="1"/>
    <col min="8670" max="8670" width="11.85546875" style="269" customWidth="1"/>
    <col min="8671" max="8671" width="21.5703125" style="269" customWidth="1"/>
    <col min="8672" max="8672" width="20.42578125" style="269" customWidth="1"/>
    <col min="8673" max="8673" width="22.28515625" style="269" customWidth="1"/>
    <col min="8674" max="8674" width="11.42578125" style="269" customWidth="1"/>
    <col min="8675" max="8675" width="18.5703125" style="269" customWidth="1"/>
    <col min="8676" max="8676" width="14.28515625" style="269" customWidth="1"/>
    <col min="8677" max="8677" width="12.7109375" style="269" customWidth="1"/>
    <col min="8678" max="8678" width="13.5703125" style="269" customWidth="1"/>
    <col min="8679" max="8679" width="22.5703125" style="269" customWidth="1"/>
    <col min="8680" max="8681" width="22.42578125" style="269" customWidth="1"/>
    <col min="8682" max="8682" width="23.140625" style="269" customWidth="1"/>
    <col min="8683" max="8683" width="11.42578125" style="269" customWidth="1"/>
    <col min="8684" max="8684" width="19.85546875" style="269" customWidth="1"/>
    <col min="8685" max="8685" width="11.42578125" style="269" customWidth="1"/>
    <col min="8686" max="8686" width="6.42578125" style="269" customWidth="1"/>
    <col min="8687" max="8687" width="14" style="269" customWidth="1"/>
    <col min="8688" max="8688" width="7.85546875" style="269" customWidth="1"/>
    <col min="8689" max="8695" width="11.42578125" style="269" customWidth="1"/>
    <col min="8696" max="8696" width="13.5703125" style="269" customWidth="1"/>
    <col min="8697" max="8697" width="17.42578125" style="269" customWidth="1"/>
    <col min="8698" max="8699" width="11.42578125" style="269" customWidth="1"/>
    <col min="8700" max="8700" width="20.7109375" style="269" customWidth="1"/>
    <col min="8701" max="8701" width="11.42578125" style="269" customWidth="1"/>
    <col min="8702" max="8702" width="13.42578125" style="269" customWidth="1"/>
    <col min="8703" max="8705" width="11.42578125" style="269" customWidth="1"/>
    <col min="8706" max="8706" width="15.42578125" style="269" customWidth="1"/>
    <col min="8707" max="8707" width="13.5703125" style="269" customWidth="1"/>
    <col min="8708" max="8708" width="20" style="269" customWidth="1"/>
    <col min="8709" max="8710" width="11.42578125" style="269" customWidth="1"/>
    <col min="8711" max="8711" width="21.7109375" style="269" customWidth="1"/>
    <col min="8712" max="8712" width="13.5703125" style="269" customWidth="1"/>
    <col min="8713" max="8713" width="19.140625" style="269" customWidth="1"/>
    <col min="8714" max="8714" width="23" style="269" customWidth="1"/>
    <col min="8715" max="8716" width="11.42578125" style="269" customWidth="1"/>
    <col min="8717" max="8717" width="12" style="269" customWidth="1"/>
    <col min="8718" max="8720" width="11.42578125" style="269" customWidth="1"/>
    <col min="8721" max="8721" width="14" style="269" customWidth="1"/>
    <col min="8722" max="8722" width="14.85546875" style="269" customWidth="1"/>
    <col min="8723" max="8723" width="11.42578125" style="269" customWidth="1"/>
    <col min="8724" max="8724" width="13.28515625" style="269" customWidth="1"/>
    <col min="8725" max="8725" width="11.42578125" style="269" customWidth="1"/>
    <col min="8726" max="8726" width="19.85546875" style="269" customWidth="1"/>
    <col min="8727" max="8728" width="11.42578125" style="269" customWidth="1"/>
    <col min="8729" max="8729" width="16.28515625" style="269" customWidth="1"/>
    <col min="8730" max="8730" width="14.28515625" style="269" customWidth="1"/>
    <col min="8731" max="8731" width="9.140625" style="269" customWidth="1"/>
    <col min="8732" max="8732" width="17.28515625" style="269" customWidth="1"/>
    <col min="8733" max="8733" width="20.42578125" style="269" customWidth="1"/>
    <col min="8734" max="8734" width="17.5703125" style="269" customWidth="1"/>
    <col min="8735" max="8735" width="15.42578125" style="269" customWidth="1"/>
    <col min="8736" max="8736" width="12.85546875" style="269" customWidth="1"/>
    <col min="8737" max="8737" width="15.5703125" style="269" bestFit="1" customWidth="1"/>
    <col min="8738" max="8738" width="24.42578125" style="269" bestFit="1" customWidth="1"/>
    <col min="8739" max="8739" width="16" style="269" bestFit="1" customWidth="1"/>
    <col min="8740" max="8740" width="15.5703125" style="269" customWidth="1"/>
    <col min="8741" max="8884" width="11.42578125" style="269"/>
    <col min="8885" max="8885" width="11.42578125" style="269" customWidth="1"/>
    <col min="8886" max="8886" width="15.28515625" style="269" customWidth="1"/>
    <col min="8887" max="8888" width="12.5703125" style="269" customWidth="1"/>
    <col min="8889" max="8889" width="11.42578125" style="269" customWidth="1"/>
    <col min="8890" max="8890" width="9" style="269" customWidth="1"/>
    <col min="8891" max="8891" width="23.7109375" style="269" customWidth="1"/>
    <col min="8892" max="8892" width="27.7109375" style="269" customWidth="1"/>
    <col min="8893" max="8893" width="11.42578125" style="269" customWidth="1"/>
    <col min="8894" max="8894" width="2.7109375" style="269" customWidth="1"/>
    <col min="8895" max="8895" width="8.7109375" style="269" customWidth="1"/>
    <col min="8896" max="8896" width="23.7109375" style="269" customWidth="1"/>
    <col min="8897" max="8897" width="27.7109375" style="269" customWidth="1"/>
    <col min="8898" max="8910" width="11.42578125" style="269" customWidth="1"/>
    <col min="8911" max="8911" width="16.5703125" style="269" bestFit="1" customWidth="1"/>
    <col min="8912" max="8912" width="17" style="269" bestFit="1" customWidth="1"/>
    <col min="8913" max="8913" width="11.42578125" style="269" customWidth="1"/>
    <col min="8914" max="8914" width="15.5703125" style="269" customWidth="1"/>
    <col min="8915" max="8915" width="9.28515625" style="269" customWidth="1"/>
    <col min="8916" max="8916" width="12" style="269" customWidth="1"/>
    <col min="8917" max="8917" width="11.140625" style="269" customWidth="1"/>
    <col min="8918" max="8918" width="11.42578125" style="269" customWidth="1"/>
    <col min="8919" max="8919" width="8.140625" style="269" customWidth="1"/>
    <col min="8920" max="8920" width="13.28515625" style="269" customWidth="1"/>
    <col min="8921" max="8921" width="19.7109375" style="269" customWidth="1"/>
    <col min="8922" max="8922" width="14.140625" style="269" customWidth="1"/>
    <col min="8923" max="8923" width="14.85546875" style="269" customWidth="1"/>
    <col min="8924" max="8924" width="9.28515625" style="269" customWidth="1"/>
    <col min="8925" max="8925" width="16.85546875" style="269" customWidth="1"/>
    <col min="8926" max="8926" width="11.85546875" style="269" customWidth="1"/>
    <col min="8927" max="8927" width="21.5703125" style="269" customWidth="1"/>
    <col min="8928" max="8928" width="20.42578125" style="269" customWidth="1"/>
    <col min="8929" max="8929" width="22.28515625" style="269" customWidth="1"/>
    <col min="8930" max="8930" width="11.42578125" style="269" customWidth="1"/>
    <col min="8931" max="8931" width="18.5703125" style="269" customWidth="1"/>
    <col min="8932" max="8932" width="14.28515625" style="269" customWidth="1"/>
    <col min="8933" max="8933" width="12.7109375" style="269" customWidth="1"/>
    <col min="8934" max="8934" width="13.5703125" style="269" customWidth="1"/>
    <col min="8935" max="8935" width="22.5703125" style="269" customWidth="1"/>
    <col min="8936" max="8937" width="22.42578125" style="269" customWidth="1"/>
    <col min="8938" max="8938" width="23.140625" style="269" customWidth="1"/>
    <col min="8939" max="8939" width="11.42578125" style="269" customWidth="1"/>
    <col min="8940" max="8940" width="19.85546875" style="269" customWidth="1"/>
    <col min="8941" max="8941" width="11.42578125" style="269" customWidth="1"/>
    <col min="8942" max="8942" width="6.42578125" style="269" customWidth="1"/>
    <col min="8943" max="8943" width="14" style="269" customWidth="1"/>
    <col min="8944" max="8944" width="7.85546875" style="269" customWidth="1"/>
    <col min="8945" max="8951" width="11.42578125" style="269" customWidth="1"/>
    <col min="8952" max="8952" width="13.5703125" style="269" customWidth="1"/>
    <col min="8953" max="8953" width="17.42578125" style="269" customWidth="1"/>
    <col min="8954" max="8955" width="11.42578125" style="269" customWidth="1"/>
    <col min="8956" max="8956" width="20.7109375" style="269" customWidth="1"/>
    <col min="8957" max="8957" width="11.42578125" style="269" customWidth="1"/>
    <col min="8958" max="8958" width="13.42578125" style="269" customWidth="1"/>
    <col min="8959" max="8961" width="11.42578125" style="269" customWidth="1"/>
    <col min="8962" max="8962" width="15.42578125" style="269" customWidth="1"/>
    <col min="8963" max="8963" width="13.5703125" style="269" customWidth="1"/>
    <col min="8964" max="8964" width="20" style="269" customWidth="1"/>
    <col min="8965" max="8966" width="11.42578125" style="269" customWidth="1"/>
    <col min="8967" max="8967" width="21.7109375" style="269" customWidth="1"/>
    <col min="8968" max="8968" width="13.5703125" style="269" customWidth="1"/>
    <col min="8969" max="8969" width="19.140625" style="269" customWidth="1"/>
    <col min="8970" max="8970" width="23" style="269" customWidth="1"/>
    <col min="8971" max="8972" width="11.42578125" style="269" customWidth="1"/>
    <col min="8973" max="8973" width="12" style="269" customWidth="1"/>
    <col min="8974" max="8976" width="11.42578125" style="269" customWidth="1"/>
    <col min="8977" max="8977" width="14" style="269" customWidth="1"/>
    <col min="8978" max="8978" width="14.85546875" style="269" customWidth="1"/>
    <col min="8979" max="8979" width="11.42578125" style="269" customWidth="1"/>
    <col min="8980" max="8980" width="13.28515625" style="269" customWidth="1"/>
    <col min="8981" max="8981" width="11.42578125" style="269" customWidth="1"/>
    <col min="8982" max="8982" width="19.85546875" style="269" customWidth="1"/>
    <col min="8983" max="8984" width="11.42578125" style="269" customWidth="1"/>
    <col min="8985" max="8985" width="16.28515625" style="269" customWidth="1"/>
    <col min="8986" max="8986" width="14.28515625" style="269" customWidth="1"/>
    <col min="8987" max="8987" width="9.140625" style="269" customWidth="1"/>
    <col min="8988" max="8988" width="17.28515625" style="269" customWidth="1"/>
    <col min="8989" max="8989" width="20.42578125" style="269" customWidth="1"/>
    <col min="8990" max="8990" width="17.5703125" style="269" customWidth="1"/>
    <col min="8991" max="8991" width="15.42578125" style="269" customWidth="1"/>
    <col min="8992" max="8992" width="12.85546875" style="269" customWidth="1"/>
    <col min="8993" max="8993" width="15.5703125" style="269" bestFit="1" customWidth="1"/>
    <col min="8994" max="8994" width="24.42578125" style="269" bestFit="1" customWidth="1"/>
    <col min="8995" max="8995" width="16" style="269" bestFit="1" customWidth="1"/>
    <col min="8996" max="8996" width="15.5703125" style="269" customWidth="1"/>
    <col min="8997" max="9140" width="11.42578125" style="269"/>
    <col min="9141" max="9141" width="11.42578125" style="269" customWidth="1"/>
    <col min="9142" max="9142" width="15.28515625" style="269" customWidth="1"/>
    <col min="9143" max="9144" width="12.5703125" style="269" customWidth="1"/>
    <col min="9145" max="9145" width="11.42578125" style="269" customWidth="1"/>
    <col min="9146" max="9146" width="9" style="269" customWidth="1"/>
    <col min="9147" max="9147" width="23.7109375" style="269" customWidth="1"/>
    <col min="9148" max="9148" width="27.7109375" style="269" customWidth="1"/>
    <col min="9149" max="9149" width="11.42578125" style="269" customWidth="1"/>
    <col min="9150" max="9150" width="2.7109375" style="269" customWidth="1"/>
    <col min="9151" max="9151" width="8.7109375" style="269" customWidth="1"/>
    <col min="9152" max="9152" width="23.7109375" style="269" customWidth="1"/>
    <col min="9153" max="9153" width="27.7109375" style="269" customWidth="1"/>
    <col min="9154" max="9166" width="11.42578125" style="269" customWidth="1"/>
    <col min="9167" max="9167" width="16.5703125" style="269" bestFit="1" customWidth="1"/>
    <col min="9168" max="9168" width="17" style="269" bestFit="1" customWidth="1"/>
    <col min="9169" max="9169" width="11.42578125" style="269" customWidth="1"/>
    <col min="9170" max="9170" width="15.5703125" style="269" customWidth="1"/>
    <col min="9171" max="9171" width="9.28515625" style="269" customWidth="1"/>
    <col min="9172" max="9172" width="12" style="269" customWidth="1"/>
    <col min="9173" max="9173" width="11.140625" style="269" customWidth="1"/>
    <col min="9174" max="9174" width="11.42578125" style="269" customWidth="1"/>
    <col min="9175" max="9175" width="8.140625" style="269" customWidth="1"/>
    <col min="9176" max="9176" width="13.28515625" style="269" customWidth="1"/>
    <col min="9177" max="9177" width="19.7109375" style="269" customWidth="1"/>
    <col min="9178" max="9178" width="14.140625" style="269" customWidth="1"/>
    <col min="9179" max="9179" width="14.85546875" style="269" customWidth="1"/>
    <col min="9180" max="9180" width="9.28515625" style="269" customWidth="1"/>
    <col min="9181" max="9181" width="16.85546875" style="269" customWidth="1"/>
    <col min="9182" max="9182" width="11.85546875" style="269" customWidth="1"/>
    <col min="9183" max="9183" width="21.5703125" style="269" customWidth="1"/>
    <col min="9184" max="9184" width="20.42578125" style="269" customWidth="1"/>
    <col min="9185" max="9185" width="22.28515625" style="269" customWidth="1"/>
    <col min="9186" max="9186" width="11.42578125" style="269" customWidth="1"/>
    <col min="9187" max="9187" width="18.5703125" style="269" customWidth="1"/>
    <col min="9188" max="9188" width="14.28515625" style="269" customWidth="1"/>
    <col min="9189" max="9189" width="12.7109375" style="269" customWidth="1"/>
    <col min="9190" max="9190" width="13.5703125" style="269" customWidth="1"/>
    <col min="9191" max="9191" width="22.5703125" style="269" customWidth="1"/>
    <col min="9192" max="9193" width="22.42578125" style="269" customWidth="1"/>
    <col min="9194" max="9194" width="23.140625" style="269" customWidth="1"/>
    <col min="9195" max="9195" width="11.42578125" style="269" customWidth="1"/>
    <col min="9196" max="9196" width="19.85546875" style="269" customWidth="1"/>
    <col min="9197" max="9197" width="11.42578125" style="269" customWidth="1"/>
    <col min="9198" max="9198" width="6.42578125" style="269" customWidth="1"/>
    <col min="9199" max="9199" width="14" style="269" customWidth="1"/>
    <col min="9200" max="9200" width="7.85546875" style="269" customWidth="1"/>
    <col min="9201" max="9207" width="11.42578125" style="269" customWidth="1"/>
    <col min="9208" max="9208" width="13.5703125" style="269" customWidth="1"/>
    <col min="9209" max="9209" width="17.42578125" style="269" customWidth="1"/>
    <col min="9210" max="9211" width="11.42578125" style="269" customWidth="1"/>
    <col min="9212" max="9212" width="20.7109375" style="269" customWidth="1"/>
    <col min="9213" max="9213" width="11.42578125" style="269" customWidth="1"/>
    <col min="9214" max="9214" width="13.42578125" style="269" customWidth="1"/>
    <col min="9215" max="9217" width="11.42578125" style="269" customWidth="1"/>
    <col min="9218" max="9218" width="15.42578125" style="269" customWidth="1"/>
    <col min="9219" max="9219" width="13.5703125" style="269" customWidth="1"/>
    <col min="9220" max="9220" width="20" style="269" customWidth="1"/>
    <col min="9221" max="9222" width="11.42578125" style="269" customWidth="1"/>
    <col min="9223" max="9223" width="21.7109375" style="269" customWidth="1"/>
    <col min="9224" max="9224" width="13.5703125" style="269" customWidth="1"/>
    <col min="9225" max="9225" width="19.140625" style="269" customWidth="1"/>
    <col min="9226" max="9226" width="23" style="269" customWidth="1"/>
    <col min="9227" max="9228" width="11.42578125" style="269" customWidth="1"/>
    <col min="9229" max="9229" width="12" style="269" customWidth="1"/>
    <col min="9230" max="9232" width="11.42578125" style="269" customWidth="1"/>
    <col min="9233" max="9233" width="14" style="269" customWidth="1"/>
    <col min="9234" max="9234" width="14.85546875" style="269" customWidth="1"/>
    <col min="9235" max="9235" width="11.42578125" style="269" customWidth="1"/>
    <col min="9236" max="9236" width="13.28515625" style="269" customWidth="1"/>
    <col min="9237" max="9237" width="11.42578125" style="269" customWidth="1"/>
    <col min="9238" max="9238" width="19.85546875" style="269" customWidth="1"/>
    <col min="9239" max="9240" width="11.42578125" style="269" customWidth="1"/>
    <col min="9241" max="9241" width="16.28515625" style="269" customWidth="1"/>
    <col min="9242" max="9242" width="14.28515625" style="269" customWidth="1"/>
    <col min="9243" max="9243" width="9.140625" style="269" customWidth="1"/>
    <col min="9244" max="9244" width="17.28515625" style="269" customWidth="1"/>
    <col min="9245" max="9245" width="20.42578125" style="269" customWidth="1"/>
    <col min="9246" max="9246" width="17.5703125" style="269" customWidth="1"/>
    <col min="9247" max="9247" width="15.42578125" style="269" customWidth="1"/>
    <col min="9248" max="9248" width="12.85546875" style="269" customWidth="1"/>
    <col min="9249" max="9249" width="15.5703125" style="269" bestFit="1" customWidth="1"/>
    <col min="9250" max="9250" width="24.42578125" style="269" bestFit="1" customWidth="1"/>
    <col min="9251" max="9251" width="16" style="269" bestFit="1" customWidth="1"/>
    <col min="9252" max="9252" width="15.5703125" style="269" customWidth="1"/>
    <col min="9253" max="9396" width="11.42578125" style="269"/>
    <col min="9397" max="9397" width="11.42578125" style="269" customWidth="1"/>
    <col min="9398" max="9398" width="15.28515625" style="269" customWidth="1"/>
    <col min="9399" max="9400" width="12.5703125" style="269" customWidth="1"/>
    <col min="9401" max="9401" width="11.42578125" style="269" customWidth="1"/>
    <col min="9402" max="9402" width="9" style="269" customWidth="1"/>
    <col min="9403" max="9403" width="23.7109375" style="269" customWidth="1"/>
    <col min="9404" max="9404" width="27.7109375" style="269" customWidth="1"/>
    <col min="9405" max="9405" width="11.42578125" style="269" customWidth="1"/>
    <col min="9406" max="9406" width="2.7109375" style="269" customWidth="1"/>
    <col min="9407" max="9407" width="8.7109375" style="269" customWidth="1"/>
    <col min="9408" max="9408" width="23.7109375" style="269" customWidth="1"/>
    <col min="9409" max="9409" width="27.7109375" style="269" customWidth="1"/>
    <col min="9410" max="9422" width="11.42578125" style="269" customWidth="1"/>
    <col min="9423" max="9423" width="16.5703125" style="269" bestFit="1" customWidth="1"/>
    <col min="9424" max="9424" width="17" style="269" bestFit="1" customWidth="1"/>
    <col min="9425" max="9425" width="11.42578125" style="269" customWidth="1"/>
    <col min="9426" max="9426" width="15.5703125" style="269" customWidth="1"/>
    <col min="9427" max="9427" width="9.28515625" style="269" customWidth="1"/>
    <col min="9428" max="9428" width="12" style="269" customWidth="1"/>
    <col min="9429" max="9429" width="11.140625" style="269" customWidth="1"/>
    <col min="9430" max="9430" width="11.42578125" style="269" customWidth="1"/>
    <col min="9431" max="9431" width="8.140625" style="269" customWidth="1"/>
    <col min="9432" max="9432" width="13.28515625" style="269" customWidth="1"/>
    <col min="9433" max="9433" width="19.7109375" style="269" customWidth="1"/>
    <col min="9434" max="9434" width="14.140625" style="269" customWidth="1"/>
    <col min="9435" max="9435" width="14.85546875" style="269" customWidth="1"/>
    <col min="9436" max="9436" width="9.28515625" style="269" customWidth="1"/>
    <col min="9437" max="9437" width="16.85546875" style="269" customWidth="1"/>
    <col min="9438" max="9438" width="11.85546875" style="269" customWidth="1"/>
    <col min="9439" max="9439" width="21.5703125" style="269" customWidth="1"/>
    <col min="9440" max="9440" width="20.42578125" style="269" customWidth="1"/>
    <col min="9441" max="9441" width="22.28515625" style="269" customWidth="1"/>
    <col min="9442" max="9442" width="11.42578125" style="269" customWidth="1"/>
    <col min="9443" max="9443" width="18.5703125" style="269" customWidth="1"/>
    <col min="9444" max="9444" width="14.28515625" style="269" customWidth="1"/>
    <col min="9445" max="9445" width="12.7109375" style="269" customWidth="1"/>
    <col min="9446" max="9446" width="13.5703125" style="269" customWidth="1"/>
    <col min="9447" max="9447" width="22.5703125" style="269" customWidth="1"/>
    <col min="9448" max="9449" width="22.42578125" style="269" customWidth="1"/>
    <col min="9450" max="9450" width="23.140625" style="269" customWidth="1"/>
    <col min="9451" max="9451" width="11.42578125" style="269" customWidth="1"/>
    <col min="9452" max="9452" width="19.85546875" style="269" customWidth="1"/>
    <col min="9453" max="9453" width="11.42578125" style="269" customWidth="1"/>
    <col min="9454" max="9454" width="6.42578125" style="269" customWidth="1"/>
    <col min="9455" max="9455" width="14" style="269" customWidth="1"/>
    <col min="9456" max="9456" width="7.85546875" style="269" customWidth="1"/>
    <col min="9457" max="9463" width="11.42578125" style="269" customWidth="1"/>
    <col min="9464" max="9464" width="13.5703125" style="269" customWidth="1"/>
    <col min="9465" max="9465" width="17.42578125" style="269" customWidth="1"/>
    <col min="9466" max="9467" width="11.42578125" style="269" customWidth="1"/>
    <col min="9468" max="9468" width="20.7109375" style="269" customWidth="1"/>
    <col min="9469" max="9469" width="11.42578125" style="269" customWidth="1"/>
    <col min="9470" max="9470" width="13.42578125" style="269" customWidth="1"/>
    <col min="9471" max="9473" width="11.42578125" style="269" customWidth="1"/>
    <col min="9474" max="9474" width="15.42578125" style="269" customWidth="1"/>
    <col min="9475" max="9475" width="13.5703125" style="269" customWidth="1"/>
    <col min="9476" max="9476" width="20" style="269" customWidth="1"/>
    <col min="9477" max="9478" width="11.42578125" style="269" customWidth="1"/>
    <col min="9479" max="9479" width="21.7109375" style="269" customWidth="1"/>
    <col min="9480" max="9480" width="13.5703125" style="269" customWidth="1"/>
    <col min="9481" max="9481" width="19.140625" style="269" customWidth="1"/>
    <col min="9482" max="9482" width="23" style="269" customWidth="1"/>
    <col min="9483" max="9484" width="11.42578125" style="269" customWidth="1"/>
    <col min="9485" max="9485" width="12" style="269" customWidth="1"/>
    <col min="9486" max="9488" width="11.42578125" style="269" customWidth="1"/>
    <col min="9489" max="9489" width="14" style="269" customWidth="1"/>
    <col min="9490" max="9490" width="14.85546875" style="269" customWidth="1"/>
    <col min="9491" max="9491" width="11.42578125" style="269" customWidth="1"/>
    <col min="9492" max="9492" width="13.28515625" style="269" customWidth="1"/>
    <col min="9493" max="9493" width="11.42578125" style="269" customWidth="1"/>
    <col min="9494" max="9494" width="19.85546875" style="269" customWidth="1"/>
    <col min="9495" max="9496" width="11.42578125" style="269" customWidth="1"/>
    <col min="9497" max="9497" width="16.28515625" style="269" customWidth="1"/>
    <col min="9498" max="9498" width="14.28515625" style="269" customWidth="1"/>
    <col min="9499" max="9499" width="9.140625" style="269" customWidth="1"/>
    <col min="9500" max="9500" width="17.28515625" style="269" customWidth="1"/>
    <col min="9501" max="9501" width="20.42578125" style="269" customWidth="1"/>
    <col min="9502" max="9502" width="17.5703125" style="269" customWidth="1"/>
    <col min="9503" max="9503" width="15.42578125" style="269" customWidth="1"/>
    <col min="9504" max="9504" width="12.85546875" style="269" customWidth="1"/>
    <col min="9505" max="9505" width="15.5703125" style="269" bestFit="1" customWidth="1"/>
    <col min="9506" max="9506" width="24.42578125" style="269" bestFit="1" customWidth="1"/>
    <col min="9507" max="9507" width="16" style="269" bestFit="1" customWidth="1"/>
    <col min="9508" max="9508" width="15.5703125" style="269" customWidth="1"/>
    <col min="9509" max="9652" width="11.42578125" style="269"/>
    <col min="9653" max="9653" width="11.42578125" style="269" customWidth="1"/>
    <col min="9654" max="9654" width="15.28515625" style="269" customWidth="1"/>
    <col min="9655" max="9656" width="12.5703125" style="269" customWidth="1"/>
    <col min="9657" max="9657" width="11.42578125" style="269" customWidth="1"/>
    <col min="9658" max="9658" width="9" style="269" customWidth="1"/>
    <col min="9659" max="9659" width="23.7109375" style="269" customWidth="1"/>
    <col min="9660" max="9660" width="27.7109375" style="269" customWidth="1"/>
    <col min="9661" max="9661" width="11.42578125" style="269" customWidth="1"/>
    <col min="9662" max="9662" width="2.7109375" style="269" customWidth="1"/>
    <col min="9663" max="9663" width="8.7109375" style="269" customWidth="1"/>
    <col min="9664" max="9664" width="23.7109375" style="269" customWidth="1"/>
    <col min="9665" max="9665" width="27.7109375" style="269" customWidth="1"/>
    <col min="9666" max="9678" width="11.42578125" style="269" customWidth="1"/>
    <col min="9679" max="9679" width="16.5703125" style="269" bestFit="1" customWidth="1"/>
    <col min="9680" max="9680" width="17" style="269" bestFit="1" customWidth="1"/>
    <col min="9681" max="9681" width="11.42578125" style="269" customWidth="1"/>
    <col min="9682" max="9682" width="15.5703125" style="269" customWidth="1"/>
    <col min="9683" max="9683" width="9.28515625" style="269" customWidth="1"/>
    <col min="9684" max="9684" width="12" style="269" customWidth="1"/>
    <col min="9685" max="9685" width="11.140625" style="269" customWidth="1"/>
    <col min="9686" max="9686" width="11.42578125" style="269" customWidth="1"/>
    <col min="9687" max="9687" width="8.140625" style="269" customWidth="1"/>
    <col min="9688" max="9688" width="13.28515625" style="269" customWidth="1"/>
    <col min="9689" max="9689" width="19.7109375" style="269" customWidth="1"/>
    <col min="9690" max="9690" width="14.140625" style="269" customWidth="1"/>
    <col min="9691" max="9691" width="14.85546875" style="269" customWidth="1"/>
    <col min="9692" max="9692" width="9.28515625" style="269" customWidth="1"/>
    <col min="9693" max="9693" width="16.85546875" style="269" customWidth="1"/>
    <col min="9694" max="9694" width="11.85546875" style="269" customWidth="1"/>
    <col min="9695" max="9695" width="21.5703125" style="269" customWidth="1"/>
    <col min="9696" max="9696" width="20.42578125" style="269" customWidth="1"/>
    <col min="9697" max="9697" width="22.28515625" style="269" customWidth="1"/>
    <col min="9698" max="9698" width="11.42578125" style="269" customWidth="1"/>
    <col min="9699" max="9699" width="18.5703125" style="269" customWidth="1"/>
    <col min="9700" max="9700" width="14.28515625" style="269" customWidth="1"/>
    <col min="9701" max="9701" width="12.7109375" style="269" customWidth="1"/>
    <col min="9702" max="9702" width="13.5703125" style="269" customWidth="1"/>
    <col min="9703" max="9703" width="22.5703125" style="269" customWidth="1"/>
    <col min="9704" max="9705" width="22.42578125" style="269" customWidth="1"/>
    <col min="9706" max="9706" width="23.140625" style="269" customWidth="1"/>
    <col min="9707" max="9707" width="11.42578125" style="269" customWidth="1"/>
    <col min="9708" max="9708" width="19.85546875" style="269" customWidth="1"/>
    <col min="9709" max="9709" width="11.42578125" style="269" customWidth="1"/>
    <col min="9710" max="9710" width="6.42578125" style="269" customWidth="1"/>
    <col min="9711" max="9711" width="14" style="269" customWidth="1"/>
    <col min="9712" max="9712" width="7.85546875" style="269" customWidth="1"/>
    <col min="9713" max="9719" width="11.42578125" style="269" customWidth="1"/>
    <col min="9720" max="9720" width="13.5703125" style="269" customWidth="1"/>
    <col min="9721" max="9721" width="17.42578125" style="269" customWidth="1"/>
    <col min="9722" max="9723" width="11.42578125" style="269" customWidth="1"/>
    <col min="9724" max="9724" width="20.7109375" style="269" customWidth="1"/>
    <col min="9725" max="9725" width="11.42578125" style="269" customWidth="1"/>
    <col min="9726" max="9726" width="13.42578125" style="269" customWidth="1"/>
    <col min="9727" max="9729" width="11.42578125" style="269" customWidth="1"/>
    <col min="9730" max="9730" width="15.42578125" style="269" customWidth="1"/>
    <col min="9731" max="9731" width="13.5703125" style="269" customWidth="1"/>
    <col min="9732" max="9732" width="20" style="269" customWidth="1"/>
    <col min="9733" max="9734" width="11.42578125" style="269" customWidth="1"/>
    <col min="9735" max="9735" width="21.7109375" style="269" customWidth="1"/>
    <col min="9736" max="9736" width="13.5703125" style="269" customWidth="1"/>
    <col min="9737" max="9737" width="19.140625" style="269" customWidth="1"/>
    <col min="9738" max="9738" width="23" style="269" customWidth="1"/>
    <col min="9739" max="9740" width="11.42578125" style="269" customWidth="1"/>
    <col min="9741" max="9741" width="12" style="269" customWidth="1"/>
    <col min="9742" max="9744" width="11.42578125" style="269" customWidth="1"/>
    <col min="9745" max="9745" width="14" style="269" customWidth="1"/>
    <col min="9746" max="9746" width="14.85546875" style="269" customWidth="1"/>
    <col min="9747" max="9747" width="11.42578125" style="269" customWidth="1"/>
    <col min="9748" max="9748" width="13.28515625" style="269" customWidth="1"/>
    <col min="9749" max="9749" width="11.42578125" style="269" customWidth="1"/>
    <col min="9750" max="9750" width="19.85546875" style="269" customWidth="1"/>
    <col min="9751" max="9752" width="11.42578125" style="269" customWidth="1"/>
    <col min="9753" max="9753" width="16.28515625" style="269" customWidth="1"/>
    <col min="9754" max="9754" width="14.28515625" style="269" customWidth="1"/>
    <col min="9755" max="9755" width="9.140625" style="269" customWidth="1"/>
    <col min="9756" max="9756" width="17.28515625" style="269" customWidth="1"/>
    <col min="9757" max="9757" width="20.42578125" style="269" customWidth="1"/>
    <col min="9758" max="9758" width="17.5703125" style="269" customWidth="1"/>
    <col min="9759" max="9759" width="15.42578125" style="269" customWidth="1"/>
    <col min="9760" max="9760" width="12.85546875" style="269" customWidth="1"/>
    <col min="9761" max="9761" width="15.5703125" style="269" bestFit="1" customWidth="1"/>
    <col min="9762" max="9762" width="24.42578125" style="269" bestFit="1" customWidth="1"/>
    <col min="9763" max="9763" width="16" style="269" bestFit="1" customWidth="1"/>
    <col min="9764" max="9764" width="15.5703125" style="269" customWidth="1"/>
    <col min="9765" max="9908" width="11.42578125" style="269"/>
    <col min="9909" max="9909" width="11.42578125" style="269" customWidth="1"/>
    <col min="9910" max="9910" width="15.28515625" style="269" customWidth="1"/>
    <col min="9911" max="9912" width="12.5703125" style="269" customWidth="1"/>
    <col min="9913" max="9913" width="11.42578125" style="269" customWidth="1"/>
    <col min="9914" max="9914" width="9" style="269" customWidth="1"/>
    <col min="9915" max="9915" width="23.7109375" style="269" customWidth="1"/>
    <col min="9916" max="9916" width="27.7109375" style="269" customWidth="1"/>
    <col min="9917" max="9917" width="11.42578125" style="269" customWidth="1"/>
    <col min="9918" max="9918" width="2.7109375" style="269" customWidth="1"/>
    <col min="9919" max="9919" width="8.7109375" style="269" customWidth="1"/>
    <col min="9920" max="9920" width="23.7109375" style="269" customWidth="1"/>
    <col min="9921" max="9921" width="27.7109375" style="269" customWidth="1"/>
    <col min="9922" max="9934" width="11.42578125" style="269" customWidth="1"/>
    <col min="9935" max="9935" width="16.5703125" style="269" bestFit="1" customWidth="1"/>
    <col min="9936" max="9936" width="17" style="269" bestFit="1" customWidth="1"/>
    <col min="9937" max="9937" width="11.42578125" style="269" customWidth="1"/>
    <col min="9938" max="9938" width="15.5703125" style="269" customWidth="1"/>
    <col min="9939" max="9939" width="9.28515625" style="269" customWidth="1"/>
    <col min="9940" max="9940" width="12" style="269" customWidth="1"/>
    <col min="9941" max="9941" width="11.140625" style="269" customWidth="1"/>
    <col min="9942" max="9942" width="11.42578125" style="269" customWidth="1"/>
    <col min="9943" max="9943" width="8.140625" style="269" customWidth="1"/>
    <col min="9944" max="9944" width="13.28515625" style="269" customWidth="1"/>
    <col min="9945" max="9945" width="19.7109375" style="269" customWidth="1"/>
    <col min="9946" max="9946" width="14.140625" style="269" customWidth="1"/>
    <col min="9947" max="9947" width="14.85546875" style="269" customWidth="1"/>
    <col min="9948" max="9948" width="9.28515625" style="269" customWidth="1"/>
    <col min="9949" max="9949" width="16.85546875" style="269" customWidth="1"/>
    <col min="9950" max="9950" width="11.85546875" style="269" customWidth="1"/>
    <col min="9951" max="9951" width="21.5703125" style="269" customWidth="1"/>
    <col min="9952" max="9952" width="20.42578125" style="269" customWidth="1"/>
    <col min="9953" max="9953" width="22.28515625" style="269" customWidth="1"/>
    <col min="9954" max="9954" width="11.42578125" style="269" customWidth="1"/>
    <col min="9955" max="9955" width="18.5703125" style="269" customWidth="1"/>
    <col min="9956" max="9956" width="14.28515625" style="269" customWidth="1"/>
    <col min="9957" max="9957" width="12.7109375" style="269" customWidth="1"/>
    <col min="9958" max="9958" width="13.5703125" style="269" customWidth="1"/>
    <col min="9959" max="9959" width="22.5703125" style="269" customWidth="1"/>
    <col min="9960" max="9961" width="22.42578125" style="269" customWidth="1"/>
    <col min="9962" max="9962" width="23.140625" style="269" customWidth="1"/>
    <col min="9963" max="9963" width="11.42578125" style="269" customWidth="1"/>
    <col min="9964" max="9964" width="19.85546875" style="269" customWidth="1"/>
    <col min="9965" max="9965" width="11.42578125" style="269" customWidth="1"/>
    <col min="9966" max="9966" width="6.42578125" style="269" customWidth="1"/>
    <col min="9967" max="9967" width="14" style="269" customWidth="1"/>
    <col min="9968" max="9968" width="7.85546875" style="269" customWidth="1"/>
    <col min="9969" max="9975" width="11.42578125" style="269" customWidth="1"/>
    <col min="9976" max="9976" width="13.5703125" style="269" customWidth="1"/>
    <col min="9977" max="9977" width="17.42578125" style="269" customWidth="1"/>
    <col min="9978" max="9979" width="11.42578125" style="269" customWidth="1"/>
    <col min="9980" max="9980" width="20.7109375" style="269" customWidth="1"/>
    <col min="9981" max="9981" width="11.42578125" style="269" customWidth="1"/>
    <col min="9982" max="9982" width="13.42578125" style="269" customWidth="1"/>
    <col min="9983" max="9985" width="11.42578125" style="269" customWidth="1"/>
    <col min="9986" max="9986" width="15.42578125" style="269" customWidth="1"/>
    <col min="9987" max="9987" width="13.5703125" style="269" customWidth="1"/>
    <col min="9988" max="9988" width="20" style="269" customWidth="1"/>
    <col min="9989" max="9990" width="11.42578125" style="269" customWidth="1"/>
    <col min="9991" max="9991" width="21.7109375" style="269" customWidth="1"/>
    <col min="9992" max="9992" width="13.5703125" style="269" customWidth="1"/>
    <col min="9993" max="9993" width="19.140625" style="269" customWidth="1"/>
    <col min="9994" max="9994" width="23" style="269" customWidth="1"/>
    <col min="9995" max="9996" width="11.42578125" style="269" customWidth="1"/>
    <col min="9997" max="9997" width="12" style="269" customWidth="1"/>
    <col min="9998" max="10000" width="11.42578125" style="269" customWidth="1"/>
    <col min="10001" max="10001" width="14" style="269" customWidth="1"/>
    <col min="10002" max="10002" width="14.85546875" style="269" customWidth="1"/>
    <col min="10003" max="10003" width="11.42578125" style="269" customWidth="1"/>
    <col min="10004" max="10004" width="13.28515625" style="269" customWidth="1"/>
    <col min="10005" max="10005" width="11.42578125" style="269" customWidth="1"/>
    <col min="10006" max="10006" width="19.85546875" style="269" customWidth="1"/>
    <col min="10007" max="10008" width="11.42578125" style="269" customWidth="1"/>
    <col min="10009" max="10009" width="16.28515625" style="269" customWidth="1"/>
    <col min="10010" max="10010" width="14.28515625" style="269" customWidth="1"/>
    <col min="10011" max="10011" width="9.140625" style="269" customWidth="1"/>
    <col min="10012" max="10012" width="17.28515625" style="269" customWidth="1"/>
    <col min="10013" max="10013" width="20.42578125" style="269" customWidth="1"/>
    <col min="10014" max="10014" width="17.5703125" style="269" customWidth="1"/>
    <col min="10015" max="10015" width="15.42578125" style="269" customWidth="1"/>
    <col min="10016" max="10016" width="12.85546875" style="269" customWidth="1"/>
    <col min="10017" max="10017" width="15.5703125" style="269" bestFit="1" customWidth="1"/>
    <col min="10018" max="10018" width="24.42578125" style="269" bestFit="1" customWidth="1"/>
    <col min="10019" max="10019" width="16" style="269" bestFit="1" customWidth="1"/>
    <col min="10020" max="10020" width="15.5703125" style="269" customWidth="1"/>
    <col min="10021" max="10164" width="11.42578125" style="269"/>
    <col min="10165" max="10165" width="11.42578125" style="269" customWidth="1"/>
    <col min="10166" max="10166" width="15.28515625" style="269" customWidth="1"/>
    <col min="10167" max="10168" width="12.5703125" style="269" customWidth="1"/>
    <col min="10169" max="10169" width="11.42578125" style="269" customWidth="1"/>
    <col min="10170" max="10170" width="9" style="269" customWidth="1"/>
    <col min="10171" max="10171" width="23.7109375" style="269" customWidth="1"/>
    <col min="10172" max="10172" width="27.7109375" style="269" customWidth="1"/>
    <col min="10173" max="10173" width="11.42578125" style="269" customWidth="1"/>
    <col min="10174" max="10174" width="2.7109375" style="269" customWidth="1"/>
    <col min="10175" max="10175" width="8.7109375" style="269" customWidth="1"/>
    <col min="10176" max="10176" width="23.7109375" style="269" customWidth="1"/>
    <col min="10177" max="10177" width="27.7109375" style="269" customWidth="1"/>
    <col min="10178" max="10190" width="11.42578125" style="269" customWidth="1"/>
    <col min="10191" max="10191" width="16.5703125" style="269" bestFit="1" customWidth="1"/>
    <col min="10192" max="10192" width="17" style="269" bestFit="1" customWidth="1"/>
    <col min="10193" max="10193" width="11.42578125" style="269" customWidth="1"/>
    <col min="10194" max="10194" width="15.5703125" style="269" customWidth="1"/>
    <col min="10195" max="10195" width="9.28515625" style="269" customWidth="1"/>
    <col min="10196" max="10196" width="12" style="269" customWidth="1"/>
    <col min="10197" max="10197" width="11.140625" style="269" customWidth="1"/>
    <col min="10198" max="10198" width="11.42578125" style="269" customWidth="1"/>
    <col min="10199" max="10199" width="8.140625" style="269" customWidth="1"/>
    <col min="10200" max="10200" width="13.28515625" style="269" customWidth="1"/>
    <col min="10201" max="10201" width="19.7109375" style="269" customWidth="1"/>
    <col min="10202" max="10202" width="14.140625" style="269" customWidth="1"/>
    <col min="10203" max="10203" width="14.85546875" style="269" customWidth="1"/>
    <col min="10204" max="10204" width="9.28515625" style="269" customWidth="1"/>
    <col min="10205" max="10205" width="16.85546875" style="269" customWidth="1"/>
    <col min="10206" max="10206" width="11.85546875" style="269" customWidth="1"/>
    <col min="10207" max="10207" width="21.5703125" style="269" customWidth="1"/>
    <col min="10208" max="10208" width="20.42578125" style="269" customWidth="1"/>
    <col min="10209" max="10209" width="22.28515625" style="269" customWidth="1"/>
    <col min="10210" max="10210" width="11.42578125" style="269" customWidth="1"/>
    <col min="10211" max="10211" width="18.5703125" style="269" customWidth="1"/>
    <col min="10212" max="10212" width="14.28515625" style="269" customWidth="1"/>
    <col min="10213" max="10213" width="12.7109375" style="269" customWidth="1"/>
    <col min="10214" max="10214" width="13.5703125" style="269" customWidth="1"/>
    <col min="10215" max="10215" width="22.5703125" style="269" customWidth="1"/>
    <col min="10216" max="10217" width="22.42578125" style="269" customWidth="1"/>
    <col min="10218" max="10218" width="23.140625" style="269" customWidth="1"/>
    <col min="10219" max="10219" width="11.42578125" style="269" customWidth="1"/>
    <col min="10220" max="10220" width="19.85546875" style="269" customWidth="1"/>
    <col min="10221" max="10221" width="11.42578125" style="269" customWidth="1"/>
    <col min="10222" max="10222" width="6.42578125" style="269" customWidth="1"/>
    <col min="10223" max="10223" width="14" style="269" customWidth="1"/>
    <col min="10224" max="10224" width="7.85546875" style="269" customWidth="1"/>
    <col min="10225" max="10231" width="11.42578125" style="269" customWidth="1"/>
    <col min="10232" max="10232" width="13.5703125" style="269" customWidth="1"/>
    <col min="10233" max="10233" width="17.42578125" style="269" customWidth="1"/>
    <col min="10234" max="10235" width="11.42578125" style="269" customWidth="1"/>
    <col min="10236" max="10236" width="20.7109375" style="269" customWidth="1"/>
    <col min="10237" max="10237" width="11.42578125" style="269" customWidth="1"/>
    <col min="10238" max="10238" width="13.42578125" style="269" customWidth="1"/>
    <col min="10239" max="10241" width="11.42578125" style="269" customWidth="1"/>
    <col min="10242" max="10242" width="15.42578125" style="269" customWidth="1"/>
    <col min="10243" max="10243" width="13.5703125" style="269" customWidth="1"/>
    <col min="10244" max="10244" width="20" style="269" customWidth="1"/>
    <col min="10245" max="10246" width="11.42578125" style="269" customWidth="1"/>
    <col min="10247" max="10247" width="21.7109375" style="269" customWidth="1"/>
    <col min="10248" max="10248" width="13.5703125" style="269" customWidth="1"/>
    <col min="10249" max="10249" width="19.140625" style="269" customWidth="1"/>
    <col min="10250" max="10250" width="23" style="269" customWidth="1"/>
    <col min="10251" max="10252" width="11.42578125" style="269" customWidth="1"/>
    <col min="10253" max="10253" width="12" style="269" customWidth="1"/>
    <col min="10254" max="10256" width="11.42578125" style="269" customWidth="1"/>
    <col min="10257" max="10257" width="14" style="269" customWidth="1"/>
    <col min="10258" max="10258" width="14.85546875" style="269" customWidth="1"/>
    <col min="10259" max="10259" width="11.42578125" style="269" customWidth="1"/>
    <col min="10260" max="10260" width="13.28515625" style="269" customWidth="1"/>
    <col min="10261" max="10261" width="11.42578125" style="269" customWidth="1"/>
    <col min="10262" max="10262" width="19.85546875" style="269" customWidth="1"/>
    <col min="10263" max="10264" width="11.42578125" style="269" customWidth="1"/>
    <col min="10265" max="10265" width="16.28515625" style="269" customWidth="1"/>
    <col min="10266" max="10266" width="14.28515625" style="269" customWidth="1"/>
    <col min="10267" max="10267" width="9.140625" style="269" customWidth="1"/>
    <col min="10268" max="10268" width="17.28515625" style="269" customWidth="1"/>
    <col min="10269" max="10269" width="20.42578125" style="269" customWidth="1"/>
    <col min="10270" max="10270" width="17.5703125" style="269" customWidth="1"/>
    <col min="10271" max="10271" width="15.42578125" style="269" customWidth="1"/>
    <col min="10272" max="10272" width="12.85546875" style="269" customWidth="1"/>
    <col min="10273" max="10273" width="15.5703125" style="269" bestFit="1" customWidth="1"/>
    <col min="10274" max="10274" width="24.42578125" style="269" bestFit="1" customWidth="1"/>
    <col min="10275" max="10275" width="16" style="269" bestFit="1" customWidth="1"/>
    <col min="10276" max="10276" width="15.5703125" style="269" customWidth="1"/>
    <col min="10277" max="10420" width="11.42578125" style="269"/>
    <col min="10421" max="10421" width="11.42578125" style="269" customWidth="1"/>
    <col min="10422" max="10422" width="15.28515625" style="269" customWidth="1"/>
    <col min="10423" max="10424" width="12.5703125" style="269" customWidth="1"/>
    <col min="10425" max="10425" width="11.42578125" style="269" customWidth="1"/>
    <col min="10426" max="10426" width="9" style="269" customWidth="1"/>
    <col min="10427" max="10427" width="23.7109375" style="269" customWidth="1"/>
    <col min="10428" max="10428" width="27.7109375" style="269" customWidth="1"/>
    <col min="10429" max="10429" width="11.42578125" style="269" customWidth="1"/>
    <col min="10430" max="10430" width="2.7109375" style="269" customWidth="1"/>
    <col min="10431" max="10431" width="8.7109375" style="269" customWidth="1"/>
    <col min="10432" max="10432" width="23.7109375" style="269" customWidth="1"/>
    <col min="10433" max="10433" width="27.7109375" style="269" customWidth="1"/>
    <col min="10434" max="10446" width="11.42578125" style="269" customWidth="1"/>
    <col min="10447" max="10447" width="16.5703125" style="269" bestFit="1" customWidth="1"/>
    <col min="10448" max="10448" width="17" style="269" bestFit="1" customWidth="1"/>
    <col min="10449" max="10449" width="11.42578125" style="269" customWidth="1"/>
    <col min="10450" max="10450" width="15.5703125" style="269" customWidth="1"/>
    <col min="10451" max="10451" width="9.28515625" style="269" customWidth="1"/>
    <col min="10452" max="10452" width="12" style="269" customWidth="1"/>
    <col min="10453" max="10453" width="11.140625" style="269" customWidth="1"/>
    <col min="10454" max="10454" width="11.42578125" style="269" customWidth="1"/>
    <col min="10455" max="10455" width="8.140625" style="269" customWidth="1"/>
    <col min="10456" max="10456" width="13.28515625" style="269" customWidth="1"/>
    <col min="10457" max="10457" width="19.7109375" style="269" customWidth="1"/>
    <col min="10458" max="10458" width="14.140625" style="269" customWidth="1"/>
    <col min="10459" max="10459" width="14.85546875" style="269" customWidth="1"/>
    <col min="10460" max="10460" width="9.28515625" style="269" customWidth="1"/>
    <col min="10461" max="10461" width="16.85546875" style="269" customWidth="1"/>
    <col min="10462" max="10462" width="11.85546875" style="269" customWidth="1"/>
    <col min="10463" max="10463" width="21.5703125" style="269" customWidth="1"/>
    <col min="10464" max="10464" width="20.42578125" style="269" customWidth="1"/>
    <col min="10465" max="10465" width="22.28515625" style="269" customWidth="1"/>
    <col min="10466" max="10466" width="11.42578125" style="269" customWidth="1"/>
    <col min="10467" max="10467" width="18.5703125" style="269" customWidth="1"/>
    <col min="10468" max="10468" width="14.28515625" style="269" customWidth="1"/>
    <col min="10469" max="10469" width="12.7109375" style="269" customWidth="1"/>
    <col min="10470" max="10470" width="13.5703125" style="269" customWidth="1"/>
    <col min="10471" max="10471" width="22.5703125" style="269" customWidth="1"/>
    <col min="10472" max="10473" width="22.42578125" style="269" customWidth="1"/>
    <col min="10474" max="10474" width="23.140625" style="269" customWidth="1"/>
    <col min="10475" max="10475" width="11.42578125" style="269" customWidth="1"/>
    <col min="10476" max="10476" width="19.85546875" style="269" customWidth="1"/>
    <col min="10477" max="10477" width="11.42578125" style="269" customWidth="1"/>
    <col min="10478" max="10478" width="6.42578125" style="269" customWidth="1"/>
    <col min="10479" max="10479" width="14" style="269" customWidth="1"/>
    <col min="10480" max="10480" width="7.85546875" style="269" customWidth="1"/>
    <col min="10481" max="10487" width="11.42578125" style="269" customWidth="1"/>
    <col min="10488" max="10488" width="13.5703125" style="269" customWidth="1"/>
    <col min="10489" max="10489" width="17.42578125" style="269" customWidth="1"/>
    <col min="10490" max="10491" width="11.42578125" style="269" customWidth="1"/>
    <col min="10492" max="10492" width="20.7109375" style="269" customWidth="1"/>
    <col min="10493" max="10493" width="11.42578125" style="269" customWidth="1"/>
    <col min="10494" max="10494" width="13.42578125" style="269" customWidth="1"/>
    <col min="10495" max="10497" width="11.42578125" style="269" customWidth="1"/>
    <col min="10498" max="10498" width="15.42578125" style="269" customWidth="1"/>
    <col min="10499" max="10499" width="13.5703125" style="269" customWidth="1"/>
    <col min="10500" max="10500" width="20" style="269" customWidth="1"/>
    <col min="10501" max="10502" width="11.42578125" style="269" customWidth="1"/>
    <col min="10503" max="10503" width="21.7109375" style="269" customWidth="1"/>
    <col min="10504" max="10504" width="13.5703125" style="269" customWidth="1"/>
    <col min="10505" max="10505" width="19.140625" style="269" customWidth="1"/>
    <col min="10506" max="10506" width="23" style="269" customWidth="1"/>
    <col min="10507" max="10508" width="11.42578125" style="269" customWidth="1"/>
    <col min="10509" max="10509" width="12" style="269" customWidth="1"/>
    <col min="10510" max="10512" width="11.42578125" style="269" customWidth="1"/>
    <col min="10513" max="10513" width="14" style="269" customWidth="1"/>
    <col min="10514" max="10514" width="14.85546875" style="269" customWidth="1"/>
    <col min="10515" max="10515" width="11.42578125" style="269" customWidth="1"/>
    <col min="10516" max="10516" width="13.28515625" style="269" customWidth="1"/>
    <col min="10517" max="10517" width="11.42578125" style="269" customWidth="1"/>
    <col min="10518" max="10518" width="19.85546875" style="269" customWidth="1"/>
    <col min="10519" max="10520" width="11.42578125" style="269" customWidth="1"/>
    <col min="10521" max="10521" width="16.28515625" style="269" customWidth="1"/>
    <col min="10522" max="10522" width="14.28515625" style="269" customWidth="1"/>
    <col min="10523" max="10523" width="9.140625" style="269" customWidth="1"/>
    <col min="10524" max="10524" width="17.28515625" style="269" customWidth="1"/>
    <col min="10525" max="10525" width="20.42578125" style="269" customWidth="1"/>
    <col min="10526" max="10526" width="17.5703125" style="269" customWidth="1"/>
    <col min="10527" max="10527" width="15.42578125" style="269" customWidth="1"/>
    <col min="10528" max="10528" width="12.85546875" style="269" customWidth="1"/>
    <col min="10529" max="10529" width="15.5703125" style="269" bestFit="1" customWidth="1"/>
    <col min="10530" max="10530" width="24.42578125" style="269" bestFit="1" customWidth="1"/>
    <col min="10531" max="10531" width="16" style="269" bestFit="1" customWidth="1"/>
    <col min="10532" max="10532" width="15.5703125" style="269" customWidth="1"/>
    <col min="10533" max="10676" width="11.42578125" style="269"/>
    <col min="10677" max="10677" width="11.42578125" style="269" customWidth="1"/>
    <col min="10678" max="10678" width="15.28515625" style="269" customWidth="1"/>
    <col min="10679" max="10680" width="12.5703125" style="269" customWidth="1"/>
    <col min="10681" max="10681" width="11.42578125" style="269" customWidth="1"/>
    <col min="10682" max="10682" width="9" style="269" customWidth="1"/>
    <col min="10683" max="10683" width="23.7109375" style="269" customWidth="1"/>
    <col min="10684" max="10684" width="27.7109375" style="269" customWidth="1"/>
    <col min="10685" max="10685" width="11.42578125" style="269" customWidth="1"/>
    <col min="10686" max="10686" width="2.7109375" style="269" customWidth="1"/>
    <col min="10687" max="10687" width="8.7109375" style="269" customWidth="1"/>
    <col min="10688" max="10688" width="23.7109375" style="269" customWidth="1"/>
    <col min="10689" max="10689" width="27.7109375" style="269" customWidth="1"/>
    <col min="10690" max="10702" width="11.42578125" style="269" customWidth="1"/>
    <col min="10703" max="10703" width="16.5703125" style="269" bestFit="1" customWidth="1"/>
    <col min="10704" max="10704" width="17" style="269" bestFit="1" customWidth="1"/>
    <col min="10705" max="10705" width="11.42578125" style="269" customWidth="1"/>
    <col min="10706" max="10706" width="15.5703125" style="269" customWidth="1"/>
    <col min="10707" max="10707" width="9.28515625" style="269" customWidth="1"/>
    <col min="10708" max="10708" width="12" style="269" customWidth="1"/>
    <col min="10709" max="10709" width="11.140625" style="269" customWidth="1"/>
    <col min="10710" max="10710" width="11.42578125" style="269" customWidth="1"/>
    <col min="10711" max="10711" width="8.140625" style="269" customWidth="1"/>
    <col min="10712" max="10712" width="13.28515625" style="269" customWidth="1"/>
    <col min="10713" max="10713" width="19.7109375" style="269" customWidth="1"/>
    <col min="10714" max="10714" width="14.140625" style="269" customWidth="1"/>
    <col min="10715" max="10715" width="14.85546875" style="269" customWidth="1"/>
    <col min="10716" max="10716" width="9.28515625" style="269" customWidth="1"/>
    <col min="10717" max="10717" width="16.85546875" style="269" customWidth="1"/>
    <col min="10718" max="10718" width="11.85546875" style="269" customWidth="1"/>
    <col min="10719" max="10719" width="21.5703125" style="269" customWidth="1"/>
    <col min="10720" max="10720" width="20.42578125" style="269" customWidth="1"/>
    <col min="10721" max="10721" width="22.28515625" style="269" customWidth="1"/>
    <col min="10722" max="10722" width="11.42578125" style="269" customWidth="1"/>
    <col min="10723" max="10723" width="18.5703125" style="269" customWidth="1"/>
    <col min="10724" max="10724" width="14.28515625" style="269" customWidth="1"/>
    <col min="10725" max="10725" width="12.7109375" style="269" customWidth="1"/>
    <col min="10726" max="10726" width="13.5703125" style="269" customWidth="1"/>
    <col min="10727" max="10727" width="22.5703125" style="269" customWidth="1"/>
    <col min="10728" max="10729" width="22.42578125" style="269" customWidth="1"/>
    <col min="10730" max="10730" width="23.140625" style="269" customWidth="1"/>
    <col min="10731" max="10731" width="11.42578125" style="269" customWidth="1"/>
    <col min="10732" max="10732" width="19.85546875" style="269" customWidth="1"/>
    <col min="10733" max="10733" width="11.42578125" style="269" customWidth="1"/>
    <col min="10734" max="10734" width="6.42578125" style="269" customWidth="1"/>
    <col min="10735" max="10735" width="14" style="269" customWidth="1"/>
    <col min="10736" max="10736" width="7.85546875" style="269" customWidth="1"/>
    <col min="10737" max="10743" width="11.42578125" style="269" customWidth="1"/>
    <col min="10744" max="10744" width="13.5703125" style="269" customWidth="1"/>
    <col min="10745" max="10745" width="17.42578125" style="269" customWidth="1"/>
    <col min="10746" max="10747" width="11.42578125" style="269" customWidth="1"/>
    <col min="10748" max="10748" width="20.7109375" style="269" customWidth="1"/>
    <col min="10749" max="10749" width="11.42578125" style="269" customWidth="1"/>
    <col min="10750" max="10750" width="13.42578125" style="269" customWidth="1"/>
    <col min="10751" max="10753" width="11.42578125" style="269" customWidth="1"/>
    <col min="10754" max="10754" width="15.42578125" style="269" customWidth="1"/>
    <col min="10755" max="10755" width="13.5703125" style="269" customWidth="1"/>
    <col min="10756" max="10756" width="20" style="269" customWidth="1"/>
    <col min="10757" max="10758" width="11.42578125" style="269" customWidth="1"/>
    <col min="10759" max="10759" width="21.7109375" style="269" customWidth="1"/>
    <col min="10760" max="10760" width="13.5703125" style="269" customWidth="1"/>
    <col min="10761" max="10761" width="19.140625" style="269" customWidth="1"/>
    <col min="10762" max="10762" width="23" style="269" customWidth="1"/>
    <col min="10763" max="10764" width="11.42578125" style="269" customWidth="1"/>
    <col min="10765" max="10765" width="12" style="269" customWidth="1"/>
    <col min="10766" max="10768" width="11.42578125" style="269" customWidth="1"/>
    <col min="10769" max="10769" width="14" style="269" customWidth="1"/>
    <col min="10770" max="10770" width="14.85546875" style="269" customWidth="1"/>
    <col min="10771" max="10771" width="11.42578125" style="269" customWidth="1"/>
    <col min="10772" max="10772" width="13.28515625" style="269" customWidth="1"/>
    <col min="10773" max="10773" width="11.42578125" style="269" customWidth="1"/>
    <col min="10774" max="10774" width="19.85546875" style="269" customWidth="1"/>
    <col min="10775" max="10776" width="11.42578125" style="269" customWidth="1"/>
    <col min="10777" max="10777" width="16.28515625" style="269" customWidth="1"/>
    <col min="10778" max="10778" width="14.28515625" style="269" customWidth="1"/>
    <col min="10779" max="10779" width="9.140625" style="269" customWidth="1"/>
    <col min="10780" max="10780" width="17.28515625" style="269" customWidth="1"/>
    <col min="10781" max="10781" width="20.42578125" style="269" customWidth="1"/>
    <col min="10782" max="10782" width="17.5703125" style="269" customWidth="1"/>
    <col min="10783" max="10783" width="15.42578125" style="269" customWidth="1"/>
    <col min="10784" max="10784" width="12.85546875" style="269" customWidth="1"/>
    <col min="10785" max="10785" width="15.5703125" style="269" bestFit="1" customWidth="1"/>
    <col min="10786" max="10786" width="24.42578125" style="269" bestFit="1" customWidth="1"/>
    <col min="10787" max="10787" width="16" style="269" bestFit="1" customWidth="1"/>
    <col min="10788" max="10788" width="15.5703125" style="269" customWidth="1"/>
    <col min="10789" max="10932" width="11.42578125" style="269"/>
    <col min="10933" max="10933" width="11.42578125" style="269" customWidth="1"/>
    <col min="10934" max="10934" width="15.28515625" style="269" customWidth="1"/>
    <col min="10935" max="10936" width="12.5703125" style="269" customWidth="1"/>
    <col min="10937" max="10937" width="11.42578125" style="269" customWidth="1"/>
    <col min="10938" max="10938" width="9" style="269" customWidth="1"/>
    <col min="10939" max="10939" width="23.7109375" style="269" customWidth="1"/>
    <col min="10940" max="10940" width="27.7109375" style="269" customWidth="1"/>
    <col min="10941" max="10941" width="11.42578125" style="269" customWidth="1"/>
    <col min="10942" max="10942" width="2.7109375" style="269" customWidth="1"/>
    <col min="10943" max="10943" width="8.7109375" style="269" customWidth="1"/>
    <col min="10944" max="10944" width="23.7109375" style="269" customWidth="1"/>
    <col min="10945" max="10945" width="27.7109375" style="269" customWidth="1"/>
    <col min="10946" max="10958" width="11.42578125" style="269" customWidth="1"/>
    <col min="10959" max="10959" width="16.5703125" style="269" bestFit="1" customWidth="1"/>
    <col min="10960" max="10960" width="17" style="269" bestFit="1" customWidth="1"/>
    <col min="10961" max="10961" width="11.42578125" style="269" customWidth="1"/>
    <col min="10962" max="10962" width="15.5703125" style="269" customWidth="1"/>
    <col min="10963" max="10963" width="9.28515625" style="269" customWidth="1"/>
    <col min="10964" max="10964" width="12" style="269" customWidth="1"/>
    <col min="10965" max="10965" width="11.140625" style="269" customWidth="1"/>
    <col min="10966" max="10966" width="11.42578125" style="269" customWidth="1"/>
    <col min="10967" max="10967" width="8.140625" style="269" customWidth="1"/>
    <col min="10968" max="10968" width="13.28515625" style="269" customWidth="1"/>
    <col min="10969" max="10969" width="19.7109375" style="269" customWidth="1"/>
    <col min="10970" max="10970" width="14.140625" style="269" customWidth="1"/>
    <col min="10971" max="10971" width="14.85546875" style="269" customWidth="1"/>
    <col min="10972" max="10972" width="9.28515625" style="269" customWidth="1"/>
    <col min="10973" max="10973" width="16.85546875" style="269" customWidth="1"/>
    <col min="10974" max="10974" width="11.85546875" style="269" customWidth="1"/>
    <col min="10975" max="10975" width="21.5703125" style="269" customWidth="1"/>
    <col min="10976" max="10976" width="20.42578125" style="269" customWidth="1"/>
    <col min="10977" max="10977" width="22.28515625" style="269" customWidth="1"/>
    <col min="10978" max="10978" width="11.42578125" style="269" customWidth="1"/>
    <col min="10979" max="10979" width="18.5703125" style="269" customWidth="1"/>
    <col min="10980" max="10980" width="14.28515625" style="269" customWidth="1"/>
    <col min="10981" max="10981" width="12.7109375" style="269" customWidth="1"/>
    <col min="10982" max="10982" width="13.5703125" style="269" customWidth="1"/>
    <col min="10983" max="10983" width="22.5703125" style="269" customWidth="1"/>
    <col min="10984" max="10985" width="22.42578125" style="269" customWidth="1"/>
    <col min="10986" max="10986" width="23.140625" style="269" customWidth="1"/>
    <col min="10987" max="10987" width="11.42578125" style="269" customWidth="1"/>
    <col min="10988" max="10988" width="19.85546875" style="269" customWidth="1"/>
    <col min="10989" max="10989" width="11.42578125" style="269" customWidth="1"/>
    <col min="10990" max="10990" width="6.42578125" style="269" customWidth="1"/>
    <col min="10991" max="10991" width="14" style="269" customWidth="1"/>
    <col min="10992" max="10992" width="7.85546875" style="269" customWidth="1"/>
    <col min="10993" max="10999" width="11.42578125" style="269" customWidth="1"/>
    <col min="11000" max="11000" width="13.5703125" style="269" customWidth="1"/>
    <col min="11001" max="11001" width="17.42578125" style="269" customWidth="1"/>
    <col min="11002" max="11003" width="11.42578125" style="269" customWidth="1"/>
    <col min="11004" max="11004" width="20.7109375" style="269" customWidth="1"/>
    <col min="11005" max="11005" width="11.42578125" style="269" customWidth="1"/>
    <col min="11006" max="11006" width="13.42578125" style="269" customWidth="1"/>
    <col min="11007" max="11009" width="11.42578125" style="269" customWidth="1"/>
    <col min="11010" max="11010" width="15.42578125" style="269" customWidth="1"/>
    <col min="11011" max="11011" width="13.5703125" style="269" customWidth="1"/>
    <col min="11012" max="11012" width="20" style="269" customWidth="1"/>
    <col min="11013" max="11014" width="11.42578125" style="269" customWidth="1"/>
    <col min="11015" max="11015" width="21.7109375" style="269" customWidth="1"/>
    <col min="11016" max="11016" width="13.5703125" style="269" customWidth="1"/>
    <col min="11017" max="11017" width="19.140625" style="269" customWidth="1"/>
    <col min="11018" max="11018" width="23" style="269" customWidth="1"/>
    <col min="11019" max="11020" width="11.42578125" style="269" customWidth="1"/>
    <col min="11021" max="11021" width="12" style="269" customWidth="1"/>
    <col min="11022" max="11024" width="11.42578125" style="269" customWidth="1"/>
    <col min="11025" max="11025" width="14" style="269" customWidth="1"/>
    <col min="11026" max="11026" width="14.85546875" style="269" customWidth="1"/>
    <col min="11027" max="11027" width="11.42578125" style="269" customWidth="1"/>
    <col min="11028" max="11028" width="13.28515625" style="269" customWidth="1"/>
    <col min="11029" max="11029" width="11.42578125" style="269" customWidth="1"/>
    <col min="11030" max="11030" width="19.85546875" style="269" customWidth="1"/>
    <col min="11031" max="11032" width="11.42578125" style="269" customWidth="1"/>
    <col min="11033" max="11033" width="16.28515625" style="269" customWidth="1"/>
    <col min="11034" max="11034" width="14.28515625" style="269" customWidth="1"/>
    <col min="11035" max="11035" width="9.140625" style="269" customWidth="1"/>
    <col min="11036" max="11036" width="17.28515625" style="269" customWidth="1"/>
    <col min="11037" max="11037" width="20.42578125" style="269" customWidth="1"/>
    <col min="11038" max="11038" width="17.5703125" style="269" customWidth="1"/>
    <col min="11039" max="11039" width="15.42578125" style="269" customWidth="1"/>
    <col min="11040" max="11040" width="12.85546875" style="269" customWidth="1"/>
    <col min="11041" max="11041" width="15.5703125" style="269" bestFit="1" customWidth="1"/>
    <col min="11042" max="11042" width="24.42578125" style="269" bestFit="1" customWidth="1"/>
    <col min="11043" max="11043" width="16" style="269" bestFit="1" customWidth="1"/>
    <col min="11044" max="11044" width="15.5703125" style="269" customWidth="1"/>
    <col min="11045" max="11188" width="11.42578125" style="269"/>
    <col min="11189" max="11189" width="11.42578125" style="269" customWidth="1"/>
    <col min="11190" max="11190" width="15.28515625" style="269" customWidth="1"/>
    <col min="11191" max="11192" width="12.5703125" style="269" customWidth="1"/>
    <col min="11193" max="11193" width="11.42578125" style="269" customWidth="1"/>
    <col min="11194" max="11194" width="9" style="269" customWidth="1"/>
    <col min="11195" max="11195" width="23.7109375" style="269" customWidth="1"/>
    <col min="11196" max="11196" width="27.7109375" style="269" customWidth="1"/>
    <col min="11197" max="11197" width="11.42578125" style="269" customWidth="1"/>
    <col min="11198" max="11198" width="2.7109375" style="269" customWidth="1"/>
    <col min="11199" max="11199" width="8.7109375" style="269" customWidth="1"/>
    <col min="11200" max="11200" width="23.7109375" style="269" customWidth="1"/>
    <col min="11201" max="11201" width="27.7109375" style="269" customWidth="1"/>
    <col min="11202" max="11214" width="11.42578125" style="269" customWidth="1"/>
    <col min="11215" max="11215" width="16.5703125" style="269" bestFit="1" customWidth="1"/>
    <col min="11216" max="11216" width="17" style="269" bestFit="1" customWidth="1"/>
    <col min="11217" max="11217" width="11.42578125" style="269" customWidth="1"/>
    <col min="11218" max="11218" width="15.5703125" style="269" customWidth="1"/>
    <col min="11219" max="11219" width="9.28515625" style="269" customWidth="1"/>
    <col min="11220" max="11220" width="12" style="269" customWidth="1"/>
    <col min="11221" max="11221" width="11.140625" style="269" customWidth="1"/>
    <col min="11222" max="11222" width="11.42578125" style="269" customWidth="1"/>
    <col min="11223" max="11223" width="8.140625" style="269" customWidth="1"/>
    <col min="11224" max="11224" width="13.28515625" style="269" customWidth="1"/>
    <col min="11225" max="11225" width="19.7109375" style="269" customWidth="1"/>
    <col min="11226" max="11226" width="14.140625" style="269" customWidth="1"/>
    <col min="11227" max="11227" width="14.85546875" style="269" customWidth="1"/>
    <col min="11228" max="11228" width="9.28515625" style="269" customWidth="1"/>
    <col min="11229" max="11229" width="16.85546875" style="269" customWidth="1"/>
    <col min="11230" max="11230" width="11.85546875" style="269" customWidth="1"/>
    <col min="11231" max="11231" width="21.5703125" style="269" customWidth="1"/>
    <col min="11232" max="11232" width="20.42578125" style="269" customWidth="1"/>
    <col min="11233" max="11233" width="22.28515625" style="269" customWidth="1"/>
    <col min="11234" max="11234" width="11.42578125" style="269" customWidth="1"/>
    <col min="11235" max="11235" width="18.5703125" style="269" customWidth="1"/>
    <col min="11236" max="11236" width="14.28515625" style="269" customWidth="1"/>
    <col min="11237" max="11237" width="12.7109375" style="269" customWidth="1"/>
    <col min="11238" max="11238" width="13.5703125" style="269" customWidth="1"/>
    <col min="11239" max="11239" width="22.5703125" style="269" customWidth="1"/>
    <col min="11240" max="11241" width="22.42578125" style="269" customWidth="1"/>
    <col min="11242" max="11242" width="23.140625" style="269" customWidth="1"/>
    <col min="11243" max="11243" width="11.42578125" style="269" customWidth="1"/>
    <col min="11244" max="11244" width="19.85546875" style="269" customWidth="1"/>
    <col min="11245" max="11245" width="11.42578125" style="269" customWidth="1"/>
    <col min="11246" max="11246" width="6.42578125" style="269" customWidth="1"/>
    <col min="11247" max="11247" width="14" style="269" customWidth="1"/>
    <col min="11248" max="11248" width="7.85546875" style="269" customWidth="1"/>
    <col min="11249" max="11255" width="11.42578125" style="269" customWidth="1"/>
    <col min="11256" max="11256" width="13.5703125" style="269" customWidth="1"/>
    <col min="11257" max="11257" width="17.42578125" style="269" customWidth="1"/>
    <col min="11258" max="11259" width="11.42578125" style="269" customWidth="1"/>
    <col min="11260" max="11260" width="20.7109375" style="269" customWidth="1"/>
    <col min="11261" max="11261" width="11.42578125" style="269" customWidth="1"/>
    <col min="11262" max="11262" width="13.42578125" style="269" customWidth="1"/>
    <col min="11263" max="11265" width="11.42578125" style="269" customWidth="1"/>
    <col min="11266" max="11266" width="15.42578125" style="269" customWidth="1"/>
    <col min="11267" max="11267" width="13.5703125" style="269" customWidth="1"/>
    <col min="11268" max="11268" width="20" style="269" customWidth="1"/>
    <col min="11269" max="11270" width="11.42578125" style="269" customWidth="1"/>
    <col min="11271" max="11271" width="21.7109375" style="269" customWidth="1"/>
    <col min="11272" max="11272" width="13.5703125" style="269" customWidth="1"/>
    <col min="11273" max="11273" width="19.140625" style="269" customWidth="1"/>
    <col min="11274" max="11274" width="23" style="269" customWidth="1"/>
    <col min="11275" max="11276" width="11.42578125" style="269" customWidth="1"/>
    <col min="11277" max="11277" width="12" style="269" customWidth="1"/>
    <col min="11278" max="11280" width="11.42578125" style="269" customWidth="1"/>
    <col min="11281" max="11281" width="14" style="269" customWidth="1"/>
    <col min="11282" max="11282" width="14.85546875" style="269" customWidth="1"/>
    <col min="11283" max="11283" width="11.42578125" style="269" customWidth="1"/>
    <col min="11284" max="11284" width="13.28515625" style="269" customWidth="1"/>
    <col min="11285" max="11285" width="11.42578125" style="269" customWidth="1"/>
    <col min="11286" max="11286" width="19.85546875" style="269" customWidth="1"/>
    <col min="11287" max="11288" width="11.42578125" style="269" customWidth="1"/>
    <col min="11289" max="11289" width="16.28515625" style="269" customWidth="1"/>
    <col min="11290" max="11290" width="14.28515625" style="269" customWidth="1"/>
    <col min="11291" max="11291" width="9.140625" style="269" customWidth="1"/>
    <col min="11292" max="11292" width="17.28515625" style="269" customWidth="1"/>
    <col min="11293" max="11293" width="20.42578125" style="269" customWidth="1"/>
    <col min="11294" max="11294" width="17.5703125" style="269" customWidth="1"/>
    <col min="11295" max="11295" width="15.42578125" style="269" customWidth="1"/>
    <col min="11296" max="11296" width="12.85546875" style="269" customWidth="1"/>
    <col min="11297" max="11297" width="15.5703125" style="269" bestFit="1" customWidth="1"/>
    <col min="11298" max="11298" width="24.42578125" style="269" bestFit="1" customWidth="1"/>
    <col min="11299" max="11299" width="16" style="269" bestFit="1" customWidth="1"/>
    <col min="11300" max="11300" width="15.5703125" style="269" customWidth="1"/>
    <col min="11301" max="11444" width="11.42578125" style="269"/>
    <col min="11445" max="11445" width="11.42578125" style="269" customWidth="1"/>
    <col min="11446" max="11446" width="15.28515625" style="269" customWidth="1"/>
    <col min="11447" max="11448" width="12.5703125" style="269" customWidth="1"/>
    <col min="11449" max="11449" width="11.42578125" style="269" customWidth="1"/>
    <col min="11450" max="11450" width="9" style="269" customWidth="1"/>
    <col min="11451" max="11451" width="23.7109375" style="269" customWidth="1"/>
    <col min="11452" max="11452" width="27.7109375" style="269" customWidth="1"/>
    <col min="11453" max="11453" width="11.42578125" style="269" customWidth="1"/>
    <col min="11454" max="11454" width="2.7109375" style="269" customWidth="1"/>
    <col min="11455" max="11455" width="8.7109375" style="269" customWidth="1"/>
    <col min="11456" max="11456" width="23.7109375" style="269" customWidth="1"/>
    <col min="11457" max="11457" width="27.7109375" style="269" customWidth="1"/>
    <col min="11458" max="11470" width="11.42578125" style="269" customWidth="1"/>
    <col min="11471" max="11471" width="16.5703125" style="269" bestFit="1" customWidth="1"/>
    <col min="11472" max="11472" width="17" style="269" bestFit="1" customWidth="1"/>
    <col min="11473" max="11473" width="11.42578125" style="269" customWidth="1"/>
    <col min="11474" max="11474" width="15.5703125" style="269" customWidth="1"/>
    <col min="11475" max="11475" width="9.28515625" style="269" customWidth="1"/>
    <col min="11476" max="11476" width="12" style="269" customWidth="1"/>
    <col min="11477" max="11477" width="11.140625" style="269" customWidth="1"/>
    <col min="11478" max="11478" width="11.42578125" style="269" customWidth="1"/>
    <col min="11479" max="11479" width="8.140625" style="269" customWidth="1"/>
    <col min="11480" max="11480" width="13.28515625" style="269" customWidth="1"/>
    <col min="11481" max="11481" width="19.7109375" style="269" customWidth="1"/>
    <col min="11482" max="11482" width="14.140625" style="269" customWidth="1"/>
    <col min="11483" max="11483" width="14.85546875" style="269" customWidth="1"/>
    <col min="11484" max="11484" width="9.28515625" style="269" customWidth="1"/>
    <col min="11485" max="11485" width="16.85546875" style="269" customWidth="1"/>
    <col min="11486" max="11486" width="11.85546875" style="269" customWidth="1"/>
    <col min="11487" max="11487" width="21.5703125" style="269" customWidth="1"/>
    <col min="11488" max="11488" width="20.42578125" style="269" customWidth="1"/>
    <col min="11489" max="11489" width="22.28515625" style="269" customWidth="1"/>
    <col min="11490" max="11490" width="11.42578125" style="269" customWidth="1"/>
    <col min="11491" max="11491" width="18.5703125" style="269" customWidth="1"/>
    <col min="11492" max="11492" width="14.28515625" style="269" customWidth="1"/>
    <col min="11493" max="11493" width="12.7109375" style="269" customWidth="1"/>
    <col min="11494" max="11494" width="13.5703125" style="269" customWidth="1"/>
    <col min="11495" max="11495" width="22.5703125" style="269" customWidth="1"/>
    <col min="11496" max="11497" width="22.42578125" style="269" customWidth="1"/>
    <col min="11498" max="11498" width="23.140625" style="269" customWidth="1"/>
    <col min="11499" max="11499" width="11.42578125" style="269" customWidth="1"/>
    <col min="11500" max="11500" width="19.85546875" style="269" customWidth="1"/>
    <col min="11501" max="11501" width="11.42578125" style="269" customWidth="1"/>
    <col min="11502" max="11502" width="6.42578125" style="269" customWidth="1"/>
    <col min="11503" max="11503" width="14" style="269" customWidth="1"/>
    <col min="11504" max="11504" width="7.85546875" style="269" customWidth="1"/>
    <col min="11505" max="11511" width="11.42578125" style="269" customWidth="1"/>
    <col min="11512" max="11512" width="13.5703125" style="269" customWidth="1"/>
    <col min="11513" max="11513" width="17.42578125" style="269" customWidth="1"/>
    <col min="11514" max="11515" width="11.42578125" style="269" customWidth="1"/>
    <col min="11516" max="11516" width="20.7109375" style="269" customWidth="1"/>
    <col min="11517" max="11517" width="11.42578125" style="269" customWidth="1"/>
    <col min="11518" max="11518" width="13.42578125" style="269" customWidth="1"/>
    <col min="11519" max="11521" width="11.42578125" style="269" customWidth="1"/>
    <col min="11522" max="11522" width="15.42578125" style="269" customWidth="1"/>
    <col min="11523" max="11523" width="13.5703125" style="269" customWidth="1"/>
    <col min="11524" max="11524" width="20" style="269" customWidth="1"/>
    <col min="11525" max="11526" width="11.42578125" style="269" customWidth="1"/>
    <col min="11527" max="11527" width="21.7109375" style="269" customWidth="1"/>
    <col min="11528" max="11528" width="13.5703125" style="269" customWidth="1"/>
    <col min="11529" max="11529" width="19.140625" style="269" customWidth="1"/>
    <col min="11530" max="11530" width="23" style="269" customWidth="1"/>
    <col min="11531" max="11532" width="11.42578125" style="269" customWidth="1"/>
    <col min="11533" max="11533" width="12" style="269" customWidth="1"/>
    <col min="11534" max="11536" width="11.42578125" style="269" customWidth="1"/>
    <col min="11537" max="11537" width="14" style="269" customWidth="1"/>
    <col min="11538" max="11538" width="14.85546875" style="269" customWidth="1"/>
    <col min="11539" max="11539" width="11.42578125" style="269" customWidth="1"/>
    <col min="11540" max="11540" width="13.28515625" style="269" customWidth="1"/>
    <col min="11541" max="11541" width="11.42578125" style="269" customWidth="1"/>
    <col min="11542" max="11542" width="19.85546875" style="269" customWidth="1"/>
    <col min="11543" max="11544" width="11.42578125" style="269" customWidth="1"/>
    <col min="11545" max="11545" width="16.28515625" style="269" customWidth="1"/>
    <col min="11546" max="11546" width="14.28515625" style="269" customWidth="1"/>
    <col min="11547" max="11547" width="9.140625" style="269" customWidth="1"/>
    <col min="11548" max="11548" width="17.28515625" style="269" customWidth="1"/>
    <col min="11549" max="11549" width="20.42578125" style="269" customWidth="1"/>
    <col min="11550" max="11550" width="17.5703125" style="269" customWidth="1"/>
    <col min="11551" max="11551" width="15.42578125" style="269" customWidth="1"/>
    <col min="11552" max="11552" width="12.85546875" style="269" customWidth="1"/>
    <col min="11553" max="11553" width="15.5703125" style="269" bestFit="1" customWidth="1"/>
    <col min="11554" max="11554" width="24.42578125" style="269" bestFit="1" customWidth="1"/>
    <col min="11555" max="11555" width="16" style="269" bestFit="1" customWidth="1"/>
    <col min="11556" max="11556" width="15.5703125" style="269" customWidth="1"/>
    <col min="11557" max="11700" width="11.42578125" style="269"/>
    <col min="11701" max="11701" width="11.42578125" style="269" customWidth="1"/>
    <col min="11702" max="11702" width="15.28515625" style="269" customWidth="1"/>
    <col min="11703" max="11704" width="12.5703125" style="269" customWidth="1"/>
    <col min="11705" max="11705" width="11.42578125" style="269" customWidth="1"/>
    <col min="11706" max="11706" width="9" style="269" customWidth="1"/>
    <col min="11707" max="11707" width="23.7109375" style="269" customWidth="1"/>
    <col min="11708" max="11708" width="27.7109375" style="269" customWidth="1"/>
    <col min="11709" max="11709" width="11.42578125" style="269" customWidth="1"/>
    <col min="11710" max="11710" width="2.7109375" style="269" customWidth="1"/>
    <col min="11711" max="11711" width="8.7109375" style="269" customWidth="1"/>
    <col min="11712" max="11712" width="23.7109375" style="269" customWidth="1"/>
    <col min="11713" max="11713" width="27.7109375" style="269" customWidth="1"/>
    <col min="11714" max="11726" width="11.42578125" style="269" customWidth="1"/>
    <col min="11727" max="11727" width="16.5703125" style="269" bestFit="1" customWidth="1"/>
    <col min="11728" max="11728" width="17" style="269" bestFit="1" customWidth="1"/>
    <col min="11729" max="11729" width="11.42578125" style="269" customWidth="1"/>
    <col min="11730" max="11730" width="15.5703125" style="269" customWidth="1"/>
    <col min="11731" max="11731" width="9.28515625" style="269" customWidth="1"/>
    <col min="11732" max="11732" width="12" style="269" customWidth="1"/>
    <col min="11733" max="11733" width="11.140625" style="269" customWidth="1"/>
    <col min="11734" max="11734" width="11.42578125" style="269" customWidth="1"/>
    <col min="11735" max="11735" width="8.140625" style="269" customWidth="1"/>
    <col min="11736" max="11736" width="13.28515625" style="269" customWidth="1"/>
    <col min="11737" max="11737" width="19.7109375" style="269" customWidth="1"/>
    <col min="11738" max="11738" width="14.140625" style="269" customWidth="1"/>
    <col min="11739" max="11739" width="14.85546875" style="269" customWidth="1"/>
    <col min="11740" max="11740" width="9.28515625" style="269" customWidth="1"/>
    <col min="11741" max="11741" width="16.85546875" style="269" customWidth="1"/>
    <col min="11742" max="11742" width="11.85546875" style="269" customWidth="1"/>
    <col min="11743" max="11743" width="21.5703125" style="269" customWidth="1"/>
    <col min="11744" max="11744" width="20.42578125" style="269" customWidth="1"/>
    <col min="11745" max="11745" width="22.28515625" style="269" customWidth="1"/>
    <col min="11746" max="11746" width="11.42578125" style="269" customWidth="1"/>
    <col min="11747" max="11747" width="18.5703125" style="269" customWidth="1"/>
    <col min="11748" max="11748" width="14.28515625" style="269" customWidth="1"/>
    <col min="11749" max="11749" width="12.7109375" style="269" customWidth="1"/>
    <col min="11750" max="11750" width="13.5703125" style="269" customWidth="1"/>
    <col min="11751" max="11751" width="22.5703125" style="269" customWidth="1"/>
    <col min="11752" max="11753" width="22.42578125" style="269" customWidth="1"/>
    <col min="11754" max="11754" width="23.140625" style="269" customWidth="1"/>
    <col min="11755" max="11755" width="11.42578125" style="269" customWidth="1"/>
    <col min="11756" max="11756" width="19.85546875" style="269" customWidth="1"/>
    <col min="11757" max="11757" width="11.42578125" style="269" customWidth="1"/>
    <col min="11758" max="11758" width="6.42578125" style="269" customWidth="1"/>
    <col min="11759" max="11759" width="14" style="269" customWidth="1"/>
    <col min="11760" max="11760" width="7.85546875" style="269" customWidth="1"/>
    <col min="11761" max="11767" width="11.42578125" style="269" customWidth="1"/>
    <col min="11768" max="11768" width="13.5703125" style="269" customWidth="1"/>
    <col min="11769" max="11769" width="17.42578125" style="269" customWidth="1"/>
    <col min="11770" max="11771" width="11.42578125" style="269" customWidth="1"/>
    <col min="11772" max="11772" width="20.7109375" style="269" customWidth="1"/>
    <col min="11773" max="11773" width="11.42578125" style="269" customWidth="1"/>
    <col min="11774" max="11774" width="13.42578125" style="269" customWidth="1"/>
    <col min="11775" max="11777" width="11.42578125" style="269" customWidth="1"/>
    <col min="11778" max="11778" width="15.42578125" style="269" customWidth="1"/>
    <col min="11779" max="11779" width="13.5703125" style="269" customWidth="1"/>
    <col min="11780" max="11780" width="20" style="269" customWidth="1"/>
    <col min="11781" max="11782" width="11.42578125" style="269" customWidth="1"/>
    <col min="11783" max="11783" width="21.7109375" style="269" customWidth="1"/>
    <col min="11784" max="11784" width="13.5703125" style="269" customWidth="1"/>
    <col min="11785" max="11785" width="19.140625" style="269" customWidth="1"/>
    <col min="11786" max="11786" width="23" style="269" customWidth="1"/>
    <col min="11787" max="11788" width="11.42578125" style="269" customWidth="1"/>
    <col min="11789" max="11789" width="12" style="269" customWidth="1"/>
    <col min="11790" max="11792" width="11.42578125" style="269" customWidth="1"/>
    <col min="11793" max="11793" width="14" style="269" customWidth="1"/>
    <col min="11794" max="11794" width="14.85546875" style="269" customWidth="1"/>
    <col min="11795" max="11795" width="11.42578125" style="269" customWidth="1"/>
    <col min="11796" max="11796" width="13.28515625" style="269" customWidth="1"/>
    <col min="11797" max="11797" width="11.42578125" style="269" customWidth="1"/>
    <col min="11798" max="11798" width="19.85546875" style="269" customWidth="1"/>
    <col min="11799" max="11800" width="11.42578125" style="269" customWidth="1"/>
    <col min="11801" max="11801" width="16.28515625" style="269" customWidth="1"/>
    <col min="11802" max="11802" width="14.28515625" style="269" customWidth="1"/>
    <col min="11803" max="11803" width="9.140625" style="269" customWidth="1"/>
    <col min="11804" max="11804" width="17.28515625" style="269" customWidth="1"/>
    <col min="11805" max="11805" width="20.42578125" style="269" customWidth="1"/>
    <col min="11806" max="11806" width="17.5703125" style="269" customWidth="1"/>
    <col min="11807" max="11807" width="15.42578125" style="269" customWidth="1"/>
    <col min="11808" max="11808" width="12.85546875" style="269" customWidth="1"/>
    <col min="11809" max="11809" width="15.5703125" style="269" bestFit="1" customWidth="1"/>
    <col min="11810" max="11810" width="24.42578125" style="269" bestFit="1" customWidth="1"/>
    <col min="11811" max="11811" width="16" style="269" bestFit="1" customWidth="1"/>
    <col min="11812" max="11812" width="15.5703125" style="269" customWidth="1"/>
    <col min="11813" max="11956" width="11.42578125" style="269"/>
    <col min="11957" max="11957" width="11.42578125" style="269" customWidth="1"/>
    <col min="11958" max="11958" width="15.28515625" style="269" customWidth="1"/>
    <col min="11959" max="11960" width="12.5703125" style="269" customWidth="1"/>
    <col min="11961" max="11961" width="11.42578125" style="269" customWidth="1"/>
    <col min="11962" max="11962" width="9" style="269" customWidth="1"/>
    <col min="11963" max="11963" width="23.7109375" style="269" customWidth="1"/>
    <col min="11964" max="11964" width="27.7109375" style="269" customWidth="1"/>
    <col min="11965" max="11965" width="11.42578125" style="269" customWidth="1"/>
    <col min="11966" max="11966" width="2.7109375" style="269" customWidth="1"/>
    <col min="11967" max="11967" width="8.7109375" style="269" customWidth="1"/>
    <col min="11968" max="11968" width="23.7109375" style="269" customWidth="1"/>
    <col min="11969" max="11969" width="27.7109375" style="269" customWidth="1"/>
    <col min="11970" max="11982" width="11.42578125" style="269" customWidth="1"/>
    <col min="11983" max="11983" width="16.5703125" style="269" bestFit="1" customWidth="1"/>
    <col min="11984" max="11984" width="17" style="269" bestFit="1" customWidth="1"/>
    <col min="11985" max="11985" width="11.42578125" style="269" customWidth="1"/>
    <col min="11986" max="11986" width="15.5703125" style="269" customWidth="1"/>
    <col min="11987" max="11987" width="9.28515625" style="269" customWidth="1"/>
    <col min="11988" max="11988" width="12" style="269" customWidth="1"/>
    <col min="11989" max="11989" width="11.140625" style="269" customWidth="1"/>
    <col min="11990" max="11990" width="11.42578125" style="269" customWidth="1"/>
    <col min="11991" max="11991" width="8.140625" style="269" customWidth="1"/>
    <col min="11992" max="11992" width="13.28515625" style="269" customWidth="1"/>
    <col min="11993" max="11993" width="19.7109375" style="269" customWidth="1"/>
    <col min="11994" max="11994" width="14.140625" style="269" customWidth="1"/>
    <col min="11995" max="11995" width="14.85546875" style="269" customWidth="1"/>
    <col min="11996" max="11996" width="9.28515625" style="269" customWidth="1"/>
    <col min="11997" max="11997" width="16.85546875" style="269" customWidth="1"/>
    <col min="11998" max="11998" width="11.85546875" style="269" customWidth="1"/>
    <col min="11999" max="11999" width="21.5703125" style="269" customWidth="1"/>
    <col min="12000" max="12000" width="20.42578125" style="269" customWidth="1"/>
    <col min="12001" max="12001" width="22.28515625" style="269" customWidth="1"/>
    <col min="12002" max="12002" width="11.42578125" style="269" customWidth="1"/>
    <col min="12003" max="12003" width="18.5703125" style="269" customWidth="1"/>
    <col min="12004" max="12004" width="14.28515625" style="269" customWidth="1"/>
    <col min="12005" max="12005" width="12.7109375" style="269" customWidth="1"/>
    <col min="12006" max="12006" width="13.5703125" style="269" customWidth="1"/>
    <col min="12007" max="12007" width="22.5703125" style="269" customWidth="1"/>
    <col min="12008" max="12009" width="22.42578125" style="269" customWidth="1"/>
    <col min="12010" max="12010" width="23.140625" style="269" customWidth="1"/>
    <col min="12011" max="12011" width="11.42578125" style="269" customWidth="1"/>
    <col min="12012" max="12012" width="19.85546875" style="269" customWidth="1"/>
    <col min="12013" max="12013" width="11.42578125" style="269" customWidth="1"/>
    <col min="12014" max="12014" width="6.42578125" style="269" customWidth="1"/>
    <col min="12015" max="12015" width="14" style="269" customWidth="1"/>
    <col min="12016" max="12016" width="7.85546875" style="269" customWidth="1"/>
    <col min="12017" max="12023" width="11.42578125" style="269" customWidth="1"/>
    <col min="12024" max="12024" width="13.5703125" style="269" customWidth="1"/>
    <col min="12025" max="12025" width="17.42578125" style="269" customWidth="1"/>
    <col min="12026" max="12027" width="11.42578125" style="269" customWidth="1"/>
    <col min="12028" max="12028" width="20.7109375" style="269" customWidth="1"/>
    <col min="12029" max="12029" width="11.42578125" style="269" customWidth="1"/>
    <col min="12030" max="12030" width="13.42578125" style="269" customWidth="1"/>
    <col min="12031" max="12033" width="11.42578125" style="269" customWidth="1"/>
    <col min="12034" max="12034" width="15.42578125" style="269" customWidth="1"/>
    <col min="12035" max="12035" width="13.5703125" style="269" customWidth="1"/>
    <col min="12036" max="12036" width="20" style="269" customWidth="1"/>
    <col min="12037" max="12038" width="11.42578125" style="269" customWidth="1"/>
    <col min="12039" max="12039" width="21.7109375" style="269" customWidth="1"/>
    <col min="12040" max="12040" width="13.5703125" style="269" customWidth="1"/>
    <col min="12041" max="12041" width="19.140625" style="269" customWidth="1"/>
    <col min="12042" max="12042" width="23" style="269" customWidth="1"/>
    <col min="12043" max="12044" width="11.42578125" style="269" customWidth="1"/>
    <col min="12045" max="12045" width="12" style="269" customWidth="1"/>
    <col min="12046" max="12048" width="11.42578125" style="269" customWidth="1"/>
    <col min="12049" max="12049" width="14" style="269" customWidth="1"/>
    <col min="12050" max="12050" width="14.85546875" style="269" customWidth="1"/>
    <col min="12051" max="12051" width="11.42578125" style="269" customWidth="1"/>
    <col min="12052" max="12052" width="13.28515625" style="269" customWidth="1"/>
    <col min="12053" max="12053" width="11.42578125" style="269" customWidth="1"/>
    <col min="12054" max="12054" width="19.85546875" style="269" customWidth="1"/>
    <col min="12055" max="12056" width="11.42578125" style="269" customWidth="1"/>
    <col min="12057" max="12057" width="16.28515625" style="269" customWidth="1"/>
    <col min="12058" max="12058" width="14.28515625" style="269" customWidth="1"/>
    <col min="12059" max="12059" width="9.140625" style="269" customWidth="1"/>
    <col min="12060" max="12060" width="17.28515625" style="269" customWidth="1"/>
    <col min="12061" max="12061" width="20.42578125" style="269" customWidth="1"/>
    <col min="12062" max="12062" width="17.5703125" style="269" customWidth="1"/>
    <col min="12063" max="12063" width="15.42578125" style="269" customWidth="1"/>
    <col min="12064" max="12064" width="12.85546875" style="269" customWidth="1"/>
    <col min="12065" max="12065" width="15.5703125" style="269" bestFit="1" customWidth="1"/>
    <col min="12066" max="12066" width="24.42578125" style="269" bestFit="1" customWidth="1"/>
    <col min="12067" max="12067" width="16" style="269" bestFit="1" customWidth="1"/>
    <col min="12068" max="12068" width="15.5703125" style="269" customWidth="1"/>
    <col min="12069" max="12212" width="11.42578125" style="269"/>
    <col min="12213" max="12213" width="11.42578125" style="269" customWidth="1"/>
    <col min="12214" max="12214" width="15.28515625" style="269" customWidth="1"/>
    <col min="12215" max="12216" width="12.5703125" style="269" customWidth="1"/>
    <col min="12217" max="12217" width="11.42578125" style="269" customWidth="1"/>
    <col min="12218" max="12218" width="9" style="269" customWidth="1"/>
    <col min="12219" max="12219" width="23.7109375" style="269" customWidth="1"/>
    <col min="12220" max="12220" width="27.7109375" style="269" customWidth="1"/>
    <col min="12221" max="12221" width="11.42578125" style="269" customWidth="1"/>
    <col min="12222" max="12222" width="2.7109375" style="269" customWidth="1"/>
    <col min="12223" max="12223" width="8.7109375" style="269" customWidth="1"/>
    <col min="12224" max="12224" width="23.7109375" style="269" customWidth="1"/>
    <col min="12225" max="12225" width="27.7109375" style="269" customWidth="1"/>
    <col min="12226" max="12238" width="11.42578125" style="269" customWidth="1"/>
    <col min="12239" max="12239" width="16.5703125" style="269" bestFit="1" customWidth="1"/>
    <col min="12240" max="12240" width="17" style="269" bestFit="1" customWidth="1"/>
    <col min="12241" max="12241" width="11.42578125" style="269" customWidth="1"/>
    <col min="12242" max="12242" width="15.5703125" style="269" customWidth="1"/>
    <col min="12243" max="12243" width="9.28515625" style="269" customWidth="1"/>
    <col min="12244" max="12244" width="12" style="269" customWidth="1"/>
    <col min="12245" max="12245" width="11.140625" style="269" customWidth="1"/>
    <col min="12246" max="12246" width="11.42578125" style="269" customWidth="1"/>
    <col min="12247" max="12247" width="8.140625" style="269" customWidth="1"/>
    <col min="12248" max="12248" width="13.28515625" style="269" customWidth="1"/>
    <col min="12249" max="12249" width="19.7109375" style="269" customWidth="1"/>
    <col min="12250" max="12250" width="14.140625" style="269" customWidth="1"/>
    <col min="12251" max="12251" width="14.85546875" style="269" customWidth="1"/>
    <col min="12252" max="12252" width="9.28515625" style="269" customWidth="1"/>
    <col min="12253" max="12253" width="16.85546875" style="269" customWidth="1"/>
    <col min="12254" max="12254" width="11.85546875" style="269" customWidth="1"/>
    <col min="12255" max="12255" width="21.5703125" style="269" customWidth="1"/>
    <col min="12256" max="12256" width="20.42578125" style="269" customWidth="1"/>
    <col min="12257" max="12257" width="22.28515625" style="269" customWidth="1"/>
    <col min="12258" max="12258" width="11.42578125" style="269" customWidth="1"/>
    <col min="12259" max="12259" width="18.5703125" style="269" customWidth="1"/>
    <col min="12260" max="12260" width="14.28515625" style="269" customWidth="1"/>
    <col min="12261" max="12261" width="12.7109375" style="269" customWidth="1"/>
    <col min="12262" max="12262" width="13.5703125" style="269" customWidth="1"/>
    <col min="12263" max="12263" width="22.5703125" style="269" customWidth="1"/>
    <col min="12264" max="12265" width="22.42578125" style="269" customWidth="1"/>
    <col min="12266" max="12266" width="23.140625" style="269" customWidth="1"/>
    <col min="12267" max="12267" width="11.42578125" style="269" customWidth="1"/>
    <col min="12268" max="12268" width="19.85546875" style="269" customWidth="1"/>
    <col min="12269" max="12269" width="11.42578125" style="269" customWidth="1"/>
    <col min="12270" max="12270" width="6.42578125" style="269" customWidth="1"/>
    <col min="12271" max="12271" width="14" style="269" customWidth="1"/>
    <col min="12272" max="12272" width="7.85546875" style="269" customWidth="1"/>
    <col min="12273" max="12279" width="11.42578125" style="269" customWidth="1"/>
    <col min="12280" max="12280" width="13.5703125" style="269" customWidth="1"/>
    <col min="12281" max="12281" width="17.42578125" style="269" customWidth="1"/>
    <col min="12282" max="12283" width="11.42578125" style="269" customWidth="1"/>
    <col min="12284" max="12284" width="20.7109375" style="269" customWidth="1"/>
    <col min="12285" max="12285" width="11.42578125" style="269" customWidth="1"/>
    <col min="12286" max="12286" width="13.42578125" style="269" customWidth="1"/>
    <col min="12287" max="12289" width="11.42578125" style="269" customWidth="1"/>
    <col min="12290" max="12290" width="15.42578125" style="269" customWidth="1"/>
    <col min="12291" max="12291" width="13.5703125" style="269" customWidth="1"/>
    <col min="12292" max="12292" width="20" style="269" customWidth="1"/>
    <col min="12293" max="12294" width="11.42578125" style="269" customWidth="1"/>
    <col min="12295" max="12295" width="21.7109375" style="269" customWidth="1"/>
    <col min="12296" max="12296" width="13.5703125" style="269" customWidth="1"/>
    <col min="12297" max="12297" width="19.140625" style="269" customWidth="1"/>
    <col min="12298" max="12298" width="23" style="269" customWidth="1"/>
    <col min="12299" max="12300" width="11.42578125" style="269" customWidth="1"/>
    <col min="12301" max="12301" width="12" style="269" customWidth="1"/>
    <col min="12302" max="12304" width="11.42578125" style="269" customWidth="1"/>
    <col min="12305" max="12305" width="14" style="269" customWidth="1"/>
    <col min="12306" max="12306" width="14.85546875" style="269" customWidth="1"/>
    <col min="12307" max="12307" width="11.42578125" style="269" customWidth="1"/>
    <col min="12308" max="12308" width="13.28515625" style="269" customWidth="1"/>
    <col min="12309" max="12309" width="11.42578125" style="269" customWidth="1"/>
    <col min="12310" max="12310" width="19.85546875" style="269" customWidth="1"/>
    <col min="12311" max="12312" width="11.42578125" style="269" customWidth="1"/>
    <col min="12313" max="12313" width="16.28515625" style="269" customWidth="1"/>
    <col min="12314" max="12314" width="14.28515625" style="269" customWidth="1"/>
    <col min="12315" max="12315" width="9.140625" style="269" customWidth="1"/>
    <col min="12316" max="12316" width="17.28515625" style="269" customWidth="1"/>
    <col min="12317" max="12317" width="20.42578125" style="269" customWidth="1"/>
    <col min="12318" max="12318" width="17.5703125" style="269" customWidth="1"/>
    <col min="12319" max="12319" width="15.42578125" style="269" customWidth="1"/>
    <col min="12320" max="12320" width="12.85546875" style="269" customWidth="1"/>
    <col min="12321" max="12321" width="15.5703125" style="269" bestFit="1" customWidth="1"/>
    <col min="12322" max="12322" width="24.42578125" style="269" bestFit="1" customWidth="1"/>
    <col min="12323" max="12323" width="16" style="269" bestFit="1" customWidth="1"/>
    <col min="12324" max="12324" width="15.5703125" style="269" customWidth="1"/>
    <col min="12325" max="12468" width="11.42578125" style="269"/>
    <col min="12469" max="12469" width="11.42578125" style="269" customWidth="1"/>
    <col min="12470" max="12470" width="15.28515625" style="269" customWidth="1"/>
    <col min="12471" max="12472" width="12.5703125" style="269" customWidth="1"/>
    <col min="12473" max="12473" width="11.42578125" style="269" customWidth="1"/>
    <col min="12474" max="12474" width="9" style="269" customWidth="1"/>
    <col min="12475" max="12475" width="23.7109375" style="269" customWidth="1"/>
    <col min="12476" max="12476" width="27.7109375" style="269" customWidth="1"/>
    <col min="12477" max="12477" width="11.42578125" style="269" customWidth="1"/>
    <col min="12478" max="12478" width="2.7109375" style="269" customWidth="1"/>
    <col min="12479" max="12479" width="8.7109375" style="269" customWidth="1"/>
    <col min="12480" max="12480" width="23.7109375" style="269" customWidth="1"/>
    <col min="12481" max="12481" width="27.7109375" style="269" customWidth="1"/>
    <col min="12482" max="12494" width="11.42578125" style="269" customWidth="1"/>
    <col min="12495" max="12495" width="16.5703125" style="269" bestFit="1" customWidth="1"/>
    <col min="12496" max="12496" width="17" style="269" bestFit="1" customWidth="1"/>
    <col min="12497" max="12497" width="11.42578125" style="269" customWidth="1"/>
    <col min="12498" max="12498" width="15.5703125" style="269" customWidth="1"/>
    <col min="12499" max="12499" width="9.28515625" style="269" customWidth="1"/>
    <col min="12500" max="12500" width="12" style="269" customWidth="1"/>
    <col min="12501" max="12501" width="11.140625" style="269" customWidth="1"/>
    <col min="12502" max="12502" width="11.42578125" style="269" customWidth="1"/>
    <col min="12503" max="12503" width="8.140625" style="269" customWidth="1"/>
    <col min="12504" max="12504" width="13.28515625" style="269" customWidth="1"/>
    <col min="12505" max="12505" width="19.7109375" style="269" customWidth="1"/>
    <col min="12506" max="12506" width="14.140625" style="269" customWidth="1"/>
    <col min="12507" max="12507" width="14.85546875" style="269" customWidth="1"/>
    <col min="12508" max="12508" width="9.28515625" style="269" customWidth="1"/>
    <col min="12509" max="12509" width="16.85546875" style="269" customWidth="1"/>
    <col min="12510" max="12510" width="11.85546875" style="269" customWidth="1"/>
    <col min="12511" max="12511" width="21.5703125" style="269" customWidth="1"/>
    <col min="12512" max="12512" width="20.42578125" style="269" customWidth="1"/>
    <col min="12513" max="12513" width="22.28515625" style="269" customWidth="1"/>
    <col min="12514" max="12514" width="11.42578125" style="269" customWidth="1"/>
    <col min="12515" max="12515" width="18.5703125" style="269" customWidth="1"/>
    <col min="12516" max="12516" width="14.28515625" style="269" customWidth="1"/>
    <col min="12517" max="12517" width="12.7109375" style="269" customWidth="1"/>
    <col min="12518" max="12518" width="13.5703125" style="269" customWidth="1"/>
    <col min="12519" max="12519" width="22.5703125" style="269" customWidth="1"/>
    <col min="12520" max="12521" width="22.42578125" style="269" customWidth="1"/>
    <col min="12522" max="12522" width="23.140625" style="269" customWidth="1"/>
    <col min="12523" max="12523" width="11.42578125" style="269" customWidth="1"/>
    <col min="12524" max="12524" width="19.85546875" style="269" customWidth="1"/>
    <col min="12525" max="12525" width="11.42578125" style="269" customWidth="1"/>
    <col min="12526" max="12526" width="6.42578125" style="269" customWidth="1"/>
    <col min="12527" max="12527" width="14" style="269" customWidth="1"/>
    <col min="12528" max="12528" width="7.85546875" style="269" customWidth="1"/>
    <col min="12529" max="12535" width="11.42578125" style="269" customWidth="1"/>
    <col min="12536" max="12536" width="13.5703125" style="269" customWidth="1"/>
    <col min="12537" max="12537" width="17.42578125" style="269" customWidth="1"/>
    <col min="12538" max="12539" width="11.42578125" style="269" customWidth="1"/>
    <col min="12540" max="12540" width="20.7109375" style="269" customWidth="1"/>
    <col min="12541" max="12541" width="11.42578125" style="269" customWidth="1"/>
    <col min="12542" max="12542" width="13.42578125" style="269" customWidth="1"/>
    <col min="12543" max="12545" width="11.42578125" style="269" customWidth="1"/>
    <col min="12546" max="12546" width="15.42578125" style="269" customWidth="1"/>
    <col min="12547" max="12547" width="13.5703125" style="269" customWidth="1"/>
    <col min="12548" max="12548" width="20" style="269" customWidth="1"/>
    <col min="12549" max="12550" width="11.42578125" style="269" customWidth="1"/>
    <col min="12551" max="12551" width="21.7109375" style="269" customWidth="1"/>
    <col min="12552" max="12552" width="13.5703125" style="269" customWidth="1"/>
    <col min="12553" max="12553" width="19.140625" style="269" customWidth="1"/>
    <col min="12554" max="12554" width="23" style="269" customWidth="1"/>
    <col min="12555" max="12556" width="11.42578125" style="269" customWidth="1"/>
    <col min="12557" max="12557" width="12" style="269" customWidth="1"/>
    <col min="12558" max="12560" width="11.42578125" style="269" customWidth="1"/>
    <col min="12561" max="12561" width="14" style="269" customWidth="1"/>
    <col min="12562" max="12562" width="14.85546875" style="269" customWidth="1"/>
    <col min="12563" max="12563" width="11.42578125" style="269" customWidth="1"/>
    <col min="12564" max="12564" width="13.28515625" style="269" customWidth="1"/>
    <col min="12565" max="12565" width="11.42578125" style="269" customWidth="1"/>
    <col min="12566" max="12566" width="19.85546875" style="269" customWidth="1"/>
    <col min="12567" max="12568" width="11.42578125" style="269" customWidth="1"/>
    <col min="12569" max="12569" width="16.28515625" style="269" customWidth="1"/>
    <col min="12570" max="12570" width="14.28515625" style="269" customWidth="1"/>
    <col min="12571" max="12571" width="9.140625" style="269" customWidth="1"/>
    <col min="12572" max="12572" width="17.28515625" style="269" customWidth="1"/>
    <col min="12573" max="12573" width="20.42578125" style="269" customWidth="1"/>
    <col min="12574" max="12574" width="17.5703125" style="269" customWidth="1"/>
    <col min="12575" max="12575" width="15.42578125" style="269" customWidth="1"/>
    <col min="12576" max="12576" width="12.85546875" style="269" customWidth="1"/>
    <col min="12577" max="12577" width="15.5703125" style="269" bestFit="1" customWidth="1"/>
    <col min="12578" max="12578" width="24.42578125" style="269" bestFit="1" customWidth="1"/>
    <col min="12579" max="12579" width="16" style="269" bestFit="1" customWidth="1"/>
    <col min="12580" max="12580" width="15.5703125" style="269" customWidth="1"/>
    <col min="12581" max="12724" width="11.42578125" style="269"/>
    <col min="12725" max="12725" width="11.42578125" style="269" customWidth="1"/>
    <col min="12726" max="12726" width="15.28515625" style="269" customWidth="1"/>
    <col min="12727" max="12728" width="12.5703125" style="269" customWidth="1"/>
    <col min="12729" max="12729" width="11.42578125" style="269" customWidth="1"/>
    <col min="12730" max="12730" width="9" style="269" customWidth="1"/>
    <col min="12731" max="12731" width="23.7109375" style="269" customWidth="1"/>
    <col min="12732" max="12732" width="27.7109375" style="269" customWidth="1"/>
    <col min="12733" max="12733" width="11.42578125" style="269" customWidth="1"/>
    <col min="12734" max="12734" width="2.7109375" style="269" customWidth="1"/>
    <col min="12735" max="12735" width="8.7109375" style="269" customWidth="1"/>
    <col min="12736" max="12736" width="23.7109375" style="269" customWidth="1"/>
    <col min="12737" max="12737" width="27.7109375" style="269" customWidth="1"/>
    <col min="12738" max="12750" width="11.42578125" style="269" customWidth="1"/>
    <col min="12751" max="12751" width="16.5703125" style="269" bestFit="1" customWidth="1"/>
    <col min="12752" max="12752" width="17" style="269" bestFit="1" customWidth="1"/>
    <col min="12753" max="12753" width="11.42578125" style="269" customWidth="1"/>
    <col min="12754" max="12754" width="15.5703125" style="269" customWidth="1"/>
    <col min="12755" max="12755" width="9.28515625" style="269" customWidth="1"/>
    <col min="12756" max="12756" width="12" style="269" customWidth="1"/>
    <col min="12757" max="12757" width="11.140625" style="269" customWidth="1"/>
    <col min="12758" max="12758" width="11.42578125" style="269" customWidth="1"/>
    <col min="12759" max="12759" width="8.140625" style="269" customWidth="1"/>
    <col min="12760" max="12760" width="13.28515625" style="269" customWidth="1"/>
    <col min="12761" max="12761" width="19.7109375" style="269" customWidth="1"/>
    <col min="12762" max="12762" width="14.140625" style="269" customWidth="1"/>
    <col min="12763" max="12763" width="14.85546875" style="269" customWidth="1"/>
    <col min="12764" max="12764" width="9.28515625" style="269" customWidth="1"/>
    <col min="12765" max="12765" width="16.85546875" style="269" customWidth="1"/>
    <col min="12766" max="12766" width="11.85546875" style="269" customWidth="1"/>
    <col min="12767" max="12767" width="21.5703125" style="269" customWidth="1"/>
    <col min="12768" max="12768" width="20.42578125" style="269" customWidth="1"/>
    <col min="12769" max="12769" width="22.28515625" style="269" customWidth="1"/>
    <col min="12770" max="12770" width="11.42578125" style="269" customWidth="1"/>
    <col min="12771" max="12771" width="18.5703125" style="269" customWidth="1"/>
    <col min="12772" max="12772" width="14.28515625" style="269" customWidth="1"/>
    <col min="12773" max="12773" width="12.7109375" style="269" customWidth="1"/>
    <col min="12774" max="12774" width="13.5703125" style="269" customWidth="1"/>
    <col min="12775" max="12775" width="22.5703125" style="269" customWidth="1"/>
    <col min="12776" max="12777" width="22.42578125" style="269" customWidth="1"/>
    <col min="12778" max="12778" width="23.140625" style="269" customWidth="1"/>
    <col min="12779" max="12779" width="11.42578125" style="269" customWidth="1"/>
    <col min="12780" max="12780" width="19.85546875" style="269" customWidth="1"/>
    <col min="12781" max="12781" width="11.42578125" style="269" customWidth="1"/>
    <col min="12782" max="12782" width="6.42578125" style="269" customWidth="1"/>
    <col min="12783" max="12783" width="14" style="269" customWidth="1"/>
    <col min="12784" max="12784" width="7.85546875" style="269" customWidth="1"/>
    <col min="12785" max="12791" width="11.42578125" style="269" customWidth="1"/>
    <col min="12792" max="12792" width="13.5703125" style="269" customWidth="1"/>
    <col min="12793" max="12793" width="17.42578125" style="269" customWidth="1"/>
    <col min="12794" max="12795" width="11.42578125" style="269" customWidth="1"/>
    <col min="12796" max="12796" width="20.7109375" style="269" customWidth="1"/>
    <col min="12797" max="12797" width="11.42578125" style="269" customWidth="1"/>
    <col min="12798" max="12798" width="13.42578125" style="269" customWidth="1"/>
    <col min="12799" max="12801" width="11.42578125" style="269" customWidth="1"/>
    <col min="12802" max="12802" width="15.42578125" style="269" customWidth="1"/>
    <col min="12803" max="12803" width="13.5703125" style="269" customWidth="1"/>
    <col min="12804" max="12804" width="20" style="269" customWidth="1"/>
    <col min="12805" max="12806" width="11.42578125" style="269" customWidth="1"/>
    <col min="12807" max="12807" width="21.7109375" style="269" customWidth="1"/>
    <col min="12808" max="12808" width="13.5703125" style="269" customWidth="1"/>
    <col min="12809" max="12809" width="19.140625" style="269" customWidth="1"/>
    <col min="12810" max="12810" width="23" style="269" customWidth="1"/>
    <col min="12811" max="12812" width="11.42578125" style="269" customWidth="1"/>
    <col min="12813" max="12813" width="12" style="269" customWidth="1"/>
    <col min="12814" max="12816" width="11.42578125" style="269" customWidth="1"/>
    <col min="12817" max="12817" width="14" style="269" customWidth="1"/>
    <col min="12818" max="12818" width="14.85546875" style="269" customWidth="1"/>
    <col min="12819" max="12819" width="11.42578125" style="269" customWidth="1"/>
    <col min="12820" max="12820" width="13.28515625" style="269" customWidth="1"/>
    <col min="12821" max="12821" width="11.42578125" style="269" customWidth="1"/>
    <col min="12822" max="12822" width="19.85546875" style="269" customWidth="1"/>
    <col min="12823" max="12824" width="11.42578125" style="269" customWidth="1"/>
    <col min="12825" max="12825" width="16.28515625" style="269" customWidth="1"/>
    <col min="12826" max="12826" width="14.28515625" style="269" customWidth="1"/>
    <col min="12827" max="12827" width="9.140625" style="269" customWidth="1"/>
    <col min="12828" max="12828" width="17.28515625" style="269" customWidth="1"/>
    <col min="12829" max="12829" width="20.42578125" style="269" customWidth="1"/>
    <col min="12830" max="12830" width="17.5703125" style="269" customWidth="1"/>
    <col min="12831" max="12831" width="15.42578125" style="269" customWidth="1"/>
    <col min="12832" max="12832" width="12.85546875" style="269" customWidth="1"/>
    <col min="12833" max="12833" width="15.5703125" style="269" bestFit="1" customWidth="1"/>
    <col min="12834" max="12834" width="24.42578125" style="269" bestFit="1" customWidth="1"/>
    <col min="12835" max="12835" width="16" style="269" bestFit="1" customWidth="1"/>
    <col min="12836" max="12836" width="15.5703125" style="269" customWidth="1"/>
    <col min="12837" max="12980" width="11.42578125" style="269"/>
    <col min="12981" max="12981" width="11.42578125" style="269" customWidth="1"/>
    <col min="12982" max="12982" width="15.28515625" style="269" customWidth="1"/>
    <col min="12983" max="12984" width="12.5703125" style="269" customWidth="1"/>
    <col min="12985" max="12985" width="11.42578125" style="269" customWidth="1"/>
    <col min="12986" max="12986" width="9" style="269" customWidth="1"/>
    <col min="12987" max="12987" width="23.7109375" style="269" customWidth="1"/>
    <col min="12988" max="12988" width="27.7109375" style="269" customWidth="1"/>
    <col min="12989" max="12989" width="11.42578125" style="269" customWidth="1"/>
    <col min="12990" max="12990" width="2.7109375" style="269" customWidth="1"/>
    <col min="12991" max="12991" width="8.7109375" style="269" customWidth="1"/>
    <col min="12992" max="12992" width="23.7109375" style="269" customWidth="1"/>
    <col min="12993" max="12993" width="27.7109375" style="269" customWidth="1"/>
    <col min="12994" max="13006" width="11.42578125" style="269" customWidth="1"/>
    <col min="13007" max="13007" width="16.5703125" style="269" bestFit="1" customWidth="1"/>
    <col min="13008" max="13008" width="17" style="269" bestFit="1" customWidth="1"/>
    <col min="13009" max="13009" width="11.42578125" style="269" customWidth="1"/>
    <col min="13010" max="13010" width="15.5703125" style="269" customWidth="1"/>
    <col min="13011" max="13011" width="9.28515625" style="269" customWidth="1"/>
    <col min="13012" max="13012" width="12" style="269" customWidth="1"/>
    <col min="13013" max="13013" width="11.140625" style="269" customWidth="1"/>
    <col min="13014" max="13014" width="11.42578125" style="269" customWidth="1"/>
    <col min="13015" max="13015" width="8.140625" style="269" customWidth="1"/>
    <col min="13016" max="13016" width="13.28515625" style="269" customWidth="1"/>
    <col min="13017" max="13017" width="19.7109375" style="269" customWidth="1"/>
    <col min="13018" max="13018" width="14.140625" style="269" customWidth="1"/>
    <col min="13019" max="13019" width="14.85546875" style="269" customWidth="1"/>
    <col min="13020" max="13020" width="9.28515625" style="269" customWidth="1"/>
    <col min="13021" max="13021" width="16.85546875" style="269" customWidth="1"/>
    <col min="13022" max="13022" width="11.85546875" style="269" customWidth="1"/>
    <col min="13023" max="13023" width="21.5703125" style="269" customWidth="1"/>
    <col min="13024" max="13024" width="20.42578125" style="269" customWidth="1"/>
    <col min="13025" max="13025" width="22.28515625" style="269" customWidth="1"/>
    <col min="13026" max="13026" width="11.42578125" style="269" customWidth="1"/>
    <col min="13027" max="13027" width="18.5703125" style="269" customWidth="1"/>
    <col min="13028" max="13028" width="14.28515625" style="269" customWidth="1"/>
    <col min="13029" max="13029" width="12.7109375" style="269" customWidth="1"/>
    <col min="13030" max="13030" width="13.5703125" style="269" customWidth="1"/>
    <col min="13031" max="13031" width="22.5703125" style="269" customWidth="1"/>
    <col min="13032" max="13033" width="22.42578125" style="269" customWidth="1"/>
    <col min="13034" max="13034" width="23.140625" style="269" customWidth="1"/>
    <col min="13035" max="13035" width="11.42578125" style="269" customWidth="1"/>
    <col min="13036" max="13036" width="19.85546875" style="269" customWidth="1"/>
    <col min="13037" max="13037" width="11.42578125" style="269" customWidth="1"/>
    <col min="13038" max="13038" width="6.42578125" style="269" customWidth="1"/>
    <col min="13039" max="13039" width="14" style="269" customWidth="1"/>
    <col min="13040" max="13040" width="7.85546875" style="269" customWidth="1"/>
    <col min="13041" max="13047" width="11.42578125" style="269" customWidth="1"/>
    <col min="13048" max="13048" width="13.5703125" style="269" customWidth="1"/>
    <col min="13049" max="13049" width="17.42578125" style="269" customWidth="1"/>
    <col min="13050" max="13051" width="11.42578125" style="269" customWidth="1"/>
    <col min="13052" max="13052" width="20.7109375" style="269" customWidth="1"/>
    <col min="13053" max="13053" width="11.42578125" style="269" customWidth="1"/>
    <col min="13054" max="13054" width="13.42578125" style="269" customWidth="1"/>
    <col min="13055" max="13057" width="11.42578125" style="269" customWidth="1"/>
    <col min="13058" max="13058" width="15.42578125" style="269" customWidth="1"/>
    <col min="13059" max="13059" width="13.5703125" style="269" customWidth="1"/>
    <col min="13060" max="13060" width="20" style="269" customWidth="1"/>
    <col min="13061" max="13062" width="11.42578125" style="269" customWidth="1"/>
    <col min="13063" max="13063" width="21.7109375" style="269" customWidth="1"/>
    <col min="13064" max="13064" width="13.5703125" style="269" customWidth="1"/>
    <col min="13065" max="13065" width="19.140625" style="269" customWidth="1"/>
    <col min="13066" max="13066" width="23" style="269" customWidth="1"/>
    <col min="13067" max="13068" width="11.42578125" style="269" customWidth="1"/>
    <col min="13069" max="13069" width="12" style="269" customWidth="1"/>
    <col min="13070" max="13072" width="11.42578125" style="269" customWidth="1"/>
    <col min="13073" max="13073" width="14" style="269" customWidth="1"/>
    <col min="13074" max="13074" width="14.85546875" style="269" customWidth="1"/>
    <col min="13075" max="13075" width="11.42578125" style="269" customWidth="1"/>
    <col min="13076" max="13076" width="13.28515625" style="269" customWidth="1"/>
    <col min="13077" max="13077" width="11.42578125" style="269" customWidth="1"/>
    <col min="13078" max="13078" width="19.85546875" style="269" customWidth="1"/>
    <col min="13079" max="13080" width="11.42578125" style="269" customWidth="1"/>
    <col min="13081" max="13081" width="16.28515625" style="269" customWidth="1"/>
    <col min="13082" max="13082" width="14.28515625" style="269" customWidth="1"/>
    <col min="13083" max="13083" width="9.140625" style="269" customWidth="1"/>
    <col min="13084" max="13084" width="17.28515625" style="269" customWidth="1"/>
    <col min="13085" max="13085" width="20.42578125" style="269" customWidth="1"/>
    <col min="13086" max="13086" width="17.5703125" style="269" customWidth="1"/>
    <col min="13087" max="13087" width="15.42578125" style="269" customWidth="1"/>
    <col min="13088" max="13088" width="12.85546875" style="269" customWidth="1"/>
    <col min="13089" max="13089" width="15.5703125" style="269" bestFit="1" customWidth="1"/>
    <col min="13090" max="13090" width="24.42578125" style="269" bestFit="1" customWidth="1"/>
    <col min="13091" max="13091" width="16" style="269" bestFit="1" customWidth="1"/>
    <col min="13092" max="13092" width="15.5703125" style="269" customWidth="1"/>
    <col min="13093" max="13236" width="11.42578125" style="269"/>
    <col min="13237" max="13237" width="11.42578125" style="269" customWidth="1"/>
    <col min="13238" max="13238" width="15.28515625" style="269" customWidth="1"/>
    <col min="13239" max="13240" width="12.5703125" style="269" customWidth="1"/>
    <col min="13241" max="13241" width="11.42578125" style="269" customWidth="1"/>
    <col min="13242" max="13242" width="9" style="269" customWidth="1"/>
    <col min="13243" max="13243" width="23.7109375" style="269" customWidth="1"/>
    <col min="13244" max="13244" width="27.7109375" style="269" customWidth="1"/>
    <col min="13245" max="13245" width="11.42578125" style="269" customWidth="1"/>
    <col min="13246" max="13246" width="2.7109375" style="269" customWidth="1"/>
    <col min="13247" max="13247" width="8.7109375" style="269" customWidth="1"/>
    <col min="13248" max="13248" width="23.7109375" style="269" customWidth="1"/>
    <col min="13249" max="13249" width="27.7109375" style="269" customWidth="1"/>
    <col min="13250" max="13262" width="11.42578125" style="269" customWidth="1"/>
    <col min="13263" max="13263" width="16.5703125" style="269" bestFit="1" customWidth="1"/>
    <col min="13264" max="13264" width="17" style="269" bestFit="1" customWidth="1"/>
    <col min="13265" max="13265" width="11.42578125" style="269" customWidth="1"/>
    <col min="13266" max="13266" width="15.5703125" style="269" customWidth="1"/>
    <col min="13267" max="13267" width="9.28515625" style="269" customWidth="1"/>
    <col min="13268" max="13268" width="12" style="269" customWidth="1"/>
    <col min="13269" max="13269" width="11.140625" style="269" customWidth="1"/>
    <col min="13270" max="13270" width="11.42578125" style="269" customWidth="1"/>
    <col min="13271" max="13271" width="8.140625" style="269" customWidth="1"/>
    <col min="13272" max="13272" width="13.28515625" style="269" customWidth="1"/>
    <col min="13273" max="13273" width="19.7109375" style="269" customWidth="1"/>
    <col min="13274" max="13274" width="14.140625" style="269" customWidth="1"/>
    <col min="13275" max="13275" width="14.85546875" style="269" customWidth="1"/>
    <col min="13276" max="13276" width="9.28515625" style="269" customWidth="1"/>
    <col min="13277" max="13277" width="16.85546875" style="269" customWidth="1"/>
    <col min="13278" max="13278" width="11.85546875" style="269" customWidth="1"/>
    <col min="13279" max="13279" width="21.5703125" style="269" customWidth="1"/>
    <col min="13280" max="13280" width="20.42578125" style="269" customWidth="1"/>
    <col min="13281" max="13281" width="22.28515625" style="269" customWidth="1"/>
    <col min="13282" max="13282" width="11.42578125" style="269" customWidth="1"/>
    <col min="13283" max="13283" width="18.5703125" style="269" customWidth="1"/>
    <col min="13284" max="13284" width="14.28515625" style="269" customWidth="1"/>
    <col min="13285" max="13285" width="12.7109375" style="269" customWidth="1"/>
    <col min="13286" max="13286" width="13.5703125" style="269" customWidth="1"/>
    <col min="13287" max="13287" width="22.5703125" style="269" customWidth="1"/>
    <col min="13288" max="13289" width="22.42578125" style="269" customWidth="1"/>
    <col min="13290" max="13290" width="23.140625" style="269" customWidth="1"/>
    <col min="13291" max="13291" width="11.42578125" style="269" customWidth="1"/>
    <col min="13292" max="13292" width="19.85546875" style="269" customWidth="1"/>
    <col min="13293" max="13293" width="11.42578125" style="269" customWidth="1"/>
    <col min="13294" max="13294" width="6.42578125" style="269" customWidth="1"/>
    <col min="13295" max="13295" width="14" style="269" customWidth="1"/>
    <col min="13296" max="13296" width="7.85546875" style="269" customWidth="1"/>
    <col min="13297" max="13303" width="11.42578125" style="269" customWidth="1"/>
    <col min="13304" max="13304" width="13.5703125" style="269" customWidth="1"/>
    <col min="13305" max="13305" width="17.42578125" style="269" customWidth="1"/>
    <col min="13306" max="13307" width="11.42578125" style="269" customWidth="1"/>
    <col min="13308" max="13308" width="20.7109375" style="269" customWidth="1"/>
    <col min="13309" max="13309" width="11.42578125" style="269" customWidth="1"/>
    <col min="13310" max="13310" width="13.42578125" style="269" customWidth="1"/>
    <col min="13311" max="13313" width="11.42578125" style="269" customWidth="1"/>
    <col min="13314" max="13314" width="15.42578125" style="269" customWidth="1"/>
    <col min="13315" max="13315" width="13.5703125" style="269" customWidth="1"/>
    <col min="13316" max="13316" width="20" style="269" customWidth="1"/>
    <col min="13317" max="13318" width="11.42578125" style="269" customWidth="1"/>
    <col min="13319" max="13319" width="21.7109375" style="269" customWidth="1"/>
    <col min="13320" max="13320" width="13.5703125" style="269" customWidth="1"/>
    <col min="13321" max="13321" width="19.140625" style="269" customWidth="1"/>
    <col min="13322" max="13322" width="23" style="269" customWidth="1"/>
    <col min="13323" max="13324" width="11.42578125" style="269" customWidth="1"/>
    <col min="13325" max="13325" width="12" style="269" customWidth="1"/>
    <col min="13326" max="13328" width="11.42578125" style="269" customWidth="1"/>
    <col min="13329" max="13329" width="14" style="269" customWidth="1"/>
    <col min="13330" max="13330" width="14.85546875" style="269" customWidth="1"/>
    <col min="13331" max="13331" width="11.42578125" style="269" customWidth="1"/>
    <col min="13332" max="13332" width="13.28515625" style="269" customWidth="1"/>
    <col min="13333" max="13333" width="11.42578125" style="269" customWidth="1"/>
    <col min="13334" max="13334" width="19.85546875" style="269" customWidth="1"/>
    <col min="13335" max="13336" width="11.42578125" style="269" customWidth="1"/>
    <col min="13337" max="13337" width="16.28515625" style="269" customWidth="1"/>
    <col min="13338" max="13338" width="14.28515625" style="269" customWidth="1"/>
    <col min="13339" max="13339" width="9.140625" style="269" customWidth="1"/>
    <col min="13340" max="13340" width="17.28515625" style="269" customWidth="1"/>
    <col min="13341" max="13341" width="20.42578125" style="269" customWidth="1"/>
    <col min="13342" max="13342" width="17.5703125" style="269" customWidth="1"/>
    <col min="13343" max="13343" width="15.42578125" style="269" customWidth="1"/>
    <col min="13344" max="13344" width="12.85546875" style="269" customWidth="1"/>
    <col min="13345" max="13345" width="15.5703125" style="269" bestFit="1" customWidth="1"/>
    <col min="13346" max="13346" width="24.42578125" style="269" bestFit="1" customWidth="1"/>
    <col min="13347" max="13347" width="16" style="269" bestFit="1" customWidth="1"/>
    <col min="13348" max="13348" width="15.5703125" style="269" customWidth="1"/>
    <col min="13349" max="13492" width="11.42578125" style="269"/>
    <col min="13493" max="13493" width="11.42578125" style="269" customWidth="1"/>
    <col min="13494" max="13494" width="15.28515625" style="269" customWidth="1"/>
    <col min="13495" max="13496" width="12.5703125" style="269" customWidth="1"/>
    <col min="13497" max="13497" width="11.42578125" style="269" customWidth="1"/>
    <col min="13498" max="13498" width="9" style="269" customWidth="1"/>
    <col min="13499" max="13499" width="23.7109375" style="269" customWidth="1"/>
    <col min="13500" max="13500" width="27.7109375" style="269" customWidth="1"/>
    <col min="13501" max="13501" width="11.42578125" style="269" customWidth="1"/>
    <col min="13502" max="13502" width="2.7109375" style="269" customWidth="1"/>
    <col min="13503" max="13503" width="8.7109375" style="269" customWidth="1"/>
    <col min="13504" max="13504" width="23.7109375" style="269" customWidth="1"/>
    <col min="13505" max="13505" width="27.7109375" style="269" customWidth="1"/>
    <col min="13506" max="13518" width="11.42578125" style="269" customWidth="1"/>
    <col min="13519" max="13519" width="16.5703125" style="269" bestFit="1" customWidth="1"/>
    <col min="13520" max="13520" width="17" style="269" bestFit="1" customWidth="1"/>
    <col min="13521" max="13521" width="11.42578125" style="269" customWidth="1"/>
    <col min="13522" max="13522" width="15.5703125" style="269" customWidth="1"/>
    <col min="13523" max="13523" width="9.28515625" style="269" customWidth="1"/>
    <col min="13524" max="13524" width="12" style="269" customWidth="1"/>
    <col min="13525" max="13525" width="11.140625" style="269" customWidth="1"/>
    <col min="13526" max="13526" width="11.42578125" style="269" customWidth="1"/>
    <col min="13527" max="13527" width="8.140625" style="269" customWidth="1"/>
    <col min="13528" max="13528" width="13.28515625" style="269" customWidth="1"/>
    <col min="13529" max="13529" width="19.7109375" style="269" customWidth="1"/>
    <col min="13530" max="13530" width="14.140625" style="269" customWidth="1"/>
    <col min="13531" max="13531" width="14.85546875" style="269" customWidth="1"/>
    <col min="13532" max="13532" width="9.28515625" style="269" customWidth="1"/>
    <col min="13533" max="13533" width="16.85546875" style="269" customWidth="1"/>
    <col min="13534" max="13534" width="11.85546875" style="269" customWidth="1"/>
    <col min="13535" max="13535" width="21.5703125" style="269" customWidth="1"/>
    <col min="13536" max="13536" width="20.42578125" style="269" customWidth="1"/>
    <col min="13537" max="13537" width="22.28515625" style="269" customWidth="1"/>
    <col min="13538" max="13538" width="11.42578125" style="269" customWidth="1"/>
    <col min="13539" max="13539" width="18.5703125" style="269" customWidth="1"/>
    <col min="13540" max="13540" width="14.28515625" style="269" customWidth="1"/>
    <col min="13541" max="13541" width="12.7109375" style="269" customWidth="1"/>
    <col min="13542" max="13542" width="13.5703125" style="269" customWidth="1"/>
    <col min="13543" max="13543" width="22.5703125" style="269" customWidth="1"/>
    <col min="13544" max="13545" width="22.42578125" style="269" customWidth="1"/>
    <col min="13546" max="13546" width="23.140625" style="269" customWidth="1"/>
    <col min="13547" max="13547" width="11.42578125" style="269" customWidth="1"/>
    <col min="13548" max="13548" width="19.85546875" style="269" customWidth="1"/>
    <col min="13549" max="13549" width="11.42578125" style="269" customWidth="1"/>
    <col min="13550" max="13550" width="6.42578125" style="269" customWidth="1"/>
    <col min="13551" max="13551" width="14" style="269" customWidth="1"/>
    <col min="13552" max="13552" width="7.85546875" style="269" customWidth="1"/>
    <col min="13553" max="13559" width="11.42578125" style="269" customWidth="1"/>
    <col min="13560" max="13560" width="13.5703125" style="269" customWidth="1"/>
    <col min="13561" max="13561" width="17.42578125" style="269" customWidth="1"/>
    <col min="13562" max="13563" width="11.42578125" style="269" customWidth="1"/>
    <col min="13564" max="13564" width="20.7109375" style="269" customWidth="1"/>
    <col min="13565" max="13565" width="11.42578125" style="269" customWidth="1"/>
    <col min="13566" max="13566" width="13.42578125" style="269" customWidth="1"/>
    <col min="13567" max="13569" width="11.42578125" style="269" customWidth="1"/>
    <col min="13570" max="13570" width="15.42578125" style="269" customWidth="1"/>
    <col min="13571" max="13571" width="13.5703125" style="269" customWidth="1"/>
    <col min="13572" max="13572" width="20" style="269" customWidth="1"/>
    <col min="13573" max="13574" width="11.42578125" style="269" customWidth="1"/>
    <col min="13575" max="13575" width="21.7109375" style="269" customWidth="1"/>
    <col min="13576" max="13576" width="13.5703125" style="269" customWidth="1"/>
    <col min="13577" max="13577" width="19.140625" style="269" customWidth="1"/>
    <col min="13578" max="13578" width="23" style="269" customWidth="1"/>
    <col min="13579" max="13580" width="11.42578125" style="269" customWidth="1"/>
    <col min="13581" max="13581" width="12" style="269" customWidth="1"/>
    <col min="13582" max="13584" width="11.42578125" style="269" customWidth="1"/>
    <col min="13585" max="13585" width="14" style="269" customWidth="1"/>
    <col min="13586" max="13586" width="14.85546875" style="269" customWidth="1"/>
    <col min="13587" max="13587" width="11.42578125" style="269" customWidth="1"/>
    <col min="13588" max="13588" width="13.28515625" style="269" customWidth="1"/>
    <col min="13589" max="13589" width="11.42578125" style="269" customWidth="1"/>
    <col min="13590" max="13590" width="19.85546875" style="269" customWidth="1"/>
    <col min="13591" max="13592" width="11.42578125" style="269" customWidth="1"/>
    <col min="13593" max="13593" width="16.28515625" style="269" customWidth="1"/>
    <col min="13594" max="13594" width="14.28515625" style="269" customWidth="1"/>
    <col min="13595" max="13595" width="9.140625" style="269" customWidth="1"/>
    <col min="13596" max="13596" width="17.28515625" style="269" customWidth="1"/>
    <col min="13597" max="13597" width="20.42578125" style="269" customWidth="1"/>
    <col min="13598" max="13598" width="17.5703125" style="269" customWidth="1"/>
    <col min="13599" max="13599" width="15.42578125" style="269" customWidth="1"/>
    <col min="13600" max="13600" width="12.85546875" style="269" customWidth="1"/>
    <col min="13601" max="13601" width="15.5703125" style="269" bestFit="1" customWidth="1"/>
    <col min="13602" max="13602" width="24.42578125" style="269" bestFit="1" customWidth="1"/>
    <col min="13603" max="13603" width="16" style="269" bestFit="1" customWidth="1"/>
    <col min="13604" max="13604" width="15.5703125" style="269" customWidth="1"/>
    <col min="13605" max="13748" width="11.42578125" style="269"/>
    <col min="13749" max="13749" width="11.42578125" style="269" customWidth="1"/>
    <col min="13750" max="13750" width="15.28515625" style="269" customWidth="1"/>
    <col min="13751" max="13752" width="12.5703125" style="269" customWidth="1"/>
    <col min="13753" max="13753" width="11.42578125" style="269" customWidth="1"/>
    <col min="13754" max="13754" width="9" style="269" customWidth="1"/>
    <col min="13755" max="13755" width="23.7109375" style="269" customWidth="1"/>
    <col min="13756" max="13756" width="27.7109375" style="269" customWidth="1"/>
    <col min="13757" max="13757" width="11.42578125" style="269" customWidth="1"/>
    <col min="13758" max="13758" width="2.7109375" style="269" customWidth="1"/>
    <col min="13759" max="13759" width="8.7109375" style="269" customWidth="1"/>
    <col min="13760" max="13760" width="23.7109375" style="269" customWidth="1"/>
    <col min="13761" max="13761" width="27.7109375" style="269" customWidth="1"/>
    <col min="13762" max="13774" width="11.42578125" style="269" customWidth="1"/>
    <col min="13775" max="13775" width="16.5703125" style="269" bestFit="1" customWidth="1"/>
    <col min="13776" max="13776" width="17" style="269" bestFit="1" customWidth="1"/>
    <col min="13777" max="13777" width="11.42578125" style="269" customWidth="1"/>
    <col min="13778" max="13778" width="15.5703125" style="269" customWidth="1"/>
    <col min="13779" max="13779" width="9.28515625" style="269" customWidth="1"/>
    <col min="13780" max="13780" width="12" style="269" customWidth="1"/>
    <col min="13781" max="13781" width="11.140625" style="269" customWidth="1"/>
    <col min="13782" max="13782" width="11.42578125" style="269" customWidth="1"/>
    <col min="13783" max="13783" width="8.140625" style="269" customWidth="1"/>
    <col min="13784" max="13784" width="13.28515625" style="269" customWidth="1"/>
    <col min="13785" max="13785" width="19.7109375" style="269" customWidth="1"/>
    <col min="13786" max="13786" width="14.140625" style="269" customWidth="1"/>
    <col min="13787" max="13787" width="14.85546875" style="269" customWidth="1"/>
    <col min="13788" max="13788" width="9.28515625" style="269" customWidth="1"/>
    <col min="13789" max="13789" width="16.85546875" style="269" customWidth="1"/>
    <col min="13790" max="13790" width="11.85546875" style="269" customWidth="1"/>
    <col min="13791" max="13791" width="21.5703125" style="269" customWidth="1"/>
    <col min="13792" max="13792" width="20.42578125" style="269" customWidth="1"/>
    <col min="13793" max="13793" width="22.28515625" style="269" customWidth="1"/>
    <col min="13794" max="13794" width="11.42578125" style="269" customWidth="1"/>
    <col min="13795" max="13795" width="18.5703125" style="269" customWidth="1"/>
    <col min="13796" max="13796" width="14.28515625" style="269" customWidth="1"/>
    <col min="13797" max="13797" width="12.7109375" style="269" customWidth="1"/>
    <col min="13798" max="13798" width="13.5703125" style="269" customWidth="1"/>
    <col min="13799" max="13799" width="22.5703125" style="269" customWidth="1"/>
    <col min="13800" max="13801" width="22.42578125" style="269" customWidth="1"/>
    <col min="13802" max="13802" width="23.140625" style="269" customWidth="1"/>
    <col min="13803" max="13803" width="11.42578125" style="269" customWidth="1"/>
    <col min="13804" max="13804" width="19.85546875" style="269" customWidth="1"/>
    <col min="13805" max="13805" width="11.42578125" style="269" customWidth="1"/>
    <col min="13806" max="13806" width="6.42578125" style="269" customWidth="1"/>
    <col min="13807" max="13807" width="14" style="269" customWidth="1"/>
    <col min="13808" max="13808" width="7.85546875" style="269" customWidth="1"/>
    <col min="13809" max="13815" width="11.42578125" style="269" customWidth="1"/>
    <col min="13816" max="13816" width="13.5703125" style="269" customWidth="1"/>
    <col min="13817" max="13817" width="17.42578125" style="269" customWidth="1"/>
    <col min="13818" max="13819" width="11.42578125" style="269" customWidth="1"/>
    <col min="13820" max="13820" width="20.7109375" style="269" customWidth="1"/>
    <col min="13821" max="13821" width="11.42578125" style="269" customWidth="1"/>
    <col min="13822" max="13822" width="13.42578125" style="269" customWidth="1"/>
    <col min="13823" max="13825" width="11.42578125" style="269" customWidth="1"/>
    <col min="13826" max="13826" width="15.42578125" style="269" customWidth="1"/>
    <col min="13827" max="13827" width="13.5703125" style="269" customWidth="1"/>
    <col min="13828" max="13828" width="20" style="269" customWidth="1"/>
    <col min="13829" max="13830" width="11.42578125" style="269" customWidth="1"/>
    <col min="13831" max="13831" width="21.7109375" style="269" customWidth="1"/>
    <col min="13832" max="13832" width="13.5703125" style="269" customWidth="1"/>
    <col min="13833" max="13833" width="19.140625" style="269" customWidth="1"/>
    <col min="13834" max="13834" width="23" style="269" customWidth="1"/>
    <col min="13835" max="13836" width="11.42578125" style="269" customWidth="1"/>
    <col min="13837" max="13837" width="12" style="269" customWidth="1"/>
    <col min="13838" max="13840" width="11.42578125" style="269" customWidth="1"/>
    <col min="13841" max="13841" width="14" style="269" customWidth="1"/>
    <col min="13842" max="13842" width="14.85546875" style="269" customWidth="1"/>
    <col min="13843" max="13843" width="11.42578125" style="269" customWidth="1"/>
    <col min="13844" max="13844" width="13.28515625" style="269" customWidth="1"/>
    <col min="13845" max="13845" width="11.42578125" style="269" customWidth="1"/>
    <col min="13846" max="13846" width="19.85546875" style="269" customWidth="1"/>
    <col min="13847" max="13848" width="11.42578125" style="269" customWidth="1"/>
    <col min="13849" max="13849" width="16.28515625" style="269" customWidth="1"/>
    <col min="13850" max="13850" width="14.28515625" style="269" customWidth="1"/>
    <col min="13851" max="13851" width="9.140625" style="269" customWidth="1"/>
    <col min="13852" max="13852" width="17.28515625" style="269" customWidth="1"/>
    <col min="13853" max="13853" width="20.42578125" style="269" customWidth="1"/>
    <col min="13854" max="13854" width="17.5703125" style="269" customWidth="1"/>
    <col min="13855" max="13855" width="15.42578125" style="269" customWidth="1"/>
    <col min="13856" max="13856" width="12.85546875" style="269" customWidth="1"/>
    <col min="13857" max="13857" width="15.5703125" style="269" bestFit="1" customWidth="1"/>
    <col min="13858" max="13858" width="24.42578125" style="269" bestFit="1" customWidth="1"/>
    <col min="13859" max="13859" width="16" style="269" bestFit="1" customWidth="1"/>
    <col min="13860" max="13860" width="15.5703125" style="269" customWidth="1"/>
    <col min="13861" max="14004" width="11.42578125" style="269"/>
    <col min="14005" max="14005" width="11.42578125" style="269" customWidth="1"/>
    <col min="14006" max="14006" width="15.28515625" style="269" customWidth="1"/>
    <col min="14007" max="14008" width="12.5703125" style="269" customWidth="1"/>
    <col min="14009" max="14009" width="11.42578125" style="269" customWidth="1"/>
    <col min="14010" max="14010" width="9" style="269" customWidth="1"/>
    <col min="14011" max="14011" width="23.7109375" style="269" customWidth="1"/>
    <col min="14012" max="14012" width="27.7109375" style="269" customWidth="1"/>
    <col min="14013" max="14013" width="11.42578125" style="269" customWidth="1"/>
    <col min="14014" max="14014" width="2.7109375" style="269" customWidth="1"/>
    <col min="14015" max="14015" width="8.7109375" style="269" customWidth="1"/>
    <col min="14016" max="14016" width="23.7109375" style="269" customWidth="1"/>
    <col min="14017" max="14017" width="27.7109375" style="269" customWidth="1"/>
    <col min="14018" max="14030" width="11.42578125" style="269" customWidth="1"/>
    <col min="14031" max="14031" width="16.5703125" style="269" bestFit="1" customWidth="1"/>
    <col min="14032" max="14032" width="17" style="269" bestFit="1" customWidth="1"/>
    <col min="14033" max="14033" width="11.42578125" style="269" customWidth="1"/>
    <col min="14034" max="14034" width="15.5703125" style="269" customWidth="1"/>
    <col min="14035" max="14035" width="9.28515625" style="269" customWidth="1"/>
    <col min="14036" max="14036" width="12" style="269" customWidth="1"/>
    <col min="14037" max="14037" width="11.140625" style="269" customWidth="1"/>
    <col min="14038" max="14038" width="11.42578125" style="269" customWidth="1"/>
    <col min="14039" max="14039" width="8.140625" style="269" customWidth="1"/>
    <col min="14040" max="14040" width="13.28515625" style="269" customWidth="1"/>
    <col min="14041" max="14041" width="19.7109375" style="269" customWidth="1"/>
    <col min="14042" max="14042" width="14.140625" style="269" customWidth="1"/>
    <col min="14043" max="14043" width="14.85546875" style="269" customWidth="1"/>
    <col min="14044" max="14044" width="9.28515625" style="269" customWidth="1"/>
    <col min="14045" max="14045" width="16.85546875" style="269" customWidth="1"/>
    <col min="14046" max="14046" width="11.85546875" style="269" customWidth="1"/>
    <col min="14047" max="14047" width="21.5703125" style="269" customWidth="1"/>
    <col min="14048" max="14048" width="20.42578125" style="269" customWidth="1"/>
    <col min="14049" max="14049" width="22.28515625" style="269" customWidth="1"/>
    <col min="14050" max="14050" width="11.42578125" style="269" customWidth="1"/>
    <col min="14051" max="14051" width="18.5703125" style="269" customWidth="1"/>
    <col min="14052" max="14052" width="14.28515625" style="269" customWidth="1"/>
    <col min="14053" max="14053" width="12.7109375" style="269" customWidth="1"/>
    <col min="14054" max="14054" width="13.5703125" style="269" customWidth="1"/>
    <col min="14055" max="14055" width="22.5703125" style="269" customWidth="1"/>
    <col min="14056" max="14057" width="22.42578125" style="269" customWidth="1"/>
    <col min="14058" max="14058" width="23.140625" style="269" customWidth="1"/>
    <col min="14059" max="14059" width="11.42578125" style="269" customWidth="1"/>
    <col min="14060" max="14060" width="19.85546875" style="269" customWidth="1"/>
    <col min="14061" max="14061" width="11.42578125" style="269" customWidth="1"/>
    <col min="14062" max="14062" width="6.42578125" style="269" customWidth="1"/>
    <col min="14063" max="14063" width="14" style="269" customWidth="1"/>
    <col min="14064" max="14064" width="7.85546875" style="269" customWidth="1"/>
    <col min="14065" max="14071" width="11.42578125" style="269" customWidth="1"/>
    <col min="14072" max="14072" width="13.5703125" style="269" customWidth="1"/>
    <col min="14073" max="14073" width="17.42578125" style="269" customWidth="1"/>
    <col min="14074" max="14075" width="11.42578125" style="269" customWidth="1"/>
    <col min="14076" max="14076" width="20.7109375" style="269" customWidth="1"/>
    <col min="14077" max="14077" width="11.42578125" style="269" customWidth="1"/>
    <col min="14078" max="14078" width="13.42578125" style="269" customWidth="1"/>
    <col min="14079" max="14081" width="11.42578125" style="269" customWidth="1"/>
    <col min="14082" max="14082" width="15.42578125" style="269" customWidth="1"/>
    <col min="14083" max="14083" width="13.5703125" style="269" customWidth="1"/>
    <col min="14084" max="14084" width="20" style="269" customWidth="1"/>
    <col min="14085" max="14086" width="11.42578125" style="269" customWidth="1"/>
    <col min="14087" max="14087" width="21.7109375" style="269" customWidth="1"/>
    <col min="14088" max="14088" width="13.5703125" style="269" customWidth="1"/>
    <col min="14089" max="14089" width="19.140625" style="269" customWidth="1"/>
    <col min="14090" max="14090" width="23" style="269" customWidth="1"/>
    <col min="14091" max="14092" width="11.42578125" style="269" customWidth="1"/>
    <col min="14093" max="14093" width="12" style="269" customWidth="1"/>
    <col min="14094" max="14096" width="11.42578125" style="269" customWidth="1"/>
    <col min="14097" max="14097" width="14" style="269" customWidth="1"/>
    <col min="14098" max="14098" width="14.85546875" style="269" customWidth="1"/>
    <col min="14099" max="14099" width="11.42578125" style="269" customWidth="1"/>
    <col min="14100" max="14100" width="13.28515625" style="269" customWidth="1"/>
    <col min="14101" max="14101" width="11.42578125" style="269" customWidth="1"/>
    <col min="14102" max="14102" width="19.85546875" style="269" customWidth="1"/>
    <col min="14103" max="14104" width="11.42578125" style="269" customWidth="1"/>
    <col min="14105" max="14105" width="16.28515625" style="269" customWidth="1"/>
    <col min="14106" max="14106" width="14.28515625" style="269" customWidth="1"/>
    <col min="14107" max="14107" width="9.140625" style="269" customWidth="1"/>
    <col min="14108" max="14108" width="17.28515625" style="269" customWidth="1"/>
    <col min="14109" max="14109" width="20.42578125" style="269" customWidth="1"/>
    <col min="14110" max="14110" width="17.5703125" style="269" customWidth="1"/>
    <col min="14111" max="14111" width="15.42578125" style="269" customWidth="1"/>
    <col min="14112" max="14112" width="12.85546875" style="269" customWidth="1"/>
    <col min="14113" max="14113" width="15.5703125" style="269" bestFit="1" customWidth="1"/>
    <col min="14114" max="14114" width="24.42578125" style="269" bestFit="1" customWidth="1"/>
    <col min="14115" max="14115" width="16" style="269" bestFit="1" customWidth="1"/>
    <col min="14116" max="14116" width="15.5703125" style="269" customWidth="1"/>
    <col min="14117" max="14260" width="11.42578125" style="269"/>
    <col min="14261" max="14261" width="11.42578125" style="269" customWidth="1"/>
    <col min="14262" max="14262" width="15.28515625" style="269" customWidth="1"/>
    <col min="14263" max="14264" width="12.5703125" style="269" customWidth="1"/>
    <col min="14265" max="14265" width="11.42578125" style="269" customWidth="1"/>
    <col min="14266" max="14266" width="9" style="269" customWidth="1"/>
    <col min="14267" max="14267" width="23.7109375" style="269" customWidth="1"/>
    <col min="14268" max="14268" width="27.7109375" style="269" customWidth="1"/>
    <col min="14269" max="14269" width="11.42578125" style="269" customWidth="1"/>
    <col min="14270" max="14270" width="2.7109375" style="269" customWidth="1"/>
    <col min="14271" max="14271" width="8.7109375" style="269" customWidth="1"/>
    <col min="14272" max="14272" width="23.7109375" style="269" customWidth="1"/>
    <col min="14273" max="14273" width="27.7109375" style="269" customWidth="1"/>
    <col min="14274" max="14286" width="11.42578125" style="269" customWidth="1"/>
    <col min="14287" max="14287" width="16.5703125" style="269" bestFit="1" customWidth="1"/>
    <col min="14288" max="14288" width="17" style="269" bestFit="1" customWidth="1"/>
    <col min="14289" max="14289" width="11.42578125" style="269" customWidth="1"/>
    <col min="14290" max="14290" width="15.5703125" style="269" customWidth="1"/>
    <col min="14291" max="14291" width="9.28515625" style="269" customWidth="1"/>
    <col min="14292" max="14292" width="12" style="269" customWidth="1"/>
    <col min="14293" max="14293" width="11.140625" style="269" customWidth="1"/>
    <col min="14294" max="14294" width="11.42578125" style="269" customWidth="1"/>
    <col min="14295" max="14295" width="8.140625" style="269" customWidth="1"/>
    <col min="14296" max="14296" width="13.28515625" style="269" customWidth="1"/>
    <col min="14297" max="14297" width="19.7109375" style="269" customWidth="1"/>
    <col min="14298" max="14298" width="14.140625" style="269" customWidth="1"/>
    <col min="14299" max="14299" width="14.85546875" style="269" customWidth="1"/>
    <col min="14300" max="14300" width="9.28515625" style="269" customWidth="1"/>
    <col min="14301" max="14301" width="16.85546875" style="269" customWidth="1"/>
    <col min="14302" max="14302" width="11.85546875" style="269" customWidth="1"/>
    <col min="14303" max="14303" width="21.5703125" style="269" customWidth="1"/>
    <col min="14304" max="14304" width="20.42578125" style="269" customWidth="1"/>
    <col min="14305" max="14305" width="22.28515625" style="269" customWidth="1"/>
    <col min="14306" max="14306" width="11.42578125" style="269" customWidth="1"/>
    <col min="14307" max="14307" width="18.5703125" style="269" customWidth="1"/>
    <col min="14308" max="14308" width="14.28515625" style="269" customWidth="1"/>
    <col min="14309" max="14309" width="12.7109375" style="269" customWidth="1"/>
    <col min="14310" max="14310" width="13.5703125" style="269" customWidth="1"/>
    <col min="14311" max="14311" width="22.5703125" style="269" customWidth="1"/>
    <col min="14312" max="14313" width="22.42578125" style="269" customWidth="1"/>
    <col min="14314" max="14314" width="23.140625" style="269" customWidth="1"/>
    <col min="14315" max="14315" width="11.42578125" style="269" customWidth="1"/>
    <col min="14316" max="14316" width="19.85546875" style="269" customWidth="1"/>
    <col min="14317" max="14317" width="11.42578125" style="269" customWidth="1"/>
    <col min="14318" max="14318" width="6.42578125" style="269" customWidth="1"/>
    <col min="14319" max="14319" width="14" style="269" customWidth="1"/>
    <col min="14320" max="14320" width="7.85546875" style="269" customWidth="1"/>
    <col min="14321" max="14327" width="11.42578125" style="269" customWidth="1"/>
    <col min="14328" max="14328" width="13.5703125" style="269" customWidth="1"/>
    <col min="14329" max="14329" width="17.42578125" style="269" customWidth="1"/>
    <col min="14330" max="14331" width="11.42578125" style="269" customWidth="1"/>
    <col min="14332" max="14332" width="20.7109375" style="269" customWidth="1"/>
    <col min="14333" max="14333" width="11.42578125" style="269" customWidth="1"/>
    <col min="14334" max="14334" width="13.42578125" style="269" customWidth="1"/>
    <col min="14335" max="14337" width="11.42578125" style="269" customWidth="1"/>
    <col min="14338" max="14338" width="15.42578125" style="269" customWidth="1"/>
    <col min="14339" max="14339" width="13.5703125" style="269" customWidth="1"/>
    <col min="14340" max="14340" width="20" style="269" customWidth="1"/>
    <col min="14341" max="14342" width="11.42578125" style="269" customWidth="1"/>
    <col min="14343" max="14343" width="21.7109375" style="269" customWidth="1"/>
    <col min="14344" max="14344" width="13.5703125" style="269" customWidth="1"/>
    <col min="14345" max="14345" width="19.140625" style="269" customWidth="1"/>
    <col min="14346" max="14346" width="23" style="269" customWidth="1"/>
    <col min="14347" max="14348" width="11.42578125" style="269" customWidth="1"/>
    <col min="14349" max="14349" width="12" style="269" customWidth="1"/>
    <col min="14350" max="14352" width="11.42578125" style="269" customWidth="1"/>
    <col min="14353" max="14353" width="14" style="269" customWidth="1"/>
    <col min="14354" max="14354" width="14.85546875" style="269" customWidth="1"/>
    <col min="14355" max="14355" width="11.42578125" style="269" customWidth="1"/>
    <col min="14356" max="14356" width="13.28515625" style="269" customWidth="1"/>
    <col min="14357" max="14357" width="11.42578125" style="269" customWidth="1"/>
    <col min="14358" max="14358" width="19.85546875" style="269" customWidth="1"/>
    <col min="14359" max="14360" width="11.42578125" style="269" customWidth="1"/>
    <col min="14361" max="14361" width="16.28515625" style="269" customWidth="1"/>
    <col min="14362" max="14362" width="14.28515625" style="269" customWidth="1"/>
    <col min="14363" max="14363" width="9.140625" style="269" customWidth="1"/>
    <col min="14364" max="14364" width="17.28515625" style="269" customWidth="1"/>
    <col min="14365" max="14365" width="20.42578125" style="269" customWidth="1"/>
    <col min="14366" max="14366" width="17.5703125" style="269" customWidth="1"/>
    <col min="14367" max="14367" width="15.42578125" style="269" customWidth="1"/>
    <col min="14368" max="14368" width="12.85546875" style="269" customWidth="1"/>
    <col min="14369" max="14369" width="15.5703125" style="269" bestFit="1" customWidth="1"/>
    <col min="14370" max="14370" width="24.42578125" style="269" bestFit="1" customWidth="1"/>
    <col min="14371" max="14371" width="16" style="269" bestFit="1" customWidth="1"/>
    <col min="14372" max="14372" width="15.5703125" style="269" customWidth="1"/>
    <col min="14373" max="14516" width="11.42578125" style="269"/>
    <col min="14517" max="14517" width="11.42578125" style="269" customWidth="1"/>
    <col min="14518" max="14518" width="15.28515625" style="269" customWidth="1"/>
    <col min="14519" max="14520" width="12.5703125" style="269" customWidth="1"/>
    <col min="14521" max="14521" width="11.42578125" style="269" customWidth="1"/>
    <col min="14522" max="14522" width="9" style="269" customWidth="1"/>
    <col min="14523" max="14523" width="23.7109375" style="269" customWidth="1"/>
    <col min="14524" max="14524" width="27.7109375" style="269" customWidth="1"/>
    <col min="14525" max="14525" width="11.42578125" style="269" customWidth="1"/>
    <col min="14526" max="14526" width="2.7109375" style="269" customWidth="1"/>
    <col min="14527" max="14527" width="8.7109375" style="269" customWidth="1"/>
    <col min="14528" max="14528" width="23.7109375" style="269" customWidth="1"/>
    <col min="14529" max="14529" width="27.7109375" style="269" customWidth="1"/>
    <col min="14530" max="14542" width="11.42578125" style="269" customWidth="1"/>
    <col min="14543" max="14543" width="16.5703125" style="269" bestFit="1" customWidth="1"/>
    <col min="14544" max="14544" width="17" style="269" bestFit="1" customWidth="1"/>
    <col min="14545" max="14545" width="11.42578125" style="269" customWidth="1"/>
    <col min="14546" max="14546" width="15.5703125" style="269" customWidth="1"/>
    <col min="14547" max="14547" width="9.28515625" style="269" customWidth="1"/>
    <col min="14548" max="14548" width="12" style="269" customWidth="1"/>
    <col min="14549" max="14549" width="11.140625" style="269" customWidth="1"/>
    <col min="14550" max="14550" width="11.42578125" style="269" customWidth="1"/>
    <col min="14551" max="14551" width="8.140625" style="269" customWidth="1"/>
    <col min="14552" max="14552" width="13.28515625" style="269" customWidth="1"/>
    <col min="14553" max="14553" width="19.7109375" style="269" customWidth="1"/>
    <col min="14554" max="14554" width="14.140625" style="269" customWidth="1"/>
    <col min="14555" max="14555" width="14.85546875" style="269" customWidth="1"/>
    <col min="14556" max="14556" width="9.28515625" style="269" customWidth="1"/>
    <col min="14557" max="14557" width="16.85546875" style="269" customWidth="1"/>
    <col min="14558" max="14558" width="11.85546875" style="269" customWidth="1"/>
    <col min="14559" max="14559" width="21.5703125" style="269" customWidth="1"/>
    <col min="14560" max="14560" width="20.42578125" style="269" customWidth="1"/>
    <col min="14561" max="14561" width="22.28515625" style="269" customWidth="1"/>
    <col min="14562" max="14562" width="11.42578125" style="269" customWidth="1"/>
    <col min="14563" max="14563" width="18.5703125" style="269" customWidth="1"/>
    <col min="14564" max="14564" width="14.28515625" style="269" customWidth="1"/>
    <col min="14565" max="14565" width="12.7109375" style="269" customWidth="1"/>
    <col min="14566" max="14566" width="13.5703125" style="269" customWidth="1"/>
    <col min="14567" max="14567" width="22.5703125" style="269" customWidth="1"/>
    <col min="14568" max="14569" width="22.42578125" style="269" customWidth="1"/>
    <col min="14570" max="14570" width="23.140625" style="269" customWidth="1"/>
    <col min="14571" max="14571" width="11.42578125" style="269" customWidth="1"/>
    <col min="14572" max="14572" width="19.85546875" style="269" customWidth="1"/>
    <col min="14573" max="14573" width="11.42578125" style="269" customWidth="1"/>
    <col min="14574" max="14574" width="6.42578125" style="269" customWidth="1"/>
    <col min="14575" max="14575" width="14" style="269" customWidth="1"/>
    <col min="14576" max="14576" width="7.85546875" style="269" customWidth="1"/>
    <col min="14577" max="14583" width="11.42578125" style="269" customWidth="1"/>
    <col min="14584" max="14584" width="13.5703125" style="269" customWidth="1"/>
    <col min="14585" max="14585" width="17.42578125" style="269" customWidth="1"/>
    <col min="14586" max="14587" width="11.42578125" style="269" customWidth="1"/>
    <col min="14588" max="14588" width="20.7109375" style="269" customWidth="1"/>
    <col min="14589" max="14589" width="11.42578125" style="269" customWidth="1"/>
    <col min="14590" max="14590" width="13.42578125" style="269" customWidth="1"/>
    <col min="14591" max="14593" width="11.42578125" style="269" customWidth="1"/>
    <col min="14594" max="14594" width="15.42578125" style="269" customWidth="1"/>
    <col min="14595" max="14595" width="13.5703125" style="269" customWidth="1"/>
    <col min="14596" max="14596" width="20" style="269" customWidth="1"/>
    <col min="14597" max="14598" width="11.42578125" style="269" customWidth="1"/>
    <col min="14599" max="14599" width="21.7109375" style="269" customWidth="1"/>
    <col min="14600" max="14600" width="13.5703125" style="269" customWidth="1"/>
    <col min="14601" max="14601" width="19.140625" style="269" customWidth="1"/>
    <col min="14602" max="14602" width="23" style="269" customWidth="1"/>
    <col min="14603" max="14604" width="11.42578125" style="269" customWidth="1"/>
    <col min="14605" max="14605" width="12" style="269" customWidth="1"/>
    <col min="14606" max="14608" width="11.42578125" style="269" customWidth="1"/>
    <col min="14609" max="14609" width="14" style="269" customWidth="1"/>
    <col min="14610" max="14610" width="14.85546875" style="269" customWidth="1"/>
    <col min="14611" max="14611" width="11.42578125" style="269" customWidth="1"/>
    <col min="14612" max="14612" width="13.28515625" style="269" customWidth="1"/>
    <col min="14613" max="14613" width="11.42578125" style="269" customWidth="1"/>
    <col min="14614" max="14614" width="19.85546875" style="269" customWidth="1"/>
    <col min="14615" max="14616" width="11.42578125" style="269" customWidth="1"/>
    <col min="14617" max="14617" width="16.28515625" style="269" customWidth="1"/>
    <col min="14618" max="14618" width="14.28515625" style="269" customWidth="1"/>
    <col min="14619" max="14619" width="9.140625" style="269" customWidth="1"/>
    <col min="14620" max="14620" width="17.28515625" style="269" customWidth="1"/>
    <col min="14621" max="14621" width="20.42578125" style="269" customWidth="1"/>
    <col min="14622" max="14622" width="17.5703125" style="269" customWidth="1"/>
    <col min="14623" max="14623" width="15.42578125" style="269" customWidth="1"/>
    <col min="14624" max="14624" width="12.85546875" style="269" customWidth="1"/>
    <col min="14625" max="14625" width="15.5703125" style="269" bestFit="1" customWidth="1"/>
    <col min="14626" max="14626" width="24.42578125" style="269" bestFit="1" customWidth="1"/>
    <col min="14627" max="14627" width="16" style="269" bestFit="1" customWidth="1"/>
    <col min="14628" max="14628" width="15.5703125" style="269" customWidth="1"/>
    <col min="14629" max="14772" width="11.42578125" style="269"/>
    <col min="14773" max="14773" width="11.42578125" style="269" customWidth="1"/>
    <col min="14774" max="14774" width="15.28515625" style="269" customWidth="1"/>
    <col min="14775" max="14776" width="12.5703125" style="269" customWidth="1"/>
    <col min="14777" max="14777" width="11.42578125" style="269" customWidth="1"/>
    <col min="14778" max="14778" width="9" style="269" customWidth="1"/>
    <col min="14779" max="14779" width="23.7109375" style="269" customWidth="1"/>
    <col min="14780" max="14780" width="27.7109375" style="269" customWidth="1"/>
    <col min="14781" max="14781" width="11.42578125" style="269" customWidth="1"/>
    <col min="14782" max="14782" width="2.7109375" style="269" customWidth="1"/>
    <col min="14783" max="14783" width="8.7109375" style="269" customWidth="1"/>
    <col min="14784" max="14784" width="23.7109375" style="269" customWidth="1"/>
    <col min="14785" max="14785" width="27.7109375" style="269" customWidth="1"/>
    <col min="14786" max="14798" width="11.42578125" style="269" customWidth="1"/>
    <col min="14799" max="14799" width="16.5703125" style="269" bestFit="1" customWidth="1"/>
    <col min="14800" max="14800" width="17" style="269" bestFit="1" customWidth="1"/>
    <col min="14801" max="14801" width="11.42578125" style="269" customWidth="1"/>
    <col min="14802" max="14802" width="15.5703125" style="269" customWidth="1"/>
    <col min="14803" max="14803" width="9.28515625" style="269" customWidth="1"/>
    <col min="14804" max="14804" width="12" style="269" customWidth="1"/>
    <col min="14805" max="14805" width="11.140625" style="269" customWidth="1"/>
    <col min="14806" max="14806" width="11.42578125" style="269" customWidth="1"/>
    <col min="14807" max="14807" width="8.140625" style="269" customWidth="1"/>
    <col min="14808" max="14808" width="13.28515625" style="269" customWidth="1"/>
    <col min="14809" max="14809" width="19.7109375" style="269" customWidth="1"/>
    <col min="14810" max="14810" width="14.140625" style="269" customWidth="1"/>
    <col min="14811" max="14811" width="14.85546875" style="269" customWidth="1"/>
    <col min="14812" max="14812" width="9.28515625" style="269" customWidth="1"/>
    <col min="14813" max="14813" width="16.85546875" style="269" customWidth="1"/>
    <col min="14814" max="14814" width="11.85546875" style="269" customWidth="1"/>
    <col min="14815" max="14815" width="21.5703125" style="269" customWidth="1"/>
    <col min="14816" max="14816" width="20.42578125" style="269" customWidth="1"/>
    <col min="14817" max="14817" width="22.28515625" style="269" customWidth="1"/>
    <col min="14818" max="14818" width="11.42578125" style="269" customWidth="1"/>
    <col min="14819" max="14819" width="18.5703125" style="269" customWidth="1"/>
    <col min="14820" max="14820" width="14.28515625" style="269" customWidth="1"/>
    <col min="14821" max="14821" width="12.7109375" style="269" customWidth="1"/>
    <col min="14822" max="14822" width="13.5703125" style="269" customWidth="1"/>
    <col min="14823" max="14823" width="22.5703125" style="269" customWidth="1"/>
    <col min="14824" max="14825" width="22.42578125" style="269" customWidth="1"/>
    <col min="14826" max="14826" width="23.140625" style="269" customWidth="1"/>
    <col min="14827" max="14827" width="11.42578125" style="269" customWidth="1"/>
    <col min="14828" max="14828" width="19.85546875" style="269" customWidth="1"/>
    <col min="14829" max="14829" width="11.42578125" style="269" customWidth="1"/>
    <col min="14830" max="14830" width="6.42578125" style="269" customWidth="1"/>
    <col min="14831" max="14831" width="14" style="269" customWidth="1"/>
    <col min="14832" max="14832" width="7.85546875" style="269" customWidth="1"/>
    <col min="14833" max="14839" width="11.42578125" style="269" customWidth="1"/>
    <col min="14840" max="14840" width="13.5703125" style="269" customWidth="1"/>
    <col min="14841" max="14841" width="17.42578125" style="269" customWidth="1"/>
    <col min="14842" max="14843" width="11.42578125" style="269" customWidth="1"/>
    <col min="14844" max="14844" width="20.7109375" style="269" customWidth="1"/>
    <col min="14845" max="14845" width="11.42578125" style="269" customWidth="1"/>
    <col min="14846" max="14846" width="13.42578125" style="269" customWidth="1"/>
    <col min="14847" max="14849" width="11.42578125" style="269" customWidth="1"/>
    <col min="14850" max="14850" width="15.42578125" style="269" customWidth="1"/>
    <col min="14851" max="14851" width="13.5703125" style="269" customWidth="1"/>
    <col min="14852" max="14852" width="20" style="269" customWidth="1"/>
    <col min="14853" max="14854" width="11.42578125" style="269" customWidth="1"/>
    <col min="14855" max="14855" width="21.7109375" style="269" customWidth="1"/>
    <col min="14856" max="14856" width="13.5703125" style="269" customWidth="1"/>
    <col min="14857" max="14857" width="19.140625" style="269" customWidth="1"/>
    <col min="14858" max="14858" width="23" style="269" customWidth="1"/>
    <col min="14859" max="14860" width="11.42578125" style="269" customWidth="1"/>
    <col min="14861" max="14861" width="12" style="269" customWidth="1"/>
    <col min="14862" max="14864" width="11.42578125" style="269" customWidth="1"/>
    <col min="14865" max="14865" width="14" style="269" customWidth="1"/>
    <col min="14866" max="14866" width="14.85546875" style="269" customWidth="1"/>
    <col min="14867" max="14867" width="11.42578125" style="269" customWidth="1"/>
    <col min="14868" max="14868" width="13.28515625" style="269" customWidth="1"/>
    <col min="14869" max="14869" width="11.42578125" style="269" customWidth="1"/>
    <col min="14870" max="14870" width="19.85546875" style="269" customWidth="1"/>
    <col min="14871" max="14872" width="11.42578125" style="269" customWidth="1"/>
    <col min="14873" max="14873" width="16.28515625" style="269" customWidth="1"/>
    <col min="14874" max="14874" width="14.28515625" style="269" customWidth="1"/>
    <col min="14875" max="14875" width="9.140625" style="269" customWidth="1"/>
    <col min="14876" max="14876" width="17.28515625" style="269" customWidth="1"/>
    <col min="14877" max="14877" width="20.42578125" style="269" customWidth="1"/>
    <col min="14878" max="14878" width="17.5703125" style="269" customWidth="1"/>
    <col min="14879" max="14879" width="15.42578125" style="269" customWidth="1"/>
    <col min="14880" max="14880" width="12.85546875" style="269" customWidth="1"/>
    <col min="14881" max="14881" width="15.5703125" style="269" bestFit="1" customWidth="1"/>
    <col min="14882" max="14882" width="24.42578125" style="269" bestFit="1" customWidth="1"/>
    <col min="14883" max="14883" width="16" style="269" bestFit="1" customWidth="1"/>
    <col min="14884" max="14884" width="15.5703125" style="269" customWidth="1"/>
    <col min="14885" max="15028" width="11.42578125" style="269"/>
    <col min="15029" max="15029" width="11.42578125" style="269" customWidth="1"/>
    <col min="15030" max="15030" width="15.28515625" style="269" customWidth="1"/>
    <col min="15031" max="15032" width="12.5703125" style="269" customWidth="1"/>
    <col min="15033" max="15033" width="11.42578125" style="269" customWidth="1"/>
    <col min="15034" max="15034" width="9" style="269" customWidth="1"/>
    <col min="15035" max="15035" width="23.7109375" style="269" customWidth="1"/>
    <col min="15036" max="15036" width="27.7109375" style="269" customWidth="1"/>
    <col min="15037" max="15037" width="11.42578125" style="269" customWidth="1"/>
    <col min="15038" max="15038" width="2.7109375" style="269" customWidth="1"/>
    <col min="15039" max="15039" width="8.7109375" style="269" customWidth="1"/>
    <col min="15040" max="15040" width="23.7109375" style="269" customWidth="1"/>
    <col min="15041" max="15041" width="27.7109375" style="269" customWidth="1"/>
    <col min="15042" max="15054" width="11.42578125" style="269" customWidth="1"/>
    <col min="15055" max="15055" width="16.5703125" style="269" bestFit="1" customWidth="1"/>
    <col min="15056" max="15056" width="17" style="269" bestFit="1" customWidth="1"/>
    <col min="15057" max="15057" width="11.42578125" style="269" customWidth="1"/>
    <col min="15058" max="15058" width="15.5703125" style="269" customWidth="1"/>
    <col min="15059" max="15059" width="9.28515625" style="269" customWidth="1"/>
    <col min="15060" max="15060" width="12" style="269" customWidth="1"/>
    <col min="15061" max="15061" width="11.140625" style="269" customWidth="1"/>
    <col min="15062" max="15062" width="11.42578125" style="269" customWidth="1"/>
    <col min="15063" max="15063" width="8.140625" style="269" customWidth="1"/>
    <col min="15064" max="15064" width="13.28515625" style="269" customWidth="1"/>
    <col min="15065" max="15065" width="19.7109375" style="269" customWidth="1"/>
    <col min="15066" max="15066" width="14.140625" style="269" customWidth="1"/>
    <col min="15067" max="15067" width="14.85546875" style="269" customWidth="1"/>
    <col min="15068" max="15068" width="9.28515625" style="269" customWidth="1"/>
    <col min="15069" max="15069" width="16.85546875" style="269" customWidth="1"/>
    <col min="15070" max="15070" width="11.85546875" style="269" customWidth="1"/>
    <col min="15071" max="15071" width="21.5703125" style="269" customWidth="1"/>
    <col min="15072" max="15072" width="20.42578125" style="269" customWidth="1"/>
    <col min="15073" max="15073" width="22.28515625" style="269" customWidth="1"/>
    <col min="15074" max="15074" width="11.42578125" style="269" customWidth="1"/>
    <col min="15075" max="15075" width="18.5703125" style="269" customWidth="1"/>
    <col min="15076" max="15076" width="14.28515625" style="269" customWidth="1"/>
    <col min="15077" max="15077" width="12.7109375" style="269" customWidth="1"/>
    <col min="15078" max="15078" width="13.5703125" style="269" customWidth="1"/>
    <col min="15079" max="15079" width="22.5703125" style="269" customWidth="1"/>
    <col min="15080" max="15081" width="22.42578125" style="269" customWidth="1"/>
    <col min="15082" max="15082" width="23.140625" style="269" customWidth="1"/>
    <col min="15083" max="15083" width="11.42578125" style="269" customWidth="1"/>
    <col min="15084" max="15084" width="19.85546875" style="269" customWidth="1"/>
    <col min="15085" max="15085" width="11.42578125" style="269" customWidth="1"/>
    <col min="15086" max="15086" width="6.42578125" style="269" customWidth="1"/>
    <col min="15087" max="15087" width="14" style="269" customWidth="1"/>
    <col min="15088" max="15088" width="7.85546875" style="269" customWidth="1"/>
    <col min="15089" max="15095" width="11.42578125" style="269" customWidth="1"/>
    <col min="15096" max="15096" width="13.5703125" style="269" customWidth="1"/>
    <col min="15097" max="15097" width="17.42578125" style="269" customWidth="1"/>
    <col min="15098" max="15099" width="11.42578125" style="269" customWidth="1"/>
    <col min="15100" max="15100" width="20.7109375" style="269" customWidth="1"/>
    <col min="15101" max="15101" width="11.42578125" style="269" customWidth="1"/>
    <col min="15102" max="15102" width="13.42578125" style="269" customWidth="1"/>
    <col min="15103" max="15105" width="11.42578125" style="269" customWidth="1"/>
    <col min="15106" max="15106" width="15.42578125" style="269" customWidth="1"/>
    <col min="15107" max="15107" width="13.5703125" style="269" customWidth="1"/>
    <col min="15108" max="15108" width="20" style="269" customWidth="1"/>
    <col min="15109" max="15110" width="11.42578125" style="269" customWidth="1"/>
    <col min="15111" max="15111" width="21.7109375" style="269" customWidth="1"/>
    <col min="15112" max="15112" width="13.5703125" style="269" customWidth="1"/>
    <col min="15113" max="15113" width="19.140625" style="269" customWidth="1"/>
    <col min="15114" max="15114" width="23" style="269" customWidth="1"/>
    <col min="15115" max="15116" width="11.42578125" style="269" customWidth="1"/>
    <col min="15117" max="15117" width="12" style="269" customWidth="1"/>
    <col min="15118" max="15120" width="11.42578125" style="269" customWidth="1"/>
    <col min="15121" max="15121" width="14" style="269" customWidth="1"/>
    <col min="15122" max="15122" width="14.85546875" style="269" customWidth="1"/>
    <col min="15123" max="15123" width="11.42578125" style="269" customWidth="1"/>
    <col min="15124" max="15124" width="13.28515625" style="269" customWidth="1"/>
    <col min="15125" max="15125" width="11.42578125" style="269" customWidth="1"/>
    <col min="15126" max="15126" width="19.85546875" style="269" customWidth="1"/>
    <col min="15127" max="15128" width="11.42578125" style="269" customWidth="1"/>
    <col min="15129" max="15129" width="16.28515625" style="269" customWidth="1"/>
    <col min="15130" max="15130" width="14.28515625" style="269" customWidth="1"/>
    <col min="15131" max="15131" width="9.140625" style="269" customWidth="1"/>
    <col min="15132" max="15132" width="17.28515625" style="269" customWidth="1"/>
    <col min="15133" max="15133" width="20.42578125" style="269" customWidth="1"/>
    <col min="15134" max="15134" width="17.5703125" style="269" customWidth="1"/>
    <col min="15135" max="15135" width="15.42578125" style="269" customWidth="1"/>
    <col min="15136" max="15136" width="12.85546875" style="269" customWidth="1"/>
    <col min="15137" max="15137" width="15.5703125" style="269" bestFit="1" customWidth="1"/>
    <col min="15138" max="15138" width="24.42578125" style="269" bestFit="1" customWidth="1"/>
    <col min="15139" max="15139" width="16" style="269" bestFit="1" customWidth="1"/>
    <col min="15140" max="15140" width="15.5703125" style="269" customWidth="1"/>
    <col min="15141" max="15284" width="11.42578125" style="269"/>
    <col min="15285" max="15285" width="11.42578125" style="269" customWidth="1"/>
    <col min="15286" max="15286" width="15.28515625" style="269" customWidth="1"/>
    <col min="15287" max="15288" width="12.5703125" style="269" customWidth="1"/>
    <col min="15289" max="15289" width="11.42578125" style="269" customWidth="1"/>
    <col min="15290" max="15290" width="9" style="269" customWidth="1"/>
    <col min="15291" max="15291" width="23.7109375" style="269" customWidth="1"/>
    <col min="15292" max="15292" width="27.7109375" style="269" customWidth="1"/>
    <col min="15293" max="15293" width="11.42578125" style="269" customWidth="1"/>
    <col min="15294" max="15294" width="2.7109375" style="269" customWidth="1"/>
    <col min="15295" max="15295" width="8.7109375" style="269" customWidth="1"/>
    <col min="15296" max="15296" width="23.7109375" style="269" customWidth="1"/>
    <col min="15297" max="15297" width="27.7109375" style="269" customWidth="1"/>
    <col min="15298" max="15310" width="11.42578125" style="269" customWidth="1"/>
    <col min="15311" max="15311" width="16.5703125" style="269" bestFit="1" customWidth="1"/>
    <col min="15312" max="15312" width="17" style="269" bestFit="1" customWidth="1"/>
    <col min="15313" max="15313" width="11.42578125" style="269" customWidth="1"/>
    <col min="15314" max="15314" width="15.5703125" style="269" customWidth="1"/>
    <col min="15315" max="15315" width="9.28515625" style="269" customWidth="1"/>
    <col min="15316" max="15316" width="12" style="269" customWidth="1"/>
    <col min="15317" max="15317" width="11.140625" style="269" customWidth="1"/>
    <col min="15318" max="15318" width="11.42578125" style="269" customWidth="1"/>
    <col min="15319" max="15319" width="8.140625" style="269" customWidth="1"/>
    <col min="15320" max="15320" width="13.28515625" style="269" customWidth="1"/>
    <col min="15321" max="15321" width="19.7109375" style="269" customWidth="1"/>
    <col min="15322" max="15322" width="14.140625" style="269" customWidth="1"/>
    <col min="15323" max="15323" width="14.85546875" style="269" customWidth="1"/>
    <col min="15324" max="15324" width="9.28515625" style="269" customWidth="1"/>
    <col min="15325" max="15325" width="16.85546875" style="269" customWidth="1"/>
    <col min="15326" max="15326" width="11.85546875" style="269" customWidth="1"/>
    <col min="15327" max="15327" width="21.5703125" style="269" customWidth="1"/>
    <col min="15328" max="15328" width="20.42578125" style="269" customWidth="1"/>
    <col min="15329" max="15329" width="22.28515625" style="269" customWidth="1"/>
    <col min="15330" max="15330" width="11.42578125" style="269" customWidth="1"/>
    <col min="15331" max="15331" width="18.5703125" style="269" customWidth="1"/>
    <col min="15332" max="15332" width="14.28515625" style="269" customWidth="1"/>
    <col min="15333" max="15333" width="12.7109375" style="269" customWidth="1"/>
    <col min="15334" max="15334" width="13.5703125" style="269" customWidth="1"/>
    <col min="15335" max="15335" width="22.5703125" style="269" customWidth="1"/>
    <col min="15336" max="15337" width="22.42578125" style="269" customWidth="1"/>
    <col min="15338" max="15338" width="23.140625" style="269" customWidth="1"/>
    <col min="15339" max="15339" width="11.42578125" style="269" customWidth="1"/>
    <col min="15340" max="15340" width="19.85546875" style="269" customWidth="1"/>
    <col min="15341" max="15341" width="11.42578125" style="269" customWidth="1"/>
    <col min="15342" max="15342" width="6.42578125" style="269" customWidth="1"/>
    <col min="15343" max="15343" width="14" style="269" customWidth="1"/>
    <col min="15344" max="15344" width="7.85546875" style="269" customWidth="1"/>
    <col min="15345" max="15351" width="11.42578125" style="269" customWidth="1"/>
    <col min="15352" max="15352" width="13.5703125" style="269" customWidth="1"/>
    <col min="15353" max="15353" width="17.42578125" style="269" customWidth="1"/>
    <col min="15354" max="15355" width="11.42578125" style="269" customWidth="1"/>
    <col min="15356" max="15356" width="20.7109375" style="269" customWidth="1"/>
    <col min="15357" max="15357" width="11.42578125" style="269" customWidth="1"/>
    <col min="15358" max="15358" width="13.42578125" style="269" customWidth="1"/>
    <col min="15359" max="15361" width="11.42578125" style="269" customWidth="1"/>
    <col min="15362" max="15362" width="15.42578125" style="269" customWidth="1"/>
    <col min="15363" max="15363" width="13.5703125" style="269" customWidth="1"/>
    <col min="15364" max="15364" width="20" style="269" customWidth="1"/>
    <col min="15365" max="15366" width="11.42578125" style="269" customWidth="1"/>
    <col min="15367" max="15367" width="21.7109375" style="269" customWidth="1"/>
    <col min="15368" max="15368" width="13.5703125" style="269" customWidth="1"/>
    <col min="15369" max="15369" width="19.140625" style="269" customWidth="1"/>
    <col min="15370" max="15370" width="23" style="269" customWidth="1"/>
    <col min="15371" max="15372" width="11.42578125" style="269" customWidth="1"/>
    <col min="15373" max="15373" width="12" style="269" customWidth="1"/>
    <col min="15374" max="15376" width="11.42578125" style="269" customWidth="1"/>
    <col min="15377" max="15377" width="14" style="269" customWidth="1"/>
    <col min="15378" max="15378" width="14.85546875" style="269" customWidth="1"/>
    <col min="15379" max="15379" width="11.42578125" style="269" customWidth="1"/>
    <col min="15380" max="15380" width="13.28515625" style="269" customWidth="1"/>
    <col min="15381" max="15381" width="11.42578125" style="269" customWidth="1"/>
    <col min="15382" max="15382" width="19.85546875" style="269" customWidth="1"/>
    <col min="15383" max="15384" width="11.42578125" style="269" customWidth="1"/>
    <col min="15385" max="15385" width="16.28515625" style="269" customWidth="1"/>
    <col min="15386" max="15386" width="14.28515625" style="269" customWidth="1"/>
    <col min="15387" max="15387" width="9.140625" style="269" customWidth="1"/>
    <col min="15388" max="15388" width="17.28515625" style="269" customWidth="1"/>
    <col min="15389" max="15389" width="20.42578125" style="269" customWidth="1"/>
    <col min="15390" max="15390" width="17.5703125" style="269" customWidth="1"/>
    <col min="15391" max="15391" width="15.42578125" style="269" customWidth="1"/>
    <col min="15392" max="15392" width="12.85546875" style="269" customWidth="1"/>
    <col min="15393" max="15393" width="15.5703125" style="269" bestFit="1" customWidth="1"/>
    <col min="15394" max="15394" width="24.42578125" style="269" bestFit="1" customWidth="1"/>
    <col min="15395" max="15395" width="16" style="269" bestFit="1" customWidth="1"/>
    <col min="15396" max="15396" width="15.5703125" style="269" customWidth="1"/>
    <col min="15397" max="15540" width="11.42578125" style="269"/>
    <col min="15541" max="15541" width="11.42578125" style="269" customWidth="1"/>
    <col min="15542" max="15542" width="15.28515625" style="269" customWidth="1"/>
    <col min="15543" max="15544" width="12.5703125" style="269" customWidth="1"/>
    <col min="15545" max="15545" width="11.42578125" style="269" customWidth="1"/>
    <col min="15546" max="15546" width="9" style="269" customWidth="1"/>
    <col min="15547" max="15547" width="23.7109375" style="269" customWidth="1"/>
    <col min="15548" max="15548" width="27.7109375" style="269" customWidth="1"/>
    <col min="15549" max="15549" width="11.42578125" style="269" customWidth="1"/>
    <col min="15550" max="15550" width="2.7109375" style="269" customWidth="1"/>
    <col min="15551" max="15551" width="8.7109375" style="269" customWidth="1"/>
    <col min="15552" max="15552" width="23.7109375" style="269" customWidth="1"/>
    <col min="15553" max="15553" width="27.7109375" style="269" customWidth="1"/>
    <col min="15554" max="15566" width="11.42578125" style="269" customWidth="1"/>
    <col min="15567" max="15567" width="16.5703125" style="269" bestFit="1" customWidth="1"/>
    <col min="15568" max="15568" width="17" style="269" bestFit="1" customWidth="1"/>
    <col min="15569" max="15569" width="11.42578125" style="269" customWidth="1"/>
    <col min="15570" max="15570" width="15.5703125" style="269" customWidth="1"/>
    <col min="15571" max="15571" width="9.28515625" style="269" customWidth="1"/>
    <col min="15572" max="15572" width="12" style="269" customWidth="1"/>
    <col min="15573" max="15573" width="11.140625" style="269" customWidth="1"/>
    <col min="15574" max="15574" width="11.42578125" style="269" customWidth="1"/>
    <col min="15575" max="15575" width="8.140625" style="269" customWidth="1"/>
    <col min="15576" max="15576" width="13.28515625" style="269" customWidth="1"/>
    <col min="15577" max="15577" width="19.7109375" style="269" customWidth="1"/>
    <col min="15578" max="15578" width="14.140625" style="269" customWidth="1"/>
    <col min="15579" max="15579" width="14.85546875" style="269" customWidth="1"/>
    <col min="15580" max="15580" width="9.28515625" style="269" customWidth="1"/>
    <col min="15581" max="15581" width="16.85546875" style="269" customWidth="1"/>
    <col min="15582" max="15582" width="11.85546875" style="269" customWidth="1"/>
    <col min="15583" max="15583" width="21.5703125" style="269" customWidth="1"/>
    <col min="15584" max="15584" width="20.42578125" style="269" customWidth="1"/>
    <col min="15585" max="15585" width="22.28515625" style="269" customWidth="1"/>
    <col min="15586" max="15586" width="11.42578125" style="269" customWidth="1"/>
    <col min="15587" max="15587" width="18.5703125" style="269" customWidth="1"/>
    <col min="15588" max="15588" width="14.28515625" style="269" customWidth="1"/>
    <col min="15589" max="15589" width="12.7109375" style="269" customWidth="1"/>
    <col min="15590" max="15590" width="13.5703125" style="269" customWidth="1"/>
    <col min="15591" max="15591" width="22.5703125" style="269" customWidth="1"/>
    <col min="15592" max="15593" width="22.42578125" style="269" customWidth="1"/>
    <col min="15594" max="15594" width="23.140625" style="269" customWidth="1"/>
    <col min="15595" max="15595" width="11.42578125" style="269" customWidth="1"/>
    <col min="15596" max="15596" width="19.85546875" style="269" customWidth="1"/>
    <col min="15597" max="15597" width="11.42578125" style="269" customWidth="1"/>
    <col min="15598" max="15598" width="6.42578125" style="269" customWidth="1"/>
    <col min="15599" max="15599" width="14" style="269" customWidth="1"/>
    <col min="15600" max="15600" width="7.85546875" style="269" customWidth="1"/>
    <col min="15601" max="15607" width="11.42578125" style="269" customWidth="1"/>
    <col min="15608" max="15608" width="13.5703125" style="269" customWidth="1"/>
    <col min="15609" max="15609" width="17.42578125" style="269" customWidth="1"/>
    <col min="15610" max="15611" width="11.42578125" style="269" customWidth="1"/>
    <col min="15612" max="15612" width="20.7109375" style="269" customWidth="1"/>
    <col min="15613" max="15613" width="11.42578125" style="269" customWidth="1"/>
    <col min="15614" max="15614" width="13.42578125" style="269" customWidth="1"/>
    <col min="15615" max="15617" width="11.42578125" style="269" customWidth="1"/>
    <col min="15618" max="15618" width="15.42578125" style="269" customWidth="1"/>
    <col min="15619" max="15619" width="13.5703125" style="269" customWidth="1"/>
    <col min="15620" max="15620" width="20" style="269" customWidth="1"/>
    <col min="15621" max="15622" width="11.42578125" style="269" customWidth="1"/>
    <col min="15623" max="15623" width="21.7109375" style="269" customWidth="1"/>
    <col min="15624" max="15624" width="13.5703125" style="269" customWidth="1"/>
    <col min="15625" max="15625" width="19.140625" style="269" customWidth="1"/>
    <col min="15626" max="15626" width="23" style="269" customWidth="1"/>
    <col min="15627" max="15628" width="11.42578125" style="269" customWidth="1"/>
    <col min="15629" max="15629" width="12" style="269" customWidth="1"/>
    <col min="15630" max="15632" width="11.42578125" style="269" customWidth="1"/>
    <col min="15633" max="15633" width="14" style="269" customWidth="1"/>
    <col min="15634" max="15634" width="14.85546875" style="269" customWidth="1"/>
    <col min="15635" max="15635" width="11.42578125" style="269" customWidth="1"/>
    <col min="15636" max="15636" width="13.28515625" style="269" customWidth="1"/>
    <col min="15637" max="15637" width="11.42578125" style="269" customWidth="1"/>
    <col min="15638" max="15638" width="19.85546875" style="269" customWidth="1"/>
    <col min="15639" max="15640" width="11.42578125" style="269" customWidth="1"/>
    <col min="15641" max="15641" width="16.28515625" style="269" customWidth="1"/>
    <col min="15642" max="15642" width="14.28515625" style="269" customWidth="1"/>
    <col min="15643" max="15643" width="9.140625" style="269" customWidth="1"/>
    <col min="15644" max="15644" width="17.28515625" style="269" customWidth="1"/>
    <col min="15645" max="15645" width="20.42578125" style="269" customWidth="1"/>
    <col min="15646" max="15646" width="17.5703125" style="269" customWidth="1"/>
    <col min="15647" max="15647" width="15.42578125" style="269" customWidth="1"/>
    <col min="15648" max="15648" width="12.85546875" style="269" customWidth="1"/>
    <col min="15649" max="15649" width="15.5703125" style="269" bestFit="1" customWidth="1"/>
    <col min="15650" max="15650" width="24.42578125" style="269" bestFit="1" customWidth="1"/>
    <col min="15651" max="15651" width="16" style="269" bestFit="1" customWidth="1"/>
    <col min="15652" max="15652" width="15.5703125" style="269" customWidth="1"/>
    <col min="15653" max="15796" width="11.42578125" style="269"/>
    <col min="15797" max="15797" width="11.42578125" style="269" customWidth="1"/>
    <col min="15798" max="15798" width="15.28515625" style="269" customWidth="1"/>
    <col min="15799" max="15800" width="12.5703125" style="269" customWidth="1"/>
    <col min="15801" max="15801" width="11.42578125" style="269" customWidth="1"/>
    <col min="15802" max="15802" width="9" style="269" customWidth="1"/>
    <col min="15803" max="15803" width="23.7109375" style="269" customWidth="1"/>
    <col min="15804" max="15804" width="27.7109375" style="269" customWidth="1"/>
    <col min="15805" max="15805" width="11.42578125" style="269" customWidth="1"/>
    <col min="15806" max="15806" width="2.7109375" style="269" customWidth="1"/>
    <col min="15807" max="15807" width="8.7109375" style="269" customWidth="1"/>
    <col min="15808" max="15808" width="23.7109375" style="269" customWidth="1"/>
    <col min="15809" max="15809" width="27.7109375" style="269" customWidth="1"/>
    <col min="15810" max="15822" width="11.42578125" style="269" customWidth="1"/>
    <col min="15823" max="15823" width="16.5703125" style="269" bestFit="1" customWidth="1"/>
    <col min="15824" max="15824" width="17" style="269" bestFit="1" customWidth="1"/>
    <col min="15825" max="15825" width="11.42578125" style="269" customWidth="1"/>
    <col min="15826" max="15826" width="15.5703125" style="269" customWidth="1"/>
    <col min="15827" max="15827" width="9.28515625" style="269" customWidth="1"/>
    <col min="15828" max="15828" width="12" style="269" customWidth="1"/>
    <col min="15829" max="15829" width="11.140625" style="269" customWidth="1"/>
    <col min="15830" max="15830" width="11.42578125" style="269" customWidth="1"/>
    <col min="15831" max="15831" width="8.140625" style="269" customWidth="1"/>
    <col min="15832" max="15832" width="13.28515625" style="269" customWidth="1"/>
    <col min="15833" max="15833" width="19.7109375" style="269" customWidth="1"/>
    <col min="15834" max="15834" width="14.140625" style="269" customWidth="1"/>
    <col min="15835" max="15835" width="14.85546875" style="269" customWidth="1"/>
    <col min="15836" max="15836" width="9.28515625" style="269" customWidth="1"/>
    <col min="15837" max="15837" width="16.85546875" style="269" customWidth="1"/>
    <col min="15838" max="15838" width="11.85546875" style="269" customWidth="1"/>
    <col min="15839" max="15839" width="21.5703125" style="269" customWidth="1"/>
    <col min="15840" max="15840" width="20.42578125" style="269" customWidth="1"/>
    <col min="15841" max="15841" width="22.28515625" style="269" customWidth="1"/>
    <col min="15842" max="15842" width="11.42578125" style="269" customWidth="1"/>
    <col min="15843" max="15843" width="18.5703125" style="269" customWidth="1"/>
    <col min="15844" max="15844" width="14.28515625" style="269" customWidth="1"/>
    <col min="15845" max="15845" width="12.7109375" style="269" customWidth="1"/>
    <col min="15846" max="15846" width="13.5703125" style="269" customWidth="1"/>
    <col min="15847" max="15847" width="22.5703125" style="269" customWidth="1"/>
    <col min="15848" max="15849" width="22.42578125" style="269" customWidth="1"/>
    <col min="15850" max="15850" width="23.140625" style="269" customWidth="1"/>
    <col min="15851" max="15851" width="11.42578125" style="269" customWidth="1"/>
    <col min="15852" max="15852" width="19.85546875" style="269" customWidth="1"/>
    <col min="15853" max="15853" width="11.42578125" style="269" customWidth="1"/>
    <col min="15854" max="15854" width="6.42578125" style="269" customWidth="1"/>
    <col min="15855" max="15855" width="14" style="269" customWidth="1"/>
    <col min="15856" max="15856" width="7.85546875" style="269" customWidth="1"/>
    <col min="15857" max="15863" width="11.42578125" style="269" customWidth="1"/>
    <col min="15864" max="15864" width="13.5703125" style="269" customWidth="1"/>
    <col min="15865" max="15865" width="17.42578125" style="269" customWidth="1"/>
    <col min="15866" max="15867" width="11.42578125" style="269" customWidth="1"/>
    <col min="15868" max="15868" width="20.7109375" style="269" customWidth="1"/>
    <col min="15869" max="15869" width="11.42578125" style="269" customWidth="1"/>
    <col min="15870" max="15870" width="13.42578125" style="269" customWidth="1"/>
    <col min="15871" max="15873" width="11.42578125" style="269" customWidth="1"/>
    <col min="15874" max="15874" width="15.42578125" style="269" customWidth="1"/>
    <col min="15875" max="15875" width="13.5703125" style="269" customWidth="1"/>
    <col min="15876" max="15876" width="20" style="269" customWidth="1"/>
    <col min="15877" max="15878" width="11.42578125" style="269" customWidth="1"/>
    <col min="15879" max="15879" width="21.7109375" style="269" customWidth="1"/>
    <col min="15880" max="15880" width="13.5703125" style="269" customWidth="1"/>
    <col min="15881" max="15881" width="19.140625" style="269" customWidth="1"/>
    <col min="15882" max="15882" width="23" style="269" customWidth="1"/>
    <col min="15883" max="15884" width="11.42578125" style="269" customWidth="1"/>
    <col min="15885" max="15885" width="12" style="269" customWidth="1"/>
    <col min="15886" max="15888" width="11.42578125" style="269" customWidth="1"/>
    <col min="15889" max="15889" width="14" style="269" customWidth="1"/>
    <col min="15890" max="15890" width="14.85546875" style="269" customWidth="1"/>
    <col min="15891" max="15891" width="11.42578125" style="269" customWidth="1"/>
    <col min="15892" max="15892" width="13.28515625" style="269" customWidth="1"/>
    <col min="15893" max="15893" width="11.42578125" style="269" customWidth="1"/>
    <col min="15894" max="15894" width="19.85546875" style="269" customWidth="1"/>
    <col min="15895" max="15896" width="11.42578125" style="269" customWidth="1"/>
    <col min="15897" max="15897" width="16.28515625" style="269" customWidth="1"/>
    <col min="15898" max="15898" width="14.28515625" style="269" customWidth="1"/>
    <col min="15899" max="15899" width="9.140625" style="269" customWidth="1"/>
    <col min="15900" max="15900" width="17.28515625" style="269" customWidth="1"/>
    <col min="15901" max="15901" width="20.42578125" style="269" customWidth="1"/>
    <col min="15902" max="15902" width="17.5703125" style="269" customWidth="1"/>
    <col min="15903" max="15903" width="15.42578125" style="269" customWidth="1"/>
    <col min="15904" max="15904" width="12.85546875" style="269" customWidth="1"/>
    <col min="15905" max="15905" width="15.5703125" style="269" bestFit="1" customWidth="1"/>
    <col min="15906" max="15906" width="24.42578125" style="269" bestFit="1" customWidth="1"/>
    <col min="15907" max="15907" width="16" style="269" bestFit="1" customWidth="1"/>
    <col min="15908" max="15908" width="15.5703125" style="269" customWidth="1"/>
    <col min="15909" max="16052" width="11.42578125" style="269"/>
    <col min="16053" max="16053" width="11.42578125" style="269" customWidth="1"/>
    <col min="16054" max="16054" width="15.28515625" style="269" customWidth="1"/>
    <col min="16055" max="16056" width="12.5703125" style="269" customWidth="1"/>
    <col min="16057" max="16057" width="11.42578125" style="269" customWidth="1"/>
    <col min="16058" max="16058" width="9" style="269" customWidth="1"/>
    <col min="16059" max="16059" width="23.7109375" style="269" customWidth="1"/>
    <col min="16060" max="16060" width="27.7109375" style="269" customWidth="1"/>
    <col min="16061" max="16061" width="11.42578125" style="269" customWidth="1"/>
    <col min="16062" max="16062" width="2.7109375" style="269" customWidth="1"/>
    <col min="16063" max="16063" width="8.7109375" style="269" customWidth="1"/>
    <col min="16064" max="16064" width="23.7109375" style="269" customWidth="1"/>
    <col min="16065" max="16065" width="27.7109375" style="269" customWidth="1"/>
    <col min="16066" max="16078" width="11.42578125" style="269" customWidth="1"/>
    <col min="16079" max="16079" width="16.5703125" style="269" bestFit="1" customWidth="1"/>
    <col min="16080" max="16080" width="17" style="269" bestFit="1" customWidth="1"/>
    <col min="16081" max="16081" width="11.42578125" style="269" customWidth="1"/>
    <col min="16082" max="16082" width="15.5703125" style="269" customWidth="1"/>
    <col min="16083" max="16083" width="9.28515625" style="269" customWidth="1"/>
    <col min="16084" max="16084" width="12" style="269" customWidth="1"/>
    <col min="16085" max="16085" width="11.140625" style="269" customWidth="1"/>
    <col min="16086" max="16086" width="11.42578125" style="269" customWidth="1"/>
    <col min="16087" max="16087" width="8.140625" style="269" customWidth="1"/>
    <col min="16088" max="16088" width="13.28515625" style="269" customWidth="1"/>
    <col min="16089" max="16089" width="19.7109375" style="269" customWidth="1"/>
    <col min="16090" max="16090" width="14.140625" style="269" customWidth="1"/>
    <col min="16091" max="16091" width="14.85546875" style="269" customWidth="1"/>
    <col min="16092" max="16092" width="9.28515625" style="269" customWidth="1"/>
    <col min="16093" max="16093" width="16.85546875" style="269" customWidth="1"/>
    <col min="16094" max="16094" width="11.85546875" style="269" customWidth="1"/>
    <col min="16095" max="16095" width="21.5703125" style="269" customWidth="1"/>
    <col min="16096" max="16096" width="20.42578125" style="269" customWidth="1"/>
    <col min="16097" max="16097" width="22.28515625" style="269" customWidth="1"/>
    <col min="16098" max="16098" width="11.42578125" style="269" customWidth="1"/>
    <col min="16099" max="16099" width="18.5703125" style="269" customWidth="1"/>
    <col min="16100" max="16100" width="14.28515625" style="269" customWidth="1"/>
    <col min="16101" max="16101" width="12.7109375" style="269" customWidth="1"/>
    <col min="16102" max="16102" width="13.5703125" style="269" customWidth="1"/>
    <col min="16103" max="16103" width="22.5703125" style="269" customWidth="1"/>
    <col min="16104" max="16105" width="22.42578125" style="269" customWidth="1"/>
    <col min="16106" max="16106" width="23.140625" style="269" customWidth="1"/>
    <col min="16107" max="16107" width="11.42578125" style="269" customWidth="1"/>
    <col min="16108" max="16108" width="19.85546875" style="269" customWidth="1"/>
    <col min="16109" max="16109" width="11.42578125" style="269" customWidth="1"/>
    <col min="16110" max="16110" width="6.42578125" style="269" customWidth="1"/>
    <col min="16111" max="16111" width="14" style="269" customWidth="1"/>
    <col min="16112" max="16112" width="7.85546875" style="269" customWidth="1"/>
    <col min="16113" max="16119" width="11.42578125" style="269" customWidth="1"/>
    <col min="16120" max="16120" width="13.5703125" style="269" customWidth="1"/>
    <col min="16121" max="16121" width="17.42578125" style="269" customWidth="1"/>
    <col min="16122" max="16123" width="11.42578125" style="269" customWidth="1"/>
    <col min="16124" max="16124" width="20.7109375" style="269" customWidth="1"/>
    <col min="16125" max="16125" width="11.42578125" style="269" customWidth="1"/>
    <col min="16126" max="16126" width="13.42578125" style="269" customWidth="1"/>
    <col min="16127" max="16129" width="11.42578125" style="269" customWidth="1"/>
    <col min="16130" max="16130" width="15.42578125" style="269" customWidth="1"/>
    <col min="16131" max="16131" width="13.5703125" style="269" customWidth="1"/>
    <col min="16132" max="16132" width="20" style="269" customWidth="1"/>
    <col min="16133" max="16134" width="11.42578125" style="269" customWidth="1"/>
    <col min="16135" max="16135" width="21.7109375" style="269" customWidth="1"/>
    <col min="16136" max="16136" width="13.5703125" style="269" customWidth="1"/>
    <col min="16137" max="16137" width="19.140625" style="269" customWidth="1"/>
    <col min="16138" max="16138" width="23" style="269" customWidth="1"/>
    <col min="16139" max="16140" width="11.42578125" style="269" customWidth="1"/>
    <col min="16141" max="16141" width="12" style="269" customWidth="1"/>
    <col min="16142" max="16144" width="11.42578125" style="269" customWidth="1"/>
    <col min="16145" max="16145" width="14" style="269" customWidth="1"/>
    <col min="16146" max="16146" width="14.85546875" style="269" customWidth="1"/>
    <col min="16147" max="16147" width="11.42578125" style="269" customWidth="1"/>
    <col min="16148" max="16148" width="13.28515625" style="269" customWidth="1"/>
    <col min="16149" max="16149" width="11.42578125" style="269" customWidth="1"/>
    <col min="16150" max="16150" width="19.85546875" style="269" customWidth="1"/>
    <col min="16151" max="16152" width="11.42578125" style="269" customWidth="1"/>
    <col min="16153" max="16153" width="16.28515625" style="269" customWidth="1"/>
    <col min="16154" max="16154" width="14.28515625" style="269" customWidth="1"/>
    <col min="16155" max="16155" width="9.140625" style="269" customWidth="1"/>
    <col min="16156" max="16156" width="17.28515625" style="269" customWidth="1"/>
    <col min="16157" max="16157" width="20.42578125" style="269" customWidth="1"/>
    <col min="16158" max="16158" width="17.5703125" style="269" customWidth="1"/>
    <col min="16159" max="16159" width="15.42578125" style="269" customWidth="1"/>
    <col min="16160" max="16160" width="12.85546875" style="269" customWidth="1"/>
    <col min="16161" max="16161" width="15.5703125" style="269" bestFit="1" customWidth="1"/>
    <col min="16162" max="16162" width="24.42578125" style="269" bestFit="1" customWidth="1"/>
    <col min="16163" max="16163" width="16" style="269" bestFit="1" customWidth="1"/>
    <col min="16164" max="16164" width="15.5703125" style="269" customWidth="1"/>
    <col min="16165" max="16384" width="11.42578125" style="269"/>
  </cols>
  <sheetData>
    <row r="1" spans="1:142" ht="12.75" customHeight="1" x14ac:dyDescent="0.2">
      <c r="A1" s="1131"/>
      <c r="B1" s="1682" t="s">
        <v>242</v>
      </c>
      <c r="C1" s="1683"/>
      <c r="D1" s="1684" t="s">
        <v>162</v>
      </c>
      <c r="E1" s="1685"/>
      <c r="F1" s="264"/>
      <c r="G1" s="264"/>
      <c r="H1" s="264"/>
      <c r="I1" s="265"/>
      <c r="J1" s="265"/>
      <c r="K1" s="266"/>
      <c r="L1" s="267"/>
      <c r="U1" s="107"/>
      <c r="V1" s="107"/>
      <c r="X1" s="107"/>
      <c r="EA1" s="64"/>
      <c r="EB1" s="64"/>
      <c r="EC1" s="64"/>
      <c r="ED1" s="64"/>
      <c r="EE1" s="64"/>
      <c r="EF1" s="64"/>
      <c r="EG1" s="64"/>
      <c r="EH1" s="64"/>
      <c r="EI1" s="64"/>
      <c r="EJ1" s="64"/>
      <c r="EK1" s="64"/>
      <c r="EL1" s="64"/>
    </row>
    <row r="2" spans="1:142" ht="12.75" customHeight="1" x14ac:dyDescent="0.2">
      <c r="A2" s="271"/>
      <c r="B2" s="272"/>
      <c r="C2" s="272"/>
      <c r="D2" s="272"/>
      <c r="E2" s="272"/>
      <c r="F2" s="272"/>
      <c r="G2" s="272"/>
      <c r="H2" s="272"/>
      <c r="I2" s="272"/>
      <c r="J2" s="272"/>
      <c r="K2" s="273"/>
      <c r="L2" s="267"/>
      <c r="S2" s="274"/>
      <c r="T2" s="274"/>
      <c r="DQ2" s="1132"/>
      <c r="EA2" s="64"/>
      <c r="EB2" s="64"/>
      <c r="EC2" s="64"/>
      <c r="ED2" s="64"/>
      <c r="EE2" s="64"/>
      <c r="EF2" s="64"/>
      <c r="EG2" s="64"/>
      <c r="EH2" s="64"/>
      <c r="EI2" s="64"/>
      <c r="EJ2" s="64"/>
      <c r="EK2" s="64"/>
      <c r="EL2" s="64"/>
    </row>
    <row r="3" spans="1:142" ht="12.75" customHeight="1" thickBot="1" x14ac:dyDescent="0.25">
      <c r="A3" s="271"/>
      <c r="B3" s="272"/>
      <c r="C3" s="272"/>
      <c r="D3" s="272"/>
      <c r="E3" s="272"/>
      <c r="F3" s="272"/>
      <c r="G3" s="272"/>
      <c r="H3" s="272"/>
      <c r="I3" s="272"/>
      <c r="J3" s="272"/>
      <c r="K3" s="273"/>
      <c r="L3" s="267"/>
      <c r="S3" s="274"/>
      <c r="T3" s="274"/>
      <c r="EA3" s="64"/>
      <c r="EB3" s="64"/>
      <c r="EC3" s="64"/>
      <c r="ED3" s="64"/>
      <c r="EE3" s="64"/>
      <c r="EF3" s="64"/>
      <c r="EG3" s="64"/>
      <c r="EH3" s="64"/>
      <c r="EI3" s="64"/>
      <c r="EJ3" s="64"/>
      <c r="EK3" s="64"/>
      <c r="EL3" s="64"/>
    </row>
    <row r="4" spans="1:142" ht="12.75" customHeight="1" thickBot="1" x14ac:dyDescent="0.25">
      <c r="A4" s="271"/>
      <c r="B4" s="272"/>
      <c r="C4" s="272"/>
      <c r="D4" s="272"/>
      <c r="E4" s="272"/>
      <c r="F4" s="1689" t="s">
        <v>207</v>
      </c>
      <c r="G4" s="1690"/>
      <c r="H4" s="1690"/>
      <c r="I4" s="1691"/>
      <c r="J4" s="275"/>
      <c r="K4" s="273"/>
      <c r="L4" s="267"/>
      <c r="S4" s="274"/>
      <c r="T4" s="274"/>
      <c r="AE4" s="107"/>
      <c r="EA4" s="64"/>
      <c r="EB4" s="64"/>
      <c r="EC4" s="64"/>
      <c r="ED4" s="64"/>
      <c r="EE4" s="64"/>
      <c r="EF4" s="64"/>
      <c r="EG4" s="64"/>
      <c r="EH4" s="64"/>
      <c r="EI4" s="64"/>
      <c r="EJ4" s="64"/>
      <c r="EK4" s="64"/>
      <c r="EL4" s="64"/>
    </row>
    <row r="5" spans="1:142" ht="12.75" customHeight="1" thickBot="1" x14ac:dyDescent="0.25">
      <c r="A5" s="1686" t="s">
        <v>573</v>
      </c>
      <c r="B5" s="1666"/>
      <c r="C5" s="276"/>
      <c r="D5" s="277"/>
      <c r="E5" s="272"/>
      <c r="F5" s="278" t="s">
        <v>88</v>
      </c>
      <c r="G5" s="279" t="s">
        <v>344</v>
      </c>
      <c r="H5" s="280" t="s">
        <v>94</v>
      </c>
      <c r="I5" s="657" t="s">
        <v>1317</v>
      </c>
      <c r="J5" s="272"/>
      <c r="K5" s="273"/>
      <c r="L5" s="281"/>
      <c r="O5" s="267"/>
      <c r="P5" s="267"/>
      <c r="Q5" s="267"/>
      <c r="R5" s="267"/>
      <c r="S5" s="274"/>
      <c r="T5" s="274"/>
      <c r="AD5" s="107"/>
      <c r="AE5" s="107"/>
      <c r="EA5" s="64"/>
      <c r="EB5" s="64"/>
      <c r="EC5" s="64"/>
      <c r="ED5" s="64"/>
      <c r="EE5" s="64"/>
      <c r="EF5" s="64"/>
      <c r="EG5" s="64"/>
      <c r="EH5" s="64"/>
      <c r="EI5" s="64"/>
      <c r="EJ5" s="64"/>
      <c r="EK5" s="64"/>
      <c r="EL5" s="64"/>
    </row>
    <row r="6" spans="1:142" ht="12.75" customHeight="1" x14ac:dyDescent="0.2">
      <c r="A6" s="1687" t="s">
        <v>152</v>
      </c>
      <c r="B6" s="1656"/>
      <c r="C6" s="282">
        <f>SUM(BDD!HB3:HB21,BDD!HB25:HB27,BDD!HB29,BDD!HB33,BDD!HB35:HB80,BDD!HB82:HB94,BDD!HB96:HB103)</f>
        <v>0</v>
      </c>
      <c r="D6" s="277"/>
      <c r="E6" s="272"/>
      <c r="F6" s="283" t="s">
        <v>90</v>
      </c>
      <c r="G6" s="127"/>
      <c r="H6" s="284"/>
      <c r="I6" s="285"/>
      <c r="J6" s="272"/>
      <c r="K6" s="273"/>
      <c r="L6" s="281"/>
      <c r="O6" s="267"/>
      <c r="P6" s="267"/>
      <c r="Q6" s="267"/>
      <c r="R6" s="267"/>
      <c r="S6" s="274"/>
      <c r="T6" s="274"/>
      <c r="V6" s="268"/>
      <c r="AA6" s="107"/>
      <c r="AD6" s="107"/>
      <c r="AE6" s="107"/>
      <c r="EA6" s="64"/>
      <c r="EB6" s="64"/>
      <c r="EC6" s="64"/>
      <c r="ED6" s="64"/>
      <c r="EE6" s="64"/>
      <c r="EF6" s="64"/>
      <c r="EG6" s="64"/>
      <c r="EH6" s="64"/>
      <c r="EI6" s="64"/>
      <c r="EJ6" s="64"/>
      <c r="EK6" s="64"/>
      <c r="EL6" s="64"/>
    </row>
    <row r="7" spans="1:142" ht="12.75" customHeight="1" x14ac:dyDescent="0.2">
      <c r="A7" s="1692" t="s">
        <v>95</v>
      </c>
      <c r="B7" s="1693"/>
      <c r="C7" s="1694"/>
      <c r="D7" s="286" t="s">
        <v>96</v>
      </c>
      <c r="E7" s="272"/>
      <c r="F7" s="287" t="s">
        <v>90</v>
      </c>
      <c r="G7" s="127"/>
      <c r="H7" s="289"/>
      <c r="I7" s="290"/>
      <c r="J7" s="272"/>
      <c r="K7" s="273"/>
      <c r="L7" s="281"/>
      <c r="O7" s="267"/>
      <c r="P7" s="267"/>
      <c r="Q7" s="267"/>
      <c r="R7" s="267"/>
      <c r="S7" s="274"/>
      <c r="T7" s="274"/>
      <c r="AA7" s="107"/>
      <c r="AD7" s="107"/>
      <c r="EA7" s="64"/>
      <c r="EB7" s="64"/>
      <c r="EC7" s="64"/>
      <c r="ED7" s="64"/>
      <c r="EE7" s="64"/>
      <c r="EF7" s="64"/>
      <c r="EG7" s="64"/>
      <c r="EH7" s="64"/>
      <c r="EI7" s="64"/>
      <c r="EJ7" s="64"/>
      <c r="EK7" s="64"/>
      <c r="EL7" s="64"/>
    </row>
    <row r="8" spans="1:142" ht="12.75" customHeight="1" x14ac:dyDescent="0.2">
      <c r="A8" s="1686" t="s">
        <v>506</v>
      </c>
      <c r="B8" s="1666"/>
      <c r="C8" s="291"/>
      <c r="D8" s="292">
        <f>IF(OR(C8="",C8=NON,SUM(CommandePailleBQ+CommandePailleMoQ+CommandePailleMaQ)=""),0,(CommandePailleBQ+CommandePailleMoQ+CommandePailleMaQ)*SurfaceBallePaille_500kg)</f>
        <v>0</v>
      </c>
      <c r="E8" s="272"/>
      <c r="F8" s="283" t="s">
        <v>90</v>
      </c>
      <c r="G8" s="127"/>
      <c r="H8" s="289"/>
      <c r="I8" s="290"/>
      <c r="J8" s="272"/>
      <c r="K8" s="273"/>
      <c r="L8" s="281"/>
      <c r="O8" s="267"/>
      <c r="P8" s="267"/>
      <c r="Q8" s="267"/>
      <c r="R8" s="267"/>
      <c r="S8" s="274"/>
      <c r="T8" s="274"/>
      <c r="AA8" s="107"/>
      <c r="AD8" s="107"/>
      <c r="EA8" s="64"/>
      <c r="EB8" s="64"/>
      <c r="EC8" s="64"/>
      <c r="ED8" s="64"/>
      <c r="EE8" s="64"/>
      <c r="EF8" s="64"/>
      <c r="EG8" s="64"/>
      <c r="EH8" s="64"/>
      <c r="EI8" s="64"/>
      <c r="EJ8" s="64"/>
      <c r="EK8" s="64"/>
      <c r="EL8" s="64"/>
    </row>
    <row r="9" spans="1:142" ht="12.75" customHeight="1" x14ac:dyDescent="0.2">
      <c r="A9" s="1687" t="s">
        <v>507</v>
      </c>
      <c r="B9" s="1656"/>
      <c r="C9" s="291"/>
      <c r="D9" s="292">
        <f>IF(OR(C9="",C9=NON,CommandeFoinBQ=""),0,CommandeFoinBQ*SurfaceBalleFoin_500kg)</f>
        <v>0</v>
      </c>
      <c r="E9" s="272"/>
      <c r="F9" s="287" t="s">
        <v>90</v>
      </c>
      <c r="G9" s="127"/>
      <c r="H9" s="289"/>
      <c r="I9" s="290"/>
      <c r="J9" s="272"/>
      <c r="K9" s="273"/>
      <c r="L9" s="281"/>
      <c r="O9" s="267"/>
      <c r="P9" s="267"/>
      <c r="Q9" s="267"/>
      <c r="R9" s="267"/>
      <c r="S9" s="274"/>
      <c r="T9" s="274"/>
      <c r="AA9" s="107"/>
      <c r="AC9" s="107"/>
      <c r="AD9" s="107"/>
      <c r="EA9" s="64"/>
      <c r="EB9" s="64"/>
      <c r="EC9" s="64"/>
      <c r="ED9" s="64"/>
      <c r="EE9" s="64"/>
      <c r="EF9" s="64"/>
      <c r="EG9" s="64"/>
      <c r="EH9" s="64"/>
      <c r="EI9" s="64"/>
      <c r="EJ9" s="64"/>
      <c r="EK9" s="64"/>
      <c r="EL9" s="64"/>
    </row>
    <row r="10" spans="1:142" ht="12.75" customHeight="1" x14ac:dyDescent="0.2">
      <c r="A10" s="1687" t="s">
        <v>514</v>
      </c>
      <c r="B10" s="1656"/>
      <c r="C10" s="291"/>
      <c r="D10" s="292">
        <f>IF(OR(C10="",C10=NON,CommandeMinérauxBQ="",COUNTIF($H$6:$H$105,BDD!HB29)=0),0,CommandeMinérauxBQ*SurfaceNécessaireMinéraux)</f>
        <v>0</v>
      </c>
      <c r="E10" s="272"/>
      <c r="F10" s="283" t="s">
        <v>90</v>
      </c>
      <c r="G10" s="127"/>
      <c r="H10" s="289"/>
      <c r="I10" s="290"/>
      <c r="J10" s="272"/>
      <c r="K10" s="273"/>
      <c r="L10" s="281"/>
      <c r="O10" s="267"/>
      <c r="P10" s="267"/>
      <c r="Q10" s="267"/>
      <c r="R10" s="267"/>
      <c r="S10" s="274"/>
      <c r="T10" s="274"/>
      <c r="AA10" s="107"/>
      <c r="AC10" s="107"/>
      <c r="AD10" s="107"/>
      <c r="EA10" s="64"/>
      <c r="EB10" s="64"/>
      <c r="EC10" s="64"/>
      <c r="ED10" s="64"/>
      <c r="EE10" s="64"/>
      <c r="EF10" s="64"/>
      <c r="EG10" s="64"/>
      <c r="EH10" s="64"/>
      <c r="EI10" s="64"/>
      <c r="EJ10" s="64"/>
      <c r="EK10" s="64"/>
      <c r="EL10" s="64"/>
    </row>
    <row r="11" spans="1:142" ht="12.75" customHeight="1" x14ac:dyDescent="0.2">
      <c r="A11" s="1687" t="s">
        <v>515</v>
      </c>
      <c r="B11" s="1656"/>
      <c r="C11" s="291"/>
      <c r="D11" s="292">
        <f>IF(OR(C11="",C11=NON),0,IF(BDD!HB81=0,0,BDD!HB81))</f>
        <v>0</v>
      </c>
      <c r="E11" s="272"/>
      <c r="F11" s="287" t="s">
        <v>90</v>
      </c>
      <c r="G11" s="127"/>
      <c r="H11" s="289"/>
      <c r="I11" s="290"/>
      <c r="J11" s="272"/>
      <c r="K11" s="273"/>
      <c r="L11" s="281"/>
      <c r="O11" s="267"/>
      <c r="P11" s="267"/>
      <c r="Q11" s="267"/>
      <c r="R11" s="267"/>
      <c r="S11" s="274"/>
      <c r="T11" s="274"/>
      <c r="AA11" s="107"/>
      <c r="EA11" s="64"/>
      <c r="EB11" s="64"/>
      <c r="EC11" s="64"/>
      <c r="ED11" s="64"/>
      <c r="EE11" s="64"/>
      <c r="EF11" s="64"/>
      <c r="EG11" s="64"/>
      <c r="EH11" s="64"/>
      <c r="EI11" s="64"/>
      <c r="EJ11" s="64"/>
      <c r="EK11" s="64"/>
      <c r="EL11" s="64"/>
    </row>
    <row r="12" spans="1:142" ht="12.75" customHeight="1" x14ac:dyDescent="0.2">
      <c r="A12" s="1687" t="s">
        <v>516</v>
      </c>
      <c r="B12" s="1656"/>
      <c r="C12" s="291"/>
      <c r="D12" s="292">
        <f>IF(OR(C12="",C12=NON),0,IF(BDD!HB95=0,0,BDD!HB95))</f>
        <v>0</v>
      </c>
      <c r="E12" s="272"/>
      <c r="F12" s="283" t="s">
        <v>90</v>
      </c>
      <c r="G12" s="127"/>
      <c r="H12" s="289"/>
      <c r="I12" s="290"/>
      <c r="J12" s="272"/>
      <c r="K12" s="273"/>
      <c r="L12" s="281"/>
      <c r="M12" s="109"/>
      <c r="O12" s="267"/>
      <c r="P12" s="267"/>
      <c r="Q12" s="267"/>
      <c r="R12" s="267"/>
      <c r="S12" s="274"/>
      <c r="T12" s="274"/>
      <c r="AA12" s="107"/>
      <c r="EA12" s="64"/>
      <c r="EB12" s="64"/>
      <c r="EC12" s="64"/>
      <c r="ED12" s="64"/>
      <c r="EE12" s="64"/>
      <c r="EF12" s="64"/>
      <c r="EG12" s="64"/>
      <c r="EH12" s="64"/>
      <c r="EI12" s="64"/>
      <c r="EJ12" s="64"/>
      <c r="EK12" s="64"/>
      <c r="EL12" s="64"/>
    </row>
    <row r="13" spans="1:142" ht="12.75" customHeight="1" x14ac:dyDescent="0.2">
      <c r="A13" s="1687" t="s">
        <v>517</v>
      </c>
      <c r="B13" s="1656"/>
      <c r="C13" s="291"/>
      <c r="D13" s="292">
        <f>IF(OR(C13="",C13=NON),0,IF(BDD!HB104=0,0,BDD!HB104))</f>
        <v>0</v>
      </c>
      <c r="E13" s="272"/>
      <c r="F13" s="287" t="s">
        <v>90</v>
      </c>
      <c r="G13" s="288"/>
      <c r="H13" s="289"/>
      <c r="I13" s="290"/>
      <c r="J13" s="272"/>
      <c r="K13" s="273"/>
      <c r="L13" s="281"/>
      <c r="M13" s="109"/>
      <c r="O13" s="267"/>
      <c r="P13" s="267"/>
      <c r="Q13" s="267"/>
      <c r="R13" s="267"/>
      <c r="S13" s="274"/>
      <c r="T13" s="274"/>
      <c r="AA13" s="107"/>
      <c r="EA13" s="64"/>
      <c r="EB13" s="64"/>
      <c r="EC13" s="64"/>
      <c r="ED13" s="64"/>
      <c r="EE13" s="64"/>
      <c r="EF13" s="64"/>
      <c r="EG13" s="64"/>
      <c r="EH13" s="64"/>
      <c r="EI13" s="64"/>
      <c r="EJ13" s="64"/>
      <c r="EK13" s="64"/>
      <c r="EL13" s="64"/>
    </row>
    <row r="14" spans="1:142" ht="12.75" customHeight="1" x14ac:dyDescent="0.2">
      <c r="A14" s="1687" t="s">
        <v>518</v>
      </c>
      <c r="B14" s="1656"/>
      <c r="C14" s="291"/>
      <c r="D14" s="292">
        <f>IF(OR(C14="",C14=NON),0,IF(BDD!HB33=0,0,BDD!HB33))</f>
        <v>0</v>
      </c>
      <c r="E14" s="272"/>
      <c r="F14" s="283" t="s">
        <v>90</v>
      </c>
      <c r="G14" s="288"/>
      <c r="H14" s="289"/>
      <c r="I14" s="290"/>
      <c r="J14" s="272"/>
      <c r="K14" s="273"/>
      <c r="L14" s="281"/>
      <c r="M14" s="109"/>
      <c r="O14" s="267"/>
      <c r="P14" s="267"/>
      <c r="Q14" s="267"/>
      <c r="R14" s="267"/>
      <c r="S14" s="274"/>
      <c r="T14" s="274"/>
      <c r="X14" s="107"/>
      <c r="EA14" s="64"/>
      <c r="EB14" s="64"/>
      <c r="EC14" s="64"/>
      <c r="ED14" s="64"/>
      <c r="EE14" s="64"/>
      <c r="EF14" s="64"/>
      <c r="EG14" s="64"/>
      <c r="EH14" s="64"/>
      <c r="EI14" s="64"/>
      <c r="EJ14" s="64"/>
      <c r="EK14" s="64"/>
      <c r="EL14" s="64"/>
    </row>
    <row r="15" spans="1:142" ht="12.75" customHeight="1" x14ac:dyDescent="0.2">
      <c r="A15" s="1687" t="s">
        <v>61</v>
      </c>
      <c r="B15" s="1656"/>
      <c r="C15" s="291"/>
      <c r="D15" s="292">
        <f>IF(OR(C15="",C15=NON,CommandeConcentréBovinsBQ="",CommandeConcentréLapinsBQ="",CommandeConcentréPorcinsBQ=""),0,CommandeConcentréBovinsBQ*SurfaceNécessaireConcentréBovins+CommandeConcentréLapinsBQ*SurfaceNécessaireConcentréLapins+CommandeConcentréPorcinsBQ*SurfaceNécessaireConcentréPorcins)</f>
        <v>0</v>
      </c>
      <c r="E15" s="272"/>
      <c r="F15" s="287" t="s">
        <v>90</v>
      </c>
      <c r="G15" s="288"/>
      <c r="H15" s="289"/>
      <c r="I15" s="290"/>
      <c r="J15" s="272"/>
      <c r="K15" s="273"/>
      <c r="L15" s="281"/>
      <c r="M15" s="109"/>
      <c r="O15" s="267"/>
      <c r="P15" s="267"/>
      <c r="Q15" s="267"/>
      <c r="R15" s="267"/>
      <c r="S15" s="274"/>
      <c r="T15" s="274"/>
      <c r="X15" s="107"/>
      <c r="Y15" s="107"/>
      <c r="Z15" s="107"/>
      <c r="EA15" s="64"/>
      <c r="EB15" s="64"/>
      <c r="EC15" s="64"/>
      <c r="ED15" s="64"/>
      <c r="EE15" s="64"/>
      <c r="EF15" s="64"/>
      <c r="EG15" s="64"/>
      <c r="EH15" s="64"/>
      <c r="EI15" s="64"/>
      <c r="EJ15" s="64"/>
      <c r="EK15" s="64"/>
      <c r="EL15" s="64"/>
    </row>
    <row r="16" spans="1:142" ht="12.75" customHeight="1" x14ac:dyDescent="0.2">
      <c r="A16" s="1686" t="s">
        <v>512</v>
      </c>
      <c r="B16" s="1666"/>
      <c r="C16" s="292" t="str">
        <f>IF(C5="","N.C.",C5-C6)</f>
        <v>N.C.</v>
      </c>
      <c r="D16" s="293"/>
      <c r="E16" s="272"/>
      <c r="F16" s="283" t="s">
        <v>90</v>
      </c>
      <c r="G16" s="288"/>
      <c r="H16" s="289"/>
      <c r="I16" s="290"/>
      <c r="J16" s="272"/>
      <c r="K16" s="273"/>
      <c r="L16" s="281"/>
      <c r="M16" s="109"/>
      <c r="O16" s="267"/>
      <c r="P16" s="267"/>
      <c r="Q16" s="267"/>
      <c r="R16" s="267"/>
      <c r="S16" s="274"/>
      <c r="T16" s="274"/>
      <c r="X16" s="107"/>
      <c r="Y16" s="107"/>
      <c r="Z16" s="107"/>
      <c r="EA16" s="64"/>
      <c r="EB16" s="64"/>
      <c r="EC16" s="64"/>
      <c r="ED16" s="64"/>
      <c r="EE16" s="64"/>
      <c r="EF16" s="64"/>
      <c r="EG16" s="64"/>
      <c r="EH16" s="64"/>
      <c r="EI16" s="64"/>
      <c r="EJ16" s="64"/>
      <c r="EK16" s="64"/>
      <c r="EL16" s="64"/>
    </row>
    <row r="17" spans="1:142" ht="12.75" customHeight="1" x14ac:dyDescent="0.2">
      <c r="A17" s="1686" t="s">
        <v>513</v>
      </c>
      <c r="B17" s="1666"/>
      <c r="C17" s="292" t="str">
        <f>IF(C16="N.C.","N.C.",C16-(D8+D9+D10+D11+D12+D13+D14))</f>
        <v>N.C.</v>
      </c>
      <c r="D17" s="294"/>
      <c r="E17" s="272"/>
      <c r="F17" s="287" t="s">
        <v>90</v>
      </c>
      <c r="G17" s="288"/>
      <c r="H17" s="289"/>
      <c r="I17" s="290"/>
      <c r="J17" s="272"/>
      <c r="K17" s="273"/>
      <c r="L17" s="281"/>
      <c r="M17" s="109"/>
      <c r="N17" s="107"/>
      <c r="O17" s="107"/>
      <c r="P17" s="107"/>
      <c r="S17" s="274"/>
      <c r="T17" s="274"/>
      <c r="X17" s="107"/>
      <c r="Y17" s="107"/>
      <c r="Z17" s="107"/>
      <c r="EA17" s="64"/>
      <c r="EB17" s="64"/>
      <c r="EC17" s="64"/>
      <c r="ED17" s="64"/>
      <c r="EE17" s="64"/>
      <c r="EF17" s="64"/>
      <c r="EG17" s="64"/>
      <c r="EH17" s="64"/>
      <c r="EI17" s="64"/>
      <c r="EJ17" s="64"/>
      <c r="EK17" s="64"/>
      <c r="EL17" s="64"/>
    </row>
    <row r="18" spans="1:142" ht="12.75" customHeight="1" x14ac:dyDescent="0.2">
      <c r="A18" s="295"/>
      <c r="B18" s="293"/>
      <c r="C18" s="293"/>
      <c r="D18" s="293"/>
      <c r="E18" s="272"/>
      <c r="F18" s="283" t="s">
        <v>90</v>
      </c>
      <c r="G18" s="288"/>
      <c r="H18" s="289"/>
      <c r="I18" s="290"/>
      <c r="J18" s="272"/>
      <c r="K18" s="273"/>
      <c r="L18" s="281"/>
      <c r="M18" s="109"/>
      <c r="N18" s="107"/>
      <c r="O18" s="107"/>
      <c r="P18" s="107"/>
      <c r="S18" s="274"/>
      <c r="T18" s="274"/>
      <c r="X18" s="107"/>
      <c r="Y18" s="107"/>
      <c r="Z18" s="107"/>
      <c r="EA18" s="64"/>
      <c r="EB18" s="64"/>
      <c r="EC18" s="64"/>
      <c r="ED18" s="64"/>
      <c r="EE18" s="64"/>
      <c r="EF18" s="64"/>
      <c r="EG18" s="64"/>
      <c r="EH18" s="64"/>
      <c r="EI18" s="64"/>
      <c r="EJ18" s="64"/>
      <c r="EK18" s="64"/>
      <c r="EL18" s="64"/>
    </row>
    <row r="19" spans="1:142" ht="12.75" customHeight="1" x14ac:dyDescent="0.2">
      <c r="A19" s="295"/>
      <c r="B19" s="293"/>
      <c r="C19" s="293"/>
      <c r="D19" s="293"/>
      <c r="E19" s="272"/>
      <c r="F19" s="287" t="s">
        <v>90</v>
      </c>
      <c r="G19" s="288"/>
      <c r="H19" s="289"/>
      <c r="I19" s="290"/>
      <c r="J19" s="272"/>
      <c r="K19" s="273"/>
      <c r="L19" s="281"/>
      <c r="M19" s="109"/>
      <c r="O19" s="267"/>
      <c r="P19" s="267"/>
      <c r="Q19" s="267"/>
      <c r="R19" s="267"/>
      <c r="S19" s="274"/>
      <c r="T19" s="274"/>
      <c r="Y19" s="107"/>
      <c r="Z19" s="107"/>
      <c r="EA19" s="64"/>
      <c r="EB19" s="64"/>
      <c r="EC19" s="64"/>
      <c r="ED19" s="64"/>
      <c r="EE19" s="64"/>
      <c r="EF19" s="64"/>
      <c r="EG19" s="64"/>
      <c r="EH19" s="64"/>
      <c r="EI19" s="64"/>
      <c r="EJ19" s="64"/>
      <c r="EK19" s="64"/>
      <c r="EL19" s="64"/>
    </row>
    <row r="20" spans="1:142" ht="12.75" customHeight="1" thickBot="1" x14ac:dyDescent="0.25">
      <c r="A20" s="295"/>
      <c r="B20" s="293"/>
      <c r="C20" s="293"/>
      <c r="D20" s="293"/>
      <c r="E20" s="272"/>
      <c r="F20" s="283" t="s">
        <v>90</v>
      </c>
      <c r="G20" s="288"/>
      <c r="H20" s="289"/>
      <c r="I20" s="290"/>
      <c r="J20" s="272"/>
      <c r="K20" s="273"/>
      <c r="L20" s="281"/>
      <c r="M20" s="109"/>
      <c r="O20" s="267"/>
      <c r="P20" s="267"/>
      <c r="Q20" s="267"/>
      <c r="R20" s="267"/>
      <c r="S20" s="274"/>
      <c r="T20" s="274"/>
      <c r="EA20" s="64"/>
      <c r="EB20" s="64"/>
      <c r="EC20" s="64"/>
      <c r="ED20" s="64"/>
      <c r="EE20" s="64"/>
      <c r="EF20" s="64"/>
      <c r="EG20" s="64"/>
      <c r="EH20" s="64"/>
      <c r="EI20" s="64"/>
      <c r="EJ20" s="64"/>
      <c r="EK20" s="64"/>
      <c r="EL20" s="64"/>
    </row>
    <row r="21" spans="1:142" ht="12.75" customHeight="1" thickBot="1" x14ac:dyDescent="0.25">
      <c r="A21" s="1695" t="s">
        <v>208</v>
      </c>
      <c r="B21" s="1696"/>
      <c r="C21" s="1696"/>
      <c r="D21" s="1697"/>
      <c r="E21" s="272"/>
      <c r="F21" s="287" t="s">
        <v>90</v>
      </c>
      <c r="G21" s="288"/>
      <c r="H21" s="289"/>
      <c r="I21" s="290"/>
      <c r="J21" s="272"/>
      <c r="K21" s="273"/>
      <c r="L21" s="281"/>
      <c r="M21" s="109"/>
      <c r="O21" s="267"/>
      <c r="P21" s="267"/>
      <c r="Q21" s="267"/>
      <c r="R21" s="267"/>
      <c r="S21" s="274"/>
      <c r="T21" s="274"/>
      <c r="V21" s="107"/>
      <c r="EA21" s="64"/>
      <c r="EB21" s="64"/>
      <c r="EC21" s="64"/>
      <c r="ED21" s="64"/>
      <c r="EE21" s="64"/>
      <c r="EF21" s="64"/>
      <c r="EG21" s="64"/>
      <c r="EH21" s="64"/>
      <c r="EI21" s="64"/>
      <c r="EJ21" s="64"/>
      <c r="EK21" s="64"/>
      <c r="EL21" s="64"/>
    </row>
    <row r="22" spans="1:142" ht="12.75" customHeight="1" thickBot="1" x14ac:dyDescent="0.25">
      <c r="A22" s="296" t="str">
        <f>F5</f>
        <v>catégorie</v>
      </c>
      <c r="B22" s="280" t="str">
        <f>G5</f>
        <v>famille</v>
      </c>
      <c r="C22" s="280" t="str">
        <f>H5</f>
        <v>type</v>
      </c>
      <c r="D22" s="297" t="str">
        <f>I5</f>
        <v>Quantité</v>
      </c>
      <c r="E22" s="272"/>
      <c r="F22" s="283" t="s">
        <v>90</v>
      </c>
      <c r="G22" s="288"/>
      <c r="H22" s="289"/>
      <c r="I22" s="290"/>
      <c r="J22" s="272"/>
      <c r="K22" s="273"/>
      <c r="L22" s="281"/>
      <c r="O22" s="267"/>
      <c r="P22" s="267"/>
      <c r="Q22" s="267"/>
      <c r="R22" s="267"/>
      <c r="S22" s="274"/>
      <c r="T22" s="274"/>
      <c r="V22" s="107"/>
      <c r="W22" s="107"/>
      <c r="EA22" s="64"/>
      <c r="EB22" s="64"/>
      <c r="EC22" s="64"/>
      <c r="ED22" s="64"/>
      <c r="EE22" s="64"/>
      <c r="EF22" s="64"/>
      <c r="EG22" s="64"/>
      <c r="EH22" s="64"/>
      <c r="EI22" s="64"/>
      <c r="EJ22" s="64"/>
      <c r="EK22" s="64"/>
      <c r="EL22" s="64"/>
    </row>
    <row r="23" spans="1:142" ht="12.75" customHeight="1" x14ac:dyDescent="0.2">
      <c r="A23" s="283" t="s">
        <v>213</v>
      </c>
      <c r="B23" s="298" t="s">
        <v>183</v>
      </c>
      <c r="C23" s="299" t="s">
        <v>502</v>
      </c>
      <c r="D23" s="300"/>
      <c r="E23" s="272"/>
      <c r="F23" s="287" t="s">
        <v>90</v>
      </c>
      <c r="G23" s="288"/>
      <c r="H23" s="289"/>
      <c r="I23" s="290"/>
      <c r="J23" s="272"/>
      <c r="K23" s="273"/>
      <c r="L23" s="281"/>
      <c r="O23" s="267"/>
      <c r="P23" s="267"/>
      <c r="Q23" s="267"/>
      <c r="R23" s="267"/>
      <c r="S23" s="274"/>
      <c r="T23" s="274"/>
      <c r="W23" s="107"/>
      <c r="EA23" s="64"/>
      <c r="EB23" s="64"/>
      <c r="EC23" s="64"/>
      <c r="ED23" s="64"/>
      <c r="EE23" s="64"/>
      <c r="EF23" s="64"/>
      <c r="EG23" s="64"/>
      <c r="EH23" s="64"/>
      <c r="EI23" s="64"/>
      <c r="EJ23" s="64"/>
      <c r="EK23" s="64"/>
      <c r="EL23" s="64"/>
    </row>
    <row r="24" spans="1:142" ht="12.75" customHeight="1" x14ac:dyDescent="0.2">
      <c r="A24" s="301" t="s">
        <v>213</v>
      </c>
      <c r="B24" s="302" t="s">
        <v>183</v>
      </c>
      <c r="C24" s="303" t="s">
        <v>503</v>
      </c>
      <c r="D24" s="304"/>
      <c r="E24" s="272"/>
      <c r="F24" s="283" t="s">
        <v>90</v>
      </c>
      <c r="G24" s="288"/>
      <c r="H24" s="289"/>
      <c r="I24" s="290"/>
      <c r="J24" s="272"/>
      <c r="K24" s="273"/>
      <c r="L24" s="281"/>
      <c r="O24" s="267"/>
      <c r="P24" s="267"/>
      <c r="Q24" s="267"/>
      <c r="R24" s="267"/>
      <c r="S24" s="274"/>
      <c r="T24" s="274"/>
      <c r="EA24" s="64"/>
      <c r="EB24" s="64"/>
      <c r="EC24" s="64"/>
      <c r="ED24" s="64"/>
      <c r="EE24" s="64"/>
      <c r="EF24" s="64"/>
      <c r="EG24" s="64"/>
      <c r="EH24" s="64"/>
      <c r="EI24" s="64"/>
      <c r="EJ24" s="64"/>
      <c r="EK24" s="64"/>
      <c r="EL24" s="64"/>
    </row>
    <row r="25" spans="1:142" ht="12.75" customHeight="1" x14ac:dyDescent="0.2">
      <c r="A25" s="301" t="s">
        <v>213</v>
      </c>
      <c r="B25" s="302" t="s">
        <v>183</v>
      </c>
      <c r="C25" s="303" t="s">
        <v>504</v>
      </c>
      <c r="D25" s="304"/>
      <c r="E25" s="272"/>
      <c r="F25" s="287" t="s">
        <v>90</v>
      </c>
      <c r="G25" s="288"/>
      <c r="H25" s="289"/>
      <c r="I25" s="290"/>
      <c r="J25" s="272"/>
      <c r="K25" s="273"/>
      <c r="L25" s="281"/>
      <c r="O25" s="267"/>
      <c r="P25" s="267"/>
      <c r="Q25" s="267"/>
      <c r="R25" s="267"/>
      <c r="S25" s="274"/>
      <c r="T25" s="274"/>
      <c r="EA25" s="64"/>
      <c r="EB25" s="64"/>
      <c r="EC25" s="64"/>
      <c r="ED25" s="64"/>
      <c r="EE25" s="64"/>
      <c r="EF25" s="64"/>
      <c r="EG25" s="64"/>
      <c r="EH25" s="64"/>
      <c r="EI25" s="64"/>
      <c r="EJ25" s="64"/>
      <c r="EK25" s="64"/>
      <c r="EL25" s="64"/>
    </row>
    <row r="26" spans="1:142" ht="12.75" customHeight="1" thickBot="1" x14ac:dyDescent="0.25">
      <c r="A26" s="305" t="s">
        <v>213</v>
      </c>
      <c r="B26" s="306" t="s">
        <v>183</v>
      </c>
      <c r="C26" s="307" t="s">
        <v>613</v>
      </c>
      <c r="D26" s="308"/>
      <c r="E26" s="272"/>
      <c r="F26" s="283" t="s">
        <v>90</v>
      </c>
      <c r="G26" s="288"/>
      <c r="H26" s="289"/>
      <c r="I26" s="290"/>
      <c r="J26" s="272"/>
      <c r="K26" s="273"/>
      <c r="L26" s="281"/>
      <c r="O26" s="267"/>
      <c r="P26" s="267"/>
      <c r="Q26" s="267"/>
      <c r="R26" s="267"/>
      <c r="S26" s="274"/>
      <c r="T26" s="274"/>
      <c r="EA26" s="64"/>
      <c r="EB26" s="64"/>
      <c r="EC26" s="64"/>
      <c r="ED26" s="64"/>
      <c r="EE26" s="64"/>
      <c r="EF26" s="64"/>
      <c r="EG26" s="64"/>
      <c r="EH26" s="64"/>
      <c r="EI26" s="64"/>
      <c r="EJ26" s="64"/>
      <c r="EK26" s="64"/>
      <c r="EL26" s="64"/>
    </row>
    <row r="27" spans="1:142" ht="12.75" customHeight="1" x14ac:dyDescent="0.2">
      <c r="A27" s="283" t="s">
        <v>177</v>
      </c>
      <c r="B27" s="298" t="s">
        <v>183</v>
      </c>
      <c r="C27" s="299" t="s">
        <v>182</v>
      </c>
      <c r="D27" s="309"/>
      <c r="E27" s="272"/>
      <c r="F27" s="287" t="s">
        <v>90</v>
      </c>
      <c r="G27" s="288"/>
      <c r="H27" s="289"/>
      <c r="I27" s="290"/>
      <c r="J27" s="272"/>
      <c r="K27" s="273"/>
      <c r="L27" s="281"/>
      <c r="O27" s="267"/>
      <c r="P27" s="267"/>
      <c r="Q27" s="267"/>
      <c r="R27" s="267"/>
      <c r="S27" s="274"/>
      <c r="T27" s="274"/>
      <c r="EA27" s="64"/>
      <c r="EB27" s="64"/>
      <c r="EC27" s="64"/>
      <c r="ED27" s="64"/>
      <c r="EE27" s="64"/>
      <c r="EF27" s="64"/>
      <c r="EG27" s="64"/>
      <c r="EH27" s="64"/>
      <c r="EI27" s="64"/>
      <c r="EJ27" s="64"/>
      <c r="EK27" s="64"/>
      <c r="EL27" s="64"/>
    </row>
    <row r="28" spans="1:142" ht="12.75" customHeight="1" x14ac:dyDescent="0.2">
      <c r="A28" s="301" t="s">
        <v>177</v>
      </c>
      <c r="B28" s="302" t="s">
        <v>183</v>
      </c>
      <c r="C28" s="303" t="s">
        <v>181</v>
      </c>
      <c r="D28" s="304"/>
      <c r="E28" s="272"/>
      <c r="F28" s="283" t="s">
        <v>90</v>
      </c>
      <c r="G28" s="288"/>
      <c r="H28" s="289"/>
      <c r="I28" s="290"/>
      <c r="J28" s="272"/>
      <c r="K28" s="273"/>
      <c r="L28" s="281"/>
      <c r="N28" s="107"/>
      <c r="O28" s="107"/>
      <c r="P28" s="107"/>
      <c r="S28" s="274"/>
      <c r="T28" s="274"/>
      <c r="EA28" s="64"/>
      <c r="EB28" s="64"/>
      <c r="EC28" s="64"/>
      <c r="ED28" s="64"/>
      <c r="EE28" s="64"/>
      <c r="EF28" s="64"/>
      <c r="EG28" s="64"/>
      <c r="EH28" s="64"/>
      <c r="EI28" s="64"/>
      <c r="EJ28" s="64"/>
      <c r="EK28" s="64"/>
      <c r="EL28" s="64"/>
    </row>
    <row r="29" spans="1:142" ht="12.75" customHeight="1" x14ac:dyDescent="0.2">
      <c r="A29" s="301" t="s">
        <v>177</v>
      </c>
      <c r="B29" s="302" t="s">
        <v>183</v>
      </c>
      <c r="C29" s="303" t="s">
        <v>178</v>
      </c>
      <c r="D29" s="304"/>
      <c r="E29" s="272"/>
      <c r="F29" s="287" t="s">
        <v>90</v>
      </c>
      <c r="G29" s="288"/>
      <c r="H29" s="289"/>
      <c r="I29" s="290"/>
      <c r="J29" s="272"/>
      <c r="K29" s="273"/>
      <c r="L29" s="281"/>
      <c r="N29" s="107"/>
      <c r="O29" s="107"/>
      <c r="P29" s="107"/>
      <c r="S29" s="274"/>
      <c r="T29" s="274"/>
      <c r="EA29" s="64"/>
      <c r="EB29" s="64"/>
      <c r="EC29" s="64"/>
      <c r="ED29" s="64"/>
      <c r="EE29" s="64"/>
      <c r="EF29" s="64"/>
      <c r="EG29" s="64"/>
      <c r="EH29" s="64"/>
      <c r="EI29" s="64"/>
      <c r="EJ29" s="64"/>
      <c r="EK29" s="64"/>
      <c r="EL29" s="64"/>
    </row>
    <row r="30" spans="1:142" ht="12.75" customHeight="1" x14ac:dyDescent="0.2">
      <c r="A30" s="301" t="s">
        <v>177</v>
      </c>
      <c r="B30" s="302" t="s">
        <v>183</v>
      </c>
      <c r="C30" s="303" t="s">
        <v>179</v>
      </c>
      <c r="D30" s="304"/>
      <c r="E30" s="272"/>
      <c r="F30" s="283" t="s">
        <v>90</v>
      </c>
      <c r="G30" s="288"/>
      <c r="H30" s="289"/>
      <c r="I30" s="290"/>
      <c r="J30" s="272"/>
      <c r="K30" s="273"/>
      <c r="L30" s="281"/>
      <c r="P30" s="267"/>
      <c r="Q30" s="267"/>
      <c r="R30" s="267"/>
      <c r="S30" s="274"/>
      <c r="T30" s="274"/>
      <c r="EA30" s="64"/>
      <c r="EB30" s="64"/>
      <c r="EC30" s="64"/>
      <c r="ED30" s="64"/>
      <c r="EE30" s="64"/>
      <c r="EF30" s="64"/>
      <c r="EG30" s="64"/>
      <c r="EH30" s="64"/>
      <c r="EI30" s="64"/>
      <c r="EJ30" s="64"/>
      <c r="EK30" s="64"/>
      <c r="EL30" s="64"/>
    </row>
    <row r="31" spans="1:142" ht="12.75" customHeight="1" thickBot="1" x14ac:dyDescent="0.25">
      <c r="A31" s="310" t="s">
        <v>177</v>
      </c>
      <c r="B31" s="311" t="s">
        <v>183</v>
      </c>
      <c r="C31" s="312" t="s">
        <v>180</v>
      </c>
      <c r="D31" s="313"/>
      <c r="E31" s="272"/>
      <c r="F31" s="287" t="s">
        <v>90</v>
      </c>
      <c r="G31" s="288"/>
      <c r="H31" s="289"/>
      <c r="I31" s="290"/>
      <c r="J31" s="272"/>
      <c r="K31" s="273"/>
      <c r="L31" s="281"/>
      <c r="P31" s="267"/>
      <c r="Q31" s="267"/>
      <c r="R31" s="267"/>
      <c r="S31" s="274"/>
      <c r="T31" s="274"/>
      <c r="EA31" s="64"/>
      <c r="EB31" s="64"/>
      <c r="EC31" s="64"/>
      <c r="ED31" s="64"/>
      <c r="EE31" s="64"/>
      <c r="EF31" s="64"/>
      <c r="EG31" s="64"/>
      <c r="EH31" s="64"/>
      <c r="EI31" s="64"/>
      <c r="EJ31" s="64"/>
      <c r="EK31" s="64"/>
      <c r="EL31" s="64"/>
    </row>
    <row r="32" spans="1:142" ht="12.75" customHeight="1" x14ac:dyDescent="0.2">
      <c r="A32" s="271"/>
      <c r="B32" s="272"/>
      <c r="C32" s="272"/>
      <c r="D32" s="1133"/>
      <c r="E32" s="272"/>
      <c r="F32" s="283" t="s">
        <v>90</v>
      </c>
      <c r="G32" s="288"/>
      <c r="H32" s="289"/>
      <c r="I32" s="290"/>
      <c r="J32" s="272"/>
      <c r="K32" s="273"/>
      <c r="L32" s="281"/>
      <c r="P32" s="267"/>
      <c r="Q32" s="267"/>
      <c r="R32" s="267"/>
      <c r="S32" s="274"/>
      <c r="T32" s="274"/>
      <c r="EA32" s="64"/>
      <c r="EB32" s="64"/>
      <c r="EC32" s="64"/>
      <c r="ED32" s="64"/>
      <c r="EE32" s="64"/>
      <c r="EF32" s="64"/>
      <c r="EG32" s="64"/>
      <c r="EH32" s="64"/>
      <c r="EI32" s="64"/>
      <c r="EJ32" s="64"/>
      <c r="EK32" s="64"/>
      <c r="EL32" s="64"/>
    </row>
    <row r="33" spans="1:142" ht="12.75" customHeight="1" x14ac:dyDescent="0.2">
      <c r="A33" s="271"/>
      <c r="B33" s="272"/>
      <c r="C33" s="272"/>
      <c r="D33" s="272"/>
      <c r="E33" s="272"/>
      <c r="F33" s="287" t="s">
        <v>90</v>
      </c>
      <c r="G33" s="288"/>
      <c r="H33" s="289"/>
      <c r="I33" s="290"/>
      <c r="J33" s="272"/>
      <c r="K33" s="273"/>
      <c r="L33" s="281"/>
      <c r="P33" s="267"/>
      <c r="Q33" s="267"/>
      <c r="R33" s="267"/>
      <c r="S33" s="274"/>
      <c r="T33" s="274"/>
      <c r="EA33" s="64"/>
      <c r="EB33" s="64"/>
      <c r="EC33" s="64"/>
      <c r="ED33" s="64"/>
      <c r="EE33" s="64"/>
      <c r="EF33" s="64"/>
      <c r="EG33" s="64"/>
      <c r="EH33" s="64"/>
      <c r="EI33" s="64"/>
      <c r="EJ33" s="64"/>
      <c r="EK33" s="64"/>
      <c r="EL33" s="64"/>
    </row>
    <row r="34" spans="1:142" ht="12.75" customHeight="1" x14ac:dyDescent="0.2">
      <c r="A34" s="1688" t="str">
        <f>D1</f>
        <v>Cliques → ICI ←</v>
      </c>
      <c r="B34" s="1372"/>
      <c r="C34" s="1529" t="s">
        <v>1638</v>
      </c>
      <c r="D34" s="1530"/>
      <c r="E34" s="272"/>
      <c r="F34" s="283" t="s">
        <v>90</v>
      </c>
      <c r="G34" s="288"/>
      <c r="H34" s="289"/>
      <c r="I34" s="290"/>
      <c r="J34" s="272"/>
      <c r="K34" s="273"/>
      <c r="L34" s="281"/>
      <c r="P34" s="267"/>
      <c r="Q34" s="267"/>
      <c r="R34" s="267"/>
      <c r="S34" s="274"/>
      <c r="T34" s="274"/>
      <c r="EA34" s="64"/>
      <c r="EB34" s="64"/>
      <c r="EC34" s="64"/>
      <c r="ED34" s="64"/>
      <c r="EE34" s="64"/>
      <c r="EF34" s="64"/>
      <c r="EG34" s="64"/>
      <c r="EH34" s="64"/>
      <c r="EI34" s="64"/>
      <c r="EJ34" s="64"/>
      <c r="EK34" s="64"/>
      <c r="EL34" s="64"/>
    </row>
    <row r="35" spans="1:142" ht="12.75" customHeight="1" x14ac:dyDescent="0.2">
      <c r="A35" s="272"/>
      <c r="B35" s="272"/>
      <c r="C35" s="272"/>
      <c r="D35" s="272"/>
      <c r="E35" s="272"/>
      <c r="F35" s="287" t="s">
        <v>90</v>
      </c>
      <c r="G35" s="288"/>
      <c r="H35" s="289"/>
      <c r="I35" s="290"/>
      <c r="J35" s="272"/>
      <c r="K35" s="273"/>
      <c r="L35" s="281"/>
      <c r="P35" s="267"/>
      <c r="Q35" s="267"/>
      <c r="R35" s="267"/>
      <c r="T35" s="274"/>
      <c r="EA35" s="64"/>
      <c r="EB35" s="64"/>
      <c r="EC35" s="64"/>
      <c r="ED35" s="64"/>
      <c r="EE35" s="64"/>
      <c r="EF35" s="64"/>
      <c r="EG35" s="64"/>
      <c r="EH35" s="64"/>
      <c r="EI35" s="64"/>
      <c r="EJ35" s="64"/>
      <c r="EK35" s="64"/>
      <c r="EL35" s="64"/>
    </row>
    <row r="36" spans="1:142" ht="12.75" customHeight="1" x14ac:dyDescent="0.2">
      <c r="A36" s="271"/>
      <c r="B36" s="272"/>
      <c r="C36" s="272"/>
      <c r="D36" s="272"/>
      <c r="E36" s="272"/>
      <c r="F36" s="283" t="s">
        <v>90</v>
      </c>
      <c r="G36" s="288"/>
      <c r="H36" s="289"/>
      <c r="I36" s="290"/>
      <c r="J36" s="272"/>
      <c r="K36" s="273"/>
      <c r="L36" s="281"/>
      <c r="P36" s="267"/>
      <c r="Q36" s="267"/>
      <c r="R36" s="267"/>
      <c r="S36" s="274"/>
      <c r="T36" s="274"/>
      <c r="EA36" s="64"/>
      <c r="EB36" s="64"/>
      <c r="EC36" s="64"/>
      <c r="ED36" s="64"/>
      <c r="EE36" s="64"/>
      <c r="EF36" s="64"/>
      <c r="EG36" s="64"/>
      <c r="EH36" s="64"/>
      <c r="EI36" s="64"/>
      <c r="EJ36" s="64"/>
      <c r="EK36" s="64"/>
      <c r="EL36" s="64"/>
    </row>
    <row r="37" spans="1:142" ht="12.75" customHeight="1" x14ac:dyDescent="0.2">
      <c r="A37" s="271"/>
      <c r="B37" s="272"/>
      <c r="C37" s="272"/>
      <c r="D37" s="272"/>
      <c r="E37" s="272"/>
      <c r="F37" s="287" t="s">
        <v>90</v>
      </c>
      <c r="G37" s="288"/>
      <c r="H37" s="289"/>
      <c r="I37" s="290"/>
      <c r="J37" s="272"/>
      <c r="K37" s="273"/>
      <c r="L37" s="281"/>
      <c r="P37" s="267"/>
      <c r="Q37" s="267"/>
      <c r="R37" s="267"/>
      <c r="S37" s="274"/>
      <c r="T37" s="274"/>
      <c r="EA37" s="64"/>
      <c r="EB37" s="64"/>
      <c r="EC37" s="64"/>
      <c r="ED37" s="64"/>
      <c r="EE37" s="64"/>
      <c r="EF37" s="64"/>
      <c r="EG37" s="64"/>
      <c r="EH37" s="64"/>
      <c r="EI37" s="64"/>
      <c r="EJ37" s="64"/>
      <c r="EK37" s="64"/>
      <c r="EL37" s="64"/>
    </row>
    <row r="38" spans="1:142" ht="12.75" customHeight="1" x14ac:dyDescent="0.2">
      <c r="A38" s="271"/>
      <c r="B38" s="272"/>
      <c r="C38" s="272"/>
      <c r="D38" s="272"/>
      <c r="E38" s="272"/>
      <c r="F38" s="283" t="s">
        <v>90</v>
      </c>
      <c r="G38" s="288"/>
      <c r="H38" s="289"/>
      <c r="I38" s="290"/>
      <c r="J38" s="272"/>
      <c r="K38" s="273"/>
      <c r="L38" s="281"/>
      <c r="P38" s="267"/>
      <c r="Q38" s="267"/>
      <c r="R38" s="267"/>
      <c r="S38" s="274"/>
      <c r="T38" s="274"/>
      <c r="EA38" s="64"/>
      <c r="EB38" s="64"/>
      <c r="EC38" s="64"/>
      <c r="ED38" s="64"/>
      <c r="EE38" s="64"/>
      <c r="EF38" s="64"/>
      <c r="EG38" s="64"/>
      <c r="EH38" s="64"/>
      <c r="EI38" s="64"/>
      <c r="EJ38" s="64"/>
      <c r="EK38" s="64"/>
      <c r="EL38" s="64"/>
    </row>
    <row r="39" spans="1:142" ht="12.75" customHeight="1" x14ac:dyDescent="0.2">
      <c r="A39" s="271"/>
      <c r="B39" s="272"/>
      <c r="C39" s="272"/>
      <c r="D39" s="272"/>
      <c r="E39" s="272"/>
      <c r="F39" s="287" t="s">
        <v>90</v>
      </c>
      <c r="G39" s="288"/>
      <c r="H39" s="289"/>
      <c r="I39" s="290"/>
      <c r="J39" s="272"/>
      <c r="K39" s="273"/>
      <c r="L39" s="281"/>
      <c r="P39" s="267"/>
      <c r="Q39" s="267"/>
      <c r="R39" s="267"/>
      <c r="S39" s="274"/>
      <c r="T39" s="274"/>
      <c r="EA39" s="64"/>
      <c r="EB39" s="64"/>
      <c r="EC39" s="64"/>
      <c r="ED39" s="64"/>
      <c r="EE39" s="64"/>
      <c r="EF39" s="64"/>
      <c r="EG39" s="64"/>
      <c r="EH39" s="64"/>
      <c r="EI39" s="64"/>
      <c r="EJ39" s="64"/>
      <c r="EK39" s="64"/>
      <c r="EL39" s="64"/>
    </row>
    <row r="40" spans="1:142" ht="12.75" customHeight="1" x14ac:dyDescent="0.2">
      <c r="A40" s="271"/>
      <c r="B40" s="272"/>
      <c r="C40" s="272"/>
      <c r="D40" s="272"/>
      <c r="E40" s="272"/>
      <c r="F40" s="283" t="s">
        <v>90</v>
      </c>
      <c r="G40" s="288"/>
      <c r="H40" s="289"/>
      <c r="I40" s="290"/>
      <c r="J40" s="272"/>
      <c r="K40" s="273"/>
      <c r="L40" s="281"/>
      <c r="P40" s="267"/>
      <c r="Q40" s="267"/>
      <c r="R40" s="267"/>
      <c r="S40" s="274"/>
      <c r="T40" s="274"/>
      <c r="EA40" s="64"/>
      <c r="EB40" s="64"/>
      <c r="EC40" s="64"/>
      <c r="ED40" s="64"/>
      <c r="EE40" s="64"/>
      <c r="EF40" s="64"/>
      <c r="EG40" s="64"/>
      <c r="EH40" s="64"/>
      <c r="EI40" s="64"/>
      <c r="EJ40" s="64"/>
      <c r="EK40" s="64"/>
      <c r="EL40" s="64"/>
    </row>
    <row r="41" spans="1:142" ht="12.75" customHeight="1" x14ac:dyDescent="0.2">
      <c r="A41" s="271"/>
      <c r="B41" s="272"/>
      <c r="C41" s="272"/>
      <c r="D41" s="272"/>
      <c r="E41" s="272"/>
      <c r="F41" s="287" t="s">
        <v>90</v>
      </c>
      <c r="G41" s="288"/>
      <c r="H41" s="289"/>
      <c r="I41" s="290"/>
      <c r="J41" s="272"/>
      <c r="K41" s="273"/>
      <c r="L41" s="281"/>
      <c r="P41" s="267"/>
      <c r="Q41" s="267"/>
      <c r="R41" s="267"/>
      <c r="S41" s="274"/>
      <c r="T41" s="274"/>
      <c r="EA41" s="64"/>
      <c r="EB41" s="64"/>
      <c r="EC41" s="64"/>
      <c r="ED41" s="64"/>
      <c r="EE41" s="64"/>
      <c r="EF41" s="64"/>
      <c r="EG41" s="64"/>
      <c r="EH41" s="64"/>
      <c r="EI41" s="64"/>
      <c r="EJ41" s="64"/>
      <c r="EK41" s="64"/>
      <c r="EL41" s="64"/>
    </row>
    <row r="42" spans="1:142" ht="12.75" customHeight="1" x14ac:dyDescent="0.2">
      <c r="A42" s="271"/>
      <c r="B42" s="272"/>
      <c r="C42" s="272"/>
      <c r="D42" s="272"/>
      <c r="E42" s="272"/>
      <c r="F42" s="283" t="s">
        <v>90</v>
      </c>
      <c r="G42" s="288"/>
      <c r="H42" s="289"/>
      <c r="I42" s="290"/>
      <c r="J42" s="272"/>
      <c r="K42" s="273"/>
      <c r="L42" s="281"/>
      <c r="S42" s="274"/>
      <c r="T42" s="274"/>
      <c r="EA42" s="64"/>
      <c r="EB42" s="64"/>
      <c r="EC42" s="64"/>
      <c r="ED42" s="64"/>
      <c r="EE42" s="64"/>
      <c r="EF42" s="64"/>
      <c r="EG42" s="64"/>
      <c r="EH42" s="64"/>
      <c r="EI42" s="64"/>
      <c r="EJ42" s="64"/>
      <c r="EK42" s="64"/>
      <c r="EL42" s="64"/>
    </row>
    <row r="43" spans="1:142" ht="12.75" customHeight="1" x14ac:dyDescent="0.2">
      <c r="A43" s="271"/>
      <c r="B43" s="272"/>
      <c r="C43" s="272"/>
      <c r="D43" s="272"/>
      <c r="E43" s="272"/>
      <c r="F43" s="287" t="s">
        <v>90</v>
      </c>
      <c r="G43" s="288"/>
      <c r="H43" s="289"/>
      <c r="I43" s="290"/>
      <c r="J43" s="272"/>
      <c r="K43" s="273"/>
      <c r="L43" s="281"/>
      <c r="P43" s="267"/>
      <c r="Q43" s="267"/>
      <c r="R43" s="267"/>
      <c r="S43" s="274"/>
      <c r="T43" s="274"/>
      <c r="EA43" s="64"/>
      <c r="EB43" s="64"/>
      <c r="EC43" s="64"/>
      <c r="ED43" s="64"/>
      <c r="EE43" s="64"/>
      <c r="EF43" s="64"/>
      <c r="EG43" s="64"/>
      <c r="EH43" s="64"/>
      <c r="EI43" s="64"/>
      <c r="EJ43" s="64"/>
      <c r="EK43" s="64"/>
      <c r="EL43" s="64"/>
    </row>
    <row r="44" spans="1:142" ht="12.75" customHeight="1" x14ac:dyDescent="0.2">
      <c r="A44" s="271"/>
      <c r="B44" s="272"/>
      <c r="C44" s="272"/>
      <c r="D44" s="272"/>
      <c r="E44" s="272"/>
      <c r="F44" s="283" t="s">
        <v>90</v>
      </c>
      <c r="G44" s="288"/>
      <c r="H44" s="289"/>
      <c r="I44" s="290"/>
      <c r="J44" s="272"/>
      <c r="K44" s="273"/>
      <c r="L44" s="281"/>
      <c r="R44" s="267"/>
      <c r="S44" s="274"/>
      <c r="T44" s="274"/>
      <c r="EA44" s="64"/>
      <c r="EB44" s="64"/>
      <c r="EC44" s="64"/>
      <c r="ED44" s="64"/>
      <c r="EE44" s="64"/>
      <c r="EF44" s="64"/>
      <c r="EG44" s="64"/>
      <c r="EH44" s="64"/>
      <c r="EI44" s="64"/>
      <c r="EJ44" s="64"/>
      <c r="EK44" s="64"/>
      <c r="EL44" s="64"/>
    </row>
    <row r="45" spans="1:142" ht="12.75" customHeight="1" x14ac:dyDescent="0.2">
      <c r="A45" s="271"/>
      <c r="B45" s="272"/>
      <c r="C45" s="272"/>
      <c r="D45" s="272"/>
      <c r="E45" s="272"/>
      <c r="F45" s="287" t="s">
        <v>90</v>
      </c>
      <c r="G45" s="288"/>
      <c r="H45" s="289"/>
      <c r="I45" s="290"/>
      <c r="J45" s="272"/>
      <c r="K45" s="273"/>
      <c r="L45" s="281"/>
      <c r="N45" s="107"/>
      <c r="R45" s="267"/>
      <c r="S45" s="274"/>
      <c r="T45" s="274"/>
      <c r="EA45" s="64"/>
      <c r="EB45" s="64"/>
      <c r="EC45" s="64"/>
      <c r="ED45" s="64"/>
      <c r="EE45" s="64"/>
      <c r="EF45" s="64"/>
      <c r="EG45" s="64"/>
      <c r="EH45" s="64"/>
      <c r="EI45" s="64"/>
      <c r="EJ45" s="64"/>
      <c r="EK45" s="64"/>
      <c r="EL45" s="64"/>
    </row>
    <row r="46" spans="1:142" ht="12.75" customHeight="1" x14ac:dyDescent="0.2">
      <c r="A46" s="271"/>
      <c r="B46" s="272"/>
      <c r="C46" s="272"/>
      <c r="D46" s="272"/>
      <c r="E46" s="272"/>
      <c r="F46" s="283" t="s">
        <v>90</v>
      </c>
      <c r="G46" s="288"/>
      <c r="H46" s="289"/>
      <c r="I46" s="290"/>
      <c r="J46" s="272"/>
      <c r="K46" s="273"/>
      <c r="L46" s="281"/>
      <c r="P46" s="267"/>
      <c r="Q46" s="267"/>
      <c r="R46" s="267"/>
      <c r="S46" s="274"/>
      <c r="T46" s="274"/>
      <c r="EA46" s="64"/>
      <c r="EB46" s="64"/>
      <c r="EC46" s="64"/>
      <c r="ED46" s="64"/>
      <c r="EE46" s="64"/>
      <c r="EF46" s="64"/>
      <c r="EG46" s="64"/>
      <c r="EH46" s="64"/>
      <c r="EI46" s="64"/>
      <c r="EJ46" s="64"/>
      <c r="EK46" s="64"/>
      <c r="EL46" s="64"/>
    </row>
    <row r="47" spans="1:142" ht="12.75" customHeight="1" x14ac:dyDescent="0.2">
      <c r="A47" s="271"/>
      <c r="B47" s="272"/>
      <c r="C47" s="272"/>
      <c r="D47" s="272"/>
      <c r="E47" s="272"/>
      <c r="F47" s="287" t="s">
        <v>90</v>
      </c>
      <c r="G47" s="288"/>
      <c r="H47" s="289"/>
      <c r="I47" s="290"/>
      <c r="J47" s="272"/>
      <c r="K47" s="273"/>
      <c r="L47" s="281"/>
      <c r="P47" s="267"/>
      <c r="Q47" s="267"/>
      <c r="R47" s="267"/>
      <c r="T47" s="274"/>
      <c r="EA47" s="64"/>
      <c r="EB47" s="64"/>
      <c r="EC47" s="64"/>
      <c r="ED47" s="64"/>
      <c r="EE47" s="64"/>
      <c r="EF47" s="64"/>
      <c r="EG47" s="64"/>
      <c r="EH47" s="64"/>
      <c r="EI47" s="64"/>
      <c r="EJ47" s="64"/>
      <c r="EK47" s="64"/>
      <c r="EL47" s="64"/>
    </row>
    <row r="48" spans="1:142" ht="12.75" customHeight="1" x14ac:dyDescent="0.2">
      <c r="A48" s="271"/>
      <c r="B48" s="272"/>
      <c r="C48" s="272"/>
      <c r="D48" s="272"/>
      <c r="E48" s="272"/>
      <c r="F48" s="283" t="s">
        <v>90</v>
      </c>
      <c r="G48" s="288"/>
      <c r="H48" s="289"/>
      <c r="I48" s="290"/>
      <c r="J48" s="272"/>
      <c r="K48" s="273"/>
      <c r="L48" s="281"/>
      <c r="P48" s="267"/>
      <c r="Q48" s="267"/>
      <c r="R48" s="267"/>
      <c r="T48" s="274"/>
      <c r="EA48" s="64"/>
      <c r="EB48" s="64"/>
      <c r="EC48" s="64"/>
      <c r="ED48" s="64"/>
      <c r="EE48" s="64"/>
      <c r="EF48" s="64"/>
      <c r="EG48" s="64"/>
      <c r="EH48" s="64"/>
      <c r="EI48" s="64"/>
      <c r="EJ48" s="64"/>
      <c r="EK48" s="64"/>
      <c r="EL48" s="64"/>
    </row>
    <row r="49" spans="1:142" ht="12.75" customHeight="1" x14ac:dyDescent="0.2">
      <c r="A49" s="271"/>
      <c r="B49" s="272"/>
      <c r="C49" s="272"/>
      <c r="D49" s="272"/>
      <c r="E49" s="272"/>
      <c r="F49" s="287" t="s">
        <v>90</v>
      </c>
      <c r="G49" s="288"/>
      <c r="H49" s="289"/>
      <c r="I49" s="290"/>
      <c r="J49" s="272"/>
      <c r="K49" s="273"/>
      <c r="L49" s="281"/>
      <c r="P49" s="267"/>
      <c r="Q49" s="267"/>
      <c r="R49" s="267"/>
      <c r="T49" s="274"/>
      <c r="EA49" s="64"/>
      <c r="EB49" s="64"/>
      <c r="EC49" s="64"/>
      <c r="ED49" s="64"/>
      <c r="EE49" s="64"/>
      <c r="EF49" s="64"/>
      <c r="EG49" s="64"/>
      <c r="EH49" s="64"/>
      <c r="EI49" s="64"/>
      <c r="EJ49" s="64"/>
      <c r="EK49" s="64"/>
      <c r="EL49" s="64"/>
    </row>
    <row r="50" spans="1:142" ht="12.75" customHeight="1" x14ac:dyDescent="0.2">
      <c r="A50" s="271"/>
      <c r="B50" s="272"/>
      <c r="C50" s="272"/>
      <c r="D50" s="272"/>
      <c r="E50" s="272"/>
      <c r="F50" s="283" t="s">
        <v>90</v>
      </c>
      <c r="G50" s="288"/>
      <c r="H50" s="289"/>
      <c r="I50" s="290"/>
      <c r="J50" s="272"/>
      <c r="K50" s="273"/>
      <c r="L50" s="281"/>
      <c r="P50" s="267"/>
      <c r="Q50" s="267"/>
      <c r="R50" s="267"/>
      <c r="T50" s="274"/>
      <c r="EA50" s="64"/>
      <c r="EB50" s="64"/>
      <c r="EC50" s="64"/>
      <c r="ED50" s="64"/>
      <c r="EE50" s="64"/>
      <c r="EF50" s="64"/>
      <c r="EG50" s="64"/>
      <c r="EH50" s="64"/>
      <c r="EI50" s="64"/>
      <c r="EJ50" s="64"/>
      <c r="EK50" s="64"/>
      <c r="EL50" s="64"/>
    </row>
    <row r="51" spans="1:142" ht="12.75" customHeight="1" x14ac:dyDescent="0.2">
      <c r="A51" s="271"/>
      <c r="B51" s="272"/>
      <c r="C51" s="272"/>
      <c r="D51" s="272"/>
      <c r="E51" s="272"/>
      <c r="F51" s="287" t="s">
        <v>90</v>
      </c>
      <c r="G51" s="288"/>
      <c r="H51" s="289"/>
      <c r="I51" s="290"/>
      <c r="J51" s="272"/>
      <c r="K51" s="273"/>
      <c r="L51" s="281"/>
      <c r="P51" s="267"/>
      <c r="Q51" s="267"/>
      <c r="R51" s="267"/>
      <c r="S51" s="274"/>
      <c r="T51" s="274"/>
      <c r="EA51" s="64"/>
      <c r="EB51" s="64"/>
      <c r="EC51" s="64"/>
      <c r="ED51" s="64"/>
      <c r="EE51" s="64"/>
      <c r="EF51" s="64"/>
      <c r="EG51" s="64"/>
      <c r="EH51" s="64"/>
      <c r="EI51" s="64"/>
      <c r="EJ51" s="64"/>
      <c r="EK51" s="64"/>
      <c r="EL51" s="64"/>
    </row>
    <row r="52" spans="1:142" ht="12.75" customHeight="1" x14ac:dyDescent="0.2">
      <c r="A52" s="271"/>
      <c r="B52" s="272"/>
      <c r="C52" s="272"/>
      <c r="D52" s="272"/>
      <c r="E52" s="272"/>
      <c r="F52" s="283" t="s">
        <v>90</v>
      </c>
      <c r="G52" s="288"/>
      <c r="H52" s="289"/>
      <c r="I52" s="290"/>
      <c r="J52" s="272"/>
      <c r="K52" s="273"/>
      <c r="L52" s="281"/>
      <c r="P52" s="267"/>
      <c r="Q52" s="267"/>
      <c r="R52" s="267"/>
      <c r="S52" s="274"/>
      <c r="T52" s="274"/>
      <c r="EA52" s="64"/>
      <c r="EB52" s="64"/>
      <c r="EC52" s="64"/>
      <c r="ED52" s="64"/>
      <c r="EE52" s="64"/>
      <c r="EF52" s="64"/>
      <c r="EG52" s="64"/>
      <c r="EH52" s="64"/>
      <c r="EI52" s="64"/>
      <c r="EJ52" s="64"/>
      <c r="EK52" s="64"/>
      <c r="EL52" s="64"/>
    </row>
    <row r="53" spans="1:142" ht="12.75" customHeight="1" x14ac:dyDescent="0.2">
      <c r="A53" s="271"/>
      <c r="B53" s="272"/>
      <c r="C53" s="272"/>
      <c r="D53" s="272"/>
      <c r="E53" s="272"/>
      <c r="F53" s="287" t="s">
        <v>90</v>
      </c>
      <c r="G53" s="288"/>
      <c r="H53" s="289"/>
      <c r="I53" s="290"/>
      <c r="J53" s="272"/>
      <c r="K53" s="273"/>
      <c r="L53" s="281"/>
      <c r="P53" s="267"/>
      <c r="Q53" s="267"/>
      <c r="R53" s="267"/>
      <c r="S53" s="274"/>
      <c r="T53" s="274"/>
      <c r="EA53" s="64"/>
      <c r="EB53" s="64"/>
      <c r="EC53" s="64"/>
      <c r="ED53" s="64"/>
      <c r="EE53" s="64"/>
      <c r="EF53" s="64"/>
      <c r="EG53" s="64"/>
      <c r="EH53" s="64"/>
      <c r="EI53" s="64"/>
      <c r="EJ53" s="64"/>
      <c r="EK53" s="64"/>
      <c r="EL53" s="64"/>
    </row>
    <row r="54" spans="1:142" ht="12.75" customHeight="1" x14ac:dyDescent="0.2">
      <c r="A54" s="271"/>
      <c r="B54" s="272"/>
      <c r="C54" s="272"/>
      <c r="D54" s="272"/>
      <c r="E54" s="272"/>
      <c r="F54" s="283" t="s">
        <v>90</v>
      </c>
      <c r="G54" s="288"/>
      <c r="H54" s="289"/>
      <c r="I54" s="290"/>
      <c r="J54" s="272"/>
      <c r="K54" s="273"/>
      <c r="L54" s="281"/>
      <c r="P54" s="267"/>
      <c r="Q54" s="267"/>
      <c r="R54" s="267"/>
      <c r="S54" s="274"/>
      <c r="EA54" s="64"/>
      <c r="EB54" s="64"/>
      <c r="EC54" s="64"/>
      <c r="ED54" s="64"/>
      <c r="EE54" s="64"/>
      <c r="EF54" s="64"/>
      <c r="EG54" s="64"/>
      <c r="EH54" s="64"/>
      <c r="EI54" s="64"/>
      <c r="EJ54" s="64"/>
      <c r="EK54" s="64"/>
      <c r="EL54" s="64"/>
    </row>
    <row r="55" spans="1:142" ht="12.75" customHeight="1" x14ac:dyDescent="0.2">
      <c r="A55" s="271"/>
      <c r="B55" s="272"/>
      <c r="C55" s="272"/>
      <c r="D55" s="272"/>
      <c r="E55" s="272"/>
      <c r="F55" s="314" t="s">
        <v>90</v>
      </c>
      <c r="G55" s="288"/>
      <c r="H55" s="289"/>
      <c r="I55" s="290"/>
      <c r="J55" s="272"/>
      <c r="K55" s="273"/>
      <c r="L55" s="281"/>
      <c r="P55" s="267"/>
      <c r="Q55" s="267"/>
      <c r="R55" s="267"/>
      <c r="S55" s="274"/>
      <c r="EA55" s="64"/>
      <c r="EB55" s="64"/>
      <c r="EC55" s="64"/>
      <c r="ED55" s="64"/>
      <c r="EE55" s="64"/>
      <c r="EF55" s="64"/>
      <c r="EG55" s="64"/>
      <c r="EH55" s="64"/>
      <c r="EI55" s="64"/>
      <c r="EJ55" s="64"/>
      <c r="EK55" s="64"/>
      <c r="EL55" s="64"/>
    </row>
    <row r="56" spans="1:142" ht="12.75" customHeight="1" x14ac:dyDescent="0.2">
      <c r="A56" s="271"/>
      <c r="B56" s="272"/>
      <c r="C56" s="272"/>
      <c r="D56" s="272"/>
      <c r="E56" s="272"/>
      <c r="F56" s="315" t="s">
        <v>90</v>
      </c>
      <c r="G56" s="288"/>
      <c r="H56" s="289"/>
      <c r="I56" s="290"/>
      <c r="J56" s="272"/>
      <c r="K56" s="273"/>
      <c r="L56" s="281"/>
      <c r="P56" s="267"/>
      <c r="Q56" s="267"/>
      <c r="R56" s="267"/>
      <c r="S56" s="274"/>
      <c r="EA56" s="64"/>
      <c r="EB56" s="64"/>
      <c r="EC56" s="64"/>
      <c r="ED56" s="64"/>
      <c r="EE56" s="64"/>
      <c r="EF56" s="64"/>
      <c r="EG56" s="64"/>
      <c r="EH56" s="64"/>
      <c r="EI56" s="64"/>
      <c r="EJ56" s="64"/>
      <c r="EK56" s="64"/>
      <c r="EL56" s="64"/>
    </row>
    <row r="57" spans="1:142" ht="12.75" customHeight="1" x14ac:dyDescent="0.2">
      <c r="A57" s="271"/>
      <c r="B57" s="272"/>
      <c r="C57" s="272"/>
      <c r="D57" s="272"/>
      <c r="E57" s="272"/>
      <c r="F57" s="314" t="s">
        <v>90</v>
      </c>
      <c r="G57" s="288"/>
      <c r="H57" s="289"/>
      <c r="I57" s="290"/>
      <c r="J57" s="272"/>
      <c r="K57" s="273"/>
      <c r="L57" s="281"/>
      <c r="P57" s="267"/>
      <c r="Q57" s="267"/>
      <c r="R57" s="267"/>
      <c r="S57" s="274"/>
      <c r="EA57" s="64"/>
      <c r="EB57" s="64"/>
      <c r="EC57" s="64"/>
      <c r="ED57" s="64"/>
      <c r="EE57" s="64"/>
      <c r="EF57" s="64"/>
      <c r="EG57" s="64"/>
      <c r="EH57" s="64"/>
      <c r="EI57" s="64"/>
      <c r="EJ57" s="64"/>
      <c r="EK57" s="64"/>
      <c r="EL57" s="64"/>
    </row>
    <row r="58" spans="1:142" ht="12.75" customHeight="1" x14ac:dyDescent="0.2">
      <c r="A58" s="271"/>
      <c r="B58" s="272"/>
      <c r="C58" s="272"/>
      <c r="D58" s="272"/>
      <c r="E58" s="272"/>
      <c r="F58" s="315" t="s">
        <v>90</v>
      </c>
      <c r="G58" s="288"/>
      <c r="H58" s="289"/>
      <c r="I58" s="290"/>
      <c r="J58" s="272"/>
      <c r="K58" s="273"/>
      <c r="L58" s="281"/>
      <c r="P58" s="267"/>
      <c r="Q58" s="267"/>
      <c r="R58" s="267"/>
      <c r="S58" s="274"/>
      <c r="EA58" s="64"/>
      <c r="EB58" s="64"/>
      <c r="EC58" s="64"/>
      <c r="ED58" s="64"/>
      <c r="EE58" s="64"/>
      <c r="EF58" s="64"/>
      <c r="EG58" s="64"/>
      <c r="EH58" s="64"/>
      <c r="EI58" s="64"/>
      <c r="EJ58" s="64"/>
      <c r="EK58" s="64"/>
      <c r="EL58" s="64"/>
    </row>
    <row r="59" spans="1:142" ht="12.75" customHeight="1" x14ac:dyDescent="0.2">
      <c r="A59" s="271"/>
      <c r="B59" s="272"/>
      <c r="C59" s="272"/>
      <c r="D59" s="272"/>
      <c r="E59" s="272"/>
      <c r="F59" s="314" t="s">
        <v>90</v>
      </c>
      <c r="G59" s="288"/>
      <c r="H59" s="289"/>
      <c r="I59" s="290"/>
      <c r="J59" s="272"/>
      <c r="K59" s="273"/>
      <c r="L59" s="281"/>
      <c r="P59" s="267"/>
      <c r="Q59" s="267"/>
      <c r="R59" s="267"/>
      <c r="S59" s="274"/>
      <c r="EA59" s="64"/>
      <c r="EB59" s="64"/>
      <c r="EC59" s="64"/>
      <c r="ED59" s="64"/>
      <c r="EE59" s="64"/>
      <c r="EF59" s="64"/>
      <c r="EG59" s="64"/>
      <c r="EH59" s="64"/>
      <c r="EI59" s="64"/>
      <c r="EJ59" s="64"/>
      <c r="EK59" s="64"/>
      <c r="EL59" s="64"/>
    </row>
    <row r="60" spans="1:142" ht="12.75" customHeight="1" x14ac:dyDescent="0.2">
      <c r="A60" s="271"/>
      <c r="B60" s="272"/>
      <c r="C60" s="272"/>
      <c r="D60" s="272"/>
      <c r="E60" s="272"/>
      <c r="F60" s="315" t="s">
        <v>90</v>
      </c>
      <c r="G60" s="288"/>
      <c r="H60" s="289"/>
      <c r="I60" s="290"/>
      <c r="J60" s="272"/>
      <c r="K60" s="273"/>
      <c r="L60" s="281"/>
      <c r="P60" s="267"/>
      <c r="Q60" s="267"/>
      <c r="R60" s="267"/>
      <c r="S60" s="274"/>
      <c r="EA60" s="64"/>
      <c r="EB60" s="64"/>
      <c r="EC60" s="64"/>
      <c r="ED60" s="64"/>
      <c r="EE60" s="64"/>
      <c r="EF60" s="64"/>
      <c r="EG60" s="64"/>
      <c r="EH60" s="64"/>
      <c r="EI60" s="64"/>
      <c r="EJ60" s="64"/>
      <c r="EK60" s="64"/>
      <c r="EL60" s="64"/>
    </row>
    <row r="61" spans="1:142" ht="12.75" customHeight="1" x14ac:dyDescent="0.2">
      <c r="A61" s="271"/>
      <c r="B61" s="272"/>
      <c r="C61" s="272"/>
      <c r="D61" s="272"/>
      <c r="E61" s="272"/>
      <c r="F61" s="314" t="s">
        <v>90</v>
      </c>
      <c r="G61" s="288"/>
      <c r="H61" s="289"/>
      <c r="I61" s="290"/>
      <c r="J61" s="272"/>
      <c r="K61" s="273"/>
      <c r="L61" s="281"/>
      <c r="P61" s="267"/>
      <c r="Q61" s="267"/>
      <c r="R61" s="267"/>
      <c r="S61" s="274"/>
      <c r="EA61" s="64"/>
      <c r="EB61" s="64"/>
      <c r="EC61" s="64"/>
      <c r="ED61" s="64"/>
      <c r="EE61" s="64"/>
      <c r="EF61" s="64"/>
      <c r="EG61" s="64"/>
      <c r="EH61" s="64"/>
      <c r="EI61" s="64"/>
      <c r="EJ61" s="64"/>
      <c r="EK61" s="64"/>
      <c r="EL61" s="64"/>
    </row>
    <row r="62" spans="1:142" ht="12.75" customHeight="1" x14ac:dyDescent="0.2">
      <c r="A62" s="271"/>
      <c r="B62" s="272"/>
      <c r="C62" s="272"/>
      <c r="D62" s="272"/>
      <c r="E62" s="272"/>
      <c r="F62" s="315" t="s">
        <v>90</v>
      </c>
      <c r="G62" s="288"/>
      <c r="H62" s="289"/>
      <c r="I62" s="290"/>
      <c r="J62" s="272"/>
      <c r="K62" s="273"/>
      <c r="L62" s="281"/>
      <c r="P62" s="267"/>
      <c r="Q62" s="267"/>
      <c r="R62" s="267"/>
      <c r="S62" s="274"/>
      <c r="EA62" s="64"/>
      <c r="EB62" s="64"/>
      <c r="EC62" s="64"/>
      <c r="ED62" s="64"/>
      <c r="EE62" s="64"/>
      <c r="EF62" s="64"/>
      <c r="EG62" s="64"/>
      <c r="EH62" s="64"/>
      <c r="EI62" s="64"/>
      <c r="EJ62" s="64"/>
      <c r="EK62" s="64"/>
      <c r="EL62" s="64"/>
    </row>
    <row r="63" spans="1:142" ht="12.75" customHeight="1" x14ac:dyDescent="0.2">
      <c r="A63" s="271"/>
      <c r="B63" s="272"/>
      <c r="C63" s="272"/>
      <c r="D63" s="272"/>
      <c r="E63" s="272"/>
      <c r="F63" s="314" t="s">
        <v>90</v>
      </c>
      <c r="G63" s="288"/>
      <c r="H63" s="289"/>
      <c r="I63" s="290"/>
      <c r="J63" s="272"/>
      <c r="K63" s="273"/>
      <c r="L63" s="281"/>
      <c r="P63" s="267"/>
      <c r="Q63" s="267"/>
      <c r="R63" s="267"/>
      <c r="S63" s="274"/>
      <c r="EA63" s="64"/>
      <c r="EB63" s="64"/>
      <c r="EC63" s="64"/>
      <c r="ED63" s="64"/>
      <c r="EE63" s="64"/>
      <c r="EF63" s="64"/>
      <c r="EG63" s="64"/>
      <c r="EH63" s="64"/>
      <c r="EI63" s="64"/>
      <c r="EJ63" s="64"/>
      <c r="EK63" s="64"/>
      <c r="EL63" s="64"/>
    </row>
    <row r="64" spans="1:142" ht="12.75" customHeight="1" x14ac:dyDescent="0.2">
      <c r="A64" s="271"/>
      <c r="B64" s="272"/>
      <c r="C64" s="272"/>
      <c r="D64" s="272"/>
      <c r="E64" s="272"/>
      <c r="F64" s="315" t="s">
        <v>90</v>
      </c>
      <c r="G64" s="288"/>
      <c r="H64" s="289"/>
      <c r="I64" s="290"/>
      <c r="J64" s="272"/>
      <c r="K64" s="273"/>
      <c r="L64" s="281"/>
      <c r="P64" s="267"/>
      <c r="Q64" s="267"/>
      <c r="R64" s="267"/>
      <c r="S64" s="274"/>
      <c r="EA64" s="64"/>
      <c r="EB64" s="64"/>
      <c r="EC64" s="64"/>
      <c r="ED64" s="64"/>
      <c r="EE64" s="64"/>
      <c r="EF64" s="64"/>
      <c r="EG64" s="64"/>
      <c r="EH64" s="64"/>
      <c r="EI64" s="64"/>
      <c r="EJ64" s="64"/>
      <c r="EK64" s="64"/>
      <c r="EL64" s="64"/>
    </row>
    <row r="65" spans="1:142" ht="12.75" customHeight="1" x14ac:dyDescent="0.2">
      <c r="A65" s="271"/>
      <c r="B65" s="272"/>
      <c r="C65" s="272"/>
      <c r="D65" s="272"/>
      <c r="E65" s="272"/>
      <c r="F65" s="314" t="s">
        <v>90</v>
      </c>
      <c r="G65" s="288"/>
      <c r="H65" s="289"/>
      <c r="I65" s="290"/>
      <c r="J65" s="272"/>
      <c r="K65" s="273"/>
      <c r="L65" s="281"/>
      <c r="O65" s="107"/>
      <c r="P65" s="267"/>
      <c r="Q65" s="267"/>
      <c r="R65" s="267"/>
      <c r="S65" s="274"/>
      <c r="EA65" s="64"/>
      <c r="EB65" s="64"/>
      <c r="EC65" s="64"/>
      <c r="ED65" s="64"/>
      <c r="EE65" s="64"/>
      <c r="EF65" s="64"/>
      <c r="EG65" s="64"/>
      <c r="EH65" s="64"/>
      <c r="EI65" s="64"/>
      <c r="EJ65" s="64"/>
      <c r="EK65" s="64"/>
      <c r="EL65" s="64"/>
    </row>
    <row r="66" spans="1:142" ht="12.75" customHeight="1" x14ac:dyDescent="0.2">
      <c r="A66" s="271"/>
      <c r="B66" s="272"/>
      <c r="C66" s="272"/>
      <c r="D66" s="272"/>
      <c r="E66" s="272"/>
      <c r="F66" s="315" t="s">
        <v>90</v>
      </c>
      <c r="G66" s="288"/>
      <c r="H66" s="289"/>
      <c r="I66" s="290"/>
      <c r="J66" s="272"/>
      <c r="K66" s="273"/>
      <c r="L66" s="281"/>
      <c r="O66" s="107"/>
      <c r="P66" s="267"/>
      <c r="Q66" s="267"/>
      <c r="R66" s="267"/>
      <c r="S66" s="274"/>
      <c r="EA66" s="64"/>
      <c r="EB66" s="64"/>
      <c r="EC66" s="64"/>
      <c r="ED66" s="64"/>
      <c r="EE66" s="64"/>
      <c r="EF66" s="64"/>
      <c r="EG66" s="64"/>
      <c r="EH66" s="64"/>
      <c r="EI66" s="64"/>
      <c r="EJ66" s="64"/>
      <c r="EK66" s="64"/>
      <c r="EL66" s="64"/>
    </row>
    <row r="67" spans="1:142" ht="12.75" customHeight="1" x14ac:dyDescent="0.2">
      <c r="A67" s="271"/>
      <c r="B67" s="272"/>
      <c r="C67" s="272"/>
      <c r="D67" s="272"/>
      <c r="E67" s="272"/>
      <c r="F67" s="314" t="s">
        <v>90</v>
      </c>
      <c r="G67" s="288"/>
      <c r="H67" s="289"/>
      <c r="I67" s="290"/>
      <c r="J67" s="272"/>
      <c r="K67" s="273"/>
      <c r="L67" s="281"/>
      <c r="P67" s="267"/>
      <c r="Q67" s="267"/>
      <c r="R67" s="267"/>
      <c r="EA67" s="64"/>
      <c r="EB67" s="64"/>
      <c r="EC67" s="64"/>
      <c r="ED67" s="64"/>
      <c r="EE67" s="64"/>
      <c r="EF67" s="64"/>
      <c r="EG67" s="64"/>
      <c r="EH67" s="64"/>
      <c r="EI67" s="64"/>
      <c r="EJ67" s="64"/>
      <c r="EK67" s="64"/>
      <c r="EL67" s="64"/>
    </row>
    <row r="68" spans="1:142" ht="12.75" customHeight="1" x14ac:dyDescent="0.2">
      <c r="A68" s="271"/>
      <c r="B68" s="272"/>
      <c r="C68" s="272"/>
      <c r="D68" s="272"/>
      <c r="E68" s="272"/>
      <c r="F68" s="315" t="s">
        <v>90</v>
      </c>
      <c r="G68" s="288"/>
      <c r="H68" s="289"/>
      <c r="I68" s="290"/>
      <c r="J68" s="272"/>
      <c r="K68" s="273"/>
      <c r="L68" s="281"/>
      <c r="P68" s="267"/>
      <c r="Q68" s="267"/>
      <c r="R68" s="267"/>
      <c r="S68" s="274"/>
      <c r="EA68" s="64"/>
      <c r="EB68" s="64"/>
      <c r="EC68" s="64"/>
      <c r="ED68" s="64"/>
      <c r="EE68" s="64"/>
      <c r="EF68" s="64"/>
      <c r="EG68" s="64"/>
      <c r="EH68" s="64"/>
      <c r="EI68" s="64"/>
      <c r="EJ68" s="64"/>
      <c r="EK68" s="64"/>
      <c r="EL68" s="64"/>
    </row>
    <row r="69" spans="1:142" ht="12.75" customHeight="1" x14ac:dyDescent="0.2">
      <c r="A69" s="271"/>
      <c r="B69" s="272"/>
      <c r="C69" s="272"/>
      <c r="D69" s="272"/>
      <c r="E69" s="272"/>
      <c r="F69" s="314" t="s">
        <v>90</v>
      </c>
      <c r="G69" s="288"/>
      <c r="H69" s="289"/>
      <c r="I69" s="290"/>
      <c r="J69" s="272"/>
      <c r="K69" s="273"/>
      <c r="L69" s="281"/>
      <c r="P69" s="267"/>
      <c r="Q69" s="267"/>
      <c r="R69" s="267"/>
      <c r="S69" s="274"/>
      <c r="EA69" s="64"/>
      <c r="EB69" s="64"/>
      <c r="EC69" s="64"/>
      <c r="ED69" s="64"/>
      <c r="EE69" s="64"/>
      <c r="EF69" s="64"/>
      <c r="EG69" s="64"/>
      <c r="EH69" s="64"/>
      <c r="EI69" s="64"/>
      <c r="EJ69" s="64"/>
      <c r="EK69" s="64"/>
      <c r="EL69" s="64"/>
    </row>
    <row r="70" spans="1:142" ht="12.75" customHeight="1" x14ac:dyDescent="0.2">
      <c r="A70" s="271"/>
      <c r="B70" s="272"/>
      <c r="C70" s="272"/>
      <c r="D70" s="272"/>
      <c r="E70" s="272"/>
      <c r="F70" s="315" t="s">
        <v>90</v>
      </c>
      <c r="G70" s="288"/>
      <c r="H70" s="289"/>
      <c r="I70" s="290"/>
      <c r="J70" s="272"/>
      <c r="K70" s="273"/>
      <c r="L70" s="281"/>
      <c r="P70" s="267"/>
      <c r="Q70" s="267"/>
      <c r="R70" s="267"/>
      <c r="S70" s="274"/>
      <c r="EA70" s="64"/>
      <c r="EB70" s="64"/>
      <c r="EC70" s="64"/>
      <c r="ED70" s="64"/>
      <c r="EE70" s="64"/>
      <c r="EF70" s="64"/>
      <c r="EG70" s="64"/>
      <c r="EH70" s="64"/>
      <c r="EI70" s="64"/>
      <c r="EJ70" s="64"/>
      <c r="EK70" s="64"/>
      <c r="EL70" s="64"/>
    </row>
    <row r="71" spans="1:142" ht="12.75" customHeight="1" x14ac:dyDescent="0.2">
      <c r="A71" s="271"/>
      <c r="B71" s="272"/>
      <c r="C71" s="272"/>
      <c r="D71" s="272"/>
      <c r="E71" s="272"/>
      <c r="F71" s="314" t="s">
        <v>90</v>
      </c>
      <c r="G71" s="288"/>
      <c r="H71" s="289"/>
      <c r="I71" s="290"/>
      <c r="J71" s="272"/>
      <c r="K71" s="273"/>
      <c r="L71" s="281"/>
      <c r="P71" s="267"/>
      <c r="Q71" s="267"/>
      <c r="R71" s="267"/>
      <c r="S71" s="274"/>
      <c r="EA71" s="64"/>
      <c r="EB71" s="64"/>
      <c r="EC71" s="64"/>
      <c r="ED71" s="64"/>
      <c r="EE71" s="64"/>
      <c r="EF71" s="64"/>
      <c r="EG71" s="64"/>
      <c r="EH71" s="64"/>
      <c r="EI71" s="64"/>
      <c r="EJ71" s="64"/>
      <c r="EK71" s="64"/>
      <c r="EL71" s="64"/>
    </row>
    <row r="72" spans="1:142" ht="12.75" customHeight="1" x14ac:dyDescent="0.2">
      <c r="A72" s="271"/>
      <c r="B72" s="272"/>
      <c r="C72" s="272"/>
      <c r="D72" s="272"/>
      <c r="E72" s="272"/>
      <c r="F72" s="315" t="s">
        <v>90</v>
      </c>
      <c r="G72" s="288"/>
      <c r="H72" s="289"/>
      <c r="I72" s="290"/>
      <c r="J72" s="272"/>
      <c r="K72" s="273"/>
      <c r="L72" s="281"/>
      <c r="P72" s="267"/>
      <c r="Q72" s="267"/>
      <c r="R72" s="267"/>
      <c r="S72" s="274"/>
      <c r="EA72" s="64"/>
      <c r="EB72" s="64"/>
      <c r="EC72" s="64"/>
      <c r="ED72" s="64"/>
      <c r="EE72" s="64"/>
      <c r="EF72" s="64"/>
      <c r="EG72" s="64"/>
      <c r="EH72" s="64"/>
      <c r="EI72" s="64"/>
      <c r="EJ72" s="64"/>
      <c r="EK72" s="64"/>
      <c r="EL72" s="64"/>
    </row>
    <row r="73" spans="1:142" ht="12.75" customHeight="1" x14ac:dyDescent="0.2">
      <c r="A73" s="271"/>
      <c r="B73" s="272"/>
      <c r="C73" s="272"/>
      <c r="D73" s="272"/>
      <c r="E73" s="272"/>
      <c r="F73" s="314" t="s">
        <v>90</v>
      </c>
      <c r="G73" s="288"/>
      <c r="H73" s="289"/>
      <c r="I73" s="290"/>
      <c r="J73" s="272"/>
      <c r="K73" s="273"/>
      <c r="L73" s="281"/>
      <c r="P73" s="267"/>
      <c r="Q73" s="267"/>
      <c r="R73" s="267"/>
      <c r="EA73" s="64"/>
      <c r="EB73" s="64"/>
      <c r="EC73" s="64"/>
      <c r="ED73" s="64"/>
      <c r="EE73" s="64"/>
      <c r="EF73" s="64"/>
      <c r="EG73" s="64"/>
      <c r="EH73" s="64"/>
      <c r="EI73" s="64"/>
      <c r="EJ73" s="64"/>
      <c r="EK73" s="64"/>
      <c r="EL73" s="64"/>
    </row>
    <row r="74" spans="1:142" ht="12.75" customHeight="1" x14ac:dyDescent="0.2">
      <c r="A74" s="271"/>
      <c r="B74" s="272"/>
      <c r="C74" s="272"/>
      <c r="D74" s="272"/>
      <c r="E74" s="272"/>
      <c r="F74" s="315" t="s">
        <v>90</v>
      </c>
      <c r="G74" s="288"/>
      <c r="H74" s="289"/>
      <c r="I74" s="290"/>
      <c r="J74" s="272"/>
      <c r="K74" s="273"/>
      <c r="L74" s="281"/>
      <c r="P74" s="267"/>
      <c r="Q74" s="267"/>
      <c r="R74" s="267"/>
      <c r="EA74" s="64"/>
      <c r="EB74" s="64"/>
      <c r="EC74" s="64"/>
      <c r="ED74" s="64"/>
      <c r="EE74" s="64"/>
      <c r="EF74" s="64"/>
      <c r="EG74" s="64"/>
      <c r="EH74" s="64"/>
      <c r="EI74" s="64"/>
      <c r="EJ74" s="64"/>
      <c r="EK74" s="64"/>
      <c r="EL74" s="64"/>
    </row>
    <row r="75" spans="1:142" ht="12.75" customHeight="1" x14ac:dyDescent="0.2">
      <c r="A75" s="271"/>
      <c r="B75" s="272"/>
      <c r="C75" s="272"/>
      <c r="D75" s="272"/>
      <c r="E75" s="272"/>
      <c r="F75" s="314" t="s">
        <v>90</v>
      </c>
      <c r="G75" s="288"/>
      <c r="H75" s="289"/>
      <c r="I75" s="290"/>
      <c r="J75" s="272"/>
      <c r="K75" s="273"/>
      <c r="L75" s="281"/>
      <c r="P75" s="267"/>
      <c r="Q75" s="267"/>
      <c r="R75" s="267"/>
      <c r="EA75" s="64"/>
      <c r="EB75" s="64"/>
      <c r="EC75" s="64"/>
      <c r="ED75" s="64"/>
      <c r="EE75" s="64"/>
      <c r="EF75" s="64"/>
      <c r="EG75" s="64"/>
      <c r="EH75" s="64"/>
      <c r="EI75" s="64"/>
      <c r="EJ75" s="64"/>
      <c r="EK75" s="64"/>
      <c r="EL75" s="64"/>
    </row>
    <row r="76" spans="1:142" ht="12.75" customHeight="1" x14ac:dyDescent="0.2">
      <c r="A76" s="271"/>
      <c r="B76" s="272"/>
      <c r="C76" s="272"/>
      <c r="D76" s="272"/>
      <c r="E76" s="272"/>
      <c r="F76" s="315" t="s">
        <v>90</v>
      </c>
      <c r="G76" s="288"/>
      <c r="H76" s="289"/>
      <c r="I76" s="290"/>
      <c r="J76" s="272"/>
      <c r="K76" s="273"/>
      <c r="L76" s="281"/>
      <c r="P76" s="267"/>
      <c r="Q76" s="267"/>
      <c r="R76" s="267"/>
      <c r="EA76" s="64"/>
      <c r="EB76" s="64"/>
      <c r="EC76" s="64"/>
      <c r="ED76" s="64"/>
      <c r="EE76" s="64"/>
      <c r="EF76" s="64"/>
      <c r="EG76" s="64"/>
      <c r="EH76" s="64"/>
      <c r="EI76" s="64"/>
      <c r="EJ76" s="64"/>
      <c r="EK76" s="64"/>
      <c r="EL76" s="64"/>
    </row>
    <row r="77" spans="1:142" ht="12.75" customHeight="1" x14ac:dyDescent="0.2">
      <c r="A77" s="271"/>
      <c r="B77" s="272"/>
      <c r="C77" s="272"/>
      <c r="D77" s="272"/>
      <c r="E77" s="272"/>
      <c r="F77" s="314" t="s">
        <v>90</v>
      </c>
      <c r="G77" s="288"/>
      <c r="H77" s="289"/>
      <c r="I77" s="290"/>
      <c r="J77" s="272"/>
      <c r="K77" s="273"/>
      <c r="L77" s="281"/>
      <c r="P77" s="267"/>
      <c r="Q77" s="267"/>
      <c r="R77" s="267"/>
      <c r="EA77" s="64"/>
      <c r="EB77" s="64"/>
      <c r="EC77" s="64"/>
      <c r="ED77" s="64"/>
      <c r="EE77" s="64"/>
      <c r="EF77" s="64"/>
      <c r="EG77" s="64"/>
      <c r="EH77" s="64"/>
      <c r="EI77" s="64"/>
      <c r="EJ77" s="64"/>
      <c r="EK77" s="64"/>
      <c r="EL77" s="64"/>
    </row>
    <row r="78" spans="1:142" ht="12.75" customHeight="1" x14ac:dyDescent="0.2">
      <c r="A78" s="271"/>
      <c r="B78" s="272"/>
      <c r="C78" s="272"/>
      <c r="D78" s="272"/>
      <c r="E78" s="272"/>
      <c r="F78" s="315" t="s">
        <v>90</v>
      </c>
      <c r="G78" s="288"/>
      <c r="H78" s="289"/>
      <c r="I78" s="290"/>
      <c r="J78" s="272"/>
      <c r="K78" s="273"/>
      <c r="L78" s="281"/>
      <c r="P78" s="267"/>
      <c r="Q78" s="267"/>
      <c r="R78" s="267"/>
      <c r="EA78" s="64"/>
      <c r="EB78" s="64"/>
      <c r="EC78" s="64"/>
      <c r="ED78" s="64"/>
      <c r="EE78" s="64"/>
      <c r="EF78" s="64"/>
      <c r="EG78" s="64"/>
      <c r="EH78" s="64"/>
      <c r="EI78" s="64"/>
      <c r="EJ78" s="64"/>
      <c r="EK78" s="64"/>
      <c r="EL78" s="64"/>
    </row>
    <row r="79" spans="1:142" ht="12.75" customHeight="1" x14ac:dyDescent="0.2">
      <c r="A79" s="271"/>
      <c r="B79" s="272"/>
      <c r="C79" s="272"/>
      <c r="D79" s="272"/>
      <c r="E79" s="272"/>
      <c r="F79" s="314" t="s">
        <v>90</v>
      </c>
      <c r="G79" s="288"/>
      <c r="H79" s="289"/>
      <c r="I79" s="290"/>
      <c r="J79" s="272"/>
      <c r="K79" s="273"/>
      <c r="L79" s="281"/>
      <c r="P79" s="267"/>
      <c r="Q79" s="267"/>
      <c r="R79" s="267"/>
      <c r="EA79" s="64"/>
      <c r="EB79" s="64"/>
      <c r="EC79" s="64"/>
      <c r="ED79" s="64"/>
      <c r="EE79" s="64"/>
      <c r="EF79" s="64"/>
      <c r="EG79" s="64"/>
      <c r="EH79" s="64"/>
      <c r="EI79" s="64"/>
      <c r="EJ79" s="64"/>
      <c r="EK79" s="64"/>
      <c r="EL79" s="64"/>
    </row>
    <row r="80" spans="1:142" ht="12.75" customHeight="1" x14ac:dyDescent="0.2">
      <c r="A80" s="271"/>
      <c r="B80" s="272"/>
      <c r="C80" s="272"/>
      <c r="D80" s="272"/>
      <c r="E80" s="272"/>
      <c r="F80" s="315" t="s">
        <v>90</v>
      </c>
      <c r="G80" s="288"/>
      <c r="H80" s="289"/>
      <c r="I80" s="290"/>
      <c r="J80" s="272"/>
      <c r="K80" s="273"/>
      <c r="L80" s="281"/>
      <c r="P80" s="267"/>
      <c r="Q80" s="267"/>
      <c r="R80" s="267"/>
      <c r="EA80" s="64"/>
      <c r="EB80" s="64"/>
      <c r="EC80" s="64"/>
      <c r="ED80" s="64"/>
      <c r="EE80" s="64"/>
      <c r="EF80" s="64"/>
      <c r="EG80" s="64"/>
      <c r="EH80" s="64"/>
      <c r="EI80" s="64"/>
      <c r="EJ80" s="64"/>
      <c r="EK80" s="64"/>
      <c r="EL80" s="64"/>
    </row>
    <row r="81" spans="1:142" ht="12.75" customHeight="1" x14ac:dyDescent="0.2">
      <c r="A81" s="271"/>
      <c r="B81" s="272"/>
      <c r="C81" s="272"/>
      <c r="D81" s="272"/>
      <c r="E81" s="272"/>
      <c r="F81" s="314" t="s">
        <v>90</v>
      </c>
      <c r="G81" s="288"/>
      <c r="H81" s="289"/>
      <c r="I81" s="290"/>
      <c r="J81" s="272"/>
      <c r="K81" s="273"/>
      <c r="L81" s="281"/>
      <c r="P81" s="267"/>
      <c r="Q81" s="267"/>
      <c r="R81" s="267"/>
      <c r="EA81" s="64"/>
      <c r="EB81" s="64"/>
      <c r="EC81" s="64"/>
      <c r="ED81" s="64"/>
      <c r="EE81" s="64"/>
      <c r="EF81" s="64"/>
      <c r="EG81" s="64"/>
      <c r="EH81" s="64"/>
      <c r="EI81" s="64"/>
      <c r="EJ81" s="64"/>
      <c r="EK81" s="64"/>
      <c r="EL81" s="64"/>
    </row>
    <row r="82" spans="1:142" ht="12.75" customHeight="1" x14ac:dyDescent="0.2">
      <c r="A82" s="271"/>
      <c r="B82" s="272"/>
      <c r="C82" s="272"/>
      <c r="D82" s="272"/>
      <c r="E82" s="272"/>
      <c r="F82" s="315" t="s">
        <v>90</v>
      </c>
      <c r="G82" s="288"/>
      <c r="H82" s="289"/>
      <c r="I82" s="290"/>
      <c r="J82" s="272"/>
      <c r="K82" s="273"/>
      <c r="L82" s="281"/>
      <c r="P82" s="267"/>
      <c r="Q82" s="267"/>
      <c r="R82" s="267"/>
      <c r="EA82" s="64"/>
      <c r="EB82" s="64"/>
      <c r="EC82" s="64"/>
      <c r="ED82" s="64"/>
      <c r="EE82" s="64"/>
      <c r="EF82" s="64"/>
      <c r="EG82" s="64"/>
      <c r="EH82" s="64"/>
      <c r="EI82" s="64"/>
      <c r="EJ82" s="64"/>
      <c r="EK82" s="64"/>
      <c r="EL82" s="64"/>
    </row>
    <row r="83" spans="1:142" ht="12.75" customHeight="1" x14ac:dyDescent="0.2">
      <c r="A83" s="271"/>
      <c r="B83" s="272"/>
      <c r="C83" s="272"/>
      <c r="D83" s="272"/>
      <c r="E83" s="272"/>
      <c r="F83" s="314" t="s">
        <v>90</v>
      </c>
      <c r="G83" s="288"/>
      <c r="H83" s="289"/>
      <c r="I83" s="290"/>
      <c r="J83" s="272"/>
      <c r="K83" s="273"/>
      <c r="L83" s="281"/>
      <c r="P83" s="267"/>
      <c r="Q83" s="267"/>
      <c r="R83" s="267"/>
      <c r="EA83" s="64"/>
      <c r="EB83" s="64"/>
      <c r="EC83" s="64"/>
      <c r="ED83" s="64"/>
      <c r="EE83" s="64"/>
      <c r="EF83" s="64"/>
      <c r="EG83" s="64"/>
      <c r="EH83" s="64"/>
      <c r="EI83" s="64"/>
      <c r="EJ83" s="64"/>
      <c r="EK83" s="64"/>
      <c r="EL83" s="64"/>
    </row>
    <row r="84" spans="1:142" ht="12.75" customHeight="1" x14ac:dyDescent="0.2">
      <c r="A84" s="271"/>
      <c r="B84" s="272"/>
      <c r="C84" s="272"/>
      <c r="D84" s="272"/>
      <c r="E84" s="272"/>
      <c r="F84" s="315" t="s">
        <v>90</v>
      </c>
      <c r="G84" s="288"/>
      <c r="H84" s="289"/>
      <c r="I84" s="290"/>
      <c r="J84" s="272"/>
      <c r="K84" s="273"/>
      <c r="L84" s="281"/>
      <c r="P84" s="267"/>
      <c r="Q84" s="267"/>
      <c r="R84" s="267"/>
      <c r="EA84" s="64"/>
      <c r="EB84" s="64"/>
      <c r="EC84" s="64"/>
      <c r="ED84" s="64"/>
      <c r="EE84" s="64"/>
      <c r="EF84" s="64"/>
      <c r="EG84" s="64"/>
      <c r="EH84" s="64"/>
      <c r="EI84" s="64"/>
      <c r="EJ84" s="64"/>
      <c r="EK84" s="64"/>
      <c r="EL84" s="64"/>
    </row>
    <row r="85" spans="1:142" ht="12.75" customHeight="1" x14ac:dyDescent="0.2">
      <c r="A85" s="271"/>
      <c r="B85" s="272"/>
      <c r="C85" s="272"/>
      <c r="D85" s="272"/>
      <c r="E85" s="272"/>
      <c r="F85" s="314" t="s">
        <v>90</v>
      </c>
      <c r="G85" s="288"/>
      <c r="H85" s="289"/>
      <c r="I85" s="290"/>
      <c r="J85" s="272"/>
      <c r="K85" s="273"/>
      <c r="L85" s="281"/>
      <c r="P85" s="267"/>
      <c r="Q85" s="267"/>
      <c r="R85" s="267"/>
      <c r="EA85" s="64"/>
      <c r="EB85" s="64"/>
      <c r="EC85" s="64"/>
      <c r="ED85" s="64"/>
      <c r="EE85" s="64"/>
      <c r="EF85" s="64"/>
      <c r="EG85" s="64"/>
      <c r="EH85" s="64"/>
      <c r="EI85" s="64"/>
      <c r="EJ85" s="64"/>
      <c r="EK85" s="64"/>
      <c r="EL85" s="64"/>
    </row>
    <row r="86" spans="1:142" ht="12.75" customHeight="1" x14ac:dyDescent="0.2">
      <c r="A86" s="271"/>
      <c r="B86" s="272"/>
      <c r="C86" s="272"/>
      <c r="D86" s="272"/>
      <c r="E86" s="272"/>
      <c r="F86" s="315" t="s">
        <v>90</v>
      </c>
      <c r="G86" s="288"/>
      <c r="H86" s="289"/>
      <c r="I86" s="290"/>
      <c r="J86" s="272"/>
      <c r="K86" s="273"/>
      <c r="L86" s="281"/>
      <c r="P86" s="267"/>
      <c r="Q86" s="267"/>
      <c r="R86" s="267"/>
      <c r="EA86" s="64"/>
      <c r="EB86" s="64"/>
      <c r="EC86" s="64"/>
      <c r="ED86" s="64"/>
      <c r="EE86" s="64"/>
      <c r="EF86" s="64"/>
      <c r="EG86" s="64"/>
      <c r="EH86" s="64"/>
      <c r="EI86" s="64"/>
      <c r="EJ86" s="64"/>
      <c r="EK86" s="64"/>
      <c r="EL86" s="64"/>
    </row>
    <row r="87" spans="1:142" ht="12.75" customHeight="1" x14ac:dyDescent="0.2">
      <c r="A87" s="271"/>
      <c r="B87" s="272"/>
      <c r="C87" s="272"/>
      <c r="D87" s="272"/>
      <c r="E87" s="272"/>
      <c r="F87" s="314" t="s">
        <v>90</v>
      </c>
      <c r="G87" s="288"/>
      <c r="H87" s="289"/>
      <c r="I87" s="290"/>
      <c r="J87" s="272"/>
      <c r="K87" s="273"/>
      <c r="L87" s="281"/>
      <c r="P87" s="267"/>
      <c r="Q87" s="267"/>
      <c r="R87" s="267"/>
      <c r="EA87" s="64"/>
      <c r="EB87" s="64"/>
      <c r="EC87" s="64"/>
      <c r="ED87" s="64"/>
      <c r="EE87" s="64"/>
      <c r="EF87" s="64"/>
      <c r="EG87" s="64"/>
      <c r="EH87" s="64"/>
      <c r="EI87" s="64"/>
      <c r="EJ87" s="64"/>
      <c r="EK87" s="64"/>
      <c r="EL87" s="64"/>
    </row>
    <row r="88" spans="1:142" ht="12.75" customHeight="1" x14ac:dyDescent="0.2">
      <c r="A88" s="271"/>
      <c r="B88" s="272"/>
      <c r="C88" s="272"/>
      <c r="D88" s="272"/>
      <c r="E88" s="272"/>
      <c r="F88" s="315" t="s">
        <v>90</v>
      </c>
      <c r="G88" s="288"/>
      <c r="H88" s="289"/>
      <c r="I88" s="290"/>
      <c r="J88" s="272"/>
      <c r="K88" s="273"/>
      <c r="L88" s="281"/>
      <c r="P88" s="267"/>
      <c r="Q88" s="267"/>
      <c r="R88" s="267"/>
      <c r="EA88" s="64"/>
      <c r="EB88" s="64"/>
      <c r="EC88" s="64"/>
      <c r="ED88" s="64"/>
      <c r="EE88" s="64"/>
      <c r="EF88" s="64"/>
      <c r="EG88" s="64"/>
      <c r="EH88" s="64"/>
      <c r="EI88" s="64"/>
      <c r="EJ88" s="64"/>
      <c r="EK88" s="64"/>
      <c r="EL88" s="64"/>
    </row>
    <row r="89" spans="1:142" ht="12.75" customHeight="1" x14ac:dyDescent="0.2">
      <c r="A89" s="271"/>
      <c r="B89" s="272"/>
      <c r="C89" s="272"/>
      <c r="D89" s="272"/>
      <c r="E89" s="272"/>
      <c r="F89" s="314" t="s">
        <v>90</v>
      </c>
      <c r="G89" s="288"/>
      <c r="H89" s="289"/>
      <c r="I89" s="290"/>
      <c r="J89" s="272"/>
      <c r="K89" s="273"/>
      <c r="L89" s="281"/>
      <c r="P89" s="267"/>
      <c r="Q89" s="267"/>
      <c r="R89" s="267"/>
      <c r="EA89" s="64"/>
      <c r="EB89" s="64"/>
      <c r="EC89" s="64"/>
      <c r="ED89" s="64"/>
      <c r="EE89" s="64"/>
      <c r="EF89" s="64"/>
      <c r="EG89" s="64"/>
      <c r="EH89" s="64"/>
      <c r="EI89" s="64"/>
      <c r="EJ89" s="64"/>
      <c r="EK89" s="64"/>
      <c r="EL89" s="64"/>
    </row>
    <row r="90" spans="1:142" ht="12.75" customHeight="1" x14ac:dyDescent="0.2">
      <c r="A90" s="271"/>
      <c r="B90" s="272"/>
      <c r="C90" s="272"/>
      <c r="D90" s="272"/>
      <c r="E90" s="272"/>
      <c r="F90" s="315" t="s">
        <v>90</v>
      </c>
      <c r="G90" s="288"/>
      <c r="H90" s="289"/>
      <c r="I90" s="290"/>
      <c r="J90" s="272"/>
      <c r="K90" s="273"/>
      <c r="L90" s="281"/>
      <c r="P90" s="267"/>
      <c r="Q90" s="267"/>
      <c r="R90" s="267"/>
      <c r="EA90" s="64"/>
      <c r="EB90" s="64"/>
      <c r="EC90" s="64"/>
      <c r="ED90" s="64"/>
      <c r="EE90" s="64"/>
      <c r="EF90" s="64"/>
      <c r="EG90" s="64"/>
      <c r="EH90" s="64"/>
      <c r="EI90" s="64"/>
      <c r="EJ90" s="64"/>
      <c r="EK90" s="64"/>
      <c r="EL90" s="64"/>
    </row>
    <row r="91" spans="1:142" ht="12.75" customHeight="1" x14ac:dyDescent="0.2">
      <c r="A91" s="271"/>
      <c r="B91" s="272"/>
      <c r="C91" s="272"/>
      <c r="D91" s="272"/>
      <c r="E91" s="272"/>
      <c r="F91" s="314" t="s">
        <v>90</v>
      </c>
      <c r="G91" s="288"/>
      <c r="H91" s="289"/>
      <c r="I91" s="290"/>
      <c r="J91" s="272"/>
      <c r="K91" s="273"/>
      <c r="L91" s="281"/>
      <c r="P91" s="267"/>
      <c r="Q91" s="267"/>
      <c r="R91" s="267"/>
      <c r="EA91" s="64"/>
      <c r="EB91" s="64"/>
      <c r="EC91" s="64"/>
      <c r="ED91" s="64"/>
      <c r="EE91" s="64"/>
      <c r="EF91" s="64"/>
      <c r="EG91" s="64"/>
      <c r="EH91" s="64"/>
      <c r="EI91" s="64"/>
      <c r="EJ91" s="64"/>
      <c r="EK91" s="64"/>
      <c r="EL91" s="64"/>
    </row>
    <row r="92" spans="1:142" ht="12.75" customHeight="1" x14ac:dyDescent="0.2">
      <c r="A92" s="271"/>
      <c r="B92" s="272"/>
      <c r="C92" s="272"/>
      <c r="D92" s="272"/>
      <c r="E92" s="272"/>
      <c r="F92" s="315" t="s">
        <v>90</v>
      </c>
      <c r="G92" s="288"/>
      <c r="H92" s="289"/>
      <c r="I92" s="290"/>
      <c r="J92" s="272"/>
      <c r="K92" s="273"/>
      <c r="L92" s="281"/>
      <c r="N92" s="107"/>
      <c r="P92" s="267"/>
      <c r="Q92" s="267"/>
      <c r="R92" s="267"/>
      <c r="EA92" s="64"/>
      <c r="EB92" s="64"/>
      <c r="EC92" s="64"/>
      <c r="ED92" s="64"/>
      <c r="EE92" s="64"/>
      <c r="EF92" s="64"/>
      <c r="EG92" s="64"/>
      <c r="EH92" s="64"/>
      <c r="EI92" s="64"/>
      <c r="EJ92" s="64"/>
      <c r="EK92" s="64"/>
      <c r="EL92" s="64"/>
    </row>
    <row r="93" spans="1:142" ht="12.75" customHeight="1" x14ac:dyDescent="0.2">
      <c r="A93" s="271"/>
      <c r="B93" s="272"/>
      <c r="C93" s="272"/>
      <c r="D93" s="272"/>
      <c r="E93" s="272"/>
      <c r="F93" s="314" t="s">
        <v>90</v>
      </c>
      <c r="G93" s="288"/>
      <c r="H93" s="289"/>
      <c r="I93" s="290"/>
      <c r="J93" s="272"/>
      <c r="K93" s="273"/>
      <c r="L93" s="281"/>
      <c r="P93" s="267"/>
      <c r="Q93" s="267"/>
      <c r="R93" s="267"/>
      <c r="EA93" s="64"/>
      <c r="EB93" s="64"/>
      <c r="EC93" s="64"/>
      <c r="ED93" s="64"/>
      <c r="EE93" s="64"/>
      <c r="EF93" s="64"/>
      <c r="EG93" s="64"/>
      <c r="EH93" s="64"/>
      <c r="EI93" s="64"/>
      <c r="EJ93" s="64"/>
      <c r="EK93" s="64"/>
      <c r="EL93" s="64"/>
    </row>
    <row r="94" spans="1:142" ht="12.75" customHeight="1" x14ac:dyDescent="0.2">
      <c r="A94" s="271"/>
      <c r="B94" s="272"/>
      <c r="C94" s="272"/>
      <c r="D94" s="272"/>
      <c r="E94" s="272"/>
      <c r="F94" s="315" t="s">
        <v>90</v>
      </c>
      <c r="G94" s="288"/>
      <c r="H94" s="289"/>
      <c r="I94" s="290"/>
      <c r="J94" s="272"/>
      <c r="K94" s="273"/>
      <c r="L94" s="281"/>
      <c r="P94" s="267"/>
      <c r="Q94" s="267"/>
      <c r="R94" s="267"/>
      <c r="EA94" s="64"/>
      <c r="EB94" s="64"/>
      <c r="EC94" s="64"/>
      <c r="ED94" s="64"/>
      <c r="EE94" s="64"/>
      <c r="EF94" s="64"/>
      <c r="EG94" s="64"/>
      <c r="EH94" s="64"/>
      <c r="EI94" s="64"/>
      <c r="EJ94" s="64"/>
      <c r="EK94" s="64"/>
      <c r="EL94" s="64"/>
    </row>
    <row r="95" spans="1:142" ht="12.75" customHeight="1" x14ac:dyDescent="0.2">
      <c r="A95" s="271"/>
      <c r="B95" s="272"/>
      <c r="C95" s="272"/>
      <c r="D95" s="272"/>
      <c r="E95" s="272"/>
      <c r="F95" s="314" t="s">
        <v>90</v>
      </c>
      <c r="G95" s="288"/>
      <c r="H95" s="289"/>
      <c r="I95" s="290"/>
      <c r="J95" s="272"/>
      <c r="K95" s="273"/>
      <c r="L95" s="281"/>
      <c r="P95" s="267"/>
      <c r="Q95" s="267"/>
      <c r="R95" s="267"/>
      <c r="EA95" s="64"/>
      <c r="EB95" s="64"/>
      <c r="EC95" s="64"/>
      <c r="ED95" s="64"/>
      <c r="EE95" s="64"/>
      <c r="EF95" s="64"/>
      <c r="EG95" s="64"/>
      <c r="EH95" s="64"/>
      <c r="EI95" s="64"/>
      <c r="EJ95" s="64"/>
      <c r="EK95" s="64"/>
      <c r="EL95" s="64"/>
    </row>
    <row r="96" spans="1:142" ht="12.75" customHeight="1" x14ac:dyDescent="0.2">
      <c r="A96" s="271"/>
      <c r="B96" s="272"/>
      <c r="C96" s="272"/>
      <c r="D96" s="272"/>
      <c r="E96" s="272"/>
      <c r="F96" s="315" t="s">
        <v>90</v>
      </c>
      <c r="G96" s="288"/>
      <c r="H96" s="289"/>
      <c r="I96" s="290"/>
      <c r="J96" s="272"/>
      <c r="K96" s="273"/>
      <c r="L96" s="281"/>
      <c r="P96" s="267"/>
      <c r="Q96" s="267"/>
      <c r="R96" s="267"/>
      <c r="EA96" s="64"/>
      <c r="EB96" s="64"/>
      <c r="EC96" s="64"/>
      <c r="ED96" s="64"/>
      <c r="EE96" s="64"/>
      <c r="EF96" s="64"/>
      <c r="EG96" s="64"/>
      <c r="EH96" s="64"/>
      <c r="EI96" s="64"/>
      <c r="EJ96" s="64"/>
      <c r="EK96" s="64"/>
      <c r="EL96" s="64"/>
    </row>
    <row r="97" spans="1:142" ht="12.75" customHeight="1" x14ac:dyDescent="0.2">
      <c r="A97" s="271"/>
      <c r="B97" s="272"/>
      <c r="C97" s="272"/>
      <c r="D97" s="272"/>
      <c r="E97" s="272"/>
      <c r="F97" s="314" t="s">
        <v>90</v>
      </c>
      <c r="G97" s="288"/>
      <c r="H97" s="289"/>
      <c r="I97" s="290"/>
      <c r="J97" s="272"/>
      <c r="K97" s="273"/>
      <c r="L97" s="281"/>
      <c r="N97" s="268"/>
      <c r="P97" s="267"/>
      <c r="Q97" s="267"/>
      <c r="R97" s="267"/>
      <c r="EA97" s="64"/>
      <c r="EB97" s="64"/>
      <c r="EC97" s="64"/>
      <c r="ED97" s="64"/>
      <c r="EE97" s="64"/>
      <c r="EF97" s="64"/>
      <c r="EG97" s="64"/>
      <c r="EH97" s="64"/>
      <c r="EI97" s="64"/>
      <c r="EJ97" s="64"/>
      <c r="EK97" s="64"/>
      <c r="EL97" s="64"/>
    </row>
    <row r="98" spans="1:142" ht="12.75" customHeight="1" x14ac:dyDescent="0.2">
      <c r="A98" s="271"/>
      <c r="B98" s="272"/>
      <c r="C98" s="272"/>
      <c r="D98" s="272"/>
      <c r="E98" s="272"/>
      <c r="F98" s="315" t="s">
        <v>90</v>
      </c>
      <c r="G98" s="288"/>
      <c r="H98" s="289"/>
      <c r="I98" s="290"/>
      <c r="J98" s="272"/>
      <c r="K98" s="273"/>
      <c r="L98" s="281"/>
      <c r="P98" s="267"/>
      <c r="Q98" s="267"/>
      <c r="R98" s="267"/>
      <c r="EA98" s="64"/>
      <c r="EB98" s="64"/>
      <c r="EC98" s="64"/>
      <c r="ED98" s="64"/>
      <c r="EE98" s="64"/>
      <c r="EF98" s="64"/>
      <c r="EG98" s="64"/>
      <c r="EH98" s="64"/>
      <c r="EI98" s="64"/>
      <c r="EJ98" s="64"/>
      <c r="EK98" s="64"/>
      <c r="EL98" s="64"/>
    </row>
    <row r="99" spans="1:142" ht="12.75" customHeight="1" x14ac:dyDescent="0.2">
      <c r="A99" s="271"/>
      <c r="B99" s="272"/>
      <c r="C99" s="272"/>
      <c r="D99" s="272"/>
      <c r="E99" s="272"/>
      <c r="F99" s="314" t="s">
        <v>90</v>
      </c>
      <c r="G99" s="288"/>
      <c r="H99" s="289"/>
      <c r="I99" s="290"/>
      <c r="J99" s="272"/>
      <c r="K99" s="273"/>
      <c r="L99" s="281"/>
      <c r="P99" s="267"/>
      <c r="Q99" s="267"/>
      <c r="R99" s="267"/>
      <c r="EA99" s="64"/>
      <c r="EB99" s="64"/>
      <c r="EC99" s="64"/>
      <c r="ED99" s="64"/>
      <c r="EE99" s="64"/>
      <c r="EF99" s="64"/>
      <c r="EG99" s="64"/>
      <c r="EH99" s="64"/>
      <c r="EI99" s="64"/>
      <c r="EJ99" s="64"/>
      <c r="EK99" s="64"/>
      <c r="EL99" s="64"/>
    </row>
    <row r="100" spans="1:142" ht="12.75" customHeight="1" x14ac:dyDescent="0.2">
      <c r="A100" s="271"/>
      <c r="B100" s="272"/>
      <c r="C100" s="272"/>
      <c r="D100" s="272"/>
      <c r="E100" s="272"/>
      <c r="F100" s="315" t="s">
        <v>90</v>
      </c>
      <c r="G100" s="288"/>
      <c r="H100" s="289"/>
      <c r="I100" s="290"/>
      <c r="J100" s="272"/>
      <c r="K100" s="273"/>
      <c r="L100" s="281"/>
      <c r="P100" s="267"/>
      <c r="Q100" s="267"/>
      <c r="R100" s="267"/>
      <c r="EA100" s="64"/>
      <c r="EB100" s="64"/>
      <c r="EC100" s="64"/>
      <c r="ED100" s="64"/>
      <c r="EE100" s="64"/>
      <c r="EF100" s="64"/>
      <c r="EG100" s="64"/>
      <c r="EH100" s="64"/>
      <c r="EI100" s="64"/>
      <c r="EJ100" s="64"/>
      <c r="EK100" s="64"/>
      <c r="EL100" s="64"/>
    </row>
    <row r="101" spans="1:142" ht="12.75" customHeight="1" x14ac:dyDescent="0.2">
      <c r="A101" s="271"/>
      <c r="B101" s="272"/>
      <c r="C101" s="272"/>
      <c r="D101" s="272"/>
      <c r="E101" s="272"/>
      <c r="F101" s="314" t="s">
        <v>90</v>
      </c>
      <c r="G101" s="288"/>
      <c r="H101" s="289"/>
      <c r="I101" s="290"/>
      <c r="J101" s="272"/>
      <c r="K101" s="273"/>
      <c r="L101" s="281"/>
      <c r="P101" s="267"/>
      <c r="Q101" s="267"/>
      <c r="R101" s="267"/>
      <c r="EA101" s="64"/>
      <c r="EB101" s="64"/>
      <c r="EC101" s="64"/>
      <c r="ED101" s="64"/>
      <c r="EE101" s="64"/>
      <c r="EF101" s="64"/>
      <c r="EG101" s="64"/>
      <c r="EH101" s="64"/>
      <c r="EI101" s="64"/>
      <c r="EJ101" s="64"/>
      <c r="EK101" s="64"/>
      <c r="EL101" s="64"/>
    </row>
    <row r="102" spans="1:142" ht="12.75" customHeight="1" x14ac:dyDescent="0.2">
      <c r="A102" s="271"/>
      <c r="B102" s="272"/>
      <c r="C102" s="272"/>
      <c r="D102" s="272"/>
      <c r="E102" s="272"/>
      <c r="F102" s="315" t="s">
        <v>90</v>
      </c>
      <c r="G102" s="288"/>
      <c r="H102" s="289"/>
      <c r="I102" s="290"/>
      <c r="J102" s="272"/>
      <c r="K102" s="273"/>
      <c r="L102" s="281"/>
      <c r="P102" s="267"/>
      <c r="Q102" s="267"/>
      <c r="R102" s="267"/>
      <c r="EA102" s="64"/>
      <c r="EB102" s="64"/>
      <c r="EC102" s="64"/>
      <c r="ED102" s="64"/>
      <c r="EE102" s="64"/>
      <c r="EF102" s="64"/>
      <c r="EG102" s="64"/>
      <c r="EH102" s="64"/>
      <c r="EI102" s="64"/>
      <c r="EJ102" s="64"/>
      <c r="EK102" s="64"/>
      <c r="EL102" s="64"/>
    </row>
    <row r="103" spans="1:142" ht="12.75" customHeight="1" x14ac:dyDescent="0.2">
      <c r="A103" s="271"/>
      <c r="B103" s="272"/>
      <c r="C103" s="272"/>
      <c r="D103" s="272"/>
      <c r="E103" s="272"/>
      <c r="F103" s="314" t="s">
        <v>90</v>
      </c>
      <c r="G103" s="288"/>
      <c r="H103" s="289"/>
      <c r="I103" s="290"/>
      <c r="J103" s="272"/>
      <c r="K103" s="273"/>
      <c r="L103" s="281"/>
      <c r="P103" s="267"/>
      <c r="Q103" s="267"/>
      <c r="R103" s="267"/>
      <c r="EA103" s="64"/>
      <c r="EB103" s="64"/>
      <c r="EC103" s="64"/>
      <c r="ED103" s="64"/>
      <c r="EE103" s="64"/>
      <c r="EF103" s="64"/>
      <c r="EG103" s="64"/>
      <c r="EH103" s="64"/>
      <c r="EI103" s="64"/>
      <c r="EJ103" s="64"/>
      <c r="EK103" s="64"/>
      <c r="EL103" s="64"/>
    </row>
    <row r="104" spans="1:142" ht="12.75" customHeight="1" x14ac:dyDescent="0.2">
      <c r="A104" s="271"/>
      <c r="B104" s="272"/>
      <c r="C104" s="272"/>
      <c r="D104" s="272"/>
      <c r="E104" s="272"/>
      <c r="F104" s="315" t="s">
        <v>90</v>
      </c>
      <c r="G104" s="288"/>
      <c r="H104" s="289"/>
      <c r="I104" s="290"/>
      <c r="J104" s="272"/>
      <c r="K104" s="273"/>
      <c r="L104" s="281"/>
      <c r="P104" s="267"/>
      <c r="Q104" s="267"/>
      <c r="R104" s="267"/>
      <c r="EA104" s="64"/>
      <c r="EB104" s="64"/>
      <c r="EC104" s="64"/>
      <c r="ED104" s="64"/>
      <c r="EE104" s="64"/>
      <c r="EF104" s="64"/>
      <c r="EG104" s="64"/>
      <c r="EH104" s="64"/>
      <c r="EI104" s="64"/>
      <c r="EJ104" s="64"/>
      <c r="EK104" s="64"/>
      <c r="EL104" s="64"/>
    </row>
    <row r="105" spans="1:142" ht="12.75" customHeight="1" thickBot="1" x14ac:dyDescent="0.25">
      <c r="A105" s="271"/>
      <c r="B105" s="272"/>
      <c r="C105" s="272"/>
      <c r="D105" s="272"/>
      <c r="E105" s="272"/>
      <c r="F105" s="316" t="s">
        <v>90</v>
      </c>
      <c r="G105" s="317"/>
      <c r="H105" s="318"/>
      <c r="I105" s="319"/>
      <c r="J105" s="272"/>
      <c r="K105" s="273"/>
      <c r="L105" s="267"/>
      <c r="P105" s="267"/>
      <c r="Q105" s="267"/>
      <c r="R105" s="267"/>
      <c r="EA105" s="64"/>
      <c r="EB105" s="64"/>
      <c r="EC105" s="64"/>
      <c r="ED105" s="64"/>
      <c r="EE105" s="64"/>
      <c r="EF105" s="64"/>
      <c r="EG105" s="64"/>
      <c r="EH105" s="64"/>
      <c r="EI105" s="64"/>
      <c r="EJ105" s="64"/>
      <c r="EK105" s="64"/>
      <c r="EL105" s="64"/>
    </row>
    <row r="106" spans="1:142" ht="12.75" customHeight="1" x14ac:dyDescent="0.2">
      <c r="A106" s="271"/>
      <c r="B106" s="272"/>
      <c r="C106" s="272"/>
      <c r="D106" s="272"/>
      <c r="E106" s="272"/>
      <c r="F106" s="272"/>
      <c r="G106" s="1133"/>
      <c r="H106" s="1133"/>
      <c r="I106" s="1133"/>
      <c r="J106" s="272"/>
      <c r="K106" s="273"/>
      <c r="L106" s="267"/>
      <c r="P106" s="267"/>
      <c r="Q106" s="267"/>
      <c r="R106" s="267"/>
      <c r="EA106" s="64"/>
      <c r="EB106" s="64"/>
      <c r="EC106" s="64"/>
      <c r="ED106" s="64"/>
      <c r="EE106" s="64"/>
      <c r="EF106" s="64"/>
      <c r="EG106" s="64"/>
      <c r="EH106" s="64"/>
      <c r="EI106" s="64"/>
      <c r="EJ106" s="64"/>
      <c r="EK106" s="64"/>
      <c r="EL106" s="64"/>
    </row>
    <row r="107" spans="1:142" ht="12.75" customHeight="1" x14ac:dyDescent="0.2">
      <c r="A107" s="271"/>
      <c r="B107" s="1473" t="s">
        <v>575</v>
      </c>
      <c r="C107" s="1474"/>
      <c r="D107" s="1372" t="s">
        <v>162</v>
      </c>
      <c r="E107" s="1373"/>
      <c r="F107" s="272"/>
      <c r="G107" s="272"/>
      <c r="H107" s="272"/>
      <c r="I107" s="272"/>
      <c r="J107" s="272"/>
      <c r="K107" s="273"/>
      <c r="L107" s="267"/>
      <c r="P107" s="267"/>
      <c r="Q107" s="267"/>
      <c r="R107" s="267"/>
      <c r="EA107" s="64"/>
      <c r="EB107" s="64"/>
      <c r="EC107" s="64"/>
      <c r="ED107" s="64"/>
      <c r="EE107" s="64"/>
      <c r="EF107" s="64"/>
      <c r="EG107" s="64"/>
      <c r="EH107" s="64"/>
      <c r="EI107" s="64"/>
      <c r="EJ107" s="64"/>
      <c r="EK107" s="64"/>
      <c r="EL107" s="64"/>
    </row>
    <row r="108" spans="1:142" ht="12.75" customHeight="1" thickBot="1" x14ac:dyDescent="0.25">
      <c r="A108" s="320"/>
      <c r="B108" s="321"/>
      <c r="C108" s="321"/>
      <c r="D108" s="321"/>
      <c r="E108" s="321"/>
      <c r="F108" s="321"/>
      <c r="G108" s="321"/>
      <c r="H108" s="321"/>
      <c r="I108" s="321"/>
      <c r="J108" s="321"/>
      <c r="K108" s="322"/>
      <c r="L108" s="267"/>
      <c r="P108" s="267"/>
      <c r="Q108" s="267"/>
      <c r="R108" s="267"/>
      <c r="EA108" s="64"/>
      <c r="EB108" s="64"/>
      <c r="EC108" s="64"/>
      <c r="ED108" s="64"/>
      <c r="EE108" s="64"/>
      <c r="EF108" s="64"/>
      <c r="EG108" s="64"/>
      <c r="EH108" s="64"/>
      <c r="EI108" s="64"/>
      <c r="EJ108" s="64"/>
      <c r="EK108" s="64"/>
      <c r="EL108" s="64"/>
    </row>
    <row r="109" spans="1:142" ht="12.75" customHeight="1" x14ac:dyDescent="0.2">
      <c r="A109" s="108"/>
      <c r="B109" s="108"/>
      <c r="C109" s="108"/>
      <c r="D109" s="108"/>
      <c r="E109" s="108"/>
      <c r="F109" s="108"/>
      <c r="G109" s="108"/>
      <c r="H109" s="267"/>
      <c r="I109" s="267"/>
      <c r="K109" s="267"/>
      <c r="L109" s="267"/>
      <c r="P109" s="267"/>
      <c r="Q109" s="267"/>
      <c r="R109" s="267"/>
      <c r="EA109" s="64"/>
      <c r="EB109" s="64"/>
      <c r="EC109" s="64"/>
      <c r="ED109" s="64"/>
      <c r="EE109" s="64"/>
      <c r="EF109" s="64"/>
      <c r="EG109" s="64"/>
      <c r="EH109" s="64"/>
      <c r="EI109" s="64"/>
      <c r="EJ109" s="64"/>
      <c r="EK109" s="64"/>
      <c r="EL109" s="64"/>
    </row>
    <row r="110" spans="1:142" ht="12.75" customHeight="1" x14ac:dyDescent="0.2">
      <c r="A110" s="108"/>
      <c r="B110" s="108"/>
      <c r="C110" s="108"/>
      <c r="D110" s="108"/>
      <c r="E110" s="108"/>
      <c r="F110" s="108"/>
      <c r="G110" s="108"/>
      <c r="H110" s="267"/>
      <c r="I110" s="267"/>
      <c r="K110" s="267"/>
      <c r="L110" s="267"/>
      <c r="P110" s="267"/>
      <c r="Q110" s="267"/>
      <c r="R110" s="267"/>
      <c r="EA110" s="64"/>
      <c r="EB110" s="64"/>
      <c r="EC110" s="64"/>
      <c r="ED110" s="64"/>
      <c r="EE110" s="64"/>
      <c r="EF110" s="64"/>
      <c r="EG110" s="64"/>
      <c r="EH110" s="64"/>
      <c r="EI110" s="64"/>
      <c r="EJ110" s="64"/>
      <c r="EK110" s="64"/>
      <c r="EL110" s="64"/>
    </row>
    <row r="111" spans="1:142" ht="12.75" customHeight="1" x14ac:dyDescent="0.2">
      <c r="A111" s="108"/>
      <c r="B111" s="108"/>
      <c r="C111" s="108"/>
      <c r="D111" s="108"/>
      <c r="E111" s="108"/>
      <c r="F111" s="108"/>
      <c r="G111" s="108"/>
      <c r="H111" s="267"/>
      <c r="I111" s="267"/>
      <c r="K111" s="267"/>
      <c r="L111" s="267"/>
      <c r="P111" s="267"/>
      <c r="Q111" s="267"/>
      <c r="R111" s="267"/>
      <c r="EA111" s="64"/>
      <c r="EB111" s="64"/>
      <c r="EC111" s="64"/>
      <c r="ED111" s="64"/>
      <c r="EE111" s="64"/>
      <c r="EF111" s="64"/>
      <c r="EG111" s="64"/>
      <c r="EH111" s="64"/>
      <c r="EI111" s="64"/>
      <c r="EJ111" s="64"/>
      <c r="EK111" s="64"/>
      <c r="EL111" s="64"/>
    </row>
    <row r="112" spans="1:142" ht="12.75" customHeight="1" x14ac:dyDescent="0.2">
      <c r="A112" s="108"/>
      <c r="B112" s="108"/>
      <c r="C112" s="108"/>
      <c r="D112" s="108"/>
      <c r="E112" s="108"/>
      <c r="F112" s="108"/>
      <c r="G112" s="108"/>
      <c r="H112" s="267"/>
      <c r="I112" s="267"/>
      <c r="K112" s="267"/>
      <c r="L112" s="267"/>
      <c r="P112" s="267"/>
      <c r="Q112" s="267"/>
      <c r="R112" s="267"/>
      <c r="EA112" s="64"/>
      <c r="EB112" s="64"/>
      <c r="EC112" s="64"/>
      <c r="ED112" s="64"/>
      <c r="EE112" s="64"/>
      <c r="EF112" s="64"/>
      <c r="EG112" s="64"/>
      <c r="EH112" s="64"/>
      <c r="EI112" s="64"/>
      <c r="EJ112" s="64"/>
      <c r="EK112" s="64"/>
      <c r="EL112" s="64"/>
    </row>
    <row r="113" spans="1:142" ht="12.75" customHeight="1" x14ac:dyDescent="0.2">
      <c r="A113" s="108"/>
      <c r="B113" s="108"/>
      <c r="C113" s="108"/>
      <c r="D113" s="108"/>
      <c r="E113" s="108"/>
      <c r="F113" s="108"/>
      <c r="G113" s="108"/>
      <c r="H113" s="267"/>
      <c r="I113" s="267"/>
      <c r="K113" s="267"/>
      <c r="L113" s="267"/>
      <c r="P113" s="267"/>
      <c r="Q113" s="267"/>
      <c r="R113" s="267"/>
      <c r="EA113" s="64"/>
      <c r="EB113" s="64"/>
      <c r="EC113" s="64"/>
      <c r="ED113" s="64"/>
      <c r="EE113" s="64"/>
      <c r="EF113" s="64"/>
      <c r="EG113" s="64"/>
      <c r="EH113" s="64"/>
      <c r="EI113" s="64"/>
      <c r="EJ113" s="64"/>
      <c r="EK113" s="64"/>
      <c r="EL113" s="64"/>
    </row>
    <row r="114" spans="1:142" ht="12.75" customHeight="1" x14ac:dyDescent="0.2">
      <c r="A114" s="108"/>
      <c r="B114" s="108"/>
      <c r="C114" s="108"/>
      <c r="D114" s="108"/>
      <c r="E114" s="108"/>
      <c r="F114" s="108"/>
      <c r="G114" s="108"/>
      <c r="H114" s="267"/>
      <c r="I114" s="267"/>
      <c r="K114" s="267"/>
      <c r="L114" s="267"/>
      <c r="P114" s="267"/>
      <c r="Q114" s="267"/>
      <c r="R114" s="267"/>
      <c r="EA114" s="64"/>
      <c r="EB114" s="64"/>
      <c r="EC114" s="64"/>
      <c r="ED114" s="64"/>
      <c r="EE114" s="64"/>
      <c r="EF114" s="64"/>
      <c r="EG114" s="64"/>
      <c r="EH114" s="64"/>
      <c r="EI114" s="64"/>
      <c r="EJ114" s="64"/>
      <c r="EK114" s="64"/>
      <c r="EL114" s="64"/>
    </row>
    <row r="115" spans="1:142" ht="12.75" customHeight="1" x14ac:dyDescent="0.2">
      <c r="A115" s="108"/>
      <c r="B115" s="108"/>
      <c r="C115" s="108"/>
      <c r="D115" s="108"/>
      <c r="E115" s="108"/>
      <c r="F115" s="108"/>
      <c r="G115" s="108"/>
      <c r="H115" s="267"/>
      <c r="I115" s="267"/>
      <c r="K115" s="267"/>
      <c r="L115" s="267"/>
      <c r="EA115" s="64"/>
      <c r="EB115" s="64"/>
      <c r="EC115" s="64"/>
      <c r="ED115" s="64"/>
      <c r="EE115" s="64"/>
      <c r="EF115" s="64"/>
      <c r="EG115" s="64"/>
      <c r="EH115" s="64"/>
      <c r="EI115" s="64"/>
      <c r="EJ115" s="64"/>
      <c r="EK115" s="64"/>
      <c r="EL115" s="64"/>
    </row>
    <row r="116" spans="1:142" ht="12.75" customHeight="1" x14ac:dyDescent="0.2">
      <c r="A116" s="108"/>
      <c r="B116" s="108"/>
      <c r="C116" s="108"/>
      <c r="D116" s="108"/>
      <c r="E116" s="108"/>
      <c r="F116" s="108"/>
      <c r="G116" s="108"/>
      <c r="H116" s="267"/>
      <c r="I116" s="267"/>
      <c r="K116" s="267"/>
      <c r="L116" s="267"/>
      <c r="EA116" s="64"/>
      <c r="EB116" s="64"/>
      <c r="EC116" s="64"/>
      <c r="ED116" s="64"/>
      <c r="EE116" s="64"/>
      <c r="EF116" s="64"/>
      <c r="EG116" s="64"/>
      <c r="EH116" s="64"/>
      <c r="EI116" s="64"/>
      <c r="EJ116" s="64"/>
      <c r="EK116" s="64"/>
      <c r="EL116" s="64"/>
    </row>
    <row r="117" spans="1:142" ht="12.75" customHeight="1" x14ac:dyDescent="0.2">
      <c r="A117" s="108"/>
      <c r="B117" s="108"/>
      <c r="C117" s="108"/>
      <c r="D117" s="108"/>
      <c r="E117" s="108"/>
      <c r="F117" s="108"/>
      <c r="G117" s="108"/>
      <c r="H117" s="267"/>
      <c r="I117" s="267"/>
      <c r="K117" s="267"/>
      <c r="L117" s="267"/>
      <c r="EA117" s="64"/>
      <c r="EB117" s="64"/>
      <c r="EC117" s="64"/>
      <c r="ED117" s="64"/>
      <c r="EE117" s="64"/>
      <c r="EF117" s="64"/>
      <c r="EG117" s="64"/>
      <c r="EH117" s="64"/>
      <c r="EI117" s="64"/>
      <c r="EJ117" s="64"/>
      <c r="EK117" s="64"/>
      <c r="EL117" s="64"/>
    </row>
    <row r="118" spans="1:142" ht="12.75" customHeight="1" x14ac:dyDescent="0.2">
      <c r="A118" s="108"/>
      <c r="B118" s="108"/>
      <c r="C118" s="108"/>
      <c r="D118" s="108"/>
      <c r="E118" s="108"/>
      <c r="F118" s="108"/>
      <c r="G118" s="108"/>
      <c r="H118" s="267"/>
      <c r="I118" s="267"/>
      <c r="K118" s="267"/>
      <c r="L118" s="267"/>
      <c r="EA118" s="64"/>
      <c r="EB118" s="64"/>
      <c r="EC118" s="64"/>
      <c r="ED118" s="64"/>
      <c r="EE118" s="64"/>
      <c r="EF118" s="64"/>
      <c r="EG118" s="64"/>
      <c r="EH118" s="64"/>
      <c r="EI118" s="64"/>
      <c r="EJ118" s="64"/>
      <c r="EK118" s="64"/>
      <c r="EL118" s="64"/>
    </row>
    <row r="119" spans="1:142" ht="12.75" customHeight="1" x14ac:dyDescent="0.2">
      <c r="A119" s="108"/>
      <c r="B119" s="108"/>
      <c r="C119" s="108"/>
      <c r="D119" s="108"/>
      <c r="E119" s="108"/>
      <c r="F119" s="108"/>
      <c r="G119" s="108"/>
      <c r="H119" s="267"/>
      <c r="I119" s="267"/>
      <c r="K119" s="267"/>
      <c r="L119" s="267"/>
      <c r="EA119" s="64"/>
      <c r="EB119" s="64"/>
      <c r="EC119" s="64"/>
      <c r="ED119" s="64"/>
      <c r="EE119" s="64"/>
      <c r="EF119" s="64"/>
      <c r="EG119" s="64"/>
      <c r="EH119" s="64"/>
      <c r="EI119" s="64"/>
      <c r="EJ119" s="64"/>
      <c r="EK119" s="64"/>
      <c r="EL119" s="64"/>
    </row>
    <row r="120" spans="1:142" ht="12.75" customHeight="1" x14ac:dyDescent="0.2">
      <c r="A120" s="108"/>
      <c r="B120" s="108"/>
      <c r="C120" s="108"/>
      <c r="D120" s="108"/>
      <c r="E120" s="108"/>
      <c r="F120" s="108"/>
      <c r="G120" s="108"/>
      <c r="H120" s="267"/>
      <c r="I120" s="267"/>
      <c r="K120" s="267"/>
      <c r="L120" s="267"/>
      <c r="EA120" s="64"/>
      <c r="EB120" s="64"/>
      <c r="EC120" s="64"/>
      <c r="ED120" s="64"/>
      <c r="EE120" s="64"/>
      <c r="EF120" s="64"/>
      <c r="EG120" s="64"/>
      <c r="EH120" s="64"/>
      <c r="EI120" s="64"/>
      <c r="EJ120" s="64"/>
      <c r="EK120" s="64"/>
      <c r="EL120" s="64"/>
    </row>
    <row r="121" spans="1:142" ht="12.75" customHeight="1" x14ac:dyDescent="0.2">
      <c r="A121" s="108"/>
      <c r="B121" s="108"/>
      <c r="C121" s="108"/>
      <c r="D121" s="108"/>
      <c r="E121" s="108"/>
      <c r="F121" s="108"/>
      <c r="G121" s="108"/>
      <c r="H121" s="267"/>
      <c r="I121" s="267"/>
      <c r="K121" s="267"/>
      <c r="L121" s="267"/>
      <c r="EA121" s="64"/>
      <c r="EB121" s="64"/>
      <c r="EC121" s="64"/>
      <c r="ED121" s="64"/>
      <c r="EE121" s="64"/>
      <c r="EF121" s="64"/>
      <c r="EG121" s="64"/>
      <c r="EH121" s="64"/>
      <c r="EI121" s="64"/>
      <c r="EJ121" s="64"/>
      <c r="EK121" s="64"/>
      <c r="EL121" s="64"/>
    </row>
    <row r="122" spans="1:142" ht="12.75" customHeight="1" x14ac:dyDescent="0.2">
      <c r="A122" s="108"/>
      <c r="B122" s="108"/>
      <c r="C122" s="108"/>
      <c r="D122" s="108"/>
      <c r="E122" s="108"/>
      <c r="F122" s="108"/>
      <c r="G122" s="108"/>
      <c r="H122" s="267"/>
      <c r="I122" s="267"/>
      <c r="K122" s="267"/>
      <c r="L122" s="267"/>
      <c r="EA122" s="64"/>
      <c r="EB122" s="64"/>
      <c r="EC122" s="64"/>
      <c r="ED122" s="64"/>
      <c r="EE122" s="64"/>
      <c r="EF122" s="64"/>
      <c r="EG122" s="64"/>
      <c r="EH122" s="64"/>
      <c r="EI122" s="64"/>
      <c r="EJ122" s="64"/>
      <c r="EK122" s="64"/>
      <c r="EL122" s="64"/>
    </row>
    <row r="123" spans="1:142" ht="12.75" customHeight="1" x14ac:dyDescent="0.2">
      <c r="A123" s="108"/>
      <c r="B123" s="108"/>
      <c r="C123" s="108"/>
      <c r="D123" s="108"/>
      <c r="E123" s="108"/>
      <c r="F123" s="108"/>
      <c r="G123" s="108"/>
      <c r="H123" s="267"/>
      <c r="I123" s="267"/>
      <c r="K123" s="267"/>
      <c r="L123" s="267"/>
      <c r="EA123" s="64"/>
      <c r="EB123" s="64"/>
      <c r="EC123" s="64"/>
      <c r="ED123" s="64"/>
      <c r="EE123" s="64"/>
      <c r="EF123" s="64"/>
      <c r="EG123" s="64"/>
      <c r="EH123" s="64"/>
      <c r="EI123" s="64"/>
      <c r="EJ123" s="64"/>
      <c r="EK123" s="64"/>
      <c r="EL123" s="64"/>
    </row>
    <row r="124" spans="1:142" ht="12.75" customHeight="1" x14ac:dyDescent="0.2">
      <c r="A124" s="108"/>
      <c r="B124" s="108"/>
      <c r="C124" s="108"/>
      <c r="D124" s="108"/>
      <c r="E124" s="108"/>
      <c r="F124" s="108"/>
      <c r="G124" s="108"/>
      <c r="H124" s="267"/>
      <c r="I124" s="267"/>
      <c r="K124" s="267"/>
      <c r="L124" s="267"/>
      <c r="EA124" s="64"/>
      <c r="EB124" s="64"/>
      <c r="EC124" s="64"/>
      <c r="ED124" s="64"/>
      <c r="EE124" s="64"/>
      <c r="EF124" s="64"/>
      <c r="EG124" s="64"/>
      <c r="EH124" s="64"/>
      <c r="EI124" s="64"/>
      <c r="EJ124" s="64"/>
      <c r="EK124" s="64"/>
      <c r="EL124" s="64"/>
    </row>
    <row r="125" spans="1:142" ht="12.75" customHeight="1" x14ac:dyDescent="0.2">
      <c r="A125" s="108"/>
      <c r="B125" s="108"/>
      <c r="C125" s="108"/>
      <c r="D125" s="108"/>
      <c r="E125" s="108"/>
      <c r="F125" s="108"/>
      <c r="G125" s="108"/>
      <c r="H125" s="267"/>
      <c r="I125" s="267"/>
      <c r="K125" s="267"/>
      <c r="L125" s="267"/>
      <c r="EA125" s="64"/>
      <c r="EB125" s="64"/>
      <c r="EC125" s="64"/>
      <c r="ED125" s="64"/>
      <c r="EE125" s="64"/>
      <c r="EF125" s="64"/>
      <c r="EG125" s="64"/>
      <c r="EH125" s="64"/>
      <c r="EI125" s="64"/>
      <c r="EJ125" s="64"/>
      <c r="EK125" s="64"/>
      <c r="EL125" s="64"/>
    </row>
    <row r="126" spans="1:142" ht="12.75" customHeight="1" x14ac:dyDescent="0.2">
      <c r="A126" s="108"/>
      <c r="B126" s="108"/>
      <c r="C126" s="108"/>
      <c r="D126" s="108"/>
      <c r="E126" s="108"/>
      <c r="F126" s="108"/>
      <c r="G126" s="108"/>
      <c r="H126" s="267"/>
      <c r="I126" s="267"/>
      <c r="K126" s="267"/>
      <c r="L126" s="267"/>
      <c r="EA126" s="64"/>
      <c r="EB126" s="64"/>
      <c r="EC126" s="64"/>
      <c r="ED126" s="64"/>
      <c r="EE126" s="64"/>
      <c r="EF126" s="64"/>
      <c r="EG126" s="64"/>
      <c r="EH126" s="64"/>
      <c r="EI126" s="64"/>
      <c r="EJ126" s="64"/>
      <c r="EK126" s="64"/>
      <c r="EL126" s="64"/>
    </row>
    <row r="127" spans="1:142" ht="12.75" customHeight="1" x14ac:dyDescent="0.2">
      <c r="A127" s="108"/>
      <c r="B127" s="108"/>
      <c r="C127" s="108"/>
      <c r="D127" s="108"/>
      <c r="E127" s="108"/>
      <c r="F127" s="108"/>
      <c r="G127" s="108"/>
      <c r="H127" s="267"/>
      <c r="I127" s="267"/>
      <c r="K127" s="267"/>
      <c r="L127" s="267"/>
      <c r="EA127" s="64"/>
      <c r="EB127" s="64"/>
      <c r="EC127" s="64"/>
      <c r="ED127" s="64"/>
      <c r="EE127" s="64"/>
      <c r="EF127" s="64"/>
      <c r="EG127" s="64"/>
      <c r="EH127" s="64"/>
      <c r="EI127" s="64"/>
      <c r="EJ127" s="64"/>
      <c r="EK127" s="64"/>
      <c r="EL127" s="64"/>
    </row>
    <row r="128" spans="1:142" ht="12.75" customHeight="1" x14ac:dyDescent="0.2">
      <c r="A128" s="108"/>
      <c r="B128" s="108"/>
      <c r="C128" s="108"/>
      <c r="D128" s="108"/>
      <c r="E128" s="108"/>
      <c r="F128" s="108"/>
      <c r="G128" s="108"/>
      <c r="H128" s="267"/>
      <c r="I128" s="267"/>
      <c r="K128" s="267"/>
      <c r="L128" s="267"/>
      <c r="EA128" s="64"/>
      <c r="EB128" s="64"/>
      <c r="EC128" s="64"/>
      <c r="ED128" s="64"/>
      <c r="EE128" s="64"/>
      <c r="EF128" s="64"/>
      <c r="EG128" s="64"/>
      <c r="EH128" s="64"/>
      <c r="EI128" s="64"/>
      <c r="EJ128" s="64"/>
      <c r="EK128" s="64"/>
      <c r="EL128" s="64"/>
    </row>
    <row r="129" spans="1:142" ht="12.75" customHeight="1" x14ac:dyDescent="0.2">
      <c r="A129" s="108"/>
      <c r="B129" s="108"/>
      <c r="C129" s="108"/>
      <c r="D129" s="108"/>
      <c r="E129" s="108"/>
      <c r="F129" s="108"/>
      <c r="G129" s="108"/>
      <c r="H129" s="267"/>
      <c r="I129" s="267"/>
      <c r="K129" s="267"/>
      <c r="L129" s="267"/>
      <c r="EA129" s="64"/>
      <c r="EB129" s="64"/>
      <c r="EC129" s="64"/>
      <c r="ED129" s="64"/>
      <c r="EE129" s="64"/>
      <c r="EF129" s="64"/>
      <c r="EG129" s="64"/>
      <c r="EH129" s="64"/>
      <c r="EI129" s="64"/>
      <c r="EJ129" s="64"/>
      <c r="EK129" s="64"/>
      <c r="EL129" s="64"/>
    </row>
    <row r="130" spans="1:142" ht="12.75" customHeight="1" x14ac:dyDescent="0.2">
      <c r="A130" s="108"/>
      <c r="B130" s="108"/>
      <c r="C130" s="108"/>
      <c r="D130" s="108"/>
      <c r="E130" s="108"/>
      <c r="F130" s="108"/>
      <c r="G130" s="108"/>
      <c r="H130" s="267"/>
      <c r="I130" s="267"/>
      <c r="K130" s="267"/>
      <c r="L130" s="267"/>
      <c r="EA130" s="64"/>
      <c r="EB130" s="64"/>
      <c r="EC130" s="64"/>
      <c r="ED130" s="64"/>
      <c r="EE130" s="64"/>
      <c r="EF130" s="64"/>
      <c r="EG130" s="64"/>
      <c r="EH130" s="64"/>
      <c r="EI130" s="64"/>
      <c r="EJ130" s="64"/>
      <c r="EK130" s="64"/>
      <c r="EL130" s="64"/>
    </row>
    <row r="131" spans="1:142" ht="12.75" customHeight="1" x14ac:dyDescent="0.2">
      <c r="A131" s="108"/>
      <c r="B131" s="108"/>
      <c r="C131" s="108"/>
      <c r="D131" s="108"/>
      <c r="E131" s="108"/>
      <c r="F131" s="108"/>
      <c r="G131" s="108"/>
      <c r="H131" s="267"/>
      <c r="I131" s="267"/>
      <c r="K131" s="267"/>
      <c r="L131" s="267"/>
      <c r="EA131" s="64"/>
      <c r="EB131" s="64"/>
      <c r="EC131" s="64"/>
      <c r="ED131" s="64"/>
      <c r="EE131" s="64"/>
      <c r="EF131" s="64"/>
      <c r="EG131" s="64"/>
      <c r="EH131" s="64"/>
      <c r="EI131" s="64"/>
      <c r="EJ131" s="64"/>
      <c r="EK131" s="64"/>
      <c r="EL131" s="64"/>
    </row>
    <row r="132" spans="1:142" ht="12.75" customHeight="1" x14ac:dyDescent="0.2">
      <c r="A132" s="108"/>
      <c r="B132" s="108"/>
      <c r="C132" s="108"/>
      <c r="D132" s="108"/>
      <c r="E132" s="108"/>
      <c r="F132" s="108"/>
      <c r="G132" s="108"/>
      <c r="H132" s="267"/>
      <c r="I132" s="267"/>
      <c r="K132" s="267"/>
      <c r="L132" s="267"/>
      <c r="EA132" s="64"/>
      <c r="EB132" s="64"/>
      <c r="EC132" s="64"/>
      <c r="ED132" s="64"/>
      <c r="EE132" s="64"/>
      <c r="EF132" s="64"/>
      <c r="EG132" s="64"/>
      <c r="EH132" s="64"/>
      <c r="EI132" s="64"/>
      <c r="EJ132" s="64"/>
      <c r="EK132" s="64"/>
      <c r="EL132" s="64"/>
    </row>
    <row r="133" spans="1:142" ht="12.75" customHeight="1" x14ac:dyDescent="0.2">
      <c r="A133" s="108"/>
      <c r="B133" s="108"/>
      <c r="C133" s="108"/>
      <c r="D133" s="108"/>
      <c r="E133" s="108"/>
      <c r="F133" s="108"/>
      <c r="G133" s="108"/>
      <c r="H133" s="267"/>
      <c r="I133" s="267"/>
      <c r="K133" s="267"/>
      <c r="L133" s="267"/>
      <c r="EA133" s="64"/>
      <c r="EB133" s="64"/>
      <c r="EC133" s="64"/>
      <c r="ED133" s="64"/>
      <c r="EE133" s="64"/>
      <c r="EF133" s="64"/>
      <c r="EG133" s="64"/>
      <c r="EH133" s="64"/>
      <c r="EI133" s="64"/>
      <c r="EJ133" s="64"/>
      <c r="EK133" s="64"/>
      <c r="EL133" s="64"/>
    </row>
    <row r="134" spans="1:142" ht="12.75" customHeight="1" x14ac:dyDescent="0.2">
      <c r="A134" s="108"/>
      <c r="B134" s="108"/>
      <c r="C134" s="108"/>
      <c r="D134" s="108"/>
      <c r="E134" s="108"/>
      <c r="F134" s="108"/>
      <c r="G134" s="108"/>
      <c r="H134" s="267"/>
      <c r="I134" s="267"/>
      <c r="K134" s="267"/>
      <c r="L134" s="267"/>
      <c r="EA134" s="64"/>
      <c r="EB134" s="64"/>
      <c r="EC134" s="64"/>
      <c r="ED134" s="64"/>
      <c r="EE134" s="64"/>
      <c r="EF134" s="64"/>
      <c r="EG134" s="64"/>
      <c r="EH134" s="64"/>
      <c r="EI134" s="64"/>
      <c r="EJ134" s="64"/>
      <c r="EK134" s="64"/>
      <c r="EL134" s="64"/>
    </row>
    <row r="135" spans="1:142" ht="12.75" customHeight="1" x14ac:dyDescent="0.2">
      <c r="A135" s="108"/>
      <c r="B135" s="108"/>
      <c r="C135" s="108"/>
      <c r="D135" s="108"/>
      <c r="E135" s="108"/>
      <c r="F135" s="108"/>
      <c r="G135" s="108"/>
      <c r="H135" s="267"/>
      <c r="I135" s="267"/>
      <c r="K135" s="267"/>
      <c r="L135" s="267"/>
      <c r="EA135" s="64"/>
      <c r="EB135" s="64"/>
      <c r="EC135" s="64"/>
      <c r="ED135" s="64"/>
      <c r="EE135" s="64"/>
      <c r="EF135" s="64"/>
      <c r="EG135" s="64"/>
      <c r="EH135" s="64"/>
      <c r="EI135" s="64"/>
      <c r="EJ135" s="64"/>
      <c r="EK135" s="64"/>
      <c r="EL135" s="64"/>
    </row>
    <row r="136" spans="1:142" ht="12.75" customHeight="1" x14ac:dyDescent="0.2">
      <c r="A136" s="108"/>
      <c r="B136" s="108"/>
      <c r="C136" s="108"/>
      <c r="D136" s="108"/>
      <c r="E136" s="108"/>
      <c r="F136" s="108"/>
      <c r="G136" s="108"/>
      <c r="H136" s="267"/>
      <c r="I136" s="267"/>
      <c r="K136" s="267"/>
      <c r="L136" s="267"/>
      <c r="EA136" s="64"/>
      <c r="EB136" s="64"/>
      <c r="EC136" s="64"/>
      <c r="ED136" s="64"/>
      <c r="EE136" s="64"/>
      <c r="EF136" s="64"/>
      <c r="EG136" s="64"/>
      <c r="EH136" s="64"/>
      <c r="EI136" s="64"/>
      <c r="EJ136" s="64"/>
      <c r="EK136" s="64"/>
      <c r="EL136" s="64"/>
    </row>
    <row r="137" spans="1:142" ht="12.75" customHeight="1" x14ac:dyDescent="0.2">
      <c r="A137" s="108"/>
      <c r="B137" s="108"/>
      <c r="C137" s="108"/>
      <c r="D137" s="108"/>
      <c r="E137" s="108"/>
      <c r="F137" s="108"/>
      <c r="G137" s="108"/>
      <c r="H137" s="267"/>
      <c r="I137" s="267"/>
      <c r="K137" s="267"/>
      <c r="L137" s="267"/>
      <c r="EA137" s="64"/>
      <c r="EB137" s="64"/>
      <c r="EC137" s="64"/>
      <c r="ED137" s="64"/>
      <c r="EE137" s="64"/>
      <c r="EF137" s="64"/>
      <c r="EG137" s="64"/>
      <c r="EH137" s="64"/>
      <c r="EI137" s="64"/>
      <c r="EJ137" s="64"/>
      <c r="EK137" s="64"/>
      <c r="EL137" s="64"/>
    </row>
    <row r="138" spans="1:142" ht="12.75" customHeight="1" x14ac:dyDescent="0.2">
      <c r="A138" s="108"/>
      <c r="B138" s="108"/>
      <c r="C138" s="108"/>
      <c r="D138" s="108"/>
      <c r="E138" s="108"/>
      <c r="F138" s="108"/>
      <c r="G138" s="108"/>
      <c r="H138" s="267"/>
      <c r="I138" s="267"/>
      <c r="K138" s="267"/>
      <c r="L138" s="267"/>
      <c r="EA138" s="64"/>
      <c r="EB138" s="64"/>
      <c r="EC138" s="64"/>
      <c r="ED138" s="64"/>
      <c r="EE138" s="64"/>
      <c r="EF138" s="64"/>
      <c r="EG138" s="64"/>
      <c r="EH138" s="64"/>
      <c r="EI138" s="64"/>
      <c r="EJ138" s="64"/>
      <c r="EK138" s="64"/>
      <c r="EL138" s="64"/>
    </row>
    <row r="139" spans="1:142" ht="12.75" customHeight="1" x14ac:dyDescent="0.2">
      <c r="A139" s="108"/>
      <c r="B139" s="108"/>
      <c r="C139" s="108"/>
      <c r="D139" s="108"/>
      <c r="E139" s="108"/>
      <c r="F139" s="108"/>
      <c r="G139" s="108"/>
      <c r="H139" s="267"/>
      <c r="I139" s="267"/>
      <c r="K139" s="267"/>
      <c r="L139" s="267"/>
      <c r="EA139" s="64"/>
      <c r="EB139" s="64"/>
      <c r="EC139" s="64"/>
      <c r="ED139" s="64"/>
      <c r="EE139" s="64"/>
      <c r="EF139" s="64"/>
      <c r="EG139" s="64"/>
      <c r="EH139" s="64"/>
      <c r="EI139" s="64"/>
      <c r="EJ139" s="64"/>
      <c r="EK139" s="64"/>
      <c r="EL139" s="64"/>
    </row>
    <row r="140" spans="1:142" ht="12.75" customHeight="1" x14ac:dyDescent="0.2">
      <c r="A140" s="108"/>
      <c r="B140" s="108"/>
      <c r="C140" s="108"/>
      <c r="D140" s="108"/>
      <c r="E140" s="108"/>
      <c r="F140" s="108"/>
      <c r="G140" s="108"/>
      <c r="H140" s="267"/>
      <c r="I140" s="267"/>
      <c r="K140" s="267"/>
      <c r="L140" s="267"/>
      <c r="EA140" s="64"/>
      <c r="EB140" s="64"/>
      <c r="EC140" s="64"/>
      <c r="ED140" s="64"/>
      <c r="EE140" s="64"/>
      <c r="EF140" s="64"/>
      <c r="EG140" s="64"/>
      <c r="EH140" s="64"/>
      <c r="EI140" s="64"/>
      <c r="EJ140" s="64"/>
      <c r="EK140" s="64"/>
      <c r="EL140" s="64"/>
    </row>
    <row r="141" spans="1:142" ht="12.75" customHeight="1" x14ac:dyDescent="0.2">
      <c r="A141" s="108"/>
      <c r="B141" s="108"/>
      <c r="C141" s="108"/>
      <c r="D141" s="108"/>
      <c r="E141" s="108"/>
      <c r="F141" s="108"/>
      <c r="G141" s="108"/>
      <c r="H141" s="267"/>
      <c r="I141" s="267"/>
      <c r="K141" s="267"/>
      <c r="L141" s="267"/>
      <c r="EA141" s="64"/>
      <c r="EB141" s="64"/>
      <c r="EC141" s="64"/>
      <c r="ED141" s="64"/>
      <c r="EE141" s="64"/>
      <c r="EF141" s="64"/>
      <c r="EG141" s="64"/>
      <c r="EH141" s="64"/>
      <c r="EI141" s="64"/>
      <c r="EJ141" s="64"/>
      <c r="EK141" s="64"/>
      <c r="EL141" s="64"/>
    </row>
    <row r="142" spans="1:142" ht="12.75" customHeight="1" x14ac:dyDescent="0.2">
      <c r="A142" s="108"/>
      <c r="B142" s="108"/>
      <c r="C142" s="108"/>
      <c r="D142" s="108"/>
      <c r="E142" s="108"/>
      <c r="F142" s="108"/>
      <c r="G142" s="108"/>
      <c r="H142" s="267"/>
      <c r="I142" s="267"/>
      <c r="K142" s="267"/>
      <c r="L142" s="267"/>
      <c r="EA142" s="64"/>
      <c r="EB142" s="64"/>
      <c r="EC142" s="64"/>
      <c r="ED142" s="64"/>
      <c r="EE142" s="64"/>
      <c r="EF142" s="64"/>
      <c r="EG142" s="64"/>
      <c r="EH142" s="64"/>
      <c r="EI142" s="64"/>
      <c r="EJ142" s="64"/>
      <c r="EK142" s="64"/>
      <c r="EL142" s="64"/>
    </row>
    <row r="143" spans="1:142" ht="12.75" customHeight="1" x14ac:dyDescent="0.2">
      <c r="A143" s="108"/>
      <c r="B143" s="108"/>
      <c r="C143" s="108"/>
      <c r="D143" s="108"/>
      <c r="E143" s="108"/>
      <c r="F143" s="108"/>
      <c r="G143" s="108"/>
      <c r="H143" s="267"/>
      <c r="I143" s="267"/>
      <c r="K143" s="267"/>
      <c r="L143" s="267"/>
      <c r="EA143" s="64"/>
      <c r="EB143" s="64"/>
      <c r="EC143" s="64"/>
      <c r="ED143" s="64"/>
      <c r="EE143" s="64"/>
      <c r="EF143" s="64"/>
      <c r="EG143" s="64"/>
      <c r="EH143" s="64"/>
      <c r="EI143" s="64"/>
      <c r="EJ143" s="64"/>
      <c r="EK143" s="64"/>
      <c r="EL143" s="64"/>
    </row>
    <row r="144" spans="1:142" ht="12.75" customHeight="1" x14ac:dyDescent="0.2">
      <c r="A144" s="108"/>
      <c r="B144" s="108"/>
      <c r="C144" s="108"/>
      <c r="D144" s="108"/>
      <c r="E144" s="108"/>
      <c r="F144" s="108"/>
      <c r="G144" s="108"/>
      <c r="H144" s="267"/>
      <c r="I144" s="267"/>
      <c r="K144" s="267"/>
      <c r="L144" s="267"/>
      <c r="EA144" s="64"/>
      <c r="EB144" s="64"/>
      <c r="EC144" s="64"/>
      <c r="ED144" s="64"/>
      <c r="EE144" s="64"/>
      <c r="EF144" s="64"/>
      <c r="EG144" s="64"/>
      <c r="EH144" s="64"/>
      <c r="EI144" s="64"/>
      <c r="EJ144" s="64"/>
      <c r="EK144" s="64"/>
      <c r="EL144" s="64"/>
    </row>
    <row r="145" spans="1:142" ht="12.75" customHeight="1" x14ac:dyDescent="0.2">
      <c r="A145" s="108"/>
      <c r="B145" s="108"/>
      <c r="C145" s="108"/>
      <c r="D145" s="108"/>
      <c r="E145" s="108"/>
      <c r="F145" s="108"/>
      <c r="G145" s="108"/>
      <c r="H145" s="267"/>
      <c r="I145" s="267"/>
      <c r="K145" s="267"/>
      <c r="L145" s="267"/>
      <c r="EA145" s="64"/>
      <c r="EB145" s="64"/>
      <c r="EC145" s="64"/>
      <c r="ED145" s="64"/>
      <c r="EE145" s="64"/>
      <c r="EF145" s="64"/>
      <c r="EG145" s="64"/>
      <c r="EH145" s="64"/>
      <c r="EI145" s="64"/>
      <c r="EJ145" s="64"/>
      <c r="EK145" s="64"/>
      <c r="EL145" s="64"/>
    </row>
    <row r="146" spans="1:142" ht="12.75" customHeight="1" x14ac:dyDescent="0.2">
      <c r="A146" s="108"/>
      <c r="B146" s="108"/>
      <c r="C146" s="108"/>
      <c r="D146" s="108"/>
      <c r="E146" s="108"/>
      <c r="F146" s="108"/>
      <c r="G146" s="108"/>
      <c r="H146" s="267"/>
      <c r="I146" s="267"/>
      <c r="K146" s="267"/>
      <c r="L146" s="267"/>
      <c r="EA146" s="64"/>
      <c r="EB146" s="64"/>
      <c r="EC146" s="64"/>
      <c r="ED146" s="64"/>
      <c r="EE146" s="64"/>
      <c r="EF146" s="64"/>
      <c r="EG146" s="64"/>
      <c r="EH146" s="64"/>
      <c r="EI146" s="64"/>
      <c r="EJ146" s="64"/>
      <c r="EK146" s="64"/>
      <c r="EL146" s="64"/>
    </row>
    <row r="147" spans="1:142" ht="12.75" customHeight="1" x14ac:dyDescent="0.2">
      <c r="A147" s="108"/>
      <c r="B147" s="108"/>
      <c r="C147" s="108"/>
      <c r="D147" s="108"/>
      <c r="E147" s="108"/>
      <c r="F147" s="108"/>
      <c r="G147" s="108"/>
      <c r="H147" s="267"/>
      <c r="I147" s="267"/>
      <c r="K147" s="267"/>
      <c r="L147" s="267"/>
      <c r="EA147" s="64"/>
      <c r="EB147" s="64"/>
      <c r="EC147" s="64"/>
      <c r="ED147" s="64"/>
      <c r="EE147" s="64"/>
      <c r="EF147" s="64"/>
      <c r="EG147" s="64"/>
      <c r="EH147" s="64"/>
      <c r="EI147" s="64"/>
      <c r="EJ147" s="64"/>
      <c r="EK147" s="64"/>
      <c r="EL147" s="64"/>
    </row>
    <row r="148" spans="1:142" ht="12.75" customHeight="1" x14ac:dyDescent="0.2">
      <c r="A148" s="108"/>
      <c r="B148" s="108"/>
      <c r="C148" s="108"/>
      <c r="D148" s="108"/>
      <c r="E148" s="108"/>
      <c r="F148" s="108"/>
      <c r="G148" s="108"/>
      <c r="H148" s="267"/>
      <c r="I148" s="267"/>
      <c r="K148" s="267"/>
      <c r="L148" s="267"/>
      <c r="EA148" s="64"/>
      <c r="EB148" s="64"/>
      <c r="EC148" s="64"/>
      <c r="ED148" s="64"/>
      <c r="EE148" s="64"/>
      <c r="EF148" s="64"/>
      <c r="EG148" s="64"/>
      <c r="EH148" s="64"/>
      <c r="EI148" s="64"/>
      <c r="EJ148" s="64"/>
      <c r="EK148" s="64"/>
      <c r="EL148" s="64"/>
    </row>
    <row r="149" spans="1:142" ht="12.75" customHeight="1" x14ac:dyDescent="0.2">
      <c r="A149" s="108"/>
      <c r="B149" s="108"/>
      <c r="C149" s="108"/>
      <c r="D149" s="108"/>
      <c r="E149" s="108"/>
      <c r="F149" s="108"/>
      <c r="G149" s="108"/>
      <c r="H149" s="267"/>
      <c r="I149" s="267"/>
      <c r="K149" s="267"/>
      <c r="L149" s="267"/>
      <c r="EA149" s="64"/>
      <c r="EB149" s="64"/>
      <c r="EC149" s="64"/>
      <c r="ED149" s="64"/>
      <c r="EE149" s="64"/>
      <c r="EF149" s="64"/>
      <c r="EG149" s="64"/>
      <c r="EH149" s="64"/>
      <c r="EI149" s="64"/>
      <c r="EJ149" s="64"/>
      <c r="EK149" s="64"/>
      <c r="EL149" s="64"/>
    </row>
    <row r="150" spans="1:142" ht="12.75" customHeight="1" x14ac:dyDescent="0.2">
      <c r="A150" s="108"/>
      <c r="B150" s="108"/>
      <c r="C150" s="108"/>
      <c r="D150" s="108"/>
      <c r="E150" s="108"/>
      <c r="F150" s="108"/>
      <c r="G150" s="108"/>
      <c r="H150" s="267"/>
      <c r="I150" s="267"/>
      <c r="K150" s="267"/>
      <c r="L150" s="267"/>
      <c r="EA150" s="64"/>
      <c r="EB150" s="64"/>
      <c r="EC150" s="64"/>
      <c r="ED150" s="64"/>
      <c r="EE150" s="64"/>
      <c r="EF150" s="64"/>
      <c r="EG150" s="64"/>
      <c r="EH150" s="64"/>
      <c r="EI150" s="64"/>
      <c r="EJ150" s="64"/>
      <c r="EK150" s="64"/>
      <c r="EL150" s="64"/>
    </row>
    <row r="151" spans="1:142" ht="12.75" customHeight="1" x14ac:dyDescent="0.2">
      <c r="A151" s="108"/>
      <c r="B151" s="108"/>
      <c r="C151" s="108"/>
      <c r="D151" s="108"/>
      <c r="E151" s="108"/>
      <c r="F151" s="108"/>
      <c r="G151" s="108"/>
      <c r="H151" s="267"/>
      <c r="I151" s="267"/>
      <c r="K151" s="267"/>
      <c r="L151" s="267"/>
      <c r="EA151" s="64"/>
      <c r="EB151" s="64"/>
      <c r="EC151" s="64"/>
      <c r="ED151" s="64"/>
      <c r="EE151" s="64"/>
      <c r="EF151" s="64"/>
      <c r="EG151" s="64"/>
      <c r="EH151" s="64"/>
      <c r="EI151" s="64"/>
      <c r="EJ151" s="64"/>
      <c r="EK151" s="64"/>
      <c r="EL151" s="64"/>
    </row>
    <row r="152" spans="1:142" ht="12.75" customHeight="1" x14ac:dyDescent="0.2">
      <c r="A152" s="108"/>
      <c r="B152" s="108"/>
      <c r="C152" s="108"/>
      <c r="D152" s="108"/>
      <c r="E152" s="108"/>
      <c r="F152" s="108"/>
      <c r="G152" s="108"/>
      <c r="H152" s="267"/>
      <c r="I152" s="267"/>
      <c r="K152" s="267"/>
      <c r="L152" s="267"/>
      <c r="EA152" s="64"/>
      <c r="EB152" s="64"/>
      <c r="EC152" s="64"/>
      <c r="ED152" s="64"/>
      <c r="EE152" s="64"/>
      <c r="EF152" s="64"/>
      <c r="EG152" s="64"/>
      <c r="EH152" s="64"/>
      <c r="EI152" s="64"/>
      <c r="EJ152" s="64"/>
      <c r="EK152" s="64"/>
      <c r="EL152" s="64"/>
    </row>
    <row r="153" spans="1:142" ht="12.75" customHeight="1" x14ac:dyDescent="0.2">
      <c r="A153" s="108"/>
      <c r="B153" s="108"/>
      <c r="C153" s="108"/>
      <c r="D153" s="108"/>
      <c r="E153" s="108"/>
      <c r="F153" s="108"/>
      <c r="G153" s="108"/>
      <c r="H153" s="267"/>
      <c r="I153" s="267"/>
      <c r="K153" s="267"/>
      <c r="L153" s="267"/>
      <c r="EA153" s="64"/>
      <c r="EB153" s="64"/>
      <c r="EC153" s="64"/>
      <c r="ED153" s="64"/>
      <c r="EE153" s="64"/>
      <c r="EF153" s="64"/>
      <c r="EG153" s="64"/>
      <c r="EH153" s="64"/>
      <c r="EI153" s="64"/>
      <c r="EJ153" s="64"/>
      <c r="EK153" s="64"/>
      <c r="EL153" s="64"/>
    </row>
    <row r="154" spans="1:142" ht="12.75" customHeight="1" x14ac:dyDescent="0.2">
      <c r="A154" s="108"/>
      <c r="B154" s="108"/>
      <c r="C154" s="108"/>
      <c r="D154" s="108"/>
      <c r="E154" s="108"/>
      <c r="F154" s="108"/>
      <c r="G154" s="108"/>
      <c r="H154" s="267"/>
      <c r="I154" s="267"/>
      <c r="K154" s="267"/>
      <c r="L154" s="267"/>
      <c r="EA154" s="64"/>
      <c r="EB154" s="64"/>
      <c r="EC154" s="64"/>
      <c r="ED154" s="64"/>
      <c r="EE154" s="64"/>
      <c r="EF154" s="64"/>
      <c r="EG154" s="64"/>
      <c r="EH154" s="64"/>
      <c r="EI154" s="64"/>
      <c r="EJ154" s="64"/>
      <c r="EK154" s="64"/>
      <c r="EL154" s="64"/>
    </row>
    <row r="155" spans="1:142" ht="12.75" customHeight="1" x14ac:dyDescent="0.2">
      <c r="A155" s="108"/>
      <c r="B155" s="108"/>
      <c r="C155" s="108"/>
      <c r="D155" s="108"/>
      <c r="E155" s="108"/>
      <c r="F155" s="108"/>
      <c r="G155" s="108"/>
      <c r="H155" s="267"/>
      <c r="I155" s="267"/>
      <c r="K155" s="267"/>
      <c r="L155" s="267"/>
      <c r="EA155" s="64"/>
      <c r="EB155" s="64"/>
      <c r="EC155" s="64"/>
      <c r="ED155" s="64"/>
      <c r="EE155" s="64"/>
      <c r="EF155" s="64"/>
      <c r="EG155" s="64"/>
      <c r="EH155" s="64"/>
      <c r="EI155" s="64"/>
      <c r="EJ155" s="64"/>
      <c r="EK155" s="64"/>
      <c r="EL155" s="64"/>
    </row>
    <row r="156" spans="1:142" ht="12.75" customHeight="1" x14ac:dyDescent="0.2">
      <c r="A156" s="108"/>
      <c r="B156" s="108"/>
      <c r="C156" s="108"/>
      <c r="D156" s="108"/>
      <c r="E156" s="108"/>
      <c r="F156" s="108"/>
      <c r="G156" s="108"/>
      <c r="H156" s="267"/>
      <c r="I156" s="267"/>
      <c r="K156" s="267"/>
      <c r="L156" s="267"/>
      <c r="EA156" s="64"/>
      <c r="EB156" s="64"/>
      <c r="EC156" s="64"/>
      <c r="ED156" s="64"/>
      <c r="EE156" s="64"/>
      <c r="EF156" s="64"/>
      <c r="EG156" s="64"/>
      <c r="EH156" s="64"/>
      <c r="EI156" s="64"/>
      <c r="EJ156" s="64"/>
      <c r="EK156" s="64"/>
      <c r="EL156" s="64"/>
    </row>
    <row r="157" spans="1:142" ht="12.75" customHeight="1" x14ac:dyDescent="0.2">
      <c r="A157" s="108"/>
      <c r="B157" s="108"/>
      <c r="C157" s="108"/>
      <c r="D157" s="108"/>
      <c r="E157" s="108"/>
      <c r="F157" s="108"/>
      <c r="G157" s="108"/>
      <c r="H157" s="267"/>
      <c r="I157" s="267"/>
      <c r="K157" s="267"/>
      <c r="L157" s="267"/>
      <c r="EA157" s="64"/>
      <c r="EB157" s="64"/>
      <c r="EC157" s="64"/>
      <c r="ED157" s="64"/>
      <c r="EE157" s="64"/>
      <c r="EF157" s="64"/>
      <c r="EG157" s="64"/>
      <c r="EH157" s="64"/>
      <c r="EI157" s="64"/>
      <c r="EJ157" s="64"/>
      <c r="EK157" s="64"/>
      <c r="EL157" s="64"/>
    </row>
    <row r="158" spans="1:142" ht="12.75" customHeight="1" x14ac:dyDescent="0.2">
      <c r="A158" s="108"/>
      <c r="B158" s="108"/>
      <c r="C158" s="108"/>
      <c r="D158" s="108"/>
      <c r="E158" s="108"/>
      <c r="F158" s="108"/>
      <c r="G158" s="108"/>
      <c r="H158" s="267"/>
      <c r="I158" s="267"/>
      <c r="K158" s="267"/>
      <c r="L158" s="267"/>
      <c r="EA158" s="64"/>
      <c r="EB158" s="64"/>
      <c r="EC158" s="64"/>
      <c r="ED158" s="64"/>
      <c r="EE158" s="64"/>
      <c r="EF158" s="64"/>
      <c r="EG158" s="64"/>
      <c r="EH158" s="64"/>
      <c r="EI158" s="64"/>
      <c r="EJ158" s="64"/>
      <c r="EK158" s="64"/>
      <c r="EL158" s="64"/>
    </row>
    <row r="159" spans="1:142" ht="12.75" customHeight="1" x14ac:dyDescent="0.2">
      <c r="A159" s="108"/>
      <c r="B159" s="108"/>
      <c r="C159" s="108"/>
      <c r="D159" s="108"/>
      <c r="E159" s="108"/>
      <c r="F159" s="108"/>
      <c r="G159" s="108"/>
      <c r="H159" s="267"/>
      <c r="I159" s="267"/>
      <c r="K159" s="267"/>
      <c r="L159" s="267"/>
      <c r="EA159" s="64"/>
      <c r="EB159" s="64"/>
      <c r="EC159" s="64"/>
      <c r="ED159" s="64"/>
      <c r="EE159" s="64"/>
      <c r="EF159" s="64"/>
      <c r="EG159" s="64"/>
      <c r="EH159" s="64"/>
      <c r="EI159" s="64"/>
      <c r="EJ159" s="64"/>
      <c r="EK159" s="64"/>
      <c r="EL159" s="64"/>
    </row>
    <row r="160" spans="1:142" ht="12.75" customHeight="1" x14ac:dyDescent="0.2">
      <c r="A160" s="108"/>
      <c r="B160" s="108"/>
      <c r="C160" s="108"/>
      <c r="D160" s="108"/>
      <c r="E160" s="108"/>
      <c r="F160" s="108"/>
      <c r="G160" s="108"/>
      <c r="H160" s="267"/>
      <c r="I160" s="267"/>
      <c r="K160" s="267"/>
      <c r="L160" s="267"/>
      <c r="EA160" s="64"/>
      <c r="EB160" s="64"/>
      <c r="EC160" s="64"/>
      <c r="ED160" s="64"/>
      <c r="EE160" s="64"/>
      <c r="EF160" s="64"/>
      <c r="EG160" s="64"/>
      <c r="EH160" s="64"/>
      <c r="EI160" s="64"/>
      <c r="EJ160" s="64"/>
      <c r="EK160" s="64"/>
      <c r="EL160" s="64"/>
    </row>
    <row r="161" spans="1:142" ht="12.75" customHeight="1" x14ac:dyDescent="0.2">
      <c r="A161" s="108"/>
      <c r="B161" s="108"/>
      <c r="C161" s="108"/>
      <c r="D161" s="108"/>
      <c r="E161" s="108"/>
      <c r="F161" s="108"/>
      <c r="G161" s="108"/>
      <c r="H161" s="267"/>
      <c r="I161" s="267"/>
      <c r="K161" s="267"/>
      <c r="L161" s="267"/>
      <c r="EA161" s="64"/>
      <c r="EB161" s="64"/>
      <c r="EC161" s="64"/>
      <c r="ED161" s="64"/>
      <c r="EE161" s="64"/>
      <c r="EF161" s="64"/>
      <c r="EG161" s="64"/>
      <c r="EH161" s="64"/>
      <c r="EI161" s="64"/>
      <c r="EJ161" s="64"/>
      <c r="EK161" s="64"/>
      <c r="EL161" s="64"/>
    </row>
    <row r="162" spans="1:142" ht="12.75" customHeight="1" x14ac:dyDescent="0.2">
      <c r="A162" s="108"/>
      <c r="B162" s="108"/>
      <c r="C162" s="108"/>
      <c r="D162" s="108"/>
      <c r="E162" s="108"/>
      <c r="F162" s="108"/>
      <c r="G162" s="108"/>
      <c r="H162" s="267"/>
      <c r="I162" s="267"/>
      <c r="K162" s="267"/>
      <c r="L162" s="267"/>
      <c r="EA162" s="64"/>
      <c r="EB162" s="64"/>
      <c r="EC162" s="64"/>
      <c r="ED162" s="64"/>
      <c r="EE162" s="64"/>
      <c r="EF162" s="64"/>
      <c r="EG162" s="64"/>
      <c r="EH162" s="64"/>
      <c r="EI162" s="64"/>
      <c r="EJ162" s="64"/>
      <c r="EK162" s="64"/>
      <c r="EL162" s="64"/>
    </row>
    <row r="163" spans="1:142" ht="12.75" customHeight="1" x14ac:dyDescent="0.2">
      <c r="A163" s="108"/>
      <c r="B163" s="108"/>
      <c r="C163" s="108"/>
      <c r="D163" s="108"/>
      <c r="E163" s="108"/>
      <c r="F163" s="108"/>
      <c r="G163" s="108"/>
      <c r="H163" s="267"/>
      <c r="I163" s="267"/>
      <c r="K163" s="267"/>
      <c r="L163" s="267"/>
      <c r="EA163" s="64"/>
      <c r="EB163" s="64"/>
      <c r="EC163" s="64"/>
      <c r="ED163" s="64"/>
      <c r="EE163" s="64"/>
      <c r="EF163" s="64"/>
      <c r="EG163" s="64"/>
      <c r="EH163" s="64"/>
      <c r="EI163" s="64"/>
      <c r="EJ163" s="64"/>
      <c r="EK163" s="64"/>
      <c r="EL163" s="64"/>
    </row>
    <row r="164" spans="1:142" ht="12.75" customHeight="1" x14ac:dyDescent="0.2">
      <c r="A164" s="108"/>
      <c r="B164" s="108"/>
      <c r="C164" s="108"/>
      <c r="D164" s="108"/>
      <c r="E164" s="108"/>
      <c r="F164" s="108"/>
      <c r="G164" s="108"/>
      <c r="H164" s="267"/>
      <c r="I164" s="267"/>
      <c r="K164" s="267"/>
      <c r="L164" s="267"/>
      <c r="EA164" s="64"/>
      <c r="EB164" s="64"/>
      <c r="EC164" s="64"/>
      <c r="ED164" s="64"/>
      <c r="EE164" s="64"/>
      <c r="EF164" s="64"/>
      <c r="EG164" s="64"/>
      <c r="EH164" s="64"/>
      <c r="EI164" s="64"/>
      <c r="EJ164" s="64"/>
      <c r="EK164" s="64"/>
      <c r="EL164" s="64"/>
    </row>
    <row r="165" spans="1:142" ht="12.75" customHeight="1" x14ac:dyDescent="0.2">
      <c r="A165" s="108"/>
      <c r="B165" s="108"/>
      <c r="C165" s="108"/>
      <c r="D165" s="108"/>
      <c r="E165" s="108"/>
      <c r="F165" s="108"/>
      <c r="G165" s="108"/>
      <c r="H165" s="267"/>
      <c r="I165" s="267"/>
      <c r="K165" s="267"/>
      <c r="L165" s="267"/>
      <c r="EA165" s="64"/>
      <c r="EB165" s="64"/>
      <c r="EC165" s="64"/>
      <c r="ED165" s="64"/>
      <c r="EE165" s="64"/>
      <c r="EF165" s="64"/>
      <c r="EG165" s="64"/>
      <c r="EH165" s="64"/>
      <c r="EI165" s="64"/>
      <c r="EJ165" s="64"/>
      <c r="EK165" s="64"/>
      <c r="EL165" s="64"/>
    </row>
    <row r="166" spans="1:142" ht="12.75" customHeight="1" x14ac:dyDescent="0.2">
      <c r="A166" s="108"/>
      <c r="B166" s="108"/>
      <c r="C166" s="108"/>
      <c r="D166" s="108"/>
      <c r="E166" s="108"/>
      <c r="F166" s="108"/>
      <c r="G166" s="108"/>
      <c r="H166" s="267"/>
      <c r="I166" s="267"/>
      <c r="K166" s="267"/>
      <c r="L166" s="267"/>
      <c r="EA166" s="64"/>
      <c r="EB166" s="64"/>
      <c r="EC166" s="64"/>
      <c r="ED166" s="64"/>
      <c r="EE166" s="64"/>
      <c r="EF166" s="64"/>
      <c r="EG166" s="64"/>
      <c r="EH166" s="64"/>
      <c r="EI166" s="64"/>
      <c r="EJ166" s="64"/>
      <c r="EK166" s="64"/>
      <c r="EL166" s="64"/>
    </row>
    <row r="167" spans="1:142" ht="12.75" customHeight="1" x14ac:dyDescent="0.2">
      <c r="A167" s="108"/>
      <c r="B167" s="108"/>
      <c r="C167" s="108"/>
      <c r="D167" s="108"/>
      <c r="E167" s="108"/>
      <c r="F167" s="108"/>
      <c r="G167" s="108"/>
      <c r="H167" s="267"/>
      <c r="I167" s="267"/>
      <c r="K167" s="267"/>
      <c r="L167" s="267"/>
      <c r="EA167" s="64"/>
      <c r="EB167" s="64"/>
      <c r="EC167" s="64"/>
      <c r="ED167" s="64"/>
      <c r="EE167" s="64"/>
      <c r="EF167" s="64"/>
      <c r="EG167" s="64"/>
      <c r="EH167" s="64"/>
      <c r="EI167" s="64"/>
      <c r="EJ167" s="64"/>
      <c r="EK167" s="64"/>
      <c r="EL167" s="64"/>
    </row>
    <row r="168" spans="1:142" ht="12.75" customHeight="1" x14ac:dyDescent="0.2">
      <c r="A168" s="108"/>
      <c r="B168" s="108"/>
      <c r="C168" s="108"/>
      <c r="D168" s="108"/>
      <c r="E168" s="108"/>
      <c r="F168" s="108"/>
      <c r="G168" s="108"/>
      <c r="H168" s="267"/>
      <c r="I168" s="267"/>
      <c r="K168" s="267"/>
      <c r="L168" s="267"/>
      <c r="EA168" s="64"/>
      <c r="EB168" s="64"/>
      <c r="EC168" s="64"/>
      <c r="ED168" s="64"/>
      <c r="EE168" s="64"/>
      <c r="EF168" s="64"/>
      <c r="EG168" s="64"/>
      <c r="EH168" s="64"/>
      <c r="EI168" s="64"/>
      <c r="EJ168" s="64"/>
      <c r="EK168" s="64"/>
      <c r="EL168" s="64"/>
    </row>
    <row r="169" spans="1:142" ht="12.75" customHeight="1" x14ac:dyDescent="0.2">
      <c r="A169" s="108"/>
      <c r="B169" s="108"/>
      <c r="C169" s="108"/>
      <c r="D169" s="108"/>
      <c r="E169" s="108"/>
      <c r="F169" s="108"/>
      <c r="G169" s="108"/>
      <c r="H169" s="267"/>
      <c r="I169" s="267"/>
      <c r="K169" s="267"/>
      <c r="L169" s="267"/>
      <c r="EA169" s="64"/>
      <c r="EB169" s="64"/>
      <c r="EC169" s="64"/>
      <c r="ED169" s="64"/>
      <c r="EE169" s="64"/>
      <c r="EF169" s="64"/>
      <c r="EG169" s="64"/>
      <c r="EH169" s="64"/>
      <c r="EI169" s="64"/>
      <c r="EJ169" s="64"/>
      <c r="EK169" s="64"/>
      <c r="EL169" s="64"/>
    </row>
    <row r="170" spans="1:142" ht="12.75" customHeight="1" x14ac:dyDescent="0.2">
      <c r="A170" s="108"/>
      <c r="B170" s="108"/>
      <c r="C170" s="108"/>
      <c r="D170" s="108"/>
      <c r="E170" s="108"/>
      <c r="F170" s="108"/>
      <c r="G170" s="108"/>
      <c r="H170" s="267"/>
      <c r="I170" s="267"/>
      <c r="K170" s="267"/>
      <c r="L170" s="267"/>
      <c r="EA170" s="64"/>
      <c r="EB170" s="64"/>
      <c r="EC170" s="64"/>
      <c r="ED170" s="64"/>
      <c r="EE170" s="64"/>
      <c r="EF170" s="64"/>
      <c r="EG170" s="64"/>
      <c r="EH170" s="64"/>
      <c r="EI170" s="64"/>
      <c r="EJ170" s="64"/>
      <c r="EK170" s="64"/>
      <c r="EL170" s="64"/>
    </row>
    <row r="171" spans="1:142" ht="12.75" customHeight="1" x14ac:dyDescent="0.2">
      <c r="A171" s="108"/>
      <c r="B171" s="108"/>
      <c r="C171" s="108"/>
      <c r="D171" s="108"/>
      <c r="E171" s="108"/>
      <c r="F171" s="108"/>
      <c r="G171" s="108"/>
      <c r="H171" s="267"/>
      <c r="I171" s="267"/>
      <c r="K171" s="267"/>
      <c r="L171" s="267"/>
      <c r="EA171" s="64"/>
      <c r="EB171" s="64"/>
      <c r="EC171" s="64"/>
      <c r="ED171" s="64"/>
      <c r="EE171" s="64"/>
      <c r="EF171" s="64"/>
      <c r="EG171" s="64"/>
      <c r="EH171" s="64"/>
      <c r="EI171" s="64"/>
      <c r="EJ171" s="64"/>
      <c r="EK171" s="64"/>
      <c r="EL171" s="64"/>
    </row>
    <row r="172" spans="1:142" ht="12.75" customHeight="1" x14ac:dyDescent="0.2">
      <c r="A172" s="108"/>
      <c r="B172" s="108"/>
      <c r="C172" s="108"/>
      <c r="D172" s="108"/>
      <c r="E172" s="108"/>
      <c r="F172" s="108"/>
      <c r="G172" s="108"/>
      <c r="H172" s="267"/>
      <c r="I172" s="267"/>
      <c r="K172" s="267"/>
      <c r="L172" s="267"/>
      <c r="EA172" s="64"/>
      <c r="EB172" s="64"/>
      <c r="EC172" s="64"/>
      <c r="ED172" s="64"/>
      <c r="EE172" s="64"/>
      <c r="EF172" s="64"/>
      <c r="EG172" s="64"/>
      <c r="EH172" s="64"/>
      <c r="EI172" s="64"/>
      <c r="EJ172" s="64"/>
      <c r="EK172" s="64"/>
      <c r="EL172" s="64"/>
    </row>
    <row r="173" spans="1:142" ht="12.75" customHeight="1" x14ac:dyDescent="0.2">
      <c r="A173" s="108"/>
      <c r="B173" s="108"/>
      <c r="C173" s="108"/>
      <c r="D173" s="108"/>
      <c r="E173" s="108"/>
      <c r="F173" s="108"/>
      <c r="G173" s="108"/>
      <c r="H173" s="267"/>
      <c r="I173" s="267"/>
      <c r="K173" s="267"/>
      <c r="L173" s="267"/>
      <c r="EA173" s="64"/>
      <c r="EB173" s="64"/>
      <c r="EC173" s="64"/>
      <c r="ED173" s="64"/>
      <c r="EE173" s="64"/>
      <c r="EF173" s="64"/>
      <c r="EG173" s="64"/>
      <c r="EH173" s="64"/>
      <c r="EI173" s="64"/>
      <c r="EJ173" s="64"/>
      <c r="EK173" s="64"/>
      <c r="EL173" s="64"/>
    </row>
    <row r="174" spans="1:142" ht="12.75" customHeight="1" x14ac:dyDescent="0.2">
      <c r="A174" s="108"/>
      <c r="B174" s="108"/>
      <c r="C174" s="108"/>
      <c r="D174" s="108"/>
      <c r="E174" s="108"/>
      <c r="F174" s="108"/>
      <c r="G174" s="108"/>
      <c r="H174" s="267"/>
      <c r="I174" s="267"/>
      <c r="K174" s="267"/>
      <c r="L174" s="267"/>
      <c r="EA174" s="64"/>
      <c r="EB174" s="64"/>
      <c r="EC174" s="64"/>
      <c r="ED174" s="64"/>
      <c r="EE174" s="64"/>
      <c r="EF174" s="64"/>
      <c r="EG174" s="64"/>
      <c r="EH174" s="64"/>
      <c r="EI174" s="64"/>
      <c r="EJ174" s="64"/>
      <c r="EK174" s="64"/>
      <c r="EL174" s="64"/>
    </row>
    <row r="175" spans="1:142" ht="12.75" customHeight="1" x14ac:dyDescent="0.2">
      <c r="A175" s="108"/>
      <c r="B175" s="108"/>
      <c r="C175" s="108"/>
      <c r="D175" s="108"/>
      <c r="E175" s="108"/>
      <c r="F175" s="108"/>
      <c r="G175" s="108"/>
      <c r="H175" s="267"/>
      <c r="I175" s="267"/>
      <c r="K175" s="267"/>
      <c r="L175" s="267"/>
      <c r="EA175" s="64"/>
      <c r="EB175" s="64"/>
      <c r="EC175" s="64"/>
      <c r="ED175" s="64"/>
      <c r="EE175" s="64"/>
      <c r="EF175" s="64"/>
      <c r="EG175" s="64"/>
      <c r="EH175" s="64"/>
      <c r="EI175" s="64"/>
      <c r="EJ175" s="64"/>
      <c r="EK175" s="64"/>
      <c r="EL175" s="64"/>
    </row>
    <row r="176" spans="1:142" ht="12.75" customHeight="1" x14ac:dyDescent="0.2">
      <c r="A176" s="108"/>
      <c r="B176" s="108"/>
      <c r="C176" s="108"/>
      <c r="D176" s="108"/>
      <c r="E176" s="108"/>
      <c r="F176" s="108"/>
      <c r="G176" s="108"/>
      <c r="H176" s="267"/>
      <c r="I176" s="267"/>
      <c r="K176" s="267"/>
      <c r="L176" s="267"/>
      <c r="EA176" s="64"/>
      <c r="EB176" s="64"/>
      <c r="EC176" s="64"/>
      <c r="ED176" s="64"/>
      <c r="EE176" s="64"/>
      <c r="EF176" s="64"/>
      <c r="EG176" s="64"/>
      <c r="EH176" s="64"/>
      <c r="EI176" s="64"/>
      <c r="EJ176" s="64"/>
      <c r="EK176" s="64"/>
      <c r="EL176" s="64"/>
    </row>
    <row r="177" spans="1:142" ht="12.75" customHeight="1" x14ac:dyDescent="0.2">
      <c r="A177" s="108"/>
      <c r="B177" s="108"/>
      <c r="C177" s="108"/>
      <c r="D177" s="108"/>
      <c r="E177" s="108"/>
      <c r="F177" s="108"/>
      <c r="G177" s="108"/>
      <c r="H177" s="267"/>
      <c r="I177" s="267"/>
      <c r="K177" s="267"/>
      <c r="L177" s="267"/>
      <c r="EA177" s="64"/>
      <c r="EB177" s="64"/>
      <c r="EC177" s="64"/>
      <c r="ED177" s="64"/>
      <c r="EE177" s="64"/>
      <c r="EF177" s="64"/>
      <c r="EG177" s="64"/>
      <c r="EH177" s="64"/>
      <c r="EI177" s="64"/>
      <c r="EJ177" s="64"/>
      <c r="EK177" s="64"/>
      <c r="EL177" s="64"/>
    </row>
    <row r="178" spans="1:142" ht="12.75" customHeight="1" x14ac:dyDescent="0.2">
      <c r="A178" s="108"/>
      <c r="B178" s="108"/>
      <c r="C178" s="108"/>
      <c r="D178" s="108"/>
      <c r="E178" s="108"/>
      <c r="F178" s="108"/>
      <c r="G178" s="108"/>
      <c r="H178" s="267"/>
      <c r="I178" s="267"/>
      <c r="K178" s="267"/>
      <c r="L178" s="267"/>
      <c r="EA178" s="64"/>
      <c r="EB178" s="64"/>
      <c r="EC178" s="64"/>
      <c r="ED178" s="64"/>
      <c r="EE178" s="64"/>
      <c r="EF178" s="64"/>
      <c r="EG178" s="64"/>
      <c r="EH178" s="64"/>
      <c r="EI178" s="64"/>
      <c r="EJ178" s="64"/>
      <c r="EK178" s="64"/>
      <c r="EL178" s="64"/>
    </row>
    <row r="179" spans="1:142" ht="12.75" customHeight="1" x14ac:dyDescent="0.2">
      <c r="A179" s="108"/>
      <c r="B179" s="108"/>
      <c r="C179" s="108"/>
      <c r="D179" s="108"/>
      <c r="E179" s="108"/>
      <c r="F179" s="108"/>
      <c r="G179" s="108"/>
      <c r="H179" s="267"/>
      <c r="I179" s="267"/>
      <c r="K179" s="267"/>
      <c r="L179" s="267"/>
      <c r="EA179" s="64"/>
      <c r="EB179" s="64"/>
      <c r="EC179" s="64"/>
      <c r="ED179" s="64"/>
      <c r="EE179" s="64"/>
      <c r="EF179" s="64"/>
      <c r="EG179" s="64"/>
      <c r="EH179" s="64"/>
      <c r="EI179" s="64"/>
      <c r="EJ179" s="64"/>
      <c r="EK179" s="64"/>
      <c r="EL179" s="64"/>
    </row>
    <row r="180" spans="1:142" ht="12.75" customHeight="1" x14ac:dyDescent="0.2">
      <c r="A180" s="108"/>
      <c r="B180" s="108"/>
      <c r="C180" s="108"/>
      <c r="D180" s="108"/>
      <c r="E180" s="108"/>
      <c r="F180" s="108"/>
      <c r="G180" s="108"/>
      <c r="H180" s="267"/>
      <c r="I180" s="267"/>
      <c r="K180" s="267"/>
      <c r="L180" s="267"/>
      <c r="EA180" s="64"/>
      <c r="EB180" s="64"/>
      <c r="EC180" s="64"/>
      <c r="ED180" s="64"/>
      <c r="EE180" s="64"/>
      <c r="EF180" s="64"/>
      <c r="EG180" s="64"/>
      <c r="EH180" s="64"/>
      <c r="EI180" s="64"/>
      <c r="EJ180" s="64"/>
      <c r="EK180" s="64"/>
      <c r="EL180" s="64"/>
    </row>
    <row r="181" spans="1:142" ht="12.75" customHeight="1" x14ac:dyDescent="0.2">
      <c r="A181" s="108"/>
      <c r="B181" s="108"/>
      <c r="C181" s="108"/>
      <c r="D181" s="108"/>
      <c r="E181" s="108"/>
      <c r="F181" s="108"/>
      <c r="G181" s="108"/>
      <c r="H181" s="267"/>
      <c r="I181" s="267"/>
      <c r="K181" s="267"/>
      <c r="L181" s="267"/>
      <c r="EA181" s="64"/>
      <c r="EB181" s="64"/>
      <c r="EC181" s="64"/>
      <c r="ED181" s="64"/>
      <c r="EE181" s="64"/>
      <c r="EF181" s="64"/>
      <c r="EG181" s="64"/>
      <c r="EH181" s="64"/>
      <c r="EI181" s="64"/>
      <c r="EJ181" s="64"/>
      <c r="EK181" s="64"/>
      <c r="EL181" s="64"/>
    </row>
    <row r="182" spans="1:142" ht="12.75" customHeight="1" x14ac:dyDescent="0.2">
      <c r="A182" s="108"/>
      <c r="B182" s="108"/>
      <c r="C182" s="108"/>
      <c r="D182" s="108"/>
      <c r="E182" s="108"/>
      <c r="F182" s="108"/>
      <c r="G182" s="108"/>
      <c r="H182" s="267"/>
      <c r="I182" s="267"/>
      <c r="K182" s="267"/>
      <c r="L182" s="267"/>
      <c r="EA182" s="64"/>
      <c r="EB182" s="64"/>
      <c r="EC182" s="64"/>
      <c r="ED182" s="64"/>
      <c r="EE182" s="64"/>
      <c r="EF182" s="64"/>
      <c r="EG182" s="64"/>
      <c r="EH182" s="64"/>
      <c r="EI182" s="64"/>
      <c r="EJ182" s="64"/>
      <c r="EK182" s="64"/>
      <c r="EL182" s="64"/>
    </row>
    <row r="183" spans="1:142" ht="12.75" customHeight="1" x14ac:dyDescent="0.2">
      <c r="A183" s="108"/>
      <c r="B183" s="108"/>
      <c r="C183" s="108"/>
      <c r="D183" s="108"/>
      <c r="E183" s="108"/>
      <c r="F183" s="108"/>
      <c r="G183" s="108"/>
      <c r="H183" s="267"/>
      <c r="I183" s="267"/>
      <c r="K183" s="267"/>
      <c r="L183" s="267"/>
      <c r="EA183" s="64"/>
      <c r="EB183" s="64"/>
      <c r="EC183" s="64"/>
      <c r="ED183" s="64"/>
      <c r="EE183" s="64"/>
      <c r="EF183" s="64"/>
      <c r="EG183" s="64"/>
      <c r="EH183" s="64"/>
      <c r="EI183" s="64"/>
      <c r="EJ183" s="64"/>
      <c r="EK183" s="64"/>
      <c r="EL183" s="64"/>
    </row>
    <row r="184" spans="1:142" ht="12.75" customHeight="1" x14ac:dyDescent="0.2">
      <c r="A184" s="108"/>
      <c r="B184" s="108"/>
      <c r="C184" s="108"/>
      <c r="D184" s="108"/>
      <c r="E184" s="108"/>
      <c r="F184" s="108"/>
      <c r="G184" s="108"/>
      <c r="H184" s="267"/>
      <c r="I184" s="267"/>
      <c r="K184" s="267"/>
      <c r="L184" s="267"/>
      <c r="EA184" s="64"/>
      <c r="EB184" s="64"/>
      <c r="EC184" s="64"/>
      <c r="ED184" s="64"/>
      <c r="EE184" s="64"/>
      <c r="EF184" s="64"/>
      <c r="EG184" s="64"/>
      <c r="EH184" s="64"/>
      <c r="EI184" s="64"/>
      <c r="EJ184" s="64"/>
      <c r="EK184" s="64"/>
      <c r="EL184" s="64"/>
    </row>
    <row r="185" spans="1:142" ht="12.75" customHeight="1" x14ac:dyDescent="0.2">
      <c r="A185" s="108"/>
      <c r="B185" s="108"/>
      <c r="C185" s="108"/>
      <c r="D185" s="108"/>
      <c r="E185" s="108"/>
      <c r="F185" s="108"/>
      <c r="G185" s="108"/>
      <c r="H185" s="267"/>
      <c r="I185" s="267"/>
      <c r="K185" s="267"/>
      <c r="L185" s="267"/>
      <c r="EA185" s="64"/>
      <c r="EB185" s="64"/>
      <c r="EC185" s="64"/>
      <c r="ED185" s="64"/>
      <c r="EE185" s="64"/>
      <c r="EF185" s="64"/>
      <c r="EG185" s="64"/>
      <c r="EH185" s="64"/>
      <c r="EI185" s="64"/>
      <c r="EJ185" s="64"/>
      <c r="EK185" s="64"/>
      <c r="EL185" s="64"/>
    </row>
    <row r="186" spans="1:142" ht="12.75" customHeight="1" x14ac:dyDescent="0.2">
      <c r="A186" s="108"/>
      <c r="B186" s="108"/>
      <c r="C186" s="108"/>
      <c r="D186" s="108"/>
      <c r="E186" s="108"/>
      <c r="F186" s="108"/>
      <c r="G186" s="108"/>
      <c r="H186" s="267"/>
      <c r="I186" s="267"/>
      <c r="K186" s="267"/>
      <c r="L186" s="267"/>
      <c r="EA186" s="64"/>
      <c r="EB186" s="64"/>
      <c r="EC186" s="64"/>
      <c r="ED186" s="64"/>
      <c r="EE186" s="64"/>
      <c r="EF186" s="64"/>
      <c r="EG186" s="64"/>
      <c r="EH186" s="64"/>
      <c r="EI186" s="64"/>
      <c r="EJ186" s="64"/>
      <c r="EK186" s="64"/>
      <c r="EL186" s="64"/>
    </row>
    <row r="187" spans="1:142" ht="12.75" customHeight="1" x14ac:dyDescent="0.2">
      <c r="A187" s="108"/>
      <c r="B187" s="108"/>
      <c r="C187" s="108"/>
      <c r="D187" s="108"/>
      <c r="E187" s="108"/>
      <c r="F187" s="108"/>
      <c r="G187" s="108"/>
      <c r="H187" s="267"/>
      <c r="I187" s="267"/>
      <c r="K187" s="267"/>
      <c r="L187" s="267"/>
      <c r="EA187" s="64"/>
      <c r="EB187" s="64"/>
      <c r="EC187" s="64"/>
      <c r="ED187" s="64"/>
      <c r="EE187" s="64"/>
      <c r="EF187" s="64"/>
      <c r="EG187" s="64"/>
      <c r="EH187" s="64"/>
      <c r="EI187" s="64"/>
      <c r="EJ187" s="64"/>
      <c r="EK187" s="64"/>
      <c r="EL187" s="64"/>
    </row>
    <row r="188" spans="1:142" ht="12.75" customHeight="1" x14ac:dyDescent="0.2">
      <c r="A188" s="108"/>
      <c r="B188" s="108"/>
      <c r="C188" s="108"/>
      <c r="D188" s="108"/>
      <c r="E188" s="108"/>
      <c r="F188" s="108"/>
      <c r="G188" s="108"/>
      <c r="H188" s="267"/>
      <c r="I188" s="267"/>
      <c r="K188" s="267"/>
      <c r="L188" s="267"/>
      <c r="EA188" s="64"/>
      <c r="EB188" s="64"/>
      <c r="EC188" s="64"/>
      <c r="ED188" s="64"/>
      <c r="EE188" s="64"/>
      <c r="EF188" s="64"/>
      <c r="EG188" s="64"/>
      <c r="EH188" s="64"/>
      <c r="EI188" s="64"/>
      <c r="EJ188" s="64"/>
      <c r="EK188" s="64"/>
      <c r="EL188" s="64"/>
    </row>
    <row r="189" spans="1:142" ht="12.75" customHeight="1" x14ac:dyDescent="0.2">
      <c r="A189" s="108"/>
      <c r="B189" s="108"/>
      <c r="C189" s="108"/>
      <c r="D189" s="108"/>
      <c r="E189" s="108"/>
      <c r="F189" s="108"/>
      <c r="G189" s="108"/>
      <c r="H189" s="267"/>
      <c r="I189" s="267"/>
      <c r="K189" s="267"/>
      <c r="L189" s="267"/>
      <c r="EA189" s="64"/>
      <c r="EB189" s="64"/>
      <c r="EC189" s="64"/>
      <c r="ED189" s="64"/>
      <c r="EE189" s="64"/>
      <c r="EF189" s="64"/>
      <c r="EG189" s="64"/>
      <c r="EH189" s="64"/>
      <c r="EI189" s="64"/>
      <c r="EJ189" s="64"/>
      <c r="EK189" s="64"/>
      <c r="EL189" s="64"/>
    </row>
    <row r="190" spans="1:142" ht="12.75" customHeight="1" x14ac:dyDescent="0.2">
      <c r="A190" s="108"/>
      <c r="B190" s="108"/>
      <c r="C190" s="108"/>
      <c r="D190" s="108"/>
      <c r="E190" s="108"/>
      <c r="F190" s="108"/>
      <c r="G190" s="108"/>
      <c r="H190" s="267"/>
      <c r="I190" s="267"/>
      <c r="K190" s="267"/>
      <c r="L190" s="267"/>
      <c r="EA190" s="64"/>
      <c r="EB190" s="64"/>
      <c r="EC190" s="64"/>
      <c r="ED190" s="64"/>
      <c r="EE190" s="64"/>
      <c r="EF190" s="64"/>
      <c r="EG190" s="64"/>
      <c r="EH190" s="64"/>
      <c r="EI190" s="64"/>
      <c r="EJ190" s="64"/>
      <c r="EK190" s="64"/>
      <c r="EL190" s="64"/>
    </row>
    <row r="191" spans="1:142" ht="12.75" customHeight="1" x14ac:dyDescent="0.2">
      <c r="A191" s="108"/>
      <c r="B191" s="108"/>
      <c r="C191" s="108"/>
      <c r="D191" s="108"/>
      <c r="E191" s="108"/>
      <c r="F191" s="108"/>
      <c r="G191" s="108"/>
      <c r="H191" s="267"/>
      <c r="I191" s="267"/>
      <c r="K191" s="267"/>
      <c r="L191" s="267"/>
      <c r="EA191" s="64"/>
      <c r="EB191" s="64"/>
      <c r="EC191" s="64"/>
      <c r="ED191" s="64"/>
      <c r="EE191" s="64"/>
      <c r="EF191" s="64"/>
      <c r="EG191" s="64"/>
      <c r="EH191" s="64"/>
      <c r="EI191" s="64"/>
      <c r="EJ191" s="64"/>
      <c r="EK191" s="64"/>
      <c r="EL191" s="64"/>
    </row>
    <row r="192" spans="1:142" ht="12.75" customHeight="1" x14ac:dyDescent="0.2">
      <c r="A192" s="108"/>
      <c r="B192" s="108"/>
      <c r="C192" s="108"/>
      <c r="D192" s="108"/>
      <c r="E192" s="108"/>
      <c r="F192" s="108"/>
      <c r="G192" s="108"/>
      <c r="H192" s="267"/>
      <c r="I192" s="267"/>
      <c r="K192" s="267"/>
      <c r="L192" s="267"/>
      <c r="EA192" s="64"/>
      <c r="EB192" s="64"/>
      <c r="EC192" s="64"/>
      <c r="ED192" s="64"/>
      <c r="EE192" s="64"/>
      <c r="EF192" s="64"/>
      <c r="EG192" s="64"/>
      <c r="EH192" s="64"/>
      <c r="EI192" s="64"/>
      <c r="EJ192" s="64"/>
      <c r="EK192" s="64"/>
      <c r="EL192" s="64"/>
    </row>
    <row r="193" spans="1:142" ht="12.75" customHeight="1" x14ac:dyDescent="0.2">
      <c r="A193" s="108"/>
      <c r="B193" s="108"/>
      <c r="C193" s="108"/>
      <c r="D193" s="108"/>
      <c r="E193" s="108"/>
      <c r="F193" s="108"/>
      <c r="G193" s="108"/>
      <c r="H193" s="267"/>
      <c r="I193" s="267"/>
      <c r="K193" s="267"/>
      <c r="L193" s="267"/>
      <c r="EA193" s="64"/>
      <c r="EB193" s="64"/>
      <c r="EC193" s="64"/>
      <c r="ED193" s="64"/>
      <c r="EE193" s="64"/>
      <c r="EF193" s="64"/>
      <c r="EG193" s="64"/>
      <c r="EH193" s="64"/>
      <c r="EI193" s="64"/>
      <c r="EJ193" s="64"/>
      <c r="EK193" s="64"/>
      <c r="EL193" s="64"/>
    </row>
    <row r="194" spans="1:142" ht="12.75" customHeight="1" x14ac:dyDescent="0.2">
      <c r="A194" s="108"/>
      <c r="B194" s="108"/>
      <c r="C194" s="108"/>
      <c r="D194" s="108"/>
      <c r="E194" s="108"/>
      <c r="F194" s="108"/>
      <c r="G194" s="108"/>
      <c r="H194" s="267"/>
      <c r="I194" s="267"/>
      <c r="K194" s="267"/>
      <c r="L194" s="267"/>
      <c r="EA194" s="64"/>
      <c r="EB194" s="64"/>
      <c r="EC194" s="64"/>
      <c r="ED194" s="64"/>
      <c r="EE194" s="64"/>
      <c r="EF194" s="64"/>
      <c r="EG194" s="64"/>
      <c r="EH194" s="64"/>
      <c r="EI194" s="64"/>
      <c r="EJ194" s="64"/>
      <c r="EK194" s="64"/>
      <c r="EL194" s="64"/>
    </row>
    <row r="195" spans="1:142" ht="12.75" customHeight="1" x14ac:dyDescent="0.2">
      <c r="A195" s="108"/>
      <c r="B195" s="108"/>
      <c r="C195" s="108"/>
      <c r="D195" s="108"/>
      <c r="E195" s="108"/>
      <c r="F195" s="108"/>
      <c r="G195" s="108"/>
      <c r="H195" s="267"/>
      <c r="I195" s="267"/>
      <c r="K195" s="267"/>
      <c r="L195" s="267"/>
      <c r="EA195" s="64"/>
      <c r="EB195" s="64"/>
      <c r="EC195" s="64"/>
      <c r="ED195" s="64"/>
      <c r="EE195" s="64"/>
      <c r="EF195" s="64"/>
      <c r="EG195" s="64"/>
      <c r="EH195" s="64"/>
      <c r="EI195" s="64"/>
      <c r="EJ195" s="64"/>
      <c r="EK195" s="64"/>
      <c r="EL195" s="64"/>
    </row>
    <row r="196" spans="1:142" ht="12.75" customHeight="1" x14ac:dyDescent="0.2">
      <c r="A196" s="108"/>
      <c r="B196" s="108"/>
      <c r="C196" s="108"/>
      <c r="D196" s="108"/>
      <c r="E196" s="108"/>
      <c r="F196" s="108"/>
      <c r="G196" s="108"/>
      <c r="H196" s="267"/>
      <c r="I196" s="267"/>
      <c r="K196" s="267"/>
      <c r="L196" s="267"/>
      <c r="EA196" s="64"/>
      <c r="EB196" s="64"/>
      <c r="EC196" s="64"/>
      <c r="ED196" s="64"/>
      <c r="EE196" s="64"/>
      <c r="EF196" s="64"/>
      <c r="EG196" s="64"/>
      <c r="EH196" s="64"/>
      <c r="EI196" s="64"/>
      <c r="EJ196" s="64"/>
      <c r="EK196" s="64"/>
      <c r="EL196" s="64"/>
    </row>
    <row r="197" spans="1:142" ht="12.75" customHeight="1" x14ac:dyDescent="0.2">
      <c r="A197" s="108"/>
      <c r="B197" s="108"/>
      <c r="C197" s="108"/>
      <c r="D197" s="108"/>
      <c r="E197" s="108"/>
      <c r="F197" s="108"/>
      <c r="G197" s="108"/>
      <c r="H197" s="267"/>
      <c r="I197" s="267"/>
      <c r="K197" s="267"/>
      <c r="L197" s="267"/>
      <c r="EA197" s="64"/>
      <c r="EB197" s="64"/>
      <c r="EC197" s="64"/>
      <c r="ED197" s="64"/>
      <c r="EE197" s="64"/>
      <c r="EF197" s="64"/>
      <c r="EG197" s="64"/>
      <c r="EH197" s="64"/>
      <c r="EI197" s="64"/>
      <c r="EJ197" s="64"/>
      <c r="EK197" s="64"/>
      <c r="EL197" s="64"/>
    </row>
    <row r="198" spans="1:142" ht="12.75" customHeight="1" x14ac:dyDescent="0.2">
      <c r="A198" s="108"/>
      <c r="B198" s="108"/>
      <c r="C198" s="108"/>
      <c r="D198" s="108"/>
      <c r="E198" s="108"/>
      <c r="F198" s="108"/>
      <c r="G198" s="108"/>
      <c r="H198" s="267"/>
      <c r="I198" s="267"/>
      <c r="K198" s="267"/>
      <c r="L198" s="267"/>
      <c r="EA198" s="64"/>
      <c r="EB198" s="64"/>
      <c r="EC198" s="64"/>
      <c r="ED198" s="64"/>
      <c r="EE198" s="64"/>
      <c r="EF198" s="64"/>
      <c r="EG198" s="64"/>
      <c r="EH198" s="64"/>
      <c r="EI198" s="64"/>
      <c r="EJ198" s="64"/>
      <c r="EK198" s="64"/>
      <c r="EL198" s="64"/>
    </row>
    <row r="199" spans="1:142" ht="12.75" customHeight="1" x14ac:dyDescent="0.2">
      <c r="A199" s="108"/>
      <c r="B199" s="108"/>
      <c r="C199" s="108"/>
      <c r="D199" s="108"/>
      <c r="E199" s="108"/>
      <c r="F199" s="108"/>
      <c r="G199" s="108"/>
      <c r="H199" s="267"/>
      <c r="I199" s="267"/>
      <c r="K199" s="267"/>
      <c r="L199" s="267"/>
      <c r="EA199" s="64"/>
      <c r="EB199" s="64"/>
      <c r="EC199" s="64"/>
      <c r="ED199" s="64"/>
      <c r="EE199" s="64"/>
      <c r="EF199" s="64"/>
      <c r="EG199" s="64"/>
      <c r="EH199" s="64"/>
      <c r="EI199" s="64"/>
      <c r="EJ199" s="64"/>
      <c r="EK199" s="64"/>
      <c r="EL199" s="64"/>
    </row>
    <row r="200" spans="1:142" ht="12.75" customHeight="1" x14ac:dyDescent="0.2">
      <c r="A200" s="108"/>
      <c r="B200" s="108"/>
      <c r="C200" s="108"/>
      <c r="D200" s="108"/>
      <c r="E200" s="108"/>
      <c r="F200" s="108"/>
      <c r="G200" s="108"/>
      <c r="H200" s="267"/>
      <c r="I200" s="267"/>
      <c r="K200" s="267"/>
      <c r="L200" s="267"/>
      <c r="EA200" s="64"/>
      <c r="EB200" s="64"/>
      <c r="EC200" s="64"/>
      <c r="ED200" s="64"/>
      <c r="EE200" s="64"/>
      <c r="EF200" s="64"/>
      <c r="EG200" s="64"/>
      <c r="EH200" s="64"/>
      <c r="EI200" s="64"/>
      <c r="EJ200" s="64"/>
      <c r="EK200" s="64"/>
      <c r="EL200" s="64"/>
    </row>
    <row r="201" spans="1:142" ht="12.75" customHeight="1" x14ac:dyDescent="0.2">
      <c r="A201" s="108"/>
      <c r="B201" s="108"/>
      <c r="C201" s="108"/>
      <c r="D201" s="108"/>
      <c r="E201" s="108"/>
      <c r="F201" s="108"/>
      <c r="G201" s="108"/>
      <c r="H201" s="267"/>
      <c r="I201" s="267"/>
      <c r="K201" s="267"/>
      <c r="L201" s="267"/>
      <c r="EA201" s="64"/>
      <c r="EB201" s="64"/>
      <c r="EC201" s="64"/>
      <c r="ED201" s="64"/>
      <c r="EE201" s="64"/>
      <c r="EF201" s="64"/>
      <c r="EG201" s="64"/>
      <c r="EH201" s="64"/>
      <c r="EI201" s="64"/>
      <c r="EJ201" s="64"/>
      <c r="EK201" s="64"/>
      <c r="EL201" s="64"/>
    </row>
    <row r="202" spans="1:142" ht="12.75" customHeight="1" x14ac:dyDescent="0.2">
      <c r="A202" s="108"/>
      <c r="B202" s="108"/>
      <c r="C202" s="108"/>
      <c r="D202" s="108"/>
      <c r="E202" s="108"/>
      <c r="F202" s="108"/>
      <c r="G202" s="108"/>
      <c r="H202" s="267"/>
      <c r="I202" s="267"/>
      <c r="K202" s="267"/>
      <c r="L202" s="267"/>
      <c r="EA202" s="64"/>
      <c r="EB202" s="64"/>
      <c r="EC202" s="64"/>
      <c r="ED202" s="64"/>
      <c r="EE202" s="64"/>
      <c r="EF202" s="64"/>
      <c r="EG202" s="64"/>
      <c r="EH202" s="64"/>
      <c r="EI202" s="64"/>
      <c r="EJ202" s="64"/>
      <c r="EK202" s="64"/>
      <c r="EL202" s="64"/>
    </row>
    <row r="203" spans="1:142" ht="12.75" customHeight="1" x14ac:dyDescent="0.2">
      <c r="A203" s="108"/>
      <c r="B203" s="108"/>
      <c r="C203" s="108"/>
      <c r="D203" s="108"/>
      <c r="E203" s="108"/>
      <c r="F203" s="108"/>
      <c r="G203" s="108"/>
      <c r="H203" s="267"/>
      <c r="I203" s="267"/>
      <c r="K203" s="267"/>
      <c r="L203" s="267"/>
      <c r="EA203" s="64"/>
      <c r="EB203" s="64"/>
      <c r="EC203" s="64"/>
      <c r="ED203" s="64"/>
      <c r="EE203" s="64"/>
      <c r="EF203" s="64"/>
      <c r="EG203" s="64"/>
      <c r="EH203" s="64"/>
      <c r="EI203" s="64"/>
      <c r="EJ203" s="64"/>
      <c r="EK203" s="64"/>
      <c r="EL203" s="64"/>
    </row>
    <row r="204" spans="1:142" ht="12.75" customHeight="1" x14ac:dyDescent="0.2">
      <c r="A204" s="108"/>
      <c r="B204" s="108"/>
      <c r="C204" s="108"/>
      <c r="D204" s="108"/>
      <c r="E204" s="108"/>
      <c r="F204" s="108"/>
      <c r="G204" s="108"/>
      <c r="H204" s="267"/>
      <c r="I204" s="267"/>
      <c r="K204" s="267"/>
      <c r="L204" s="267"/>
      <c r="EA204" s="64"/>
      <c r="EB204" s="64"/>
      <c r="EC204" s="64"/>
      <c r="ED204" s="64"/>
      <c r="EE204" s="64"/>
      <c r="EF204" s="64"/>
      <c r="EG204" s="64"/>
      <c r="EH204" s="64"/>
      <c r="EI204" s="64"/>
      <c r="EJ204" s="64"/>
      <c r="EK204" s="64"/>
      <c r="EL204" s="64"/>
    </row>
    <row r="205" spans="1:142" ht="12.75" customHeight="1" x14ac:dyDescent="0.2">
      <c r="A205" s="108"/>
      <c r="B205" s="108"/>
      <c r="C205" s="108"/>
      <c r="D205" s="108"/>
      <c r="E205" s="108"/>
      <c r="F205" s="108"/>
      <c r="G205" s="108"/>
      <c r="H205" s="267"/>
      <c r="I205" s="267"/>
      <c r="K205" s="267"/>
      <c r="L205" s="267"/>
      <c r="EA205" s="64"/>
      <c r="EB205" s="64"/>
      <c r="EC205" s="64"/>
      <c r="ED205" s="64"/>
      <c r="EE205" s="64"/>
      <c r="EF205" s="64"/>
      <c r="EG205" s="64"/>
      <c r="EH205" s="64"/>
      <c r="EI205" s="64"/>
      <c r="EJ205" s="64"/>
      <c r="EK205" s="64"/>
      <c r="EL205" s="64"/>
    </row>
    <row r="206" spans="1:142" ht="12.75" customHeight="1" x14ac:dyDescent="0.2">
      <c r="A206" s="108"/>
      <c r="B206" s="108"/>
      <c r="C206" s="108"/>
      <c r="D206" s="108"/>
      <c r="E206" s="108"/>
      <c r="F206" s="108"/>
      <c r="G206" s="108"/>
      <c r="H206" s="267"/>
      <c r="I206" s="267"/>
      <c r="K206" s="267"/>
      <c r="L206" s="267"/>
      <c r="EA206" s="64"/>
      <c r="EB206" s="64"/>
      <c r="EC206" s="64"/>
      <c r="ED206" s="64"/>
      <c r="EE206" s="64"/>
      <c r="EF206" s="64"/>
      <c r="EG206" s="64"/>
      <c r="EH206" s="64"/>
      <c r="EI206" s="64"/>
      <c r="EJ206" s="64"/>
      <c r="EK206" s="64"/>
      <c r="EL206" s="64"/>
    </row>
    <row r="207" spans="1:142" ht="12.75" customHeight="1" x14ac:dyDescent="0.2">
      <c r="A207" s="108"/>
      <c r="B207" s="108"/>
      <c r="C207" s="108"/>
      <c r="D207" s="108"/>
      <c r="E207" s="108"/>
      <c r="F207" s="108"/>
      <c r="G207" s="108"/>
      <c r="H207" s="267"/>
      <c r="I207" s="267"/>
      <c r="K207" s="267"/>
      <c r="L207" s="267"/>
      <c r="EA207" s="64"/>
      <c r="EB207" s="64"/>
      <c r="EC207" s="64"/>
      <c r="ED207" s="64"/>
      <c r="EE207" s="64"/>
      <c r="EF207" s="64"/>
      <c r="EG207" s="64"/>
      <c r="EH207" s="64"/>
      <c r="EI207" s="64"/>
      <c r="EJ207" s="64"/>
      <c r="EK207" s="64"/>
      <c r="EL207" s="64"/>
    </row>
    <row r="208" spans="1:142" ht="12.75" customHeight="1" x14ac:dyDescent="0.2">
      <c r="A208" s="108"/>
      <c r="B208" s="108"/>
      <c r="C208" s="108"/>
      <c r="D208" s="108"/>
      <c r="E208" s="108"/>
      <c r="F208" s="108"/>
      <c r="G208" s="108"/>
      <c r="H208" s="267"/>
      <c r="I208" s="267"/>
      <c r="K208" s="267"/>
      <c r="L208" s="267"/>
      <c r="EA208" s="64"/>
      <c r="EB208" s="64"/>
      <c r="EC208" s="64"/>
      <c r="ED208" s="64"/>
      <c r="EE208" s="64"/>
      <c r="EF208" s="64"/>
      <c r="EG208" s="64"/>
      <c r="EH208" s="64"/>
      <c r="EI208" s="64"/>
      <c r="EJ208" s="64"/>
      <c r="EK208" s="64"/>
      <c r="EL208" s="64"/>
    </row>
    <row r="209" spans="1:142" ht="12.75" customHeight="1" x14ac:dyDescent="0.2">
      <c r="A209" s="108"/>
      <c r="B209" s="108"/>
      <c r="C209" s="108"/>
      <c r="D209" s="108"/>
      <c r="E209" s="108"/>
      <c r="F209" s="108"/>
      <c r="G209" s="108"/>
      <c r="H209" s="267"/>
      <c r="I209" s="267"/>
      <c r="K209" s="267"/>
      <c r="L209" s="267"/>
      <c r="EA209" s="64"/>
      <c r="EB209" s="64"/>
      <c r="EC209" s="64"/>
      <c r="ED209" s="64"/>
      <c r="EE209" s="64"/>
      <c r="EF209" s="64"/>
      <c r="EG209" s="64"/>
      <c r="EH209" s="64"/>
      <c r="EI209" s="64"/>
      <c r="EJ209" s="64"/>
      <c r="EK209" s="64"/>
      <c r="EL209" s="64"/>
    </row>
    <row r="210" spans="1:142" ht="12.75" customHeight="1" x14ac:dyDescent="0.2">
      <c r="A210" s="108"/>
      <c r="B210" s="108"/>
      <c r="C210" s="108"/>
      <c r="D210" s="108"/>
      <c r="E210" s="108"/>
      <c r="F210" s="108"/>
      <c r="G210" s="108"/>
      <c r="H210" s="267"/>
      <c r="I210" s="267"/>
      <c r="K210" s="267"/>
      <c r="L210" s="267"/>
      <c r="EA210" s="64"/>
      <c r="EB210" s="64"/>
      <c r="EC210" s="64"/>
      <c r="ED210" s="64"/>
      <c r="EE210" s="64"/>
      <c r="EF210" s="64"/>
      <c r="EG210" s="64"/>
      <c r="EH210" s="64"/>
      <c r="EI210" s="64"/>
      <c r="EJ210" s="64"/>
      <c r="EK210" s="64"/>
      <c r="EL210" s="64"/>
    </row>
    <row r="211" spans="1:142" ht="12.75" customHeight="1" x14ac:dyDescent="0.2">
      <c r="A211" s="108"/>
      <c r="B211" s="108"/>
      <c r="C211" s="108"/>
      <c r="D211" s="108"/>
      <c r="E211" s="108"/>
      <c r="F211" s="108"/>
      <c r="G211" s="108"/>
      <c r="H211" s="267"/>
      <c r="I211" s="267"/>
      <c r="K211" s="267"/>
      <c r="L211" s="267"/>
      <c r="EA211" s="64"/>
      <c r="EB211" s="64"/>
      <c r="EC211" s="64"/>
      <c r="ED211" s="64"/>
      <c r="EE211" s="64"/>
      <c r="EF211" s="64"/>
      <c r="EG211" s="64"/>
      <c r="EH211" s="64"/>
      <c r="EI211" s="64"/>
      <c r="EJ211" s="64"/>
      <c r="EK211" s="64"/>
      <c r="EL211" s="64"/>
    </row>
    <row r="212" spans="1:142" ht="12.75" customHeight="1" x14ac:dyDescent="0.2">
      <c r="A212" s="108"/>
      <c r="B212" s="108"/>
      <c r="C212" s="108"/>
      <c r="D212" s="108"/>
      <c r="E212" s="108"/>
      <c r="F212" s="108"/>
      <c r="G212" s="108"/>
      <c r="H212" s="267"/>
      <c r="I212" s="267"/>
      <c r="K212" s="267"/>
      <c r="L212" s="267"/>
      <c r="EA212" s="64"/>
      <c r="EB212" s="64"/>
      <c r="EC212" s="64"/>
      <c r="ED212" s="64"/>
      <c r="EE212" s="64"/>
      <c r="EF212" s="64"/>
      <c r="EG212" s="64"/>
      <c r="EH212" s="64"/>
      <c r="EI212" s="64"/>
      <c r="EJ212" s="64"/>
      <c r="EK212" s="64"/>
      <c r="EL212" s="64"/>
    </row>
    <row r="213" spans="1:142" ht="12.75" customHeight="1" x14ac:dyDescent="0.2">
      <c r="A213" s="108"/>
      <c r="B213" s="108"/>
      <c r="C213" s="108"/>
      <c r="D213" s="108"/>
      <c r="E213" s="108"/>
      <c r="F213" s="108"/>
      <c r="G213" s="108"/>
      <c r="H213" s="267"/>
      <c r="I213" s="267"/>
      <c r="K213" s="267"/>
      <c r="L213" s="267"/>
      <c r="EA213" s="64"/>
      <c r="EB213" s="64"/>
      <c r="EC213" s="64"/>
      <c r="ED213" s="64"/>
      <c r="EE213" s="64"/>
      <c r="EF213" s="64"/>
      <c r="EG213" s="64"/>
      <c r="EH213" s="64"/>
      <c r="EI213" s="64"/>
      <c r="EJ213" s="64"/>
      <c r="EK213" s="64"/>
      <c r="EL213" s="64"/>
    </row>
    <row r="214" spans="1:142" ht="12.75" customHeight="1" x14ac:dyDescent="0.2">
      <c r="A214" s="108"/>
      <c r="B214" s="108"/>
      <c r="C214" s="108"/>
      <c r="D214" s="108"/>
      <c r="E214" s="108"/>
      <c r="F214" s="108"/>
      <c r="G214" s="108"/>
      <c r="H214" s="267"/>
      <c r="I214" s="267"/>
      <c r="K214" s="267"/>
      <c r="L214" s="267"/>
      <c r="EA214" s="64"/>
      <c r="EB214" s="64"/>
      <c r="EC214" s="64"/>
      <c r="ED214" s="64"/>
      <c r="EE214" s="64"/>
      <c r="EF214" s="64"/>
      <c r="EG214" s="64"/>
      <c r="EH214" s="64"/>
      <c r="EI214" s="64"/>
      <c r="EJ214" s="64"/>
      <c r="EK214" s="64"/>
      <c r="EL214" s="64"/>
    </row>
    <row r="215" spans="1:142" ht="12.75" customHeight="1" x14ac:dyDescent="0.2">
      <c r="A215" s="108"/>
      <c r="B215" s="108"/>
      <c r="C215" s="108"/>
      <c r="D215" s="108"/>
      <c r="E215" s="108"/>
      <c r="F215" s="108"/>
      <c r="G215" s="108"/>
      <c r="H215" s="267"/>
      <c r="I215" s="267"/>
      <c r="K215" s="267"/>
      <c r="L215" s="267"/>
      <c r="EA215" s="64"/>
      <c r="EB215" s="64"/>
      <c r="EC215" s="64"/>
      <c r="ED215" s="64"/>
      <c r="EE215" s="64"/>
      <c r="EF215" s="64"/>
      <c r="EG215" s="64"/>
      <c r="EH215" s="64"/>
      <c r="EI215" s="64"/>
      <c r="EJ215" s="64"/>
      <c r="EK215" s="64"/>
      <c r="EL215" s="64"/>
    </row>
    <row r="216" spans="1:142" ht="12.75" customHeight="1" x14ac:dyDescent="0.2">
      <c r="A216" s="108"/>
      <c r="B216" s="108"/>
      <c r="C216" s="108"/>
      <c r="D216" s="108"/>
      <c r="E216" s="108"/>
      <c r="F216" s="108"/>
      <c r="G216" s="108"/>
      <c r="H216" s="267"/>
      <c r="I216" s="267"/>
      <c r="K216" s="267"/>
      <c r="L216" s="267"/>
      <c r="EA216" s="64"/>
      <c r="EB216" s="64"/>
      <c r="EC216" s="64"/>
      <c r="ED216" s="64"/>
      <c r="EE216" s="64"/>
      <c r="EF216" s="64"/>
      <c r="EG216" s="64"/>
      <c r="EH216" s="64"/>
      <c r="EI216" s="64"/>
      <c r="EJ216" s="64"/>
      <c r="EK216" s="64"/>
      <c r="EL216" s="64"/>
    </row>
    <row r="217" spans="1:142" ht="12.75" customHeight="1" x14ac:dyDescent="0.2">
      <c r="A217" s="108"/>
      <c r="B217" s="108"/>
      <c r="C217" s="108"/>
      <c r="D217" s="108"/>
      <c r="E217" s="108"/>
      <c r="F217" s="108"/>
      <c r="G217" s="108"/>
      <c r="H217" s="267"/>
      <c r="I217" s="267"/>
      <c r="K217" s="267"/>
      <c r="L217" s="267"/>
      <c r="EA217" s="64"/>
      <c r="EB217" s="64"/>
      <c r="EC217" s="64"/>
      <c r="ED217" s="64"/>
      <c r="EE217" s="64"/>
      <c r="EF217" s="64"/>
      <c r="EG217" s="64"/>
      <c r="EH217" s="64"/>
      <c r="EI217" s="64"/>
      <c r="EJ217" s="64"/>
      <c r="EK217" s="64"/>
      <c r="EL217" s="64"/>
    </row>
    <row r="218" spans="1:142" ht="12.75" customHeight="1" x14ac:dyDescent="0.2">
      <c r="A218" s="108"/>
      <c r="B218" s="108"/>
      <c r="C218" s="108"/>
      <c r="D218" s="108"/>
      <c r="E218" s="108"/>
      <c r="F218" s="108"/>
      <c r="G218" s="108"/>
      <c r="H218" s="267"/>
      <c r="I218" s="267"/>
      <c r="K218" s="267"/>
      <c r="L218" s="267"/>
      <c r="EA218" s="64"/>
      <c r="EB218" s="64"/>
      <c r="EC218" s="64"/>
      <c r="ED218" s="64"/>
      <c r="EE218" s="64"/>
      <c r="EF218" s="64"/>
      <c r="EG218" s="64"/>
      <c r="EH218" s="64"/>
      <c r="EI218" s="64"/>
      <c r="EJ218" s="64"/>
      <c r="EK218" s="64"/>
      <c r="EL218" s="64"/>
    </row>
    <row r="219" spans="1:142" ht="12.75" customHeight="1" x14ac:dyDescent="0.2">
      <c r="A219" s="108"/>
      <c r="B219" s="108"/>
      <c r="C219" s="108"/>
      <c r="D219" s="108"/>
      <c r="E219" s="108"/>
      <c r="F219" s="108"/>
      <c r="G219" s="108"/>
      <c r="H219" s="267"/>
      <c r="I219" s="267"/>
      <c r="K219" s="267"/>
      <c r="L219" s="267"/>
      <c r="EA219" s="64"/>
      <c r="EB219" s="64"/>
      <c r="EC219" s="64"/>
      <c r="ED219" s="64"/>
      <c r="EE219" s="64"/>
      <c r="EF219" s="64"/>
      <c r="EG219" s="64"/>
      <c r="EH219" s="64"/>
      <c r="EI219" s="64"/>
      <c r="EJ219" s="64"/>
      <c r="EK219" s="64"/>
      <c r="EL219" s="64"/>
    </row>
    <row r="220" spans="1:142" ht="12.75" customHeight="1" x14ac:dyDescent="0.2">
      <c r="A220" s="108"/>
      <c r="B220" s="108"/>
      <c r="C220" s="108"/>
      <c r="D220" s="108"/>
      <c r="E220" s="108"/>
      <c r="F220" s="108"/>
      <c r="G220" s="108"/>
      <c r="H220" s="267"/>
      <c r="I220" s="267"/>
      <c r="K220" s="267"/>
      <c r="L220" s="267"/>
      <c r="EA220" s="64"/>
      <c r="EB220" s="64"/>
      <c r="EC220" s="64"/>
      <c r="ED220" s="64"/>
      <c r="EE220" s="64"/>
      <c r="EF220" s="64"/>
      <c r="EG220" s="64"/>
      <c r="EH220" s="64"/>
      <c r="EI220" s="64"/>
      <c r="EJ220" s="64"/>
      <c r="EK220" s="64"/>
      <c r="EL220" s="64"/>
    </row>
    <row r="221" spans="1:142" ht="12.75" customHeight="1" x14ac:dyDescent="0.2">
      <c r="A221" s="108"/>
      <c r="B221" s="108"/>
      <c r="C221" s="108"/>
      <c r="D221" s="108"/>
      <c r="E221" s="108"/>
      <c r="F221" s="108"/>
      <c r="G221" s="108"/>
      <c r="H221" s="267"/>
      <c r="I221" s="267"/>
      <c r="K221" s="267"/>
      <c r="L221" s="267"/>
      <c r="EA221" s="64"/>
      <c r="EB221" s="64"/>
      <c r="EC221" s="64"/>
      <c r="ED221" s="64"/>
      <c r="EE221" s="64"/>
      <c r="EF221" s="64"/>
      <c r="EG221" s="64"/>
      <c r="EH221" s="64"/>
      <c r="EI221" s="64"/>
      <c r="EJ221" s="64"/>
      <c r="EK221" s="64"/>
      <c r="EL221" s="64"/>
    </row>
    <row r="222" spans="1:142" ht="12.75" customHeight="1" x14ac:dyDescent="0.2">
      <c r="A222" s="108"/>
      <c r="B222" s="108"/>
      <c r="C222" s="108"/>
      <c r="D222" s="108"/>
      <c r="E222" s="108"/>
      <c r="F222" s="108"/>
      <c r="G222" s="108"/>
      <c r="H222" s="267"/>
      <c r="I222" s="267"/>
      <c r="K222" s="267"/>
      <c r="L222" s="267"/>
      <c r="EA222" s="64"/>
      <c r="EB222" s="64"/>
      <c r="EC222" s="64"/>
      <c r="ED222" s="64"/>
      <c r="EE222" s="64"/>
      <c r="EF222" s="64"/>
      <c r="EG222" s="64"/>
      <c r="EH222" s="64"/>
      <c r="EI222" s="64"/>
      <c r="EJ222" s="64"/>
      <c r="EK222" s="64"/>
      <c r="EL222" s="64"/>
    </row>
    <row r="223" spans="1:142" ht="12.75" customHeight="1" x14ac:dyDescent="0.2">
      <c r="A223" s="108"/>
      <c r="B223" s="108"/>
      <c r="C223" s="108"/>
      <c r="D223" s="108"/>
      <c r="E223" s="108"/>
      <c r="F223" s="108"/>
      <c r="G223" s="108"/>
      <c r="H223" s="267"/>
      <c r="I223" s="267"/>
      <c r="K223" s="267"/>
      <c r="L223" s="267"/>
      <c r="EA223" s="64"/>
      <c r="EB223" s="64"/>
      <c r="EC223" s="64"/>
      <c r="ED223" s="64"/>
      <c r="EE223" s="64"/>
      <c r="EF223" s="64"/>
      <c r="EG223" s="64"/>
      <c r="EH223" s="64"/>
      <c r="EI223" s="64"/>
      <c r="EJ223" s="64"/>
      <c r="EK223" s="64"/>
      <c r="EL223" s="64"/>
    </row>
    <row r="224" spans="1:142" ht="12.75" customHeight="1" x14ac:dyDescent="0.2">
      <c r="A224" s="108"/>
      <c r="B224" s="108"/>
      <c r="C224" s="108"/>
      <c r="D224" s="108"/>
      <c r="E224" s="108"/>
      <c r="F224" s="108"/>
      <c r="G224" s="108"/>
      <c r="H224" s="267"/>
      <c r="I224" s="267"/>
      <c r="K224" s="267"/>
      <c r="L224" s="267"/>
      <c r="EA224" s="64"/>
      <c r="EB224" s="64"/>
      <c r="EC224" s="64"/>
      <c r="ED224" s="64"/>
      <c r="EE224" s="64"/>
      <c r="EF224" s="64"/>
      <c r="EG224" s="64"/>
      <c r="EH224" s="64"/>
      <c r="EI224" s="64"/>
      <c r="EJ224" s="64"/>
      <c r="EK224" s="64"/>
      <c r="EL224" s="64"/>
    </row>
    <row r="225" spans="1:142" ht="12.75" customHeight="1" x14ac:dyDescent="0.2">
      <c r="A225" s="108"/>
      <c r="B225" s="108"/>
      <c r="C225" s="108"/>
      <c r="D225" s="108"/>
      <c r="E225" s="108"/>
      <c r="F225" s="108"/>
      <c r="G225" s="108"/>
      <c r="H225" s="267"/>
      <c r="I225" s="267"/>
      <c r="K225" s="267"/>
      <c r="L225" s="267"/>
      <c r="EA225" s="64"/>
      <c r="EB225" s="64"/>
      <c r="EC225" s="64"/>
      <c r="ED225" s="64"/>
      <c r="EE225" s="64"/>
      <c r="EF225" s="64"/>
      <c r="EG225" s="64"/>
      <c r="EH225" s="64"/>
      <c r="EI225" s="64"/>
      <c r="EJ225" s="64"/>
      <c r="EK225" s="64"/>
      <c r="EL225" s="64"/>
    </row>
    <row r="226" spans="1:142" ht="12.75" customHeight="1" x14ac:dyDescent="0.2">
      <c r="A226" s="108"/>
      <c r="B226" s="108"/>
      <c r="C226" s="108"/>
      <c r="D226" s="108"/>
      <c r="E226" s="108"/>
      <c r="F226" s="108"/>
      <c r="G226" s="108"/>
      <c r="H226" s="267"/>
      <c r="I226" s="267"/>
      <c r="K226" s="267"/>
      <c r="L226" s="267"/>
      <c r="EA226" s="64"/>
      <c r="EB226" s="64"/>
      <c r="EC226" s="64"/>
      <c r="ED226" s="64"/>
      <c r="EE226" s="64"/>
      <c r="EF226" s="64"/>
      <c r="EG226" s="64"/>
      <c r="EH226" s="64"/>
      <c r="EI226" s="64"/>
      <c r="EJ226" s="64"/>
      <c r="EK226" s="64"/>
      <c r="EL226" s="64"/>
    </row>
    <row r="227" spans="1:142" ht="12.75" customHeight="1" x14ac:dyDescent="0.2">
      <c r="A227" s="108"/>
      <c r="B227" s="108"/>
      <c r="C227" s="108"/>
      <c r="D227" s="108"/>
      <c r="E227" s="108"/>
      <c r="F227" s="108"/>
      <c r="G227" s="108"/>
      <c r="H227" s="267"/>
      <c r="I227" s="267"/>
      <c r="K227" s="267"/>
      <c r="L227" s="267"/>
      <c r="EA227" s="64"/>
      <c r="EB227" s="64"/>
      <c r="EC227" s="64"/>
      <c r="ED227" s="64"/>
      <c r="EE227" s="64"/>
      <c r="EF227" s="64"/>
      <c r="EG227" s="64"/>
      <c r="EH227" s="64"/>
      <c r="EI227" s="64"/>
      <c r="EJ227" s="64"/>
      <c r="EK227" s="64"/>
      <c r="EL227" s="64"/>
    </row>
    <row r="228" spans="1:142" ht="12.75" customHeight="1" x14ac:dyDescent="0.2">
      <c r="A228" s="108"/>
      <c r="B228" s="108"/>
      <c r="C228" s="108"/>
      <c r="D228" s="108"/>
      <c r="E228" s="108"/>
      <c r="F228" s="108"/>
      <c r="G228" s="108"/>
      <c r="H228" s="267"/>
      <c r="I228" s="267"/>
      <c r="K228" s="267"/>
      <c r="L228" s="267"/>
      <c r="EA228" s="64"/>
      <c r="EB228" s="64"/>
      <c r="EC228" s="64"/>
      <c r="ED228" s="64"/>
      <c r="EE228" s="64"/>
      <c r="EF228" s="64"/>
      <c r="EG228" s="64"/>
      <c r="EH228" s="64"/>
      <c r="EI228" s="64"/>
      <c r="EJ228" s="64"/>
      <c r="EK228" s="64"/>
      <c r="EL228" s="64"/>
    </row>
    <row r="229" spans="1:142" ht="12.75" customHeight="1" x14ac:dyDescent="0.2">
      <c r="A229" s="108"/>
      <c r="B229" s="108"/>
      <c r="C229" s="108"/>
      <c r="D229" s="108"/>
      <c r="E229" s="108"/>
      <c r="F229" s="108"/>
      <c r="G229" s="108"/>
      <c r="H229" s="267"/>
      <c r="I229" s="267"/>
      <c r="K229" s="267"/>
      <c r="L229" s="267"/>
      <c r="EA229" s="64"/>
      <c r="EB229" s="64"/>
      <c r="EC229" s="64"/>
      <c r="ED229" s="64"/>
      <c r="EE229" s="64"/>
      <c r="EF229" s="64"/>
      <c r="EG229" s="64"/>
      <c r="EH229" s="64"/>
      <c r="EI229" s="64"/>
      <c r="EJ229" s="64"/>
      <c r="EK229" s="64"/>
      <c r="EL229" s="64"/>
    </row>
    <row r="230" spans="1:142" ht="12.75" customHeight="1" x14ac:dyDescent="0.2">
      <c r="A230" s="108"/>
      <c r="B230" s="108"/>
      <c r="C230" s="108"/>
      <c r="D230" s="108"/>
      <c r="E230" s="108"/>
      <c r="F230" s="108"/>
      <c r="G230" s="108"/>
      <c r="H230" s="267"/>
      <c r="I230" s="267"/>
      <c r="K230" s="267"/>
      <c r="L230" s="267"/>
      <c r="EA230" s="64"/>
      <c r="EB230" s="64"/>
      <c r="EC230" s="64"/>
      <c r="ED230" s="64"/>
      <c r="EE230" s="64"/>
      <c r="EF230" s="64"/>
      <c r="EG230" s="64"/>
      <c r="EH230" s="64"/>
      <c r="EI230" s="64"/>
      <c r="EJ230" s="64"/>
      <c r="EK230" s="64"/>
      <c r="EL230" s="64"/>
    </row>
    <row r="231" spans="1:142" ht="12.75" customHeight="1" x14ac:dyDescent="0.2">
      <c r="A231" s="108"/>
      <c r="B231" s="108"/>
      <c r="C231" s="108"/>
      <c r="D231" s="108"/>
      <c r="E231" s="108"/>
      <c r="F231" s="108"/>
      <c r="G231" s="108"/>
      <c r="H231" s="267"/>
      <c r="I231" s="267"/>
      <c r="K231" s="267"/>
      <c r="L231" s="267"/>
      <c r="EA231" s="64"/>
      <c r="EB231" s="64"/>
      <c r="EC231" s="64"/>
      <c r="ED231" s="64"/>
      <c r="EE231" s="64"/>
      <c r="EF231" s="64"/>
      <c r="EG231" s="64"/>
      <c r="EH231" s="64"/>
      <c r="EI231" s="64"/>
      <c r="EJ231" s="64"/>
      <c r="EK231" s="64"/>
      <c r="EL231" s="64"/>
    </row>
    <row r="232" spans="1:142" x14ac:dyDescent="0.2">
      <c r="A232" s="108"/>
      <c r="B232" s="108"/>
      <c r="C232" s="108"/>
      <c r="D232" s="108"/>
      <c r="E232" s="108"/>
      <c r="F232" s="108"/>
      <c r="G232" s="108"/>
      <c r="H232" s="267"/>
      <c r="I232" s="267"/>
      <c r="K232" s="267"/>
      <c r="L232" s="267"/>
      <c r="EA232" s="64"/>
      <c r="EB232" s="64"/>
      <c r="EC232" s="64"/>
      <c r="ED232" s="64"/>
      <c r="EE232" s="64"/>
      <c r="EF232" s="64"/>
      <c r="EG232" s="64"/>
      <c r="EH232" s="64"/>
      <c r="EI232" s="64"/>
      <c r="EJ232" s="64"/>
      <c r="EK232" s="64"/>
      <c r="EL232" s="64"/>
    </row>
    <row r="233" spans="1:142" x14ac:dyDescent="0.2">
      <c r="A233" s="108"/>
      <c r="B233" s="108"/>
      <c r="C233" s="108"/>
      <c r="D233" s="108"/>
      <c r="E233" s="108"/>
      <c r="F233" s="108"/>
      <c r="G233" s="108"/>
      <c r="H233" s="267"/>
      <c r="I233" s="267"/>
      <c r="K233" s="267"/>
      <c r="L233" s="267"/>
      <c r="EA233" s="64"/>
      <c r="EB233" s="64"/>
      <c r="EC233" s="64"/>
      <c r="ED233" s="64"/>
      <c r="EE233" s="64"/>
      <c r="EF233" s="64"/>
      <c r="EG233" s="64"/>
      <c r="EH233" s="64"/>
      <c r="EI233" s="64"/>
      <c r="EJ233" s="64"/>
      <c r="EK233" s="64"/>
      <c r="EL233" s="64"/>
    </row>
    <row r="234" spans="1:142" x14ac:dyDescent="0.2">
      <c r="A234" s="108"/>
      <c r="B234" s="108"/>
      <c r="C234" s="108"/>
      <c r="D234" s="108"/>
      <c r="E234" s="108"/>
      <c r="F234" s="108"/>
      <c r="G234" s="108"/>
      <c r="H234" s="267"/>
      <c r="I234" s="267"/>
      <c r="K234" s="267"/>
      <c r="L234" s="267"/>
      <c r="EA234" s="64"/>
      <c r="EB234" s="64"/>
      <c r="EC234" s="64"/>
      <c r="ED234" s="64"/>
      <c r="EE234" s="64"/>
      <c r="EF234" s="64"/>
      <c r="EG234" s="64"/>
      <c r="EH234" s="64"/>
      <c r="EI234" s="64"/>
      <c r="EJ234" s="64"/>
      <c r="EK234" s="64"/>
      <c r="EL234" s="64"/>
    </row>
    <row r="235" spans="1:142" x14ac:dyDescent="0.2">
      <c r="A235" s="108"/>
      <c r="B235" s="108"/>
      <c r="C235" s="108"/>
      <c r="D235" s="108"/>
      <c r="E235" s="108"/>
      <c r="F235" s="108"/>
      <c r="G235" s="108"/>
      <c r="H235" s="267"/>
      <c r="I235" s="267"/>
      <c r="K235" s="267"/>
      <c r="L235" s="267"/>
      <c r="EA235" s="64"/>
      <c r="EB235" s="64"/>
      <c r="EC235" s="64"/>
      <c r="ED235" s="64"/>
      <c r="EE235" s="64"/>
      <c r="EF235" s="64"/>
      <c r="EG235" s="64"/>
      <c r="EH235" s="64"/>
      <c r="EI235" s="64"/>
      <c r="EJ235" s="64"/>
      <c r="EK235" s="64"/>
      <c r="EL235" s="64"/>
    </row>
    <row r="236" spans="1:142" x14ac:dyDescent="0.2">
      <c r="A236" s="108"/>
      <c r="B236" s="108"/>
      <c r="C236" s="108"/>
      <c r="D236" s="108"/>
      <c r="E236" s="108"/>
      <c r="F236" s="108"/>
      <c r="G236" s="108"/>
      <c r="H236" s="267"/>
      <c r="I236" s="267"/>
      <c r="K236" s="267"/>
      <c r="L236" s="267"/>
      <c r="EA236" s="64"/>
      <c r="EB236" s="64"/>
      <c r="EC236" s="64"/>
      <c r="ED236" s="64"/>
      <c r="EE236" s="64"/>
      <c r="EF236" s="64"/>
      <c r="EG236" s="64"/>
      <c r="EH236" s="64"/>
      <c r="EI236" s="64"/>
      <c r="EJ236" s="64"/>
      <c r="EK236" s="64"/>
      <c r="EL236" s="64"/>
    </row>
    <row r="237" spans="1:142" x14ac:dyDescent="0.2">
      <c r="A237" s="108"/>
      <c r="B237" s="108"/>
      <c r="C237" s="108"/>
      <c r="D237" s="108"/>
      <c r="E237" s="108"/>
      <c r="F237" s="108"/>
      <c r="G237" s="108"/>
      <c r="H237" s="267"/>
      <c r="I237" s="267"/>
      <c r="K237" s="267"/>
      <c r="L237" s="267"/>
      <c r="EA237" s="64"/>
      <c r="EB237" s="64"/>
      <c r="EC237" s="64"/>
      <c r="ED237" s="64"/>
      <c r="EE237" s="64"/>
      <c r="EF237" s="64"/>
      <c r="EG237" s="64"/>
      <c r="EH237" s="64"/>
      <c r="EI237" s="64"/>
      <c r="EJ237" s="64"/>
      <c r="EK237" s="64"/>
      <c r="EL237" s="64"/>
    </row>
    <row r="238" spans="1:142" x14ac:dyDescent="0.2">
      <c r="A238" s="108"/>
      <c r="B238" s="108"/>
      <c r="C238" s="108"/>
      <c r="D238" s="108"/>
      <c r="E238" s="108"/>
      <c r="F238" s="108"/>
      <c r="G238" s="108"/>
      <c r="H238" s="267"/>
      <c r="I238" s="267"/>
      <c r="K238" s="267"/>
      <c r="L238" s="267"/>
      <c r="EA238" s="64"/>
      <c r="EB238" s="64"/>
      <c r="EC238" s="64"/>
      <c r="ED238" s="64"/>
      <c r="EE238" s="64"/>
      <c r="EF238" s="64"/>
      <c r="EG238" s="64"/>
      <c r="EH238" s="64"/>
      <c r="EI238" s="64"/>
      <c r="EJ238" s="64"/>
      <c r="EK238" s="64"/>
      <c r="EL238" s="64"/>
    </row>
    <row r="239" spans="1:142" x14ac:dyDescent="0.2">
      <c r="A239" s="108"/>
      <c r="B239" s="108"/>
      <c r="C239" s="108"/>
      <c r="D239" s="108"/>
      <c r="E239" s="108"/>
      <c r="F239" s="108"/>
      <c r="G239" s="108"/>
      <c r="H239" s="267"/>
      <c r="I239" s="267"/>
      <c r="K239" s="267"/>
      <c r="L239" s="267"/>
      <c r="EA239" s="64"/>
      <c r="EB239" s="64"/>
      <c r="EC239" s="64"/>
      <c r="ED239" s="64"/>
      <c r="EE239" s="64"/>
      <c r="EF239" s="64"/>
      <c r="EG239" s="64"/>
      <c r="EH239" s="64"/>
      <c r="EI239" s="64"/>
      <c r="EJ239" s="64"/>
      <c r="EK239" s="64"/>
      <c r="EL239" s="64"/>
    </row>
    <row r="240" spans="1:142" x14ac:dyDescent="0.2">
      <c r="A240" s="108"/>
      <c r="B240" s="108"/>
      <c r="C240" s="108"/>
      <c r="D240" s="108"/>
      <c r="E240" s="108"/>
      <c r="F240" s="108"/>
      <c r="G240" s="108"/>
      <c r="H240" s="267"/>
      <c r="I240" s="267"/>
      <c r="K240" s="267"/>
      <c r="L240" s="267"/>
      <c r="EA240" s="64"/>
      <c r="EB240" s="64"/>
      <c r="EC240" s="64"/>
      <c r="ED240" s="64"/>
      <c r="EE240" s="64"/>
      <c r="EF240" s="64"/>
      <c r="EG240" s="64"/>
      <c r="EH240" s="64"/>
      <c r="EI240" s="64"/>
      <c r="EJ240" s="64"/>
      <c r="EK240" s="64"/>
      <c r="EL240" s="64"/>
    </row>
    <row r="241" spans="1:142" x14ac:dyDescent="0.2">
      <c r="A241" s="108"/>
      <c r="B241" s="108"/>
      <c r="C241" s="108"/>
      <c r="D241" s="108"/>
      <c r="E241" s="108"/>
      <c r="F241" s="108"/>
      <c r="G241" s="108"/>
      <c r="H241" s="267"/>
      <c r="I241" s="267"/>
      <c r="K241" s="267"/>
      <c r="L241" s="267"/>
      <c r="EA241" s="64"/>
      <c r="EB241" s="64"/>
      <c r="EC241" s="64"/>
      <c r="ED241" s="64"/>
      <c r="EE241" s="64"/>
      <c r="EF241" s="64"/>
      <c r="EG241" s="64"/>
      <c r="EH241" s="64"/>
      <c r="EI241" s="64"/>
      <c r="EJ241" s="64"/>
      <c r="EK241" s="64"/>
      <c r="EL241" s="64"/>
    </row>
    <row r="242" spans="1:142" x14ac:dyDescent="0.2">
      <c r="A242" s="108"/>
      <c r="B242" s="108"/>
      <c r="C242" s="108"/>
      <c r="D242" s="108"/>
      <c r="E242" s="108"/>
      <c r="F242" s="108"/>
      <c r="G242" s="108"/>
      <c r="H242" s="267"/>
      <c r="I242" s="267"/>
      <c r="K242" s="267"/>
      <c r="L242" s="267"/>
      <c r="EA242" s="64"/>
      <c r="EB242" s="64"/>
      <c r="EC242" s="64"/>
      <c r="ED242" s="64"/>
      <c r="EE242" s="64"/>
      <c r="EF242" s="64"/>
      <c r="EG242" s="64"/>
      <c r="EH242" s="64"/>
      <c r="EI242" s="64"/>
      <c r="EJ242" s="64"/>
      <c r="EK242" s="64"/>
      <c r="EL242" s="64"/>
    </row>
    <row r="243" spans="1:142" x14ac:dyDescent="0.2">
      <c r="A243" s="108"/>
      <c r="B243" s="108"/>
      <c r="C243" s="108"/>
      <c r="D243" s="108"/>
      <c r="E243" s="108"/>
      <c r="F243" s="108"/>
      <c r="G243" s="108"/>
      <c r="H243" s="267"/>
      <c r="I243" s="267"/>
      <c r="K243" s="267"/>
      <c r="L243" s="267"/>
      <c r="EA243" s="64"/>
      <c r="EB243" s="64"/>
      <c r="EC243" s="64"/>
      <c r="ED243" s="64"/>
      <c r="EE243" s="64"/>
      <c r="EF243" s="64"/>
      <c r="EG243" s="64"/>
      <c r="EH243" s="64"/>
      <c r="EI243" s="64"/>
      <c r="EJ243" s="64"/>
      <c r="EK243" s="64"/>
      <c r="EL243" s="64"/>
    </row>
    <row r="244" spans="1:142" x14ac:dyDescent="0.2">
      <c r="A244" s="108"/>
      <c r="B244" s="108"/>
      <c r="C244" s="108"/>
      <c r="D244" s="108"/>
      <c r="E244" s="108"/>
      <c r="F244" s="108"/>
      <c r="G244" s="108"/>
      <c r="H244" s="267"/>
      <c r="I244" s="267"/>
      <c r="K244" s="267"/>
      <c r="L244" s="267"/>
      <c r="EA244" s="64"/>
      <c r="EB244" s="64"/>
      <c r="EC244" s="64"/>
      <c r="ED244" s="64"/>
      <c r="EE244" s="64"/>
      <c r="EF244" s="64"/>
      <c r="EG244" s="64"/>
      <c r="EH244" s="64"/>
      <c r="EI244" s="64"/>
      <c r="EJ244" s="64"/>
      <c r="EK244" s="64"/>
      <c r="EL244" s="64"/>
    </row>
    <row r="245" spans="1:142" x14ac:dyDescent="0.2">
      <c r="A245" s="108"/>
      <c r="B245" s="108"/>
      <c r="C245" s="108"/>
      <c r="D245" s="108"/>
      <c r="E245" s="108"/>
      <c r="F245" s="108"/>
      <c r="G245" s="108"/>
      <c r="H245" s="267"/>
      <c r="I245" s="267"/>
      <c r="K245" s="267"/>
      <c r="L245" s="267"/>
      <c r="EA245" s="64"/>
      <c r="EB245" s="64"/>
      <c r="EC245" s="64"/>
      <c r="ED245" s="64"/>
      <c r="EE245" s="64"/>
      <c r="EF245" s="64"/>
      <c r="EG245" s="64"/>
      <c r="EH245" s="64"/>
      <c r="EI245" s="64"/>
      <c r="EJ245" s="64"/>
      <c r="EK245" s="64"/>
      <c r="EL245" s="64"/>
    </row>
    <row r="246" spans="1:142" x14ac:dyDescent="0.2">
      <c r="A246" s="108"/>
      <c r="B246" s="108"/>
      <c r="C246" s="108"/>
      <c r="D246" s="108"/>
      <c r="E246" s="108"/>
      <c r="F246" s="108"/>
      <c r="G246" s="108"/>
      <c r="H246" s="267"/>
      <c r="I246" s="267"/>
      <c r="K246" s="267"/>
      <c r="L246" s="267"/>
      <c r="EA246" s="64"/>
      <c r="EB246" s="64"/>
      <c r="EC246" s="64"/>
      <c r="ED246" s="64"/>
      <c r="EE246" s="64"/>
      <c r="EF246" s="64"/>
      <c r="EG246" s="64"/>
      <c r="EH246" s="64"/>
      <c r="EI246" s="64"/>
      <c r="EJ246" s="64"/>
      <c r="EK246" s="64"/>
      <c r="EL246" s="64"/>
    </row>
    <row r="247" spans="1:142" x14ac:dyDescent="0.2">
      <c r="A247" s="108"/>
      <c r="B247" s="108"/>
      <c r="C247" s="108"/>
      <c r="D247" s="108"/>
      <c r="E247" s="108"/>
      <c r="F247" s="108"/>
      <c r="G247" s="108"/>
      <c r="H247" s="267"/>
      <c r="I247" s="267"/>
      <c r="K247" s="267"/>
      <c r="L247" s="267"/>
      <c r="EA247" s="64"/>
      <c r="EB247" s="64"/>
      <c r="EC247" s="64"/>
      <c r="ED247" s="64"/>
      <c r="EE247" s="64"/>
      <c r="EF247" s="64"/>
      <c r="EG247" s="64"/>
      <c r="EH247" s="64"/>
      <c r="EI247" s="64"/>
      <c r="EJ247" s="64"/>
      <c r="EK247" s="64"/>
      <c r="EL247" s="64"/>
    </row>
    <row r="248" spans="1:142" x14ac:dyDescent="0.2">
      <c r="A248" s="108"/>
      <c r="B248" s="108"/>
      <c r="C248" s="108"/>
      <c r="D248" s="108"/>
      <c r="E248" s="108"/>
      <c r="F248" s="108"/>
      <c r="G248" s="108"/>
      <c r="H248" s="267"/>
      <c r="I248" s="267"/>
      <c r="K248" s="267"/>
      <c r="L248" s="267"/>
      <c r="EA248" s="64"/>
      <c r="EB248" s="64"/>
      <c r="EC248" s="64"/>
      <c r="ED248" s="64"/>
      <c r="EE248" s="64"/>
      <c r="EF248" s="64"/>
      <c r="EG248" s="64"/>
      <c r="EH248" s="64"/>
      <c r="EI248" s="64"/>
      <c r="EJ248" s="64"/>
      <c r="EK248" s="64"/>
      <c r="EL248" s="64"/>
    </row>
    <row r="249" spans="1:142" x14ac:dyDescent="0.2">
      <c r="A249" s="108"/>
      <c r="B249" s="108"/>
      <c r="C249" s="108"/>
      <c r="D249" s="108"/>
      <c r="E249" s="108"/>
      <c r="F249" s="108"/>
      <c r="G249" s="108"/>
      <c r="H249" s="267"/>
      <c r="I249" s="267"/>
      <c r="K249" s="267"/>
      <c r="L249" s="267"/>
      <c r="EA249" s="64"/>
      <c r="EB249" s="64"/>
      <c r="EC249" s="64"/>
      <c r="ED249" s="64"/>
      <c r="EE249" s="64"/>
      <c r="EF249" s="64"/>
      <c r="EG249" s="64"/>
      <c r="EH249" s="64"/>
      <c r="EI249" s="64"/>
      <c r="EJ249" s="64"/>
      <c r="EK249" s="64"/>
      <c r="EL249" s="64"/>
    </row>
    <row r="250" spans="1:142" x14ac:dyDescent="0.2">
      <c r="A250" s="108"/>
      <c r="B250" s="108"/>
      <c r="C250" s="108"/>
      <c r="D250" s="108"/>
      <c r="E250" s="108"/>
      <c r="F250" s="108"/>
      <c r="G250" s="108"/>
      <c r="H250" s="267"/>
      <c r="I250" s="267"/>
      <c r="K250" s="267"/>
      <c r="L250" s="267"/>
      <c r="EA250" s="64"/>
      <c r="EB250" s="64"/>
      <c r="EC250" s="64"/>
      <c r="ED250" s="64"/>
      <c r="EE250" s="64"/>
      <c r="EF250" s="64"/>
      <c r="EG250" s="64"/>
      <c r="EH250" s="64"/>
      <c r="EI250" s="64"/>
      <c r="EJ250" s="64"/>
      <c r="EK250" s="64"/>
      <c r="EL250" s="64"/>
    </row>
    <row r="251" spans="1:142" x14ac:dyDescent="0.2">
      <c r="A251" s="108"/>
      <c r="B251" s="108"/>
      <c r="C251" s="108"/>
      <c r="D251" s="108"/>
      <c r="E251" s="108"/>
      <c r="F251" s="108"/>
      <c r="G251" s="108"/>
      <c r="H251" s="267"/>
      <c r="I251" s="267"/>
      <c r="K251" s="267"/>
      <c r="L251" s="267"/>
      <c r="EA251" s="64"/>
      <c r="EB251" s="64"/>
      <c r="EC251" s="64"/>
      <c r="ED251" s="64"/>
      <c r="EE251" s="64"/>
      <c r="EF251" s="64"/>
      <c r="EG251" s="64"/>
      <c r="EH251" s="64"/>
      <c r="EI251" s="64"/>
      <c r="EJ251" s="64"/>
      <c r="EK251" s="64"/>
      <c r="EL251" s="64"/>
    </row>
    <row r="252" spans="1:142" x14ac:dyDescent="0.2">
      <c r="A252" s="108"/>
      <c r="B252" s="108"/>
      <c r="C252" s="108"/>
      <c r="D252" s="108"/>
      <c r="E252" s="108"/>
      <c r="F252" s="108"/>
      <c r="G252" s="108"/>
      <c r="H252" s="267"/>
      <c r="I252" s="267"/>
      <c r="K252" s="267"/>
      <c r="L252" s="267"/>
      <c r="EA252" s="64"/>
      <c r="EB252" s="64"/>
      <c r="EC252" s="64"/>
      <c r="ED252" s="64"/>
      <c r="EE252" s="64"/>
      <c r="EF252" s="64"/>
      <c r="EG252" s="64"/>
      <c r="EH252" s="64"/>
      <c r="EI252" s="64"/>
      <c r="EJ252" s="64"/>
      <c r="EK252" s="64"/>
      <c r="EL252" s="64"/>
    </row>
    <row r="253" spans="1:142" x14ac:dyDescent="0.2">
      <c r="A253" s="108"/>
      <c r="B253" s="108"/>
      <c r="C253" s="108"/>
      <c r="D253" s="108"/>
      <c r="E253" s="108"/>
      <c r="F253" s="108"/>
      <c r="G253" s="108"/>
      <c r="H253" s="267"/>
      <c r="I253" s="267"/>
      <c r="K253" s="267"/>
      <c r="L253" s="267"/>
      <c r="EA253" s="64"/>
      <c r="EB253" s="64"/>
      <c r="EC253" s="64"/>
      <c r="ED253" s="64"/>
      <c r="EE253" s="64"/>
      <c r="EF253" s="64"/>
      <c r="EG253" s="64"/>
      <c r="EH253" s="64"/>
      <c r="EI253" s="64"/>
      <c r="EJ253" s="64"/>
      <c r="EK253" s="64"/>
      <c r="EL253" s="64"/>
    </row>
    <row r="254" spans="1:142" x14ac:dyDescent="0.2">
      <c r="A254" s="108"/>
      <c r="B254" s="108"/>
      <c r="C254" s="108"/>
      <c r="D254" s="108"/>
      <c r="E254" s="108"/>
      <c r="F254" s="108"/>
      <c r="G254" s="108"/>
      <c r="H254" s="267"/>
      <c r="I254" s="267"/>
      <c r="K254" s="267"/>
      <c r="L254" s="267"/>
      <c r="EA254" s="64"/>
      <c r="EB254" s="64"/>
      <c r="EC254" s="64"/>
      <c r="ED254" s="64"/>
      <c r="EE254" s="64"/>
      <c r="EF254" s="64"/>
      <c r="EG254" s="64"/>
      <c r="EH254" s="64"/>
      <c r="EI254" s="64"/>
      <c r="EJ254" s="64"/>
      <c r="EK254" s="64"/>
      <c r="EL254" s="64"/>
    </row>
    <row r="255" spans="1:142" x14ac:dyDescent="0.2">
      <c r="A255" s="108"/>
      <c r="B255" s="108"/>
      <c r="C255" s="108"/>
      <c r="D255" s="108"/>
      <c r="E255" s="108"/>
      <c r="F255" s="108"/>
      <c r="G255" s="108"/>
      <c r="H255" s="267"/>
      <c r="I255" s="267"/>
      <c r="K255" s="267"/>
      <c r="L255" s="267"/>
      <c r="EA255" s="64"/>
      <c r="EB255" s="64"/>
      <c r="EC255" s="64"/>
      <c r="ED255" s="64"/>
      <c r="EE255" s="64"/>
      <c r="EF255" s="64"/>
      <c r="EG255" s="64"/>
      <c r="EH255" s="64"/>
      <c r="EI255" s="64"/>
      <c r="EJ255" s="64"/>
      <c r="EK255" s="64"/>
      <c r="EL255" s="64"/>
    </row>
    <row r="256" spans="1:142" x14ac:dyDescent="0.2">
      <c r="A256" s="108"/>
      <c r="B256" s="108"/>
      <c r="C256" s="108"/>
      <c r="D256" s="108"/>
      <c r="E256" s="108"/>
      <c r="F256" s="108"/>
      <c r="G256" s="108"/>
      <c r="H256" s="267"/>
      <c r="I256" s="267"/>
      <c r="K256" s="267"/>
      <c r="L256" s="267"/>
      <c r="EA256" s="64"/>
      <c r="EB256" s="64"/>
      <c r="EC256" s="64"/>
      <c r="ED256" s="64"/>
      <c r="EE256" s="64"/>
      <c r="EF256" s="64"/>
      <c r="EG256" s="64"/>
      <c r="EH256" s="64"/>
      <c r="EI256" s="64"/>
      <c r="EJ256" s="64"/>
      <c r="EK256" s="64"/>
      <c r="EL256" s="64"/>
    </row>
    <row r="257" spans="1:142" x14ac:dyDescent="0.2">
      <c r="A257" s="108"/>
      <c r="B257" s="108"/>
      <c r="C257" s="108"/>
      <c r="D257" s="108"/>
      <c r="E257" s="108"/>
      <c r="F257" s="108"/>
      <c r="G257" s="108"/>
      <c r="H257" s="267"/>
      <c r="I257" s="267"/>
      <c r="K257" s="267"/>
      <c r="L257" s="267"/>
      <c r="EA257" s="64"/>
      <c r="EB257" s="64"/>
      <c r="EC257" s="64"/>
      <c r="ED257" s="64"/>
      <c r="EE257" s="64"/>
      <c r="EF257" s="64"/>
      <c r="EG257" s="64"/>
      <c r="EH257" s="64"/>
      <c r="EI257" s="64"/>
      <c r="EJ257" s="64"/>
      <c r="EK257" s="64"/>
      <c r="EL257" s="64"/>
    </row>
    <row r="258" spans="1:142" x14ac:dyDescent="0.2">
      <c r="A258" s="108"/>
      <c r="B258" s="108"/>
      <c r="C258" s="108"/>
      <c r="D258" s="108"/>
      <c r="E258" s="108"/>
      <c r="F258" s="108"/>
      <c r="G258" s="108"/>
      <c r="H258" s="267"/>
      <c r="I258" s="267"/>
      <c r="K258" s="267"/>
      <c r="L258" s="267"/>
      <c r="EA258" s="64"/>
      <c r="EB258" s="64"/>
      <c r="EC258" s="64"/>
      <c r="ED258" s="64"/>
      <c r="EE258" s="64"/>
      <c r="EF258" s="64"/>
      <c r="EG258" s="64"/>
      <c r="EH258" s="64"/>
      <c r="EI258" s="64"/>
      <c r="EJ258" s="64"/>
      <c r="EK258" s="64"/>
      <c r="EL258" s="64"/>
    </row>
    <row r="259" spans="1:142" x14ac:dyDescent="0.2">
      <c r="A259" s="108"/>
      <c r="B259" s="108"/>
      <c r="C259" s="108"/>
      <c r="D259" s="108"/>
      <c r="E259" s="108"/>
      <c r="F259" s="108"/>
      <c r="G259" s="108"/>
      <c r="H259" s="267"/>
      <c r="I259" s="267"/>
      <c r="K259" s="267"/>
      <c r="L259" s="267"/>
      <c r="EA259" s="64"/>
      <c r="EB259" s="64"/>
      <c r="EC259" s="64"/>
      <c r="ED259" s="64"/>
      <c r="EE259" s="64"/>
      <c r="EF259" s="64"/>
      <c r="EG259" s="64"/>
      <c r="EH259" s="64"/>
      <c r="EI259" s="64"/>
      <c r="EJ259" s="64"/>
      <c r="EK259" s="64"/>
      <c r="EL259" s="64"/>
    </row>
    <row r="260" spans="1:142" x14ac:dyDescent="0.2">
      <c r="A260" s="108"/>
      <c r="B260" s="108"/>
      <c r="C260" s="108"/>
      <c r="D260" s="108"/>
      <c r="E260" s="108"/>
      <c r="F260" s="108"/>
      <c r="G260" s="108"/>
      <c r="H260" s="267"/>
      <c r="I260" s="267"/>
      <c r="K260" s="267"/>
      <c r="L260" s="267"/>
      <c r="EA260" s="64"/>
      <c r="EB260" s="64"/>
      <c r="EC260" s="64"/>
      <c r="ED260" s="64"/>
      <c r="EE260" s="64"/>
      <c r="EF260" s="64"/>
      <c r="EG260" s="64"/>
      <c r="EH260" s="64"/>
      <c r="EI260" s="64"/>
      <c r="EJ260" s="64"/>
      <c r="EK260" s="64"/>
      <c r="EL260" s="64"/>
    </row>
    <row r="261" spans="1:142" x14ac:dyDescent="0.2">
      <c r="A261" s="108"/>
      <c r="B261" s="108"/>
      <c r="C261" s="108"/>
      <c r="D261" s="108"/>
      <c r="E261" s="108"/>
      <c r="F261" s="108"/>
      <c r="G261" s="108"/>
      <c r="H261" s="267"/>
      <c r="I261" s="267"/>
      <c r="K261" s="267"/>
      <c r="L261" s="267"/>
      <c r="EA261" s="64"/>
      <c r="EB261" s="64"/>
      <c r="EC261" s="64"/>
      <c r="ED261" s="64"/>
      <c r="EE261" s="64"/>
      <c r="EF261" s="64"/>
      <c r="EG261" s="64"/>
      <c r="EH261" s="64"/>
      <c r="EI261" s="64"/>
      <c r="EJ261" s="64"/>
      <c r="EK261" s="64"/>
      <c r="EL261" s="64"/>
    </row>
    <row r="262" spans="1:142" x14ac:dyDescent="0.2">
      <c r="A262" s="108"/>
      <c r="B262" s="108"/>
      <c r="C262" s="108"/>
      <c r="D262" s="108"/>
      <c r="E262" s="108"/>
      <c r="F262" s="108"/>
      <c r="G262" s="108"/>
      <c r="H262" s="267"/>
      <c r="I262" s="267"/>
      <c r="K262" s="267"/>
      <c r="L262" s="267"/>
      <c r="EA262" s="64"/>
      <c r="EB262" s="64"/>
      <c r="EC262" s="64"/>
      <c r="ED262" s="64"/>
      <c r="EE262" s="64"/>
      <c r="EF262" s="64"/>
      <c r="EG262" s="64"/>
      <c r="EH262" s="64"/>
      <c r="EI262" s="64"/>
      <c r="EJ262" s="64"/>
      <c r="EK262" s="64"/>
      <c r="EL262" s="64"/>
    </row>
    <row r="263" spans="1:142" x14ac:dyDescent="0.2">
      <c r="A263" s="108"/>
      <c r="B263" s="108"/>
      <c r="C263" s="108"/>
      <c r="D263" s="108"/>
      <c r="E263" s="108"/>
      <c r="F263" s="108"/>
      <c r="G263" s="108"/>
      <c r="H263" s="267"/>
      <c r="I263" s="267"/>
      <c r="K263" s="267"/>
      <c r="L263" s="267"/>
      <c r="EA263" s="64"/>
      <c r="EB263" s="64"/>
      <c r="EC263" s="64"/>
      <c r="ED263" s="64"/>
      <c r="EE263" s="64"/>
      <c r="EF263" s="64"/>
      <c r="EG263" s="64"/>
      <c r="EH263" s="64"/>
      <c r="EI263" s="64"/>
      <c r="EJ263" s="64"/>
      <c r="EK263" s="64"/>
      <c r="EL263" s="64"/>
    </row>
    <row r="264" spans="1:142" x14ac:dyDescent="0.2">
      <c r="A264" s="108"/>
      <c r="B264" s="108"/>
      <c r="C264" s="108"/>
      <c r="D264" s="108"/>
      <c r="E264" s="108"/>
      <c r="F264" s="108"/>
      <c r="G264" s="108"/>
      <c r="H264" s="267"/>
      <c r="I264" s="267"/>
      <c r="K264" s="267"/>
      <c r="L264" s="267"/>
      <c r="EA264" s="64"/>
      <c r="EB264" s="64"/>
      <c r="EC264" s="64"/>
      <c r="ED264" s="64"/>
      <c r="EE264" s="64"/>
      <c r="EF264" s="64"/>
      <c r="EG264" s="64"/>
      <c r="EH264" s="64"/>
      <c r="EI264" s="64"/>
      <c r="EJ264" s="64"/>
      <c r="EK264" s="64"/>
      <c r="EL264" s="64"/>
    </row>
    <row r="265" spans="1:142" x14ac:dyDescent="0.2">
      <c r="A265" s="108"/>
      <c r="B265" s="108"/>
      <c r="C265" s="108"/>
      <c r="D265" s="108"/>
      <c r="E265" s="108"/>
      <c r="F265" s="108"/>
      <c r="G265" s="108"/>
      <c r="H265" s="267"/>
      <c r="I265" s="267"/>
      <c r="K265" s="267"/>
      <c r="L265" s="267"/>
      <c r="EA265" s="64"/>
      <c r="EB265" s="64"/>
      <c r="EC265" s="64"/>
      <c r="ED265" s="64"/>
      <c r="EE265" s="64"/>
      <c r="EF265" s="64"/>
      <c r="EG265" s="64"/>
      <c r="EH265" s="64"/>
      <c r="EI265" s="64"/>
      <c r="EJ265" s="64"/>
      <c r="EK265" s="64"/>
      <c r="EL265" s="64"/>
    </row>
    <row r="266" spans="1:142" x14ac:dyDescent="0.2">
      <c r="A266" s="108"/>
      <c r="B266" s="108"/>
      <c r="C266" s="108"/>
      <c r="D266" s="108"/>
      <c r="E266" s="108"/>
      <c r="F266" s="108"/>
      <c r="G266" s="108"/>
      <c r="H266" s="267"/>
      <c r="I266" s="267"/>
      <c r="K266" s="267"/>
      <c r="L266" s="267"/>
      <c r="EA266" s="64"/>
      <c r="EB266" s="64"/>
      <c r="EC266" s="64"/>
      <c r="ED266" s="64"/>
      <c r="EE266" s="64"/>
      <c r="EF266" s="64"/>
      <c r="EG266" s="64"/>
      <c r="EH266" s="64"/>
      <c r="EI266" s="64"/>
      <c r="EJ266" s="64"/>
      <c r="EK266" s="64"/>
      <c r="EL266" s="64"/>
    </row>
    <row r="267" spans="1:142" x14ac:dyDescent="0.2">
      <c r="A267" s="108"/>
      <c r="B267" s="108"/>
      <c r="C267" s="108"/>
      <c r="D267" s="108"/>
      <c r="E267" s="108"/>
      <c r="F267" s="108"/>
      <c r="G267" s="108"/>
      <c r="H267" s="267"/>
      <c r="I267" s="267"/>
      <c r="K267" s="267"/>
      <c r="L267" s="267"/>
      <c r="EA267" s="64"/>
      <c r="EB267" s="64"/>
      <c r="EC267" s="64"/>
      <c r="ED267" s="64"/>
      <c r="EE267" s="64"/>
      <c r="EF267" s="64"/>
      <c r="EG267" s="64"/>
      <c r="EH267" s="64"/>
      <c r="EI267" s="64"/>
      <c r="EJ267" s="64"/>
      <c r="EK267" s="64"/>
      <c r="EL267" s="64"/>
    </row>
    <row r="268" spans="1:142" x14ac:dyDescent="0.2">
      <c r="A268" s="108"/>
      <c r="B268" s="108"/>
      <c r="C268" s="108"/>
      <c r="D268" s="108"/>
      <c r="E268" s="108"/>
      <c r="F268" s="108"/>
      <c r="G268" s="108"/>
      <c r="H268" s="267"/>
      <c r="I268" s="267"/>
      <c r="K268" s="267"/>
      <c r="L268" s="267"/>
      <c r="EA268" s="64"/>
      <c r="EB268" s="64"/>
      <c r="EC268" s="64"/>
      <c r="ED268" s="64"/>
      <c r="EE268" s="64"/>
      <c r="EF268" s="64"/>
      <c r="EG268" s="64"/>
      <c r="EH268" s="64"/>
      <c r="EI268" s="64"/>
      <c r="EJ268" s="64"/>
      <c r="EK268" s="64"/>
      <c r="EL268" s="64"/>
    </row>
    <row r="269" spans="1:142" x14ac:dyDescent="0.2">
      <c r="A269" s="108"/>
      <c r="B269" s="108"/>
      <c r="C269" s="108"/>
      <c r="D269" s="108"/>
      <c r="E269" s="108"/>
      <c r="F269" s="108"/>
      <c r="G269" s="108"/>
      <c r="H269" s="267"/>
      <c r="I269" s="267"/>
      <c r="K269" s="267"/>
      <c r="L269" s="267"/>
      <c r="EA269" s="64"/>
      <c r="EB269" s="64"/>
      <c r="EC269" s="64"/>
      <c r="ED269" s="64"/>
      <c r="EE269" s="64"/>
      <c r="EF269" s="64"/>
      <c r="EG269" s="64"/>
      <c r="EH269" s="64"/>
      <c r="EI269" s="64"/>
      <c r="EJ269" s="64"/>
      <c r="EK269" s="64"/>
      <c r="EL269" s="64"/>
    </row>
    <row r="270" spans="1:142" x14ac:dyDescent="0.2">
      <c r="A270" s="108"/>
      <c r="B270" s="108"/>
      <c r="C270" s="108"/>
      <c r="D270" s="108"/>
      <c r="E270" s="108"/>
      <c r="F270" s="108"/>
      <c r="G270" s="108"/>
      <c r="H270" s="267"/>
      <c r="I270" s="267"/>
      <c r="K270" s="267"/>
      <c r="L270" s="267"/>
      <c r="EA270" s="64"/>
      <c r="EB270" s="64"/>
      <c r="EC270" s="64"/>
      <c r="ED270" s="64"/>
      <c r="EE270" s="64"/>
      <c r="EF270" s="64"/>
      <c r="EG270" s="64"/>
      <c r="EH270" s="64"/>
      <c r="EI270" s="64"/>
      <c r="EJ270" s="64"/>
      <c r="EK270" s="64"/>
      <c r="EL270" s="64"/>
    </row>
    <row r="271" spans="1:142" x14ac:dyDescent="0.2">
      <c r="A271" s="108"/>
      <c r="B271" s="108"/>
      <c r="C271" s="108"/>
      <c r="D271" s="108"/>
      <c r="E271" s="108"/>
      <c r="F271" s="108"/>
      <c r="G271" s="108"/>
      <c r="H271" s="267"/>
      <c r="I271" s="267"/>
      <c r="K271" s="267"/>
      <c r="L271" s="267"/>
      <c r="EA271" s="64"/>
      <c r="EB271" s="64"/>
      <c r="EC271" s="64"/>
      <c r="ED271" s="64"/>
      <c r="EE271" s="64"/>
      <c r="EF271" s="64"/>
      <c r="EG271" s="64"/>
      <c r="EH271" s="64"/>
      <c r="EI271" s="64"/>
      <c r="EJ271" s="64"/>
      <c r="EK271" s="64"/>
      <c r="EL271" s="64"/>
    </row>
    <row r="272" spans="1:142" x14ac:dyDescent="0.2">
      <c r="A272" s="108"/>
      <c r="B272" s="108"/>
      <c r="C272" s="108"/>
      <c r="D272" s="108"/>
      <c r="E272" s="108"/>
      <c r="F272" s="108"/>
      <c r="G272" s="108"/>
      <c r="H272" s="267"/>
      <c r="I272" s="267"/>
      <c r="K272" s="267"/>
      <c r="L272" s="267"/>
      <c r="EA272" s="64"/>
      <c r="EB272" s="64"/>
      <c r="EC272" s="64"/>
      <c r="ED272" s="64"/>
      <c r="EE272" s="64"/>
      <c r="EF272" s="64"/>
      <c r="EG272" s="64"/>
      <c r="EH272" s="64"/>
      <c r="EI272" s="64"/>
      <c r="EJ272" s="64"/>
      <c r="EK272" s="64"/>
      <c r="EL272" s="64"/>
    </row>
    <row r="273" spans="1:142" x14ac:dyDescent="0.2">
      <c r="A273" s="108"/>
      <c r="B273" s="108"/>
      <c r="C273" s="108"/>
      <c r="D273" s="108"/>
      <c r="E273" s="108"/>
      <c r="F273" s="108"/>
      <c r="G273" s="108"/>
      <c r="H273" s="267"/>
      <c r="I273" s="267"/>
      <c r="K273" s="267"/>
      <c r="L273" s="267"/>
      <c r="EA273" s="64"/>
      <c r="EB273" s="64"/>
      <c r="EC273" s="64"/>
      <c r="ED273" s="64"/>
      <c r="EE273" s="64"/>
      <c r="EF273" s="64"/>
      <c r="EG273" s="64"/>
      <c r="EH273" s="64"/>
      <c r="EI273" s="64"/>
      <c r="EJ273" s="64"/>
      <c r="EK273" s="64"/>
      <c r="EL273" s="64"/>
    </row>
    <row r="274" spans="1:142" x14ac:dyDescent="0.2">
      <c r="A274" s="108"/>
      <c r="B274" s="108"/>
      <c r="C274" s="108"/>
      <c r="D274" s="108"/>
      <c r="E274" s="108"/>
      <c r="F274" s="108"/>
      <c r="G274" s="108"/>
      <c r="H274" s="267"/>
      <c r="I274" s="267"/>
      <c r="K274" s="267"/>
      <c r="L274" s="267"/>
      <c r="EA274" s="64"/>
      <c r="EB274" s="64"/>
      <c r="EC274" s="64"/>
      <c r="ED274" s="64"/>
      <c r="EE274" s="64"/>
      <c r="EF274" s="64"/>
      <c r="EG274" s="64"/>
      <c r="EH274" s="64"/>
      <c r="EI274" s="64"/>
      <c r="EJ274" s="64"/>
      <c r="EK274" s="64"/>
      <c r="EL274" s="64"/>
    </row>
    <row r="275" spans="1:142" x14ac:dyDescent="0.2">
      <c r="A275" s="108"/>
      <c r="B275" s="108"/>
      <c r="C275" s="108"/>
      <c r="D275" s="108"/>
      <c r="E275" s="108"/>
      <c r="F275" s="108"/>
      <c r="G275" s="108"/>
      <c r="H275" s="267"/>
      <c r="I275" s="267"/>
      <c r="K275" s="267"/>
      <c r="L275" s="267"/>
      <c r="EA275" s="64"/>
      <c r="EB275" s="64"/>
      <c r="EC275" s="64"/>
      <c r="ED275" s="64"/>
      <c r="EE275" s="64"/>
      <c r="EF275" s="64"/>
      <c r="EG275" s="64"/>
      <c r="EH275" s="64"/>
      <c r="EI275" s="64"/>
      <c r="EJ275" s="64"/>
      <c r="EK275" s="64"/>
      <c r="EL275" s="64"/>
    </row>
    <row r="276" spans="1:142" x14ac:dyDescent="0.2">
      <c r="A276" s="108"/>
      <c r="B276" s="108"/>
      <c r="C276" s="108"/>
      <c r="D276" s="108"/>
      <c r="E276" s="108"/>
      <c r="F276" s="108"/>
      <c r="G276" s="108"/>
      <c r="H276" s="267"/>
      <c r="I276" s="267"/>
      <c r="K276" s="267"/>
      <c r="L276" s="267"/>
      <c r="EA276" s="64"/>
      <c r="EB276" s="64"/>
      <c r="EC276" s="64"/>
      <c r="ED276" s="64"/>
      <c r="EE276" s="64"/>
      <c r="EF276" s="64"/>
      <c r="EG276" s="64"/>
      <c r="EH276" s="64"/>
      <c r="EI276" s="64"/>
      <c r="EJ276" s="64"/>
      <c r="EK276" s="64"/>
      <c r="EL276" s="64"/>
    </row>
    <row r="277" spans="1:142" x14ac:dyDescent="0.2">
      <c r="A277" s="108"/>
      <c r="B277" s="108"/>
      <c r="C277" s="108"/>
      <c r="D277" s="108"/>
      <c r="E277" s="108"/>
      <c r="F277" s="108"/>
      <c r="G277" s="108"/>
      <c r="H277" s="267"/>
      <c r="I277" s="267"/>
      <c r="K277" s="267"/>
      <c r="L277" s="267"/>
      <c r="EA277" s="64"/>
      <c r="EB277" s="64"/>
      <c r="EC277" s="64"/>
      <c r="ED277" s="64"/>
      <c r="EE277" s="64"/>
      <c r="EF277" s="64"/>
      <c r="EG277" s="64"/>
      <c r="EH277" s="64"/>
      <c r="EI277" s="64"/>
      <c r="EJ277" s="64"/>
      <c r="EK277" s="64"/>
      <c r="EL277" s="64"/>
    </row>
    <row r="278" spans="1:142" x14ac:dyDescent="0.2">
      <c r="A278" s="108"/>
      <c r="B278" s="108"/>
      <c r="C278" s="108"/>
      <c r="D278" s="108"/>
      <c r="E278" s="108"/>
      <c r="F278" s="108"/>
      <c r="G278" s="108"/>
      <c r="H278" s="267"/>
      <c r="I278" s="267"/>
      <c r="K278" s="267"/>
      <c r="L278" s="267"/>
      <c r="EA278" s="64"/>
      <c r="EB278" s="64"/>
      <c r="EC278" s="64"/>
      <c r="ED278" s="64"/>
      <c r="EE278" s="64"/>
      <c r="EF278" s="64"/>
      <c r="EG278" s="64"/>
      <c r="EH278" s="64"/>
      <c r="EI278" s="64"/>
      <c r="EJ278" s="64"/>
      <c r="EK278" s="64"/>
      <c r="EL278" s="64"/>
    </row>
    <row r="279" spans="1:142" x14ac:dyDescent="0.2">
      <c r="A279" s="108"/>
      <c r="B279" s="108"/>
      <c r="C279" s="108"/>
      <c r="D279" s="108"/>
      <c r="E279" s="108"/>
      <c r="F279" s="108"/>
      <c r="G279" s="108"/>
      <c r="H279" s="267"/>
      <c r="I279" s="267"/>
      <c r="K279" s="267"/>
      <c r="L279" s="267"/>
      <c r="EA279" s="64"/>
      <c r="EB279" s="64"/>
      <c r="EC279" s="64"/>
      <c r="ED279" s="64"/>
      <c r="EE279" s="64"/>
      <c r="EF279" s="64"/>
      <c r="EG279" s="64"/>
      <c r="EH279" s="64"/>
      <c r="EI279" s="64"/>
      <c r="EJ279" s="64"/>
      <c r="EK279" s="64"/>
      <c r="EL279" s="64"/>
    </row>
    <row r="280" spans="1:142" x14ac:dyDescent="0.2">
      <c r="A280" s="108"/>
      <c r="B280" s="108"/>
      <c r="C280" s="108"/>
      <c r="D280" s="108"/>
      <c r="E280" s="108"/>
      <c r="F280" s="108"/>
      <c r="G280" s="108"/>
      <c r="H280" s="267"/>
      <c r="I280" s="267"/>
      <c r="K280" s="267"/>
      <c r="L280" s="267"/>
      <c r="EA280" s="64"/>
      <c r="EB280" s="64"/>
      <c r="EC280" s="64"/>
      <c r="ED280" s="64"/>
      <c r="EE280" s="64"/>
      <c r="EF280" s="64"/>
      <c r="EG280" s="64"/>
      <c r="EH280" s="64"/>
      <c r="EI280" s="64"/>
      <c r="EJ280" s="64"/>
      <c r="EK280" s="64"/>
      <c r="EL280" s="64"/>
    </row>
    <row r="281" spans="1:142" x14ac:dyDescent="0.2">
      <c r="A281" s="108"/>
      <c r="B281" s="108"/>
      <c r="C281" s="108"/>
      <c r="D281" s="108"/>
      <c r="E281" s="108"/>
      <c r="F281" s="108"/>
      <c r="G281" s="108"/>
      <c r="H281" s="267"/>
      <c r="I281" s="267"/>
      <c r="K281" s="267"/>
      <c r="L281" s="267"/>
      <c r="EA281" s="64"/>
      <c r="EB281" s="64"/>
      <c r="EC281" s="64"/>
      <c r="ED281" s="64"/>
      <c r="EE281" s="64"/>
      <c r="EF281" s="64"/>
      <c r="EG281" s="64"/>
      <c r="EH281" s="64"/>
      <c r="EI281" s="64"/>
      <c r="EJ281" s="64"/>
      <c r="EK281" s="64"/>
      <c r="EL281" s="64"/>
    </row>
    <row r="282" spans="1:142" x14ac:dyDescent="0.2">
      <c r="A282" s="108"/>
      <c r="B282" s="108"/>
      <c r="C282" s="108"/>
      <c r="D282" s="108"/>
      <c r="E282" s="108"/>
      <c r="F282" s="108"/>
      <c r="G282" s="108"/>
      <c r="H282" s="267"/>
      <c r="I282" s="267"/>
      <c r="K282" s="267"/>
      <c r="L282" s="267"/>
      <c r="EA282" s="64"/>
      <c r="EB282" s="64"/>
      <c r="EC282" s="64"/>
      <c r="ED282" s="64"/>
      <c r="EE282" s="64"/>
      <c r="EF282" s="64"/>
      <c r="EG282" s="64"/>
      <c r="EH282" s="64"/>
      <c r="EI282" s="64"/>
      <c r="EJ282" s="64"/>
      <c r="EK282" s="64"/>
      <c r="EL282" s="64"/>
    </row>
    <row r="283" spans="1:142" x14ac:dyDescent="0.2">
      <c r="A283" s="108"/>
      <c r="B283" s="108"/>
      <c r="C283" s="108"/>
      <c r="D283" s="108"/>
      <c r="E283" s="108"/>
      <c r="F283" s="108"/>
      <c r="G283" s="108"/>
      <c r="H283" s="267"/>
      <c r="I283" s="267"/>
      <c r="K283" s="267"/>
      <c r="L283" s="267"/>
      <c r="EA283" s="64"/>
      <c r="EB283" s="64"/>
      <c r="EC283" s="64"/>
      <c r="ED283" s="64"/>
      <c r="EE283" s="64"/>
      <c r="EF283" s="64"/>
      <c r="EG283" s="64"/>
      <c r="EH283" s="64"/>
      <c r="EI283" s="64"/>
      <c r="EJ283" s="64"/>
      <c r="EK283" s="64"/>
      <c r="EL283" s="64"/>
    </row>
    <row r="284" spans="1:142" x14ac:dyDescent="0.2">
      <c r="A284" s="108"/>
      <c r="B284" s="108"/>
      <c r="C284" s="108"/>
      <c r="D284" s="108"/>
      <c r="E284" s="108"/>
      <c r="F284" s="108"/>
      <c r="G284" s="108"/>
      <c r="H284" s="267"/>
      <c r="I284" s="267"/>
      <c r="K284" s="267"/>
      <c r="L284" s="267"/>
      <c r="EA284" s="64"/>
      <c r="EB284" s="64"/>
      <c r="EC284" s="64"/>
      <c r="ED284" s="64"/>
      <c r="EE284" s="64"/>
      <c r="EF284" s="64"/>
      <c r="EG284" s="64"/>
      <c r="EH284" s="64"/>
      <c r="EI284" s="64"/>
      <c r="EJ284" s="64"/>
      <c r="EK284" s="64"/>
      <c r="EL284" s="64"/>
    </row>
    <row r="285" spans="1:142" x14ac:dyDescent="0.2">
      <c r="A285" s="108"/>
      <c r="B285" s="108"/>
      <c r="C285" s="108"/>
      <c r="D285" s="108"/>
      <c r="E285" s="108"/>
      <c r="F285" s="108"/>
      <c r="G285" s="108"/>
      <c r="H285" s="267"/>
      <c r="I285" s="267"/>
      <c r="K285" s="267"/>
      <c r="L285" s="267"/>
      <c r="EA285" s="64"/>
      <c r="EB285" s="64"/>
      <c r="EC285" s="64"/>
      <c r="ED285" s="64"/>
      <c r="EE285" s="64"/>
      <c r="EF285" s="64"/>
      <c r="EG285" s="64"/>
      <c r="EH285" s="64"/>
      <c r="EI285" s="64"/>
      <c r="EJ285" s="64"/>
      <c r="EK285" s="64"/>
      <c r="EL285" s="64"/>
    </row>
    <row r="286" spans="1:142" x14ac:dyDescent="0.2">
      <c r="A286" s="108"/>
      <c r="B286" s="108"/>
      <c r="C286" s="108"/>
      <c r="D286" s="108"/>
      <c r="E286" s="108"/>
      <c r="F286" s="108"/>
      <c r="G286" s="108"/>
      <c r="H286" s="267"/>
      <c r="I286" s="267"/>
      <c r="K286" s="267"/>
      <c r="L286" s="267"/>
      <c r="EA286" s="64"/>
      <c r="EB286" s="64"/>
      <c r="EC286" s="64"/>
      <c r="ED286" s="64"/>
      <c r="EE286" s="64"/>
      <c r="EF286" s="64"/>
      <c r="EG286" s="64"/>
      <c r="EH286" s="64"/>
      <c r="EI286" s="64"/>
      <c r="EJ286" s="64"/>
      <c r="EK286" s="64"/>
      <c r="EL286" s="64"/>
    </row>
    <row r="287" spans="1:142" x14ac:dyDescent="0.2">
      <c r="A287" s="108"/>
      <c r="B287" s="108"/>
      <c r="C287" s="108"/>
      <c r="D287" s="108"/>
      <c r="E287" s="108"/>
      <c r="F287" s="108"/>
      <c r="G287" s="108"/>
      <c r="H287" s="267"/>
      <c r="I287" s="267"/>
      <c r="K287" s="267"/>
      <c r="L287" s="267"/>
      <c r="EA287" s="64"/>
      <c r="EB287" s="64"/>
      <c r="EC287" s="64"/>
      <c r="ED287" s="64"/>
      <c r="EE287" s="64"/>
      <c r="EF287" s="64"/>
      <c r="EG287" s="64"/>
      <c r="EH287" s="64"/>
      <c r="EI287" s="64"/>
      <c r="EJ287" s="64"/>
      <c r="EK287" s="64"/>
      <c r="EL287" s="64"/>
    </row>
    <row r="288" spans="1:142" x14ac:dyDescent="0.2">
      <c r="A288" s="108"/>
      <c r="B288" s="108"/>
      <c r="C288" s="108"/>
      <c r="D288" s="108"/>
      <c r="E288" s="108"/>
      <c r="F288" s="108"/>
      <c r="G288" s="108"/>
      <c r="H288" s="267"/>
      <c r="I288" s="267"/>
      <c r="K288" s="267"/>
      <c r="L288" s="267"/>
      <c r="EA288" s="64"/>
      <c r="EB288" s="64"/>
      <c r="EC288" s="64"/>
      <c r="ED288" s="64"/>
      <c r="EE288" s="64"/>
      <c r="EF288" s="64"/>
      <c r="EG288" s="64"/>
      <c r="EH288" s="64"/>
      <c r="EI288" s="64"/>
      <c r="EJ288" s="64"/>
      <c r="EK288" s="64"/>
      <c r="EL288" s="64"/>
    </row>
    <row r="289" spans="1:142" x14ac:dyDescent="0.2">
      <c r="A289" s="108"/>
      <c r="B289" s="108"/>
      <c r="C289" s="108"/>
      <c r="D289" s="108"/>
      <c r="E289" s="108"/>
      <c r="F289" s="108"/>
      <c r="G289" s="108"/>
      <c r="H289" s="267"/>
      <c r="I289" s="267"/>
      <c r="K289" s="267"/>
      <c r="L289" s="267"/>
      <c r="EA289" s="64"/>
      <c r="EB289" s="64"/>
      <c r="EC289" s="64"/>
      <c r="ED289" s="64"/>
      <c r="EE289" s="64"/>
      <c r="EF289" s="64"/>
      <c r="EG289" s="64"/>
      <c r="EH289" s="64"/>
      <c r="EI289" s="64"/>
      <c r="EJ289" s="64"/>
      <c r="EK289" s="64"/>
      <c r="EL289" s="64"/>
    </row>
    <row r="290" spans="1:142" x14ac:dyDescent="0.2">
      <c r="A290" s="108"/>
      <c r="B290" s="108"/>
      <c r="C290" s="108"/>
      <c r="D290" s="108"/>
      <c r="E290" s="108"/>
      <c r="F290" s="108"/>
      <c r="G290" s="108"/>
      <c r="H290" s="267"/>
      <c r="I290" s="267"/>
      <c r="K290" s="267"/>
      <c r="L290" s="267"/>
      <c r="EA290" s="64"/>
      <c r="EB290" s="64"/>
      <c r="EC290" s="64"/>
      <c r="ED290" s="64"/>
      <c r="EE290" s="64"/>
      <c r="EF290" s="64"/>
      <c r="EG290" s="64"/>
      <c r="EH290" s="64"/>
      <c r="EI290" s="64"/>
      <c r="EJ290" s="64"/>
      <c r="EK290" s="64"/>
      <c r="EL290" s="64"/>
    </row>
    <row r="291" spans="1:142" x14ac:dyDescent="0.2">
      <c r="A291" s="108"/>
      <c r="B291" s="108"/>
      <c r="C291" s="108"/>
      <c r="D291" s="108"/>
      <c r="E291" s="108"/>
      <c r="F291" s="108"/>
      <c r="G291" s="108"/>
      <c r="H291" s="267"/>
      <c r="I291" s="267"/>
      <c r="K291" s="267"/>
      <c r="L291" s="267"/>
      <c r="EA291" s="64"/>
      <c r="EB291" s="64"/>
      <c r="EC291" s="64"/>
      <c r="ED291" s="64"/>
      <c r="EE291" s="64"/>
      <c r="EF291" s="64"/>
      <c r="EG291" s="64"/>
      <c r="EH291" s="64"/>
      <c r="EI291" s="64"/>
      <c r="EJ291" s="64"/>
      <c r="EK291" s="64"/>
      <c r="EL291" s="64"/>
    </row>
    <row r="292" spans="1:142" x14ac:dyDescent="0.2">
      <c r="A292" s="108"/>
      <c r="B292" s="108"/>
      <c r="C292" s="108"/>
      <c r="D292" s="108"/>
      <c r="E292" s="108"/>
      <c r="F292" s="108"/>
      <c r="G292" s="108"/>
      <c r="H292" s="267"/>
      <c r="I292" s="267"/>
      <c r="K292" s="267"/>
      <c r="L292" s="267"/>
      <c r="EA292" s="64"/>
      <c r="EB292" s="64"/>
      <c r="EC292" s="64"/>
      <c r="ED292" s="64"/>
      <c r="EE292" s="64"/>
      <c r="EF292" s="64"/>
      <c r="EG292" s="64"/>
      <c r="EH292" s="64"/>
      <c r="EI292" s="64"/>
      <c r="EJ292" s="64"/>
      <c r="EK292" s="64"/>
      <c r="EL292" s="64"/>
    </row>
    <row r="293" spans="1:142" x14ac:dyDescent="0.2">
      <c r="A293" s="108"/>
      <c r="B293" s="108"/>
      <c r="C293" s="108"/>
      <c r="D293" s="108"/>
      <c r="E293" s="108"/>
      <c r="F293" s="108"/>
      <c r="G293" s="108"/>
      <c r="H293" s="267"/>
      <c r="I293" s="267"/>
      <c r="K293" s="267"/>
      <c r="L293" s="267"/>
      <c r="EA293" s="64"/>
      <c r="EB293" s="64"/>
      <c r="EC293" s="64"/>
      <c r="ED293" s="64"/>
      <c r="EE293" s="64"/>
      <c r="EF293" s="64"/>
      <c r="EG293" s="64"/>
      <c r="EH293" s="64"/>
      <c r="EI293" s="64"/>
      <c r="EJ293" s="64"/>
      <c r="EK293" s="64"/>
      <c r="EL293" s="64"/>
    </row>
    <row r="294" spans="1:142" x14ac:dyDescent="0.2">
      <c r="A294" s="108"/>
      <c r="B294" s="108"/>
      <c r="C294" s="108"/>
      <c r="D294" s="108"/>
      <c r="E294" s="108"/>
      <c r="F294" s="267"/>
      <c r="G294" s="267"/>
      <c r="H294" s="267"/>
      <c r="I294" s="267"/>
      <c r="K294" s="267"/>
      <c r="L294" s="267"/>
      <c r="EA294" s="64"/>
      <c r="EB294" s="64"/>
      <c r="EC294" s="64"/>
      <c r="ED294" s="64"/>
      <c r="EE294" s="64"/>
      <c r="EF294" s="64"/>
      <c r="EG294" s="64"/>
      <c r="EH294" s="64"/>
      <c r="EI294" s="64"/>
      <c r="EJ294" s="64"/>
      <c r="EK294" s="64"/>
      <c r="EL294" s="64"/>
    </row>
    <row r="295" spans="1:142" x14ac:dyDescent="0.2">
      <c r="A295" s="108"/>
      <c r="B295" s="108"/>
      <c r="C295" s="108"/>
      <c r="D295" s="108"/>
      <c r="E295" s="108"/>
      <c r="F295" s="267"/>
      <c r="G295" s="267"/>
      <c r="H295" s="267"/>
      <c r="I295" s="267"/>
      <c r="K295" s="267"/>
      <c r="L295" s="267"/>
      <c r="EA295" s="64"/>
      <c r="EB295" s="64"/>
      <c r="EC295" s="64"/>
      <c r="ED295" s="64"/>
      <c r="EE295" s="64"/>
      <c r="EF295" s="64"/>
      <c r="EG295" s="64"/>
      <c r="EH295" s="64"/>
      <c r="EI295" s="64"/>
      <c r="EJ295" s="64"/>
      <c r="EK295" s="64"/>
      <c r="EL295" s="64"/>
    </row>
    <row r="296" spans="1:142" x14ac:dyDescent="0.2">
      <c r="A296" s="108"/>
      <c r="B296" s="108"/>
      <c r="C296" s="108"/>
      <c r="D296" s="108"/>
      <c r="E296" s="108"/>
      <c r="F296" s="267"/>
      <c r="G296" s="267"/>
      <c r="H296" s="267"/>
      <c r="I296" s="267"/>
      <c r="K296" s="267"/>
      <c r="L296" s="267"/>
      <c r="EA296" s="64"/>
      <c r="EB296" s="64"/>
      <c r="EC296" s="64"/>
      <c r="ED296" s="64"/>
      <c r="EE296" s="64"/>
      <c r="EF296" s="64"/>
      <c r="EG296" s="64"/>
      <c r="EH296" s="64"/>
      <c r="EI296" s="64"/>
      <c r="EJ296" s="64"/>
      <c r="EK296" s="64"/>
      <c r="EL296" s="64"/>
    </row>
    <row r="297" spans="1:142" x14ac:dyDescent="0.2">
      <c r="A297" s="108"/>
      <c r="B297" s="108"/>
      <c r="C297" s="108"/>
      <c r="D297" s="108"/>
      <c r="E297" s="108"/>
      <c r="F297" s="267"/>
      <c r="G297" s="267"/>
      <c r="H297" s="267"/>
      <c r="I297" s="267"/>
      <c r="K297" s="267"/>
      <c r="L297" s="267"/>
      <c r="EA297" s="64"/>
      <c r="EB297" s="64"/>
      <c r="EC297" s="64"/>
      <c r="ED297" s="64"/>
      <c r="EE297" s="64"/>
      <c r="EF297" s="64"/>
      <c r="EG297" s="64"/>
      <c r="EH297" s="64"/>
      <c r="EI297" s="64"/>
      <c r="EJ297" s="64"/>
      <c r="EK297" s="64"/>
      <c r="EL297" s="64"/>
    </row>
    <row r="298" spans="1:142" x14ac:dyDescent="0.2">
      <c r="A298" s="108"/>
      <c r="B298" s="108"/>
      <c r="C298" s="108"/>
      <c r="D298" s="108"/>
      <c r="E298" s="267"/>
      <c r="F298" s="267"/>
      <c r="G298" s="267"/>
      <c r="H298" s="267"/>
      <c r="I298" s="267"/>
      <c r="K298" s="267"/>
      <c r="L298" s="267"/>
      <c r="EA298" s="64"/>
      <c r="EB298" s="64"/>
      <c r="EC298" s="64"/>
      <c r="ED298" s="64"/>
      <c r="EE298" s="64"/>
      <c r="EF298" s="64"/>
      <c r="EG298" s="64"/>
      <c r="EH298" s="64"/>
      <c r="EI298" s="64"/>
      <c r="EJ298" s="64"/>
      <c r="EK298" s="64"/>
      <c r="EL298" s="64"/>
    </row>
    <row r="299" spans="1:142" x14ac:dyDescent="0.2">
      <c r="A299" s="267"/>
      <c r="B299" s="267"/>
      <c r="C299" s="267"/>
      <c r="D299" s="267"/>
      <c r="E299" s="267"/>
      <c r="F299" s="267"/>
      <c r="G299" s="267"/>
      <c r="H299" s="267"/>
      <c r="I299" s="267"/>
      <c r="K299" s="267"/>
      <c r="L299" s="267"/>
      <c r="EA299" s="64"/>
      <c r="EB299" s="64"/>
      <c r="EC299" s="64"/>
      <c r="ED299" s="64"/>
      <c r="EE299" s="64"/>
      <c r="EF299" s="64"/>
      <c r="EG299" s="64"/>
      <c r="EH299" s="64"/>
      <c r="EI299" s="64"/>
      <c r="EJ299" s="64"/>
      <c r="EK299" s="64"/>
      <c r="EL299" s="64"/>
    </row>
    <row r="300" spans="1:142" x14ac:dyDescent="0.2">
      <c r="A300" s="267"/>
      <c r="B300" s="267"/>
      <c r="C300" s="267"/>
      <c r="D300" s="267"/>
      <c r="E300" s="267"/>
      <c r="F300" s="267"/>
      <c r="G300" s="267"/>
      <c r="H300" s="267"/>
      <c r="I300" s="267"/>
      <c r="K300" s="267"/>
      <c r="L300" s="267"/>
      <c r="EA300" s="64"/>
      <c r="EB300" s="64"/>
      <c r="EC300" s="64"/>
      <c r="ED300" s="64"/>
      <c r="EE300" s="64"/>
      <c r="EF300" s="64"/>
      <c r="EG300" s="64"/>
      <c r="EH300" s="64"/>
      <c r="EI300" s="64"/>
      <c r="EJ300" s="64"/>
      <c r="EK300" s="64"/>
      <c r="EL300" s="64"/>
    </row>
    <row r="301" spans="1:142" x14ac:dyDescent="0.2">
      <c r="A301" s="267"/>
      <c r="B301" s="267"/>
      <c r="C301" s="267"/>
      <c r="D301" s="267"/>
      <c r="E301" s="267"/>
      <c r="F301" s="267"/>
      <c r="G301" s="267"/>
      <c r="H301" s="267"/>
      <c r="I301" s="267"/>
      <c r="K301" s="267"/>
      <c r="L301" s="267"/>
      <c r="EA301" s="64"/>
      <c r="EB301" s="64"/>
      <c r="EC301" s="64"/>
      <c r="ED301" s="64"/>
      <c r="EE301" s="64"/>
      <c r="EF301" s="64"/>
      <c r="EG301" s="64"/>
      <c r="EH301" s="64"/>
      <c r="EI301" s="64"/>
      <c r="EJ301" s="64"/>
      <c r="EK301" s="64"/>
      <c r="EL301" s="64"/>
    </row>
    <row r="302" spans="1:142" x14ac:dyDescent="0.2">
      <c r="A302" s="267"/>
      <c r="B302" s="267"/>
      <c r="C302" s="267"/>
      <c r="D302" s="267"/>
      <c r="E302" s="267"/>
      <c r="F302" s="267"/>
      <c r="G302" s="267"/>
      <c r="H302" s="267"/>
      <c r="I302" s="267"/>
      <c r="K302" s="267"/>
      <c r="L302" s="267"/>
      <c r="EA302" s="64"/>
      <c r="EB302" s="64"/>
      <c r="EC302" s="64"/>
      <c r="ED302" s="64"/>
      <c r="EE302" s="64"/>
      <c r="EF302" s="64"/>
      <c r="EG302" s="64"/>
      <c r="EH302" s="64"/>
      <c r="EI302" s="64"/>
      <c r="EJ302" s="64"/>
      <c r="EK302" s="64"/>
      <c r="EL302" s="64"/>
    </row>
    <row r="303" spans="1:142" x14ac:dyDescent="0.2">
      <c r="A303" s="267"/>
      <c r="B303" s="267"/>
      <c r="C303" s="267"/>
      <c r="D303" s="267"/>
      <c r="E303" s="267"/>
      <c r="F303" s="267"/>
      <c r="G303" s="267"/>
      <c r="H303" s="267"/>
      <c r="I303" s="267"/>
      <c r="K303" s="267"/>
      <c r="L303" s="267"/>
      <c r="EA303" s="64"/>
      <c r="EB303" s="64"/>
      <c r="EC303" s="64"/>
      <c r="ED303" s="64"/>
      <c r="EE303" s="64"/>
      <c r="EF303" s="64"/>
      <c r="EG303" s="64"/>
      <c r="EH303" s="64"/>
      <c r="EI303" s="64"/>
      <c r="EJ303" s="64"/>
      <c r="EK303" s="64"/>
      <c r="EL303" s="64"/>
    </row>
    <row r="304" spans="1:142" x14ac:dyDescent="0.2">
      <c r="A304" s="267"/>
      <c r="B304" s="267"/>
      <c r="C304" s="267"/>
      <c r="D304" s="267"/>
      <c r="E304" s="267"/>
      <c r="F304" s="267"/>
      <c r="G304" s="267"/>
      <c r="H304" s="267"/>
      <c r="I304" s="267"/>
      <c r="K304" s="267"/>
      <c r="L304" s="267"/>
      <c r="EA304" s="64"/>
      <c r="EB304" s="64"/>
      <c r="EC304" s="64"/>
      <c r="ED304" s="64"/>
      <c r="EE304" s="64"/>
      <c r="EF304" s="64"/>
      <c r="EG304" s="64"/>
      <c r="EH304" s="64"/>
      <c r="EI304" s="64"/>
      <c r="EJ304" s="64"/>
      <c r="EK304" s="64"/>
      <c r="EL304" s="64"/>
    </row>
    <row r="305" spans="1:142" x14ac:dyDescent="0.2">
      <c r="A305" s="267"/>
      <c r="B305" s="267"/>
      <c r="C305" s="267"/>
      <c r="D305" s="267"/>
      <c r="E305" s="267"/>
      <c r="F305" s="267"/>
      <c r="G305" s="267"/>
      <c r="H305" s="267"/>
      <c r="I305" s="267"/>
      <c r="K305" s="267"/>
      <c r="L305" s="267"/>
      <c r="EA305" s="64"/>
      <c r="EB305" s="64"/>
      <c r="EC305" s="64"/>
      <c r="ED305" s="64"/>
      <c r="EE305" s="64"/>
      <c r="EF305" s="64"/>
      <c r="EG305" s="64"/>
      <c r="EH305" s="64"/>
      <c r="EI305" s="64"/>
      <c r="EJ305" s="64"/>
      <c r="EK305" s="64"/>
      <c r="EL305" s="64"/>
    </row>
    <row r="306" spans="1:142" x14ac:dyDescent="0.2">
      <c r="A306" s="267"/>
      <c r="B306" s="267"/>
      <c r="C306" s="267"/>
      <c r="D306" s="267"/>
      <c r="E306" s="267"/>
      <c r="F306" s="267"/>
      <c r="G306" s="267"/>
      <c r="H306" s="267"/>
      <c r="I306" s="267"/>
      <c r="K306" s="267"/>
      <c r="L306" s="267"/>
      <c r="EA306" s="64"/>
      <c r="EB306" s="64"/>
      <c r="EC306" s="64"/>
      <c r="ED306" s="64"/>
      <c r="EE306" s="64"/>
      <c r="EF306" s="64"/>
      <c r="EG306" s="64"/>
      <c r="EH306" s="64"/>
      <c r="EI306" s="64"/>
      <c r="EJ306" s="64"/>
      <c r="EK306" s="64"/>
      <c r="EL306" s="64"/>
    </row>
    <row r="307" spans="1:142" x14ac:dyDescent="0.2">
      <c r="A307" s="267"/>
      <c r="B307" s="267"/>
      <c r="C307" s="267"/>
      <c r="D307" s="267"/>
      <c r="E307" s="267"/>
      <c r="F307" s="267"/>
      <c r="G307" s="267"/>
      <c r="H307" s="267"/>
      <c r="I307" s="267"/>
      <c r="K307" s="267"/>
      <c r="L307" s="267"/>
      <c r="EA307" s="64"/>
      <c r="EB307" s="64"/>
      <c r="EC307" s="64"/>
      <c r="ED307" s="64"/>
      <c r="EE307" s="64"/>
      <c r="EF307" s="64"/>
      <c r="EG307" s="64"/>
      <c r="EH307" s="64"/>
      <c r="EI307" s="64"/>
      <c r="EJ307" s="64"/>
      <c r="EK307" s="64"/>
      <c r="EL307" s="64"/>
    </row>
    <row r="308" spans="1:142" x14ac:dyDescent="0.2">
      <c r="A308" s="267"/>
      <c r="B308" s="267"/>
      <c r="C308" s="267"/>
      <c r="D308" s="267"/>
      <c r="E308" s="267"/>
      <c r="F308" s="267"/>
      <c r="G308" s="267"/>
      <c r="H308" s="267"/>
      <c r="I308" s="267"/>
      <c r="K308" s="267"/>
      <c r="L308" s="267"/>
      <c r="EA308" s="64"/>
      <c r="EB308" s="64"/>
      <c r="EC308" s="64"/>
      <c r="ED308" s="64"/>
      <c r="EE308" s="64"/>
      <c r="EF308" s="64"/>
      <c r="EG308" s="64"/>
      <c r="EH308" s="64"/>
      <c r="EI308" s="64"/>
      <c r="EJ308" s="64"/>
      <c r="EK308" s="64"/>
      <c r="EL308" s="64"/>
    </row>
    <row r="309" spans="1:142" x14ac:dyDescent="0.2">
      <c r="A309" s="267"/>
      <c r="B309" s="267"/>
      <c r="C309" s="267"/>
      <c r="D309" s="267"/>
      <c r="E309" s="267"/>
      <c r="F309" s="267"/>
      <c r="G309" s="267"/>
      <c r="H309" s="267"/>
      <c r="I309" s="267"/>
      <c r="K309" s="267"/>
      <c r="L309" s="267"/>
      <c r="EA309" s="64"/>
      <c r="EB309" s="64"/>
      <c r="EC309" s="64"/>
      <c r="ED309" s="64"/>
      <c r="EE309" s="64"/>
      <c r="EF309" s="64"/>
      <c r="EG309" s="64"/>
      <c r="EH309" s="64"/>
      <c r="EI309" s="64"/>
      <c r="EJ309" s="64"/>
      <c r="EK309" s="64"/>
      <c r="EL309" s="64"/>
    </row>
    <row r="310" spans="1:142" x14ac:dyDescent="0.2">
      <c r="A310" s="267"/>
      <c r="B310" s="267"/>
      <c r="C310" s="267"/>
      <c r="D310" s="267"/>
      <c r="E310" s="267"/>
      <c r="F310" s="267"/>
      <c r="G310" s="267"/>
      <c r="H310" s="267"/>
      <c r="I310" s="267"/>
      <c r="K310" s="267"/>
      <c r="L310" s="267"/>
      <c r="EA310" s="64"/>
      <c r="EB310" s="64"/>
      <c r="EC310" s="64"/>
      <c r="ED310" s="64"/>
      <c r="EE310" s="64"/>
      <c r="EF310" s="64"/>
      <c r="EG310" s="64"/>
      <c r="EH310" s="64"/>
      <c r="EI310" s="64"/>
      <c r="EJ310" s="64"/>
      <c r="EK310" s="64"/>
      <c r="EL310" s="64"/>
    </row>
    <row r="311" spans="1:142" x14ac:dyDescent="0.2">
      <c r="A311" s="267"/>
      <c r="B311" s="267"/>
      <c r="C311" s="267"/>
      <c r="D311" s="267"/>
      <c r="E311" s="267"/>
      <c r="F311" s="267"/>
      <c r="G311" s="267"/>
      <c r="H311" s="267"/>
      <c r="I311" s="267"/>
      <c r="K311" s="267"/>
      <c r="L311" s="267"/>
      <c r="EA311" s="64"/>
      <c r="EB311" s="64"/>
      <c r="EC311" s="64"/>
      <c r="ED311" s="64"/>
      <c r="EE311" s="64"/>
      <c r="EF311" s="64"/>
      <c r="EG311" s="64"/>
      <c r="EH311" s="64"/>
      <c r="EI311" s="64"/>
      <c r="EJ311" s="64"/>
      <c r="EK311" s="64"/>
      <c r="EL311" s="64"/>
    </row>
    <row r="312" spans="1:142" x14ac:dyDescent="0.2">
      <c r="A312" s="267"/>
      <c r="B312" s="267"/>
      <c r="C312" s="267"/>
      <c r="D312" s="267"/>
      <c r="E312" s="267"/>
      <c r="F312" s="267"/>
      <c r="G312" s="267"/>
      <c r="H312" s="267"/>
      <c r="I312" s="267"/>
      <c r="K312" s="267"/>
      <c r="L312" s="267"/>
      <c r="EA312" s="64"/>
      <c r="EB312" s="64"/>
      <c r="EC312" s="64"/>
      <c r="ED312" s="64"/>
      <c r="EE312" s="64"/>
      <c r="EF312" s="64"/>
      <c r="EG312" s="64"/>
      <c r="EH312" s="64"/>
      <c r="EI312" s="64"/>
      <c r="EJ312" s="64"/>
      <c r="EK312" s="64"/>
      <c r="EL312" s="64"/>
    </row>
    <row r="313" spans="1:142" x14ac:dyDescent="0.2">
      <c r="A313" s="267"/>
      <c r="B313" s="267"/>
      <c r="C313" s="267"/>
      <c r="D313" s="267"/>
      <c r="E313" s="267"/>
      <c r="F313" s="267"/>
      <c r="G313" s="267"/>
      <c r="H313" s="267"/>
      <c r="I313" s="267"/>
      <c r="K313" s="267"/>
      <c r="L313" s="267"/>
      <c r="EA313" s="64"/>
      <c r="EB313" s="64"/>
      <c r="EC313" s="64"/>
      <c r="ED313" s="64"/>
      <c r="EE313" s="64"/>
      <c r="EF313" s="64"/>
      <c r="EG313" s="64"/>
      <c r="EH313" s="64"/>
      <c r="EI313" s="64"/>
      <c r="EJ313" s="64"/>
      <c r="EK313" s="64"/>
      <c r="EL313" s="64"/>
    </row>
    <row r="314" spans="1:142" x14ac:dyDescent="0.2">
      <c r="A314" s="267"/>
      <c r="B314" s="267"/>
      <c r="C314" s="267"/>
      <c r="D314" s="267"/>
      <c r="E314" s="267"/>
      <c r="F314" s="267"/>
      <c r="G314" s="267"/>
      <c r="H314" s="267"/>
      <c r="I314" s="267"/>
      <c r="K314" s="267"/>
      <c r="L314" s="267"/>
      <c r="EA314" s="64"/>
      <c r="EB314" s="64"/>
      <c r="EC314" s="64"/>
      <c r="ED314" s="64"/>
      <c r="EE314" s="64"/>
      <c r="EF314" s="64"/>
      <c r="EG314" s="64"/>
      <c r="EH314" s="64"/>
      <c r="EI314" s="64"/>
      <c r="EJ314" s="64"/>
      <c r="EK314" s="64"/>
      <c r="EL314" s="64"/>
    </row>
    <row r="315" spans="1:142" x14ac:dyDescent="0.2">
      <c r="A315" s="267"/>
      <c r="B315" s="267"/>
      <c r="C315" s="267"/>
      <c r="D315" s="267"/>
      <c r="E315" s="267"/>
      <c r="F315" s="267"/>
      <c r="G315" s="267"/>
      <c r="H315" s="267"/>
      <c r="I315" s="267"/>
      <c r="K315" s="267"/>
      <c r="L315" s="267"/>
      <c r="EA315" s="64"/>
      <c r="EB315" s="64"/>
      <c r="EC315" s="64"/>
      <c r="ED315" s="64"/>
      <c r="EE315" s="64"/>
      <c r="EF315" s="64"/>
      <c r="EG315" s="64"/>
      <c r="EH315" s="64"/>
      <c r="EI315" s="64"/>
      <c r="EJ315" s="64"/>
      <c r="EK315" s="64"/>
      <c r="EL315" s="64"/>
    </row>
    <row r="316" spans="1:142" x14ac:dyDescent="0.2">
      <c r="A316" s="267"/>
      <c r="B316" s="267"/>
      <c r="C316" s="267"/>
      <c r="D316" s="267"/>
      <c r="E316" s="267"/>
      <c r="F316" s="267"/>
      <c r="G316" s="267"/>
      <c r="H316" s="267"/>
      <c r="I316" s="267"/>
      <c r="K316" s="267"/>
      <c r="L316" s="267"/>
      <c r="EA316" s="64"/>
      <c r="EB316" s="64"/>
      <c r="EC316" s="64"/>
      <c r="ED316" s="64"/>
      <c r="EE316" s="64"/>
      <c r="EF316" s="64"/>
      <c r="EG316" s="64"/>
      <c r="EH316" s="64"/>
      <c r="EI316" s="64"/>
      <c r="EJ316" s="64"/>
      <c r="EK316" s="64"/>
      <c r="EL316" s="64"/>
    </row>
    <row r="317" spans="1:142" x14ac:dyDescent="0.2">
      <c r="A317" s="267"/>
      <c r="B317" s="267"/>
      <c r="C317" s="267"/>
      <c r="D317" s="267"/>
      <c r="E317" s="267"/>
      <c r="F317" s="267"/>
      <c r="G317" s="267"/>
      <c r="H317" s="267"/>
      <c r="I317" s="267"/>
      <c r="K317" s="267"/>
      <c r="L317" s="267"/>
      <c r="EA317" s="64"/>
      <c r="EB317" s="64"/>
      <c r="EC317" s="64"/>
      <c r="ED317" s="64"/>
      <c r="EE317" s="64"/>
      <c r="EF317" s="64"/>
      <c r="EG317" s="64"/>
      <c r="EH317" s="64"/>
      <c r="EI317" s="64"/>
      <c r="EJ317" s="64"/>
      <c r="EK317" s="64"/>
      <c r="EL317" s="64"/>
    </row>
    <row r="318" spans="1:142" x14ac:dyDescent="0.2">
      <c r="A318" s="267"/>
      <c r="B318" s="267"/>
      <c r="C318" s="267"/>
      <c r="D318" s="267"/>
      <c r="E318" s="267"/>
      <c r="F318" s="267"/>
      <c r="G318" s="267"/>
      <c r="H318" s="267"/>
      <c r="I318" s="267"/>
      <c r="K318" s="267"/>
      <c r="L318" s="267"/>
      <c r="EA318" s="64"/>
      <c r="EB318" s="64"/>
      <c r="EC318" s="64"/>
      <c r="ED318" s="64"/>
      <c r="EE318" s="64"/>
      <c r="EF318" s="64"/>
      <c r="EG318" s="64"/>
      <c r="EH318" s="64"/>
      <c r="EI318" s="64"/>
      <c r="EJ318" s="64"/>
      <c r="EK318" s="64"/>
      <c r="EL318" s="64"/>
    </row>
    <row r="319" spans="1:142" x14ac:dyDescent="0.2">
      <c r="A319" s="267"/>
      <c r="B319" s="267"/>
      <c r="C319" s="267"/>
      <c r="D319" s="267"/>
      <c r="E319" s="267"/>
      <c r="F319" s="267"/>
      <c r="G319" s="267"/>
      <c r="H319" s="267"/>
      <c r="I319" s="267"/>
      <c r="K319" s="267"/>
      <c r="L319" s="267"/>
      <c r="EA319" s="64"/>
      <c r="EB319" s="64"/>
      <c r="EC319" s="64"/>
      <c r="ED319" s="64"/>
      <c r="EE319" s="64"/>
      <c r="EF319" s="64"/>
      <c r="EG319" s="64"/>
      <c r="EH319" s="64"/>
      <c r="EI319" s="64"/>
      <c r="EJ319" s="64"/>
      <c r="EK319" s="64"/>
      <c r="EL319" s="64"/>
    </row>
    <row r="320" spans="1:142" x14ac:dyDescent="0.2">
      <c r="A320" s="267"/>
      <c r="B320" s="267"/>
      <c r="C320" s="267"/>
      <c r="D320" s="267"/>
      <c r="E320" s="267"/>
      <c r="F320" s="267"/>
      <c r="G320" s="267"/>
      <c r="H320" s="267"/>
      <c r="I320" s="267"/>
      <c r="K320" s="267"/>
      <c r="L320" s="267"/>
      <c r="EA320" s="64"/>
      <c r="EB320" s="64"/>
      <c r="EC320" s="64"/>
      <c r="ED320" s="64"/>
      <c r="EE320" s="64"/>
      <c r="EF320" s="64"/>
      <c r="EG320" s="64"/>
      <c r="EH320" s="64"/>
      <c r="EI320" s="64"/>
      <c r="EJ320" s="64"/>
      <c r="EK320" s="64"/>
      <c r="EL320" s="64"/>
    </row>
    <row r="321" spans="1:142" x14ac:dyDescent="0.2">
      <c r="A321" s="267"/>
      <c r="B321" s="267"/>
      <c r="C321" s="267"/>
      <c r="D321" s="267"/>
      <c r="E321" s="267"/>
      <c r="F321" s="267"/>
      <c r="G321" s="267"/>
      <c r="H321" s="267"/>
      <c r="I321" s="267"/>
      <c r="K321" s="267"/>
      <c r="L321" s="267"/>
      <c r="EA321" s="64"/>
      <c r="EB321" s="64"/>
      <c r="EC321" s="64"/>
      <c r="ED321" s="64"/>
      <c r="EE321" s="64"/>
      <c r="EF321" s="64"/>
      <c r="EG321" s="64"/>
      <c r="EH321" s="64"/>
      <c r="EI321" s="64"/>
      <c r="EJ321" s="64"/>
      <c r="EK321" s="64"/>
      <c r="EL321" s="64"/>
    </row>
    <row r="322" spans="1:142" x14ac:dyDescent="0.2">
      <c r="A322" s="267"/>
      <c r="B322" s="267"/>
      <c r="C322" s="267"/>
      <c r="D322" s="267"/>
      <c r="E322" s="267"/>
      <c r="F322" s="267"/>
      <c r="G322" s="267"/>
      <c r="H322" s="267"/>
      <c r="I322" s="267"/>
      <c r="K322" s="267"/>
      <c r="L322" s="267"/>
      <c r="EA322" s="64"/>
      <c r="EB322" s="64"/>
      <c r="EC322" s="64"/>
      <c r="ED322" s="64"/>
      <c r="EE322" s="64"/>
      <c r="EF322" s="64"/>
      <c r="EG322" s="64"/>
      <c r="EH322" s="64"/>
      <c r="EI322" s="64"/>
      <c r="EJ322" s="64"/>
      <c r="EK322" s="64"/>
      <c r="EL322" s="64"/>
    </row>
    <row r="323" spans="1:142" x14ac:dyDescent="0.2">
      <c r="A323" s="267"/>
      <c r="B323" s="267"/>
      <c r="C323" s="267"/>
      <c r="D323" s="267"/>
      <c r="E323" s="267"/>
      <c r="F323" s="267"/>
      <c r="G323" s="267"/>
      <c r="H323" s="267"/>
      <c r="I323" s="267"/>
      <c r="K323" s="267"/>
      <c r="L323" s="267"/>
      <c r="EA323" s="64"/>
      <c r="EB323" s="64"/>
      <c r="EC323" s="64"/>
      <c r="ED323" s="64"/>
      <c r="EE323" s="64"/>
      <c r="EF323" s="64"/>
      <c r="EG323" s="64"/>
      <c r="EH323" s="64"/>
      <c r="EI323" s="64"/>
      <c r="EJ323" s="64"/>
      <c r="EK323" s="64"/>
      <c r="EL323" s="64"/>
    </row>
    <row r="324" spans="1:142" x14ac:dyDescent="0.2">
      <c r="A324" s="267"/>
      <c r="B324" s="267"/>
      <c r="C324" s="267"/>
      <c r="D324" s="267"/>
      <c r="E324" s="267"/>
      <c r="F324" s="267"/>
      <c r="G324" s="267"/>
      <c r="H324" s="267"/>
      <c r="I324" s="267"/>
      <c r="K324" s="267"/>
      <c r="L324" s="267"/>
      <c r="EA324" s="64"/>
      <c r="EB324" s="64"/>
      <c r="EC324" s="64"/>
      <c r="ED324" s="64"/>
      <c r="EE324" s="64"/>
      <c r="EF324" s="64"/>
      <c r="EG324" s="64"/>
      <c r="EH324" s="64"/>
      <c r="EI324" s="64"/>
      <c r="EJ324" s="64"/>
      <c r="EK324" s="64"/>
      <c r="EL324" s="64"/>
    </row>
    <row r="325" spans="1:142" x14ac:dyDescent="0.2">
      <c r="A325" s="267"/>
      <c r="B325" s="267"/>
      <c r="C325" s="267"/>
      <c r="D325" s="267"/>
      <c r="E325" s="267"/>
      <c r="F325" s="267"/>
      <c r="G325" s="267"/>
      <c r="H325" s="267"/>
      <c r="I325" s="267"/>
      <c r="K325" s="267"/>
      <c r="L325" s="267"/>
      <c r="EA325" s="64"/>
      <c r="EB325" s="64"/>
      <c r="EC325" s="64"/>
      <c r="ED325" s="64"/>
      <c r="EE325" s="64"/>
      <c r="EF325" s="64"/>
      <c r="EG325" s="64"/>
      <c r="EH325" s="64"/>
      <c r="EI325" s="64"/>
      <c r="EJ325" s="64"/>
      <c r="EK325" s="64"/>
      <c r="EL325" s="64"/>
    </row>
    <row r="326" spans="1:142" x14ac:dyDescent="0.2">
      <c r="A326" s="267"/>
      <c r="B326" s="267"/>
      <c r="C326" s="267"/>
      <c r="D326" s="267"/>
      <c r="E326" s="267"/>
      <c r="F326" s="267"/>
      <c r="G326" s="267"/>
      <c r="H326" s="267"/>
      <c r="I326" s="267"/>
      <c r="K326" s="267"/>
      <c r="L326" s="267"/>
      <c r="EA326" s="64"/>
      <c r="EB326" s="64"/>
      <c r="EC326" s="64"/>
      <c r="ED326" s="64"/>
      <c r="EE326" s="64"/>
      <c r="EF326" s="64"/>
      <c r="EG326" s="64"/>
      <c r="EH326" s="64"/>
      <c r="EI326" s="64"/>
      <c r="EJ326" s="64"/>
      <c r="EK326" s="64"/>
      <c r="EL326" s="64"/>
    </row>
    <row r="327" spans="1:142" x14ac:dyDescent="0.2">
      <c r="A327" s="267"/>
      <c r="B327" s="267"/>
      <c r="C327" s="267"/>
      <c r="D327" s="267"/>
      <c r="E327" s="267"/>
      <c r="F327" s="267"/>
      <c r="G327" s="267"/>
      <c r="H327" s="267"/>
      <c r="I327" s="267"/>
      <c r="K327" s="267"/>
      <c r="L327" s="267"/>
      <c r="EA327" s="64"/>
      <c r="EB327" s="64"/>
      <c r="EC327" s="64"/>
      <c r="ED327" s="64"/>
      <c r="EE327" s="64"/>
      <c r="EF327" s="64"/>
      <c r="EG327" s="64"/>
      <c r="EH327" s="64"/>
      <c r="EI327" s="64"/>
      <c r="EJ327" s="64"/>
      <c r="EK327" s="64"/>
      <c r="EL327" s="64"/>
    </row>
    <row r="328" spans="1:142" x14ac:dyDescent="0.2">
      <c r="A328" s="267"/>
      <c r="B328" s="267"/>
      <c r="C328" s="267"/>
      <c r="D328" s="267"/>
      <c r="E328" s="267"/>
      <c r="F328" s="267"/>
      <c r="G328" s="267"/>
      <c r="H328" s="267"/>
      <c r="I328" s="267"/>
      <c r="K328" s="267"/>
      <c r="L328" s="267"/>
      <c r="EA328" s="64"/>
      <c r="EB328" s="64"/>
      <c r="EC328" s="64"/>
      <c r="ED328" s="64"/>
      <c r="EE328" s="64"/>
      <c r="EF328" s="64"/>
      <c r="EG328" s="64"/>
      <c r="EH328" s="64"/>
      <c r="EI328" s="64"/>
      <c r="EJ328" s="64"/>
      <c r="EK328" s="64"/>
      <c r="EL328" s="64"/>
    </row>
    <row r="329" spans="1:142" x14ac:dyDescent="0.2">
      <c r="A329" s="267"/>
      <c r="B329" s="267"/>
      <c r="C329" s="267"/>
      <c r="D329" s="267"/>
      <c r="E329" s="267"/>
      <c r="F329" s="267"/>
      <c r="G329" s="267"/>
      <c r="H329" s="267"/>
      <c r="I329" s="267"/>
      <c r="K329" s="267"/>
      <c r="L329" s="267"/>
      <c r="EA329" s="64"/>
      <c r="EB329" s="64"/>
      <c r="EC329" s="64"/>
      <c r="ED329" s="64"/>
      <c r="EE329" s="64"/>
      <c r="EF329" s="64"/>
      <c r="EG329" s="64"/>
      <c r="EH329" s="64"/>
      <c r="EI329" s="64"/>
      <c r="EJ329" s="64"/>
      <c r="EK329" s="64"/>
      <c r="EL329" s="64"/>
    </row>
    <row r="330" spans="1:142" x14ac:dyDescent="0.2">
      <c r="A330" s="267"/>
      <c r="B330" s="267"/>
      <c r="C330" s="267"/>
      <c r="D330" s="267"/>
      <c r="E330" s="267"/>
      <c r="F330" s="267"/>
      <c r="G330" s="267"/>
      <c r="H330" s="267"/>
      <c r="I330" s="267"/>
      <c r="K330" s="267"/>
      <c r="L330" s="267"/>
      <c r="EA330" s="64"/>
      <c r="EB330" s="64"/>
      <c r="EC330" s="64"/>
      <c r="ED330" s="64"/>
      <c r="EE330" s="64"/>
      <c r="EF330" s="64"/>
      <c r="EG330" s="64"/>
      <c r="EH330" s="64"/>
      <c r="EI330" s="64"/>
      <c r="EJ330" s="64"/>
      <c r="EK330" s="64"/>
      <c r="EL330" s="64"/>
    </row>
    <row r="331" spans="1:142" x14ac:dyDescent="0.2">
      <c r="A331" s="267"/>
      <c r="B331" s="267"/>
      <c r="C331" s="267"/>
      <c r="D331" s="267"/>
      <c r="E331" s="267"/>
      <c r="F331" s="267"/>
      <c r="G331" s="267"/>
      <c r="H331" s="267"/>
      <c r="I331" s="267"/>
      <c r="K331" s="267"/>
      <c r="L331" s="267"/>
      <c r="EA331" s="64"/>
      <c r="EB331" s="64"/>
      <c r="EC331" s="64"/>
      <c r="ED331" s="64"/>
      <c r="EE331" s="64"/>
      <c r="EF331" s="64"/>
      <c r="EG331" s="64"/>
      <c r="EH331" s="64"/>
      <c r="EI331" s="64"/>
      <c r="EJ331" s="64"/>
      <c r="EK331" s="64"/>
      <c r="EL331" s="64"/>
    </row>
    <row r="332" spans="1:142" x14ac:dyDescent="0.2">
      <c r="A332" s="267"/>
      <c r="B332" s="267"/>
      <c r="C332" s="267"/>
      <c r="D332" s="267"/>
      <c r="E332" s="267"/>
      <c r="EA332" s="64"/>
      <c r="EB332" s="64"/>
      <c r="EC332" s="64"/>
      <c r="ED332" s="64"/>
      <c r="EE332" s="64"/>
      <c r="EF332" s="64"/>
      <c r="EG332" s="64"/>
      <c r="EH332" s="64"/>
      <c r="EI332" s="64"/>
      <c r="EJ332" s="64"/>
      <c r="EK332" s="64"/>
      <c r="EL332" s="64"/>
    </row>
    <row r="333" spans="1:142" x14ac:dyDescent="0.2">
      <c r="A333" s="267"/>
      <c r="B333" s="267"/>
      <c r="C333" s="267"/>
      <c r="D333" s="267"/>
      <c r="E333" s="267"/>
      <c r="EA333" s="64"/>
      <c r="EB333" s="64"/>
      <c r="EC333" s="64"/>
      <c r="ED333" s="64"/>
      <c r="EE333" s="64"/>
      <c r="EF333" s="64"/>
      <c r="EG333" s="64"/>
      <c r="EH333" s="64"/>
      <c r="EI333" s="64"/>
      <c r="EJ333" s="64"/>
      <c r="EK333" s="64"/>
      <c r="EL333" s="64"/>
    </row>
    <row r="334" spans="1:142" x14ac:dyDescent="0.2">
      <c r="A334" s="267"/>
      <c r="B334" s="267"/>
      <c r="C334" s="267"/>
      <c r="D334" s="267"/>
      <c r="E334" s="267"/>
      <c r="EA334" s="64"/>
      <c r="EB334" s="64"/>
      <c r="EC334" s="64"/>
      <c r="ED334" s="64"/>
      <c r="EE334" s="64"/>
      <c r="EF334" s="64"/>
      <c r="EG334" s="64"/>
      <c r="EH334" s="64"/>
      <c r="EI334" s="64"/>
      <c r="EJ334" s="64"/>
      <c r="EK334" s="64"/>
      <c r="EL334" s="64"/>
    </row>
    <row r="335" spans="1:142" x14ac:dyDescent="0.2">
      <c r="A335" s="267"/>
      <c r="B335" s="267"/>
      <c r="C335" s="267"/>
      <c r="D335" s="267"/>
      <c r="E335" s="267"/>
      <c r="EA335" s="64"/>
      <c r="EB335" s="64"/>
      <c r="EC335" s="64"/>
      <c r="ED335" s="64"/>
      <c r="EE335" s="64"/>
      <c r="EF335" s="64"/>
      <c r="EG335" s="64"/>
      <c r="EH335" s="64"/>
      <c r="EI335" s="64"/>
      <c r="EJ335" s="64"/>
      <c r="EK335" s="64"/>
      <c r="EL335" s="64"/>
    </row>
    <row r="336" spans="1:142" x14ac:dyDescent="0.2">
      <c r="A336" s="267"/>
      <c r="B336" s="267"/>
      <c r="C336" s="267"/>
      <c r="D336" s="267"/>
      <c r="EA336" s="64"/>
      <c r="EB336" s="64"/>
      <c r="EC336" s="64"/>
      <c r="ED336" s="64"/>
      <c r="EE336" s="64"/>
      <c r="EF336" s="64"/>
      <c r="EG336" s="64"/>
      <c r="EH336" s="64"/>
      <c r="EI336" s="64"/>
      <c r="EJ336" s="64"/>
      <c r="EK336" s="64"/>
      <c r="EL336" s="64"/>
    </row>
    <row r="337" spans="131:142" x14ac:dyDescent="0.2">
      <c r="EA337" s="64"/>
      <c r="EB337" s="64"/>
      <c r="EC337" s="64"/>
      <c r="ED337" s="64"/>
      <c r="EE337" s="64"/>
      <c r="EF337" s="64"/>
      <c r="EG337" s="64"/>
      <c r="EH337" s="64"/>
      <c r="EI337" s="64"/>
      <c r="EJ337" s="64"/>
      <c r="EK337" s="64"/>
      <c r="EL337" s="64"/>
    </row>
    <row r="338" spans="131:142" x14ac:dyDescent="0.2">
      <c r="EA338" s="64"/>
      <c r="EB338" s="64"/>
      <c r="EC338" s="64"/>
      <c r="ED338" s="64"/>
      <c r="EE338" s="64"/>
      <c r="EF338" s="64"/>
      <c r="EG338" s="64"/>
      <c r="EH338" s="64"/>
      <c r="EI338" s="64"/>
      <c r="EJ338" s="64"/>
      <c r="EK338" s="64"/>
      <c r="EL338" s="64"/>
    </row>
    <row r="339" spans="131:142" x14ac:dyDescent="0.2">
      <c r="EA339" s="64"/>
      <c r="EB339" s="64"/>
      <c r="EC339" s="64"/>
      <c r="ED339" s="64"/>
      <c r="EE339" s="64"/>
      <c r="EF339" s="64"/>
      <c r="EG339" s="64"/>
      <c r="EH339" s="64"/>
      <c r="EI339" s="64"/>
      <c r="EJ339" s="64"/>
      <c r="EK339" s="64"/>
      <c r="EL339" s="64"/>
    </row>
    <row r="340" spans="131:142" x14ac:dyDescent="0.2">
      <c r="EA340" s="64"/>
      <c r="EB340" s="64"/>
      <c r="EC340" s="64"/>
      <c r="ED340" s="64"/>
      <c r="EE340" s="64"/>
      <c r="EF340" s="64"/>
      <c r="EG340" s="64"/>
      <c r="EH340" s="64"/>
      <c r="EI340" s="64"/>
      <c r="EJ340" s="64"/>
      <c r="EK340" s="64"/>
      <c r="EL340" s="64"/>
    </row>
    <row r="341" spans="131:142" x14ac:dyDescent="0.2">
      <c r="EA341" s="64"/>
      <c r="EB341" s="64"/>
      <c r="EC341" s="64"/>
      <c r="ED341" s="64"/>
      <c r="EE341" s="64"/>
      <c r="EF341" s="64"/>
      <c r="EG341" s="64"/>
      <c r="EH341" s="64"/>
      <c r="EI341" s="64"/>
      <c r="EJ341" s="64"/>
      <c r="EK341" s="64"/>
      <c r="EL341" s="64"/>
    </row>
    <row r="342" spans="131:142" x14ac:dyDescent="0.2">
      <c r="EA342" s="64"/>
      <c r="EB342" s="64"/>
      <c r="EC342" s="64"/>
      <c r="ED342" s="64"/>
      <c r="EE342" s="64"/>
      <c r="EF342" s="64"/>
      <c r="EG342" s="64"/>
      <c r="EH342" s="64"/>
      <c r="EI342" s="64"/>
      <c r="EJ342" s="64"/>
      <c r="EK342" s="64"/>
      <c r="EL342" s="64"/>
    </row>
    <row r="343" spans="131:142" x14ac:dyDescent="0.2">
      <c r="EA343" s="64"/>
      <c r="EB343" s="64"/>
      <c r="EC343" s="64"/>
      <c r="ED343" s="64"/>
      <c r="EE343" s="64"/>
      <c r="EF343" s="64"/>
      <c r="EG343" s="64"/>
      <c r="EH343" s="64"/>
      <c r="EI343" s="64"/>
      <c r="EJ343" s="64"/>
      <c r="EK343" s="64"/>
      <c r="EL343" s="64"/>
    </row>
    <row r="344" spans="131:142" x14ac:dyDescent="0.2">
      <c r="EA344" s="64"/>
      <c r="EB344" s="64"/>
      <c r="EC344" s="64"/>
      <c r="ED344" s="64"/>
      <c r="EE344" s="64"/>
      <c r="EF344" s="64"/>
      <c r="EG344" s="64"/>
      <c r="EH344" s="64"/>
      <c r="EI344" s="64"/>
      <c r="EJ344" s="64"/>
      <c r="EK344" s="64"/>
      <c r="EL344" s="64"/>
    </row>
    <row r="345" spans="131:142" x14ac:dyDescent="0.2">
      <c r="EA345" s="64"/>
      <c r="EB345" s="64"/>
      <c r="EC345" s="64"/>
      <c r="ED345" s="64"/>
      <c r="EE345" s="64"/>
      <c r="EF345" s="64"/>
      <c r="EG345" s="64"/>
      <c r="EH345" s="64"/>
      <c r="EI345" s="64"/>
      <c r="EJ345" s="64"/>
      <c r="EK345" s="64"/>
      <c r="EL345" s="64"/>
    </row>
    <row r="346" spans="131:142" x14ac:dyDescent="0.2">
      <c r="EA346" s="64"/>
      <c r="EB346" s="64"/>
      <c r="EC346" s="64"/>
      <c r="ED346" s="64"/>
      <c r="EE346" s="64"/>
      <c r="EF346" s="64"/>
      <c r="EG346" s="64"/>
      <c r="EH346" s="64"/>
      <c r="EI346" s="64"/>
      <c r="EJ346" s="64"/>
      <c r="EK346" s="64"/>
      <c r="EL346" s="64"/>
    </row>
    <row r="347" spans="131:142" x14ac:dyDescent="0.2">
      <c r="EA347" s="64"/>
      <c r="EB347" s="64"/>
      <c r="EC347" s="64"/>
      <c r="ED347" s="64"/>
      <c r="EE347" s="64"/>
      <c r="EF347" s="64"/>
      <c r="EG347" s="64"/>
      <c r="EH347" s="64"/>
      <c r="EI347" s="64"/>
      <c r="EJ347" s="64"/>
      <c r="EK347" s="64"/>
      <c r="EL347" s="64"/>
    </row>
    <row r="348" spans="131:142" x14ac:dyDescent="0.2">
      <c r="EA348" s="64"/>
      <c r="EB348" s="64"/>
      <c r="EC348" s="64"/>
      <c r="ED348" s="64"/>
      <c r="EE348" s="64"/>
      <c r="EF348" s="64"/>
      <c r="EG348" s="64"/>
      <c r="EH348" s="64"/>
      <c r="EI348" s="64"/>
      <c r="EJ348" s="64"/>
      <c r="EK348" s="64"/>
      <c r="EL348" s="64"/>
    </row>
    <row r="349" spans="131:142" x14ac:dyDescent="0.2">
      <c r="EA349" s="64"/>
      <c r="EB349" s="64"/>
      <c r="EC349" s="64"/>
      <c r="ED349" s="64"/>
      <c r="EE349" s="64"/>
      <c r="EF349" s="64"/>
      <c r="EG349" s="64"/>
      <c r="EH349" s="64"/>
      <c r="EI349" s="64"/>
      <c r="EJ349" s="64"/>
      <c r="EK349" s="64"/>
      <c r="EL349" s="64"/>
    </row>
    <row r="350" spans="131:142" x14ac:dyDescent="0.2">
      <c r="EA350" s="64"/>
      <c r="EB350" s="64"/>
      <c r="EC350" s="64"/>
      <c r="ED350" s="64"/>
      <c r="EE350" s="64"/>
      <c r="EF350" s="64"/>
      <c r="EG350" s="64"/>
      <c r="EH350" s="64"/>
      <c r="EI350" s="64"/>
      <c r="EJ350" s="64"/>
      <c r="EK350" s="64"/>
      <c r="EL350" s="64"/>
    </row>
    <row r="351" spans="131:142" x14ac:dyDescent="0.2">
      <c r="EA351" s="64"/>
      <c r="EB351" s="64"/>
      <c r="EC351" s="64"/>
      <c r="ED351" s="64"/>
      <c r="EE351" s="64"/>
      <c r="EF351" s="64"/>
      <c r="EG351" s="64"/>
      <c r="EH351" s="64"/>
      <c r="EI351" s="64"/>
      <c r="EJ351" s="64"/>
      <c r="EK351" s="64"/>
      <c r="EL351" s="64"/>
    </row>
    <row r="352" spans="131:142" x14ac:dyDescent="0.2">
      <c r="EA352" s="64"/>
      <c r="EB352" s="64"/>
      <c r="EC352" s="64"/>
      <c r="ED352" s="64"/>
      <c r="EE352" s="64"/>
      <c r="EF352" s="64"/>
      <c r="EG352" s="64"/>
      <c r="EH352" s="64"/>
      <c r="EI352" s="64"/>
      <c r="EJ352" s="64"/>
      <c r="EK352" s="64"/>
      <c r="EL352" s="64"/>
    </row>
    <row r="353" spans="131:142" x14ac:dyDescent="0.2">
      <c r="EA353" s="64"/>
      <c r="EB353" s="64"/>
      <c r="EC353" s="64"/>
      <c r="ED353" s="64"/>
      <c r="EE353" s="64"/>
      <c r="EF353" s="64"/>
      <c r="EG353" s="64"/>
      <c r="EH353" s="64"/>
      <c r="EI353" s="64"/>
      <c r="EJ353" s="64"/>
      <c r="EK353" s="64"/>
      <c r="EL353" s="64"/>
    </row>
    <row r="354" spans="131:142" x14ac:dyDescent="0.2">
      <c r="EA354" s="64"/>
      <c r="EB354" s="64"/>
      <c r="EC354" s="64"/>
      <c r="ED354" s="64"/>
      <c r="EE354" s="64"/>
      <c r="EF354" s="64"/>
      <c r="EG354" s="64"/>
      <c r="EH354" s="64"/>
      <c r="EI354" s="64"/>
      <c r="EJ354" s="64"/>
      <c r="EK354" s="64"/>
      <c r="EL354" s="64"/>
    </row>
    <row r="355" spans="131:142" x14ac:dyDescent="0.2">
      <c r="EA355" s="64"/>
      <c r="EB355" s="64"/>
      <c r="EC355" s="64"/>
      <c r="ED355" s="64"/>
      <c r="EE355" s="64"/>
      <c r="EF355" s="64"/>
      <c r="EG355" s="64"/>
      <c r="EH355" s="64"/>
      <c r="EI355" s="64"/>
      <c r="EJ355" s="64"/>
      <c r="EK355" s="64"/>
      <c r="EL355" s="64"/>
    </row>
    <row r="356" spans="131:142" x14ac:dyDescent="0.2">
      <c r="EA356" s="64"/>
      <c r="EB356" s="64"/>
      <c r="EC356" s="64"/>
      <c r="ED356" s="64"/>
      <c r="EE356" s="64"/>
      <c r="EF356" s="64"/>
      <c r="EG356" s="64"/>
      <c r="EH356" s="64"/>
      <c r="EI356" s="64"/>
      <c r="EJ356" s="64"/>
      <c r="EK356" s="64"/>
      <c r="EL356" s="64"/>
    </row>
    <row r="357" spans="131:142" x14ac:dyDescent="0.2">
      <c r="EA357" s="64"/>
      <c r="EB357" s="64"/>
      <c r="EC357" s="64"/>
      <c r="ED357" s="64"/>
      <c r="EE357" s="64"/>
      <c r="EF357" s="64"/>
      <c r="EG357" s="64"/>
      <c r="EH357" s="64"/>
      <c r="EI357" s="64"/>
      <c r="EJ357" s="64"/>
      <c r="EK357" s="64"/>
      <c r="EL357" s="64"/>
    </row>
    <row r="358" spans="131:142" x14ac:dyDescent="0.2">
      <c r="EA358" s="64"/>
      <c r="EB358" s="64"/>
      <c r="EC358" s="64"/>
      <c r="ED358" s="64"/>
      <c r="EE358" s="64"/>
      <c r="EF358" s="64"/>
      <c r="EG358" s="64"/>
      <c r="EH358" s="64"/>
      <c r="EI358" s="64"/>
      <c r="EJ358" s="64"/>
      <c r="EK358" s="64"/>
      <c r="EL358" s="64"/>
    </row>
    <row r="359" spans="131:142" x14ac:dyDescent="0.2">
      <c r="EA359" s="64"/>
      <c r="EB359" s="64"/>
      <c r="EC359" s="64"/>
      <c r="ED359" s="64"/>
      <c r="EE359" s="64"/>
      <c r="EF359" s="64"/>
      <c r="EG359" s="64"/>
      <c r="EH359" s="64"/>
      <c r="EI359" s="64"/>
      <c r="EJ359" s="64"/>
      <c r="EK359" s="64"/>
      <c r="EL359" s="64"/>
    </row>
    <row r="360" spans="131:142" x14ac:dyDescent="0.2">
      <c r="EA360" s="64"/>
      <c r="EB360" s="64"/>
      <c r="EC360" s="64"/>
      <c r="ED360" s="64"/>
      <c r="EE360" s="64"/>
      <c r="EF360" s="64"/>
      <c r="EG360" s="64"/>
      <c r="EH360" s="64"/>
      <c r="EI360" s="64"/>
      <c r="EJ360" s="64"/>
      <c r="EK360" s="64"/>
      <c r="EL360" s="64"/>
    </row>
    <row r="361" spans="131:142" x14ac:dyDescent="0.2">
      <c r="EA361" s="64"/>
      <c r="EB361" s="64"/>
      <c r="EC361" s="64"/>
      <c r="ED361" s="64"/>
      <c r="EE361" s="64"/>
      <c r="EF361" s="64"/>
      <c r="EG361" s="64"/>
      <c r="EH361" s="64"/>
      <c r="EI361" s="64"/>
      <c r="EJ361" s="64"/>
      <c r="EK361" s="64"/>
      <c r="EL361" s="64"/>
    </row>
    <row r="362" spans="131:142" x14ac:dyDescent="0.2">
      <c r="EA362" s="64"/>
      <c r="EB362" s="64"/>
      <c r="EC362" s="64"/>
      <c r="ED362" s="64"/>
      <c r="EE362" s="64"/>
      <c r="EF362" s="64"/>
      <c r="EG362" s="64"/>
      <c r="EH362" s="64"/>
      <c r="EI362" s="64"/>
      <c r="EJ362" s="64"/>
      <c r="EK362" s="64"/>
      <c r="EL362" s="64"/>
    </row>
    <row r="363" spans="131:142" x14ac:dyDescent="0.2">
      <c r="EA363" s="64"/>
      <c r="EB363" s="64"/>
      <c r="EC363" s="64"/>
      <c r="ED363" s="64"/>
      <c r="EE363" s="64"/>
      <c r="EF363" s="64"/>
      <c r="EG363" s="64"/>
      <c r="EH363" s="64"/>
      <c r="EI363" s="64"/>
      <c r="EJ363" s="64"/>
      <c r="EK363" s="64"/>
      <c r="EL363" s="64"/>
    </row>
    <row r="364" spans="131:142" x14ac:dyDescent="0.2">
      <c r="EA364" s="64"/>
      <c r="EB364" s="64"/>
      <c r="EC364" s="64"/>
      <c r="ED364" s="64"/>
      <c r="EE364" s="64"/>
      <c r="EF364" s="64"/>
      <c r="EG364" s="64"/>
      <c r="EH364" s="64"/>
      <c r="EI364" s="64"/>
      <c r="EJ364" s="64"/>
      <c r="EK364" s="64"/>
      <c r="EL364" s="64"/>
    </row>
    <row r="365" spans="131:142" x14ac:dyDescent="0.2">
      <c r="EA365" s="64"/>
      <c r="EB365" s="64"/>
      <c r="EC365" s="64"/>
      <c r="ED365" s="64"/>
      <c r="EE365" s="64"/>
      <c r="EF365" s="64"/>
      <c r="EG365" s="64"/>
      <c r="EH365" s="64"/>
      <c r="EI365" s="64"/>
      <c r="EJ365" s="64"/>
      <c r="EK365" s="64"/>
      <c r="EL365" s="64"/>
    </row>
    <row r="366" spans="131:142" x14ac:dyDescent="0.2">
      <c r="EA366" s="64"/>
      <c r="EB366" s="64"/>
      <c r="EC366" s="64"/>
      <c r="ED366" s="64"/>
      <c r="EE366" s="64"/>
      <c r="EF366" s="64"/>
      <c r="EG366" s="64"/>
      <c r="EH366" s="64"/>
      <c r="EI366" s="64"/>
      <c r="EJ366" s="64"/>
      <c r="EK366" s="64"/>
      <c r="EL366" s="64"/>
    </row>
    <row r="367" spans="131:142" x14ac:dyDescent="0.2">
      <c r="EA367" s="64"/>
      <c r="EB367" s="64"/>
      <c r="EC367" s="64"/>
      <c r="ED367" s="64"/>
      <c r="EE367" s="64"/>
      <c r="EF367" s="64"/>
      <c r="EG367" s="64"/>
      <c r="EH367" s="64"/>
      <c r="EI367" s="64"/>
      <c r="EJ367" s="64"/>
      <c r="EK367" s="64"/>
      <c r="EL367" s="64"/>
    </row>
    <row r="368" spans="131:142" x14ac:dyDescent="0.2">
      <c r="EA368" s="64"/>
      <c r="EB368" s="64"/>
      <c r="EC368" s="64"/>
      <c r="ED368" s="64"/>
      <c r="EE368" s="64"/>
      <c r="EF368" s="64"/>
      <c r="EG368" s="64"/>
      <c r="EH368" s="64"/>
      <c r="EI368" s="64"/>
      <c r="EJ368" s="64"/>
      <c r="EK368" s="64"/>
      <c r="EL368" s="64"/>
    </row>
    <row r="369" spans="131:142" x14ac:dyDescent="0.2">
      <c r="EA369" s="64"/>
      <c r="EB369" s="64"/>
      <c r="EC369" s="64"/>
      <c r="ED369" s="64"/>
      <c r="EE369" s="64"/>
      <c r="EF369" s="64"/>
      <c r="EG369" s="64"/>
      <c r="EH369" s="64"/>
      <c r="EI369" s="64"/>
      <c r="EJ369" s="64"/>
      <c r="EK369" s="64"/>
      <c r="EL369" s="64"/>
    </row>
    <row r="370" spans="131:142" x14ac:dyDescent="0.2">
      <c r="EA370" s="64"/>
      <c r="EB370" s="64"/>
      <c r="EC370" s="64"/>
      <c r="ED370" s="64"/>
      <c r="EE370" s="64"/>
      <c r="EF370" s="64"/>
      <c r="EG370" s="64"/>
      <c r="EH370" s="64"/>
      <c r="EI370" s="64"/>
      <c r="EJ370" s="64"/>
      <c r="EK370" s="64"/>
      <c r="EL370" s="64"/>
    </row>
    <row r="371" spans="131:142" x14ac:dyDescent="0.2">
      <c r="EA371" s="64"/>
      <c r="EB371" s="64"/>
      <c r="EC371" s="64"/>
      <c r="ED371" s="64"/>
      <c r="EE371" s="64"/>
      <c r="EF371" s="64"/>
      <c r="EG371" s="64"/>
      <c r="EH371" s="64"/>
      <c r="EI371" s="64"/>
      <c r="EJ371" s="64"/>
      <c r="EK371" s="64"/>
      <c r="EL371" s="64"/>
    </row>
    <row r="372" spans="131:142" x14ac:dyDescent="0.2">
      <c r="EA372" s="64"/>
      <c r="EB372" s="64"/>
      <c r="EC372" s="64"/>
      <c r="ED372" s="64"/>
      <c r="EE372" s="64"/>
      <c r="EF372" s="64"/>
      <c r="EG372" s="64"/>
      <c r="EH372" s="64"/>
      <c r="EI372" s="64"/>
      <c r="EJ372" s="64"/>
      <c r="EK372" s="64"/>
      <c r="EL372" s="64"/>
    </row>
    <row r="373" spans="131:142" x14ac:dyDescent="0.2">
      <c r="EA373" s="64"/>
      <c r="EB373" s="64"/>
      <c r="EC373" s="64"/>
      <c r="ED373" s="64"/>
      <c r="EE373" s="64"/>
      <c r="EF373" s="64"/>
      <c r="EG373" s="64"/>
      <c r="EH373" s="64"/>
      <c r="EI373" s="64"/>
      <c r="EJ373" s="64"/>
      <c r="EK373" s="64"/>
      <c r="EL373" s="64"/>
    </row>
    <row r="374" spans="131:142" x14ac:dyDescent="0.2">
      <c r="EA374" s="64"/>
      <c r="EB374" s="64"/>
      <c r="EC374" s="64"/>
      <c r="ED374" s="64"/>
      <c r="EE374" s="64"/>
      <c r="EF374" s="64"/>
      <c r="EG374" s="64"/>
      <c r="EH374" s="64"/>
      <c r="EI374" s="64"/>
      <c r="EJ374" s="64"/>
      <c r="EK374" s="64"/>
      <c r="EL374" s="64"/>
    </row>
    <row r="375" spans="131:142" x14ac:dyDescent="0.2">
      <c r="EA375" s="64"/>
      <c r="EB375" s="64"/>
      <c r="EC375" s="64"/>
      <c r="ED375" s="64"/>
      <c r="EE375" s="64"/>
      <c r="EF375" s="64"/>
      <c r="EG375" s="64"/>
      <c r="EH375" s="64"/>
      <c r="EI375" s="64"/>
      <c r="EJ375" s="64"/>
      <c r="EK375" s="64"/>
      <c r="EL375" s="64"/>
    </row>
    <row r="376" spans="131:142" x14ac:dyDescent="0.2">
      <c r="EA376" s="64"/>
      <c r="EB376" s="64"/>
      <c r="EC376" s="64"/>
      <c r="ED376" s="64"/>
      <c r="EE376" s="64"/>
      <c r="EF376" s="64"/>
      <c r="EG376" s="64"/>
      <c r="EH376" s="64"/>
      <c r="EI376" s="64"/>
      <c r="EJ376" s="64"/>
      <c r="EK376" s="64"/>
      <c r="EL376" s="64"/>
    </row>
    <row r="377" spans="131:142" x14ac:dyDescent="0.2">
      <c r="EA377" s="64"/>
      <c r="EB377" s="64"/>
      <c r="EC377" s="64"/>
      <c r="ED377" s="64"/>
      <c r="EE377" s="64"/>
      <c r="EF377" s="64"/>
      <c r="EG377" s="64"/>
      <c r="EH377" s="64"/>
      <c r="EI377" s="64"/>
      <c r="EJ377" s="64"/>
      <c r="EK377" s="64"/>
      <c r="EL377" s="64"/>
    </row>
    <row r="378" spans="131:142" x14ac:dyDescent="0.2">
      <c r="EA378" s="64"/>
      <c r="EB378" s="64"/>
      <c r="EC378" s="64"/>
      <c r="ED378" s="64"/>
      <c r="EE378" s="64"/>
      <c r="EF378" s="64"/>
      <c r="EG378" s="64"/>
      <c r="EH378" s="64"/>
      <c r="EI378" s="64"/>
      <c r="EJ378" s="64"/>
      <c r="EK378" s="64"/>
      <c r="EL378" s="64"/>
    </row>
    <row r="379" spans="131:142" x14ac:dyDescent="0.2">
      <c r="EA379" s="64"/>
      <c r="EB379" s="64"/>
      <c r="EC379" s="64"/>
      <c r="ED379" s="64"/>
      <c r="EE379" s="64"/>
      <c r="EF379" s="64"/>
      <c r="EG379" s="64"/>
      <c r="EH379" s="64"/>
      <c r="EI379" s="64"/>
      <c r="EJ379" s="64"/>
      <c r="EK379" s="64"/>
      <c r="EL379" s="64"/>
    </row>
    <row r="380" spans="131:142" x14ac:dyDescent="0.2">
      <c r="EA380" s="64"/>
      <c r="EB380" s="64"/>
      <c r="EC380" s="64"/>
      <c r="ED380" s="64"/>
      <c r="EE380" s="64"/>
      <c r="EF380" s="64"/>
      <c r="EG380" s="64"/>
      <c r="EH380" s="64"/>
      <c r="EI380" s="64"/>
      <c r="EJ380" s="64"/>
      <c r="EK380" s="64"/>
      <c r="EL380" s="64"/>
    </row>
    <row r="381" spans="131:142" x14ac:dyDescent="0.2">
      <c r="EA381" s="64"/>
      <c r="EB381" s="64"/>
      <c r="EC381" s="64"/>
      <c r="ED381" s="64"/>
      <c r="EE381" s="64"/>
      <c r="EF381" s="64"/>
      <c r="EG381" s="64"/>
      <c r="EH381" s="64"/>
      <c r="EI381" s="64"/>
      <c r="EJ381" s="64"/>
      <c r="EK381" s="64"/>
      <c r="EL381" s="64"/>
    </row>
    <row r="382" spans="131:142" x14ac:dyDescent="0.2">
      <c r="EA382" s="64"/>
      <c r="EB382" s="64"/>
      <c r="EC382" s="64"/>
      <c r="ED382" s="64"/>
      <c r="EE382" s="64"/>
      <c r="EF382" s="64"/>
      <c r="EG382" s="64"/>
      <c r="EH382" s="64"/>
      <c r="EI382" s="64"/>
      <c r="EJ382" s="64"/>
      <c r="EK382" s="64"/>
      <c r="EL382" s="64"/>
    </row>
    <row r="383" spans="131:142" x14ac:dyDescent="0.2">
      <c r="EA383" s="64"/>
      <c r="EB383" s="64"/>
      <c r="EC383" s="64"/>
      <c r="ED383" s="64"/>
      <c r="EE383" s="64"/>
      <c r="EF383" s="64"/>
      <c r="EG383" s="64"/>
      <c r="EH383" s="64"/>
      <c r="EI383" s="64"/>
      <c r="EJ383" s="64"/>
      <c r="EK383" s="64"/>
      <c r="EL383" s="64"/>
    </row>
    <row r="384" spans="131:142" x14ac:dyDescent="0.2">
      <c r="EA384" s="64"/>
      <c r="EB384" s="64"/>
      <c r="EC384" s="64"/>
      <c r="ED384" s="64"/>
      <c r="EE384" s="64"/>
      <c r="EF384" s="64"/>
      <c r="EG384" s="64"/>
      <c r="EH384" s="64"/>
      <c r="EI384" s="64"/>
      <c r="EJ384" s="64"/>
      <c r="EK384" s="64"/>
      <c r="EL384" s="64"/>
    </row>
    <row r="385" spans="131:142" x14ac:dyDescent="0.2">
      <c r="EA385" s="64"/>
      <c r="EB385" s="64"/>
      <c r="EC385" s="64"/>
      <c r="ED385" s="64"/>
      <c r="EE385" s="64"/>
      <c r="EF385" s="64"/>
      <c r="EG385" s="64"/>
      <c r="EH385" s="64"/>
      <c r="EI385" s="64"/>
      <c r="EJ385" s="64"/>
      <c r="EK385" s="64"/>
      <c r="EL385" s="64"/>
    </row>
    <row r="386" spans="131:142" x14ac:dyDescent="0.2">
      <c r="EA386" s="64"/>
      <c r="EB386" s="64"/>
      <c r="EC386" s="64"/>
      <c r="ED386" s="64"/>
      <c r="EE386" s="64"/>
      <c r="EF386" s="64"/>
      <c r="EG386" s="64"/>
      <c r="EH386" s="64"/>
      <c r="EI386" s="64"/>
      <c r="EJ386" s="64"/>
      <c r="EK386" s="64"/>
      <c r="EL386" s="64"/>
    </row>
    <row r="387" spans="131:142" x14ac:dyDescent="0.2">
      <c r="EA387" s="64"/>
      <c r="EB387" s="64"/>
      <c r="EC387" s="64"/>
      <c r="ED387" s="64"/>
      <c r="EE387" s="64"/>
      <c r="EF387" s="64"/>
      <c r="EG387" s="64"/>
      <c r="EH387" s="64"/>
      <c r="EI387" s="64"/>
      <c r="EJ387" s="64"/>
      <c r="EK387" s="64"/>
      <c r="EL387" s="64"/>
    </row>
    <row r="388" spans="131:142" x14ac:dyDescent="0.2">
      <c r="EA388" s="64"/>
      <c r="EB388" s="64"/>
      <c r="EC388" s="64"/>
      <c r="ED388" s="64"/>
      <c r="EE388" s="64"/>
      <c r="EF388" s="64"/>
      <c r="EG388" s="64"/>
      <c r="EH388" s="64"/>
      <c r="EI388" s="64"/>
      <c r="EJ388" s="64"/>
      <c r="EK388" s="64"/>
      <c r="EL388" s="64"/>
    </row>
    <row r="389" spans="131:142" x14ac:dyDescent="0.2">
      <c r="EA389" s="64"/>
      <c r="EB389" s="64"/>
      <c r="EC389" s="64"/>
      <c r="ED389" s="64"/>
      <c r="EE389" s="64"/>
      <c r="EF389" s="64"/>
      <c r="EG389" s="64"/>
      <c r="EH389" s="64"/>
      <c r="EI389" s="64"/>
      <c r="EJ389" s="64"/>
      <c r="EK389" s="64"/>
      <c r="EL389" s="64"/>
    </row>
    <row r="390" spans="131:142" x14ac:dyDescent="0.2">
      <c r="EA390" s="64"/>
      <c r="EB390" s="64"/>
      <c r="EC390" s="64"/>
      <c r="ED390" s="64"/>
      <c r="EE390" s="64"/>
      <c r="EF390" s="64"/>
      <c r="EG390" s="64"/>
      <c r="EH390" s="64"/>
      <c r="EI390" s="64"/>
      <c r="EJ390" s="64"/>
      <c r="EK390" s="64"/>
      <c r="EL390" s="64"/>
    </row>
    <row r="391" spans="131:142" x14ac:dyDescent="0.2">
      <c r="EA391" s="64"/>
      <c r="EB391" s="64"/>
      <c r="EC391" s="64"/>
      <c r="ED391" s="64"/>
      <c r="EE391" s="64"/>
      <c r="EF391" s="64"/>
      <c r="EG391" s="64"/>
      <c r="EH391" s="64"/>
      <c r="EI391" s="64"/>
      <c r="EJ391" s="64"/>
      <c r="EK391" s="64"/>
      <c r="EL391" s="64"/>
    </row>
    <row r="392" spans="131:142" x14ac:dyDescent="0.2">
      <c r="EA392" s="64"/>
      <c r="EB392" s="64"/>
      <c r="EC392" s="64"/>
      <c r="ED392" s="64"/>
      <c r="EE392" s="64"/>
      <c r="EF392" s="64"/>
      <c r="EG392" s="64"/>
      <c r="EH392" s="64"/>
      <c r="EI392" s="64"/>
      <c r="EJ392" s="64"/>
      <c r="EK392" s="64"/>
      <c r="EL392" s="64"/>
    </row>
    <row r="393" spans="131:142" x14ac:dyDescent="0.2">
      <c r="EA393" s="64"/>
      <c r="EB393" s="64"/>
      <c r="EC393" s="64"/>
      <c r="ED393" s="64"/>
      <c r="EE393" s="64"/>
      <c r="EF393" s="64"/>
      <c r="EG393" s="64"/>
      <c r="EH393" s="64"/>
      <c r="EI393" s="64"/>
      <c r="EJ393" s="64"/>
      <c r="EK393" s="64"/>
      <c r="EL393" s="64"/>
    </row>
    <row r="394" spans="131:142" x14ac:dyDescent="0.2">
      <c r="EA394" s="64"/>
      <c r="EB394" s="64"/>
      <c r="EC394" s="64"/>
      <c r="ED394" s="64"/>
      <c r="EE394" s="64"/>
      <c r="EF394" s="64"/>
      <c r="EG394" s="64"/>
      <c r="EH394" s="64"/>
      <c r="EI394" s="64"/>
      <c r="EJ394" s="64"/>
      <c r="EK394" s="64"/>
      <c r="EL394" s="64"/>
    </row>
    <row r="395" spans="131:142" x14ac:dyDescent="0.2">
      <c r="EA395" s="64"/>
      <c r="EB395" s="64"/>
      <c r="EC395" s="64"/>
      <c r="ED395" s="64"/>
      <c r="EE395" s="64"/>
      <c r="EF395" s="64"/>
      <c r="EG395" s="64"/>
      <c r="EH395" s="64"/>
      <c r="EI395" s="64"/>
      <c r="EJ395" s="64"/>
      <c r="EK395" s="64"/>
      <c r="EL395" s="64"/>
    </row>
    <row r="396" spans="131:142" x14ac:dyDescent="0.2">
      <c r="EA396" s="64"/>
      <c r="EB396" s="64"/>
      <c r="EC396" s="64"/>
      <c r="ED396" s="64"/>
      <c r="EE396" s="64"/>
      <c r="EF396" s="64"/>
      <c r="EG396" s="64"/>
      <c r="EH396" s="64"/>
      <c r="EI396" s="64"/>
      <c r="EJ396" s="64"/>
      <c r="EK396" s="64"/>
      <c r="EL396" s="64"/>
    </row>
    <row r="397" spans="131:142" x14ac:dyDescent="0.2">
      <c r="EA397" s="64"/>
      <c r="EB397" s="64"/>
      <c r="EC397" s="64"/>
      <c r="ED397" s="64"/>
      <c r="EE397" s="64"/>
      <c r="EF397" s="64"/>
      <c r="EG397" s="64"/>
      <c r="EH397" s="64"/>
      <c r="EI397" s="64"/>
      <c r="EJ397" s="64"/>
      <c r="EK397" s="64"/>
      <c r="EL397" s="64"/>
    </row>
    <row r="398" spans="131:142" x14ac:dyDescent="0.2">
      <c r="EA398" s="64"/>
      <c r="EB398" s="64"/>
      <c r="EC398" s="64"/>
      <c r="ED398" s="64"/>
      <c r="EE398" s="64"/>
      <c r="EF398" s="64"/>
      <c r="EG398" s="64"/>
      <c r="EH398" s="64"/>
      <c r="EI398" s="64"/>
      <c r="EJ398" s="64"/>
      <c r="EK398" s="64"/>
      <c r="EL398" s="64"/>
    </row>
    <row r="399" spans="131:142" x14ac:dyDescent="0.2">
      <c r="EA399" s="64"/>
      <c r="EB399" s="64"/>
      <c r="EC399" s="64"/>
      <c r="ED399" s="64"/>
      <c r="EE399" s="64"/>
      <c r="EF399" s="64"/>
      <c r="EG399" s="64"/>
      <c r="EH399" s="64"/>
      <c r="EI399" s="64"/>
      <c r="EJ399" s="64"/>
      <c r="EK399" s="64"/>
      <c r="EL399" s="64"/>
    </row>
    <row r="400" spans="131:142" x14ac:dyDescent="0.2">
      <c r="EA400" s="64"/>
      <c r="EB400" s="64"/>
      <c r="EC400" s="64"/>
      <c r="ED400" s="64"/>
      <c r="EE400" s="64"/>
      <c r="EF400" s="64"/>
      <c r="EG400" s="64"/>
      <c r="EH400" s="64"/>
      <c r="EI400" s="64"/>
      <c r="EJ400" s="64"/>
      <c r="EK400" s="64"/>
      <c r="EL400" s="64"/>
    </row>
    <row r="401" spans="131:142" x14ac:dyDescent="0.2">
      <c r="EA401" s="64"/>
      <c r="EB401" s="64"/>
      <c r="EC401" s="64"/>
      <c r="ED401" s="64"/>
      <c r="EE401" s="64"/>
      <c r="EF401" s="64"/>
      <c r="EG401" s="64"/>
      <c r="EH401" s="64"/>
      <c r="EI401" s="64"/>
      <c r="EJ401" s="64"/>
      <c r="EK401" s="64"/>
      <c r="EL401" s="64"/>
    </row>
    <row r="402" spans="131:142" x14ac:dyDescent="0.2">
      <c r="EA402" s="64"/>
      <c r="EB402" s="64"/>
      <c r="EC402" s="64"/>
      <c r="ED402" s="64"/>
      <c r="EE402" s="64"/>
      <c r="EF402" s="64"/>
      <c r="EG402" s="64"/>
      <c r="EH402" s="64"/>
      <c r="EI402" s="64"/>
      <c r="EJ402" s="64"/>
      <c r="EK402" s="64"/>
      <c r="EL402" s="64"/>
    </row>
    <row r="403" spans="131:142" x14ac:dyDescent="0.2">
      <c r="EA403" s="64"/>
      <c r="EB403" s="64"/>
      <c r="EC403" s="64"/>
      <c r="ED403" s="64"/>
      <c r="EE403" s="64"/>
      <c r="EF403" s="64"/>
      <c r="EG403" s="64"/>
      <c r="EH403" s="64"/>
      <c r="EI403" s="64"/>
      <c r="EJ403" s="64"/>
      <c r="EK403" s="64"/>
      <c r="EL403" s="64"/>
    </row>
    <row r="404" spans="131:142" x14ac:dyDescent="0.2">
      <c r="EA404" s="64"/>
      <c r="EB404" s="64"/>
      <c r="EC404" s="64"/>
      <c r="ED404" s="64"/>
      <c r="EE404" s="64"/>
      <c r="EF404" s="64"/>
      <c r="EG404" s="64"/>
      <c r="EH404" s="64"/>
      <c r="EI404" s="64"/>
      <c r="EJ404" s="64"/>
      <c r="EK404" s="64"/>
      <c r="EL404" s="64"/>
    </row>
    <row r="405" spans="131:142" x14ac:dyDescent="0.2">
      <c r="EA405" s="64"/>
      <c r="EB405" s="64"/>
      <c r="EC405" s="64"/>
      <c r="ED405" s="64"/>
      <c r="EE405" s="64"/>
      <c r="EF405" s="64"/>
      <c r="EG405" s="64"/>
      <c r="EH405" s="64"/>
      <c r="EI405" s="64"/>
      <c r="EJ405" s="64"/>
      <c r="EK405" s="64"/>
      <c r="EL405" s="64"/>
    </row>
    <row r="406" spans="131:142" x14ac:dyDescent="0.2">
      <c r="EA406" s="64"/>
      <c r="EB406" s="64"/>
      <c r="EC406" s="64"/>
      <c r="ED406" s="64"/>
      <c r="EE406" s="64"/>
      <c r="EF406" s="64"/>
      <c r="EG406" s="64"/>
      <c r="EH406" s="64"/>
      <c r="EI406" s="64"/>
      <c r="EJ406" s="64"/>
      <c r="EK406" s="64"/>
      <c r="EL406" s="64"/>
    </row>
    <row r="407" spans="131:142" x14ac:dyDescent="0.2">
      <c r="EA407" s="64"/>
      <c r="EB407" s="64"/>
      <c r="EC407" s="64"/>
      <c r="ED407" s="64"/>
      <c r="EE407" s="64"/>
      <c r="EF407" s="64"/>
      <c r="EG407" s="64"/>
      <c r="EH407" s="64"/>
      <c r="EI407" s="64"/>
      <c r="EJ407" s="64"/>
      <c r="EK407" s="64"/>
      <c r="EL407" s="64"/>
    </row>
    <row r="408" spans="131:142" x14ac:dyDescent="0.2">
      <c r="EA408" s="64"/>
      <c r="EB408" s="64"/>
      <c r="EC408" s="64"/>
      <c r="ED408" s="64"/>
      <c r="EE408" s="64"/>
      <c r="EF408" s="64"/>
      <c r="EG408" s="64"/>
      <c r="EH408" s="64"/>
      <c r="EI408" s="64"/>
      <c r="EJ408" s="64"/>
      <c r="EK408" s="64"/>
      <c r="EL408" s="64"/>
    </row>
    <row r="409" spans="131:142" x14ac:dyDescent="0.2">
      <c r="EA409" s="64"/>
      <c r="EB409" s="64"/>
      <c r="EC409" s="64"/>
      <c r="ED409" s="64"/>
      <c r="EE409" s="64"/>
      <c r="EF409" s="64"/>
      <c r="EG409" s="64"/>
      <c r="EH409" s="64"/>
      <c r="EI409" s="64"/>
      <c r="EJ409" s="64"/>
      <c r="EK409" s="64"/>
      <c r="EL409" s="64"/>
    </row>
    <row r="410" spans="131:142" x14ac:dyDescent="0.2">
      <c r="EA410" s="64"/>
      <c r="EB410" s="64"/>
      <c r="EC410" s="64"/>
      <c r="ED410" s="64"/>
      <c r="EE410" s="64"/>
      <c r="EF410" s="64"/>
      <c r="EG410" s="64"/>
      <c r="EH410" s="64"/>
      <c r="EI410" s="64"/>
      <c r="EJ410" s="64"/>
      <c r="EK410" s="64"/>
      <c r="EL410" s="64"/>
    </row>
    <row r="411" spans="131:142" x14ac:dyDescent="0.2">
      <c r="EA411" s="64"/>
      <c r="EB411" s="64"/>
      <c r="EC411" s="64"/>
      <c r="ED411" s="64"/>
      <c r="EE411" s="64"/>
      <c r="EF411" s="64"/>
      <c r="EG411" s="64"/>
      <c r="EH411" s="64"/>
      <c r="EI411" s="64"/>
      <c r="EJ411" s="64"/>
      <c r="EK411" s="64"/>
      <c r="EL411" s="64"/>
    </row>
    <row r="412" spans="131:142" x14ac:dyDescent="0.2">
      <c r="EA412" s="64"/>
      <c r="EB412" s="64"/>
      <c r="EC412" s="64"/>
      <c r="ED412" s="64"/>
      <c r="EE412" s="64"/>
      <c r="EF412" s="64"/>
      <c r="EG412" s="64"/>
      <c r="EH412" s="64"/>
      <c r="EI412" s="64"/>
      <c r="EJ412" s="64"/>
      <c r="EK412" s="64"/>
      <c r="EL412" s="64"/>
    </row>
    <row r="413" spans="131:142" x14ac:dyDescent="0.2">
      <c r="EA413" s="64"/>
      <c r="EB413" s="64"/>
      <c r="EC413" s="64"/>
      <c r="ED413" s="64"/>
      <c r="EE413" s="64"/>
      <c r="EF413" s="64"/>
      <c r="EG413" s="64"/>
      <c r="EH413" s="64"/>
      <c r="EI413" s="64"/>
      <c r="EJ413" s="64"/>
      <c r="EK413" s="64"/>
      <c r="EL413" s="64"/>
    </row>
    <row r="414" spans="131:142" x14ac:dyDescent="0.2">
      <c r="EA414" s="64"/>
      <c r="EB414" s="64"/>
      <c r="EC414" s="64"/>
      <c r="ED414" s="64"/>
      <c r="EE414" s="64"/>
      <c r="EF414" s="64"/>
      <c r="EG414" s="64"/>
      <c r="EH414" s="64"/>
      <c r="EI414" s="64"/>
      <c r="EJ414" s="64"/>
      <c r="EK414" s="64"/>
      <c r="EL414" s="64"/>
    </row>
    <row r="415" spans="131:142" x14ac:dyDescent="0.2">
      <c r="EA415" s="64"/>
      <c r="EB415" s="64"/>
      <c r="EC415" s="64"/>
      <c r="ED415" s="64"/>
      <c r="EE415" s="64"/>
      <c r="EF415" s="64"/>
      <c r="EG415" s="64"/>
      <c r="EH415" s="64"/>
      <c r="EI415" s="64"/>
      <c r="EJ415" s="64"/>
      <c r="EK415" s="64"/>
      <c r="EL415" s="64"/>
    </row>
    <row r="416" spans="131:142" x14ac:dyDescent="0.2">
      <c r="EA416" s="64"/>
      <c r="EB416" s="64"/>
      <c r="EC416" s="64"/>
      <c r="ED416" s="64"/>
      <c r="EE416" s="64"/>
      <c r="EF416" s="64"/>
      <c r="EG416" s="64"/>
      <c r="EH416" s="64"/>
      <c r="EI416" s="64"/>
      <c r="EJ416" s="64"/>
      <c r="EK416" s="64"/>
      <c r="EL416" s="64"/>
    </row>
    <row r="417" spans="131:142" x14ac:dyDescent="0.2">
      <c r="EA417" s="64"/>
      <c r="EB417" s="64"/>
      <c r="EC417" s="64"/>
      <c r="ED417" s="64"/>
      <c r="EE417" s="64"/>
      <c r="EF417" s="64"/>
      <c r="EG417" s="64"/>
      <c r="EH417" s="64"/>
      <c r="EI417" s="64"/>
      <c r="EJ417" s="64"/>
      <c r="EK417" s="64"/>
      <c r="EL417" s="64"/>
    </row>
    <row r="418" spans="131:142" x14ac:dyDescent="0.2">
      <c r="EA418" s="64"/>
      <c r="EB418" s="64"/>
      <c r="EC418" s="64"/>
      <c r="ED418" s="64"/>
      <c r="EE418" s="64"/>
      <c r="EF418" s="64"/>
      <c r="EG418" s="64"/>
      <c r="EH418" s="64"/>
      <c r="EI418" s="64"/>
      <c r="EJ418" s="64"/>
      <c r="EK418" s="64"/>
      <c r="EL418" s="64"/>
    </row>
    <row r="419" spans="131:142" x14ac:dyDescent="0.2">
      <c r="EA419" s="64"/>
      <c r="EB419" s="64"/>
      <c r="EC419" s="64"/>
      <c r="ED419" s="64"/>
      <c r="EE419" s="64"/>
      <c r="EF419" s="64"/>
      <c r="EG419" s="64"/>
      <c r="EH419" s="64"/>
      <c r="EI419" s="64"/>
      <c r="EJ419" s="64"/>
      <c r="EK419" s="64"/>
      <c r="EL419" s="64"/>
    </row>
    <row r="420" spans="131:142" x14ac:dyDescent="0.2">
      <c r="EA420" s="64"/>
      <c r="EB420" s="64"/>
      <c r="EC420" s="64"/>
      <c r="ED420" s="64"/>
      <c r="EE420" s="64"/>
      <c r="EF420" s="64"/>
      <c r="EG420" s="64"/>
      <c r="EH420" s="64"/>
      <c r="EI420" s="64"/>
      <c r="EJ420" s="64"/>
      <c r="EK420" s="64"/>
      <c r="EL420" s="64"/>
    </row>
    <row r="421" spans="131:142" x14ac:dyDescent="0.2">
      <c r="EA421" s="64"/>
      <c r="EB421" s="64"/>
      <c r="EC421" s="64"/>
      <c r="ED421" s="64"/>
      <c r="EE421" s="64"/>
      <c r="EF421" s="64"/>
      <c r="EG421" s="64"/>
      <c r="EH421" s="64"/>
      <c r="EI421" s="64"/>
      <c r="EJ421" s="64"/>
      <c r="EK421" s="64"/>
      <c r="EL421" s="64"/>
    </row>
    <row r="422" spans="131:142" x14ac:dyDescent="0.2">
      <c r="EA422" s="64"/>
      <c r="EB422" s="64"/>
      <c r="EC422" s="64"/>
      <c r="ED422" s="64"/>
      <c r="EE422" s="64"/>
      <c r="EF422" s="64"/>
      <c r="EG422" s="64"/>
      <c r="EH422" s="64"/>
      <c r="EI422" s="64"/>
      <c r="EJ422" s="64"/>
      <c r="EK422" s="64"/>
      <c r="EL422" s="64"/>
    </row>
    <row r="423" spans="131:142" x14ac:dyDescent="0.2">
      <c r="EA423" s="64"/>
      <c r="EB423" s="64"/>
      <c r="EC423" s="64"/>
      <c r="ED423" s="64"/>
      <c r="EE423" s="64"/>
      <c r="EF423" s="64"/>
      <c r="EG423" s="64"/>
      <c r="EH423" s="64"/>
      <c r="EI423" s="64"/>
      <c r="EJ423" s="64"/>
      <c r="EK423" s="64"/>
      <c r="EL423" s="64"/>
    </row>
    <row r="424" spans="131:142" x14ac:dyDescent="0.2">
      <c r="EA424" s="64"/>
      <c r="EB424" s="64"/>
      <c r="EC424" s="64"/>
      <c r="ED424" s="64"/>
      <c r="EE424" s="64"/>
      <c r="EF424" s="64"/>
      <c r="EG424" s="64"/>
      <c r="EH424" s="64"/>
      <c r="EI424" s="64"/>
      <c r="EJ424" s="64"/>
      <c r="EK424" s="64"/>
      <c r="EL424" s="64"/>
    </row>
    <row r="425" spans="131:142" x14ac:dyDescent="0.2">
      <c r="EA425" s="64"/>
      <c r="EB425" s="64"/>
      <c r="EC425" s="64"/>
      <c r="ED425" s="64"/>
      <c r="EE425" s="64"/>
      <c r="EF425" s="64"/>
      <c r="EG425" s="64"/>
      <c r="EH425" s="64"/>
      <c r="EI425" s="64"/>
      <c r="EJ425" s="64"/>
      <c r="EK425" s="64"/>
      <c r="EL425" s="64"/>
    </row>
    <row r="426" spans="131:142" x14ac:dyDescent="0.2">
      <c r="EA426" s="64"/>
      <c r="EB426" s="64"/>
      <c r="EC426" s="64"/>
      <c r="ED426" s="64"/>
      <c r="EE426" s="64"/>
      <c r="EF426" s="64"/>
      <c r="EG426" s="64"/>
      <c r="EH426" s="64"/>
      <c r="EI426" s="64"/>
      <c r="EJ426" s="64"/>
      <c r="EK426" s="64"/>
      <c r="EL426" s="64"/>
    </row>
    <row r="427" spans="131:142" x14ac:dyDescent="0.2">
      <c r="EA427" s="64"/>
      <c r="EB427" s="64"/>
      <c r="EC427" s="64"/>
      <c r="ED427" s="64"/>
      <c r="EE427" s="64"/>
      <c r="EF427" s="64"/>
      <c r="EG427" s="64"/>
      <c r="EH427" s="64"/>
      <c r="EI427" s="64"/>
      <c r="EJ427" s="64"/>
      <c r="EK427" s="64"/>
      <c r="EL427" s="64"/>
    </row>
    <row r="428" spans="131:142" x14ac:dyDescent="0.2">
      <c r="EA428" s="64"/>
      <c r="EB428" s="64"/>
      <c r="EC428" s="64"/>
      <c r="ED428" s="64"/>
      <c r="EE428" s="64"/>
      <c r="EF428" s="64"/>
      <c r="EG428" s="64"/>
      <c r="EH428" s="64"/>
      <c r="EI428" s="64"/>
      <c r="EJ428" s="64"/>
      <c r="EK428" s="64"/>
      <c r="EL428" s="64"/>
    </row>
    <row r="429" spans="131:142" x14ac:dyDescent="0.2">
      <c r="EA429" s="64"/>
      <c r="EB429" s="64"/>
      <c r="EC429" s="64"/>
      <c r="ED429" s="64"/>
      <c r="EE429" s="64"/>
      <c r="EF429" s="64"/>
      <c r="EG429" s="64"/>
      <c r="EH429" s="64"/>
      <c r="EI429" s="64"/>
      <c r="EJ429" s="64"/>
      <c r="EK429" s="64"/>
      <c r="EL429" s="64"/>
    </row>
    <row r="430" spans="131:142" x14ac:dyDescent="0.2">
      <c r="EA430" s="64"/>
      <c r="EB430" s="64"/>
      <c r="EC430" s="64"/>
      <c r="ED430" s="64"/>
      <c r="EE430" s="64"/>
      <c r="EF430" s="64"/>
      <c r="EG430" s="64"/>
      <c r="EH430" s="64"/>
      <c r="EI430" s="64"/>
      <c r="EJ430" s="64"/>
      <c r="EK430" s="64"/>
      <c r="EL430" s="64"/>
    </row>
    <row r="431" spans="131:142" x14ac:dyDescent="0.2">
      <c r="EA431" s="64"/>
      <c r="EB431" s="64"/>
      <c r="EC431" s="64"/>
      <c r="ED431" s="64"/>
      <c r="EE431" s="64"/>
      <c r="EF431" s="64"/>
      <c r="EG431" s="64"/>
      <c r="EH431" s="64"/>
      <c r="EI431" s="64"/>
      <c r="EJ431" s="64"/>
      <c r="EK431" s="64"/>
      <c r="EL431" s="64"/>
    </row>
    <row r="432" spans="131:142" x14ac:dyDescent="0.2">
      <c r="EA432" s="64"/>
      <c r="EB432" s="64"/>
      <c r="EC432" s="64"/>
      <c r="ED432" s="64"/>
      <c r="EE432" s="64"/>
      <c r="EF432" s="64"/>
      <c r="EG432" s="64"/>
      <c r="EH432" s="64"/>
      <c r="EI432" s="64"/>
      <c r="EJ432" s="64"/>
      <c r="EK432" s="64"/>
      <c r="EL432" s="64"/>
    </row>
    <row r="433" spans="131:142" x14ac:dyDescent="0.2">
      <c r="EA433" s="64"/>
      <c r="EB433" s="64"/>
      <c r="EC433" s="64"/>
      <c r="ED433" s="64"/>
      <c r="EE433" s="64"/>
      <c r="EF433" s="64"/>
      <c r="EG433" s="64"/>
      <c r="EH433" s="64"/>
      <c r="EI433" s="64"/>
      <c r="EJ433" s="64"/>
      <c r="EK433" s="64"/>
      <c r="EL433" s="64"/>
    </row>
    <row r="434" spans="131:142" x14ac:dyDescent="0.2">
      <c r="EA434" s="64"/>
      <c r="EB434" s="64"/>
      <c r="EC434" s="64"/>
      <c r="ED434" s="64"/>
      <c r="EE434" s="64"/>
      <c r="EF434" s="64"/>
      <c r="EG434" s="64"/>
      <c r="EH434" s="64"/>
      <c r="EI434" s="64"/>
      <c r="EJ434" s="64"/>
      <c r="EK434" s="64"/>
      <c r="EL434" s="64"/>
    </row>
    <row r="435" spans="131:142" x14ac:dyDescent="0.2">
      <c r="EA435" s="64"/>
      <c r="EB435" s="64"/>
      <c r="EC435" s="64"/>
      <c r="ED435" s="64"/>
      <c r="EE435" s="64"/>
      <c r="EF435" s="64"/>
      <c r="EG435" s="64"/>
      <c r="EH435" s="64"/>
      <c r="EI435" s="64"/>
      <c r="EJ435" s="64"/>
      <c r="EK435" s="64"/>
      <c r="EL435" s="64"/>
    </row>
    <row r="436" spans="131:142" x14ac:dyDescent="0.2">
      <c r="EA436" s="64"/>
      <c r="EB436" s="64"/>
      <c r="EC436" s="64"/>
      <c r="ED436" s="64"/>
      <c r="EE436" s="64"/>
      <c r="EF436" s="64"/>
      <c r="EG436" s="64"/>
      <c r="EH436" s="64"/>
      <c r="EI436" s="64"/>
      <c r="EJ436" s="64"/>
      <c r="EK436" s="64"/>
      <c r="EL436" s="64"/>
    </row>
    <row r="437" spans="131:142" x14ac:dyDescent="0.2">
      <c r="EA437" s="64"/>
      <c r="EB437" s="64"/>
      <c r="EC437" s="64"/>
      <c r="ED437" s="64"/>
      <c r="EE437" s="64"/>
      <c r="EF437" s="64"/>
      <c r="EG437" s="64"/>
      <c r="EH437" s="64"/>
      <c r="EI437" s="64"/>
      <c r="EJ437" s="64"/>
      <c r="EK437" s="64"/>
      <c r="EL437" s="64"/>
    </row>
    <row r="438" spans="131:142" x14ac:dyDescent="0.2">
      <c r="EA438" s="64"/>
      <c r="EB438" s="64"/>
      <c r="EC438" s="64"/>
      <c r="ED438" s="64"/>
      <c r="EE438" s="64"/>
      <c r="EF438" s="64"/>
      <c r="EG438" s="64"/>
      <c r="EH438" s="64"/>
      <c r="EI438" s="64"/>
      <c r="EJ438" s="64"/>
      <c r="EK438" s="64"/>
      <c r="EL438" s="64"/>
    </row>
    <row r="439" spans="131:142" x14ac:dyDescent="0.2">
      <c r="EA439" s="64"/>
      <c r="EB439" s="64"/>
      <c r="EC439" s="64"/>
      <c r="ED439" s="64"/>
      <c r="EE439" s="64"/>
      <c r="EF439" s="64"/>
      <c r="EG439" s="64"/>
      <c r="EH439" s="64"/>
      <c r="EI439" s="64"/>
      <c r="EJ439" s="64"/>
      <c r="EK439" s="64"/>
      <c r="EL439" s="64"/>
    </row>
    <row r="440" spans="131:142" x14ac:dyDescent="0.2">
      <c r="EA440" s="64"/>
      <c r="EB440" s="64"/>
      <c r="EC440" s="64"/>
      <c r="ED440" s="64"/>
      <c r="EE440" s="64"/>
      <c r="EF440" s="64"/>
      <c r="EG440" s="64"/>
      <c r="EH440" s="64"/>
      <c r="EI440" s="64"/>
      <c r="EJ440" s="64"/>
      <c r="EK440" s="64"/>
      <c r="EL440" s="64"/>
    </row>
    <row r="441" spans="131:142" x14ac:dyDescent="0.2">
      <c r="EA441" s="64"/>
      <c r="EB441" s="64"/>
      <c r="EC441" s="64"/>
      <c r="ED441" s="64"/>
      <c r="EE441" s="64"/>
      <c r="EF441" s="64"/>
      <c r="EG441" s="64"/>
      <c r="EH441" s="64"/>
      <c r="EI441" s="64"/>
      <c r="EJ441" s="64"/>
      <c r="EK441" s="64"/>
      <c r="EL441" s="64"/>
    </row>
    <row r="442" spans="131:142" x14ac:dyDescent="0.2">
      <c r="EA442" s="64"/>
      <c r="EB442" s="64"/>
      <c r="EC442" s="64"/>
      <c r="ED442" s="64"/>
      <c r="EE442" s="64"/>
      <c r="EF442" s="64"/>
      <c r="EG442" s="64"/>
      <c r="EH442" s="64"/>
      <c r="EI442" s="64"/>
      <c r="EJ442" s="64"/>
      <c r="EK442" s="64"/>
      <c r="EL442" s="64"/>
    </row>
    <row r="443" spans="131:142" x14ac:dyDescent="0.2">
      <c r="EA443" s="64"/>
      <c r="EB443" s="64"/>
      <c r="EC443" s="64"/>
      <c r="ED443" s="64"/>
      <c r="EE443" s="64"/>
      <c r="EF443" s="64"/>
      <c r="EG443" s="64"/>
      <c r="EH443" s="64"/>
      <c r="EI443" s="64"/>
      <c r="EJ443" s="64"/>
      <c r="EK443" s="64"/>
      <c r="EL443" s="64"/>
    </row>
    <row r="444" spans="131:142" x14ac:dyDescent="0.2">
      <c r="EA444" s="64"/>
      <c r="EB444" s="64"/>
      <c r="EC444" s="64"/>
      <c r="ED444" s="64"/>
      <c r="EE444" s="64"/>
      <c r="EF444" s="64"/>
      <c r="EG444" s="64"/>
      <c r="EH444" s="64"/>
      <c r="EI444" s="64"/>
      <c r="EJ444" s="64"/>
      <c r="EK444" s="64"/>
      <c r="EL444" s="64"/>
    </row>
    <row r="445" spans="131:142" x14ac:dyDescent="0.2">
      <c r="EA445" s="64"/>
      <c r="EB445" s="64"/>
      <c r="EC445" s="64"/>
      <c r="ED445" s="64"/>
      <c r="EE445" s="64"/>
      <c r="EF445" s="64"/>
      <c r="EG445" s="64"/>
      <c r="EH445" s="64"/>
      <c r="EI445" s="64"/>
      <c r="EJ445" s="64"/>
      <c r="EK445" s="64"/>
      <c r="EL445" s="64"/>
    </row>
    <row r="446" spans="131:142" x14ac:dyDescent="0.2">
      <c r="EA446" s="64"/>
      <c r="EB446" s="64"/>
      <c r="EC446" s="64"/>
      <c r="ED446" s="64"/>
      <c r="EE446" s="64"/>
      <c r="EF446" s="64"/>
      <c r="EG446" s="64"/>
      <c r="EH446" s="64"/>
      <c r="EI446" s="64"/>
      <c r="EJ446" s="64"/>
      <c r="EK446" s="64"/>
      <c r="EL446" s="64"/>
    </row>
    <row r="447" spans="131:142" x14ac:dyDescent="0.2">
      <c r="EA447" s="64"/>
      <c r="EB447" s="64"/>
      <c r="EC447" s="64"/>
      <c r="ED447" s="64"/>
      <c r="EE447" s="64"/>
      <c r="EF447" s="64"/>
      <c r="EG447" s="64"/>
      <c r="EH447" s="64"/>
      <c r="EI447" s="64"/>
      <c r="EJ447" s="64"/>
      <c r="EK447" s="64"/>
      <c r="EL447" s="64"/>
    </row>
    <row r="448" spans="131:142" x14ac:dyDescent="0.2">
      <c r="EA448" s="64"/>
      <c r="EB448" s="64"/>
      <c r="EC448" s="64"/>
      <c r="ED448" s="64"/>
      <c r="EE448" s="64"/>
      <c r="EF448" s="64"/>
      <c r="EG448" s="64"/>
      <c r="EH448" s="64"/>
      <c r="EI448" s="64"/>
      <c r="EJ448" s="64"/>
      <c r="EK448" s="64"/>
      <c r="EL448" s="64"/>
    </row>
    <row r="449" spans="131:142" x14ac:dyDescent="0.2">
      <c r="EA449" s="64"/>
      <c r="EB449" s="64"/>
      <c r="EC449" s="64"/>
      <c r="ED449" s="64"/>
      <c r="EE449" s="64"/>
      <c r="EF449" s="64"/>
      <c r="EG449" s="64"/>
      <c r="EH449" s="64"/>
      <c r="EI449" s="64"/>
      <c r="EJ449" s="64"/>
      <c r="EK449" s="64"/>
      <c r="EL449" s="64"/>
    </row>
    <row r="450" spans="131:142" x14ac:dyDescent="0.2">
      <c r="EA450" s="64"/>
      <c r="EB450" s="64"/>
      <c r="EC450" s="64"/>
      <c r="ED450" s="64"/>
      <c r="EE450" s="64"/>
      <c r="EF450" s="64"/>
      <c r="EG450" s="64"/>
      <c r="EH450" s="64"/>
      <c r="EI450" s="64"/>
      <c r="EJ450" s="64"/>
      <c r="EK450" s="64"/>
      <c r="EL450" s="64"/>
    </row>
    <row r="451" spans="131:142" x14ac:dyDescent="0.2">
      <c r="EA451" s="64"/>
      <c r="EB451" s="64"/>
      <c r="EC451" s="64"/>
      <c r="ED451" s="64"/>
      <c r="EE451" s="64"/>
      <c r="EF451" s="64"/>
      <c r="EG451" s="64"/>
      <c r="EH451" s="64"/>
      <c r="EI451" s="64"/>
      <c r="EJ451" s="64"/>
      <c r="EK451" s="64"/>
      <c r="EL451" s="64"/>
    </row>
    <row r="452" spans="131:142" x14ac:dyDescent="0.2">
      <c r="EA452" s="64"/>
      <c r="EB452" s="64"/>
      <c r="EC452" s="64"/>
      <c r="ED452" s="64"/>
      <c r="EE452" s="64"/>
      <c r="EF452" s="64"/>
      <c r="EG452" s="64"/>
      <c r="EH452" s="64"/>
      <c r="EI452" s="64"/>
      <c r="EJ452" s="64"/>
      <c r="EK452" s="64"/>
      <c r="EL452" s="64"/>
    </row>
    <row r="453" spans="131:142" x14ac:dyDescent="0.2">
      <c r="EA453" s="64"/>
      <c r="EB453" s="64"/>
      <c r="EC453" s="64"/>
      <c r="ED453" s="64"/>
      <c r="EE453" s="64"/>
      <c r="EF453" s="64"/>
      <c r="EG453" s="64"/>
      <c r="EH453" s="64"/>
      <c r="EI453" s="64"/>
      <c r="EJ453" s="64"/>
      <c r="EK453" s="64"/>
      <c r="EL453" s="64"/>
    </row>
    <row r="454" spans="131:142" x14ac:dyDescent="0.2">
      <c r="EA454" s="64"/>
      <c r="EB454" s="64"/>
      <c r="EC454" s="64"/>
      <c r="ED454" s="64"/>
      <c r="EE454" s="64"/>
      <c r="EF454" s="64"/>
      <c r="EG454" s="64"/>
      <c r="EH454" s="64"/>
      <c r="EI454" s="64"/>
      <c r="EJ454" s="64"/>
      <c r="EK454" s="64"/>
      <c r="EL454" s="64"/>
    </row>
    <row r="455" spans="131:142" x14ac:dyDescent="0.2">
      <c r="EA455" s="64"/>
      <c r="EB455" s="64"/>
      <c r="EC455" s="64"/>
      <c r="ED455" s="64"/>
      <c r="EE455" s="64"/>
      <c r="EF455" s="64"/>
      <c r="EG455" s="64"/>
      <c r="EH455" s="64"/>
      <c r="EI455" s="64"/>
      <c r="EJ455" s="64"/>
      <c r="EK455" s="64"/>
      <c r="EL455" s="64"/>
    </row>
    <row r="456" spans="131:142" x14ac:dyDescent="0.2">
      <c r="EA456" s="64"/>
      <c r="EB456" s="64"/>
      <c r="EC456" s="64"/>
      <c r="ED456" s="64"/>
      <c r="EE456" s="64"/>
      <c r="EF456" s="64"/>
      <c r="EG456" s="64"/>
      <c r="EH456" s="64"/>
      <c r="EI456" s="64"/>
      <c r="EJ456" s="64"/>
      <c r="EK456" s="64"/>
      <c r="EL456" s="64"/>
    </row>
    <row r="457" spans="131:142" x14ac:dyDescent="0.2">
      <c r="EA457" s="64"/>
      <c r="EB457" s="64"/>
      <c r="EC457" s="64"/>
      <c r="ED457" s="64"/>
      <c r="EE457" s="64"/>
      <c r="EF457" s="64"/>
      <c r="EG457" s="64"/>
      <c r="EH457" s="64"/>
      <c r="EI457" s="64"/>
      <c r="EJ457" s="64"/>
      <c r="EK457" s="64"/>
      <c r="EL457" s="64"/>
    </row>
    <row r="458" spans="131:142" x14ac:dyDescent="0.2">
      <c r="EA458" s="64"/>
      <c r="EB458" s="64"/>
      <c r="EC458" s="64"/>
      <c r="ED458" s="64"/>
      <c r="EE458" s="64"/>
      <c r="EF458" s="64"/>
      <c r="EG458" s="64"/>
      <c r="EH458" s="64"/>
      <c r="EI458" s="64"/>
      <c r="EJ458" s="64"/>
      <c r="EK458" s="64"/>
      <c r="EL458" s="64"/>
    </row>
    <row r="459" spans="131:142" x14ac:dyDescent="0.2">
      <c r="EA459" s="64"/>
      <c r="EB459" s="64"/>
      <c r="EC459" s="64"/>
      <c r="ED459" s="64"/>
      <c r="EE459" s="64"/>
      <c r="EF459" s="64"/>
      <c r="EG459" s="64"/>
      <c r="EH459" s="64"/>
      <c r="EI459" s="64"/>
      <c r="EJ459" s="64"/>
      <c r="EK459" s="64"/>
      <c r="EL459" s="64"/>
    </row>
    <row r="460" spans="131:142" x14ac:dyDescent="0.2">
      <c r="EA460" s="64"/>
      <c r="EB460" s="64"/>
      <c r="EC460" s="64"/>
      <c r="ED460" s="64"/>
      <c r="EE460" s="64"/>
      <c r="EF460" s="64"/>
      <c r="EG460" s="64"/>
      <c r="EH460" s="64"/>
      <c r="EI460" s="64"/>
      <c r="EJ460" s="64"/>
      <c r="EK460" s="64"/>
      <c r="EL460" s="64"/>
    </row>
    <row r="461" spans="131:142" x14ac:dyDescent="0.2">
      <c r="EA461" s="64"/>
      <c r="EB461" s="64"/>
      <c r="EC461" s="64"/>
      <c r="ED461" s="64"/>
      <c r="EE461" s="64"/>
      <c r="EF461" s="64"/>
      <c r="EG461" s="64"/>
      <c r="EH461" s="64"/>
      <c r="EI461" s="64"/>
      <c r="EJ461" s="64"/>
      <c r="EK461" s="64"/>
      <c r="EL461" s="64"/>
    </row>
    <row r="462" spans="131:142" x14ac:dyDescent="0.2">
      <c r="EA462" s="64"/>
      <c r="EB462" s="64"/>
      <c r="EC462" s="64"/>
      <c r="ED462" s="64"/>
      <c r="EE462" s="64"/>
      <c r="EF462" s="64"/>
      <c r="EG462" s="64"/>
      <c r="EH462" s="64"/>
      <c r="EI462" s="64"/>
      <c r="EJ462" s="64"/>
      <c r="EK462" s="64"/>
      <c r="EL462" s="64"/>
    </row>
    <row r="463" spans="131:142" x14ac:dyDescent="0.2">
      <c r="EA463" s="64"/>
      <c r="EB463" s="64"/>
      <c r="EC463" s="64"/>
      <c r="ED463" s="64"/>
      <c r="EE463" s="64"/>
      <c r="EF463" s="64"/>
      <c r="EG463" s="64"/>
      <c r="EH463" s="64"/>
      <c r="EI463" s="64"/>
      <c r="EJ463" s="64"/>
      <c r="EK463" s="64"/>
      <c r="EL463" s="64"/>
    </row>
    <row r="464" spans="131:142" x14ac:dyDescent="0.2">
      <c r="EA464" s="64"/>
      <c r="EB464" s="64"/>
      <c r="EC464" s="64"/>
      <c r="ED464" s="64"/>
      <c r="EE464" s="64"/>
      <c r="EF464" s="64"/>
      <c r="EG464" s="64"/>
      <c r="EH464" s="64"/>
      <c r="EI464" s="64"/>
      <c r="EJ464" s="64"/>
      <c r="EK464" s="64"/>
      <c r="EL464" s="64"/>
    </row>
    <row r="465" spans="131:142" x14ac:dyDescent="0.2">
      <c r="EA465" s="64"/>
      <c r="EB465" s="64"/>
      <c r="EC465" s="64"/>
      <c r="ED465" s="64"/>
      <c r="EE465" s="64"/>
      <c r="EF465" s="64"/>
      <c r="EG465" s="64"/>
      <c r="EH465" s="64"/>
      <c r="EI465" s="64"/>
      <c r="EJ465" s="64"/>
      <c r="EK465" s="64"/>
      <c r="EL465" s="64"/>
    </row>
    <row r="466" spans="131:142" x14ac:dyDescent="0.2">
      <c r="EA466" s="64"/>
      <c r="EB466" s="64"/>
      <c r="EC466" s="64"/>
      <c r="ED466" s="64"/>
      <c r="EE466" s="64"/>
      <c r="EF466" s="64"/>
      <c r="EG466" s="64"/>
      <c r="EH466" s="64"/>
      <c r="EI466" s="64"/>
      <c r="EJ466" s="64"/>
      <c r="EK466" s="64"/>
      <c r="EL466" s="64"/>
    </row>
    <row r="467" spans="131:142" x14ac:dyDescent="0.2">
      <c r="EA467" s="64"/>
      <c r="EB467" s="64"/>
      <c r="EC467" s="64"/>
      <c r="ED467" s="64"/>
      <c r="EE467" s="64"/>
      <c r="EF467" s="64"/>
      <c r="EG467" s="64"/>
      <c r="EH467" s="64"/>
      <c r="EI467" s="64"/>
      <c r="EJ467" s="64"/>
      <c r="EK467" s="64"/>
      <c r="EL467" s="64"/>
    </row>
    <row r="468" spans="131:142" x14ac:dyDescent="0.2">
      <c r="EA468" s="64"/>
      <c r="EB468" s="64"/>
      <c r="EC468" s="64"/>
      <c r="ED468" s="64"/>
      <c r="EE468" s="64"/>
      <c r="EF468" s="64"/>
      <c r="EG468" s="64"/>
      <c r="EH468" s="64"/>
      <c r="EI468" s="64"/>
      <c r="EJ468" s="64"/>
      <c r="EK468" s="64"/>
      <c r="EL468" s="64"/>
    </row>
    <row r="469" spans="131:142" x14ac:dyDescent="0.2">
      <c r="EA469" s="64"/>
      <c r="EB469" s="64"/>
      <c r="EC469" s="64"/>
      <c r="ED469" s="64"/>
      <c r="EE469" s="64"/>
      <c r="EF469" s="64"/>
      <c r="EG469" s="64"/>
      <c r="EH469" s="64"/>
      <c r="EI469" s="64"/>
      <c r="EJ469" s="64"/>
      <c r="EK469" s="64"/>
      <c r="EL469" s="64"/>
    </row>
    <row r="470" spans="131:142" x14ac:dyDescent="0.2">
      <c r="EA470" s="64"/>
      <c r="EB470" s="64"/>
      <c r="EC470" s="64"/>
      <c r="ED470" s="64"/>
      <c r="EE470" s="64"/>
      <c r="EF470" s="64"/>
      <c r="EG470" s="64"/>
      <c r="EH470" s="64"/>
      <c r="EI470" s="64"/>
      <c r="EJ470" s="64"/>
      <c r="EK470" s="64"/>
      <c r="EL470" s="64"/>
    </row>
    <row r="471" spans="131:142" x14ac:dyDescent="0.2">
      <c r="EA471" s="64"/>
      <c r="EB471" s="64"/>
      <c r="EC471" s="64"/>
      <c r="ED471" s="64"/>
      <c r="EE471" s="64"/>
      <c r="EF471" s="64"/>
      <c r="EG471" s="64"/>
      <c r="EH471" s="64"/>
      <c r="EI471" s="64"/>
      <c r="EJ471" s="64"/>
      <c r="EK471" s="64"/>
      <c r="EL471" s="64"/>
    </row>
    <row r="472" spans="131:142" x14ac:dyDescent="0.2">
      <c r="EA472" s="64"/>
      <c r="EB472" s="64"/>
      <c r="EC472" s="64"/>
      <c r="ED472" s="64"/>
      <c r="EE472" s="64"/>
      <c r="EF472" s="64"/>
      <c r="EG472" s="64"/>
      <c r="EH472" s="64"/>
      <c r="EI472" s="64"/>
      <c r="EJ472" s="64"/>
      <c r="EK472" s="64"/>
      <c r="EL472" s="64"/>
    </row>
    <row r="473" spans="131:142" x14ac:dyDescent="0.2">
      <c r="EA473" s="64"/>
      <c r="EB473" s="64"/>
      <c r="EC473" s="64"/>
      <c r="ED473" s="64"/>
      <c r="EE473" s="64"/>
      <c r="EF473" s="64"/>
      <c r="EG473" s="64"/>
      <c r="EH473" s="64"/>
      <c r="EI473" s="64"/>
      <c r="EJ473" s="64"/>
      <c r="EK473" s="64"/>
      <c r="EL473" s="64"/>
    </row>
    <row r="474" spans="131:142" x14ac:dyDescent="0.2">
      <c r="EA474" s="64"/>
      <c r="EB474" s="64"/>
      <c r="EC474" s="64"/>
      <c r="ED474" s="64"/>
      <c r="EE474" s="64"/>
      <c r="EF474" s="64"/>
      <c r="EG474" s="64"/>
      <c r="EH474" s="64"/>
      <c r="EI474" s="64"/>
      <c r="EJ474" s="64"/>
      <c r="EK474" s="64"/>
      <c r="EL474" s="64"/>
    </row>
    <row r="475" spans="131:142" x14ac:dyDescent="0.2">
      <c r="EA475" s="64"/>
      <c r="EB475" s="64"/>
      <c r="EC475" s="64"/>
      <c r="ED475" s="64"/>
      <c r="EE475" s="64"/>
      <c r="EF475" s="64"/>
      <c r="EG475" s="64"/>
      <c r="EH475" s="64"/>
      <c r="EI475" s="64"/>
      <c r="EJ475" s="64"/>
      <c r="EK475" s="64"/>
      <c r="EL475" s="64"/>
    </row>
    <row r="476" spans="131:142" x14ac:dyDescent="0.2">
      <c r="EA476" s="64"/>
      <c r="EB476" s="64"/>
      <c r="EC476" s="64"/>
      <c r="ED476" s="64"/>
      <c r="EE476" s="64"/>
      <c r="EF476" s="64"/>
      <c r="EG476" s="64"/>
      <c r="EH476" s="64"/>
      <c r="EI476" s="64"/>
      <c r="EJ476" s="64"/>
      <c r="EK476" s="64"/>
      <c r="EL476" s="64"/>
    </row>
    <row r="477" spans="131:142" x14ac:dyDescent="0.2">
      <c r="EA477" s="64"/>
      <c r="EB477" s="64"/>
      <c r="EC477" s="64"/>
      <c r="ED477" s="64"/>
      <c r="EE477" s="64"/>
      <c r="EF477" s="64"/>
      <c r="EG477" s="64"/>
      <c r="EH477" s="64"/>
      <c r="EI477" s="64"/>
      <c r="EJ477" s="64"/>
      <c r="EK477" s="64"/>
      <c r="EL477" s="64"/>
    </row>
    <row r="478" spans="131:142" x14ac:dyDescent="0.2">
      <c r="EA478" s="64"/>
      <c r="EB478" s="64"/>
      <c r="EC478" s="64"/>
      <c r="ED478" s="64"/>
      <c r="EE478" s="64"/>
      <c r="EF478" s="64"/>
      <c r="EG478" s="64"/>
      <c r="EH478" s="64"/>
      <c r="EI478" s="64"/>
      <c r="EJ478" s="64"/>
      <c r="EK478" s="64"/>
      <c r="EL478" s="64"/>
    </row>
    <row r="479" spans="131:142" x14ac:dyDescent="0.2">
      <c r="EA479" s="64"/>
      <c r="EB479" s="64"/>
      <c r="EC479" s="64"/>
      <c r="ED479" s="64"/>
      <c r="EE479" s="64"/>
      <c r="EF479" s="64"/>
      <c r="EG479" s="64"/>
      <c r="EH479" s="64"/>
      <c r="EI479" s="64"/>
      <c r="EJ479" s="64"/>
      <c r="EK479" s="64"/>
      <c r="EL479" s="64"/>
    </row>
    <row r="480" spans="131:142" x14ac:dyDescent="0.2">
      <c r="EA480" s="64"/>
      <c r="EB480" s="64"/>
      <c r="EC480" s="64"/>
      <c r="ED480" s="64"/>
      <c r="EE480" s="64"/>
      <c r="EF480" s="64"/>
      <c r="EG480" s="64"/>
      <c r="EH480" s="64"/>
      <c r="EI480" s="64"/>
      <c r="EJ480" s="64"/>
      <c r="EK480" s="64"/>
      <c r="EL480" s="64"/>
    </row>
    <row r="481" spans="131:142" x14ac:dyDescent="0.2">
      <c r="EA481" s="64"/>
      <c r="EB481" s="64"/>
      <c r="EC481" s="64"/>
      <c r="ED481" s="64"/>
      <c r="EE481" s="64"/>
      <c r="EF481" s="64"/>
      <c r="EG481" s="64"/>
      <c r="EH481" s="64"/>
      <c r="EI481" s="64"/>
      <c r="EJ481" s="64"/>
      <c r="EK481" s="64"/>
      <c r="EL481" s="64"/>
    </row>
    <row r="482" spans="131:142" x14ac:dyDescent="0.2">
      <c r="EA482" s="64"/>
      <c r="EB482" s="64"/>
      <c r="EC482" s="64"/>
      <c r="ED482" s="64"/>
      <c r="EE482" s="64"/>
      <c r="EF482" s="64"/>
      <c r="EG482" s="64"/>
      <c r="EH482" s="64"/>
      <c r="EI482" s="64"/>
      <c r="EJ482" s="64"/>
      <c r="EK482" s="64"/>
      <c r="EL482" s="64"/>
    </row>
    <row r="483" spans="131:142" x14ac:dyDescent="0.2">
      <c r="EA483" s="64"/>
      <c r="EB483" s="64"/>
      <c r="EC483" s="64"/>
      <c r="ED483" s="64"/>
      <c r="EE483" s="64"/>
      <c r="EF483" s="64"/>
      <c r="EG483" s="64"/>
      <c r="EH483" s="64"/>
      <c r="EI483" s="64"/>
      <c r="EJ483" s="64"/>
      <c r="EK483" s="64"/>
      <c r="EL483" s="64"/>
    </row>
    <row r="484" spans="131:142" x14ac:dyDescent="0.2">
      <c r="EA484" s="64"/>
      <c r="EB484" s="64"/>
      <c r="EC484" s="64"/>
      <c r="ED484" s="64"/>
      <c r="EE484" s="64"/>
      <c r="EF484" s="64"/>
      <c r="EG484" s="64"/>
      <c r="EH484" s="64"/>
      <c r="EI484" s="64"/>
      <c r="EJ484" s="64"/>
      <c r="EK484" s="64"/>
      <c r="EL484" s="64"/>
    </row>
    <row r="485" spans="131:142" x14ac:dyDescent="0.2">
      <c r="EA485" s="64"/>
      <c r="EB485" s="64"/>
      <c r="EC485" s="64"/>
      <c r="ED485" s="64"/>
      <c r="EE485" s="64"/>
      <c r="EF485" s="64"/>
      <c r="EG485" s="64"/>
      <c r="EH485" s="64"/>
      <c r="EI485" s="64"/>
      <c r="EJ485" s="64"/>
      <c r="EK485" s="64"/>
      <c r="EL485" s="64"/>
    </row>
    <row r="486" spans="131:142" x14ac:dyDescent="0.2">
      <c r="EA486" s="64"/>
      <c r="EB486" s="64"/>
      <c r="EC486" s="64"/>
      <c r="ED486" s="64"/>
      <c r="EE486" s="64"/>
      <c r="EF486" s="64"/>
      <c r="EG486" s="64"/>
      <c r="EH486" s="64"/>
      <c r="EI486" s="64"/>
      <c r="EJ486" s="64"/>
      <c r="EK486" s="64"/>
      <c r="EL486" s="64"/>
    </row>
    <row r="487" spans="131:142" x14ac:dyDescent="0.2">
      <c r="EA487" s="64"/>
      <c r="EB487" s="64"/>
      <c r="EC487" s="64"/>
      <c r="ED487" s="64"/>
      <c r="EE487" s="64"/>
      <c r="EF487" s="64"/>
      <c r="EG487" s="64"/>
      <c r="EH487" s="64"/>
      <c r="EI487" s="64"/>
      <c r="EJ487" s="64"/>
      <c r="EK487" s="64"/>
      <c r="EL487" s="64"/>
    </row>
    <row r="488" spans="131:142" x14ac:dyDescent="0.2">
      <c r="EA488" s="64"/>
      <c r="EB488" s="64"/>
      <c r="EC488" s="64"/>
      <c r="ED488" s="64"/>
      <c r="EE488" s="64"/>
      <c r="EF488" s="64"/>
      <c r="EG488" s="64"/>
      <c r="EH488" s="64"/>
      <c r="EI488" s="64"/>
      <c r="EJ488" s="64"/>
      <c r="EK488" s="64"/>
      <c r="EL488" s="64"/>
    </row>
    <row r="489" spans="131:142" x14ac:dyDescent="0.2">
      <c r="EA489" s="64"/>
      <c r="EB489" s="64"/>
      <c r="EC489" s="64"/>
      <c r="ED489" s="64"/>
      <c r="EE489" s="64"/>
      <c r="EF489" s="64"/>
      <c r="EG489" s="64"/>
      <c r="EH489" s="64"/>
      <c r="EI489" s="64"/>
      <c r="EJ489" s="64"/>
      <c r="EK489" s="64"/>
      <c r="EL489" s="64"/>
    </row>
    <row r="490" spans="131:142" x14ac:dyDescent="0.2">
      <c r="EA490" s="64"/>
      <c r="EB490" s="64"/>
      <c r="EC490" s="64"/>
      <c r="ED490" s="64"/>
      <c r="EE490" s="64"/>
      <c r="EF490" s="64"/>
      <c r="EG490" s="64"/>
      <c r="EH490" s="64"/>
      <c r="EI490" s="64"/>
      <c r="EJ490" s="64"/>
      <c r="EK490" s="64"/>
      <c r="EL490" s="64"/>
    </row>
    <row r="491" spans="131:142" x14ac:dyDescent="0.2">
      <c r="EA491" s="64"/>
      <c r="EB491" s="64"/>
      <c r="EC491" s="64"/>
      <c r="ED491" s="64"/>
      <c r="EE491" s="64"/>
      <c r="EF491" s="64"/>
      <c r="EG491" s="64"/>
      <c r="EH491" s="64"/>
      <c r="EI491" s="64"/>
      <c r="EJ491" s="64"/>
      <c r="EK491" s="64"/>
      <c r="EL491" s="64"/>
    </row>
    <row r="492" spans="131:142" x14ac:dyDescent="0.2">
      <c r="EA492" s="64"/>
      <c r="EB492" s="64"/>
      <c r="EC492" s="64"/>
      <c r="ED492" s="64"/>
      <c r="EE492" s="64"/>
      <c r="EF492" s="64"/>
      <c r="EG492" s="64"/>
      <c r="EH492" s="64"/>
      <c r="EI492" s="64"/>
      <c r="EJ492" s="64"/>
      <c r="EK492" s="64"/>
      <c r="EL492" s="64"/>
    </row>
    <row r="493" spans="131:142" x14ac:dyDescent="0.2">
      <c r="EA493" s="64"/>
      <c r="EB493" s="64"/>
      <c r="EC493" s="64"/>
      <c r="ED493" s="64"/>
      <c r="EE493" s="64"/>
      <c r="EF493" s="64"/>
      <c r="EG493" s="64"/>
      <c r="EH493" s="64"/>
      <c r="EI493" s="64"/>
      <c r="EJ493" s="64"/>
      <c r="EK493" s="64"/>
      <c r="EL493" s="64"/>
    </row>
    <row r="494" spans="131:142" x14ac:dyDescent="0.2">
      <c r="EA494" s="64"/>
      <c r="EB494" s="64"/>
      <c r="EC494" s="64"/>
      <c r="ED494" s="64"/>
      <c r="EE494" s="64"/>
      <c r="EF494" s="64"/>
      <c r="EG494" s="64"/>
      <c r="EH494" s="64"/>
      <c r="EI494" s="64"/>
      <c r="EJ494" s="64"/>
      <c r="EK494" s="64"/>
      <c r="EL494" s="64"/>
    </row>
    <row r="495" spans="131:142" x14ac:dyDescent="0.2">
      <c r="EA495" s="64"/>
      <c r="EB495" s="64"/>
      <c r="EC495" s="64"/>
      <c r="ED495" s="64"/>
      <c r="EE495" s="64"/>
      <c r="EF495" s="64"/>
      <c r="EG495" s="64"/>
      <c r="EH495" s="64"/>
      <c r="EI495" s="64"/>
      <c r="EJ495" s="64"/>
      <c r="EK495" s="64"/>
      <c r="EL495" s="64"/>
    </row>
    <row r="496" spans="131:142" x14ac:dyDescent="0.2">
      <c r="EA496" s="64"/>
      <c r="EB496" s="64"/>
      <c r="EC496" s="64"/>
      <c r="ED496" s="64"/>
      <c r="EE496" s="64"/>
      <c r="EF496" s="64"/>
      <c r="EG496" s="64"/>
      <c r="EH496" s="64"/>
      <c r="EI496" s="64"/>
      <c r="EJ496" s="64"/>
      <c r="EK496" s="64"/>
      <c r="EL496" s="64"/>
    </row>
    <row r="497" spans="131:142" x14ac:dyDescent="0.2">
      <c r="EA497" s="64"/>
      <c r="EB497" s="64"/>
      <c r="EC497" s="64"/>
      <c r="ED497" s="64"/>
      <c r="EE497" s="64"/>
      <c r="EF497" s="64"/>
      <c r="EG497" s="64"/>
      <c r="EH497" s="64"/>
      <c r="EI497" s="64"/>
      <c r="EJ497" s="64"/>
      <c r="EK497" s="64"/>
      <c r="EL497" s="64"/>
    </row>
    <row r="498" spans="131:142" x14ac:dyDescent="0.2">
      <c r="EA498" s="64"/>
      <c r="EB498" s="64"/>
      <c r="EC498" s="64"/>
      <c r="ED498" s="64"/>
      <c r="EE498" s="64"/>
      <c r="EF498" s="64"/>
      <c r="EG498" s="64"/>
      <c r="EH498" s="64"/>
      <c r="EI498" s="64"/>
      <c r="EJ498" s="64"/>
      <c r="EK498" s="64"/>
      <c r="EL498" s="64"/>
    </row>
    <row r="499" spans="131:142" x14ac:dyDescent="0.2">
      <c r="EA499" s="64"/>
      <c r="EB499" s="64"/>
      <c r="EC499" s="64"/>
      <c r="ED499" s="64"/>
      <c r="EE499" s="64"/>
      <c r="EF499" s="64"/>
      <c r="EG499" s="64"/>
      <c r="EH499" s="64"/>
      <c r="EI499" s="64"/>
      <c r="EJ499" s="64"/>
      <c r="EK499" s="64"/>
      <c r="EL499" s="64"/>
    </row>
    <row r="500" spans="131:142" x14ac:dyDescent="0.2">
      <c r="EA500" s="64"/>
      <c r="EB500" s="64"/>
      <c r="EC500" s="64"/>
      <c r="ED500" s="64"/>
      <c r="EE500" s="64"/>
      <c r="EF500" s="64"/>
      <c r="EG500" s="64"/>
      <c r="EH500" s="64"/>
      <c r="EI500" s="64"/>
      <c r="EJ500" s="64"/>
      <c r="EK500" s="64"/>
      <c r="EL500" s="64"/>
    </row>
    <row r="501" spans="131:142" x14ac:dyDescent="0.2">
      <c r="EA501" s="64"/>
      <c r="EB501" s="64"/>
      <c r="EC501" s="64"/>
      <c r="ED501" s="64"/>
      <c r="EE501" s="64"/>
      <c r="EF501" s="64"/>
      <c r="EG501" s="64"/>
      <c r="EH501" s="64"/>
      <c r="EI501" s="64"/>
      <c r="EJ501" s="64"/>
      <c r="EK501" s="64"/>
      <c r="EL501" s="64"/>
    </row>
    <row r="502" spans="131:142" x14ac:dyDescent="0.2">
      <c r="EA502" s="64"/>
      <c r="EB502" s="64"/>
      <c r="EC502" s="64"/>
      <c r="ED502" s="64"/>
      <c r="EE502" s="64"/>
      <c r="EF502" s="64"/>
      <c r="EG502" s="64"/>
      <c r="EH502" s="64"/>
      <c r="EI502" s="64"/>
      <c r="EJ502" s="64"/>
      <c r="EK502" s="64"/>
      <c r="EL502" s="64"/>
    </row>
    <row r="503" spans="131:142" x14ac:dyDescent="0.2">
      <c r="EA503" s="64"/>
      <c r="EB503" s="64"/>
      <c r="EC503" s="64"/>
      <c r="ED503" s="64"/>
      <c r="EE503" s="64"/>
      <c r="EF503" s="64"/>
      <c r="EG503" s="64"/>
      <c r="EH503" s="64"/>
      <c r="EI503" s="64"/>
      <c r="EJ503" s="64"/>
      <c r="EK503" s="64"/>
      <c r="EL503" s="64"/>
    </row>
    <row r="504" spans="131:142" x14ac:dyDescent="0.2">
      <c r="EA504" s="64"/>
      <c r="EB504" s="64"/>
      <c r="EC504" s="64"/>
      <c r="ED504" s="64"/>
      <c r="EE504" s="64"/>
      <c r="EF504" s="64"/>
      <c r="EG504" s="64"/>
      <c r="EH504" s="64"/>
      <c r="EI504" s="64"/>
      <c r="EJ504" s="64"/>
      <c r="EK504" s="64"/>
      <c r="EL504" s="64"/>
    </row>
    <row r="505" spans="131:142" x14ac:dyDescent="0.2">
      <c r="EA505" s="64"/>
      <c r="EB505" s="64"/>
      <c r="EC505" s="64"/>
      <c r="ED505" s="64"/>
      <c r="EE505" s="64"/>
      <c r="EF505" s="64"/>
      <c r="EG505" s="64"/>
      <c r="EH505" s="64"/>
      <c r="EI505" s="64"/>
      <c r="EJ505" s="64"/>
      <c r="EK505" s="64"/>
      <c r="EL505" s="64"/>
    </row>
    <row r="506" spans="131:142" x14ac:dyDescent="0.2">
      <c r="EA506" s="64"/>
      <c r="EB506" s="64"/>
      <c r="EC506" s="64"/>
      <c r="ED506" s="64"/>
      <c r="EE506" s="64"/>
      <c r="EF506" s="64"/>
      <c r="EG506" s="64"/>
      <c r="EH506" s="64"/>
      <c r="EI506" s="64"/>
      <c r="EJ506" s="64"/>
      <c r="EK506" s="64"/>
      <c r="EL506" s="64"/>
    </row>
    <row r="507" spans="131:142" x14ac:dyDescent="0.2">
      <c r="EA507" s="64"/>
      <c r="EB507" s="64"/>
      <c r="EC507" s="64"/>
      <c r="ED507" s="64"/>
      <c r="EE507" s="64"/>
      <c r="EF507" s="64"/>
      <c r="EG507" s="64"/>
      <c r="EH507" s="64"/>
      <c r="EI507" s="64"/>
      <c r="EJ507" s="64"/>
      <c r="EK507" s="64"/>
      <c r="EL507" s="64"/>
    </row>
    <row r="508" spans="131:142" x14ac:dyDescent="0.2">
      <c r="EA508" s="64"/>
      <c r="EB508" s="64"/>
      <c r="EC508" s="64"/>
      <c r="ED508" s="64"/>
      <c r="EE508" s="64"/>
      <c r="EF508" s="64"/>
      <c r="EG508" s="64"/>
      <c r="EH508" s="64"/>
      <c r="EI508" s="64"/>
      <c r="EJ508" s="64"/>
      <c r="EK508" s="64"/>
      <c r="EL508" s="64"/>
    </row>
    <row r="509" spans="131:142" x14ac:dyDescent="0.2">
      <c r="EA509" s="64"/>
      <c r="EB509" s="64"/>
      <c r="EC509" s="64"/>
      <c r="ED509" s="64"/>
      <c r="EE509" s="64"/>
      <c r="EF509" s="64"/>
      <c r="EG509" s="64"/>
      <c r="EH509" s="64"/>
      <c r="EI509" s="64"/>
      <c r="EJ509" s="64"/>
      <c r="EK509" s="64"/>
      <c r="EL509" s="64"/>
    </row>
    <row r="510" spans="131:142" x14ac:dyDescent="0.2">
      <c r="EA510" s="64"/>
      <c r="EB510" s="64"/>
      <c r="EC510" s="64"/>
      <c r="ED510" s="64"/>
      <c r="EE510" s="64"/>
      <c r="EF510" s="64"/>
      <c r="EG510" s="64"/>
      <c r="EH510" s="64"/>
      <c r="EI510" s="64"/>
      <c r="EJ510" s="64"/>
      <c r="EK510" s="64"/>
      <c r="EL510" s="64"/>
    </row>
    <row r="511" spans="131:142" x14ac:dyDescent="0.2">
      <c r="EA511" s="64"/>
      <c r="EB511" s="64"/>
      <c r="EC511" s="64"/>
      <c r="ED511" s="64"/>
      <c r="EE511" s="64"/>
      <c r="EF511" s="64"/>
      <c r="EG511" s="64"/>
      <c r="EH511" s="64"/>
      <c r="EI511" s="64"/>
      <c r="EJ511" s="64"/>
      <c r="EK511" s="64"/>
      <c r="EL511" s="64"/>
    </row>
    <row r="512" spans="131:142" x14ac:dyDescent="0.2">
      <c r="EA512" s="64"/>
      <c r="EB512" s="64"/>
      <c r="EC512" s="64"/>
      <c r="ED512" s="64"/>
      <c r="EE512" s="64"/>
      <c r="EF512" s="64"/>
      <c r="EG512" s="64"/>
      <c r="EH512" s="64"/>
      <c r="EI512" s="64"/>
      <c r="EJ512" s="64"/>
      <c r="EK512" s="64"/>
      <c r="EL512" s="64"/>
    </row>
    <row r="513" spans="131:142" x14ac:dyDescent="0.2">
      <c r="EA513" s="64"/>
      <c r="EB513" s="64"/>
      <c r="EC513" s="64"/>
      <c r="ED513" s="64"/>
      <c r="EE513" s="64"/>
      <c r="EF513" s="64"/>
      <c r="EG513" s="64"/>
      <c r="EH513" s="64"/>
      <c r="EI513" s="64"/>
      <c r="EJ513" s="64"/>
      <c r="EK513" s="64"/>
      <c r="EL513" s="64"/>
    </row>
    <row r="514" spans="131:142" x14ac:dyDescent="0.2">
      <c r="EA514" s="64"/>
      <c r="EB514" s="64"/>
      <c r="EC514" s="64"/>
      <c r="ED514" s="64"/>
      <c r="EE514" s="64"/>
      <c r="EF514" s="64"/>
      <c r="EG514" s="64"/>
      <c r="EH514" s="64"/>
      <c r="EI514" s="64"/>
      <c r="EJ514" s="64"/>
      <c r="EK514" s="64"/>
      <c r="EL514" s="64"/>
    </row>
    <row r="515" spans="131:142" x14ac:dyDescent="0.2">
      <c r="EA515" s="64"/>
      <c r="EB515" s="64"/>
      <c r="EC515" s="64"/>
      <c r="ED515" s="64"/>
      <c r="EE515" s="64"/>
      <c r="EF515" s="64"/>
      <c r="EG515" s="64"/>
      <c r="EH515" s="64"/>
      <c r="EI515" s="64"/>
      <c r="EJ515" s="64"/>
      <c r="EK515" s="64"/>
      <c r="EL515" s="64"/>
    </row>
    <row r="516" spans="131:142" x14ac:dyDescent="0.2">
      <c r="EA516" s="64"/>
      <c r="EB516" s="64"/>
      <c r="EC516" s="64"/>
      <c r="ED516" s="64"/>
      <c r="EE516" s="64"/>
      <c r="EF516" s="64"/>
      <c r="EG516" s="64"/>
      <c r="EH516" s="64"/>
      <c r="EI516" s="64"/>
      <c r="EJ516" s="64"/>
      <c r="EK516" s="64"/>
      <c r="EL516" s="64"/>
    </row>
    <row r="517" spans="131:142" x14ac:dyDescent="0.2">
      <c r="EA517" s="64"/>
      <c r="EB517" s="64"/>
      <c r="EC517" s="64"/>
      <c r="ED517" s="64"/>
      <c r="EE517" s="64"/>
      <c r="EF517" s="64"/>
      <c r="EG517" s="64"/>
      <c r="EH517" s="64"/>
      <c r="EI517" s="64"/>
      <c r="EJ517" s="64"/>
      <c r="EK517" s="64"/>
      <c r="EL517" s="64"/>
    </row>
    <row r="518" spans="131:142" x14ac:dyDescent="0.2">
      <c r="EA518" s="64"/>
      <c r="EB518" s="64"/>
      <c r="EC518" s="64"/>
      <c r="ED518" s="64"/>
      <c r="EE518" s="64"/>
      <c r="EF518" s="64"/>
      <c r="EG518" s="64"/>
      <c r="EH518" s="64"/>
      <c r="EI518" s="64"/>
      <c r="EJ518" s="64"/>
      <c r="EK518" s="64"/>
      <c r="EL518" s="64"/>
    </row>
    <row r="519" spans="131:142" x14ac:dyDescent="0.2">
      <c r="EA519" s="64"/>
      <c r="EB519" s="64"/>
      <c r="EC519" s="64"/>
      <c r="ED519" s="64"/>
      <c r="EE519" s="64"/>
      <c r="EF519" s="64"/>
      <c r="EG519" s="64"/>
      <c r="EH519" s="64"/>
      <c r="EI519" s="64"/>
      <c r="EJ519" s="64"/>
      <c r="EK519" s="64"/>
      <c r="EL519" s="64"/>
    </row>
    <row r="520" spans="131:142" x14ac:dyDescent="0.2">
      <c r="EA520" s="64"/>
      <c r="EB520" s="64"/>
      <c r="EC520" s="64"/>
      <c r="ED520" s="64"/>
      <c r="EE520" s="64"/>
      <c r="EF520" s="64"/>
      <c r="EG520" s="64"/>
      <c r="EH520" s="64"/>
      <c r="EI520" s="64"/>
      <c r="EJ520" s="64"/>
      <c r="EK520" s="64"/>
      <c r="EL520" s="64"/>
    </row>
    <row r="521" spans="131:142" x14ac:dyDescent="0.2">
      <c r="EA521" s="64"/>
      <c r="EB521" s="64"/>
      <c r="EC521" s="64"/>
      <c r="ED521" s="64"/>
      <c r="EE521" s="64"/>
      <c r="EF521" s="64"/>
      <c r="EG521" s="64"/>
      <c r="EH521" s="64"/>
      <c r="EI521" s="64"/>
      <c r="EJ521" s="64"/>
      <c r="EK521" s="64"/>
      <c r="EL521" s="64"/>
    </row>
    <row r="522" spans="131:142" x14ac:dyDescent="0.2">
      <c r="EA522" s="64"/>
      <c r="EB522" s="64"/>
      <c r="EC522" s="64"/>
      <c r="ED522" s="64"/>
      <c r="EE522" s="64"/>
      <c r="EF522" s="64"/>
      <c r="EG522" s="64"/>
      <c r="EH522" s="64"/>
      <c r="EI522" s="64"/>
      <c r="EJ522" s="64"/>
      <c r="EK522" s="64"/>
      <c r="EL522" s="64"/>
    </row>
    <row r="523" spans="131:142" x14ac:dyDescent="0.2">
      <c r="EA523" s="64"/>
      <c r="EB523" s="64"/>
      <c r="EC523" s="64"/>
      <c r="ED523" s="64"/>
      <c r="EE523" s="64"/>
      <c r="EF523" s="64"/>
      <c r="EG523" s="64"/>
      <c r="EH523" s="64"/>
      <c r="EI523" s="64"/>
      <c r="EJ523" s="64"/>
      <c r="EK523" s="64"/>
      <c r="EL523" s="64"/>
    </row>
    <row r="524" spans="131:142" x14ac:dyDescent="0.2">
      <c r="EA524" s="64"/>
      <c r="EB524" s="64"/>
      <c r="EC524" s="64"/>
      <c r="ED524" s="64"/>
      <c r="EE524" s="64"/>
      <c r="EF524" s="64"/>
      <c r="EG524" s="64"/>
      <c r="EH524" s="64"/>
      <c r="EI524" s="64"/>
      <c r="EJ524" s="64"/>
      <c r="EK524" s="64"/>
      <c r="EL524" s="64"/>
    </row>
    <row r="525" spans="131:142" x14ac:dyDescent="0.2">
      <c r="EA525" s="64"/>
      <c r="EB525" s="64"/>
      <c r="EC525" s="64"/>
      <c r="ED525" s="64"/>
      <c r="EE525" s="64"/>
      <c r="EF525" s="64"/>
      <c r="EG525" s="64"/>
      <c r="EH525" s="64"/>
      <c r="EI525" s="64"/>
      <c r="EJ525" s="64"/>
      <c r="EK525" s="64"/>
      <c r="EL525" s="64"/>
    </row>
    <row r="526" spans="131:142" x14ac:dyDescent="0.2">
      <c r="EA526" s="64"/>
      <c r="EB526" s="64"/>
      <c r="EC526" s="64"/>
      <c r="ED526" s="64"/>
      <c r="EE526" s="64"/>
      <c r="EF526" s="64"/>
      <c r="EG526" s="64"/>
      <c r="EH526" s="64"/>
      <c r="EI526" s="64"/>
      <c r="EJ526" s="64"/>
      <c r="EK526" s="64"/>
      <c r="EL526" s="64"/>
    </row>
    <row r="527" spans="131:142" x14ac:dyDescent="0.2">
      <c r="EA527" s="64"/>
      <c r="EB527" s="64"/>
      <c r="EC527" s="64"/>
      <c r="ED527" s="64"/>
      <c r="EE527" s="64"/>
      <c r="EF527" s="64"/>
      <c r="EG527" s="64"/>
      <c r="EH527" s="64"/>
      <c r="EI527" s="64"/>
      <c r="EJ527" s="64"/>
      <c r="EK527" s="64"/>
      <c r="EL527" s="64"/>
    </row>
    <row r="528" spans="131:142" x14ac:dyDescent="0.2">
      <c r="EA528" s="64"/>
      <c r="EB528" s="64"/>
      <c r="EC528" s="64"/>
      <c r="ED528" s="64"/>
      <c r="EE528" s="64"/>
      <c r="EF528" s="64"/>
      <c r="EG528" s="64"/>
      <c r="EH528" s="64"/>
      <c r="EI528" s="64"/>
      <c r="EJ528" s="64"/>
      <c r="EK528" s="64"/>
      <c r="EL528" s="64"/>
    </row>
    <row r="529" spans="131:142" x14ac:dyDescent="0.2">
      <c r="EA529" s="64"/>
      <c r="EB529" s="64"/>
      <c r="EC529" s="64"/>
      <c r="ED529" s="64"/>
      <c r="EE529" s="64"/>
      <c r="EF529" s="64"/>
      <c r="EG529" s="64"/>
      <c r="EH529" s="64"/>
      <c r="EI529" s="64"/>
      <c r="EJ529" s="64"/>
      <c r="EK529" s="64"/>
      <c r="EL529" s="64"/>
    </row>
    <row r="530" spans="131:142" x14ac:dyDescent="0.2">
      <c r="EA530" s="64"/>
      <c r="EB530" s="64"/>
      <c r="EC530" s="64"/>
      <c r="ED530" s="64"/>
      <c r="EE530" s="64"/>
      <c r="EF530" s="64"/>
      <c r="EG530" s="64"/>
      <c r="EH530" s="64"/>
      <c r="EI530" s="64"/>
      <c r="EJ530" s="64"/>
      <c r="EK530" s="64"/>
      <c r="EL530" s="64"/>
    </row>
    <row r="531" spans="131:142" x14ac:dyDescent="0.2">
      <c r="EA531" s="64"/>
      <c r="EB531" s="64"/>
      <c r="EC531" s="64"/>
      <c r="ED531" s="64"/>
      <c r="EE531" s="64"/>
      <c r="EF531" s="64"/>
      <c r="EG531" s="64"/>
      <c r="EH531" s="64"/>
      <c r="EI531" s="64"/>
      <c r="EJ531" s="64"/>
      <c r="EK531" s="64"/>
      <c r="EL531" s="64"/>
    </row>
    <row r="532" spans="131:142" x14ac:dyDescent="0.2">
      <c r="EA532" s="64"/>
      <c r="EB532" s="64"/>
      <c r="EC532" s="64"/>
      <c r="ED532" s="64"/>
      <c r="EE532" s="64"/>
      <c r="EF532" s="64"/>
      <c r="EG532" s="64"/>
      <c r="EH532" s="64"/>
      <c r="EI532" s="64"/>
      <c r="EJ532" s="64"/>
      <c r="EK532" s="64"/>
      <c r="EL532" s="64"/>
    </row>
    <row r="533" spans="131:142" x14ac:dyDescent="0.2">
      <c r="EA533" s="64"/>
      <c r="EB533" s="64"/>
      <c r="EC533" s="64"/>
      <c r="ED533" s="64"/>
      <c r="EE533" s="64"/>
      <c r="EF533" s="64"/>
      <c r="EG533" s="64"/>
      <c r="EH533" s="64"/>
      <c r="EI533" s="64"/>
      <c r="EJ533" s="64"/>
      <c r="EK533" s="64"/>
      <c r="EL533" s="64"/>
    </row>
    <row r="534" spans="131:142" x14ac:dyDescent="0.2">
      <c r="EA534" s="64"/>
      <c r="EB534" s="64"/>
      <c r="EC534" s="64"/>
      <c r="ED534" s="64"/>
      <c r="EE534" s="64"/>
      <c r="EF534" s="64"/>
      <c r="EG534" s="64"/>
      <c r="EH534" s="64"/>
      <c r="EI534" s="64"/>
      <c r="EJ534" s="64"/>
      <c r="EK534" s="64"/>
      <c r="EL534" s="64"/>
    </row>
    <row r="535" spans="131:142" x14ac:dyDescent="0.2">
      <c r="EA535" s="64"/>
      <c r="EB535" s="64"/>
      <c r="EC535" s="64"/>
      <c r="ED535" s="64"/>
      <c r="EE535" s="64"/>
      <c r="EF535" s="64"/>
      <c r="EG535" s="64"/>
      <c r="EH535" s="64"/>
      <c r="EI535" s="64"/>
      <c r="EJ535" s="64"/>
      <c r="EK535" s="64"/>
      <c r="EL535" s="64"/>
    </row>
    <row r="536" spans="131:142" x14ac:dyDescent="0.2">
      <c r="EA536" s="64"/>
      <c r="EB536" s="64"/>
      <c r="EC536" s="64"/>
      <c r="ED536" s="64"/>
      <c r="EE536" s="64"/>
      <c r="EF536" s="64"/>
      <c r="EG536" s="64"/>
      <c r="EH536" s="64"/>
      <c r="EI536" s="64"/>
      <c r="EJ536" s="64"/>
      <c r="EK536" s="64"/>
      <c r="EL536" s="64"/>
    </row>
    <row r="537" spans="131:142" x14ac:dyDescent="0.2">
      <c r="EA537" s="64"/>
      <c r="EB537" s="64"/>
      <c r="EC537" s="64"/>
      <c r="ED537" s="64"/>
      <c r="EE537" s="64"/>
      <c r="EF537" s="64"/>
      <c r="EG537" s="64"/>
      <c r="EH537" s="64"/>
      <c r="EI537" s="64"/>
      <c r="EJ537" s="64"/>
      <c r="EK537" s="64"/>
      <c r="EL537" s="64"/>
    </row>
    <row r="538" spans="131:142" x14ac:dyDescent="0.2">
      <c r="EA538" s="64"/>
      <c r="EB538" s="64"/>
      <c r="EC538" s="64"/>
      <c r="ED538" s="64"/>
      <c r="EE538" s="64"/>
      <c r="EF538" s="64"/>
      <c r="EG538" s="64"/>
      <c r="EH538" s="64"/>
      <c r="EI538" s="64"/>
      <c r="EJ538" s="64"/>
      <c r="EK538" s="64"/>
      <c r="EL538" s="64"/>
    </row>
    <row r="539" spans="131:142" x14ac:dyDescent="0.2">
      <c r="EA539" s="64"/>
      <c r="EB539" s="64"/>
      <c r="EC539" s="64"/>
      <c r="ED539" s="64"/>
      <c r="EE539" s="64"/>
      <c r="EF539" s="64"/>
      <c r="EG539" s="64"/>
      <c r="EH539" s="64"/>
      <c r="EI539" s="64"/>
      <c r="EJ539" s="64"/>
      <c r="EK539" s="64"/>
      <c r="EL539" s="64"/>
    </row>
    <row r="540" spans="131:142" x14ac:dyDescent="0.2">
      <c r="EA540" s="64"/>
      <c r="EB540" s="64"/>
      <c r="EC540" s="64"/>
      <c r="ED540" s="64"/>
      <c r="EE540" s="64"/>
      <c r="EF540" s="64"/>
      <c r="EG540" s="64"/>
      <c r="EH540" s="64"/>
      <c r="EI540" s="64"/>
      <c r="EJ540" s="64"/>
      <c r="EK540" s="64"/>
      <c r="EL540" s="64"/>
    </row>
    <row r="541" spans="131:142" x14ac:dyDescent="0.2">
      <c r="EA541" s="64"/>
      <c r="EB541" s="64"/>
      <c r="EC541" s="64"/>
      <c r="ED541" s="64"/>
      <c r="EE541" s="64"/>
      <c r="EF541" s="64"/>
      <c r="EG541" s="64"/>
      <c r="EH541" s="64"/>
      <c r="EI541" s="64"/>
      <c r="EJ541" s="64"/>
      <c r="EK541" s="64"/>
      <c r="EL541" s="64"/>
    </row>
    <row r="542" spans="131:142" x14ac:dyDescent="0.2">
      <c r="EA542" s="64"/>
      <c r="EB542" s="64"/>
      <c r="EC542" s="64"/>
      <c r="ED542" s="64"/>
      <c r="EE542" s="64"/>
      <c r="EF542" s="64"/>
      <c r="EG542" s="64"/>
      <c r="EH542" s="64"/>
      <c r="EI542" s="64"/>
      <c r="EJ542" s="64"/>
      <c r="EK542" s="64"/>
      <c r="EL542" s="64"/>
    </row>
    <row r="543" spans="131:142" x14ac:dyDescent="0.2">
      <c r="EA543" s="64"/>
      <c r="EB543" s="64"/>
      <c r="EC543" s="64"/>
      <c r="ED543" s="64"/>
      <c r="EE543" s="64"/>
      <c r="EF543" s="64"/>
      <c r="EG543" s="64"/>
      <c r="EH543" s="64"/>
      <c r="EI543" s="64"/>
      <c r="EJ543" s="64"/>
      <c r="EK543" s="64"/>
      <c r="EL543" s="64"/>
    </row>
    <row r="544" spans="131:142" x14ac:dyDescent="0.2">
      <c r="EA544" s="64"/>
      <c r="EB544" s="64"/>
      <c r="EC544" s="64"/>
      <c r="ED544" s="64"/>
      <c r="EE544" s="64"/>
      <c r="EF544" s="64"/>
      <c r="EG544" s="64"/>
      <c r="EH544" s="64"/>
      <c r="EI544" s="64"/>
      <c r="EJ544" s="64"/>
      <c r="EK544" s="64"/>
      <c r="EL544" s="64"/>
    </row>
    <row r="545" spans="131:142" x14ac:dyDescent="0.2">
      <c r="EA545" s="64"/>
      <c r="EB545" s="64"/>
      <c r="EC545" s="64"/>
      <c r="ED545" s="64"/>
      <c r="EE545" s="64"/>
      <c r="EF545" s="64"/>
      <c r="EG545" s="64"/>
      <c r="EH545" s="64"/>
      <c r="EI545" s="64"/>
      <c r="EJ545" s="64"/>
      <c r="EK545" s="64"/>
      <c r="EL545" s="64"/>
    </row>
    <row r="546" spans="131:142" x14ac:dyDescent="0.2">
      <c r="EA546" s="64"/>
      <c r="EB546" s="64"/>
      <c r="EC546" s="64"/>
      <c r="ED546" s="64"/>
      <c r="EE546" s="64"/>
      <c r="EF546" s="64"/>
      <c r="EG546" s="64"/>
      <c r="EH546" s="64"/>
      <c r="EI546" s="64"/>
      <c r="EJ546" s="64"/>
      <c r="EK546" s="64"/>
      <c r="EL546" s="64"/>
    </row>
    <row r="547" spans="131:142" x14ac:dyDescent="0.2">
      <c r="EA547" s="64"/>
      <c r="EB547" s="64"/>
      <c r="EC547" s="64"/>
      <c r="ED547" s="64"/>
      <c r="EE547" s="64"/>
      <c r="EF547" s="64"/>
      <c r="EG547" s="64"/>
      <c r="EH547" s="64"/>
      <c r="EI547" s="64"/>
      <c r="EJ547" s="64"/>
      <c r="EK547" s="64"/>
      <c r="EL547" s="64"/>
    </row>
    <row r="548" spans="131:142" x14ac:dyDescent="0.2">
      <c r="EA548" s="64"/>
      <c r="EB548" s="64"/>
      <c r="EC548" s="64"/>
      <c r="ED548" s="64"/>
      <c r="EE548" s="64"/>
      <c r="EF548" s="64"/>
      <c r="EG548" s="64"/>
      <c r="EH548" s="64"/>
      <c r="EI548" s="64"/>
      <c r="EJ548" s="64"/>
      <c r="EK548" s="64"/>
      <c r="EL548" s="64"/>
    </row>
    <row r="549" spans="131:142" x14ac:dyDescent="0.2">
      <c r="EA549" s="64"/>
      <c r="EB549" s="64"/>
      <c r="EC549" s="64"/>
      <c r="ED549" s="64"/>
      <c r="EE549" s="64"/>
      <c r="EF549" s="64"/>
      <c r="EG549" s="64"/>
      <c r="EH549" s="64"/>
      <c r="EI549" s="64"/>
      <c r="EJ549" s="64"/>
      <c r="EK549" s="64"/>
      <c r="EL549" s="64"/>
    </row>
    <row r="550" spans="131:142" x14ac:dyDescent="0.2">
      <c r="EA550" s="64"/>
      <c r="EB550" s="64"/>
      <c r="EC550" s="64"/>
      <c r="ED550" s="64"/>
      <c r="EE550" s="64"/>
      <c r="EF550" s="64"/>
      <c r="EG550" s="64"/>
      <c r="EH550" s="64"/>
      <c r="EI550" s="64"/>
      <c r="EJ550" s="64"/>
      <c r="EK550" s="64"/>
      <c r="EL550" s="64"/>
    </row>
    <row r="551" spans="131:142" x14ac:dyDescent="0.2">
      <c r="EA551" s="64"/>
      <c r="EB551" s="64"/>
      <c r="EC551" s="64"/>
      <c r="ED551" s="64"/>
      <c r="EE551" s="64"/>
      <c r="EF551" s="64"/>
      <c r="EG551" s="64"/>
      <c r="EH551" s="64"/>
      <c r="EI551" s="64"/>
      <c r="EJ551" s="64"/>
      <c r="EK551" s="64"/>
      <c r="EL551" s="64"/>
    </row>
    <row r="552" spans="131:142" x14ac:dyDescent="0.2">
      <c r="EA552" s="64"/>
      <c r="EB552" s="64"/>
      <c r="EC552" s="64"/>
      <c r="ED552" s="64"/>
      <c r="EE552" s="64"/>
      <c r="EF552" s="64"/>
      <c r="EG552" s="64"/>
      <c r="EH552" s="64"/>
      <c r="EI552" s="64"/>
      <c r="EJ552" s="64"/>
      <c r="EK552" s="64"/>
      <c r="EL552" s="64"/>
    </row>
    <row r="553" spans="131:142" x14ac:dyDescent="0.2">
      <c r="EA553" s="64"/>
      <c r="EB553" s="64"/>
      <c r="EC553" s="64"/>
      <c r="ED553" s="64"/>
      <c r="EE553" s="64"/>
      <c r="EF553" s="64"/>
      <c r="EG553" s="64"/>
      <c r="EH553" s="64"/>
      <c r="EI553" s="64"/>
      <c r="EJ553" s="64"/>
      <c r="EK553" s="64"/>
      <c r="EL553" s="64"/>
    </row>
    <row r="554" spans="131:142" x14ac:dyDescent="0.2">
      <c r="EA554" s="64"/>
      <c r="EB554" s="64"/>
      <c r="EC554" s="64"/>
      <c r="ED554" s="64"/>
      <c r="EE554" s="64"/>
      <c r="EF554" s="64"/>
      <c r="EG554" s="64"/>
      <c r="EH554" s="64"/>
      <c r="EI554" s="64"/>
      <c r="EJ554" s="64"/>
      <c r="EK554" s="64"/>
      <c r="EL554" s="64"/>
    </row>
    <row r="555" spans="131:142" x14ac:dyDescent="0.2">
      <c r="EA555" s="64"/>
      <c r="EB555" s="64"/>
      <c r="EC555" s="64"/>
      <c r="ED555" s="64"/>
      <c r="EE555" s="64"/>
      <c r="EF555" s="64"/>
      <c r="EG555" s="64"/>
      <c r="EH555" s="64"/>
      <c r="EI555" s="64"/>
      <c r="EJ555" s="64"/>
      <c r="EK555" s="64"/>
      <c r="EL555" s="64"/>
    </row>
    <row r="556" spans="131:142" x14ac:dyDescent="0.2">
      <c r="EA556" s="64"/>
      <c r="EB556" s="64"/>
      <c r="EC556" s="64"/>
      <c r="ED556" s="64"/>
      <c r="EE556" s="64"/>
      <c r="EF556" s="64"/>
      <c r="EG556" s="64"/>
      <c r="EH556" s="64"/>
      <c r="EI556" s="64"/>
      <c r="EJ556" s="64"/>
      <c r="EK556" s="64"/>
      <c r="EL556" s="64"/>
    </row>
    <row r="557" spans="131:142" x14ac:dyDescent="0.2">
      <c r="EA557" s="64"/>
      <c r="EB557" s="64"/>
      <c r="EC557" s="64"/>
      <c r="ED557" s="64"/>
      <c r="EE557" s="64"/>
      <c r="EF557" s="64"/>
      <c r="EG557" s="64"/>
      <c r="EH557" s="64"/>
      <c r="EI557" s="64"/>
      <c r="EJ557" s="64"/>
      <c r="EK557" s="64"/>
      <c r="EL557" s="64"/>
    </row>
    <row r="558" spans="131:142" x14ac:dyDescent="0.2">
      <c r="EA558" s="64"/>
      <c r="EB558" s="64"/>
      <c r="EC558" s="64"/>
      <c r="ED558" s="64"/>
      <c r="EE558" s="64"/>
      <c r="EF558" s="64"/>
      <c r="EG558" s="64"/>
      <c r="EH558" s="64"/>
      <c r="EI558" s="64"/>
      <c r="EJ558" s="64"/>
      <c r="EK558" s="64"/>
      <c r="EL558" s="64"/>
    </row>
    <row r="559" spans="131:142" x14ac:dyDescent="0.2">
      <c r="EA559" s="64"/>
      <c r="EB559" s="64"/>
      <c r="EC559" s="64"/>
      <c r="ED559" s="64"/>
      <c r="EE559" s="64"/>
      <c r="EF559" s="64"/>
      <c r="EG559" s="64"/>
      <c r="EH559" s="64"/>
      <c r="EI559" s="64"/>
      <c r="EJ559" s="64"/>
      <c r="EK559" s="64"/>
      <c r="EL559" s="64"/>
    </row>
    <row r="560" spans="131:142" x14ac:dyDescent="0.2">
      <c r="EA560" s="64"/>
      <c r="EB560" s="64"/>
      <c r="EC560" s="64"/>
      <c r="ED560" s="64"/>
      <c r="EE560" s="64"/>
      <c r="EF560" s="64"/>
      <c r="EG560" s="64"/>
      <c r="EH560" s="64"/>
      <c r="EI560" s="64"/>
      <c r="EJ560" s="64"/>
      <c r="EK560" s="64"/>
      <c r="EL560" s="64"/>
    </row>
    <row r="561" spans="131:142" x14ac:dyDescent="0.2">
      <c r="EA561" s="64"/>
      <c r="EB561" s="64"/>
      <c r="EC561" s="64"/>
      <c r="ED561" s="64"/>
      <c r="EE561" s="64"/>
      <c r="EF561" s="64"/>
      <c r="EG561" s="64"/>
      <c r="EH561" s="64"/>
      <c r="EI561" s="64"/>
      <c r="EJ561" s="64"/>
      <c r="EK561" s="64"/>
      <c r="EL561" s="64"/>
    </row>
    <row r="562" spans="131:142" x14ac:dyDescent="0.2">
      <c r="EA562" s="64"/>
      <c r="EB562" s="64"/>
      <c r="EC562" s="64"/>
      <c r="ED562" s="64"/>
      <c r="EE562" s="64"/>
      <c r="EF562" s="64"/>
      <c r="EG562" s="64"/>
      <c r="EH562" s="64"/>
      <c r="EI562" s="64"/>
      <c r="EJ562" s="64"/>
      <c r="EK562" s="64"/>
      <c r="EL562" s="64"/>
    </row>
    <row r="563" spans="131:142" x14ac:dyDescent="0.2">
      <c r="EA563" s="64"/>
      <c r="EB563" s="64"/>
      <c r="EC563" s="64"/>
      <c r="ED563" s="64"/>
      <c r="EE563" s="64"/>
      <c r="EF563" s="64"/>
      <c r="EG563" s="64"/>
      <c r="EH563" s="64"/>
      <c r="EI563" s="64"/>
      <c r="EJ563" s="64"/>
      <c r="EK563" s="64"/>
      <c r="EL563" s="64"/>
    </row>
    <row r="564" spans="131:142" x14ac:dyDescent="0.2">
      <c r="EA564" s="64"/>
      <c r="EB564" s="64"/>
      <c r="EC564" s="64"/>
      <c r="ED564" s="64"/>
      <c r="EE564" s="64"/>
      <c r="EF564" s="64"/>
      <c r="EG564" s="64"/>
      <c r="EH564" s="64"/>
      <c r="EI564" s="64"/>
      <c r="EJ564" s="64"/>
      <c r="EK564" s="64"/>
      <c r="EL564" s="64"/>
    </row>
    <row r="565" spans="131:142" x14ac:dyDescent="0.2">
      <c r="EA565" s="64"/>
      <c r="EB565" s="64"/>
      <c r="EC565" s="64"/>
      <c r="ED565" s="64"/>
      <c r="EE565" s="64"/>
      <c r="EF565" s="64"/>
      <c r="EG565" s="64"/>
      <c r="EH565" s="64"/>
      <c r="EI565" s="64"/>
      <c r="EJ565" s="64"/>
      <c r="EK565" s="64"/>
      <c r="EL565" s="64"/>
    </row>
    <row r="566" spans="131:142" x14ac:dyDescent="0.2">
      <c r="EA566" s="64"/>
      <c r="EB566" s="64"/>
      <c r="EC566" s="64"/>
      <c r="ED566" s="64"/>
      <c r="EE566" s="64"/>
      <c r="EF566" s="64"/>
      <c r="EG566" s="64"/>
      <c r="EH566" s="64"/>
      <c r="EI566" s="64"/>
      <c r="EJ566" s="64"/>
      <c r="EK566" s="64"/>
      <c r="EL566" s="64"/>
    </row>
    <row r="567" spans="131:142" x14ac:dyDescent="0.2">
      <c r="EA567" s="64"/>
      <c r="EB567" s="64"/>
      <c r="EC567" s="64"/>
      <c r="ED567" s="64"/>
      <c r="EE567" s="64"/>
      <c r="EF567" s="64"/>
      <c r="EG567" s="64"/>
      <c r="EH567" s="64"/>
      <c r="EI567" s="64"/>
      <c r="EJ567" s="64"/>
      <c r="EK567" s="64"/>
      <c r="EL567" s="64"/>
    </row>
    <row r="568" spans="131:142" x14ac:dyDescent="0.2">
      <c r="EA568" s="64"/>
      <c r="EB568" s="64"/>
      <c r="EC568" s="64"/>
      <c r="ED568" s="64"/>
      <c r="EE568" s="64"/>
      <c r="EF568" s="64"/>
      <c r="EG568" s="64"/>
      <c r="EH568" s="64"/>
      <c r="EI568" s="64"/>
      <c r="EJ568" s="64"/>
      <c r="EK568" s="64"/>
      <c r="EL568" s="64"/>
    </row>
    <row r="569" spans="131:142" x14ac:dyDescent="0.2">
      <c r="EA569" s="64"/>
      <c r="EB569" s="64"/>
      <c r="EC569" s="64"/>
      <c r="ED569" s="64"/>
      <c r="EE569" s="64"/>
      <c r="EF569" s="64"/>
      <c r="EG569" s="64"/>
      <c r="EH569" s="64"/>
      <c r="EI569" s="64"/>
      <c r="EJ569" s="64"/>
      <c r="EK569" s="64"/>
      <c r="EL569" s="64"/>
    </row>
    <row r="570" spans="131:142" x14ac:dyDescent="0.2">
      <c r="EA570" s="64"/>
      <c r="EB570" s="64"/>
      <c r="EC570" s="64"/>
      <c r="ED570" s="64"/>
      <c r="EE570" s="64"/>
      <c r="EF570" s="64"/>
      <c r="EG570" s="64"/>
      <c r="EH570" s="64"/>
      <c r="EI570" s="64"/>
      <c r="EJ570" s="64"/>
      <c r="EK570" s="64"/>
      <c r="EL570" s="64"/>
    </row>
    <row r="571" spans="131:142" x14ac:dyDescent="0.2">
      <c r="EA571" s="64"/>
      <c r="EB571" s="64"/>
      <c r="EC571" s="64"/>
      <c r="ED571" s="64"/>
      <c r="EE571" s="64"/>
      <c r="EF571" s="64"/>
      <c r="EG571" s="64"/>
      <c r="EH571" s="64"/>
      <c r="EI571" s="64"/>
      <c r="EJ571" s="64"/>
      <c r="EK571" s="64"/>
      <c r="EL571" s="64"/>
    </row>
    <row r="572" spans="131:142" x14ac:dyDescent="0.2">
      <c r="EA572" s="64"/>
      <c r="EB572" s="64"/>
      <c r="EC572" s="64"/>
      <c r="ED572" s="64"/>
      <c r="EE572" s="64"/>
      <c r="EF572" s="64"/>
      <c r="EG572" s="64"/>
      <c r="EH572" s="64"/>
      <c r="EI572" s="64"/>
      <c r="EJ572" s="64"/>
      <c r="EK572" s="64"/>
      <c r="EL572" s="64"/>
    </row>
    <row r="573" spans="131:142" x14ac:dyDescent="0.2">
      <c r="EA573" s="64"/>
      <c r="EB573" s="64"/>
      <c r="EC573" s="64"/>
      <c r="ED573" s="64"/>
      <c r="EE573" s="64"/>
      <c r="EF573" s="64"/>
      <c r="EG573" s="64"/>
      <c r="EH573" s="64"/>
      <c r="EI573" s="64"/>
      <c r="EJ573" s="64"/>
      <c r="EK573" s="64"/>
      <c r="EL573" s="64"/>
    </row>
    <row r="574" spans="131:142" x14ac:dyDescent="0.2">
      <c r="EA574" s="64"/>
      <c r="EB574" s="64"/>
      <c r="EC574" s="64"/>
      <c r="ED574" s="64"/>
      <c r="EE574" s="64"/>
      <c r="EF574" s="64"/>
      <c r="EG574" s="64"/>
      <c r="EH574" s="64"/>
      <c r="EI574" s="64"/>
      <c r="EJ574" s="64"/>
      <c r="EK574" s="64"/>
      <c r="EL574" s="64"/>
    </row>
    <row r="575" spans="131:142" x14ac:dyDescent="0.2">
      <c r="EA575" s="64"/>
      <c r="EB575" s="64"/>
      <c r="EC575" s="64"/>
      <c r="ED575" s="64"/>
      <c r="EE575" s="64"/>
      <c r="EF575" s="64"/>
      <c r="EG575" s="64"/>
      <c r="EH575" s="64"/>
      <c r="EI575" s="64"/>
      <c r="EJ575" s="64"/>
      <c r="EK575" s="64"/>
      <c r="EL575" s="64"/>
    </row>
    <row r="576" spans="131:142" x14ac:dyDescent="0.2">
      <c r="EA576" s="64"/>
      <c r="EB576" s="64"/>
      <c r="EC576" s="64"/>
      <c r="ED576" s="64"/>
      <c r="EE576" s="64"/>
      <c r="EF576" s="64"/>
      <c r="EG576" s="64"/>
      <c r="EH576" s="64"/>
      <c r="EI576" s="64"/>
      <c r="EJ576" s="64"/>
      <c r="EK576" s="64"/>
      <c r="EL576" s="64"/>
    </row>
    <row r="577" spans="131:142" x14ac:dyDescent="0.2">
      <c r="EA577" s="64"/>
      <c r="EB577" s="64"/>
      <c r="EC577" s="64"/>
      <c r="ED577" s="64"/>
      <c r="EE577" s="64"/>
      <c r="EF577" s="64"/>
      <c r="EG577" s="64"/>
      <c r="EH577" s="64"/>
      <c r="EI577" s="64"/>
      <c r="EJ577" s="64"/>
      <c r="EK577" s="64"/>
      <c r="EL577" s="64"/>
    </row>
    <row r="578" spans="131:142" x14ac:dyDescent="0.2">
      <c r="EA578" s="64"/>
      <c r="EB578" s="64"/>
      <c r="EC578" s="64"/>
      <c r="ED578" s="64"/>
      <c r="EE578" s="64"/>
      <c r="EF578" s="64"/>
      <c r="EG578" s="64"/>
      <c r="EH578" s="64"/>
      <c r="EI578" s="64"/>
      <c r="EJ578" s="64"/>
      <c r="EK578" s="64"/>
      <c r="EL578" s="64"/>
    </row>
    <row r="579" spans="131:142" x14ac:dyDescent="0.2">
      <c r="EA579" s="64"/>
      <c r="EB579" s="64"/>
      <c r="EC579" s="64"/>
      <c r="ED579" s="64"/>
      <c r="EE579" s="64"/>
      <c r="EF579" s="64"/>
      <c r="EG579" s="64"/>
      <c r="EH579" s="64"/>
      <c r="EI579" s="64"/>
      <c r="EJ579" s="64"/>
      <c r="EK579" s="64"/>
      <c r="EL579" s="64"/>
    </row>
    <row r="580" spans="131:142" x14ac:dyDescent="0.2">
      <c r="EA580" s="64"/>
      <c r="EB580" s="64"/>
      <c r="EC580" s="64"/>
      <c r="ED580" s="64"/>
      <c r="EE580" s="64"/>
      <c r="EF580" s="64"/>
      <c r="EG580" s="64"/>
      <c r="EH580" s="64"/>
      <c r="EI580" s="64"/>
      <c r="EJ580" s="64"/>
      <c r="EK580" s="64"/>
      <c r="EL580" s="64"/>
    </row>
    <row r="581" spans="131:142" x14ac:dyDescent="0.2">
      <c r="EA581" s="64"/>
      <c r="EB581" s="64"/>
      <c r="EC581" s="64"/>
      <c r="ED581" s="64"/>
      <c r="EE581" s="64"/>
      <c r="EF581" s="64"/>
      <c r="EG581" s="64"/>
      <c r="EH581" s="64"/>
      <c r="EI581" s="64"/>
      <c r="EJ581" s="64"/>
      <c r="EK581" s="64"/>
      <c r="EL581" s="64"/>
    </row>
    <row r="582" spans="131:142" x14ac:dyDescent="0.2">
      <c r="EA582" s="64"/>
      <c r="EB582" s="64"/>
      <c r="EC582" s="64"/>
      <c r="ED582" s="64"/>
      <c r="EE582" s="64"/>
      <c r="EF582" s="64"/>
      <c r="EG582" s="64"/>
      <c r="EH582" s="64"/>
      <c r="EI582" s="64"/>
      <c r="EJ582" s="64"/>
      <c r="EK582" s="64"/>
      <c r="EL582" s="64"/>
    </row>
    <row r="583" spans="131:142" x14ac:dyDescent="0.2">
      <c r="EA583" s="64"/>
      <c r="EB583" s="64"/>
      <c r="EC583" s="64"/>
      <c r="ED583" s="64"/>
      <c r="EE583" s="64"/>
      <c r="EF583" s="64"/>
      <c r="EG583" s="64"/>
      <c r="EH583" s="64"/>
      <c r="EI583" s="64"/>
      <c r="EJ583" s="64"/>
      <c r="EK583" s="64"/>
      <c r="EL583" s="64"/>
    </row>
    <row r="584" spans="131:142" x14ac:dyDescent="0.2">
      <c r="EA584" s="64"/>
      <c r="EB584" s="64"/>
      <c r="EC584" s="64"/>
      <c r="ED584" s="64"/>
      <c r="EE584" s="64"/>
      <c r="EF584" s="64"/>
      <c r="EG584" s="64"/>
      <c r="EH584" s="64"/>
      <c r="EI584" s="64"/>
      <c r="EJ584" s="64"/>
      <c r="EK584" s="64"/>
      <c r="EL584" s="64"/>
    </row>
    <row r="585" spans="131:142" x14ac:dyDescent="0.2">
      <c r="EA585" s="64"/>
      <c r="EB585" s="64"/>
      <c r="EC585" s="64"/>
      <c r="ED585" s="64"/>
      <c r="EE585" s="64"/>
      <c r="EF585" s="64"/>
      <c r="EG585" s="64"/>
      <c r="EH585" s="64"/>
      <c r="EI585" s="64"/>
      <c r="EJ585" s="64"/>
      <c r="EK585" s="64"/>
      <c r="EL585" s="64"/>
    </row>
    <row r="586" spans="131:142" x14ac:dyDescent="0.2">
      <c r="EA586" s="64"/>
      <c r="EB586" s="64"/>
      <c r="EC586" s="64"/>
      <c r="ED586" s="64"/>
      <c r="EE586" s="64"/>
      <c r="EF586" s="64"/>
      <c r="EG586" s="64"/>
      <c r="EH586" s="64"/>
      <c r="EI586" s="64"/>
      <c r="EJ586" s="64"/>
      <c r="EK586" s="64"/>
      <c r="EL586" s="64"/>
    </row>
    <row r="587" spans="131:142" x14ac:dyDescent="0.2">
      <c r="EA587" s="64"/>
      <c r="EB587" s="64"/>
      <c r="EC587" s="64"/>
      <c r="ED587" s="64"/>
      <c r="EE587" s="64"/>
      <c r="EF587" s="64"/>
      <c r="EG587" s="64"/>
      <c r="EH587" s="64"/>
      <c r="EI587" s="64"/>
      <c r="EJ587" s="64"/>
      <c r="EK587" s="64"/>
      <c r="EL587" s="64"/>
    </row>
    <row r="588" spans="131:142" x14ac:dyDescent="0.2">
      <c r="EA588" s="64"/>
      <c r="EB588" s="64"/>
      <c r="EC588" s="64"/>
      <c r="ED588" s="64"/>
      <c r="EE588" s="64"/>
      <c r="EF588" s="64"/>
      <c r="EG588" s="64"/>
      <c r="EH588" s="64"/>
      <c r="EI588" s="64"/>
      <c r="EJ588" s="64"/>
      <c r="EK588" s="64"/>
      <c r="EL588" s="64"/>
    </row>
    <row r="589" spans="131:142" x14ac:dyDescent="0.2">
      <c r="EA589" s="64"/>
      <c r="EB589" s="64"/>
      <c r="EC589" s="64"/>
      <c r="ED589" s="64"/>
      <c r="EE589" s="64"/>
      <c r="EF589" s="64"/>
      <c r="EG589" s="64"/>
      <c r="EH589" s="64"/>
      <c r="EI589" s="64"/>
      <c r="EJ589" s="64"/>
      <c r="EK589" s="64"/>
      <c r="EL589" s="64"/>
    </row>
    <row r="590" spans="131:142" x14ac:dyDescent="0.2">
      <c r="EA590" s="64"/>
      <c r="EB590" s="64"/>
      <c r="EC590" s="64"/>
      <c r="ED590" s="64"/>
      <c r="EE590" s="64"/>
      <c r="EF590" s="64"/>
      <c r="EG590" s="64"/>
      <c r="EH590" s="64"/>
      <c r="EI590" s="64"/>
      <c r="EJ590" s="64"/>
      <c r="EK590" s="64"/>
      <c r="EL590" s="64"/>
    </row>
    <row r="591" spans="131:142" x14ac:dyDescent="0.2">
      <c r="EA591" s="64"/>
      <c r="EB591" s="64"/>
      <c r="EC591" s="64"/>
      <c r="ED591" s="64"/>
      <c r="EE591" s="64"/>
      <c r="EF591" s="64"/>
      <c r="EG591" s="64"/>
      <c r="EH591" s="64"/>
      <c r="EI591" s="64"/>
      <c r="EJ591" s="64"/>
      <c r="EK591" s="64"/>
      <c r="EL591" s="64"/>
    </row>
    <row r="592" spans="131:142" x14ac:dyDescent="0.2">
      <c r="EA592" s="64"/>
      <c r="EB592" s="64"/>
      <c r="EC592" s="64"/>
      <c r="ED592" s="64"/>
      <c r="EE592" s="64"/>
      <c r="EF592" s="64"/>
      <c r="EG592" s="64"/>
      <c r="EH592" s="64"/>
      <c r="EI592" s="64"/>
      <c r="EJ592" s="64"/>
      <c r="EK592" s="64"/>
      <c r="EL592" s="64"/>
    </row>
    <row r="593" spans="131:142" x14ac:dyDescent="0.2">
      <c r="EA593" s="64"/>
      <c r="EB593" s="64"/>
      <c r="EC593" s="64"/>
      <c r="ED593" s="64"/>
      <c r="EE593" s="64"/>
      <c r="EF593" s="64"/>
      <c r="EG593" s="64"/>
      <c r="EH593" s="64"/>
      <c r="EI593" s="64"/>
      <c r="EJ593" s="64"/>
      <c r="EK593" s="64"/>
      <c r="EL593" s="64"/>
    </row>
    <row r="594" spans="131:142" x14ac:dyDescent="0.2">
      <c r="EA594" s="64"/>
      <c r="EB594" s="64"/>
      <c r="EC594" s="64"/>
      <c r="ED594" s="64"/>
      <c r="EE594" s="64"/>
      <c r="EF594" s="64"/>
      <c r="EG594" s="64"/>
      <c r="EH594" s="64"/>
      <c r="EI594" s="64"/>
      <c r="EJ594" s="64"/>
      <c r="EK594" s="64"/>
      <c r="EL594" s="64"/>
    </row>
    <row r="595" spans="131:142" x14ac:dyDescent="0.2">
      <c r="EA595" s="64"/>
      <c r="EB595" s="64"/>
      <c r="EC595" s="64"/>
      <c r="ED595" s="64"/>
      <c r="EE595" s="64"/>
      <c r="EF595" s="64"/>
      <c r="EG595" s="64"/>
      <c r="EH595" s="64"/>
      <c r="EI595" s="64"/>
      <c r="EJ595" s="64"/>
      <c r="EK595" s="64"/>
      <c r="EL595" s="64"/>
    </row>
    <row r="596" spans="131:142" x14ac:dyDescent="0.2">
      <c r="EA596" s="64"/>
      <c r="EB596" s="64"/>
      <c r="EC596" s="64"/>
      <c r="ED596" s="64"/>
      <c r="EE596" s="64"/>
      <c r="EF596" s="64"/>
      <c r="EG596" s="64"/>
      <c r="EH596" s="64"/>
      <c r="EI596" s="64"/>
      <c r="EJ596" s="64"/>
      <c r="EK596" s="64"/>
      <c r="EL596" s="64"/>
    </row>
    <row r="597" spans="131:142" x14ac:dyDescent="0.2">
      <c r="EA597" s="64"/>
      <c r="EB597" s="64"/>
      <c r="EC597" s="64"/>
      <c r="ED597" s="64"/>
      <c r="EE597" s="64"/>
      <c r="EF597" s="64"/>
      <c r="EG597" s="64"/>
      <c r="EH597" s="64"/>
      <c r="EI597" s="64"/>
      <c r="EJ597" s="64"/>
      <c r="EK597" s="64"/>
      <c r="EL597" s="64"/>
    </row>
    <row r="598" spans="131:142" x14ac:dyDescent="0.2">
      <c r="EA598" s="64"/>
      <c r="EB598" s="64"/>
      <c r="EC598" s="64"/>
      <c r="ED598" s="64"/>
      <c r="EE598" s="64"/>
      <c r="EF598" s="64"/>
      <c r="EG598" s="64"/>
      <c r="EH598" s="64"/>
      <c r="EI598" s="64"/>
      <c r="EJ598" s="64"/>
      <c r="EK598" s="64"/>
      <c r="EL598" s="64"/>
    </row>
    <row r="599" spans="131:142" x14ac:dyDescent="0.2">
      <c r="EA599" s="64"/>
      <c r="EB599" s="64"/>
      <c r="EC599" s="64"/>
      <c r="ED599" s="64"/>
      <c r="EE599" s="64"/>
      <c r="EF599" s="64"/>
      <c r="EG599" s="64"/>
      <c r="EH599" s="64"/>
      <c r="EI599" s="64"/>
      <c r="EJ599" s="64"/>
      <c r="EK599" s="64"/>
      <c r="EL599" s="64"/>
    </row>
    <row r="600" spans="131:142" x14ac:dyDescent="0.2">
      <c r="EA600" s="64"/>
      <c r="EB600" s="64"/>
      <c r="EC600" s="64"/>
      <c r="ED600" s="64"/>
      <c r="EE600" s="64"/>
      <c r="EF600" s="64"/>
      <c r="EG600" s="64"/>
      <c r="EH600" s="64"/>
      <c r="EI600" s="64"/>
      <c r="EJ600" s="64"/>
      <c r="EK600" s="64"/>
      <c r="EL600" s="64"/>
    </row>
    <row r="601" spans="131:142" x14ac:dyDescent="0.2">
      <c r="EA601" s="64"/>
      <c r="EB601" s="64"/>
      <c r="EC601" s="64"/>
      <c r="ED601" s="64"/>
      <c r="EE601" s="64"/>
      <c r="EF601" s="64"/>
      <c r="EG601" s="64"/>
      <c r="EH601" s="64"/>
      <c r="EI601" s="64"/>
      <c r="EJ601" s="64"/>
      <c r="EK601" s="64"/>
      <c r="EL601" s="64"/>
    </row>
    <row r="602" spans="131:142" x14ac:dyDescent="0.2">
      <c r="EA602" s="64"/>
      <c r="EB602" s="64"/>
      <c r="EC602" s="64"/>
      <c r="ED602" s="64"/>
      <c r="EE602" s="64"/>
      <c r="EF602" s="64"/>
      <c r="EG602" s="64"/>
      <c r="EH602" s="64"/>
      <c r="EI602" s="64"/>
      <c r="EJ602" s="64"/>
      <c r="EK602" s="64"/>
      <c r="EL602" s="64"/>
    </row>
    <row r="603" spans="131:142" x14ac:dyDescent="0.2">
      <c r="EA603" s="64"/>
      <c r="EB603" s="64"/>
      <c r="EC603" s="64"/>
      <c r="ED603" s="64"/>
      <c r="EE603" s="64"/>
      <c r="EF603" s="64"/>
      <c r="EG603" s="64"/>
      <c r="EH603" s="64"/>
      <c r="EI603" s="64"/>
      <c r="EJ603" s="64"/>
      <c r="EK603" s="64"/>
      <c r="EL603" s="64"/>
    </row>
    <row r="604" spans="131:142" x14ac:dyDescent="0.2">
      <c r="EA604" s="64"/>
      <c r="EB604" s="64"/>
      <c r="EC604" s="64"/>
      <c r="ED604" s="64"/>
      <c r="EE604" s="64"/>
      <c r="EF604" s="64"/>
      <c r="EG604" s="64"/>
      <c r="EH604" s="64"/>
      <c r="EI604" s="64"/>
      <c r="EJ604" s="64"/>
      <c r="EK604" s="64"/>
      <c r="EL604" s="64"/>
    </row>
    <row r="605" spans="131:142" x14ac:dyDescent="0.2">
      <c r="EA605" s="64"/>
      <c r="EB605" s="64"/>
      <c r="EC605" s="64"/>
      <c r="ED605" s="64"/>
      <c r="EE605" s="64"/>
      <c r="EF605" s="64"/>
      <c r="EG605" s="64"/>
      <c r="EH605" s="64"/>
      <c r="EI605" s="64"/>
      <c r="EJ605" s="64"/>
      <c r="EK605" s="64"/>
      <c r="EL605" s="64"/>
    </row>
    <row r="606" spans="131:142" x14ac:dyDescent="0.2">
      <c r="EA606" s="64"/>
      <c r="EB606" s="64"/>
      <c r="EC606" s="64"/>
      <c r="ED606" s="64"/>
      <c r="EE606" s="64"/>
      <c r="EF606" s="64"/>
      <c r="EG606" s="64"/>
      <c r="EH606" s="64"/>
      <c r="EI606" s="64"/>
      <c r="EJ606" s="64"/>
      <c r="EK606" s="64"/>
      <c r="EL606" s="64"/>
    </row>
    <row r="607" spans="131:142" x14ac:dyDescent="0.2">
      <c r="EA607" s="64"/>
      <c r="EB607" s="64"/>
      <c r="EC607" s="64"/>
      <c r="ED607" s="64"/>
      <c r="EE607" s="64"/>
      <c r="EF607" s="64"/>
      <c r="EG607" s="64"/>
      <c r="EH607" s="64"/>
      <c r="EI607" s="64"/>
      <c r="EJ607" s="64"/>
      <c r="EK607" s="64"/>
      <c r="EL607" s="64"/>
    </row>
    <row r="608" spans="131:142" x14ac:dyDescent="0.2">
      <c r="EA608" s="64"/>
      <c r="EB608" s="64"/>
      <c r="EC608" s="64"/>
      <c r="ED608" s="64"/>
      <c r="EE608" s="64"/>
      <c r="EF608" s="64"/>
      <c r="EG608" s="64"/>
      <c r="EH608" s="64"/>
      <c r="EI608" s="64"/>
      <c r="EJ608" s="64"/>
      <c r="EK608" s="64"/>
      <c r="EL608" s="64"/>
    </row>
    <row r="609" spans="131:142" x14ac:dyDescent="0.2">
      <c r="EA609" s="64"/>
      <c r="EB609" s="64"/>
      <c r="EC609" s="64"/>
      <c r="ED609" s="64"/>
      <c r="EE609" s="64"/>
      <c r="EF609" s="64"/>
      <c r="EG609" s="64"/>
      <c r="EH609" s="64"/>
      <c r="EI609" s="64"/>
      <c r="EJ609" s="64"/>
      <c r="EK609" s="64"/>
      <c r="EL609" s="64"/>
    </row>
    <row r="610" spans="131:142" x14ac:dyDescent="0.2">
      <c r="EA610" s="64"/>
      <c r="EB610" s="64"/>
      <c r="EC610" s="64"/>
      <c r="ED610" s="64"/>
      <c r="EE610" s="64"/>
      <c r="EF610" s="64"/>
      <c r="EG610" s="64"/>
      <c r="EH610" s="64"/>
      <c r="EI610" s="64"/>
      <c r="EJ610" s="64"/>
      <c r="EK610" s="64"/>
      <c r="EL610" s="64"/>
    </row>
    <row r="611" spans="131:142" x14ac:dyDescent="0.2">
      <c r="EA611" s="64"/>
      <c r="EB611" s="64"/>
      <c r="EC611" s="64"/>
      <c r="ED611" s="64"/>
      <c r="EE611" s="64"/>
      <c r="EF611" s="64"/>
      <c r="EG611" s="64"/>
      <c r="EH611" s="64"/>
      <c r="EI611" s="64"/>
      <c r="EJ611" s="64"/>
      <c r="EK611" s="64"/>
      <c r="EL611" s="64"/>
    </row>
    <row r="612" spans="131:142" x14ac:dyDescent="0.2">
      <c r="EA612" s="64"/>
      <c r="EB612" s="64"/>
      <c r="EC612" s="64"/>
      <c r="ED612" s="64"/>
      <c r="EE612" s="64"/>
      <c r="EF612" s="64"/>
      <c r="EG612" s="64"/>
      <c r="EH612" s="64"/>
      <c r="EI612" s="64"/>
      <c r="EJ612" s="64"/>
      <c r="EK612" s="64"/>
      <c r="EL612" s="64"/>
    </row>
    <row r="613" spans="131:142" x14ac:dyDescent="0.2">
      <c r="EA613" s="64"/>
      <c r="EB613" s="64"/>
      <c r="EC613" s="64"/>
      <c r="ED613" s="64"/>
      <c r="EE613" s="64"/>
      <c r="EF613" s="64"/>
      <c r="EG613" s="64"/>
      <c r="EH613" s="64"/>
      <c r="EI613" s="64"/>
      <c r="EJ613" s="64"/>
      <c r="EK613" s="64"/>
      <c r="EL613" s="64"/>
    </row>
    <row r="614" spans="131:142" x14ac:dyDescent="0.2">
      <c r="EA614" s="64"/>
      <c r="EB614" s="64"/>
      <c r="EC614" s="64"/>
      <c r="ED614" s="64"/>
      <c r="EE614" s="64"/>
      <c r="EF614" s="64"/>
      <c r="EG614" s="64"/>
      <c r="EH614" s="64"/>
      <c r="EI614" s="64"/>
      <c r="EJ614" s="64"/>
      <c r="EK614" s="64"/>
      <c r="EL614" s="64"/>
    </row>
    <row r="615" spans="131:142" x14ac:dyDescent="0.2">
      <c r="EA615" s="64"/>
      <c r="EB615" s="64"/>
      <c r="EC615" s="64"/>
      <c r="ED615" s="64"/>
      <c r="EE615" s="64"/>
      <c r="EF615" s="64"/>
      <c r="EG615" s="64"/>
      <c r="EH615" s="64"/>
      <c r="EI615" s="64"/>
      <c r="EJ615" s="64"/>
      <c r="EK615" s="64"/>
      <c r="EL615" s="64"/>
    </row>
    <row r="616" spans="131:142" x14ac:dyDescent="0.2">
      <c r="EA616" s="64"/>
      <c r="EB616" s="64"/>
      <c r="EC616" s="64"/>
      <c r="ED616" s="64"/>
      <c r="EE616" s="64"/>
      <c r="EF616" s="64"/>
      <c r="EG616" s="64"/>
      <c r="EH616" s="64"/>
      <c r="EI616" s="64"/>
      <c r="EJ616" s="64"/>
      <c r="EK616" s="64"/>
      <c r="EL616" s="64"/>
    </row>
    <row r="617" spans="131:142" x14ac:dyDescent="0.2">
      <c r="EA617" s="64"/>
      <c r="EB617" s="64"/>
      <c r="EC617" s="64"/>
      <c r="ED617" s="64"/>
      <c r="EE617" s="64"/>
      <c r="EF617" s="64"/>
      <c r="EG617" s="64"/>
      <c r="EH617" s="64"/>
      <c r="EI617" s="64"/>
      <c r="EJ617" s="64"/>
      <c r="EK617" s="64"/>
      <c r="EL617" s="64"/>
    </row>
    <row r="618" spans="131:142" x14ac:dyDescent="0.2">
      <c r="EA618" s="64"/>
      <c r="EB618" s="64"/>
      <c r="EC618" s="64"/>
      <c r="ED618" s="64"/>
      <c r="EE618" s="64"/>
      <c r="EF618" s="64"/>
      <c r="EG618" s="64"/>
      <c r="EH618" s="64"/>
      <c r="EI618" s="64"/>
      <c r="EJ618" s="64"/>
      <c r="EK618" s="64"/>
      <c r="EL618" s="64"/>
    </row>
    <row r="619" spans="131:142" x14ac:dyDescent="0.2">
      <c r="EA619" s="64"/>
      <c r="EB619" s="64"/>
      <c r="EC619" s="64"/>
      <c r="ED619" s="64"/>
      <c r="EE619" s="64"/>
      <c r="EF619" s="64"/>
      <c r="EG619" s="64"/>
      <c r="EH619" s="64"/>
      <c r="EI619" s="64"/>
      <c r="EJ619" s="64"/>
      <c r="EK619" s="64"/>
      <c r="EL619" s="64"/>
    </row>
    <row r="620" spans="131:142" x14ac:dyDescent="0.2">
      <c r="EA620" s="64"/>
      <c r="EB620" s="64"/>
      <c r="EC620" s="64"/>
      <c r="ED620" s="64"/>
      <c r="EE620" s="64"/>
      <c r="EF620" s="64"/>
      <c r="EG620" s="64"/>
      <c r="EH620" s="64"/>
      <c r="EI620" s="64"/>
      <c r="EJ620" s="64"/>
      <c r="EK620" s="64"/>
      <c r="EL620" s="64"/>
    </row>
    <row r="621" spans="131:142" x14ac:dyDescent="0.2">
      <c r="EA621" s="64"/>
      <c r="EB621" s="64"/>
      <c r="EC621" s="64"/>
      <c r="ED621" s="64"/>
      <c r="EE621" s="64"/>
      <c r="EF621" s="64"/>
      <c r="EG621" s="64"/>
      <c r="EH621" s="64"/>
      <c r="EI621" s="64"/>
      <c r="EJ621" s="64"/>
      <c r="EK621" s="64"/>
      <c r="EL621" s="64"/>
    </row>
    <row r="622" spans="131:142" x14ac:dyDescent="0.2">
      <c r="EA622" s="64"/>
      <c r="EB622" s="64"/>
      <c r="EC622" s="64"/>
      <c r="ED622" s="64"/>
      <c r="EE622" s="64"/>
      <c r="EF622" s="64"/>
      <c r="EG622" s="64"/>
      <c r="EH622" s="64"/>
      <c r="EI622" s="64"/>
      <c r="EJ622" s="64"/>
      <c r="EK622" s="64"/>
      <c r="EL622" s="64"/>
    </row>
    <row r="623" spans="131:142" x14ac:dyDescent="0.2">
      <c r="EA623" s="64"/>
      <c r="EB623" s="64"/>
      <c r="EC623" s="64"/>
      <c r="ED623" s="64"/>
      <c r="EE623" s="64"/>
      <c r="EF623" s="64"/>
      <c r="EG623" s="64"/>
      <c r="EH623" s="64"/>
      <c r="EI623" s="64"/>
      <c r="EJ623" s="64"/>
      <c r="EK623" s="64"/>
      <c r="EL623" s="64"/>
    </row>
    <row r="624" spans="131:142" x14ac:dyDescent="0.2">
      <c r="EA624" s="64"/>
      <c r="EB624" s="64"/>
      <c r="EC624" s="64"/>
      <c r="ED624" s="64"/>
      <c r="EE624" s="64"/>
      <c r="EF624" s="64"/>
      <c r="EG624" s="64"/>
      <c r="EH624" s="64"/>
      <c r="EI624" s="64"/>
      <c r="EJ624" s="64"/>
      <c r="EK624" s="64"/>
      <c r="EL624" s="64"/>
    </row>
    <row r="625" spans="131:142" x14ac:dyDescent="0.2">
      <c r="EA625" s="64"/>
      <c r="EB625" s="64"/>
      <c r="EC625" s="64"/>
      <c r="ED625" s="64"/>
      <c r="EE625" s="64"/>
      <c r="EF625" s="64"/>
      <c r="EG625" s="64"/>
      <c r="EH625" s="64"/>
      <c r="EI625" s="64"/>
      <c r="EJ625" s="64"/>
      <c r="EK625" s="64"/>
      <c r="EL625" s="64"/>
    </row>
    <row r="626" spans="131:142" x14ac:dyDescent="0.2">
      <c r="EA626" s="64"/>
      <c r="EB626" s="64"/>
      <c r="EC626" s="64"/>
      <c r="ED626" s="64"/>
      <c r="EE626" s="64"/>
      <c r="EF626" s="64"/>
      <c r="EG626" s="64"/>
      <c r="EH626" s="64"/>
      <c r="EI626" s="64"/>
      <c r="EJ626" s="64"/>
      <c r="EK626" s="64"/>
      <c r="EL626" s="64"/>
    </row>
    <row r="627" spans="131:142" x14ac:dyDescent="0.2">
      <c r="EA627" s="64"/>
      <c r="EB627" s="64"/>
      <c r="EC627" s="64"/>
      <c r="ED627" s="64"/>
      <c r="EE627" s="64"/>
      <c r="EF627" s="64"/>
      <c r="EG627" s="64"/>
      <c r="EH627" s="64"/>
      <c r="EI627" s="64"/>
      <c r="EJ627" s="64"/>
      <c r="EK627" s="64"/>
      <c r="EL627" s="64"/>
    </row>
    <row r="628" spans="131:142" x14ac:dyDescent="0.2">
      <c r="EA628" s="64"/>
      <c r="EB628" s="64"/>
      <c r="EC628" s="64"/>
      <c r="ED628" s="64"/>
      <c r="EE628" s="64"/>
      <c r="EF628" s="64"/>
      <c r="EG628" s="64"/>
      <c r="EH628" s="64"/>
      <c r="EI628" s="64"/>
      <c r="EJ628" s="64"/>
      <c r="EK628" s="64"/>
      <c r="EL628" s="64"/>
    </row>
    <row r="629" spans="131:142" x14ac:dyDescent="0.2">
      <c r="EA629" s="64"/>
      <c r="EB629" s="64"/>
      <c r="EC629" s="64"/>
      <c r="ED629" s="64"/>
      <c r="EE629" s="64"/>
      <c r="EF629" s="64"/>
      <c r="EG629" s="64"/>
      <c r="EH629" s="64"/>
      <c r="EI629" s="64"/>
      <c r="EJ629" s="64"/>
      <c r="EK629" s="64"/>
      <c r="EL629" s="64"/>
    </row>
    <row r="630" spans="131:142" x14ac:dyDescent="0.2">
      <c r="EA630" s="64"/>
      <c r="EB630" s="64"/>
      <c r="EC630" s="64"/>
      <c r="ED630" s="64"/>
      <c r="EE630" s="64"/>
      <c r="EF630" s="64"/>
      <c r="EG630" s="64"/>
      <c r="EH630" s="64"/>
      <c r="EI630" s="64"/>
      <c r="EJ630" s="64"/>
      <c r="EK630" s="64"/>
      <c r="EL630" s="64"/>
    </row>
    <row r="631" spans="131:142" x14ac:dyDescent="0.2">
      <c r="EA631" s="64"/>
      <c r="EB631" s="64"/>
      <c r="EC631" s="64"/>
      <c r="ED631" s="64"/>
      <c r="EE631" s="64"/>
      <c r="EF631" s="64"/>
      <c r="EG631" s="64"/>
      <c r="EH631" s="64"/>
      <c r="EI631" s="64"/>
      <c r="EJ631" s="64"/>
      <c r="EK631" s="64"/>
      <c r="EL631" s="64"/>
    </row>
    <row r="632" spans="131:142" x14ac:dyDescent="0.2">
      <c r="EA632" s="64"/>
      <c r="EB632" s="64"/>
      <c r="EC632" s="64"/>
      <c r="ED632" s="64"/>
      <c r="EE632" s="64"/>
      <c r="EF632" s="64"/>
      <c r="EG632" s="64"/>
      <c r="EH632" s="64"/>
      <c r="EI632" s="64"/>
      <c r="EJ632" s="64"/>
      <c r="EK632" s="64"/>
      <c r="EL632" s="64"/>
    </row>
    <row r="633" spans="131:142" x14ac:dyDescent="0.2">
      <c r="EA633" s="64"/>
      <c r="EB633" s="64"/>
      <c r="EC633" s="64"/>
      <c r="ED633" s="64"/>
      <c r="EE633" s="64"/>
      <c r="EF633" s="64"/>
      <c r="EG633" s="64"/>
      <c r="EH633" s="64"/>
      <c r="EI633" s="64"/>
      <c r="EJ633" s="64"/>
      <c r="EK633" s="64"/>
      <c r="EL633" s="64"/>
    </row>
    <row r="634" spans="131:142" x14ac:dyDescent="0.2">
      <c r="EA634" s="64"/>
      <c r="EB634" s="64"/>
      <c r="EC634" s="64"/>
      <c r="ED634" s="64"/>
      <c r="EE634" s="64"/>
      <c r="EF634" s="64"/>
      <c r="EG634" s="64"/>
      <c r="EH634" s="64"/>
      <c r="EI634" s="64"/>
      <c r="EJ634" s="64"/>
      <c r="EK634" s="64"/>
      <c r="EL634" s="64"/>
    </row>
    <row r="635" spans="131:142" x14ac:dyDescent="0.2">
      <c r="EA635" s="64"/>
      <c r="EB635" s="64"/>
      <c r="EC635" s="64"/>
      <c r="ED635" s="64"/>
      <c r="EE635" s="64"/>
      <c r="EF635" s="64"/>
      <c r="EG635" s="64"/>
      <c r="EH635" s="64"/>
      <c r="EI635" s="64"/>
      <c r="EJ635" s="64"/>
      <c r="EK635" s="64"/>
      <c r="EL635" s="64"/>
    </row>
    <row r="636" spans="131:142" x14ac:dyDescent="0.2">
      <c r="EA636" s="64"/>
      <c r="EB636" s="64"/>
      <c r="EC636" s="64"/>
      <c r="ED636" s="64"/>
      <c r="EE636" s="64"/>
      <c r="EF636" s="64"/>
      <c r="EG636" s="64"/>
      <c r="EH636" s="64"/>
      <c r="EI636" s="64"/>
      <c r="EJ636" s="64"/>
      <c r="EK636" s="64"/>
      <c r="EL636" s="64"/>
    </row>
    <row r="637" spans="131:142" x14ac:dyDescent="0.2">
      <c r="EA637" s="64"/>
      <c r="EB637" s="64"/>
      <c r="EC637" s="64"/>
      <c r="ED637" s="64"/>
      <c r="EE637" s="64"/>
      <c r="EF637" s="64"/>
      <c r="EG637" s="64"/>
      <c r="EH637" s="64"/>
      <c r="EI637" s="64"/>
      <c r="EJ637" s="64"/>
      <c r="EK637" s="64"/>
      <c r="EL637" s="64"/>
    </row>
    <row r="638" spans="131:142" x14ac:dyDescent="0.2">
      <c r="EA638" s="64"/>
      <c r="EB638" s="64"/>
      <c r="EC638" s="64"/>
      <c r="ED638" s="64"/>
      <c r="EE638" s="64"/>
      <c r="EF638" s="64"/>
      <c r="EG638" s="64"/>
      <c r="EH638" s="64"/>
      <c r="EI638" s="64"/>
      <c r="EJ638" s="64"/>
      <c r="EK638" s="64"/>
      <c r="EL638" s="64"/>
    </row>
    <row r="639" spans="131:142" x14ac:dyDescent="0.2">
      <c r="EA639" s="64"/>
      <c r="EB639" s="64"/>
      <c r="EC639" s="64"/>
      <c r="ED639" s="64"/>
      <c r="EE639" s="64"/>
      <c r="EF639" s="64"/>
      <c r="EG639" s="64"/>
      <c r="EH639" s="64"/>
      <c r="EI639" s="64"/>
      <c r="EJ639" s="64"/>
      <c r="EK639" s="64"/>
      <c r="EL639" s="64"/>
    </row>
    <row r="640" spans="131:142" x14ac:dyDescent="0.2">
      <c r="EA640" s="64"/>
      <c r="EB640" s="64"/>
      <c r="EC640" s="64"/>
      <c r="ED640" s="64"/>
      <c r="EE640" s="64"/>
      <c r="EF640" s="64"/>
      <c r="EG640" s="64"/>
      <c r="EH640" s="64"/>
      <c r="EI640" s="64"/>
      <c r="EJ640" s="64"/>
      <c r="EK640" s="64"/>
      <c r="EL640" s="64"/>
    </row>
    <row r="641" spans="131:142" x14ac:dyDescent="0.2">
      <c r="EA641" s="64"/>
      <c r="EB641" s="64"/>
      <c r="EC641" s="64"/>
      <c r="ED641" s="64"/>
      <c r="EE641" s="64"/>
      <c r="EF641" s="64"/>
      <c r="EG641" s="64"/>
      <c r="EH641" s="64"/>
      <c r="EI641" s="64"/>
      <c r="EJ641" s="64"/>
      <c r="EK641" s="64"/>
      <c r="EL641" s="64"/>
    </row>
    <row r="642" spans="131:142" x14ac:dyDescent="0.2">
      <c r="EA642" s="64"/>
      <c r="EB642" s="64"/>
      <c r="EC642" s="64"/>
      <c r="ED642" s="64"/>
      <c r="EE642" s="64"/>
      <c r="EF642" s="64"/>
      <c r="EG642" s="64"/>
      <c r="EH642" s="64"/>
      <c r="EI642" s="64"/>
      <c r="EJ642" s="64"/>
      <c r="EK642" s="64"/>
      <c r="EL642" s="64"/>
    </row>
    <row r="643" spans="131:142" x14ac:dyDescent="0.2">
      <c r="EA643" s="64"/>
      <c r="EB643" s="64"/>
      <c r="EC643" s="64"/>
      <c r="ED643" s="64"/>
      <c r="EE643" s="64"/>
      <c r="EF643" s="64"/>
      <c r="EG643" s="64"/>
      <c r="EH643" s="64"/>
      <c r="EI643" s="64"/>
      <c r="EJ643" s="64"/>
      <c r="EK643" s="64"/>
      <c r="EL643" s="64"/>
    </row>
    <row r="644" spans="131:142" x14ac:dyDescent="0.2">
      <c r="EA644" s="64"/>
      <c r="EB644" s="64"/>
      <c r="EC644" s="64"/>
      <c r="ED644" s="64"/>
      <c r="EE644" s="64"/>
      <c r="EF644" s="64"/>
      <c r="EG644" s="64"/>
      <c r="EH644" s="64"/>
      <c r="EI644" s="64"/>
      <c r="EJ644" s="64"/>
      <c r="EK644" s="64"/>
      <c r="EL644" s="64"/>
    </row>
    <row r="645" spans="131:142" x14ac:dyDescent="0.2">
      <c r="EA645" s="64"/>
      <c r="EB645" s="64"/>
      <c r="EC645" s="64"/>
      <c r="ED645" s="64"/>
      <c r="EE645" s="64"/>
      <c r="EF645" s="64"/>
      <c r="EG645" s="64"/>
      <c r="EH645" s="64"/>
      <c r="EI645" s="64"/>
      <c r="EJ645" s="64"/>
      <c r="EK645" s="64"/>
      <c r="EL645" s="64"/>
    </row>
    <row r="646" spans="131:142" x14ac:dyDescent="0.2">
      <c r="EA646" s="64"/>
      <c r="EB646" s="64"/>
      <c r="EC646" s="64"/>
      <c r="ED646" s="64"/>
      <c r="EE646" s="64"/>
      <c r="EF646" s="64"/>
      <c r="EG646" s="64"/>
      <c r="EH646" s="64"/>
      <c r="EI646" s="64"/>
      <c r="EJ646" s="64"/>
      <c r="EK646" s="64"/>
      <c r="EL646" s="64"/>
    </row>
    <row r="647" spans="131:142" x14ac:dyDescent="0.2">
      <c r="EA647" s="64"/>
      <c r="EB647" s="64"/>
      <c r="EC647" s="64"/>
      <c r="ED647" s="64"/>
      <c r="EE647" s="64"/>
      <c r="EF647" s="64"/>
      <c r="EG647" s="64"/>
      <c r="EH647" s="64"/>
      <c r="EI647" s="64"/>
      <c r="EJ647" s="64"/>
      <c r="EK647" s="64"/>
      <c r="EL647" s="64"/>
    </row>
    <row r="648" spans="131:142" x14ac:dyDescent="0.2">
      <c r="EA648" s="64"/>
      <c r="EB648" s="64"/>
      <c r="EC648" s="64"/>
      <c r="ED648" s="64"/>
      <c r="EE648" s="64"/>
      <c r="EF648" s="64"/>
      <c r="EG648" s="64"/>
      <c r="EH648" s="64"/>
      <c r="EI648" s="64"/>
      <c r="EJ648" s="64"/>
      <c r="EK648" s="64"/>
      <c r="EL648" s="64"/>
    </row>
    <row r="649" spans="131:142" x14ac:dyDescent="0.2">
      <c r="EA649" s="64"/>
      <c r="EB649" s="64"/>
      <c r="EC649" s="64"/>
      <c r="ED649" s="64"/>
      <c r="EE649" s="64"/>
      <c r="EF649" s="64"/>
      <c r="EG649" s="64"/>
      <c r="EH649" s="64"/>
      <c r="EI649" s="64"/>
      <c r="EJ649" s="64"/>
      <c r="EK649" s="64"/>
      <c r="EL649" s="64"/>
    </row>
    <row r="650" spans="131:142" x14ac:dyDescent="0.2">
      <c r="EA650" s="64"/>
      <c r="EB650" s="64"/>
      <c r="EC650" s="64"/>
      <c r="ED650" s="64"/>
      <c r="EE650" s="64"/>
      <c r="EF650" s="64"/>
      <c r="EG650" s="64"/>
      <c r="EH650" s="64"/>
      <c r="EI650" s="64"/>
      <c r="EJ650" s="64"/>
      <c r="EK650" s="64"/>
      <c r="EL650" s="64"/>
    </row>
    <row r="651" spans="131:142" x14ac:dyDescent="0.2">
      <c r="EA651" s="64"/>
      <c r="EB651" s="64"/>
      <c r="EC651" s="64"/>
      <c r="ED651" s="64"/>
      <c r="EE651" s="64"/>
      <c r="EF651" s="64"/>
      <c r="EG651" s="64"/>
      <c r="EH651" s="64"/>
      <c r="EI651" s="64"/>
      <c r="EJ651" s="64"/>
      <c r="EK651" s="64"/>
      <c r="EL651" s="64"/>
    </row>
    <row r="652" spans="131:142" x14ac:dyDescent="0.2">
      <c r="EA652" s="64"/>
      <c r="EB652" s="64"/>
      <c r="EC652" s="64"/>
      <c r="ED652" s="64"/>
      <c r="EE652" s="64"/>
      <c r="EF652" s="64"/>
      <c r="EG652" s="64"/>
      <c r="EH652" s="64"/>
      <c r="EI652" s="64"/>
      <c r="EJ652" s="64"/>
      <c r="EK652" s="64"/>
      <c r="EL652" s="64"/>
    </row>
    <row r="653" spans="131:142" x14ac:dyDescent="0.2">
      <c r="EA653" s="64"/>
      <c r="EB653" s="64"/>
      <c r="EC653" s="64"/>
      <c r="ED653" s="64"/>
      <c r="EE653" s="64"/>
      <c r="EF653" s="64"/>
      <c r="EG653" s="64"/>
      <c r="EH653" s="64"/>
      <c r="EI653" s="64"/>
      <c r="EJ653" s="64"/>
      <c r="EK653" s="64"/>
      <c r="EL653" s="64"/>
    </row>
    <row r="654" spans="131:142" x14ac:dyDescent="0.2">
      <c r="EA654" s="64"/>
      <c r="EB654" s="64"/>
      <c r="EC654" s="64"/>
      <c r="ED654" s="64"/>
      <c r="EE654" s="64"/>
      <c r="EF654" s="64"/>
      <c r="EG654" s="64"/>
      <c r="EH654" s="64"/>
      <c r="EI654" s="64"/>
      <c r="EJ654" s="64"/>
      <c r="EK654" s="64"/>
      <c r="EL654" s="64"/>
    </row>
    <row r="655" spans="131:142" x14ac:dyDescent="0.2">
      <c r="EA655" s="64"/>
      <c r="EB655" s="64"/>
      <c r="EC655" s="64"/>
      <c r="ED655" s="64"/>
      <c r="EE655" s="64"/>
      <c r="EF655" s="64"/>
      <c r="EG655" s="64"/>
      <c r="EH655" s="64"/>
      <c r="EI655" s="64"/>
      <c r="EJ655" s="64"/>
      <c r="EK655" s="64"/>
      <c r="EL655" s="64"/>
    </row>
    <row r="656" spans="131:142" x14ac:dyDescent="0.2">
      <c r="EA656" s="64"/>
      <c r="EB656" s="64"/>
      <c r="EC656" s="64"/>
      <c r="ED656" s="64"/>
      <c r="EE656" s="64"/>
      <c r="EF656" s="64"/>
      <c r="EG656" s="64"/>
      <c r="EH656" s="64"/>
      <c r="EI656" s="64"/>
      <c r="EJ656" s="64"/>
      <c r="EK656" s="64"/>
      <c r="EL656" s="64"/>
    </row>
    <row r="657" spans="131:142" x14ac:dyDescent="0.2">
      <c r="EA657" s="64"/>
      <c r="EB657" s="64"/>
      <c r="EC657" s="64"/>
      <c r="ED657" s="64"/>
      <c r="EE657" s="64"/>
      <c r="EF657" s="64"/>
      <c r="EG657" s="64"/>
      <c r="EH657" s="64"/>
      <c r="EI657" s="64"/>
      <c r="EJ657" s="64"/>
      <c r="EK657" s="64"/>
      <c r="EL657" s="64"/>
    </row>
    <row r="658" spans="131:142" x14ac:dyDescent="0.2">
      <c r="EA658" s="64"/>
      <c r="EB658" s="64"/>
      <c r="EC658" s="64"/>
      <c r="ED658" s="64"/>
      <c r="EE658" s="64"/>
      <c r="EF658" s="64"/>
      <c r="EG658" s="64"/>
      <c r="EH658" s="64"/>
      <c r="EI658" s="64"/>
      <c r="EJ658" s="64"/>
      <c r="EK658" s="64"/>
      <c r="EL658" s="64"/>
    </row>
    <row r="659" spans="131:142" x14ac:dyDescent="0.2">
      <c r="EA659" s="64"/>
      <c r="EB659" s="64"/>
      <c r="EC659" s="64"/>
      <c r="ED659" s="64"/>
      <c r="EE659" s="64"/>
      <c r="EF659" s="64"/>
      <c r="EG659" s="64"/>
      <c r="EH659" s="64"/>
      <c r="EI659" s="64"/>
      <c r="EJ659" s="64"/>
      <c r="EK659" s="64"/>
      <c r="EL659" s="64"/>
    </row>
    <row r="660" spans="131:142" x14ac:dyDescent="0.2">
      <c r="EA660" s="64"/>
      <c r="EB660" s="64"/>
      <c r="EC660" s="64"/>
      <c r="ED660" s="64"/>
      <c r="EE660" s="64"/>
      <c r="EF660" s="64"/>
      <c r="EG660" s="64"/>
      <c r="EH660" s="64"/>
      <c r="EI660" s="64"/>
      <c r="EJ660" s="64"/>
      <c r="EK660" s="64"/>
      <c r="EL660" s="64"/>
    </row>
    <row r="661" spans="131:142" x14ac:dyDescent="0.2">
      <c r="EA661" s="64"/>
      <c r="EB661" s="64"/>
      <c r="EC661" s="64"/>
      <c r="ED661" s="64"/>
      <c r="EE661" s="64"/>
      <c r="EF661" s="64"/>
      <c r="EG661" s="64"/>
      <c r="EH661" s="64"/>
      <c r="EI661" s="64"/>
      <c r="EJ661" s="64"/>
      <c r="EK661" s="64"/>
      <c r="EL661" s="64"/>
    </row>
    <row r="662" spans="131:142" x14ac:dyDescent="0.2">
      <c r="EA662" s="64"/>
      <c r="EB662" s="64"/>
      <c r="EC662" s="64"/>
      <c r="ED662" s="64"/>
      <c r="EE662" s="64"/>
      <c r="EF662" s="64"/>
      <c r="EG662" s="64"/>
      <c r="EH662" s="64"/>
      <c r="EI662" s="64"/>
      <c r="EJ662" s="64"/>
      <c r="EK662" s="64"/>
      <c r="EL662" s="64"/>
    </row>
    <row r="663" spans="131:142" x14ac:dyDescent="0.2">
      <c r="EA663" s="64"/>
      <c r="EB663" s="64"/>
      <c r="EC663" s="64"/>
      <c r="ED663" s="64"/>
      <c r="EE663" s="64"/>
      <c r="EF663" s="64"/>
      <c r="EG663" s="64"/>
      <c r="EH663" s="64"/>
      <c r="EI663" s="64"/>
      <c r="EJ663" s="64"/>
      <c r="EK663" s="64"/>
      <c r="EL663" s="64"/>
    </row>
    <row r="664" spans="131:142" x14ac:dyDescent="0.2">
      <c r="EA664" s="64"/>
      <c r="EB664" s="64"/>
      <c r="EC664" s="64"/>
      <c r="ED664" s="64"/>
      <c r="EE664" s="64"/>
      <c r="EF664" s="64"/>
      <c r="EG664" s="64"/>
      <c r="EH664" s="64"/>
      <c r="EI664" s="64"/>
      <c r="EJ664" s="64"/>
      <c r="EK664" s="64"/>
      <c r="EL664" s="64"/>
    </row>
    <row r="665" spans="131:142" x14ac:dyDescent="0.2">
      <c r="EA665" s="64"/>
      <c r="EB665" s="64"/>
      <c r="EC665" s="64"/>
      <c r="ED665" s="64"/>
      <c r="EE665" s="64"/>
      <c r="EF665" s="64"/>
      <c r="EG665" s="64"/>
      <c r="EH665" s="64"/>
      <c r="EI665" s="64"/>
      <c r="EJ665" s="64"/>
      <c r="EK665" s="64"/>
      <c r="EL665" s="64"/>
    </row>
    <row r="666" spans="131:142" x14ac:dyDescent="0.2">
      <c r="EA666" s="64"/>
      <c r="EB666" s="64"/>
      <c r="EC666" s="64"/>
      <c r="ED666" s="64"/>
      <c r="EE666" s="64"/>
      <c r="EF666" s="64"/>
      <c r="EG666" s="64"/>
      <c r="EH666" s="64"/>
      <c r="EI666" s="64"/>
      <c r="EJ666" s="64"/>
      <c r="EK666" s="64"/>
      <c r="EL666" s="64"/>
    </row>
    <row r="667" spans="131:142" x14ac:dyDescent="0.2">
      <c r="EA667" s="64"/>
      <c r="EB667" s="64"/>
      <c r="EC667" s="64"/>
      <c r="ED667" s="64"/>
      <c r="EE667" s="64"/>
      <c r="EF667" s="64"/>
      <c r="EG667" s="64"/>
      <c r="EH667" s="64"/>
      <c r="EI667" s="64"/>
      <c r="EJ667" s="64"/>
      <c r="EK667" s="64"/>
      <c r="EL667" s="64"/>
    </row>
    <row r="668" spans="131:142" x14ac:dyDescent="0.2">
      <c r="EA668" s="64"/>
      <c r="EB668" s="64"/>
      <c r="EC668" s="64"/>
      <c r="ED668" s="64"/>
      <c r="EE668" s="64"/>
      <c r="EF668" s="64"/>
      <c r="EG668" s="64"/>
      <c r="EH668" s="64"/>
      <c r="EI668" s="64"/>
      <c r="EJ668" s="64"/>
      <c r="EK668" s="64"/>
      <c r="EL668" s="64"/>
    </row>
    <row r="669" spans="131:142" x14ac:dyDescent="0.2">
      <c r="EA669" s="64"/>
      <c r="EB669" s="64"/>
      <c r="EC669" s="64"/>
      <c r="ED669" s="64"/>
      <c r="EE669" s="64"/>
      <c r="EF669" s="64"/>
      <c r="EG669" s="64"/>
      <c r="EH669" s="64"/>
      <c r="EI669" s="64"/>
      <c r="EJ669" s="64"/>
      <c r="EK669" s="64"/>
      <c r="EL669" s="64"/>
    </row>
    <row r="670" spans="131:142" x14ac:dyDescent="0.2">
      <c r="EA670" s="64"/>
      <c r="EB670" s="64"/>
      <c r="EC670" s="64"/>
      <c r="ED670" s="64"/>
      <c r="EE670" s="64"/>
      <c r="EF670" s="64"/>
      <c r="EG670" s="64"/>
      <c r="EH670" s="64"/>
      <c r="EI670" s="64"/>
      <c r="EJ670" s="64"/>
      <c r="EK670" s="64"/>
      <c r="EL670" s="64"/>
    </row>
    <row r="671" spans="131:142" x14ac:dyDescent="0.2">
      <c r="EA671" s="64"/>
      <c r="EB671" s="64"/>
      <c r="EC671" s="64"/>
      <c r="ED671" s="64"/>
      <c r="EE671" s="64"/>
      <c r="EF671" s="64"/>
      <c r="EG671" s="64"/>
      <c r="EH671" s="64"/>
      <c r="EI671" s="64"/>
      <c r="EJ671" s="64"/>
      <c r="EK671" s="64"/>
      <c r="EL671" s="64"/>
    </row>
    <row r="672" spans="131:142" x14ac:dyDescent="0.2">
      <c r="EA672" s="64"/>
      <c r="EB672" s="64"/>
      <c r="EC672" s="64"/>
      <c r="ED672" s="64"/>
      <c r="EE672" s="64"/>
      <c r="EF672" s="64"/>
      <c r="EG672" s="64"/>
      <c r="EH672" s="64"/>
      <c r="EI672" s="64"/>
      <c r="EJ672" s="64"/>
      <c r="EK672" s="64"/>
      <c r="EL672" s="64"/>
    </row>
    <row r="673" spans="131:142" x14ac:dyDescent="0.2">
      <c r="EA673" s="64"/>
      <c r="EB673" s="64"/>
      <c r="EC673" s="64"/>
      <c r="ED673" s="64"/>
      <c r="EE673" s="64"/>
      <c r="EF673" s="64"/>
      <c r="EG673" s="64"/>
      <c r="EH673" s="64"/>
      <c r="EI673" s="64"/>
      <c r="EJ673" s="64"/>
      <c r="EK673" s="64"/>
      <c r="EL673" s="64"/>
    </row>
    <row r="674" spans="131:142" x14ac:dyDescent="0.2">
      <c r="EA674" s="64"/>
      <c r="EB674" s="64"/>
      <c r="EC674" s="64"/>
      <c r="ED674" s="64"/>
      <c r="EE674" s="64"/>
      <c r="EF674" s="64"/>
      <c r="EG674" s="64"/>
      <c r="EH674" s="64"/>
      <c r="EI674" s="64"/>
      <c r="EJ674" s="64"/>
      <c r="EK674" s="64"/>
      <c r="EL674" s="64"/>
    </row>
    <row r="675" spans="131:142" x14ac:dyDescent="0.2">
      <c r="EA675" s="64"/>
      <c r="EB675" s="64"/>
      <c r="EC675" s="64"/>
      <c r="ED675" s="64"/>
      <c r="EE675" s="64"/>
      <c r="EF675" s="64"/>
      <c r="EG675" s="64"/>
      <c r="EH675" s="64"/>
      <c r="EI675" s="64"/>
      <c r="EJ675" s="64"/>
      <c r="EK675" s="64"/>
      <c r="EL675" s="64"/>
    </row>
    <row r="676" spans="131:142" x14ac:dyDescent="0.2">
      <c r="EA676" s="64"/>
      <c r="EB676" s="64"/>
      <c r="EC676" s="64"/>
      <c r="ED676" s="64"/>
      <c r="EE676" s="64"/>
      <c r="EF676" s="64"/>
      <c r="EG676" s="64"/>
      <c r="EH676" s="64"/>
      <c r="EI676" s="64"/>
      <c r="EJ676" s="64"/>
      <c r="EK676" s="64"/>
      <c r="EL676" s="64"/>
    </row>
    <row r="677" spans="131:142" x14ac:dyDescent="0.2">
      <c r="EA677" s="64"/>
      <c r="EB677" s="64"/>
      <c r="EC677" s="64"/>
      <c r="ED677" s="64"/>
      <c r="EE677" s="64"/>
      <c r="EF677" s="64"/>
      <c r="EG677" s="64"/>
      <c r="EH677" s="64"/>
      <c r="EI677" s="64"/>
      <c r="EJ677" s="64"/>
      <c r="EK677" s="64"/>
      <c r="EL677" s="64"/>
    </row>
    <row r="678" spans="131:142" x14ac:dyDescent="0.2">
      <c r="EA678" s="64"/>
      <c r="EB678" s="64"/>
      <c r="EC678" s="64"/>
      <c r="ED678" s="64"/>
      <c r="EE678" s="64"/>
      <c r="EF678" s="64"/>
      <c r="EG678" s="64"/>
      <c r="EH678" s="64"/>
      <c r="EI678" s="64"/>
      <c r="EJ678" s="64"/>
      <c r="EK678" s="64"/>
      <c r="EL678" s="64"/>
    </row>
    <row r="679" spans="131:142" x14ac:dyDescent="0.2">
      <c r="EA679" s="64"/>
      <c r="EB679" s="64"/>
      <c r="EC679" s="64"/>
      <c r="ED679" s="64"/>
      <c r="EE679" s="64"/>
      <c r="EF679" s="64"/>
      <c r="EG679" s="64"/>
      <c r="EH679" s="64"/>
      <c r="EI679" s="64"/>
      <c r="EJ679" s="64"/>
      <c r="EK679" s="64"/>
      <c r="EL679" s="64"/>
    </row>
    <row r="680" spans="131:142" x14ac:dyDescent="0.2">
      <c r="EA680" s="64"/>
      <c r="EB680" s="64"/>
      <c r="EC680" s="64"/>
      <c r="ED680" s="64"/>
      <c r="EE680" s="64"/>
      <c r="EF680" s="64"/>
      <c r="EG680" s="64"/>
      <c r="EH680" s="64"/>
      <c r="EI680" s="64"/>
      <c r="EJ680" s="64"/>
      <c r="EK680" s="64"/>
      <c r="EL680" s="64"/>
    </row>
    <row r="681" spans="131:142" x14ac:dyDescent="0.2">
      <c r="EA681" s="64"/>
      <c r="EB681" s="64"/>
      <c r="EC681" s="64"/>
      <c r="ED681" s="64"/>
      <c r="EE681" s="64"/>
      <c r="EF681" s="64"/>
      <c r="EG681" s="64"/>
      <c r="EH681" s="64"/>
      <c r="EI681" s="64"/>
      <c r="EJ681" s="64"/>
      <c r="EK681" s="64"/>
      <c r="EL681" s="64"/>
    </row>
    <row r="682" spans="131:142" x14ac:dyDescent="0.2">
      <c r="EA682" s="64"/>
      <c r="EB682" s="64"/>
      <c r="EC682" s="64"/>
      <c r="ED682" s="64"/>
      <c r="EE682" s="64"/>
      <c r="EF682" s="64"/>
      <c r="EG682" s="64"/>
      <c r="EH682" s="64"/>
      <c r="EI682" s="64"/>
      <c r="EJ682" s="64"/>
      <c r="EK682" s="64"/>
      <c r="EL682" s="64"/>
    </row>
    <row r="683" spans="131:142" x14ac:dyDescent="0.2">
      <c r="EA683" s="64"/>
      <c r="EB683" s="64"/>
      <c r="EC683" s="64"/>
      <c r="ED683" s="64"/>
      <c r="EE683" s="64"/>
      <c r="EF683" s="64"/>
      <c r="EG683" s="64"/>
      <c r="EH683" s="64"/>
      <c r="EI683" s="64"/>
      <c r="EJ683" s="64"/>
      <c r="EK683" s="64"/>
      <c r="EL683" s="64"/>
    </row>
    <row r="684" spans="131:142" x14ac:dyDescent="0.2">
      <c r="EA684" s="64"/>
      <c r="EB684" s="64"/>
      <c r="EC684" s="64"/>
      <c r="ED684" s="64"/>
      <c r="EE684" s="64"/>
      <c r="EF684" s="64"/>
      <c r="EG684" s="64"/>
      <c r="EH684" s="64"/>
      <c r="EI684" s="64"/>
      <c r="EJ684" s="64"/>
      <c r="EK684" s="64"/>
      <c r="EL684" s="64"/>
    </row>
    <row r="685" spans="131:142" x14ac:dyDescent="0.2">
      <c r="EA685" s="64"/>
      <c r="EB685" s="64"/>
      <c r="EC685" s="64"/>
      <c r="ED685" s="64"/>
      <c r="EE685" s="64"/>
      <c r="EF685" s="64"/>
      <c r="EG685" s="64"/>
      <c r="EH685" s="64"/>
      <c r="EI685" s="64"/>
      <c r="EJ685" s="64"/>
      <c r="EK685" s="64"/>
      <c r="EL685" s="64"/>
    </row>
    <row r="686" spans="131:142" x14ac:dyDescent="0.2">
      <c r="EA686" s="64"/>
      <c r="EB686" s="64"/>
      <c r="EC686" s="64"/>
      <c r="ED686" s="64"/>
      <c r="EE686" s="64"/>
      <c r="EF686" s="64"/>
      <c r="EG686" s="64"/>
      <c r="EH686" s="64"/>
      <c r="EI686" s="64"/>
      <c r="EJ686" s="64"/>
      <c r="EK686" s="64"/>
      <c r="EL686" s="64"/>
    </row>
    <row r="687" spans="131:142" x14ac:dyDescent="0.2">
      <c r="EA687" s="64"/>
      <c r="EB687" s="64"/>
      <c r="EC687" s="64"/>
      <c r="ED687" s="64"/>
      <c r="EE687" s="64"/>
      <c r="EF687" s="64"/>
      <c r="EG687" s="64"/>
      <c r="EH687" s="64"/>
      <c r="EI687" s="64"/>
      <c r="EJ687" s="64"/>
      <c r="EK687" s="64"/>
      <c r="EL687" s="64"/>
    </row>
    <row r="688" spans="131:142" x14ac:dyDescent="0.2">
      <c r="EA688" s="64"/>
      <c r="EB688" s="64"/>
      <c r="EC688" s="64"/>
      <c r="ED688" s="64"/>
      <c r="EE688" s="64"/>
      <c r="EF688" s="64"/>
      <c r="EG688" s="64"/>
      <c r="EH688" s="64"/>
      <c r="EI688" s="64"/>
      <c r="EJ688" s="64"/>
      <c r="EK688" s="64"/>
      <c r="EL688" s="64"/>
    </row>
    <row r="689" spans="131:142" x14ac:dyDescent="0.2">
      <c r="EA689" s="64"/>
      <c r="EB689" s="64"/>
      <c r="EC689" s="64"/>
      <c r="ED689" s="64"/>
      <c r="EE689" s="64"/>
      <c r="EF689" s="64"/>
      <c r="EG689" s="64"/>
      <c r="EH689" s="64"/>
      <c r="EI689" s="64"/>
      <c r="EJ689" s="64"/>
      <c r="EK689" s="64"/>
      <c r="EL689" s="64"/>
    </row>
    <row r="690" spans="131:142" x14ac:dyDescent="0.2">
      <c r="EA690" s="64"/>
      <c r="EB690" s="64"/>
      <c r="EC690" s="64"/>
      <c r="ED690" s="64"/>
      <c r="EE690" s="64"/>
      <c r="EF690" s="64"/>
      <c r="EG690" s="64"/>
      <c r="EH690" s="64"/>
      <c r="EI690" s="64"/>
      <c r="EJ690" s="64"/>
      <c r="EK690" s="64"/>
      <c r="EL690" s="64"/>
    </row>
    <row r="691" spans="131:142" x14ac:dyDescent="0.2">
      <c r="EA691" s="64"/>
      <c r="EB691" s="64"/>
      <c r="EC691" s="64"/>
      <c r="ED691" s="64"/>
      <c r="EE691" s="64"/>
      <c r="EF691" s="64"/>
      <c r="EG691" s="64"/>
      <c r="EH691" s="64"/>
      <c r="EI691" s="64"/>
      <c r="EJ691" s="64"/>
      <c r="EK691" s="64"/>
      <c r="EL691" s="64"/>
    </row>
    <row r="692" spans="131:142" x14ac:dyDescent="0.2">
      <c r="EA692" s="64"/>
      <c r="EB692" s="64"/>
      <c r="EC692" s="64"/>
      <c r="ED692" s="64"/>
      <c r="EE692" s="64"/>
      <c r="EF692" s="64"/>
      <c r="EG692" s="64"/>
      <c r="EH692" s="64"/>
      <c r="EI692" s="64"/>
      <c r="EJ692" s="64"/>
      <c r="EK692" s="64"/>
      <c r="EL692" s="64"/>
    </row>
    <row r="693" spans="131:142" x14ac:dyDescent="0.2">
      <c r="EA693" s="64"/>
      <c r="EB693" s="64"/>
      <c r="EC693" s="64"/>
      <c r="ED693" s="64"/>
      <c r="EE693" s="64"/>
      <c r="EF693" s="64"/>
      <c r="EG693" s="64"/>
      <c r="EH693" s="64"/>
      <c r="EI693" s="64"/>
      <c r="EJ693" s="64"/>
      <c r="EK693" s="64"/>
      <c r="EL693" s="64"/>
    </row>
    <row r="694" spans="131:142" x14ac:dyDescent="0.2">
      <c r="EA694" s="64"/>
      <c r="EB694" s="64"/>
      <c r="EC694" s="64"/>
      <c r="ED694" s="64"/>
      <c r="EE694" s="64"/>
      <c r="EF694" s="64"/>
      <c r="EG694" s="64"/>
      <c r="EH694" s="64"/>
      <c r="EI694" s="64"/>
      <c r="EJ694" s="64"/>
      <c r="EK694" s="64"/>
      <c r="EL694" s="64"/>
    </row>
    <row r="695" spans="131:142" x14ac:dyDescent="0.2">
      <c r="EA695" s="64"/>
      <c r="EB695" s="64"/>
      <c r="EC695" s="64"/>
      <c r="ED695" s="64"/>
      <c r="EE695" s="64"/>
      <c r="EF695" s="64"/>
      <c r="EG695" s="64"/>
      <c r="EH695" s="64"/>
      <c r="EI695" s="64"/>
      <c r="EJ695" s="64"/>
      <c r="EK695" s="64"/>
      <c r="EL695" s="64"/>
    </row>
    <row r="696" spans="131:142" x14ac:dyDescent="0.2">
      <c r="EA696" s="64"/>
      <c r="EB696" s="64"/>
      <c r="EC696" s="64"/>
      <c r="ED696" s="64"/>
      <c r="EE696" s="64"/>
      <c r="EF696" s="64"/>
      <c r="EG696" s="64"/>
      <c r="EH696" s="64"/>
      <c r="EI696" s="64"/>
      <c r="EJ696" s="64"/>
      <c r="EK696" s="64"/>
      <c r="EL696" s="64"/>
    </row>
    <row r="697" spans="131:142" x14ac:dyDescent="0.2">
      <c r="EA697" s="64"/>
      <c r="EB697" s="64"/>
      <c r="EC697" s="64"/>
      <c r="ED697" s="64"/>
      <c r="EE697" s="64"/>
      <c r="EF697" s="64"/>
      <c r="EG697" s="64"/>
      <c r="EH697" s="64"/>
      <c r="EI697" s="64"/>
      <c r="EJ697" s="64"/>
      <c r="EK697" s="64"/>
      <c r="EL697" s="64"/>
    </row>
    <row r="698" spans="131:142" x14ac:dyDescent="0.2">
      <c r="EA698" s="64"/>
      <c r="EB698" s="64"/>
      <c r="EC698" s="64"/>
      <c r="ED698" s="64"/>
      <c r="EE698" s="64"/>
      <c r="EF698" s="64"/>
      <c r="EG698" s="64"/>
      <c r="EH698" s="64"/>
      <c r="EI698" s="64"/>
      <c r="EJ698" s="64"/>
      <c r="EK698" s="64"/>
      <c r="EL698" s="64"/>
    </row>
    <row r="699" spans="131:142" x14ac:dyDescent="0.2">
      <c r="EA699" s="64"/>
      <c r="EB699" s="64"/>
      <c r="EC699" s="64"/>
      <c r="ED699" s="64"/>
      <c r="EE699" s="64"/>
      <c r="EF699" s="64"/>
      <c r="EG699" s="64"/>
      <c r="EH699" s="64"/>
      <c r="EI699" s="64"/>
      <c r="EJ699" s="64"/>
      <c r="EK699" s="64"/>
      <c r="EL699" s="64"/>
    </row>
    <row r="700" spans="131:142" x14ac:dyDescent="0.2">
      <c r="EA700" s="64"/>
      <c r="EB700" s="64"/>
      <c r="EC700" s="64"/>
      <c r="ED700" s="64"/>
      <c r="EE700" s="64"/>
      <c r="EF700" s="64"/>
      <c r="EG700" s="64"/>
      <c r="EH700" s="64"/>
      <c r="EI700" s="64"/>
      <c r="EJ700" s="64"/>
      <c r="EK700" s="64"/>
      <c r="EL700" s="64"/>
    </row>
    <row r="701" spans="131:142" x14ac:dyDescent="0.2">
      <c r="EA701" s="64"/>
      <c r="EB701" s="64"/>
      <c r="EC701" s="64"/>
      <c r="ED701" s="64"/>
      <c r="EE701" s="64"/>
      <c r="EF701" s="64"/>
      <c r="EG701" s="64"/>
      <c r="EH701" s="64"/>
      <c r="EI701" s="64"/>
      <c r="EJ701" s="64"/>
      <c r="EK701" s="64"/>
      <c r="EL701" s="64"/>
    </row>
    <row r="702" spans="131:142" x14ac:dyDescent="0.2">
      <c r="EA702" s="64"/>
      <c r="EB702" s="64"/>
      <c r="EC702" s="64"/>
      <c r="ED702" s="64"/>
      <c r="EE702" s="64"/>
      <c r="EF702" s="64"/>
      <c r="EG702" s="64"/>
      <c r="EH702" s="64"/>
      <c r="EI702" s="64"/>
      <c r="EJ702" s="64"/>
      <c r="EK702" s="64"/>
      <c r="EL702" s="64"/>
    </row>
    <row r="703" spans="131:142" x14ac:dyDescent="0.2">
      <c r="EA703" s="64"/>
      <c r="EB703" s="64"/>
      <c r="EC703" s="64"/>
      <c r="ED703" s="64"/>
      <c r="EE703" s="64"/>
      <c r="EF703" s="64"/>
      <c r="EG703" s="64"/>
      <c r="EH703" s="64"/>
      <c r="EI703" s="64"/>
      <c r="EJ703" s="64"/>
      <c r="EK703" s="64"/>
      <c r="EL703" s="64"/>
    </row>
    <row r="704" spans="131:142" x14ac:dyDescent="0.2">
      <c r="EA704" s="64"/>
      <c r="EB704" s="64"/>
      <c r="EC704" s="64"/>
      <c r="ED704" s="64"/>
      <c r="EE704" s="64"/>
      <c r="EF704" s="64"/>
      <c r="EG704" s="64"/>
      <c r="EH704" s="64"/>
      <c r="EI704" s="64"/>
      <c r="EJ704" s="64"/>
      <c r="EK704" s="64"/>
      <c r="EL704" s="64"/>
    </row>
    <row r="705" spans="131:142" x14ac:dyDescent="0.2">
      <c r="EA705" s="64"/>
      <c r="EB705" s="64"/>
      <c r="EC705" s="64"/>
      <c r="ED705" s="64"/>
      <c r="EE705" s="64"/>
      <c r="EF705" s="64"/>
      <c r="EG705" s="64"/>
      <c r="EH705" s="64"/>
      <c r="EI705" s="64"/>
      <c r="EJ705" s="64"/>
      <c r="EK705" s="64"/>
      <c r="EL705" s="64"/>
    </row>
    <row r="706" spans="131:142" x14ac:dyDescent="0.2">
      <c r="EA706" s="64"/>
      <c r="EB706" s="64"/>
      <c r="EC706" s="64"/>
      <c r="ED706" s="64"/>
      <c r="EE706" s="64"/>
      <c r="EF706" s="64"/>
      <c r="EG706" s="64"/>
      <c r="EH706" s="64"/>
      <c r="EI706" s="64"/>
      <c r="EJ706" s="64"/>
      <c r="EK706" s="64"/>
      <c r="EL706" s="64"/>
    </row>
    <row r="707" spans="131:142" x14ac:dyDescent="0.2">
      <c r="EA707" s="64"/>
      <c r="EB707" s="64"/>
      <c r="EC707" s="64"/>
      <c r="ED707" s="64"/>
      <c r="EE707" s="64"/>
      <c r="EF707" s="64"/>
      <c r="EG707" s="64"/>
      <c r="EH707" s="64"/>
      <c r="EI707" s="64"/>
      <c r="EJ707" s="64"/>
      <c r="EK707" s="64"/>
      <c r="EL707" s="64"/>
    </row>
    <row r="708" spans="131:142" x14ac:dyDescent="0.2">
      <c r="EA708" s="64"/>
      <c r="EB708" s="64"/>
      <c r="EC708" s="64"/>
      <c r="ED708" s="64"/>
      <c r="EE708" s="64"/>
      <c r="EF708" s="64"/>
      <c r="EG708" s="64"/>
      <c r="EH708" s="64"/>
      <c r="EI708" s="64"/>
      <c r="EJ708" s="64"/>
      <c r="EK708" s="64"/>
      <c r="EL708" s="64"/>
    </row>
    <row r="709" spans="131:142" x14ac:dyDescent="0.2">
      <c r="EA709" s="64"/>
      <c r="EB709" s="64"/>
      <c r="EC709" s="64"/>
      <c r="ED709" s="64"/>
      <c r="EE709" s="64"/>
      <c r="EF709" s="64"/>
      <c r="EG709" s="64"/>
      <c r="EH709" s="64"/>
      <c r="EI709" s="64"/>
      <c r="EJ709" s="64"/>
      <c r="EK709" s="64"/>
      <c r="EL709" s="64"/>
    </row>
    <row r="710" spans="131:142" x14ac:dyDescent="0.2">
      <c r="EA710" s="64"/>
      <c r="EB710" s="64"/>
      <c r="EC710" s="64"/>
      <c r="ED710" s="64"/>
      <c r="EE710" s="64"/>
      <c r="EF710" s="64"/>
      <c r="EG710" s="64"/>
      <c r="EH710" s="64"/>
      <c r="EI710" s="64"/>
      <c r="EJ710" s="64"/>
      <c r="EK710" s="64"/>
      <c r="EL710" s="64"/>
    </row>
    <row r="711" spans="131:142" x14ac:dyDescent="0.2">
      <c r="EA711" s="64"/>
      <c r="EB711" s="64"/>
      <c r="EC711" s="64"/>
      <c r="ED711" s="64"/>
      <c r="EE711" s="64"/>
      <c r="EF711" s="64"/>
      <c r="EG711" s="64"/>
      <c r="EH711" s="64"/>
      <c r="EI711" s="64"/>
      <c r="EJ711" s="64"/>
      <c r="EK711" s="64"/>
      <c r="EL711" s="64"/>
    </row>
    <row r="712" spans="131:142" x14ac:dyDescent="0.2">
      <c r="EA712" s="64"/>
      <c r="EB712" s="64"/>
      <c r="EC712" s="64"/>
      <c r="ED712" s="64"/>
      <c r="EE712" s="64"/>
      <c r="EF712" s="64"/>
      <c r="EG712" s="64"/>
      <c r="EH712" s="64"/>
      <c r="EI712" s="64"/>
      <c r="EJ712" s="64"/>
      <c r="EK712" s="64"/>
      <c r="EL712" s="64"/>
    </row>
    <row r="713" spans="131:142" x14ac:dyDescent="0.2">
      <c r="EA713" s="64"/>
      <c r="EB713" s="64"/>
      <c r="EC713" s="64"/>
      <c r="ED713" s="64"/>
      <c r="EE713" s="64"/>
      <c r="EF713" s="64"/>
      <c r="EG713" s="64"/>
      <c r="EH713" s="64"/>
      <c r="EI713" s="64"/>
      <c r="EJ713" s="64"/>
      <c r="EK713" s="64"/>
      <c r="EL713" s="64"/>
    </row>
    <row r="714" spans="131:142" x14ac:dyDescent="0.2">
      <c r="EA714" s="64"/>
      <c r="EB714" s="64"/>
      <c r="EC714" s="64"/>
      <c r="ED714" s="64"/>
      <c r="EE714" s="64"/>
      <c r="EF714" s="64"/>
      <c r="EG714" s="64"/>
      <c r="EH714" s="64"/>
      <c r="EI714" s="64"/>
      <c r="EJ714" s="64"/>
      <c r="EK714" s="64"/>
      <c r="EL714" s="64"/>
    </row>
    <row r="715" spans="131:142" x14ac:dyDescent="0.2">
      <c r="EA715" s="64"/>
      <c r="EB715" s="64"/>
      <c r="EC715" s="64"/>
      <c r="ED715" s="64"/>
      <c r="EE715" s="64"/>
      <c r="EF715" s="64"/>
      <c r="EG715" s="64"/>
      <c r="EH715" s="64"/>
      <c r="EI715" s="64"/>
      <c r="EJ715" s="64"/>
      <c r="EK715" s="64"/>
      <c r="EL715" s="64"/>
    </row>
    <row r="716" spans="131:142" x14ac:dyDescent="0.2">
      <c r="EA716" s="64"/>
      <c r="EB716" s="64"/>
      <c r="EC716" s="64"/>
      <c r="ED716" s="64"/>
      <c r="EE716" s="64"/>
      <c r="EF716" s="64"/>
      <c r="EG716" s="64"/>
      <c r="EH716" s="64"/>
      <c r="EI716" s="64"/>
      <c r="EJ716" s="64"/>
      <c r="EK716" s="64"/>
      <c r="EL716" s="64"/>
    </row>
    <row r="717" spans="131:142" x14ac:dyDescent="0.2">
      <c r="EA717" s="64"/>
      <c r="EB717" s="64"/>
      <c r="EC717" s="64"/>
      <c r="ED717" s="64"/>
      <c r="EE717" s="64"/>
      <c r="EF717" s="64"/>
      <c r="EG717" s="64"/>
      <c r="EH717" s="64"/>
      <c r="EI717" s="64"/>
      <c r="EJ717" s="64"/>
      <c r="EK717" s="64"/>
      <c r="EL717" s="64"/>
    </row>
    <row r="718" spans="131:142" x14ac:dyDescent="0.2">
      <c r="EA718" s="64"/>
      <c r="EB718" s="64"/>
      <c r="EC718" s="64"/>
      <c r="ED718" s="64"/>
      <c r="EE718" s="64"/>
      <c r="EF718" s="64"/>
      <c r="EG718" s="64"/>
      <c r="EH718" s="64"/>
      <c r="EI718" s="64"/>
      <c r="EJ718" s="64"/>
      <c r="EK718" s="64"/>
      <c r="EL718" s="64"/>
    </row>
    <row r="719" spans="131:142" x14ac:dyDescent="0.2">
      <c r="EA719" s="64"/>
      <c r="EB719" s="64"/>
      <c r="EC719" s="64"/>
      <c r="ED719" s="64"/>
      <c r="EE719" s="64"/>
      <c r="EF719" s="64"/>
      <c r="EG719" s="64"/>
      <c r="EH719" s="64"/>
      <c r="EI719" s="64"/>
      <c r="EJ719" s="64"/>
      <c r="EK719" s="64"/>
      <c r="EL719" s="64"/>
    </row>
    <row r="720" spans="131:142" x14ac:dyDescent="0.2">
      <c r="EA720" s="64"/>
      <c r="EB720" s="64"/>
      <c r="EC720" s="64"/>
      <c r="ED720" s="64"/>
      <c r="EE720" s="64"/>
      <c r="EF720" s="64"/>
      <c r="EG720" s="64"/>
      <c r="EH720" s="64"/>
      <c r="EI720" s="64"/>
      <c r="EJ720" s="64"/>
      <c r="EK720" s="64"/>
      <c r="EL720" s="64"/>
    </row>
    <row r="721" spans="131:142" x14ac:dyDescent="0.2">
      <c r="EA721" s="64"/>
      <c r="EB721" s="64"/>
      <c r="EC721" s="64"/>
      <c r="ED721" s="64"/>
      <c r="EE721" s="64"/>
      <c r="EF721" s="64"/>
      <c r="EG721" s="64"/>
      <c r="EH721" s="64"/>
      <c r="EI721" s="64"/>
      <c r="EJ721" s="64"/>
      <c r="EK721" s="64"/>
      <c r="EL721" s="64"/>
    </row>
    <row r="722" spans="131:142" x14ac:dyDescent="0.2">
      <c r="EA722" s="64"/>
      <c r="EB722" s="64"/>
      <c r="EC722" s="64"/>
      <c r="ED722" s="64"/>
      <c r="EE722" s="64"/>
      <c r="EF722" s="64"/>
      <c r="EG722" s="64"/>
      <c r="EH722" s="64"/>
      <c r="EI722" s="64"/>
      <c r="EJ722" s="64"/>
      <c r="EK722" s="64"/>
      <c r="EL722" s="64"/>
    </row>
    <row r="723" spans="131:142" x14ac:dyDescent="0.2">
      <c r="EA723" s="64"/>
      <c r="EB723" s="64"/>
      <c r="EC723" s="64"/>
      <c r="ED723" s="64"/>
      <c r="EE723" s="64"/>
      <c r="EF723" s="64"/>
      <c r="EG723" s="64"/>
      <c r="EH723" s="64"/>
      <c r="EI723" s="64"/>
      <c r="EJ723" s="64"/>
      <c r="EK723" s="64"/>
      <c r="EL723" s="64"/>
    </row>
    <row r="724" spans="131:142" x14ac:dyDescent="0.2">
      <c r="EA724" s="64"/>
      <c r="EB724" s="64"/>
      <c r="EC724" s="64"/>
      <c r="ED724" s="64"/>
      <c r="EE724" s="64"/>
      <c r="EF724" s="64"/>
      <c r="EG724" s="64"/>
      <c r="EH724" s="64"/>
      <c r="EI724" s="64"/>
      <c r="EJ724" s="64"/>
      <c r="EK724" s="64"/>
      <c r="EL724" s="64"/>
    </row>
    <row r="725" spans="131:142" x14ac:dyDescent="0.2">
      <c r="EA725" s="64"/>
      <c r="EB725" s="64"/>
      <c r="EC725" s="64"/>
      <c r="ED725" s="64"/>
      <c r="EE725" s="64"/>
      <c r="EF725" s="64"/>
      <c r="EG725" s="64"/>
      <c r="EH725" s="64"/>
      <c r="EI725" s="64"/>
      <c r="EJ725" s="64"/>
      <c r="EK725" s="64"/>
      <c r="EL725" s="64"/>
    </row>
    <row r="726" spans="131:142" x14ac:dyDescent="0.2">
      <c r="EA726" s="64"/>
      <c r="EB726" s="64"/>
      <c r="EC726" s="64"/>
      <c r="ED726" s="64"/>
      <c r="EE726" s="64"/>
      <c r="EF726" s="64"/>
      <c r="EG726" s="64"/>
      <c r="EH726" s="64"/>
      <c r="EI726" s="64"/>
      <c r="EJ726" s="64"/>
      <c r="EK726" s="64"/>
      <c r="EL726" s="64"/>
    </row>
    <row r="727" spans="131:142" x14ac:dyDescent="0.2">
      <c r="EA727" s="64"/>
      <c r="EB727" s="64"/>
      <c r="EC727" s="64"/>
      <c r="ED727" s="64"/>
      <c r="EE727" s="64"/>
      <c r="EF727" s="64"/>
      <c r="EG727" s="64"/>
      <c r="EH727" s="64"/>
      <c r="EI727" s="64"/>
      <c r="EJ727" s="64"/>
      <c r="EK727" s="64"/>
      <c r="EL727" s="64"/>
    </row>
    <row r="728" spans="131:142" x14ac:dyDescent="0.2">
      <c r="EA728" s="64"/>
      <c r="EB728" s="64"/>
      <c r="EC728" s="64"/>
      <c r="ED728" s="64"/>
      <c r="EE728" s="64"/>
      <c r="EF728" s="64"/>
      <c r="EG728" s="64"/>
      <c r="EH728" s="64"/>
      <c r="EI728" s="64"/>
      <c r="EJ728" s="64"/>
      <c r="EK728" s="64"/>
      <c r="EL728" s="64"/>
    </row>
    <row r="729" spans="131:142" x14ac:dyDescent="0.2">
      <c r="EA729" s="64"/>
      <c r="EB729" s="64"/>
      <c r="EC729" s="64"/>
      <c r="ED729" s="64"/>
      <c r="EE729" s="64"/>
      <c r="EF729" s="64"/>
      <c r="EG729" s="64"/>
      <c r="EH729" s="64"/>
      <c r="EI729" s="64"/>
      <c r="EJ729" s="64"/>
      <c r="EK729" s="64"/>
      <c r="EL729" s="64"/>
    </row>
    <row r="730" spans="131:142" x14ac:dyDescent="0.2">
      <c r="EA730" s="64"/>
      <c r="EB730" s="64"/>
      <c r="EC730" s="64"/>
      <c r="ED730" s="64"/>
      <c r="EE730" s="64"/>
      <c r="EF730" s="64"/>
      <c r="EG730" s="64"/>
      <c r="EH730" s="64"/>
      <c r="EI730" s="64"/>
      <c r="EJ730" s="64"/>
      <c r="EK730" s="64"/>
      <c r="EL730" s="64"/>
    </row>
    <row r="731" spans="131:142" x14ac:dyDescent="0.2">
      <c r="EA731" s="64"/>
      <c r="EB731" s="64"/>
      <c r="EC731" s="64"/>
      <c r="ED731" s="64"/>
      <c r="EE731" s="64"/>
      <c r="EF731" s="64"/>
      <c r="EG731" s="64"/>
      <c r="EH731" s="64"/>
      <c r="EI731" s="64"/>
      <c r="EJ731" s="64"/>
      <c r="EK731" s="64"/>
      <c r="EL731" s="64"/>
    </row>
    <row r="732" spans="131:142" x14ac:dyDescent="0.2">
      <c r="EA732" s="64"/>
      <c r="EB732" s="64"/>
      <c r="EC732" s="64"/>
      <c r="ED732" s="64"/>
      <c r="EE732" s="64"/>
      <c r="EF732" s="64"/>
      <c r="EG732" s="64"/>
      <c r="EH732" s="64"/>
      <c r="EI732" s="64"/>
      <c r="EJ732" s="64"/>
      <c r="EK732" s="64"/>
      <c r="EL732" s="64"/>
    </row>
    <row r="733" spans="131:142" x14ac:dyDescent="0.2">
      <c r="EA733" s="64"/>
      <c r="EB733" s="64"/>
      <c r="EC733" s="64"/>
      <c r="ED733" s="64"/>
      <c r="EE733" s="64"/>
      <c r="EF733" s="64"/>
      <c r="EG733" s="64"/>
      <c r="EH733" s="64"/>
      <c r="EI733" s="64"/>
      <c r="EJ733" s="64"/>
      <c r="EK733" s="64"/>
      <c r="EL733" s="64"/>
    </row>
    <row r="734" spans="131:142" x14ac:dyDescent="0.2">
      <c r="EA734" s="64"/>
      <c r="EB734" s="64"/>
      <c r="EC734" s="64"/>
      <c r="ED734" s="64"/>
      <c r="EE734" s="64"/>
      <c r="EF734" s="64"/>
      <c r="EG734" s="64"/>
      <c r="EH734" s="64"/>
      <c r="EI734" s="64"/>
      <c r="EJ734" s="64"/>
      <c r="EK734" s="64"/>
      <c r="EL734" s="64"/>
    </row>
    <row r="735" spans="131:142" x14ac:dyDescent="0.2">
      <c r="EA735" s="64"/>
      <c r="EB735" s="64"/>
      <c r="EC735" s="64"/>
      <c r="ED735" s="64"/>
      <c r="EE735" s="64"/>
      <c r="EF735" s="64"/>
      <c r="EG735" s="64"/>
      <c r="EH735" s="64"/>
      <c r="EI735" s="64"/>
      <c r="EJ735" s="64"/>
      <c r="EK735" s="64"/>
      <c r="EL735" s="64"/>
    </row>
    <row r="736" spans="131:142" x14ac:dyDescent="0.2">
      <c r="EA736" s="64"/>
      <c r="EB736" s="64"/>
      <c r="EC736" s="64"/>
      <c r="ED736" s="64"/>
      <c r="EE736" s="64"/>
      <c r="EF736" s="64"/>
      <c r="EG736" s="64"/>
      <c r="EH736" s="64"/>
      <c r="EI736" s="64"/>
      <c r="EJ736" s="64"/>
      <c r="EK736" s="64"/>
      <c r="EL736" s="64"/>
    </row>
    <row r="737" spans="131:142" x14ac:dyDescent="0.2">
      <c r="EA737" s="64"/>
      <c r="EB737" s="64"/>
      <c r="EC737" s="64"/>
      <c r="ED737" s="64"/>
      <c r="EE737" s="64"/>
      <c r="EF737" s="64"/>
      <c r="EG737" s="64"/>
      <c r="EH737" s="64"/>
      <c r="EI737" s="64"/>
      <c r="EJ737" s="64"/>
      <c r="EK737" s="64"/>
      <c r="EL737" s="64"/>
    </row>
    <row r="738" spans="131:142" x14ac:dyDescent="0.2">
      <c r="EA738" s="64"/>
      <c r="EB738" s="64"/>
      <c r="EC738" s="64"/>
      <c r="ED738" s="64"/>
      <c r="EE738" s="64"/>
      <c r="EF738" s="64"/>
      <c r="EG738" s="64"/>
      <c r="EH738" s="64"/>
      <c r="EI738" s="64"/>
      <c r="EJ738" s="64"/>
      <c r="EK738" s="64"/>
      <c r="EL738" s="64"/>
    </row>
    <row r="739" spans="131:142" x14ac:dyDescent="0.2">
      <c r="EA739" s="64"/>
      <c r="EB739" s="64"/>
      <c r="EC739" s="64"/>
      <c r="ED739" s="64"/>
      <c r="EE739" s="64"/>
      <c r="EF739" s="64"/>
      <c r="EG739" s="64"/>
      <c r="EH739" s="64"/>
      <c r="EI739" s="64"/>
      <c r="EJ739" s="64"/>
      <c r="EK739" s="64"/>
      <c r="EL739" s="64"/>
    </row>
    <row r="740" spans="131:142" x14ac:dyDescent="0.2">
      <c r="EA740" s="64"/>
      <c r="EB740" s="64"/>
      <c r="EC740" s="64"/>
      <c r="ED740" s="64"/>
      <c r="EE740" s="64"/>
      <c r="EF740" s="64"/>
      <c r="EG740" s="64"/>
      <c r="EH740" s="64"/>
      <c r="EI740" s="64"/>
      <c r="EJ740" s="64"/>
      <c r="EK740" s="64"/>
      <c r="EL740" s="64"/>
    </row>
    <row r="741" spans="131:142" x14ac:dyDescent="0.2">
      <c r="EA741" s="64"/>
      <c r="EB741" s="64"/>
      <c r="EC741" s="64"/>
      <c r="ED741" s="64"/>
      <c r="EE741" s="64"/>
      <c r="EF741" s="64"/>
      <c r="EG741" s="64"/>
      <c r="EH741" s="64"/>
      <c r="EI741" s="64"/>
      <c r="EJ741" s="64"/>
      <c r="EK741" s="64"/>
      <c r="EL741" s="64"/>
    </row>
    <row r="742" spans="131:142" x14ac:dyDescent="0.2">
      <c r="EA742" s="64"/>
      <c r="EB742" s="64"/>
      <c r="EC742" s="64"/>
      <c r="ED742" s="64"/>
      <c r="EE742" s="64"/>
      <c r="EF742" s="64"/>
      <c r="EG742" s="64"/>
      <c r="EH742" s="64"/>
      <c r="EI742" s="64"/>
      <c r="EJ742" s="64"/>
      <c r="EK742" s="64"/>
      <c r="EL742" s="64"/>
    </row>
    <row r="743" spans="131:142" x14ac:dyDescent="0.2">
      <c r="EA743" s="64"/>
      <c r="EB743" s="64"/>
      <c r="EC743" s="64"/>
      <c r="ED743" s="64"/>
      <c r="EE743" s="64"/>
      <c r="EF743" s="64"/>
      <c r="EG743" s="64"/>
      <c r="EH743" s="64"/>
      <c r="EI743" s="64"/>
      <c r="EJ743" s="64"/>
      <c r="EK743" s="64"/>
      <c r="EL743" s="64"/>
    </row>
    <row r="744" spans="131:142" x14ac:dyDescent="0.2">
      <c r="EA744" s="64"/>
      <c r="EB744" s="64"/>
      <c r="EC744" s="64"/>
      <c r="ED744" s="64"/>
      <c r="EE744" s="64"/>
      <c r="EF744" s="64"/>
      <c r="EG744" s="64"/>
      <c r="EH744" s="64"/>
      <c r="EI744" s="64"/>
      <c r="EJ744" s="64"/>
      <c r="EK744" s="64"/>
      <c r="EL744" s="64"/>
    </row>
    <row r="745" spans="131:142" x14ac:dyDescent="0.2">
      <c r="EA745" s="64"/>
      <c r="EB745" s="64"/>
      <c r="EC745" s="64"/>
      <c r="ED745" s="64"/>
      <c r="EE745" s="64"/>
      <c r="EF745" s="64"/>
      <c r="EG745" s="64"/>
      <c r="EH745" s="64"/>
      <c r="EI745" s="64"/>
      <c r="EJ745" s="64"/>
      <c r="EK745" s="64"/>
      <c r="EL745" s="64"/>
    </row>
    <row r="746" spans="131:142" x14ac:dyDescent="0.2">
      <c r="EA746" s="64"/>
      <c r="EB746" s="64"/>
      <c r="EC746" s="64"/>
      <c r="ED746" s="64"/>
      <c r="EE746" s="64"/>
      <c r="EF746" s="64"/>
      <c r="EG746" s="64"/>
      <c r="EH746" s="64"/>
      <c r="EI746" s="64"/>
      <c r="EJ746" s="64"/>
      <c r="EK746" s="64"/>
      <c r="EL746" s="64"/>
    </row>
    <row r="747" spans="131:142" x14ac:dyDescent="0.2">
      <c r="EA747" s="64"/>
      <c r="EB747" s="64"/>
      <c r="EC747" s="64"/>
      <c r="ED747" s="64"/>
      <c r="EE747" s="64"/>
      <c r="EF747" s="64"/>
      <c r="EG747" s="64"/>
      <c r="EH747" s="64"/>
      <c r="EI747" s="64"/>
      <c r="EJ747" s="64"/>
      <c r="EK747" s="64"/>
      <c r="EL747" s="64"/>
    </row>
    <row r="748" spans="131:142" x14ac:dyDescent="0.2">
      <c r="EA748" s="64"/>
      <c r="EB748" s="64"/>
      <c r="EC748" s="64"/>
      <c r="ED748" s="64"/>
      <c r="EE748" s="64"/>
      <c r="EF748" s="64"/>
      <c r="EG748" s="64"/>
      <c r="EH748" s="64"/>
      <c r="EI748" s="64"/>
      <c r="EJ748" s="64"/>
      <c r="EK748" s="64"/>
      <c r="EL748" s="64"/>
    </row>
    <row r="749" spans="131:142" x14ac:dyDescent="0.2">
      <c r="EA749" s="64"/>
      <c r="EB749" s="64"/>
      <c r="EC749" s="64"/>
      <c r="ED749" s="64"/>
      <c r="EE749" s="64"/>
      <c r="EF749" s="64"/>
      <c r="EG749" s="64"/>
      <c r="EH749" s="64"/>
      <c r="EI749" s="64"/>
      <c r="EJ749" s="64"/>
      <c r="EK749" s="64"/>
      <c r="EL749" s="64"/>
    </row>
    <row r="750" spans="131:142" x14ac:dyDescent="0.2">
      <c r="EA750" s="64"/>
      <c r="EB750" s="64"/>
      <c r="EC750" s="64"/>
      <c r="ED750" s="64"/>
      <c r="EE750" s="64"/>
      <c r="EF750" s="64"/>
      <c r="EG750" s="64"/>
      <c r="EH750" s="64"/>
      <c r="EI750" s="64"/>
      <c r="EJ750" s="64"/>
      <c r="EK750" s="64"/>
      <c r="EL750" s="64"/>
    </row>
    <row r="751" spans="131:142" x14ac:dyDescent="0.2">
      <c r="EA751" s="64"/>
      <c r="EB751" s="64"/>
      <c r="EC751" s="64"/>
      <c r="ED751" s="64"/>
      <c r="EE751" s="64"/>
      <c r="EF751" s="64"/>
      <c r="EG751" s="64"/>
      <c r="EH751" s="64"/>
      <c r="EI751" s="64"/>
      <c r="EJ751" s="64"/>
      <c r="EK751" s="64"/>
      <c r="EL751" s="64"/>
    </row>
    <row r="752" spans="131:142" x14ac:dyDescent="0.2">
      <c r="EA752" s="64"/>
      <c r="EB752" s="64"/>
      <c r="EC752" s="64"/>
      <c r="ED752" s="64"/>
      <c r="EE752" s="64"/>
      <c r="EF752" s="64"/>
      <c r="EG752" s="64"/>
      <c r="EH752" s="64"/>
      <c r="EI752" s="64"/>
      <c r="EJ752" s="64"/>
      <c r="EK752" s="64"/>
      <c r="EL752" s="64"/>
    </row>
    <row r="753" spans="131:142" x14ac:dyDescent="0.2">
      <c r="EA753" s="64"/>
      <c r="EB753" s="64"/>
      <c r="EC753" s="64"/>
      <c r="ED753" s="64"/>
      <c r="EE753" s="64"/>
      <c r="EF753" s="64"/>
      <c r="EG753" s="64"/>
      <c r="EH753" s="64"/>
      <c r="EI753" s="64"/>
      <c r="EJ753" s="64"/>
      <c r="EK753" s="64"/>
      <c r="EL753" s="64"/>
    </row>
    <row r="754" spans="131:142" x14ac:dyDescent="0.2">
      <c r="EA754" s="64"/>
      <c r="EB754" s="64"/>
      <c r="EC754" s="64"/>
      <c r="ED754" s="64"/>
      <c r="EE754" s="64"/>
      <c r="EF754" s="64"/>
      <c r="EG754" s="64"/>
      <c r="EH754" s="64"/>
      <c r="EI754" s="64"/>
      <c r="EJ754" s="64"/>
      <c r="EK754" s="64"/>
      <c r="EL754" s="64"/>
    </row>
    <row r="755" spans="131:142" x14ac:dyDescent="0.2">
      <c r="EA755" s="64"/>
      <c r="EB755" s="64"/>
      <c r="EC755" s="64"/>
      <c r="ED755" s="64"/>
      <c r="EE755" s="64"/>
      <c r="EF755" s="64"/>
      <c r="EG755" s="64"/>
      <c r="EH755" s="64"/>
      <c r="EI755" s="64"/>
      <c r="EJ755" s="64"/>
      <c r="EK755" s="64"/>
      <c r="EL755" s="64"/>
    </row>
    <row r="756" spans="131:142" x14ac:dyDescent="0.2">
      <c r="EA756" s="64"/>
      <c r="EB756" s="64"/>
      <c r="EC756" s="64"/>
      <c r="ED756" s="64"/>
      <c r="EE756" s="64"/>
      <c r="EF756" s="64"/>
      <c r="EG756" s="64"/>
      <c r="EH756" s="64"/>
      <c r="EI756" s="64"/>
      <c r="EJ756" s="64"/>
      <c r="EK756" s="64"/>
      <c r="EL756" s="64"/>
    </row>
    <row r="757" spans="131:142" x14ac:dyDescent="0.2">
      <c r="EA757" s="64"/>
      <c r="EB757" s="64"/>
      <c r="EC757" s="64"/>
      <c r="ED757" s="64"/>
      <c r="EE757" s="64"/>
      <c r="EF757" s="64"/>
      <c r="EG757" s="64"/>
      <c r="EH757" s="64"/>
      <c r="EI757" s="64"/>
      <c r="EJ757" s="64"/>
      <c r="EK757" s="64"/>
      <c r="EL757" s="64"/>
    </row>
    <row r="758" spans="131:142" x14ac:dyDescent="0.2">
      <c r="EA758" s="64"/>
      <c r="EB758" s="64"/>
      <c r="EC758" s="64"/>
      <c r="ED758" s="64"/>
      <c r="EE758" s="64"/>
      <c r="EF758" s="64"/>
      <c r="EG758" s="64"/>
      <c r="EH758" s="64"/>
      <c r="EI758" s="64"/>
      <c r="EJ758" s="64"/>
      <c r="EK758" s="64"/>
      <c r="EL758" s="64"/>
    </row>
    <row r="759" spans="131:142" x14ac:dyDescent="0.2">
      <c r="EA759" s="64"/>
      <c r="EB759" s="64"/>
      <c r="EC759" s="64"/>
      <c r="ED759" s="64"/>
      <c r="EE759" s="64"/>
      <c r="EF759" s="64"/>
      <c r="EG759" s="64"/>
      <c r="EH759" s="64"/>
      <c r="EI759" s="64"/>
      <c r="EJ759" s="64"/>
      <c r="EK759" s="64"/>
      <c r="EL759" s="64"/>
    </row>
    <row r="760" spans="131:142" x14ac:dyDescent="0.2">
      <c r="EA760" s="64"/>
      <c r="EB760" s="64"/>
      <c r="EC760" s="64"/>
      <c r="ED760" s="64"/>
      <c r="EE760" s="64"/>
      <c r="EF760" s="64"/>
      <c r="EG760" s="64"/>
      <c r="EH760" s="64"/>
      <c r="EI760" s="64"/>
      <c r="EJ760" s="64"/>
      <c r="EK760" s="64"/>
      <c r="EL760" s="64"/>
    </row>
    <row r="761" spans="131:142" x14ac:dyDescent="0.2">
      <c r="EA761" s="64"/>
      <c r="EB761" s="64"/>
      <c r="EC761" s="64"/>
      <c r="ED761" s="64"/>
      <c r="EE761" s="64"/>
      <c r="EF761" s="64"/>
      <c r="EG761" s="64"/>
      <c r="EH761" s="64"/>
      <c r="EI761" s="64"/>
      <c r="EJ761" s="64"/>
      <c r="EK761" s="64"/>
      <c r="EL761" s="64"/>
    </row>
    <row r="762" spans="131:142" x14ac:dyDescent="0.2">
      <c r="EA762" s="64"/>
      <c r="EB762" s="64"/>
      <c r="EC762" s="64"/>
      <c r="ED762" s="64"/>
      <c r="EE762" s="64"/>
      <c r="EF762" s="64"/>
      <c r="EG762" s="64"/>
      <c r="EH762" s="64"/>
      <c r="EI762" s="64"/>
      <c r="EJ762" s="64"/>
      <c r="EK762" s="64"/>
      <c r="EL762" s="64"/>
    </row>
    <row r="763" spans="131:142" x14ac:dyDescent="0.2">
      <c r="EA763" s="64"/>
      <c r="EB763" s="64"/>
      <c r="EC763" s="64"/>
      <c r="ED763" s="64"/>
      <c r="EE763" s="64"/>
      <c r="EF763" s="64"/>
      <c r="EG763" s="64"/>
      <c r="EH763" s="64"/>
      <c r="EI763" s="64"/>
      <c r="EJ763" s="64"/>
      <c r="EK763" s="64"/>
      <c r="EL763" s="64"/>
    </row>
    <row r="764" spans="131:142" x14ac:dyDescent="0.2">
      <c r="EA764" s="64"/>
      <c r="EB764" s="64"/>
      <c r="EC764" s="64"/>
      <c r="ED764" s="64"/>
      <c r="EE764" s="64"/>
      <c r="EF764" s="64"/>
      <c r="EG764" s="64"/>
      <c r="EH764" s="64"/>
      <c r="EI764" s="64"/>
      <c r="EJ764" s="64"/>
      <c r="EK764" s="64"/>
      <c r="EL764" s="64"/>
    </row>
    <row r="765" spans="131:142" x14ac:dyDescent="0.2">
      <c r="EA765" s="64"/>
      <c r="EB765" s="64"/>
      <c r="EC765" s="64"/>
      <c r="ED765" s="64"/>
      <c r="EE765" s="64"/>
      <c r="EF765" s="64"/>
      <c r="EG765" s="64"/>
      <c r="EH765" s="64"/>
      <c r="EI765" s="64"/>
      <c r="EJ765" s="64"/>
      <c r="EK765" s="64"/>
      <c r="EL765" s="64"/>
    </row>
    <row r="766" spans="131:142" x14ac:dyDescent="0.2">
      <c r="EA766" s="64"/>
      <c r="EB766" s="64"/>
      <c r="EC766" s="64"/>
      <c r="ED766" s="64"/>
      <c r="EE766" s="64"/>
      <c r="EF766" s="64"/>
      <c r="EG766" s="64"/>
      <c r="EH766" s="64"/>
      <c r="EI766" s="64"/>
      <c r="EJ766" s="64"/>
      <c r="EK766" s="64"/>
      <c r="EL766" s="64"/>
    </row>
    <row r="767" spans="131:142" x14ac:dyDescent="0.2">
      <c r="EA767" s="64"/>
      <c r="EB767" s="64"/>
      <c r="EC767" s="64"/>
      <c r="ED767" s="64"/>
      <c r="EE767" s="64"/>
      <c r="EF767" s="64"/>
      <c r="EG767" s="64"/>
      <c r="EH767" s="64"/>
      <c r="EI767" s="64"/>
      <c r="EJ767" s="64"/>
      <c r="EK767" s="64"/>
      <c r="EL767" s="64"/>
    </row>
    <row r="768" spans="131:142" x14ac:dyDescent="0.2">
      <c r="EA768" s="64"/>
      <c r="EB768" s="64"/>
      <c r="EC768" s="64"/>
      <c r="ED768" s="64"/>
      <c r="EE768" s="64"/>
      <c r="EF768" s="64"/>
      <c r="EG768" s="64"/>
      <c r="EH768" s="64"/>
      <c r="EI768" s="64"/>
      <c r="EJ768" s="64"/>
      <c r="EK768" s="64"/>
      <c r="EL768" s="64"/>
    </row>
    <row r="769" spans="131:142" x14ac:dyDescent="0.2">
      <c r="EA769" s="64"/>
      <c r="EB769" s="64"/>
      <c r="EC769" s="64"/>
      <c r="ED769" s="64"/>
      <c r="EE769" s="64"/>
      <c r="EF769" s="64"/>
      <c r="EG769" s="64"/>
      <c r="EH769" s="64"/>
      <c r="EI769" s="64"/>
      <c r="EJ769" s="64"/>
      <c r="EK769" s="64"/>
      <c r="EL769" s="64"/>
    </row>
    <row r="770" spans="131:142" x14ac:dyDescent="0.2">
      <c r="EA770" s="64"/>
      <c r="EB770" s="64"/>
      <c r="EC770" s="64"/>
      <c r="ED770" s="64"/>
      <c r="EE770" s="64"/>
      <c r="EF770" s="64"/>
      <c r="EG770" s="64"/>
      <c r="EH770" s="64"/>
      <c r="EI770" s="64"/>
      <c r="EJ770" s="64"/>
      <c r="EK770" s="64"/>
      <c r="EL770" s="64"/>
    </row>
    <row r="771" spans="131:142" x14ac:dyDescent="0.2">
      <c r="EA771" s="64"/>
      <c r="EB771" s="64"/>
      <c r="EC771" s="64"/>
      <c r="ED771" s="64"/>
      <c r="EE771" s="64"/>
      <c r="EF771" s="64"/>
      <c r="EG771" s="64"/>
      <c r="EH771" s="64"/>
      <c r="EI771" s="64"/>
      <c r="EJ771" s="64"/>
      <c r="EK771" s="64"/>
      <c r="EL771" s="64"/>
    </row>
    <row r="772" spans="131:142" x14ac:dyDescent="0.2">
      <c r="EA772" s="64"/>
      <c r="EB772" s="64"/>
      <c r="EC772" s="64"/>
      <c r="ED772" s="64"/>
      <c r="EE772" s="64"/>
      <c r="EF772" s="64"/>
      <c r="EG772" s="64"/>
      <c r="EH772" s="64"/>
      <c r="EI772" s="64"/>
      <c r="EJ772" s="64"/>
      <c r="EK772" s="64"/>
      <c r="EL772" s="64"/>
    </row>
    <row r="773" spans="131:142" x14ac:dyDescent="0.2">
      <c r="EA773" s="64"/>
      <c r="EB773" s="64"/>
      <c r="EC773" s="64"/>
      <c r="ED773" s="64"/>
      <c r="EE773" s="64"/>
      <c r="EF773" s="64"/>
      <c r="EG773" s="64"/>
      <c r="EH773" s="64"/>
      <c r="EI773" s="64"/>
      <c r="EJ773" s="64"/>
      <c r="EK773" s="64"/>
      <c r="EL773" s="64"/>
    </row>
    <row r="774" spans="131:142" x14ac:dyDescent="0.2">
      <c r="EA774" s="64"/>
      <c r="EB774" s="64"/>
      <c r="EC774" s="64"/>
      <c r="ED774" s="64"/>
      <c r="EE774" s="64"/>
      <c r="EF774" s="64"/>
      <c r="EG774" s="64"/>
      <c r="EH774" s="64"/>
      <c r="EI774" s="64"/>
      <c r="EJ774" s="64"/>
      <c r="EK774" s="64"/>
      <c r="EL774" s="64"/>
    </row>
    <row r="775" spans="131:142" x14ac:dyDescent="0.2">
      <c r="EA775" s="64"/>
      <c r="EB775" s="64"/>
      <c r="EC775" s="64"/>
      <c r="ED775" s="64"/>
      <c r="EE775" s="64"/>
      <c r="EF775" s="64"/>
      <c r="EG775" s="64"/>
      <c r="EH775" s="64"/>
      <c r="EI775" s="64"/>
      <c r="EJ775" s="64"/>
      <c r="EK775" s="64"/>
      <c r="EL775" s="64"/>
    </row>
    <row r="776" spans="131:142" x14ac:dyDescent="0.2">
      <c r="EA776" s="64"/>
      <c r="EB776" s="64"/>
      <c r="EC776" s="64"/>
      <c r="ED776" s="64"/>
      <c r="EE776" s="64"/>
      <c r="EF776" s="64"/>
      <c r="EG776" s="64"/>
      <c r="EH776" s="64"/>
      <c r="EI776" s="64"/>
      <c r="EJ776" s="64"/>
      <c r="EK776" s="64"/>
      <c r="EL776" s="64"/>
    </row>
    <row r="777" spans="131:142" x14ac:dyDescent="0.2">
      <c r="EA777" s="64"/>
      <c r="EB777" s="64"/>
      <c r="EC777" s="64"/>
      <c r="ED777" s="64"/>
      <c r="EE777" s="64"/>
      <c r="EF777" s="64"/>
      <c r="EG777" s="64"/>
      <c r="EH777" s="64"/>
      <c r="EI777" s="64"/>
      <c r="EJ777" s="64"/>
      <c r="EK777" s="64"/>
      <c r="EL777" s="64"/>
    </row>
    <row r="778" spans="131:142" x14ac:dyDescent="0.2">
      <c r="EA778" s="64"/>
      <c r="EB778" s="64"/>
      <c r="EC778" s="64"/>
      <c r="ED778" s="64"/>
      <c r="EE778" s="64"/>
      <c r="EF778" s="64"/>
      <c r="EG778" s="64"/>
      <c r="EH778" s="64"/>
      <c r="EI778" s="64"/>
      <c r="EJ778" s="64"/>
      <c r="EK778" s="64"/>
      <c r="EL778" s="64"/>
    </row>
    <row r="779" spans="131:142" x14ac:dyDescent="0.2">
      <c r="EA779" s="64"/>
      <c r="EB779" s="64"/>
      <c r="EC779" s="64"/>
      <c r="ED779" s="64"/>
      <c r="EE779" s="64"/>
      <c r="EF779" s="64"/>
      <c r="EG779" s="64"/>
      <c r="EH779" s="64"/>
      <c r="EI779" s="64"/>
      <c r="EJ779" s="64"/>
      <c r="EK779" s="64"/>
      <c r="EL779" s="64"/>
    </row>
    <row r="780" spans="131:142" x14ac:dyDescent="0.2">
      <c r="EA780" s="64"/>
      <c r="EB780" s="64"/>
      <c r="EC780" s="64"/>
      <c r="ED780" s="64"/>
      <c r="EE780" s="64"/>
      <c r="EF780" s="64"/>
      <c r="EG780" s="64"/>
      <c r="EH780" s="64"/>
      <c r="EI780" s="64"/>
      <c r="EJ780" s="64"/>
      <c r="EK780" s="64"/>
      <c r="EL780" s="64"/>
    </row>
    <row r="781" spans="131:142" x14ac:dyDescent="0.2">
      <c r="EA781" s="64"/>
      <c r="EB781" s="64"/>
      <c r="EC781" s="64"/>
      <c r="ED781" s="64"/>
      <c r="EE781" s="64"/>
      <c r="EF781" s="64"/>
      <c r="EG781" s="64"/>
      <c r="EH781" s="64"/>
      <c r="EI781" s="64"/>
      <c r="EJ781" s="64"/>
      <c r="EK781" s="64"/>
      <c r="EL781" s="64"/>
    </row>
    <row r="782" spans="131:142" x14ac:dyDescent="0.2">
      <c r="EA782" s="64"/>
      <c r="EB782" s="64"/>
      <c r="EC782" s="64"/>
      <c r="ED782" s="64"/>
      <c r="EE782" s="64"/>
      <c r="EF782" s="64"/>
      <c r="EG782" s="64"/>
      <c r="EH782" s="64"/>
      <c r="EI782" s="64"/>
      <c r="EJ782" s="64"/>
      <c r="EK782" s="64"/>
      <c r="EL782" s="64"/>
    </row>
    <row r="783" spans="131:142" x14ac:dyDescent="0.2">
      <c r="EA783" s="64"/>
      <c r="EB783" s="64"/>
      <c r="EC783" s="64"/>
      <c r="ED783" s="64"/>
      <c r="EE783" s="64"/>
      <c r="EF783" s="64"/>
      <c r="EG783" s="64"/>
      <c r="EH783" s="64"/>
      <c r="EI783" s="64"/>
      <c r="EJ783" s="64"/>
      <c r="EK783" s="64"/>
      <c r="EL783" s="64"/>
    </row>
    <row r="784" spans="131:142" x14ac:dyDescent="0.2">
      <c r="EA784" s="64"/>
      <c r="EB784" s="64"/>
      <c r="EC784" s="64"/>
      <c r="ED784" s="64"/>
      <c r="EE784" s="64"/>
      <c r="EF784" s="64"/>
      <c r="EG784" s="64"/>
      <c r="EH784" s="64"/>
      <c r="EI784" s="64"/>
      <c r="EJ784" s="64"/>
      <c r="EK784" s="64"/>
      <c r="EL784" s="64"/>
    </row>
    <row r="785" spans="131:142" x14ac:dyDescent="0.2">
      <c r="EA785" s="64"/>
      <c r="EB785" s="64"/>
      <c r="EC785" s="64"/>
      <c r="ED785" s="64"/>
      <c r="EE785" s="64"/>
      <c r="EF785" s="64"/>
      <c r="EG785" s="64"/>
      <c r="EH785" s="64"/>
      <c r="EI785" s="64"/>
      <c r="EJ785" s="64"/>
      <c r="EK785" s="64"/>
      <c r="EL785" s="64"/>
    </row>
    <row r="786" spans="131:142" x14ac:dyDescent="0.2">
      <c r="EA786" s="64"/>
      <c r="EB786" s="64"/>
      <c r="EC786" s="64"/>
      <c r="ED786" s="64"/>
      <c r="EE786" s="64"/>
      <c r="EF786" s="64"/>
      <c r="EG786" s="64"/>
      <c r="EH786" s="64"/>
      <c r="EI786" s="64"/>
      <c r="EJ786" s="64"/>
      <c r="EK786" s="64"/>
      <c r="EL786" s="64"/>
    </row>
    <row r="787" spans="131:142" x14ac:dyDescent="0.2">
      <c r="EA787" s="64"/>
      <c r="EB787" s="64"/>
      <c r="EC787" s="64"/>
      <c r="ED787" s="64"/>
      <c r="EE787" s="64"/>
      <c r="EF787" s="64"/>
      <c r="EG787" s="64"/>
      <c r="EH787" s="64"/>
      <c r="EI787" s="64"/>
      <c r="EJ787" s="64"/>
      <c r="EK787" s="64"/>
      <c r="EL787" s="64"/>
    </row>
    <row r="788" spans="131:142" x14ac:dyDescent="0.2">
      <c r="EA788" s="64"/>
      <c r="EB788" s="64"/>
      <c r="EC788" s="64"/>
      <c r="ED788" s="64"/>
      <c r="EE788" s="64"/>
      <c r="EF788" s="64"/>
      <c r="EG788" s="64"/>
      <c r="EH788" s="64"/>
      <c r="EI788" s="64"/>
      <c r="EJ788" s="64"/>
      <c r="EK788" s="64"/>
      <c r="EL788" s="64"/>
    </row>
    <row r="789" spans="131:142" x14ac:dyDescent="0.2">
      <c r="EA789" s="64"/>
      <c r="EB789" s="64"/>
      <c r="EC789" s="64"/>
      <c r="ED789" s="64"/>
      <c r="EE789" s="64"/>
      <c r="EF789" s="64"/>
      <c r="EG789" s="64"/>
      <c r="EH789" s="64"/>
      <c r="EI789" s="64"/>
      <c r="EJ789" s="64"/>
      <c r="EK789" s="64"/>
      <c r="EL789" s="64"/>
    </row>
    <row r="790" spans="131:142" x14ac:dyDescent="0.2">
      <c r="EA790" s="64"/>
      <c r="EB790" s="64"/>
      <c r="EC790" s="64"/>
      <c r="ED790" s="64"/>
      <c r="EE790" s="64"/>
      <c r="EF790" s="64"/>
      <c r="EG790" s="64"/>
      <c r="EH790" s="64"/>
      <c r="EI790" s="64"/>
      <c r="EJ790" s="64"/>
      <c r="EK790" s="64"/>
      <c r="EL790" s="64"/>
    </row>
    <row r="791" spans="131:142" x14ac:dyDescent="0.2">
      <c r="EA791" s="64"/>
      <c r="EB791" s="64"/>
      <c r="EC791" s="64"/>
      <c r="ED791" s="64"/>
      <c r="EE791" s="64"/>
      <c r="EF791" s="64"/>
      <c r="EG791" s="64"/>
      <c r="EH791" s="64"/>
      <c r="EI791" s="64"/>
      <c r="EJ791" s="64"/>
      <c r="EK791" s="64"/>
      <c r="EL791" s="64"/>
    </row>
    <row r="792" spans="131:142" x14ac:dyDescent="0.2">
      <c r="EA792" s="64"/>
      <c r="EB792" s="64"/>
      <c r="EC792" s="64"/>
      <c r="ED792" s="64"/>
      <c r="EE792" s="64"/>
      <c r="EF792" s="64"/>
      <c r="EG792" s="64"/>
      <c r="EH792" s="64"/>
      <c r="EI792" s="64"/>
      <c r="EJ792" s="64"/>
      <c r="EK792" s="64"/>
      <c r="EL792" s="64"/>
    </row>
    <row r="793" spans="131:142" x14ac:dyDescent="0.2">
      <c r="EA793" s="64"/>
      <c r="EB793" s="64"/>
      <c r="EC793" s="64"/>
      <c r="ED793" s="64"/>
      <c r="EE793" s="64"/>
      <c r="EF793" s="64"/>
      <c r="EG793" s="64"/>
      <c r="EH793" s="64"/>
      <c r="EI793" s="64"/>
      <c r="EJ793" s="64"/>
      <c r="EK793" s="64"/>
      <c r="EL793" s="64"/>
    </row>
    <row r="794" spans="131:142" x14ac:dyDescent="0.2">
      <c r="EA794" s="64"/>
      <c r="EB794" s="64"/>
      <c r="EC794" s="64"/>
      <c r="ED794" s="64"/>
      <c r="EE794" s="64"/>
      <c r="EF794" s="64"/>
      <c r="EG794" s="64"/>
      <c r="EH794" s="64"/>
      <c r="EI794" s="64"/>
      <c r="EJ794" s="64"/>
      <c r="EK794" s="64"/>
      <c r="EL794" s="64"/>
    </row>
    <row r="795" spans="131:142" x14ac:dyDescent="0.2">
      <c r="EA795" s="64"/>
      <c r="EB795" s="64"/>
      <c r="EC795" s="64"/>
      <c r="ED795" s="64"/>
      <c r="EE795" s="64"/>
      <c r="EF795" s="64"/>
      <c r="EG795" s="64"/>
      <c r="EH795" s="64"/>
      <c r="EI795" s="64"/>
      <c r="EJ795" s="64"/>
      <c r="EK795" s="64"/>
      <c r="EL795" s="64"/>
    </row>
    <row r="796" spans="131:142" x14ac:dyDescent="0.2">
      <c r="EA796" s="64"/>
      <c r="EB796" s="64"/>
      <c r="EC796" s="64"/>
      <c r="ED796" s="64"/>
      <c r="EE796" s="64"/>
      <c r="EF796" s="64"/>
      <c r="EG796" s="64"/>
      <c r="EH796" s="64"/>
      <c r="EI796" s="64"/>
      <c r="EJ796" s="64"/>
      <c r="EK796" s="64"/>
      <c r="EL796" s="64"/>
    </row>
    <row r="797" spans="131:142" x14ac:dyDescent="0.2">
      <c r="EA797" s="64"/>
      <c r="EB797" s="64"/>
      <c r="EC797" s="64"/>
      <c r="ED797" s="64"/>
      <c r="EE797" s="64"/>
      <c r="EF797" s="64"/>
      <c r="EG797" s="64"/>
      <c r="EH797" s="64"/>
      <c r="EI797" s="64"/>
      <c r="EJ797" s="64"/>
      <c r="EK797" s="64"/>
      <c r="EL797" s="64"/>
    </row>
    <row r="798" spans="131:142" x14ac:dyDescent="0.2">
      <c r="EA798" s="64"/>
      <c r="EB798" s="64"/>
      <c r="EC798" s="64"/>
      <c r="ED798" s="64"/>
      <c r="EE798" s="64"/>
      <c r="EF798" s="64"/>
      <c r="EG798" s="64"/>
      <c r="EH798" s="64"/>
      <c r="EI798" s="64"/>
      <c r="EJ798" s="64"/>
      <c r="EK798" s="64"/>
      <c r="EL798" s="64"/>
    </row>
    <row r="799" spans="131:142" x14ac:dyDescent="0.2">
      <c r="EA799" s="64"/>
      <c r="EB799" s="64"/>
      <c r="EC799" s="64"/>
      <c r="ED799" s="64"/>
      <c r="EE799" s="64"/>
      <c r="EF799" s="64"/>
      <c r="EG799" s="64"/>
      <c r="EH799" s="64"/>
      <c r="EI799" s="64"/>
      <c r="EJ799" s="64"/>
      <c r="EK799" s="64"/>
      <c r="EL799" s="64"/>
    </row>
    <row r="800" spans="131:142" x14ac:dyDescent="0.2">
      <c r="EA800" s="64"/>
      <c r="EB800" s="64"/>
      <c r="EC800" s="64"/>
      <c r="ED800" s="64"/>
      <c r="EE800" s="64"/>
      <c r="EF800" s="64"/>
      <c r="EG800" s="64"/>
      <c r="EH800" s="64"/>
      <c r="EI800" s="64"/>
      <c r="EJ800" s="64"/>
      <c r="EK800" s="64"/>
      <c r="EL800" s="64"/>
    </row>
    <row r="801" spans="131:142" x14ac:dyDescent="0.2">
      <c r="EA801" s="64"/>
      <c r="EB801" s="64"/>
      <c r="EC801" s="64"/>
      <c r="ED801" s="64"/>
      <c r="EE801" s="64"/>
      <c r="EF801" s="64"/>
      <c r="EG801" s="64"/>
      <c r="EH801" s="64"/>
      <c r="EI801" s="64"/>
      <c r="EJ801" s="64"/>
      <c r="EK801" s="64"/>
      <c r="EL801" s="64"/>
    </row>
    <row r="802" spans="131:142" x14ac:dyDescent="0.2">
      <c r="EA802" s="64"/>
      <c r="EB802" s="64"/>
      <c r="EC802" s="64"/>
      <c r="ED802" s="64"/>
      <c r="EE802" s="64"/>
      <c r="EF802" s="64"/>
      <c r="EG802" s="64"/>
      <c r="EH802" s="64"/>
      <c r="EI802" s="64"/>
      <c r="EJ802" s="64"/>
      <c r="EK802" s="64"/>
      <c r="EL802" s="64"/>
    </row>
    <row r="803" spans="131:142" x14ac:dyDescent="0.2">
      <c r="EA803" s="64"/>
      <c r="EB803" s="64"/>
      <c r="EC803" s="64"/>
      <c r="ED803" s="64"/>
      <c r="EE803" s="64"/>
      <c r="EF803" s="64"/>
      <c r="EG803" s="64"/>
      <c r="EH803" s="64"/>
      <c r="EI803" s="64"/>
      <c r="EJ803" s="64"/>
      <c r="EK803" s="64"/>
      <c r="EL803" s="64"/>
    </row>
    <row r="804" spans="131:142" x14ac:dyDescent="0.2">
      <c r="EA804" s="64"/>
      <c r="EB804" s="64"/>
      <c r="EC804" s="64"/>
      <c r="ED804" s="64"/>
      <c r="EE804" s="64"/>
      <c r="EF804" s="64"/>
      <c r="EG804" s="64"/>
      <c r="EH804" s="64"/>
      <c r="EI804" s="64"/>
      <c r="EJ804" s="64"/>
      <c r="EK804" s="64"/>
      <c r="EL804" s="64"/>
    </row>
    <row r="805" spans="131:142" x14ac:dyDescent="0.2">
      <c r="EA805" s="64"/>
      <c r="EB805" s="64"/>
      <c r="EC805" s="64"/>
      <c r="ED805" s="64"/>
      <c r="EE805" s="64"/>
      <c r="EF805" s="64"/>
      <c r="EG805" s="64"/>
      <c r="EH805" s="64"/>
      <c r="EI805" s="64"/>
      <c r="EJ805" s="64"/>
      <c r="EK805" s="64"/>
      <c r="EL805" s="64"/>
    </row>
    <row r="806" spans="131:142" x14ac:dyDescent="0.2">
      <c r="EA806" s="64"/>
      <c r="EB806" s="64"/>
      <c r="EC806" s="64"/>
      <c r="ED806" s="64"/>
      <c r="EE806" s="64"/>
      <c r="EF806" s="64"/>
      <c r="EG806" s="64"/>
      <c r="EH806" s="64"/>
      <c r="EI806" s="64"/>
      <c r="EJ806" s="64"/>
      <c r="EK806" s="64"/>
      <c r="EL806" s="64"/>
    </row>
    <row r="807" spans="131:142" x14ac:dyDescent="0.2">
      <c r="EA807" s="64"/>
      <c r="EB807" s="64"/>
      <c r="EC807" s="64"/>
      <c r="ED807" s="64"/>
      <c r="EE807" s="64"/>
      <c r="EF807" s="64"/>
      <c r="EG807" s="64"/>
      <c r="EH807" s="64"/>
      <c r="EI807" s="64"/>
      <c r="EJ807" s="64"/>
      <c r="EK807" s="64"/>
      <c r="EL807" s="64"/>
    </row>
    <row r="808" spans="131:142" x14ac:dyDescent="0.2">
      <c r="EA808" s="64"/>
      <c r="EB808" s="64"/>
      <c r="EC808" s="64"/>
      <c r="ED808" s="64"/>
      <c r="EE808" s="64"/>
      <c r="EF808" s="64"/>
      <c r="EG808" s="64"/>
      <c r="EH808" s="64"/>
      <c r="EI808" s="64"/>
      <c r="EJ808" s="64"/>
      <c r="EK808" s="64"/>
      <c r="EL808" s="64"/>
    </row>
    <row r="809" spans="131:142" x14ac:dyDescent="0.2">
      <c r="EA809" s="64"/>
      <c r="EB809" s="64"/>
      <c r="EC809" s="64"/>
      <c r="ED809" s="64"/>
      <c r="EE809" s="64"/>
      <c r="EF809" s="64"/>
      <c r="EG809" s="64"/>
      <c r="EH809" s="64"/>
      <c r="EI809" s="64"/>
      <c r="EJ809" s="64"/>
      <c r="EK809" s="64"/>
      <c r="EL809" s="64"/>
    </row>
    <row r="810" spans="131:142" x14ac:dyDescent="0.2">
      <c r="EA810" s="64"/>
      <c r="EB810" s="64"/>
      <c r="EC810" s="64"/>
      <c r="ED810" s="64"/>
      <c r="EE810" s="64"/>
      <c r="EF810" s="64"/>
      <c r="EG810" s="64"/>
      <c r="EH810" s="64"/>
      <c r="EI810" s="64"/>
      <c r="EJ810" s="64"/>
      <c r="EK810" s="64"/>
      <c r="EL810" s="64"/>
    </row>
    <row r="811" spans="131:142" x14ac:dyDescent="0.2">
      <c r="EA811" s="64"/>
      <c r="EB811" s="64"/>
      <c r="EC811" s="64"/>
      <c r="ED811" s="64"/>
      <c r="EE811" s="64"/>
      <c r="EF811" s="64"/>
      <c r="EG811" s="64"/>
      <c r="EH811" s="64"/>
      <c r="EI811" s="64"/>
      <c r="EJ811" s="64"/>
      <c r="EK811" s="64"/>
      <c r="EL811" s="64"/>
    </row>
    <row r="812" spans="131:142" x14ac:dyDescent="0.2">
      <c r="EA812" s="64"/>
      <c r="EB812" s="64"/>
      <c r="EC812" s="64"/>
      <c r="ED812" s="64"/>
      <c r="EE812" s="64"/>
      <c r="EF812" s="64"/>
      <c r="EG812" s="64"/>
      <c r="EH812" s="64"/>
      <c r="EI812" s="64"/>
      <c r="EJ812" s="64"/>
      <c r="EK812" s="64"/>
      <c r="EL812" s="64"/>
    </row>
    <row r="813" spans="131:142" x14ac:dyDescent="0.2">
      <c r="EA813" s="64"/>
      <c r="EB813" s="64"/>
      <c r="EC813" s="64"/>
      <c r="ED813" s="64"/>
      <c r="EE813" s="64"/>
      <c r="EF813" s="64"/>
      <c r="EG813" s="64"/>
      <c r="EH813" s="64"/>
      <c r="EI813" s="64"/>
      <c r="EJ813" s="64"/>
      <c r="EK813" s="64"/>
      <c r="EL813" s="64"/>
    </row>
    <row r="814" spans="131:142" x14ac:dyDescent="0.2">
      <c r="EA814" s="64"/>
      <c r="EB814" s="64"/>
      <c r="EC814" s="64"/>
      <c r="ED814" s="64"/>
      <c r="EE814" s="64"/>
      <c r="EF814" s="64"/>
      <c r="EG814" s="64"/>
      <c r="EH814" s="64"/>
      <c r="EI814" s="64"/>
      <c r="EJ814" s="64"/>
      <c r="EK814" s="64"/>
      <c r="EL814" s="64"/>
    </row>
    <row r="815" spans="131:142" x14ac:dyDescent="0.2">
      <c r="EA815" s="64"/>
      <c r="EB815" s="64"/>
      <c r="EC815" s="64"/>
      <c r="ED815" s="64"/>
      <c r="EE815" s="64"/>
      <c r="EF815" s="64"/>
      <c r="EG815" s="64"/>
      <c r="EH815" s="64"/>
      <c r="EI815" s="64"/>
      <c r="EJ815" s="64"/>
      <c r="EK815" s="64"/>
      <c r="EL815" s="64"/>
    </row>
    <row r="816" spans="131:142" x14ac:dyDescent="0.2">
      <c r="EA816" s="64"/>
      <c r="EB816" s="64"/>
      <c r="EC816" s="64"/>
      <c r="ED816" s="64"/>
      <c r="EE816" s="64"/>
      <c r="EF816" s="64"/>
      <c r="EG816" s="64"/>
      <c r="EH816" s="64"/>
      <c r="EI816" s="64"/>
      <c r="EJ816" s="64"/>
      <c r="EK816" s="64"/>
      <c r="EL816" s="64"/>
    </row>
    <row r="817" spans="131:142" x14ac:dyDescent="0.2">
      <c r="EA817" s="64"/>
      <c r="EB817" s="64"/>
      <c r="EC817" s="64"/>
      <c r="ED817" s="64"/>
      <c r="EE817" s="64"/>
      <c r="EF817" s="64"/>
      <c r="EG817" s="64"/>
      <c r="EH817" s="64"/>
      <c r="EI817" s="64"/>
      <c r="EJ817" s="64"/>
      <c r="EK817" s="64"/>
      <c r="EL817" s="64"/>
    </row>
    <row r="818" spans="131:142" x14ac:dyDescent="0.2">
      <c r="EA818" s="64"/>
      <c r="EB818" s="64"/>
      <c r="EC818" s="64"/>
      <c r="ED818" s="64"/>
      <c r="EE818" s="64"/>
      <c r="EF818" s="64"/>
      <c r="EG818" s="64"/>
      <c r="EH818" s="64"/>
      <c r="EI818" s="64"/>
      <c r="EJ818" s="64"/>
      <c r="EK818" s="64"/>
      <c r="EL818" s="64"/>
    </row>
    <row r="819" spans="131:142" x14ac:dyDescent="0.2">
      <c r="EA819" s="64"/>
      <c r="EB819" s="64"/>
      <c r="EC819" s="64"/>
      <c r="ED819" s="64"/>
      <c r="EE819" s="64"/>
      <c r="EF819" s="64"/>
      <c r="EG819" s="64"/>
      <c r="EH819" s="64"/>
      <c r="EI819" s="64"/>
      <c r="EJ819" s="64"/>
      <c r="EK819" s="64"/>
      <c r="EL819" s="64"/>
    </row>
    <row r="820" spans="131:142" x14ac:dyDescent="0.2">
      <c r="EA820" s="64"/>
      <c r="EB820" s="64"/>
      <c r="EC820" s="64"/>
      <c r="ED820" s="64"/>
      <c r="EE820" s="64"/>
      <c r="EF820" s="64"/>
      <c r="EG820" s="64"/>
      <c r="EH820" s="64"/>
      <c r="EI820" s="64"/>
      <c r="EJ820" s="64"/>
      <c r="EK820" s="64"/>
      <c r="EL820" s="64"/>
    </row>
    <row r="821" spans="131:142" x14ac:dyDescent="0.2">
      <c r="EA821" s="64"/>
      <c r="EB821" s="64"/>
      <c r="EC821" s="64"/>
      <c r="ED821" s="64"/>
      <c r="EE821" s="64"/>
      <c r="EF821" s="64"/>
      <c r="EG821" s="64"/>
      <c r="EH821" s="64"/>
      <c r="EI821" s="64"/>
      <c r="EJ821" s="64"/>
      <c r="EK821" s="64"/>
      <c r="EL821" s="64"/>
    </row>
    <row r="822" spans="131:142" x14ac:dyDescent="0.2">
      <c r="EA822" s="64"/>
      <c r="EB822" s="64"/>
      <c r="EC822" s="64"/>
      <c r="ED822" s="64"/>
      <c r="EE822" s="64"/>
      <c r="EF822" s="64"/>
      <c r="EG822" s="64"/>
      <c r="EH822" s="64"/>
      <c r="EI822" s="64"/>
      <c r="EJ822" s="64"/>
      <c r="EK822" s="64"/>
      <c r="EL822" s="64"/>
    </row>
    <row r="823" spans="131:142" x14ac:dyDescent="0.2">
      <c r="EA823" s="64"/>
      <c r="EB823" s="64"/>
      <c r="EC823" s="64"/>
      <c r="ED823" s="64"/>
      <c r="EE823" s="64"/>
      <c r="EF823" s="64"/>
      <c r="EG823" s="64"/>
      <c r="EH823" s="64"/>
      <c r="EI823" s="64"/>
      <c r="EJ823" s="64"/>
      <c r="EK823" s="64"/>
      <c r="EL823" s="64"/>
    </row>
    <row r="824" spans="131:142" x14ac:dyDescent="0.2">
      <c r="EA824" s="64"/>
      <c r="EB824" s="64"/>
      <c r="EC824" s="64"/>
      <c r="ED824" s="64"/>
      <c r="EE824" s="64"/>
      <c r="EF824" s="64"/>
      <c r="EG824" s="64"/>
      <c r="EH824" s="64"/>
      <c r="EI824" s="64"/>
      <c r="EJ824" s="64"/>
      <c r="EK824" s="64"/>
      <c r="EL824" s="64"/>
    </row>
    <row r="825" spans="131:142" x14ac:dyDescent="0.2">
      <c r="EA825" s="64"/>
      <c r="EB825" s="64"/>
      <c r="EC825" s="64"/>
      <c r="ED825" s="64"/>
      <c r="EE825" s="64"/>
      <c r="EF825" s="64"/>
      <c r="EG825" s="64"/>
      <c r="EH825" s="64"/>
      <c r="EI825" s="64"/>
      <c r="EJ825" s="64"/>
      <c r="EK825" s="64"/>
      <c r="EL825" s="64"/>
    </row>
    <row r="826" spans="131:142" x14ac:dyDescent="0.2">
      <c r="EA826" s="64"/>
      <c r="EB826" s="64"/>
      <c r="EC826" s="64"/>
      <c r="ED826" s="64"/>
      <c r="EE826" s="64"/>
      <c r="EF826" s="64"/>
      <c r="EG826" s="64"/>
      <c r="EH826" s="64"/>
      <c r="EI826" s="64"/>
      <c r="EJ826" s="64"/>
      <c r="EK826" s="64"/>
      <c r="EL826" s="64"/>
    </row>
    <row r="827" spans="131:142" x14ac:dyDescent="0.2">
      <c r="EA827" s="64"/>
      <c r="EB827" s="64"/>
      <c r="EC827" s="64"/>
      <c r="ED827" s="64"/>
      <c r="EE827" s="64"/>
      <c r="EF827" s="64"/>
      <c r="EG827" s="64"/>
      <c r="EH827" s="64"/>
      <c r="EI827" s="64"/>
      <c r="EJ827" s="64"/>
      <c r="EK827" s="64"/>
      <c r="EL827" s="64"/>
    </row>
    <row r="828" spans="131:142" x14ac:dyDescent="0.2">
      <c r="EA828" s="64"/>
      <c r="EB828" s="64"/>
      <c r="EC828" s="64"/>
      <c r="ED828" s="64"/>
      <c r="EE828" s="64"/>
      <c r="EF828" s="64"/>
      <c r="EG828" s="64"/>
      <c r="EH828" s="64"/>
      <c r="EI828" s="64"/>
      <c r="EJ828" s="64"/>
      <c r="EK828" s="64"/>
      <c r="EL828" s="64"/>
    </row>
    <row r="829" spans="131:142" x14ac:dyDescent="0.2">
      <c r="EA829" s="64"/>
      <c r="EB829" s="64"/>
      <c r="EC829" s="64"/>
      <c r="ED829" s="64"/>
      <c r="EE829" s="64"/>
      <c r="EF829" s="64"/>
      <c r="EG829" s="64"/>
      <c r="EH829" s="64"/>
      <c r="EI829" s="64"/>
      <c r="EJ829" s="64"/>
      <c r="EK829" s="64"/>
      <c r="EL829" s="64"/>
    </row>
    <row r="830" spans="131:142" x14ac:dyDescent="0.2">
      <c r="EA830" s="64"/>
      <c r="EB830" s="64"/>
      <c r="EC830" s="64"/>
      <c r="ED830" s="64"/>
      <c r="EE830" s="64"/>
      <c r="EF830" s="64"/>
      <c r="EG830" s="64"/>
      <c r="EH830" s="64"/>
      <c r="EI830" s="64"/>
      <c r="EJ830" s="64"/>
      <c r="EK830" s="64"/>
      <c r="EL830" s="64"/>
    </row>
    <row r="831" spans="131:142" x14ac:dyDescent="0.2">
      <c r="EA831" s="64"/>
      <c r="EB831" s="64"/>
      <c r="EC831" s="64"/>
      <c r="ED831" s="64"/>
      <c r="EE831" s="64"/>
      <c r="EF831" s="64"/>
      <c r="EG831" s="64"/>
      <c r="EH831" s="64"/>
      <c r="EI831" s="64"/>
      <c r="EJ831" s="64"/>
      <c r="EK831" s="64"/>
      <c r="EL831" s="64"/>
    </row>
    <row r="832" spans="131:142" x14ac:dyDescent="0.2">
      <c r="EA832" s="64"/>
      <c r="EB832" s="64"/>
      <c r="EC832" s="64"/>
      <c r="ED832" s="64"/>
      <c r="EE832" s="64"/>
      <c r="EF832" s="64"/>
      <c r="EG832" s="64"/>
      <c r="EH832" s="64"/>
      <c r="EI832" s="64"/>
      <c r="EJ832" s="64"/>
      <c r="EK832" s="64"/>
      <c r="EL832" s="64"/>
    </row>
    <row r="833" spans="131:142" x14ac:dyDescent="0.2">
      <c r="EA833" s="64"/>
      <c r="EB833" s="64"/>
      <c r="EC833" s="64"/>
      <c r="ED833" s="64"/>
      <c r="EE833" s="64"/>
      <c r="EF833" s="64"/>
      <c r="EG833" s="64"/>
      <c r="EH833" s="64"/>
      <c r="EI833" s="64"/>
      <c r="EJ833" s="64"/>
      <c r="EK833" s="64"/>
      <c r="EL833" s="64"/>
    </row>
    <row r="834" spans="131:142" x14ac:dyDescent="0.2">
      <c r="EA834" s="64"/>
      <c r="EB834" s="64"/>
      <c r="EC834" s="64"/>
      <c r="ED834" s="64"/>
      <c r="EE834" s="64"/>
      <c r="EF834" s="64"/>
      <c r="EG834" s="64"/>
      <c r="EH834" s="64"/>
      <c r="EI834" s="64"/>
      <c r="EJ834" s="64"/>
      <c r="EK834" s="64"/>
      <c r="EL834" s="64"/>
    </row>
    <row r="835" spans="131:142" x14ac:dyDescent="0.2">
      <c r="EA835" s="64"/>
      <c r="EB835" s="64"/>
      <c r="EC835" s="64"/>
      <c r="ED835" s="64"/>
      <c r="EE835" s="64"/>
      <c r="EF835" s="64"/>
      <c r="EG835" s="64"/>
      <c r="EH835" s="64"/>
      <c r="EI835" s="64"/>
      <c r="EJ835" s="64"/>
      <c r="EK835" s="64"/>
      <c r="EL835" s="64"/>
    </row>
    <row r="836" spans="131:142" x14ac:dyDescent="0.2">
      <c r="EA836" s="64"/>
      <c r="EB836" s="64"/>
      <c r="EC836" s="64"/>
      <c r="ED836" s="64"/>
      <c r="EE836" s="64"/>
      <c r="EF836" s="64"/>
      <c r="EG836" s="64"/>
      <c r="EH836" s="64"/>
      <c r="EI836" s="64"/>
      <c r="EJ836" s="64"/>
      <c r="EK836" s="64"/>
      <c r="EL836" s="64"/>
    </row>
    <row r="837" spans="131:142" x14ac:dyDescent="0.2">
      <c r="EA837" s="64"/>
      <c r="EB837" s="64"/>
      <c r="EC837" s="64"/>
      <c r="ED837" s="64"/>
      <c r="EE837" s="64"/>
      <c r="EF837" s="64"/>
      <c r="EG837" s="64"/>
      <c r="EH837" s="64"/>
      <c r="EI837" s="64"/>
      <c r="EJ837" s="64"/>
      <c r="EK837" s="64"/>
      <c r="EL837" s="64"/>
    </row>
    <row r="838" spans="131:142" x14ac:dyDescent="0.2">
      <c r="EA838" s="64"/>
      <c r="EB838" s="64"/>
      <c r="EC838" s="64"/>
      <c r="ED838" s="64"/>
      <c r="EE838" s="64"/>
      <c r="EF838" s="64"/>
      <c r="EG838" s="64"/>
      <c r="EH838" s="64"/>
      <c r="EI838" s="64"/>
      <c r="EJ838" s="64"/>
      <c r="EK838" s="64"/>
      <c r="EL838" s="64"/>
    </row>
    <row r="839" spans="131:142" x14ac:dyDescent="0.2">
      <c r="EA839" s="64"/>
      <c r="EB839" s="64"/>
      <c r="EC839" s="64"/>
      <c r="ED839" s="64"/>
      <c r="EE839" s="64"/>
      <c r="EF839" s="64"/>
      <c r="EG839" s="64"/>
      <c r="EH839" s="64"/>
      <c r="EI839" s="64"/>
      <c r="EJ839" s="64"/>
      <c r="EK839" s="64"/>
      <c r="EL839" s="64"/>
    </row>
    <row r="840" spans="131:142" x14ac:dyDescent="0.2">
      <c r="EA840" s="64"/>
      <c r="EB840" s="64"/>
      <c r="EC840" s="64"/>
      <c r="ED840" s="64"/>
      <c r="EE840" s="64"/>
      <c r="EF840" s="64"/>
      <c r="EG840" s="64"/>
      <c r="EH840" s="64"/>
      <c r="EI840" s="64"/>
      <c r="EJ840" s="64"/>
      <c r="EK840" s="64"/>
      <c r="EL840" s="64"/>
    </row>
    <row r="841" spans="131:142" x14ac:dyDescent="0.2">
      <c r="EA841" s="64"/>
      <c r="EB841" s="64"/>
      <c r="EC841" s="64"/>
      <c r="ED841" s="64"/>
      <c r="EE841" s="64"/>
      <c r="EF841" s="64"/>
      <c r="EG841" s="64"/>
      <c r="EH841" s="64"/>
      <c r="EI841" s="64"/>
      <c r="EJ841" s="64"/>
      <c r="EK841" s="64"/>
      <c r="EL841" s="64"/>
    </row>
    <row r="842" spans="131:142" x14ac:dyDescent="0.2">
      <c r="EA842" s="64"/>
      <c r="EB842" s="64"/>
      <c r="EC842" s="64"/>
      <c r="ED842" s="64"/>
      <c r="EE842" s="64"/>
      <c r="EF842" s="64"/>
      <c r="EG842" s="64"/>
      <c r="EH842" s="64"/>
      <c r="EI842" s="64"/>
      <c r="EJ842" s="64"/>
      <c r="EK842" s="64"/>
      <c r="EL842" s="64"/>
    </row>
    <row r="843" spans="131:142" x14ac:dyDescent="0.2">
      <c r="EA843" s="64"/>
      <c r="EB843" s="64"/>
      <c r="EC843" s="64"/>
      <c r="ED843" s="64"/>
      <c r="EE843" s="64"/>
      <c r="EF843" s="64"/>
      <c r="EG843" s="64"/>
      <c r="EH843" s="64"/>
      <c r="EI843" s="64"/>
      <c r="EJ843" s="64"/>
      <c r="EK843" s="64"/>
      <c r="EL843" s="64"/>
    </row>
    <row r="844" spans="131:142" x14ac:dyDescent="0.2">
      <c r="EA844" s="64"/>
      <c r="EB844" s="64"/>
      <c r="EC844" s="64"/>
      <c r="ED844" s="64"/>
      <c r="EE844" s="64"/>
      <c r="EF844" s="64"/>
      <c r="EG844" s="64"/>
      <c r="EH844" s="64"/>
      <c r="EI844" s="64"/>
      <c r="EJ844" s="64"/>
      <c r="EK844" s="64"/>
      <c r="EL844" s="64"/>
    </row>
    <row r="845" spans="131:142" x14ac:dyDescent="0.2">
      <c r="EA845" s="64"/>
      <c r="EB845" s="64"/>
      <c r="EC845" s="64"/>
      <c r="ED845" s="64"/>
      <c r="EE845" s="64"/>
      <c r="EF845" s="64"/>
      <c r="EG845" s="64"/>
      <c r="EH845" s="64"/>
      <c r="EI845" s="64"/>
      <c r="EJ845" s="64"/>
      <c r="EK845" s="64"/>
      <c r="EL845" s="64"/>
    </row>
    <row r="846" spans="131:142" x14ac:dyDescent="0.2">
      <c r="EA846" s="64"/>
      <c r="EB846" s="64"/>
      <c r="EC846" s="64"/>
      <c r="ED846" s="64"/>
      <c r="EE846" s="64"/>
      <c r="EF846" s="64"/>
      <c r="EG846" s="64"/>
      <c r="EH846" s="64"/>
      <c r="EI846" s="64"/>
      <c r="EJ846" s="64"/>
      <c r="EK846" s="64"/>
      <c r="EL846" s="64"/>
    </row>
    <row r="847" spans="131:142" x14ac:dyDescent="0.2">
      <c r="EA847" s="64"/>
      <c r="EB847" s="64"/>
      <c r="EC847" s="64"/>
      <c r="ED847" s="64"/>
      <c r="EE847" s="64"/>
      <c r="EF847" s="64"/>
      <c r="EG847" s="64"/>
      <c r="EH847" s="64"/>
      <c r="EI847" s="64"/>
      <c r="EJ847" s="64"/>
      <c r="EK847" s="64"/>
      <c r="EL847" s="64"/>
    </row>
    <row r="848" spans="131:142" x14ac:dyDescent="0.2">
      <c r="EA848" s="64"/>
      <c r="EB848" s="64"/>
      <c r="EC848" s="64"/>
      <c r="ED848" s="64"/>
      <c r="EE848" s="64"/>
      <c r="EF848" s="64"/>
      <c r="EG848" s="64"/>
      <c r="EH848" s="64"/>
      <c r="EI848" s="64"/>
      <c r="EJ848" s="64"/>
      <c r="EK848" s="64"/>
      <c r="EL848" s="64"/>
    </row>
    <row r="849" spans="131:142" x14ac:dyDescent="0.2">
      <c r="EA849" s="64"/>
      <c r="EB849" s="64"/>
      <c r="EC849" s="64"/>
      <c r="ED849" s="64"/>
      <c r="EE849" s="64"/>
      <c r="EF849" s="64"/>
      <c r="EG849" s="64"/>
      <c r="EH849" s="64"/>
      <c r="EI849" s="64"/>
      <c r="EJ849" s="64"/>
      <c r="EK849" s="64"/>
      <c r="EL849" s="64"/>
    </row>
    <row r="850" spans="131:142" x14ac:dyDescent="0.2">
      <c r="EA850" s="64"/>
      <c r="EB850" s="64"/>
      <c r="EC850" s="64"/>
      <c r="ED850" s="64"/>
      <c r="EE850" s="64"/>
      <c r="EF850" s="64"/>
      <c r="EG850" s="64"/>
      <c r="EH850" s="64"/>
      <c r="EI850" s="64"/>
      <c r="EJ850" s="64"/>
      <c r="EK850" s="64"/>
      <c r="EL850" s="64"/>
    </row>
    <row r="851" spans="131:142" x14ac:dyDescent="0.2">
      <c r="EA851" s="64"/>
      <c r="EB851" s="64"/>
      <c r="EC851" s="64"/>
      <c r="ED851" s="64"/>
      <c r="EE851" s="64"/>
      <c r="EF851" s="64"/>
      <c r="EG851" s="64"/>
      <c r="EH851" s="64"/>
      <c r="EI851" s="64"/>
      <c r="EJ851" s="64"/>
      <c r="EK851" s="64"/>
      <c r="EL851" s="64"/>
    </row>
    <row r="852" spans="131:142" x14ac:dyDescent="0.2">
      <c r="EA852" s="64"/>
      <c r="EB852" s="64"/>
      <c r="EC852" s="64"/>
      <c r="ED852" s="64"/>
      <c r="EE852" s="64"/>
      <c r="EF852" s="64"/>
      <c r="EG852" s="64"/>
      <c r="EH852" s="64"/>
      <c r="EI852" s="64"/>
      <c r="EJ852" s="64"/>
      <c r="EK852" s="64"/>
      <c r="EL852" s="64"/>
    </row>
    <row r="853" spans="131:142" x14ac:dyDescent="0.2">
      <c r="EA853" s="64"/>
      <c r="EB853" s="64"/>
      <c r="EC853" s="64"/>
      <c r="ED853" s="64"/>
      <c r="EE853" s="64"/>
      <c r="EF853" s="64"/>
      <c r="EG853" s="64"/>
      <c r="EH853" s="64"/>
      <c r="EI853" s="64"/>
      <c r="EJ853" s="64"/>
      <c r="EK853" s="64"/>
      <c r="EL853" s="64"/>
    </row>
    <row r="854" spans="131:142" x14ac:dyDescent="0.2">
      <c r="EA854" s="64"/>
      <c r="EB854" s="64"/>
      <c r="EC854" s="64"/>
      <c r="ED854" s="64"/>
      <c r="EE854" s="64"/>
      <c r="EF854" s="64"/>
      <c r="EG854" s="64"/>
      <c r="EH854" s="64"/>
      <c r="EI854" s="64"/>
      <c r="EJ854" s="64"/>
      <c r="EK854" s="64"/>
      <c r="EL854" s="64"/>
    </row>
    <row r="855" spans="131:142" x14ac:dyDescent="0.2">
      <c r="EA855" s="64"/>
      <c r="EB855" s="64"/>
      <c r="EC855" s="64"/>
      <c r="ED855" s="64"/>
      <c r="EE855" s="64"/>
      <c r="EF855" s="64"/>
      <c r="EG855" s="64"/>
      <c r="EH855" s="64"/>
      <c r="EI855" s="64"/>
      <c r="EJ855" s="64"/>
      <c r="EK855" s="64"/>
      <c r="EL855" s="64"/>
    </row>
    <row r="856" spans="131:142" x14ac:dyDescent="0.2">
      <c r="EA856" s="64"/>
      <c r="EB856" s="64"/>
      <c r="EC856" s="64"/>
      <c r="ED856" s="64"/>
      <c r="EE856" s="64"/>
      <c r="EF856" s="64"/>
      <c r="EG856" s="64"/>
      <c r="EH856" s="64"/>
      <c r="EI856" s="64"/>
      <c r="EJ856" s="64"/>
      <c r="EK856" s="64"/>
      <c r="EL856" s="64"/>
    </row>
    <row r="857" spans="131:142" x14ac:dyDescent="0.2">
      <c r="EA857" s="64"/>
      <c r="EB857" s="64"/>
      <c r="EC857" s="64"/>
      <c r="ED857" s="64"/>
      <c r="EE857" s="64"/>
      <c r="EF857" s="64"/>
      <c r="EG857" s="64"/>
      <c r="EH857" s="64"/>
      <c r="EI857" s="64"/>
      <c r="EJ857" s="64"/>
      <c r="EK857" s="64"/>
      <c r="EL857" s="64"/>
    </row>
    <row r="858" spans="131:142" x14ac:dyDescent="0.2">
      <c r="EA858" s="64"/>
      <c r="EB858" s="64"/>
      <c r="EC858" s="64"/>
      <c r="ED858" s="64"/>
      <c r="EE858" s="64"/>
      <c r="EF858" s="64"/>
      <c r="EG858" s="64"/>
      <c r="EH858" s="64"/>
      <c r="EI858" s="64"/>
      <c r="EJ858" s="64"/>
      <c r="EK858" s="64"/>
      <c r="EL858" s="64"/>
    </row>
    <row r="859" spans="131:142" x14ac:dyDescent="0.2">
      <c r="EA859" s="64"/>
      <c r="EB859" s="64"/>
      <c r="EC859" s="64"/>
      <c r="ED859" s="64"/>
      <c r="EE859" s="64"/>
      <c r="EF859" s="64"/>
      <c r="EG859" s="64"/>
      <c r="EH859" s="64"/>
      <c r="EI859" s="64"/>
      <c r="EJ859" s="64"/>
      <c r="EK859" s="64"/>
      <c r="EL859" s="64"/>
    </row>
    <row r="860" spans="131:142" x14ac:dyDescent="0.2">
      <c r="EA860" s="64"/>
      <c r="EB860" s="64"/>
      <c r="EC860" s="64"/>
      <c r="ED860" s="64"/>
      <c r="EE860" s="64"/>
      <c r="EF860" s="64"/>
      <c r="EG860" s="64"/>
      <c r="EH860" s="64"/>
      <c r="EI860" s="64"/>
      <c r="EJ860" s="64"/>
      <c r="EK860" s="64"/>
      <c r="EL860" s="64"/>
    </row>
    <row r="861" spans="131:142" x14ac:dyDescent="0.2">
      <c r="EA861" s="64"/>
      <c r="EB861" s="64"/>
      <c r="EC861" s="64"/>
      <c r="ED861" s="64"/>
      <c r="EE861" s="64"/>
      <c r="EF861" s="64"/>
      <c r="EG861" s="64"/>
      <c r="EH861" s="64"/>
      <c r="EI861" s="64"/>
      <c r="EJ861" s="64"/>
      <c r="EK861" s="64"/>
      <c r="EL861" s="64"/>
    </row>
    <row r="862" spans="131:142" x14ac:dyDescent="0.2">
      <c r="EA862" s="64"/>
      <c r="EB862" s="64"/>
      <c r="EC862" s="64"/>
      <c r="ED862" s="64"/>
      <c r="EE862" s="64"/>
      <c r="EF862" s="64"/>
      <c r="EG862" s="64"/>
      <c r="EH862" s="64"/>
      <c r="EI862" s="64"/>
      <c r="EJ862" s="64"/>
      <c r="EK862" s="64"/>
      <c r="EL862" s="64"/>
    </row>
    <row r="863" spans="131:142" x14ac:dyDescent="0.2">
      <c r="EA863" s="64"/>
      <c r="EB863" s="64"/>
      <c r="EC863" s="64"/>
      <c r="ED863" s="64"/>
      <c r="EE863" s="64"/>
      <c r="EF863" s="64"/>
      <c r="EG863" s="64"/>
      <c r="EH863" s="64"/>
      <c r="EI863" s="64"/>
      <c r="EJ863" s="64"/>
      <c r="EK863" s="64"/>
      <c r="EL863" s="64"/>
    </row>
    <row r="864" spans="131:142" x14ac:dyDescent="0.2">
      <c r="EA864" s="64"/>
      <c r="EB864" s="64"/>
      <c r="EC864" s="64"/>
      <c r="ED864" s="64"/>
      <c r="EE864" s="64"/>
      <c r="EF864" s="64"/>
      <c r="EG864" s="64"/>
      <c r="EH864" s="64"/>
      <c r="EI864" s="64"/>
      <c r="EJ864" s="64"/>
      <c r="EK864" s="64"/>
      <c r="EL864" s="64"/>
    </row>
    <row r="865" spans="131:142" x14ac:dyDescent="0.2">
      <c r="EA865" s="64"/>
      <c r="EB865" s="64"/>
      <c r="EC865" s="64"/>
      <c r="ED865" s="64"/>
      <c r="EE865" s="64"/>
      <c r="EF865" s="64"/>
      <c r="EG865" s="64"/>
      <c r="EH865" s="64"/>
      <c r="EI865" s="64"/>
      <c r="EJ865" s="64"/>
      <c r="EK865" s="64"/>
      <c r="EL865" s="64"/>
    </row>
    <row r="866" spans="131:142" x14ac:dyDescent="0.2">
      <c r="EA866" s="64"/>
      <c r="EB866" s="64"/>
      <c r="EC866" s="64"/>
      <c r="ED866" s="64"/>
      <c r="EE866" s="64"/>
      <c r="EF866" s="64"/>
      <c r="EG866" s="64"/>
      <c r="EH866" s="64"/>
      <c r="EI866" s="64"/>
      <c r="EJ866" s="64"/>
      <c r="EK866" s="64"/>
      <c r="EL866" s="64"/>
    </row>
    <row r="867" spans="131:142" x14ac:dyDescent="0.2">
      <c r="EA867" s="64"/>
      <c r="EB867" s="64"/>
      <c r="EC867" s="64"/>
      <c r="ED867" s="64"/>
      <c r="EE867" s="64"/>
      <c r="EF867" s="64"/>
      <c r="EG867" s="64"/>
      <c r="EH867" s="64"/>
      <c r="EI867" s="64"/>
      <c r="EJ867" s="64"/>
      <c r="EK867" s="64"/>
      <c r="EL867" s="64"/>
    </row>
    <row r="868" spans="131:142" x14ac:dyDescent="0.2">
      <c r="EA868" s="64"/>
      <c r="EB868" s="64"/>
      <c r="EC868" s="64"/>
      <c r="ED868" s="64"/>
      <c r="EE868" s="64"/>
      <c r="EF868" s="64"/>
      <c r="EG868" s="64"/>
      <c r="EH868" s="64"/>
      <c r="EI868" s="64"/>
      <c r="EJ868" s="64"/>
      <c r="EK868" s="64"/>
      <c r="EL868" s="64"/>
    </row>
    <row r="869" spans="131:142" x14ac:dyDescent="0.2">
      <c r="EA869" s="64"/>
      <c r="EB869" s="64"/>
      <c r="EC869" s="64"/>
      <c r="ED869" s="64"/>
      <c r="EE869" s="64"/>
      <c r="EF869" s="64"/>
      <c r="EG869" s="64"/>
      <c r="EH869" s="64"/>
      <c r="EI869" s="64"/>
      <c r="EJ869" s="64"/>
      <c r="EK869" s="64"/>
      <c r="EL869" s="64"/>
    </row>
    <row r="870" spans="131:142" x14ac:dyDescent="0.2">
      <c r="EA870" s="64"/>
      <c r="EB870" s="64"/>
      <c r="EC870" s="64"/>
      <c r="ED870" s="64"/>
      <c r="EE870" s="64"/>
      <c r="EF870" s="64"/>
      <c r="EG870" s="64"/>
      <c r="EH870" s="64"/>
      <c r="EI870" s="64"/>
      <c r="EJ870" s="64"/>
      <c r="EK870" s="64"/>
      <c r="EL870" s="64"/>
    </row>
    <row r="871" spans="131:142" x14ac:dyDescent="0.2">
      <c r="EA871" s="64"/>
      <c r="EB871" s="64"/>
      <c r="EC871" s="64"/>
      <c r="ED871" s="64"/>
      <c r="EE871" s="64"/>
      <c r="EF871" s="64"/>
      <c r="EG871" s="64"/>
      <c r="EH871" s="64"/>
      <c r="EI871" s="64"/>
      <c r="EJ871" s="64"/>
      <c r="EK871" s="64"/>
      <c r="EL871" s="64"/>
    </row>
    <row r="872" spans="131:142" x14ac:dyDescent="0.2">
      <c r="EA872" s="64"/>
      <c r="EB872" s="64"/>
      <c r="EC872" s="64"/>
      <c r="ED872" s="64"/>
      <c r="EE872" s="64"/>
      <c r="EF872" s="64"/>
      <c r="EG872" s="64"/>
      <c r="EH872" s="64"/>
      <c r="EI872" s="64"/>
      <c r="EJ872" s="64"/>
      <c r="EK872" s="64"/>
      <c r="EL872" s="64"/>
    </row>
    <row r="873" spans="131:142" x14ac:dyDescent="0.2">
      <c r="EA873" s="64"/>
      <c r="EB873" s="64"/>
      <c r="EC873" s="64"/>
      <c r="ED873" s="64"/>
      <c r="EE873" s="64"/>
      <c r="EF873" s="64"/>
      <c r="EG873" s="64"/>
      <c r="EH873" s="64"/>
      <c r="EI873" s="64"/>
      <c r="EJ873" s="64"/>
      <c r="EK873" s="64"/>
      <c r="EL873" s="64"/>
    </row>
    <row r="874" spans="131:142" x14ac:dyDescent="0.2">
      <c r="EA874" s="64"/>
      <c r="EB874" s="64"/>
      <c r="EC874" s="64"/>
      <c r="ED874" s="64"/>
      <c r="EE874" s="64"/>
      <c r="EF874" s="64"/>
      <c r="EG874" s="64"/>
      <c r="EH874" s="64"/>
      <c r="EI874" s="64"/>
      <c r="EJ874" s="64"/>
      <c r="EK874" s="64"/>
      <c r="EL874" s="64"/>
    </row>
    <row r="875" spans="131:142" x14ac:dyDescent="0.2">
      <c r="EA875" s="64"/>
      <c r="EB875" s="64"/>
      <c r="EC875" s="64"/>
      <c r="ED875" s="64"/>
      <c r="EE875" s="64"/>
      <c r="EF875" s="64"/>
      <c r="EG875" s="64"/>
      <c r="EH875" s="64"/>
      <c r="EI875" s="64"/>
      <c r="EJ875" s="64"/>
      <c r="EK875" s="64"/>
      <c r="EL875" s="64"/>
    </row>
    <row r="876" spans="131:142" x14ac:dyDescent="0.2">
      <c r="EA876" s="64"/>
      <c r="EB876" s="64"/>
      <c r="EC876" s="64"/>
      <c r="ED876" s="64"/>
      <c r="EE876" s="64"/>
      <c r="EF876" s="64"/>
      <c r="EG876" s="64"/>
      <c r="EH876" s="64"/>
      <c r="EI876" s="64"/>
      <c r="EJ876" s="64"/>
      <c r="EK876" s="64"/>
      <c r="EL876" s="64"/>
    </row>
    <row r="877" spans="131:142" x14ac:dyDescent="0.2">
      <c r="EA877" s="64"/>
      <c r="EB877" s="64"/>
      <c r="EC877" s="64"/>
      <c r="ED877" s="64"/>
      <c r="EE877" s="64"/>
      <c r="EF877" s="64"/>
      <c r="EG877" s="64"/>
      <c r="EH877" s="64"/>
      <c r="EI877" s="64"/>
      <c r="EJ877" s="64"/>
      <c r="EK877" s="64"/>
      <c r="EL877" s="64"/>
    </row>
    <row r="878" spans="131:142" x14ac:dyDescent="0.2">
      <c r="EA878" s="64"/>
      <c r="EB878" s="64"/>
      <c r="EC878" s="64"/>
      <c r="ED878" s="64"/>
      <c r="EE878" s="64"/>
      <c r="EF878" s="64"/>
      <c r="EG878" s="64"/>
      <c r="EH878" s="64"/>
      <c r="EI878" s="64"/>
      <c r="EJ878" s="64"/>
      <c r="EK878" s="64"/>
      <c r="EL878" s="64"/>
    </row>
    <row r="879" spans="131:142" x14ac:dyDescent="0.2">
      <c r="EA879" s="64"/>
      <c r="EB879" s="64"/>
      <c r="EC879" s="64"/>
      <c r="ED879" s="64"/>
      <c r="EE879" s="64"/>
      <c r="EF879" s="64"/>
      <c r="EG879" s="64"/>
      <c r="EH879" s="64"/>
      <c r="EI879" s="64"/>
      <c r="EJ879" s="64"/>
      <c r="EK879" s="64"/>
      <c r="EL879" s="64"/>
    </row>
    <row r="880" spans="131:142" x14ac:dyDescent="0.2">
      <c r="EA880" s="64"/>
      <c r="EB880" s="64"/>
      <c r="EC880" s="64"/>
      <c r="ED880" s="64"/>
      <c r="EE880" s="64"/>
      <c r="EF880" s="64"/>
      <c r="EG880" s="64"/>
      <c r="EH880" s="64"/>
      <c r="EI880" s="64"/>
      <c r="EJ880" s="64"/>
      <c r="EK880" s="64"/>
      <c r="EL880" s="64"/>
    </row>
    <row r="881" spans="131:142" x14ac:dyDescent="0.2">
      <c r="EA881" s="64"/>
      <c r="EB881" s="64"/>
      <c r="EC881" s="64"/>
      <c r="ED881" s="64"/>
      <c r="EE881" s="64"/>
      <c r="EF881" s="64"/>
      <c r="EG881" s="64"/>
      <c r="EH881" s="64"/>
      <c r="EI881" s="64"/>
      <c r="EJ881" s="64"/>
      <c r="EK881" s="64"/>
      <c r="EL881" s="64"/>
    </row>
    <row r="882" spans="131:142" x14ac:dyDescent="0.2">
      <c r="EA882" s="64"/>
      <c r="EB882" s="64"/>
      <c r="EC882" s="64"/>
      <c r="ED882" s="64"/>
      <c r="EE882" s="64"/>
      <c r="EF882" s="64"/>
      <c r="EG882" s="64"/>
      <c r="EH882" s="64"/>
      <c r="EI882" s="64"/>
      <c r="EJ882" s="64"/>
      <c r="EK882" s="64"/>
      <c r="EL882" s="64"/>
    </row>
    <row r="883" spans="131:142" x14ac:dyDescent="0.2">
      <c r="EA883" s="64"/>
      <c r="EB883" s="64"/>
      <c r="EC883" s="64"/>
      <c r="ED883" s="64"/>
      <c r="EE883" s="64"/>
      <c r="EF883" s="64"/>
      <c r="EG883" s="64"/>
      <c r="EH883" s="64"/>
      <c r="EI883" s="64"/>
      <c r="EJ883" s="64"/>
      <c r="EK883" s="64"/>
      <c r="EL883" s="64"/>
    </row>
    <row r="884" spans="131:142" x14ac:dyDescent="0.2">
      <c r="EA884" s="64"/>
      <c r="EB884" s="64"/>
      <c r="EC884" s="64"/>
      <c r="ED884" s="64"/>
      <c r="EE884" s="64"/>
      <c r="EF884" s="64"/>
      <c r="EG884" s="64"/>
      <c r="EH884" s="64"/>
      <c r="EI884" s="64"/>
      <c r="EJ884" s="64"/>
      <c r="EK884" s="64"/>
      <c r="EL884" s="64"/>
    </row>
    <row r="885" spans="131:142" x14ac:dyDescent="0.2">
      <c r="EA885" s="64"/>
      <c r="EB885" s="64"/>
      <c r="EC885" s="64"/>
      <c r="ED885" s="64"/>
      <c r="EE885" s="64"/>
      <c r="EF885" s="64"/>
      <c r="EG885" s="64"/>
      <c r="EH885" s="64"/>
      <c r="EI885" s="64"/>
      <c r="EJ885" s="64"/>
      <c r="EK885" s="64"/>
      <c r="EL885" s="64"/>
    </row>
    <row r="886" spans="131:142" x14ac:dyDescent="0.2">
      <c r="EA886" s="64"/>
      <c r="EB886" s="64"/>
      <c r="EC886" s="64"/>
      <c r="ED886" s="64"/>
      <c r="EE886" s="64"/>
      <c r="EF886" s="64"/>
      <c r="EG886" s="64"/>
      <c r="EH886" s="64"/>
      <c r="EI886" s="64"/>
      <c r="EJ886" s="64"/>
      <c r="EK886" s="64"/>
      <c r="EL886" s="64"/>
    </row>
    <row r="887" spans="131:142" x14ac:dyDescent="0.2">
      <c r="EA887" s="64"/>
      <c r="EB887" s="64"/>
      <c r="EC887" s="64"/>
      <c r="ED887" s="64"/>
      <c r="EE887" s="64"/>
      <c r="EF887" s="64"/>
      <c r="EG887" s="64"/>
      <c r="EH887" s="64"/>
      <c r="EI887" s="64"/>
      <c r="EJ887" s="64"/>
      <c r="EK887" s="64"/>
      <c r="EL887" s="64"/>
    </row>
    <row r="888" spans="131:142" x14ac:dyDescent="0.2">
      <c r="EA888" s="64"/>
      <c r="EB888" s="64"/>
      <c r="EC888" s="64"/>
      <c r="ED888" s="64"/>
      <c r="EE888" s="64"/>
      <c r="EF888" s="64"/>
      <c r="EG888" s="64"/>
      <c r="EH888" s="64"/>
      <c r="EI888" s="64"/>
      <c r="EJ888" s="64"/>
      <c r="EK888" s="64"/>
      <c r="EL888" s="64"/>
    </row>
    <row r="889" spans="131:142" x14ac:dyDescent="0.2">
      <c r="EA889" s="64"/>
      <c r="EB889" s="64"/>
      <c r="EC889" s="64"/>
      <c r="ED889" s="64"/>
      <c r="EE889" s="64"/>
      <c r="EF889" s="64"/>
      <c r="EG889" s="64"/>
      <c r="EH889" s="64"/>
      <c r="EI889" s="64"/>
      <c r="EJ889" s="64"/>
      <c r="EK889" s="64"/>
      <c r="EL889" s="64"/>
    </row>
    <row r="890" spans="131:142" x14ac:dyDescent="0.2">
      <c r="EA890" s="64"/>
      <c r="EB890" s="64"/>
      <c r="EC890" s="64"/>
      <c r="ED890" s="64"/>
      <c r="EE890" s="64"/>
      <c r="EF890" s="64"/>
      <c r="EG890" s="64"/>
      <c r="EH890" s="64"/>
      <c r="EI890" s="64"/>
      <c r="EJ890" s="64"/>
      <c r="EK890" s="64"/>
      <c r="EL890" s="64"/>
    </row>
    <row r="891" spans="131:142" x14ac:dyDescent="0.2">
      <c r="EA891" s="64"/>
      <c r="EB891" s="64"/>
      <c r="EC891" s="64"/>
      <c r="ED891" s="64"/>
      <c r="EE891" s="64"/>
      <c r="EF891" s="64"/>
      <c r="EG891" s="64"/>
      <c r="EH891" s="64"/>
      <c r="EI891" s="64"/>
      <c r="EJ891" s="64"/>
      <c r="EK891" s="64"/>
      <c r="EL891" s="64"/>
    </row>
    <row r="892" spans="131:142" x14ac:dyDescent="0.2">
      <c r="EA892" s="64"/>
      <c r="EB892" s="64"/>
      <c r="EC892" s="64"/>
      <c r="ED892" s="64"/>
      <c r="EE892" s="64"/>
      <c r="EF892" s="64"/>
      <c r="EG892" s="64"/>
      <c r="EH892" s="64"/>
      <c r="EI892" s="64"/>
      <c r="EJ892" s="64"/>
      <c r="EK892" s="64"/>
      <c r="EL892" s="64"/>
    </row>
    <row r="893" spans="131:142" x14ac:dyDescent="0.2">
      <c r="EA893" s="64"/>
      <c r="EB893" s="64"/>
      <c r="EC893" s="64"/>
      <c r="ED893" s="64"/>
      <c r="EE893" s="64"/>
      <c r="EF893" s="64"/>
      <c r="EG893" s="64"/>
      <c r="EH893" s="64"/>
      <c r="EI893" s="64"/>
      <c r="EJ893" s="64"/>
      <c r="EK893" s="64"/>
      <c r="EL893" s="64"/>
    </row>
    <row r="894" spans="131:142" x14ac:dyDescent="0.2">
      <c r="EA894" s="64"/>
      <c r="EB894" s="64"/>
      <c r="EC894" s="64"/>
      <c r="ED894" s="64"/>
      <c r="EE894" s="64"/>
      <c r="EF894" s="64"/>
      <c r="EG894" s="64"/>
      <c r="EH894" s="64"/>
      <c r="EI894" s="64"/>
      <c r="EJ894" s="64"/>
      <c r="EK894" s="64"/>
      <c r="EL894" s="64"/>
    </row>
    <row r="895" spans="131:142" x14ac:dyDescent="0.2">
      <c r="EA895" s="64"/>
      <c r="EB895" s="64"/>
      <c r="EC895" s="64"/>
      <c r="ED895" s="64"/>
      <c r="EE895" s="64"/>
      <c r="EF895" s="64"/>
      <c r="EG895" s="64"/>
      <c r="EH895" s="64"/>
      <c r="EI895" s="64"/>
      <c r="EJ895" s="64"/>
      <c r="EK895" s="64"/>
      <c r="EL895" s="64"/>
    </row>
    <row r="896" spans="131:142" x14ac:dyDescent="0.2">
      <c r="EA896" s="64"/>
      <c r="EB896" s="64"/>
      <c r="EC896" s="64"/>
      <c r="ED896" s="64"/>
      <c r="EE896" s="64"/>
      <c r="EF896" s="64"/>
      <c r="EG896" s="64"/>
      <c r="EH896" s="64"/>
      <c r="EI896" s="64"/>
      <c r="EJ896" s="64"/>
      <c r="EK896" s="64"/>
      <c r="EL896" s="64"/>
    </row>
    <row r="897" spans="131:142" x14ac:dyDescent="0.2">
      <c r="EA897" s="64"/>
      <c r="EB897" s="64"/>
      <c r="EC897" s="64"/>
      <c r="ED897" s="64"/>
      <c r="EE897" s="64"/>
      <c r="EF897" s="64"/>
      <c r="EG897" s="64"/>
      <c r="EH897" s="64"/>
      <c r="EI897" s="64"/>
      <c r="EJ897" s="64"/>
      <c r="EK897" s="64"/>
      <c r="EL897" s="64"/>
    </row>
    <row r="898" spans="131:142" x14ac:dyDescent="0.2">
      <c r="EA898" s="64"/>
      <c r="EB898" s="64"/>
      <c r="EC898" s="64"/>
      <c r="ED898" s="64"/>
      <c r="EE898" s="64"/>
      <c r="EF898" s="64"/>
      <c r="EG898" s="64"/>
      <c r="EH898" s="64"/>
      <c r="EI898" s="64"/>
      <c r="EJ898" s="64"/>
      <c r="EK898" s="64"/>
      <c r="EL898" s="64"/>
    </row>
    <row r="899" spans="131:142" x14ac:dyDescent="0.2">
      <c r="EA899" s="64"/>
      <c r="EB899" s="64"/>
      <c r="EC899" s="64"/>
      <c r="ED899" s="64"/>
      <c r="EE899" s="64"/>
      <c r="EF899" s="64"/>
      <c r="EG899" s="64"/>
      <c r="EH899" s="64"/>
      <c r="EI899" s="64"/>
      <c r="EJ899" s="64"/>
      <c r="EK899" s="64"/>
      <c r="EL899" s="64"/>
    </row>
    <row r="900" spans="131:142" x14ac:dyDescent="0.2">
      <c r="EA900" s="64"/>
      <c r="EB900" s="64"/>
      <c r="EC900" s="64"/>
      <c r="ED900" s="64"/>
      <c r="EE900" s="64"/>
      <c r="EF900" s="64"/>
      <c r="EG900" s="64"/>
      <c r="EH900" s="64"/>
      <c r="EI900" s="64"/>
      <c r="EJ900" s="64"/>
      <c r="EK900" s="64"/>
      <c r="EL900" s="64"/>
    </row>
    <row r="901" spans="131:142" x14ac:dyDescent="0.2">
      <c r="EA901" s="64"/>
      <c r="EB901" s="64"/>
      <c r="EC901" s="64"/>
      <c r="ED901" s="64"/>
      <c r="EE901" s="64"/>
      <c r="EF901" s="64"/>
      <c r="EG901" s="64"/>
      <c r="EH901" s="64"/>
      <c r="EI901" s="64"/>
      <c r="EJ901" s="64"/>
      <c r="EK901" s="64"/>
      <c r="EL901" s="64"/>
    </row>
    <row r="902" spans="131:142" x14ac:dyDescent="0.2">
      <c r="EA902" s="64"/>
      <c r="EB902" s="64"/>
      <c r="EC902" s="64"/>
      <c r="ED902" s="64"/>
      <c r="EE902" s="64"/>
      <c r="EF902" s="64"/>
      <c r="EG902" s="64"/>
      <c r="EH902" s="64"/>
      <c r="EI902" s="64"/>
      <c r="EJ902" s="64"/>
      <c r="EK902" s="64"/>
      <c r="EL902" s="64"/>
    </row>
    <row r="903" spans="131:142" x14ac:dyDescent="0.2">
      <c r="EA903" s="64"/>
      <c r="EB903" s="64"/>
      <c r="EC903" s="64"/>
      <c r="ED903" s="64"/>
      <c r="EE903" s="64"/>
      <c r="EF903" s="64"/>
      <c r="EG903" s="64"/>
      <c r="EH903" s="64"/>
      <c r="EI903" s="64"/>
      <c r="EJ903" s="64"/>
      <c r="EK903" s="64"/>
      <c r="EL903" s="64"/>
    </row>
    <row r="904" spans="131:142" x14ac:dyDescent="0.2">
      <c r="EA904" s="64"/>
      <c r="EB904" s="64"/>
      <c r="EC904" s="64"/>
      <c r="ED904" s="64"/>
      <c r="EE904" s="64"/>
      <c r="EF904" s="64"/>
      <c r="EG904" s="64"/>
      <c r="EH904" s="64"/>
      <c r="EI904" s="64"/>
      <c r="EJ904" s="64"/>
      <c r="EK904" s="64"/>
      <c r="EL904" s="64"/>
    </row>
    <row r="905" spans="131:142" x14ac:dyDescent="0.2">
      <c r="EA905" s="64"/>
      <c r="EB905" s="64"/>
      <c r="EC905" s="64"/>
      <c r="ED905" s="64"/>
      <c r="EE905" s="64"/>
      <c r="EF905" s="64"/>
      <c r="EG905" s="64"/>
      <c r="EH905" s="64"/>
      <c r="EI905" s="64"/>
      <c r="EJ905" s="64"/>
      <c r="EK905" s="64"/>
      <c r="EL905" s="64"/>
    </row>
    <row r="906" spans="131:142" x14ac:dyDescent="0.2">
      <c r="EA906" s="64"/>
      <c r="EB906" s="64"/>
      <c r="EC906" s="64"/>
      <c r="ED906" s="64"/>
      <c r="EE906" s="64"/>
      <c r="EF906" s="64"/>
      <c r="EG906" s="64"/>
      <c r="EH906" s="64"/>
      <c r="EI906" s="64"/>
      <c r="EJ906" s="64"/>
      <c r="EK906" s="64"/>
      <c r="EL906" s="64"/>
    </row>
    <row r="907" spans="131:142" x14ac:dyDescent="0.2">
      <c r="EA907" s="64"/>
      <c r="EB907" s="64"/>
      <c r="EC907" s="64"/>
      <c r="ED907" s="64"/>
      <c r="EE907" s="64"/>
      <c r="EF907" s="64"/>
      <c r="EG907" s="64"/>
      <c r="EH907" s="64"/>
      <c r="EI907" s="64"/>
      <c r="EJ907" s="64"/>
      <c r="EK907" s="64"/>
      <c r="EL907" s="64"/>
    </row>
    <row r="908" spans="131:142" x14ac:dyDescent="0.2">
      <c r="EA908" s="64"/>
      <c r="EB908" s="64"/>
      <c r="EC908" s="64"/>
      <c r="ED908" s="64"/>
      <c r="EE908" s="64"/>
      <c r="EF908" s="64"/>
      <c r="EG908" s="64"/>
      <c r="EH908" s="64"/>
      <c r="EI908" s="64"/>
      <c r="EJ908" s="64"/>
      <c r="EK908" s="64"/>
      <c r="EL908" s="64"/>
    </row>
    <row r="909" spans="131:142" x14ac:dyDescent="0.2">
      <c r="EA909" s="64"/>
      <c r="EB909" s="64"/>
      <c r="EC909" s="64"/>
      <c r="ED909" s="64"/>
      <c r="EE909" s="64"/>
      <c r="EF909" s="64"/>
      <c r="EG909" s="64"/>
      <c r="EH909" s="64"/>
      <c r="EI909" s="64"/>
      <c r="EJ909" s="64"/>
      <c r="EK909" s="64"/>
      <c r="EL909" s="64"/>
    </row>
    <row r="910" spans="131:142" x14ac:dyDescent="0.2">
      <c r="EA910" s="64"/>
      <c r="EB910" s="64"/>
      <c r="EC910" s="64"/>
      <c r="ED910" s="64"/>
      <c r="EE910" s="64"/>
      <c r="EF910" s="64"/>
      <c r="EG910" s="64"/>
      <c r="EH910" s="64"/>
      <c r="EI910" s="64"/>
      <c r="EJ910" s="64"/>
      <c r="EK910" s="64"/>
      <c r="EL910" s="64"/>
    </row>
    <row r="911" spans="131:142" x14ac:dyDescent="0.2">
      <c r="EA911" s="64"/>
      <c r="EB911" s="64"/>
      <c r="EC911" s="64"/>
      <c r="ED911" s="64"/>
      <c r="EE911" s="64"/>
      <c r="EF911" s="64"/>
      <c r="EG911" s="64"/>
      <c r="EH911" s="64"/>
      <c r="EI911" s="64"/>
      <c r="EJ911" s="64"/>
      <c r="EK911" s="64"/>
      <c r="EL911" s="64"/>
    </row>
    <row r="912" spans="131:142" x14ac:dyDescent="0.2">
      <c r="EA912" s="64"/>
      <c r="EB912" s="64"/>
      <c r="EC912" s="64"/>
      <c r="ED912" s="64"/>
      <c r="EE912" s="64"/>
      <c r="EF912" s="64"/>
      <c r="EG912" s="64"/>
      <c r="EH912" s="64"/>
      <c r="EI912" s="64"/>
      <c r="EJ912" s="64"/>
      <c r="EK912" s="64"/>
      <c r="EL912" s="64"/>
    </row>
    <row r="913" spans="131:142" x14ac:dyDescent="0.2">
      <c r="EA913" s="64"/>
      <c r="EB913" s="64"/>
      <c r="EC913" s="64"/>
      <c r="ED913" s="64"/>
      <c r="EE913" s="64"/>
      <c r="EF913" s="64"/>
      <c r="EG913" s="64"/>
      <c r="EH913" s="64"/>
      <c r="EI913" s="64"/>
      <c r="EJ913" s="64"/>
      <c r="EK913" s="64"/>
      <c r="EL913" s="64"/>
    </row>
    <row r="914" spans="131:142" x14ac:dyDescent="0.2">
      <c r="EA914" s="64"/>
      <c r="EB914" s="64"/>
      <c r="EC914" s="64"/>
      <c r="ED914" s="64"/>
      <c r="EE914" s="64"/>
      <c r="EF914" s="64"/>
      <c r="EG914" s="64"/>
      <c r="EH914" s="64"/>
      <c r="EI914" s="64"/>
      <c r="EJ914" s="64"/>
      <c r="EK914" s="64"/>
      <c r="EL914" s="64"/>
    </row>
    <row r="915" spans="131:142" x14ac:dyDescent="0.2">
      <c r="EA915" s="64"/>
      <c r="EB915" s="64"/>
      <c r="EC915" s="64"/>
      <c r="ED915" s="64"/>
      <c r="EE915" s="64"/>
      <c r="EF915" s="64"/>
      <c r="EG915" s="64"/>
      <c r="EH915" s="64"/>
      <c r="EI915" s="64"/>
      <c r="EJ915" s="64"/>
      <c r="EK915" s="64"/>
      <c r="EL915" s="64"/>
    </row>
    <row r="916" spans="131:142" x14ac:dyDescent="0.2">
      <c r="EA916" s="64"/>
      <c r="EB916" s="64"/>
      <c r="EC916" s="64"/>
      <c r="ED916" s="64"/>
      <c r="EE916" s="64"/>
      <c r="EF916" s="64"/>
      <c r="EG916" s="64"/>
      <c r="EH916" s="64"/>
      <c r="EI916" s="64"/>
      <c r="EJ916" s="64"/>
      <c r="EK916" s="64"/>
      <c r="EL916" s="64"/>
    </row>
    <row r="917" spans="131:142" x14ac:dyDescent="0.2">
      <c r="EA917" s="64"/>
      <c r="EB917" s="64"/>
      <c r="EC917" s="64"/>
      <c r="ED917" s="64"/>
      <c r="EE917" s="64"/>
      <c r="EF917" s="64"/>
      <c r="EG917" s="64"/>
      <c r="EH917" s="64"/>
      <c r="EI917" s="64"/>
      <c r="EJ917" s="64"/>
      <c r="EK917" s="64"/>
      <c r="EL917" s="64"/>
    </row>
    <row r="918" spans="131:142" x14ac:dyDescent="0.2">
      <c r="EA918" s="64"/>
      <c r="EB918" s="64"/>
      <c r="EC918" s="64"/>
      <c r="ED918" s="64"/>
      <c r="EE918" s="64"/>
      <c r="EF918" s="64"/>
      <c r="EG918" s="64"/>
      <c r="EH918" s="64"/>
      <c r="EI918" s="64"/>
      <c r="EJ918" s="64"/>
      <c r="EK918" s="64"/>
      <c r="EL918" s="64"/>
    </row>
    <row r="919" spans="131:142" x14ac:dyDescent="0.2">
      <c r="EA919" s="64"/>
      <c r="EB919" s="64"/>
      <c r="EC919" s="64"/>
      <c r="ED919" s="64"/>
      <c r="EE919" s="64"/>
      <c r="EF919" s="64"/>
      <c r="EG919" s="64"/>
      <c r="EH919" s="64"/>
      <c r="EI919" s="64"/>
      <c r="EJ919" s="64"/>
      <c r="EK919" s="64"/>
      <c r="EL919" s="64"/>
    </row>
    <row r="920" spans="131:142" x14ac:dyDescent="0.2">
      <c r="EA920" s="64"/>
      <c r="EB920" s="64"/>
      <c r="EC920" s="64"/>
      <c r="ED920" s="64"/>
      <c r="EE920" s="64"/>
      <c r="EF920" s="64"/>
      <c r="EG920" s="64"/>
      <c r="EH920" s="64"/>
      <c r="EI920" s="64"/>
      <c r="EJ920" s="64"/>
      <c r="EK920" s="64"/>
      <c r="EL920" s="64"/>
    </row>
    <row r="921" spans="131:142" x14ac:dyDescent="0.2">
      <c r="EA921" s="64"/>
      <c r="EB921" s="64"/>
      <c r="EC921" s="64"/>
      <c r="ED921" s="64"/>
      <c r="EE921" s="64"/>
      <c r="EF921" s="64"/>
      <c r="EG921" s="64"/>
      <c r="EH921" s="64"/>
      <c r="EI921" s="64"/>
      <c r="EJ921" s="64"/>
      <c r="EK921" s="64"/>
      <c r="EL921" s="64"/>
    </row>
    <row r="922" spans="131:142" x14ac:dyDescent="0.2">
      <c r="EA922" s="64"/>
      <c r="EB922" s="64"/>
      <c r="EC922" s="64"/>
      <c r="ED922" s="64"/>
      <c r="EE922" s="64"/>
      <c r="EF922" s="64"/>
      <c r="EG922" s="64"/>
      <c r="EH922" s="64"/>
      <c r="EI922" s="64"/>
      <c r="EJ922" s="64"/>
      <c r="EK922" s="64"/>
      <c r="EL922" s="64"/>
    </row>
    <row r="923" spans="131:142" x14ac:dyDescent="0.2">
      <c r="EA923" s="64"/>
      <c r="EB923" s="64"/>
      <c r="EC923" s="64"/>
      <c r="ED923" s="64"/>
      <c r="EE923" s="64"/>
      <c r="EF923" s="64"/>
      <c r="EG923" s="64"/>
      <c r="EH923" s="64"/>
      <c r="EI923" s="64"/>
      <c r="EJ923" s="64"/>
      <c r="EK923" s="64"/>
      <c r="EL923" s="64"/>
    </row>
    <row r="924" spans="131:142" x14ac:dyDescent="0.2">
      <c r="EA924" s="64"/>
      <c r="EB924" s="64"/>
      <c r="EC924" s="64"/>
      <c r="ED924" s="64"/>
      <c r="EE924" s="64"/>
      <c r="EF924" s="64"/>
      <c r="EG924" s="64"/>
      <c r="EH924" s="64"/>
      <c r="EI924" s="64"/>
      <c r="EJ924" s="64"/>
      <c r="EK924" s="64"/>
      <c r="EL924" s="64"/>
    </row>
    <row r="925" spans="131:142" x14ac:dyDescent="0.2">
      <c r="EA925" s="64"/>
      <c r="EB925" s="64"/>
      <c r="EC925" s="64"/>
      <c r="ED925" s="64"/>
      <c r="EE925" s="64"/>
      <c r="EF925" s="64"/>
      <c r="EG925" s="64"/>
      <c r="EH925" s="64"/>
      <c r="EI925" s="64"/>
      <c r="EJ925" s="64"/>
      <c r="EK925" s="64"/>
      <c r="EL925" s="64"/>
    </row>
    <row r="926" spans="131:142" x14ac:dyDescent="0.2">
      <c r="EA926" s="64"/>
      <c r="EB926" s="64"/>
      <c r="EC926" s="64"/>
      <c r="ED926" s="64"/>
      <c r="EE926" s="64"/>
      <c r="EF926" s="64"/>
      <c r="EG926" s="64"/>
      <c r="EH926" s="64"/>
      <c r="EI926" s="64"/>
      <c r="EJ926" s="64"/>
      <c r="EK926" s="64"/>
      <c r="EL926" s="64"/>
    </row>
    <row r="927" spans="131:142" x14ac:dyDescent="0.2">
      <c r="EA927" s="64"/>
      <c r="EB927" s="64"/>
      <c r="EC927" s="64"/>
      <c r="ED927" s="64"/>
      <c r="EE927" s="64"/>
      <c r="EF927" s="64"/>
      <c r="EG927" s="64"/>
      <c r="EH927" s="64"/>
      <c r="EI927" s="64"/>
      <c r="EJ927" s="64"/>
      <c r="EK927" s="64"/>
      <c r="EL927" s="64"/>
    </row>
    <row r="928" spans="131:142" x14ac:dyDescent="0.2">
      <c r="EA928" s="64"/>
      <c r="EB928" s="64"/>
      <c r="EC928" s="64"/>
      <c r="ED928" s="64"/>
      <c r="EE928" s="64"/>
      <c r="EF928" s="64"/>
      <c r="EG928" s="64"/>
      <c r="EH928" s="64"/>
      <c r="EI928" s="64"/>
      <c r="EJ928" s="64"/>
      <c r="EK928" s="64"/>
      <c r="EL928" s="64"/>
    </row>
    <row r="929" spans="131:142" x14ac:dyDescent="0.2">
      <c r="EA929" s="64"/>
      <c r="EB929" s="64"/>
      <c r="EC929" s="64"/>
      <c r="ED929" s="64"/>
      <c r="EE929" s="64"/>
      <c r="EF929" s="64"/>
      <c r="EG929" s="64"/>
      <c r="EH929" s="64"/>
      <c r="EI929" s="64"/>
      <c r="EJ929" s="64"/>
      <c r="EK929" s="64"/>
      <c r="EL929" s="64"/>
    </row>
    <row r="930" spans="131:142" x14ac:dyDescent="0.2">
      <c r="EA930" s="64"/>
      <c r="EB930" s="64"/>
      <c r="EC930" s="64"/>
      <c r="ED930" s="64"/>
      <c r="EE930" s="64"/>
      <c r="EF930" s="64"/>
      <c r="EG930" s="64"/>
      <c r="EH930" s="64"/>
      <c r="EI930" s="64"/>
      <c r="EJ930" s="64"/>
      <c r="EK930" s="64"/>
      <c r="EL930" s="64"/>
    </row>
    <row r="931" spans="131:142" x14ac:dyDescent="0.2">
      <c r="EA931" s="64"/>
      <c r="EB931" s="64"/>
      <c r="EC931" s="64"/>
      <c r="ED931" s="64"/>
      <c r="EE931" s="64"/>
      <c r="EF931" s="64"/>
      <c r="EG931" s="64"/>
      <c r="EH931" s="64"/>
      <c r="EI931" s="64"/>
      <c r="EJ931" s="64"/>
      <c r="EK931" s="64"/>
      <c r="EL931" s="64"/>
    </row>
    <row r="932" spans="131:142" x14ac:dyDescent="0.2">
      <c r="EA932" s="64"/>
      <c r="EB932" s="64"/>
      <c r="EC932" s="64"/>
      <c r="ED932" s="64"/>
      <c r="EE932" s="64"/>
      <c r="EF932" s="64"/>
      <c r="EG932" s="64"/>
      <c r="EH932" s="64"/>
      <c r="EI932" s="64"/>
      <c r="EJ932" s="64"/>
      <c r="EK932" s="64"/>
      <c r="EL932" s="64"/>
    </row>
    <row r="933" spans="131:142" x14ac:dyDescent="0.2">
      <c r="EA933" s="64"/>
      <c r="EB933" s="64"/>
      <c r="EC933" s="64"/>
      <c r="ED933" s="64"/>
      <c r="EE933" s="64"/>
      <c r="EF933" s="64"/>
      <c r="EG933" s="64"/>
      <c r="EH933" s="64"/>
      <c r="EI933" s="64"/>
      <c r="EJ933" s="64"/>
      <c r="EK933" s="64"/>
      <c r="EL933" s="64"/>
    </row>
    <row r="934" spans="131:142" x14ac:dyDescent="0.2">
      <c r="EA934" s="64"/>
      <c r="EB934" s="64"/>
      <c r="EC934" s="64"/>
      <c r="ED934" s="64"/>
      <c r="EE934" s="64"/>
      <c r="EF934" s="64"/>
      <c r="EG934" s="64"/>
      <c r="EH934" s="64"/>
      <c r="EI934" s="64"/>
      <c r="EJ934" s="64"/>
      <c r="EK934" s="64"/>
      <c r="EL934" s="64"/>
    </row>
    <row r="935" spans="131:142" x14ac:dyDescent="0.2">
      <c r="EA935" s="64"/>
      <c r="EB935" s="64"/>
      <c r="EC935" s="64"/>
      <c r="ED935" s="64"/>
      <c r="EE935" s="64"/>
      <c r="EF935" s="64"/>
      <c r="EG935" s="64"/>
      <c r="EH935" s="64"/>
      <c r="EI935" s="64"/>
      <c r="EJ935" s="64"/>
      <c r="EK935" s="64"/>
      <c r="EL935" s="64"/>
    </row>
    <row r="936" spans="131:142" x14ac:dyDescent="0.2">
      <c r="EA936" s="64"/>
      <c r="EB936" s="64"/>
      <c r="EC936" s="64"/>
      <c r="ED936" s="64"/>
      <c r="EE936" s="64"/>
      <c r="EF936" s="64"/>
      <c r="EG936" s="64"/>
      <c r="EH936" s="64"/>
      <c r="EI936" s="64"/>
      <c r="EJ936" s="64"/>
      <c r="EK936" s="64"/>
      <c r="EL936" s="64"/>
    </row>
    <row r="937" spans="131:142" x14ac:dyDescent="0.2">
      <c r="EA937" s="64"/>
      <c r="EB937" s="64"/>
      <c r="EC937" s="64"/>
      <c r="ED937" s="64"/>
      <c r="EE937" s="64"/>
      <c r="EF937" s="64"/>
      <c r="EG937" s="64"/>
      <c r="EH937" s="64"/>
      <c r="EI937" s="64"/>
      <c r="EJ937" s="64"/>
      <c r="EK937" s="64"/>
      <c r="EL937" s="64"/>
    </row>
    <row r="938" spans="131:142" x14ac:dyDescent="0.2">
      <c r="EA938" s="64"/>
      <c r="EB938" s="64"/>
      <c r="EC938" s="64"/>
      <c r="ED938" s="64"/>
      <c r="EE938" s="64"/>
      <c r="EF938" s="64"/>
      <c r="EG938" s="64"/>
      <c r="EH938" s="64"/>
      <c r="EI938" s="64"/>
      <c r="EJ938" s="64"/>
      <c r="EK938" s="64"/>
      <c r="EL938" s="64"/>
    </row>
    <row r="939" spans="131:142" x14ac:dyDescent="0.2">
      <c r="EA939" s="64"/>
      <c r="EB939" s="64"/>
      <c r="EC939" s="64"/>
      <c r="ED939" s="64"/>
      <c r="EE939" s="64"/>
      <c r="EF939" s="64"/>
      <c r="EG939" s="64"/>
      <c r="EH939" s="64"/>
      <c r="EI939" s="64"/>
      <c r="EJ939" s="64"/>
      <c r="EK939" s="64"/>
      <c r="EL939" s="64"/>
    </row>
    <row r="940" spans="131:142" x14ac:dyDescent="0.2">
      <c r="EA940" s="64"/>
      <c r="EB940" s="64"/>
      <c r="EC940" s="64"/>
      <c r="ED940" s="64"/>
      <c r="EE940" s="64"/>
      <c r="EF940" s="64"/>
      <c r="EG940" s="64"/>
      <c r="EH940" s="64"/>
      <c r="EI940" s="64"/>
      <c r="EJ940" s="64"/>
      <c r="EK940" s="64"/>
      <c r="EL940" s="64"/>
    </row>
    <row r="941" spans="131:142" x14ac:dyDescent="0.2">
      <c r="EA941" s="64"/>
      <c r="EB941" s="64"/>
      <c r="EC941" s="64"/>
      <c r="ED941" s="64"/>
      <c r="EE941" s="64"/>
      <c r="EF941" s="64"/>
      <c r="EG941" s="64"/>
      <c r="EH941" s="64"/>
      <c r="EI941" s="64"/>
      <c r="EJ941" s="64"/>
      <c r="EK941" s="64"/>
      <c r="EL941" s="64"/>
    </row>
    <row r="942" spans="131:142" x14ac:dyDescent="0.2">
      <c r="EA942" s="64"/>
      <c r="EB942" s="64"/>
      <c r="EC942" s="64"/>
      <c r="ED942" s="64"/>
      <c r="EE942" s="64"/>
      <c r="EF942" s="64"/>
      <c r="EG942" s="64"/>
      <c r="EH942" s="64"/>
      <c r="EI942" s="64"/>
      <c r="EJ942" s="64"/>
      <c r="EK942" s="64"/>
      <c r="EL942" s="64"/>
    </row>
    <row r="943" spans="131:142" x14ac:dyDescent="0.2">
      <c r="EA943" s="64"/>
      <c r="EB943" s="64"/>
      <c r="EC943" s="64"/>
      <c r="ED943" s="64"/>
      <c r="EE943" s="64"/>
      <c r="EF943" s="64"/>
      <c r="EG943" s="64"/>
      <c r="EH943" s="64"/>
      <c r="EI943" s="64"/>
      <c r="EJ943" s="64"/>
      <c r="EK943" s="64"/>
      <c r="EL943" s="64"/>
    </row>
    <row r="944" spans="131:142" x14ac:dyDescent="0.2">
      <c r="EA944" s="64"/>
      <c r="EB944" s="64"/>
      <c r="EC944" s="64"/>
      <c r="ED944" s="64"/>
      <c r="EE944" s="64"/>
      <c r="EF944" s="64"/>
      <c r="EG944" s="64"/>
      <c r="EH944" s="64"/>
      <c r="EI944" s="64"/>
      <c r="EJ944" s="64"/>
      <c r="EK944" s="64"/>
      <c r="EL944" s="64"/>
    </row>
    <row r="945" spans="131:142" x14ac:dyDescent="0.2">
      <c r="EA945" s="64"/>
      <c r="EB945" s="64"/>
      <c r="EC945" s="64"/>
      <c r="ED945" s="64"/>
      <c r="EE945" s="64"/>
      <c r="EF945" s="64"/>
      <c r="EG945" s="64"/>
      <c r="EH945" s="64"/>
      <c r="EI945" s="64"/>
      <c r="EJ945" s="64"/>
      <c r="EK945" s="64"/>
      <c r="EL945" s="64"/>
    </row>
    <row r="946" spans="131:142" x14ac:dyDescent="0.2">
      <c r="EA946" s="64"/>
      <c r="EB946" s="64"/>
      <c r="EC946" s="64"/>
      <c r="ED946" s="64"/>
      <c r="EE946" s="64"/>
      <c r="EF946" s="64"/>
      <c r="EG946" s="64"/>
      <c r="EH946" s="64"/>
      <c r="EI946" s="64"/>
      <c r="EJ946" s="64"/>
      <c r="EK946" s="64"/>
      <c r="EL946" s="64"/>
    </row>
    <row r="947" spans="131:142" x14ac:dyDescent="0.2">
      <c r="EA947" s="64"/>
      <c r="EB947" s="64"/>
      <c r="EC947" s="64"/>
      <c r="ED947" s="64"/>
      <c r="EE947" s="64"/>
      <c r="EF947" s="64"/>
      <c r="EG947" s="64"/>
      <c r="EH947" s="64"/>
      <c r="EI947" s="64"/>
      <c r="EJ947" s="64"/>
      <c r="EK947" s="64"/>
      <c r="EL947" s="64"/>
    </row>
    <row r="948" spans="131:142" x14ac:dyDescent="0.2">
      <c r="EA948" s="64"/>
      <c r="EB948" s="64"/>
      <c r="EC948" s="64"/>
      <c r="ED948" s="64"/>
      <c r="EE948" s="64"/>
      <c r="EF948" s="64"/>
      <c r="EG948" s="64"/>
      <c r="EH948" s="64"/>
      <c r="EI948" s="64"/>
      <c r="EJ948" s="64"/>
      <c r="EK948" s="64"/>
      <c r="EL948" s="64"/>
    </row>
    <row r="949" spans="131:142" x14ac:dyDescent="0.2">
      <c r="EA949" s="64"/>
      <c r="EB949" s="64"/>
      <c r="EC949" s="64"/>
      <c r="ED949" s="64"/>
      <c r="EE949" s="64"/>
      <c r="EF949" s="64"/>
      <c r="EG949" s="64"/>
      <c r="EH949" s="64"/>
      <c r="EI949" s="64"/>
      <c r="EJ949" s="64"/>
      <c r="EK949" s="64"/>
      <c r="EL949" s="64"/>
    </row>
    <row r="950" spans="131:142" x14ac:dyDescent="0.2">
      <c r="EA950" s="64"/>
      <c r="EB950" s="64"/>
      <c r="EC950" s="64"/>
      <c r="ED950" s="64"/>
      <c r="EE950" s="64"/>
      <c r="EF950" s="64"/>
      <c r="EG950" s="64"/>
      <c r="EH950" s="64"/>
      <c r="EI950" s="64"/>
      <c r="EJ950" s="64"/>
      <c r="EK950" s="64"/>
      <c r="EL950" s="64"/>
    </row>
    <row r="951" spans="131:142" x14ac:dyDescent="0.2">
      <c r="EA951" s="64"/>
      <c r="EB951" s="64"/>
      <c r="EC951" s="64"/>
      <c r="ED951" s="64"/>
      <c r="EE951" s="64"/>
      <c r="EF951" s="64"/>
      <c r="EG951" s="64"/>
      <c r="EH951" s="64"/>
      <c r="EI951" s="64"/>
      <c r="EJ951" s="64"/>
      <c r="EK951" s="64"/>
      <c r="EL951" s="64"/>
    </row>
    <row r="952" spans="131:142" x14ac:dyDescent="0.2">
      <c r="EA952" s="64"/>
      <c r="EB952" s="64"/>
      <c r="EC952" s="64"/>
      <c r="ED952" s="64"/>
      <c r="EE952" s="64"/>
      <c r="EF952" s="64"/>
      <c r="EG952" s="64"/>
      <c r="EH952" s="64"/>
      <c r="EI952" s="64"/>
      <c r="EJ952" s="64"/>
      <c r="EK952" s="64"/>
      <c r="EL952" s="64"/>
    </row>
    <row r="953" spans="131:142" x14ac:dyDescent="0.2">
      <c r="EA953" s="64"/>
      <c r="EB953" s="64"/>
      <c r="EC953" s="64"/>
      <c r="ED953" s="64"/>
      <c r="EE953" s="64"/>
      <c r="EF953" s="64"/>
      <c r="EG953" s="64"/>
      <c r="EH953" s="64"/>
      <c r="EI953" s="64"/>
      <c r="EJ953" s="64"/>
      <c r="EK953" s="64"/>
      <c r="EL953" s="64"/>
    </row>
    <row r="954" spans="131:142" x14ac:dyDescent="0.2">
      <c r="EA954" s="64"/>
      <c r="EB954" s="64"/>
      <c r="EC954" s="64"/>
      <c r="ED954" s="64"/>
      <c r="EE954" s="64"/>
      <c r="EF954" s="64"/>
      <c r="EG954" s="64"/>
      <c r="EH954" s="64"/>
      <c r="EI954" s="64"/>
      <c r="EJ954" s="64"/>
      <c r="EK954" s="64"/>
      <c r="EL954" s="64"/>
    </row>
    <row r="955" spans="131:142" x14ac:dyDescent="0.2">
      <c r="EA955" s="64"/>
      <c r="EB955" s="64"/>
      <c r="EC955" s="64"/>
      <c r="ED955" s="64"/>
      <c r="EE955" s="64"/>
      <c r="EF955" s="64"/>
      <c r="EG955" s="64"/>
      <c r="EH955" s="64"/>
      <c r="EI955" s="64"/>
      <c r="EJ955" s="64"/>
      <c r="EK955" s="64"/>
      <c r="EL955" s="64"/>
    </row>
    <row r="956" spans="131:142" x14ac:dyDescent="0.2">
      <c r="EA956" s="64"/>
      <c r="EB956" s="64"/>
      <c r="EC956" s="64"/>
      <c r="ED956" s="64"/>
      <c r="EE956" s="64"/>
      <c r="EF956" s="64"/>
      <c r="EG956" s="64"/>
      <c r="EH956" s="64"/>
      <c r="EI956" s="64"/>
      <c r="EJ956" s="64"/>
      <c r="EK956" s="64"/>
      <c r="EL956" s="64"/>
    </row>
    <row r="957" spans="131:142" x14ac:dyDescent="0.2">
      <c r="EA957" s="64"/>
      <c r="EB957" s="64"/>
      <c r="EC957" s="64"/>
      <c r="ED957" s="64"/>
      <c r="EE957" s="64"/>
      <c r="EF957" s="64"/>
      <c r="EG957" s="64"/>
      <c r="EH957" s="64"/>
      <c r="EI957" s="64"/>
      <c r="EJ957" s="64"/>
      <c r="EK957" s="64"/>
      <c r="EL957" s="64"/>
    </row>
    <row r="958" spans="131:142" x14ac:dyDescent="0.2">
      <c r="EA958" s="64"/>
      <c r="EB958" s="64"/>
      <c r="EC958" s="64"/>
      <c r="ED958" s="64"/>
      <c r="EE958" s="64"/>
      <c r="EF958" s="64"/>
      <c r="EG958" s="64"/>
      <c r="EH958" s="64"/>
      <c r="EI958" s="64"/>
      <c r="EJ958" s="64"/>
      <c r="EK958" s="64"/>
      <c r="EL958" s="64"/>
    </row>
    <row r="959" spans="131:142" x14ac:dyDescent="0.2">
      <c r="EA959" s="64"/>
      <c r="EB959" s="64"/>
      <c r="EC959" s="64"/>
      <c r="ED959" s="64"/>
      <c r="EE959" s="64"/>
      <c r="EF959" s="64"/>
      <c r="EG959" s="64"/>
      <c r="EH959" s="64"/>
      <c r="EI959" s="64"/>
      <c r="EJ959" s="64"/>
      <c r="EK959" s="64"/>
      <c r="EL959" s="64"/>
    </row>
    <row r="960" spans="131:142" x14ac:dyDescent="0.2">
      <c r="EA960" s="64"/>
      <c r="EB960" s="64"/>
      <c r="EC960" s="64"/>
      <c r="ED960" s="64"/>
      <c r="EE960" s="64"/>
      <c r="EF960" s="64"/>
      <c r="EG960" s="64"/>
      <c r="EH960" s="64"/>
      <c r="EI960" s="64"/>
      <c r="EJ960" s="64"/>
      <c r="EK960" s="64"/>
      <c r="EL960" s="64"/>
    </row>
    <row r="961" spans="131:142" x14ac:dyDescent="0.2">
      <c r="EA961" s="64"/>
      <c r="EB961" s="64"/>
      <c r="EC961" s="64"/>
      <c r="ED961" s="64"/>
      <c r="EE961" s="64"/>
      <c r="EF961" s="64"/>
      <c r="EG961" s="64"/>
      <c r="EH961" s="64"/>
      <c r="EI961" s="64"/>
      <c r="EJ961" s="64"/>
      <c r="EK961" s="64"/>
      <c r="EL961" s="64"/>
    </row>
    <row r="962" spans="131:142" x14ac:dyDescent="0.2">
      <c r="EA962" s="64"/>
      <c r="EB962" s="64"/>
      <c r="EC962" s="64"/>
      <c r="ED962" s="64"/>
      <c r="EE962" s="64"/>
      <c r="EF962" s="64"/>
      <c r="EG962" s="64"/>
      <c r="EH962" s="64"/>
      <c r="EI962" s="64"/>
      <c r="EJ962" s="64"/>
      <c r="EK962" s="64"/>
      <c r="EL962" s="64"/>
    </row>
    <row r="963" spans="131:142" x14ac:dyDescent="0.2">
      <c r="EA963" s="64"/>
      <c r="EB963" s="64"/>
      <c r="EC963" s="64"/>
      <c r="ED963" s="64"/>
      <c r="EE963" s="64"/>
      <c r="EF963" s="64"/>
      <c r="EG963" s="64"/>
      <c r="EH963" s="64"/>
      <c r="EI963" s="64"/>
      <c r="EJ963" s="64"/>
      <c r="EK963" s="64"/>
      <c r="EL963" s="64"/>
    </row>
    <row r="964" spans="131:142" x14ac:dyDescent="0.2">
      <c r="EA964" s="64"/>
      <c r="EB964" s="64"/>
      <c r="EC964" s="64"/>
      <c r="ED964" s="64"/>
      <c r="EE964" s="64"/>
      <c r="EF964" s="64"/>
      <c r="EG964" s="64"/>
      <c r="EH964" s="64"/>
      <c r="EI964" s="64"/>
      <c r="EJ964" s="64"/>
      <c r="EK964" s="64"/>
      <c r="EL964" s="64"/>
    </row>
    <row r="965" spans="131:142" x14ac:dyDescent="0.2">
      <c r="EA965" s="64"/>
      <c r="EB965" s="64"/>
      <c r="EC965" s="64"/>
      <c r="ED965" s="64"/>
      <c r="EE965" s="64"/>
      <c r="EF965" s="64"/>
      <c r="EG965" s="64"/>
      <c r="EH965" s="64"/>
      <c r="EI965" s="64"/>
      <c r="EJ965" s="64"/>
      <c r="EK965" s="64"/>
      <c r="EL965" s="64"/>
    </row>
    <row r="966" spans="131:142" x14ac:dyDescent="0.2">
      <c r="EA966" s="64"/>
      <c r="EB966" s="64"/>
      <c r="EC966" s="64"/>
      <c r="ED966" s="64"/>
      <c r="EE966" s="64"/>
      <c r="EF966" s="64"/>
      <c r="EG966" s="64"/>
      <c r="EH966" s="64"/>
      <c r="EI966" s="64"/>
      <c r="EJ966" s="64"/>
      <c r="EK966" s="64"/>
      <c r="EL966" s="64"/>
    </row>
    <row r="967" spans="131:142" x14ac:dyDescent="0.2">
      <c r="EA967" s="64"/>
      <c r="EB967" s="64"/>
      <c r="EC967" s="64"/>
      <c r="ED967" s="64"/>
      <c r="EE967" s="64"/>
      <c r="EF967" s="64"/>
      <c r="EG967" s="64"/>
      <c r="EH967" s="64"/>
      <c r="EI967" s="64"/>
      <c r="EJ967" s="64"/>
      <c r="EK967" s="64"/>
      <c r="EL967" s="64"/>
    </row>
    <row r="968" spans="131:142" x14ac:dyDescent="0.2">
      <c r="EA968" s="64"/>
      <c r="EB968" s="64"/>
      <c r="EC968" s="64"/>
      <c r="ED968" s="64"/>
      <c r="EE968" s="64"/>
      <c r="EF968" s="64"/>
      <c r="EG968" s="64"/>
      <c r="EH968" s="64"/>
      <c r="EI968" s="64"/>
      <c r="EJ968" s="64"/>
      <c r="EK968" s="64"/>
      <c r="EL968" s="64"/>
    </row>
    <row r="969" spans="131:142" x14ac:dyDescent="0.2">
      <c r="EA969" s="64"/>
      <c r="EB969" s="64"/>
      <c r="EC969" s="64"/>
      <c r="ED969" s="64"/>
      <c r="EE969" s="64"/>
      <c r="EF969" s="64"/>
      <c r="EG969" s="64"/>
      <c r="EH969" s="64"/>
      <c r="EI969" s="64"/>
      <c r="EJ969" s="64"/>
      <c r="EK969" s="64"/>
      <c r="EL969" s="64"/>
    </row>
    <row r="970" spans="131:142" x14ac:dyDescent="0.2">
      <c r="EA970" s="64"/>
      <c r="EB970" s="64"/>
      <c r="EC970" s="64"/>
      <c r="ED970" s="64"/>
      <c r="EE970" s="64"/>
      <c r="EF970" s="64"/>
      <c r="EG970" s="64"/>
      <c r="EH970" s="64"/>
      <c r="EI970" s="64"/>
      <c r="EJ970" s="64"/>
      <c r="EK970" s="64"/>
      <c r="EL970" s="64"/>
    </row>
    <row r="971" spans="131:142" x14ac:dyDescent="0.2">
      <c r="EA971" s="64"/>
      <c r="EB971" s="64"/>
      <c r="EC971" s="64"/>
      <c r="ED971" s="64"/>
      <c r="EE971" s="64"/>
      <c r="EF971" s="64"/>
      <c r="EG971" s="64"/>
      <c r="EH971" s="64"/>
      <c r="EI971" s="64"/>
      <c r="EJ971" s="64"/>
      <c r="EK971" s="64"/>
      <c r="EL971" s="64"/>
    </row>
    <row r="972" spans="131:142" x14ac:dyDescent="0.2">
      <c r="EA972" s="64"/>
      <c r="EB972" s="64"/>
      <c r="EC972" s="64"/>
      <c r="ED972" s="64"/>
      <c r="EE972" s="64"/>
      <c r="EF972" s="64"/>
      <c r="EG972" s="64"/>
      <c r="EH972" s="64"/>
      <c r="EI972" s="64"/>
      <c r="EJ972" s="64"/>
      <c r="EK972" s="64"/>
      <c r="EL972" s="64"/>
    </row>
    <row r="973" spans="131:142" x14ac:dyDescent="0.2">
      <c r="EA973" s="64"/>
      <c r="EB973" s="64"/>
      <c r="EC973" s="64"/>
      <c r="ED973" s="64"/>
      <c r="EE973" s="64"/>
      <c r="EF973" s="64"/>
      <c r="EG973" s="64"/>
      <c r="EH973" s="64"/>
      <c r="EI973" s="64"/>
      <c r="EJ973" s="64"/>
      <c r="EK973" s="64"/>
      <c r="EL973" s="64"/>
    </row>
    <row r="974" spans="131:142" x14ac:dyDescent="0.2">
      <c r="EA974" s="64"/>
      <c r="EB974" s="64"/>
      <c r="EC974" s="64"/>
      <c r="ED974" s="64"/>
      <c r="EE974" s="64"/>
      <c r="EF974" s="64"/>
      <c r="EG974" s="64"/>
      <c r="EH974" s="64"/>
      <c r="EI974" s="64"/>
      <c r="EJ974" s="64"/>
      <c r="EK974" s="64"/>
      <c r="EL974" s="64"/>
    </row>
    <row r="975" spans="131:142" x14ac:dyDescent="0.2">
      <c r="EA975" s="64"/>
      <c r="EB975" s="64"/>
      <c r="EC975" s="64"/>
      <c r="ED975" s="64"/>
      <c r="EE975" s="64"/>
      <c r="EF975" s="64"/>
      <c r="EG975" s="64"/>
      <c r="EH975" s="64"/>
      <c r="EI975" s="64"/>
      <c r="EJ975" s="64"/>
      <c r="EK975" s="64"/>
      <c r="EL975" s="64"/>
    </row>
    <row r="976" spans="131:142" x14ac:dyDescent="0.2">
      <c r="EA976" s="64"/>
      <c r="EB976" s="64"/>
      <c r="EC976" s="64"/>
      <c r="ED976" s="64"/>
      <c r="EE976" s="64"/>
      <c r="EF976" s="64"/>
      <c r="EG976" s="64"/>
      <c r="EH976" s="64"/>
      <c r="EI976" s="64"/>
      <c r="EJ976" s="64"/>
      <c r="EK976" s="64"/>
      <c r="EL976" s="64"/>
    </row>
    <row r="977" spans="131:142" x14ac:dyDescent="0.2">
      <c r="EA977" s="64"/>
      <c r="EB977" s="64"/>
      <c r="EC977" s="64"/>
      <c r="ED977" s="64"/>
      <c r="EE977" s="64"/>
      <c r="EF977" s="64"/>
      <c r="EG977" s="64"/>
      <c r="EH977" s="64"/>
      <c r="EI977" s="64"/>
      <c r="EJ977" s="64"/>
      <c r="EK977" s="64"/>
      <c r="EL977" s="64"/>
    </row>
    <row r="978" spans="131:142" x14ac:dyDescent="0.2">
      <c r="EA978" s="64"/>
      <c r="EB978" s="64"/>
      <c r="EC978" s="64"/>
      <c r="ED978" s="64"/>
      <c r="EE978" s="64"/>
      <c r="EF978" s="64"/>
      <c r="EG978" s="64"/>
      <c r="EH978" s="64"/>
      <c r="EI978" s="64"/>
      <c r="EJ978" s="64"/>
      <c r="EK978" s="64"/>
      <c r="EL978" s="64"/>
    </row>
    <row r="979" spans="131:142" x14ac:dyDescent="0.2">
      <c r="EA979" s="64"/>
      <c r="EB979" s="64"/>
      <c r="EC979" s="64"/>
      <c r="ED979" s="64"/>
      <c r="EE979" s="64"/>
      <c r="EF979" s="64"/>
      <c r="EG979" s="64"/>
      <c r="EH979" s="64"/>
      <c r="EI979" s="64"/>
      <c r="EJ979" s="64"/>
      <c r="EK979" s="64"/>
      <c r="EL979" s="64"/>
    </row>
    <row r="980" spans="131:142" x14ac:dyDescent="0.2">
      <c r="EA980" s="64"/>
      <c r="EB980" s="64"/>
      <c r="EC980" s="64"/>
      <c r="ED980" s="64"/>
      <c r="EE980" s="64"/>
      <c r="EF980" s="64"/>
      <c r="EG980" s="64"/>
      <c r="EH980" s="64"/>
      <c r="EI980" s="64"/>
      <c r="EJ980" s="64"/>
      <c r="EK980" s="64"/>
      <c r="EL980" s="64"/>
    </row>
    <row r="981" spans="131:142" x14ac:dyDescent="0.2">
      <c r="EA981" s="64"/>
      <c r="EB981" s="64"/>
      <c r="EC981" s="64"/>
      <c r="ED981" s="64"/>
      <c r="EE981" s="64"/>
      <c r="EF981" s="64"/>
      <c r="EG981" s="64"/>
      <c r="EH981" s="64"/>
      <c r="EI981" s="64"/>
      <c r="EJ981" s="64"/>
      <c r="EK981" s="64"/>
      <c r="EL981" s="64"/>
    </row>
    <row r="982" spans="131:142" x14ac:dyDescent="0.2">
      <c r="EA982" s="64"/>
      <c r="EB982" s="64"/>
      <c r="EC982" s="64"/>
      <c r="ED982" s="64"/>
      <c r="EE982" s="64"/>
      <c r="EF982" s="64"/>
      <c r="EG982" s="64"/>
      <c r="EH982" s="64"/>
      <c r="EI982" s="64"/>
      <c r="EJ982" s="64"/>
      <c r="EK982" s="64"/>
      <c r="EL982" s="64"/>
    </row>
    <row r="983" spans="131:142" x14ac:dyDescent="0.2">
      <c r="EA983" s="64"/>
      <c r="EB983" s="64"/>
      <c r="EC983" s="64"/>
      <c r="ED983" s="64"/>
      <c r="EE983" s="64"/>
      <c r="EF983" s="64"/>
      <c r="EG983" s="64"/>
      <c r="EH983" s="64"/>
      <c r="EI983" s="64"/>
      <c r="EJ983" s="64"/>
      <c r="EK983" s="64"/>
      <c r="EL983" s="64"/>
    </row>
    <row r="984" spans="131:142" x14ac:dyDescent="0.2">
      <c r="EA984" s="64"/>
      <c r="EB984" s="64"/>
      <c r="EC984" s="64"/>
      <c r="ED984" s="64"/>
      <c r="EE984" s="64"/>
      <c r="EF984" s="64"/>
      <c r="EG984" s="64"/>
      <c r="EH984" s="64"/>
      <c r="EI984" s="64"/>
      <c r="EJ984" s="64"/>
      <c r="EK984" s="64"/>
      <c r="EL984" s="64"/>
    </row>
    <row r="985" spans="131:142" x14ac:dyDescent="0.2">
      <c r="EA985" s="64"/>
      <c r="EB985" s="64"/>
      <c r="EC985" s="64"/>
      <c r="ED985" s="64"/>
      <c r="EE985" s="64"/>
      <c r="EF985" s="64"/>
      <c r="EG985" s="64"/>
      <c r="EH985" s="64"/>
      <c r="EI985" s="64"/>
      <c r="EJ985" s="64"/>
      <c r="EK985" s="64"/>
      <c r="EL985" s="64"/>
    </row>
    <row r="986" spans="131:142" x14ac:dyDescent="0.2">
      <c r="EA986" s="64"/>
      <c r="EB986" s="64"/>
      <c r="EC986" s="64"/>
      <c r="ED986" s="64"/>
      <c r="EE986" s="64"/>
      <c r="EF986" s="64"/>
      <c r="EG986" s="64"/>
      <c r="EH986" s="64"/>
      <c r="EI986" s="64"/>
      <c r="EJ986" s="64"/>
      <c r="EK986" s="64"/>
      <c r="EL986" s="64"/>
    </row>
    <row r="987" spans="131:142" x14ac:dyDescent="0.2">
      <c r="EA987" s="64"/>
      <c r="EB987" s="64"/>
      <c r="EC987" s="64"/>
      <c r="ED987" s="64"/>
      <c r="EE987" s="64"/>
      <c r="EF987" s="64"/>
      <c r="EG987" s="64"/>
      <c r="EH987" s="64"/>
      <c r="EI987" s="64"/>
      <c r="EJ987" s="64"/>
      <c r="EK987" s="64"/>
      <c r="EL987" s="64"/>
    </row>
    <row r="988" spans="131:142" x14ac:dyDescent="0.2">
      <c r="EA988" s="64"/>
      <c r="EB988" s="64"/>
      <c r="EC988" s="64"/>
      <c r="ED988" s="64"/>
      <c r="EE988" s="64"/>
      <c r="EF988" s="64"/>
      <c r="EG988" s="64"/>
      <c r="EH988" s="64"/>
      <c r="EI988" s="64"/>
      <c r="EJ988" s="64"/>
      <c r="EK988" s="64"/>
      <c r="EL988" s="64"/>
    </row>
    <row r="989" spans="131:142" x14ac:dyDescent="0.2">
      <c r="EA989" s="64"/>
      <c r="EB989" s="64"/>
      <c r="EC989" s="64"/>
      <c r="ED989" s="64"/>
      <c r="EE989" s="64"/>
      <c r="EF989" s="64"/>
      <c r="EG989" s="64"/>
      <c r="EH989" s="64"/>
      <c r="EI989" s="64"/>
      <c r="EJ989" s="64"/>
      <c r="EK989" s="64"/>
      <c r="EL989" s="64"/>
    </row>
    <row r="990" spans="131:142" x14ac:dyDescent="0.2">
      <c r="EA990" s="64"/>
      <c r="EB990" s="64"/>
      <c r="EC990" s="64"/>
      <c r="ED990" s="64"/>
      <c r="EE990" s="64"/>
      <c r="EF990" s="64"/>
      <c r="EG990" s="64"/>
      <c r="EH990" s="64"/>
      <c r="EI990" s="64"/>
      <c r="EJ990" s="64"/>
      <c r="EK990" s="64"/>
      <c r="EL990" s="64"/>
    </row>
    <row r="991" spans="131:142" x14ac:dyDescent="0.2">
      <c r="EA991" s="64"/>
      <c r="EB991" s="64"/>
      <c r="EC991" s="64"/>
      <c r="ED991" s="64"/>
      <c r="EE991" s="64"/>
      <c r="EF991" s="64"/>
      <c r="EG991" s="64"/>
      <c r="EH991" s="64"/>
      <c r="EI991" s="64"/>
      <c r="EJ991" s="64"/>
      <c r="EK991" s="64"/>
      <c r="EL991" s="64"/>
    </row>
    <row r="992" spans="131:142" x14ac:dyDescent="0.2">
      <c r="EA992" s="64"/>
      <c r="EB992" s="64"/>
      <c r="EC992" s="64"/>
      <c r="ED992" s="64"/>
      <c r="EE992" s="64"/>
      <c r="EF992" s="64"/>
      <c r="EG992" s="64"/>
      <c r="EH992" s="64"/>
      <c r="EI992" s="64"/>
      <c r="EJ992" s="64"/>
      <c r="EK992" s="64"/>
      <c r="EL992" s="64"/>
    </row>
    <row r="993" spans="131:142" x14ac:dyDescent="0.2">
      <c r="EA993" s="64"/>
      <c r="EB993" s="64"/>
      <c r="EC993" s="64"/>
      <c r="ED993" s="64"/>
      <c r="EE993" s="64"/>
      <c r="EF993" s="64"/>
      <c r="EG993" s="64"/>
      <c r="EH993" s="64"/>
      <c r="EI993" s="64"/>
      <c r="EJ993" s="64"/>
      <c r="EK993" s="64"/>
      <c r="EL993" s="64"/>
    </row>
    <row r="994" spans="131:142" x14ac:dyDescent="0.2">
      <c r="EA994" s="64"/>
      <c r="EB994" s="64"/>
      <c r="EC994" s="64"/>
      <c r="ED994" s="64"/>
      <c r="EE994" s="64"/>
      <c r="EF994" s="64"/>
      <c r="EG994" s="64"/>
      <c r="EH994" s="64"/>
      <c r="EI994" s="64"/>
      <c r="EJ994" s="64"/>
      <c r="EK994" s="64"/>
      <c r="EL994" s="64"/>
    </row>
    <row r="995" spans="131:142" x14ac:dyDescent="0.2">
      <c r="EA995" s="64"/>
      <c r="EB995" s="64"/>
      <c r="EC995" s="64"/>
      <c r="ED995" s="64"/>
      <c r="EE995" s="64"/>
      <c r="EF995" s="64"/>
      <c r="EG995" s="64"/>
      <c r="EH995" s="64"/>
      <c r="EI995" s="64"/>
      <c r="EJ995" s="64"/>
      <c r="EK995" s="64"/>
      <c r="EL995" s="64"/>
    </row>
    <row r="996" spans="131:142" x14ac:dyDescent="0.2">
      <c r="EA996" s="64"/>
      <c r="EB996" s="64"/>
      <c r="EC996" s="64"/>
      <c r="ED996" s="64"/>
      <c r="EE996" s="64"/>
      <c r="EF996" s="64"/>
      <c r="EG996" s="64"/>
      <c r="EH996" s="64"/>
      <c r="EI996" s="64"/>
      <c r="EJ996" s="64"/>
      <c r="EK996" s="64"/>
      <c r="EL996" s="64"/>
    </row>
    <row r="997" spans="131:142" x14ac:dyDescent="0.2">
      <c r="EA997" s="64"/>
      <c r="EB997" s="64"/>
      <c r="EC997" s="64"/>
      <c r="ED997" s="64"/>
      <c r="EE997" s="64"/>
      <c r="EF997" s="64"/>
      <c r="EG997" s="64"/>
      <c r="EH997" s="64"/>
      <c r="EI997" s="64"/>
      <c r="EJ997" s="64"/>
      <c r="EK997" s="64"/>
      <c r="EL997" s="64"/>
    </row>
    <row r="998" spans="131:142" x14ac:dyDescent="0.2">
      <c r="EA998" s="64"/>
      <c r="EB998" s="64"/>
      <c r="EC998" s="64"/>
      <c r="ED998" s="64"/>
      <c r="EE998" s="64"/>
      <c r="EF998" s="64"/>
      <c r="EG998" s="64"/>
      <c r="EH998" s="64"/>
      <c r="EI998" s="64"/>
      <c r="EJ998" s="64"/>
      <c r="EK998" s="64"/>
      <c r="EL998" s="64"/>
    </row>
    <row r="999" spans="131:142" x14ac:dyDescent="0.2">
      <c r="EA999" s="64"/>
      <c r="EB999" s="64"/>
      <c r="EC999" s="64"/>
      <c r="ED999" s="64"/>
      <c r="EE999" s="64"/>
      <c r="EF999" s="64"/>
      <c r="EG999" s="64"/>
      <c r="EH999" s="64"/>
      <c r="EI999" s="64"/>
      <c r="EJ999" s="64"/>
      <c r="EK999" s="64"/>
      <c r="EL999" s="64"/>
    </row>
    <row r="1000" spans="131:142" x14ac:dyDescent="0.2">
      <c r="EA1000" s="64"/>
      <c r="EB1000" s="64"/>
      <c r="EC1000" s="64"/>
      <c r="ED1000" s="64"/>
      <c r="EE1000" s="64"/>
      <c r="EF1000" s="64"/>
      <c r="EG1000" s="64"/>
      <c r="EH1000" s="64"/>
      <c r="EI1000" s="64"/>
      <c r="EJ1000" s="64"/>
      <c r="EK1000" s="64"/>
      <c r="EL1000" s="64"/>
    </row>
    <row r="1001" spans="131:142" x14ac:dyDescent="0.2">
      <c r="EA1001" s="64"/>
      <c r="EB1001" s="64"/>
      <c r="EC1001" s="64"/>
      <c r="ED1001" s="64"/>
      <c r="EE1001" s="64"/>
      <c r="EF1001" s="64"/>
      <c r="EG1001" s="64"/>
      <c r="EH1001" s="64"/>
      <c r="EI1001" s="64"/>
      <c r="EJ1001" s="64"/>
      <c r="EK1001" s="64"/>
      <c r="EL1001" s="64"/>
    </row>
  </sheetData>
  <sheetProtection pivotTables="0"/>
  <mergeCells count="21">
    <mergeCell ref="D107:E107"/>
    <mergeCell ref="B107:C107"/>
    <mergeCell ref="F4:I4"/>
    <mergeCell ref="A7:C7"/>
    <mergeCell ref="A8:B8"/>
    <mergeCell ref="A21:D21"/>
    <mergeCell ref="A15:B15"/>
    <mergeCell ref="A16:B16"/>
    <mergeCell ref="A17:B17"/>
    <mergeCell ref="A9:B9"/>
    <mergeCell ref="A10:B10"/>
    <mergeCell ref="A11:B11"/>
    <mergeCell ref="A12:B12"/>
    <mergeCell ref="A13:B13"/>
    <mergeCell ref="C34:D34"/>
    <mergeCell ref="A14:B14"/>
    <mergeCell ref="B1:C1"/>
    <mergeCell ref="D1:E1"/>
    <mergeCell ref="A5:B5"/>
    <mergeCell ref="A6:B6"/>
    <mergeCell ref="A34:B34"/>
  </mergeCells>
  <conditionalFormatting sqref="C16:C17 D17">
    <cfRule type="cellIs" dxfId="148" priority="6" stopIfTrue="1" operator="equal">
      <formula>"N.C."</formula>
    </cfRule>
    <cfRule type="cellIs" dxfId="147" priority="7" stopIfTrue="1" operator="lessThan">
      <formula>0</formula>
    </cfRule>
  </conditionalFormatting>
  <conditionalFormatting sqref="B107">
    <cfRule type="cellIs" dxfId="146" priority="1" operator="equal">
      <formula>0</formula>
    </cfRule>
  </conditionalFormatting>
  <dataValidations count="5">
    <dataValidation type="list" allowBlank="1" showInputMessage="1" showErrorMessage="1" sqref="WSM983050:WSM983057 GA9:GA16 PW9:PW16 ZS9:ZS16 AJO9:AJO16 ATK9:ATK16 BDG9:BDG16 BNC9:BNC16 BWY9:BWY16 CGU9:CGU16 CQQ9:CQQ16 DAM9:DAM16 DKI9:DKI16 DUE9:DUE16 EEA9:EEA16 ENW9:ENW16 EXS9:EXS16 FHO9:FHO16 FRK9:FRK16 GBG9:GBG16 GLC9:GLC16 GUY9:GUY16 HEU9:HEU16 HOQ9:HOQ16 HYM9:HYM16 III9:III16 ISE9:ISE16 JCA9:JCA16 JLW9:JLW16 JVS9:JVS16 KFO9:KFO16 KPK9:KPK16 KZG9:KZG16 LJC9:LJC16 LSY9:LSY16 MCU9:MCU16 MMQ9:MMQ16 MWM9:MWM16 NGI9:NGI16 NQE9:NQE16 OAA9:OAA16 OJW9:OJW16 OTS9:OTS16 PDO9:PDO16 PNK9:PNK16 PXG9:PXG16 QHC9:QHC16 QQY9:QQY16 RAU9:RAU16 RKQ9:RKQ16 RUM9:RUM16 SEI9:SEI16 SOE9:SOE16 SYA9:SYA16 THW9:THW16 TRS9:TRS16 UBO9:UBO16 ULK9:ULK16 UVG9:UVG16 VFC9:VFC16 VOY9:VOY16 VYU9:VYU16 WIQ9:WIQ16 WSM9:WSM16 C65546:C65553 GA65546:GA65553 PW65546:PW65553 ZS65546:ZS65553 AJO65546:AJO65553 ATK65546:ATK65553 BDG65546:BDG65553 BNC65546:BNC65553 BWY65546:BWY65553 CGU65546:CGU65553 CQQ65546:CQQ65553 DAM65546:DAM65553 DKI65546:DKI65553 DUE65546:DUE65553 EEA65546:EEA65553 ENW65546:ENW65553 EXS65546:EXS65553 FHO65546:FHO65553 FRK65546:FRK65553 GBG65546:GBG65553 GLC65546:GLC65553 GUY65546:GUY65553 HEU65546:HEU65553 HOQ65546:HOQ65553 HYM65546:HYM65553 III65546:III65553 ISE65546:ISE65553 JCA65546:JCA65553 JLW65546:JLW65553 JVS65546:JVS65553 KFO65546:KFO65553 KPK65546:KPK65553 KZG65546:KZG65553 LJC65546:LJC65553 LSY65546:LSY65553 MCU65546:MCU65553 MMQ65546:MMQ65553 MWM65546:MWM65553 NGI65546:NGI65553 NQE65546:NQE65553 OAA65546:OAA65553 OJW65546:OJW65553 OTS65546:OTS65553 PDO65546:PDO65553 PNK65546:PNK65553 PXG65546:PXG65553 QHC65546:QHC65553 QQY65546:QQY65553 RAU65546:RAU65553 RKQ65546:RKQ65553 RUM65546:RUM65553 SEI65546:SEI65553 SOE65546:SOE65553 SYA65546:SYA65553 THW65546:THW65553 TRS65546:TRS65553 UBO65546:UBO65553 ULK65546:ULK65553 UVG65546:UVG65553 VFC65546:VFC65553 VOY65546:VOY65553 VYU65546:VYU65553 WIQ65546:WIQ65553 WSM65546:WSM65553 C131082:C131089 GA131082:GA131089 PW131082:PW131089 ZS131082:ZS131089 AJO131082:AJO131089 ATK131082:ATK131089 BDG131082:BDG131089 BNC131082:BNC131089 BWY131082:BWY131089 CGU131082:CGU131089 CQQ131082:CQQ131089 DAM131082:DAM131089 DKI131082:DKI131089 DUE131082:DUE131089 EEA131082:EEA131089 ENW131082:ENW131089 EXS131082:EXS131089 FHO131082:FHO131089 FRK131082:FRK131089 GBG131082:GBG131089 GLC131082:GLC131089 GUY131082:GUY131089 HEU131082:HEU131089 HOQ131082:HOQ131089 HYM131082:HYM131089 III131082:III131089 ISE131082:ISE131089 JCA131082:JCA131089 JLW131082:JLW131089 JVS131082:JVS131089 KFO131082:KFO131089 KPK131082:KPK131089 KZG131082:KZG131089 LJC131082:LJC131089 LSY131082:LSY131089 MCU131082:MCU131089 MMQ131082:MMQ131089 MWM131082:MWM131089 NGI131082:NGI131089 NQE131082:NQE131089 OAA131082:OAA131089 OJW131082:OJW131089 OTS131082:OTS131089 PDO131082:PDO131089 PNK131082:PNK131089 PXG131082:PXG131089 QHC131082:QHC131089 QQY131082:QQY131089 RAU131082:RAU131089 RKQ131082:RKQ131089 RUM131082:RUM131089 SEI131082:SEI131089 SOE131082:SOE131089 SYA131082:SYA131089 THW131082:THW131089 TRS131082:TRS131089 UBO131082:UBO131089 ULK131082:ULK131089 UVG131082:UVG131089 VFC131082:VFC131089 VOY131082:VOY131089 VYU131082:VYU131089 WIQ131082:WIQ131089 WSM131082:WSM131089 C196618:C196625 GA196618:GA196625 PW196618:PW196625 ZS196618:ZS196625 AJO196618:AJO196625 ATK196618:ATK196625 BDG196618:BDG196625 BNC196618:BNC196625 BWY196618:BWY196625 CGU196618:CGU196625 CQQ196618:CQQ196625 DAM196618:DAM196625 DKI196618:DKI196625 DUE196618:DUE196625 EEA196618:EEA196625 ENW196618:ENW196625 EXS196618:EXS196625 FHO196618:FHO196625 FRK196618:FRK196625 GBG196618:GBG196625 GLC196618:GLC196625 GUY196618:GUY196625 HEU196618:HEU196625 HOQ196618:HOQ196625 HYM196618:HYM196625 III196618:III196625 ISE196618:ISE196625 JCA196618:JCA196625 JLW196618:JLW196625 JVS196618:JVS196625 KFO196618:KFO196625 KPK196618:KPK196625 KZG196618:KZG196625 LJC196618:LJC196625 LSY196618:LSY196625 MCU196618:MCU196625 MMQ196618:MMQ196625 MWM196618:MWM196625 NGI196618:NGI196625 NQE196618:NQE196625 OAA196618:OAA196625 OJW196618:OJW196625 OTS196618:OTS196625 PDO196618:PDO196625 PNK196618:PNK196625 PXG196618:PXG196625 QHC196618:QHC196625 QQY196618:QQY196625 RAU196618:RAU196625 RKQ196618:RKQ196625 RUM196618:RUM196625 SEI196618:SEI196625 SOE196618:SOE196625 SYA196618:SYA196625 THW196618:THW196625 TRS196618:TRS196625 UBO196618:UBO196625 ULK196618:ULK196625 UVG196618:UVG196625 VFC196618:VFC196625 VOY196618:VOY196625 VYU196618:VYU196625 WIQ196618:WIQ196625 WSM196618:WSM196625 C262154:C262161 GA262154:GA262161 PW262154:PW262161 ZS262154:ZS262161 AJO262154:AJO262161 ATK262154:ATK262161 BDG262154:BDG262161 BNC262154:BNC262161 BWY262154:BWY262161 CGU262154:CGU262161 CQQ262154:CQQ262161 DAM262154:DAM262161 DKI262154:DKI262161 DUE262154:DUE262161 EEA262154:EEA262161 ENW262154:ENW262161 EXS262154:EXS262161 FHO262154:FHO262161 FRK262154:FRK262161 GBG262154:GBG262161 GLC262154:GLC262161 GUY262154:GUY262161 HEU262154:HEU262161 HOQ262154:HOQ262161 HYM262154:HYM262161 III262154:III262161 ISE262154:ISE262161 JCA262154:JCA262161 JLW262154:JLW262161 JVS262154:JVS262161 KFO262154:KFO262161 KPK262154:KPK262161 KZG262154:KZG262161 LJC262154:LJC262161 LSY262154:LSY262161 MCU262154:MCU262161 MMQ262154:MMQ262161 MWM262154:MWM262161 NGI262154:NGI262161 NQE262154:NQE262161 OAA262154:OAA262161 OJW262154:OJW262161 OTS262154:OTS262161 PDO262154:PDO262161 PNK262154:PNK262161 PXG262154:PXG262161 QHC262154:QHC262161 QQY262154:QQY262161 RAU262154:RAU262161 RKQ262154:RKQ262161 RUM262154:RUM262161 SEI262154:SEI262161 SOE262154:SOE262161 SYA262154:SYA262161 THW262154:THW262161 TRS262154:TRS262161 UBO262154:UBO262161 ULK262154:ULK262161 UVG262154:UVG262161 VFC262154:VFC262161 VOY262154:VOY262161 VYU262154:VYU262161 WIQ262154:WIQ262161 WSM262154:WSM262161 C327690:C327697 GA327690:GA327697 PW327690:PW327697 ZS327690:ZS327697 AJO327690:AJO327697 ATK327690:ATK327697 BDG327690:BDG327697 BNC327690:BNC327697 BWY327690:BWY327697 CGU327690:CGU327697 CQQ327690:CQQ327697 DAM327690:DAM327697 DKI327690:DKI327697 DUE327690:DUE327697 EEA327690:EEA327697 ENW327690:ENW327697 EXS327690:EXS327697 FHO327690:FHO327697 FRK327690:FRK327697 GBG327690:GBG327697 GLC327690:GLC327697 GUY327690:GUY327697 HEU327690:HEU327697 HOQ327690:HOQ327697 HYM327690:HYM327697 III327690:III327697 ISE327690:ISE327697 JCA327690:JCA327697 JLW327690:JLW327697 JVS327690:JVS327697 KFO327690:KFO327697 KPK327690:KPK327697 KZG327690:KZG327697 LJC327690:LJC327697 LSY327690:LSY327697 MCU327690:MCU327697 MMQ327690:MMQ327697 MWM327690:MWM327697 NGI327690:NGI327697 NQE327690:NQE327697 OAA327690:OAA327697 OJW327690:OJW327697 OTS327690:OTS327697 PDO327690:PDO327697 PNK327690:PNK327697 PXG327690:PXG327697 QHC327690:QHC327697 QQY327690:QQY327697 RAU327690:RAU327697 RKQ327690:RKQ327697 RUM327690:RUM327697 SEI327690:SEI327697 SOE327690:SOE327697 SYA327690:SYA327697 THW327690:THW327697 TRS327690:TRS327697 UBO327690:UBO327697 ULK327690:ULK327697 UVG327690:UVG327697 VFC327690:VFC327697 VOY327690:VOY327697 VYU327690:VYU327697 WIQ327690:WIQ327697 WSM327690:WSM327697 C393226:C393233 GA393226:GA393233 PW393226:PW393233 ZS393226:ZS393233 AJO393226:AJO393233 ATK393226:ATK393233 BDG393226:BDG393233 BNC393226:BNC393233 BWY393226:BWY393233 CGU393226:CGU393233 CQQ393226:CQQ393233 DAM393226:DAM393233 DKI393226:DKI393233 DUE393226:DUE393233 EEA393226:EEA393233 ENW393226:ENW393233 EXS393226:EXS393233 FHO393226:FHO393233 FRK393226:FRK393233 GBG393226:GBG393233 GLC393226:GLC393233 GUY393226:GUY393233 HEU393226:HEU393233 HOQ393226:HOQ393233 HYM393226:HYM393233 III393226:III393233 ISE393226:ISE393233 JCA393226:JCA393233 JLW393226:JLW393233 JVS393226:JVS393233 KFO393226:KFO393233 KPK393226:KPK393233 KZG393226:KZG393233 LJC393226:LJC393233 LSY393226:LSY393233 MCU393226:MCU393233 MMQ393226:MMQ393233 MWM393226:MWM393233 NGI393226:NGI393233 NQE393226:NQE393233 OAA393226:OAA393233 OJW393226:OJW393233 OTS393226:OTS393233 PDO393226:PDO393233 PNK393226:PNK393233 PXG393226:PXG393233 QHC393226:QHC393233 QQY393226:QQY393233 RAU393226:RAU393233 RKQ393226:RKQ393233 RUM393226:RUM393233 SEI393226:SEI393233 SOE393226:SOE393233 SYA393226:SYA393233 THW393226:THW393233 TRS393226:TRS393233 UBO393226:UBO393233 ULK393226:ULK393233 UVG393226:UVG393233 VFC393226:VFC393233 VOY393226:VOY393233 VYU393226:VYU393233 WIQ393226:WIQ393233 WSM393226:WSM393233 C458762:C458769 GA458762:GA458769 PW458762:PW458769 ZS458762:ZS458769 AJO458762:AJO458769 ATK458762:ATK458769 BDG458762:BDG458769 BNC458762:BNC458769 BWY458762:BWY458769 CGU458762:CGU458769 CQQ458762:CQQ458769 DAM458762:DAM458769 DKI458762:DKI458769 DUE458762:DUE458769 EEA458762:EEA458769 ENW458762:ENW458769 EXS458762:EXS458769 FHO458762:FHO458769 FRK458762:FRK458769 GBG458762:GBG458769 GLC458762:GLC458769 GUY458762:GUY458769 HEU458762:HEU458769 HOQ458762:HOQ458769 HYM458762:HYM458769 III458762:III458769 ISE458762:ISE458769 JCA458762:JCA458769 JLW458762:JLW458769 JVS458762:JVS458769 KFO458762:KFO458769 KPK458762:KPK458769 KZG458762:KZG458769 LJC458762:LJC458769 LSY458762:LSY458769 MCU458762:MCU458769 MMQ458762:MMQ458769 MWM458762:MWM458769 NGI458762:NGI458769 NQE458762:NQE458769 OAA458762:OAA458769 OJW458762:OJW458769 OTS458762:OTS458769 PDO458762:PDO458769 PNK458762:PNK458769 PXG458762:PXG458769 QHC458762:QHC458769 QQY458762:QQY458769 RAU458762:RAU458769 RKQ458762:RKQ458769 RUM458762:RUM458769 SEI458762:SEI458769 SOE458762:SOE458769 SYA458762:SYA458769 THW458762:THW458769 TRS458762:TRS458769 UBO458762:UBO458769 ULK458762:ULK458769 UVG458762:UVG458769 VFC458762:VFC458769 VOY458762:VOY458769 VYU458762:VYU458769 WIQ458762:WIQ458769 WSM458762:WSM458769 C524298:C524305 GA524298:GA524305 PW524298:PW524305 ZS524298:ZS524305 AJO524298:AJO524305 ATK524298:ATK524305 BDG524298:BDG524305 BNC524298:BNC524305 BWY524298:BWY524305 CGU524298:CGU524305 CQQ524298:CQQ524305 DAM524298:DAM524305 DKI524298:DKI524305 DUE524298:DUE524305 EEA524298:EEA524305 ENW524298:ENW524305 EXS524298:EXS524305 FHO524298:FHO524305 FRK524298:FRK524305 GBG524298:GBG524305 GLC524298:GLC524305 GUY524298:GUY524305 HEU524298:HEU524305 HOQ524298:HOQ524305 HYM524298:HYM524305 III524298:III524305 ISE524298:ISE524305 JCA524298:JCA524305 JLW524298:JLW524305 JVS524298:JVS524305 KFO524298:KFO524305 KPK524298:KPK524305 KZG524298:KZG524305 LJC524298:LJC524305 LSY524298:LSY524305 MCU524298:MCU524305 MMQ524298:MMQ524305 MWM524298:MWM524305 NGI524298:NGI524305 NQE524298:NQE524305 OAA524298:OAA524305 OJW524298:OJW524305 OTS524298:OTS524305 PDO524298:PDO524305 PNK524298:PNK524305 PXG524298:PXG524305 QHC524298:QHC524305 QQY524298:QQY524305 RAU524298:RAU524305 RKQ524298:RKQ524305 RUM524298:RUM524305 SEI524298:SEI524305 SOE524298:SOE524305 SYA524298:SYA524305 THW524298:THW524305 TRS524298:TRS524305 UBO524298:UBO524305 ULK524298:ULK524305 UVG524298:UVG524305 VFC524298:VFC524305 VOY524298:VOY524305 VYU524298:VYU524305 WIQ524298:WIQ524305 WSM524298:WSM524305 C589834:C589841 GA589834:GA589841 PW589834:PW589841 ZS589834:ZS589841 AJO589834:AJO589841 ATK589834:ATK589841 BDG589834:BDG589841 BNC589834:BNC589841 BWY589834:BWY589841 CGU589834:CGU589841 CQQ589834:CQQ589841 DAM589834:DAM589841 DKI589834:DKI589841 DUE589834:DUE589841 EEA589834:EEA589841 ENW589834:ENW589841 EXS589834:EXS589841 FHO589834:FHO589841 FRK589834:FRK589841 GBG589834:GBG589841 GLC589834:GLC589841 GUY589834:GUY589841 HEU589834:HEU589841 HOQ589834:HOQ589841 HYM589834:HYM589841 III589834:III589841 ISE589834:ISE589841 JCA589834:JCA589841 JLW589834:JLW589841 JVS589834:JVS589841 KFO589834:KFO589841 KPK589834:KPK589841 KZG589834:KZG589841 LJC589834:LJC589841 LSY589834:LSY589841 MCU589834:MCU589841 MMQ589834:MMQ589841 MWM589834:MWM589841 NGI589834:NGI589841 NQE589834:NQE589841 OAA589834:OAA589841 OJW589834:OJW589841 OTS589834:OTS589841 PDO589834:PDO589841 PNK589834:PNK589841 PXG589834:PXG589841 QHC589834:QHC589841 QQY589834:QQY589841 RAU589834:RAU589841 RKQ589834:RKQ589841 RUM589834:RUM589841 SEI589834:SEI589841 SOE589834:SOE589841 SYA589834:SYA589841 THW589834:THW589841 TRS589834:TRS589841 UBO589834:UBO589841 ULK589834:ULK589841 UVG589834:UVG589841 VFC589834:VFC589841 VOY589834:VOY589841 VYU589834:VYU589841 WIQ589834:WIQ589841 WSM589834:WSM589841 C655370:C655377 GA655370:GA655377 PW655370:PW655377 ZS655370:ZS655377 AJO655370:AJO655377 ATK655370:ATK655377 BDG655370:BDG655377 BNC655370:BNC655377 BWY655370:BWY655377 CGU655370:CGU655377 CQQ655370:CQQ655377 DAM655370:DAM655377 DKI655370:DKI655377 DUE655370:DUE655377 EEA655370:EEA655377 ENW655370:ENW655377 EXS655370:EXS655377 FHO655370:FHO655377 FRK655370:FRK655377 GBG655370:GBG655377 GLC655370:GLC655377 GUY655370:GUY655377 HEU655370:HEU655377 HOQ655370:HOQ655377 HYM655370:HYM655377 III655370:III655377 ISE655370:ISE655377 JCA655370:JCA655377 JLW655370:JLW655377 JVS655370:JVS655377 KFO655370:KFO655377 KPK655370:KPK655377 KZG655370:KZG655377 LJC655370:LJC655377 LSY655370:LSY655377 MCU655370:MCU655377 MMQ655370:MMQ655377 MWM655370:MWM655377 NGI655370:NGI655377 NQE655370:NQE655377 OAA655370:OAA655377 OJW655370:OJW655377 OTS655370:OTS655377 PDO655370:PDO655377 PNK655370:PNK655377 PXG655370:PXG655377 QHC655370:QHC655377 QQY655370:QQY655377 RAU655370:RAU655377 RKQ655370:RKQ655377 RUM655370:RUM655377 SEI655370:SEI655377 SOE655370:SOE655377 SYA655370:SYA655377 THW655370:THW655377 TRS655370:TRS655377 UBO655370:UBO655377 ULK655370:ULK655377 UVG655370:UVG655377 VFC655370:VFC655377 VOY655370:VOY655377 VYU655370:VYU655377 WIQ655370:WIQ655377 WSM655370:WSM655377 C720906:C720913 GA720906:GA720913 PW720906:PW720913 ZS720906:ZS720913 AJO720906:AJO720913 ATK720906:ATK720913 BDG720906:BDG720913 BNC720906:BNC720913 BWY720906:BWY720913 CGU720906:CGU720913 CQQ720906:CQQ720913 DAM720906:DAM720913 DKI720906:DKI720913 DUE720906:DUE720913 EEA720906:EEA720913 ENW720906:ENW720913 EXS720906:EXS720913 FHO720906:FHO720913 FRK720906:FRK720913 GBG720906:GBG720913 GLC720906:GLC720913 GUY720906:GUY720913 HEU720906:HEU720913 HOQ720906:HOQ720913 HYM720906:HYM720913 III720906:III720913 ISE720906:ISE720913 JCA720906:JCA720913 JLW720906:JLW720913 JVS720906:JVS720913 KFO720906:KFO720913 KPK720906:KPK720913 KZG720906:KZG720913 LJC720906:LJC720913 LSY720906:LSY720913 MCU720906:MCU720913 MMQ720906:MMQ720913 MWM720906:MWM720913 NGI720906:NGI720913 NQE720906:NQE720913 OAA720906:OAA720913 OJW720906:OJW720913 OTS720906:OTS720913 PDO720906:PDO720913 PNK720906:PNK720913 PXG720906:PXG720913 QHC720906:QHC720913 QQY720906:QQY720913 RAU720906:RAU720913 RKQ720906:RKQ720913 RUM720906:RUM720913 SEI720906:SEI720913 SOE720906:SOE720913 SYA720906:SYA720913 THW720906:THW720913 TRS720906:TRS720913 UBO720906:UBO720913 ULK720906:ULK720913 UVG720906:UVG720913 VFC720906:VFC720913 VOY720906:VOY720913 VYU720906:VYU720913 WIQ720906:WIQ720913 WSM720906:WSM720913 C786442:C786449 GA786442:GA786449 PW786442:PW786449 ZS786442:ZS786449 AJO786442:AJO786449 ATK786442:ATK786449 BDG786442:BDG786449 BNC786442:BNC786449 BWY786442:BWY786449 CGU786442:CGU786449 CQQ786442:CQQ786449 DAM786442:DAM786449 DKI786442:DKI786449 DUE786442:DUE786449 EEA786442:EEA786449 ENW786442:ENW786449 EXS786442:EXS786449 FHO786442:FHO786449 FRK786442:FRK786449 GBG786442:GBG786449 GLC786442:GLC786449 GUY786442:GUY786449 HEU786442:HEU786449 HOQ786442:HOQ786449 HYM786442:HYM786449 III786442:III786449 ISE786442:ISE786449 JCA786442:JCA786449 JLW786442:JLW786449 JVS786442:JVS786449 KFO786442:KFO786449 KPK786442:KPK786449 KZG786442:KZG786449 LJC786442:LJC786449 LSY786442:LSY786449 MCU786442:MCU786449 MMQ786442:MMQ786449 MWM786442:MWM786449 NGI786442:NGI786449 NQE786442:NQE786449 OAA786442:OAA786449 OJW786442:OJW786449 OTS786442:OTS786449 PDO786442:PDO786449 PNK786442:PNK786449 PXG786442:PXG786449 QHC786442:QHC786449 QQY786442:QQY786449 RAU786442:RAU786449 RKQ786442:RKQ786449 RUM786442:RUM786449 SEI786442:SEI786449 SOE786442:SOE786449 SYA786442:SYA786449 THW786442:THW786449 TRS786442:TRS786449 UBO786442:UBO786449 ULK786442:ULK786449 UVG786442:UVG786449 VFC786442:VFC786449 VOY786442:VOY786449 VYU786442:VYU786449 WIQ786442:WIQ786449 WSM786442:WSM786449 C851978:C851985 GA851978:GA851985 PW851978:PW851985 ZS851978:ZS851985 AJO851978:AJO851985 ATK851978:ATK851985 BDG851978:BDG851985 BNC851978:BNC851985 BWY851978:BWY851985 CGU851978:CGU851985 CQQ851978:CQQ851985 DAM851978:DAM851985 DKI851978:DKI851985 DUE851978:DUE851985 EEA851978:EEA851985 ENW851978:ENW851985 EXS851978:EXS851985 FHO851978:FHO851985 FRK851978:FRK851985 GBG851978:GBG851985 GLC851978:GLC851985 GUY851978:GUY851985 HEU851978:HEU851985 HOQ851978:HOQ851985 HYM851978:HYM851985 III851978:III851985 ISE851978:ISE851985 JCA851978:JCA851985 JLW851978:JLW851985 JVS851978:JVS851985 KFO851978:KFO851985 KPK851978:KPK851985 KZG851978:KZG851985 LJC851978:LJC851985 LSY851978:LSY851985 MCU851978:MCU851985 MMQ851978:MMQ851985 MWM851978:MWM851985 NGI851978:NGI851985 NQE851978:NQE851985 OAA851978:OAA851985 OJW851978:OJW851985 OTS851978:OTS851985 PDO851978:PDO851985 PNK851978:PNK851985 PXG851978:PXG851985 QHC851978:QHC851985 QQY851978:QQY851985 RAU851978:RAU851985 RKQ851978:RKQ851985 RUM851978:RUM851985 SEI851978:SEI851985 SOE851978:SOE851985 SYA851978:SYA851985 THW851978:THW851985 TRS851978:TRS851985 UBO851978:UBO851985 ULK851978:ULK851985 UVG851978:UVG851985 VFC851978:VFC851985 VOY851978:VOY851985 VYU851978:VYU851985 WIQ851978:WIQ851985 WSM851978:WSM851985 C917514:C917521 GA917514:GA917521 PW917514:PW917521 ZS917514:ZS917521 AJO917514:AJO917521 ATK917514:ATK917521 BDG917514:BDG917521 BNC917514:BNC917521 BWY917514:BWY917521 CGU917514:CGU917521 CQQ917514:CQQ917521 DAM917514:DAM917521 DKI917514:DKI917521 DUE917514:DUE917521 EEA917514:EEA917521 ENW917514:ENW917521 EXS917514:EXS917521 FHO917514:FHO917521 FRK917514:FRK917521 GBG917514:GBG917521 GLC917514:GLC917521 GUY917514:GUY917521 HEU917514:HEU917521 HOQ917514:HOQ917521 HYM917514:HYM917521 III917514:III917521 ISE917514:ISE917521 JCA917514:JCA917521 JLW917514:JLW917521 JVS917514:JVS917521 KFO917514:KFO917521 KPK917514:KPK917521 KZG917514:KZG917521 LJC917514:LJC917521 LSY917514:LSY917521 MCU917514:MCU917521 MMQ917514:MMQ917521 MWM917514:MWM917521 NGI917514:NGI917521 NQE917514:NQE917521 OAA917514:OAA917521 OJW917514:OJW917521 OTS917514:OTS917521 PDO917514:PDO917521 PNK917514:PNK917521 PXG917514:PXG917521 QHC917514:QHC917521 QQY917514:QQY917521 RAU917514:RAU917521 RKQ917514:RKQ917521 RUM917514:RUM917521 SEI917514:SEI917521 SOE917514:SOE917521 SYA917514:SYA917521 THW917514:THW917521 TRS917514:TRS917521 UBO917514:UBO917521 ULK917514:ULK917521 UVG917514:UVG917521 VFC917514:VFC917521 VOY917514:VOY917521 VYU917514:VYU917521 WIQ917514:WIQ917521 WSM917514:WSM917521 C983050:C983057 GA983050:GA983057 PW983050:PW983057 ZS983050:ZS983057 AJO983050:AJO983057 ATK983050:ATK983057 BDG983050:BDG983057 BNC983050:BNC983057 BWY983050:BWY983057 CGU983050:CGU983057 CQQ983050:CQQ983057 DAM983050:DAM983057 DKI983050:DKI983057 DUE983050:DUE983057 EEA983050:EEA983057 ENW983050:ENW983057 EXS983050:EXS983057 FHO983050:FHO983057 FRK983050:FRK983057 GBG983050:GBG983057 GLC983050:GLC983057 GUY983050:GUY983057 HEU983050:HEU983057 HOQ983050:HOQ983057 HYM983050:HYM983057 III983050:III983057 ISE983050:ISE983057 JCA983050:JCA983057 JLW983050:JLW983057 JVS983050:JVS983057 KFO983050:KFO983057 KPK983050:KPK983057 KZG983050:KZG983057 LJC983050:LJC983057 LSY983050:LSY983057 MCU983050:MCU983057 MMQ983050:MMQ983057 MWM983050:MWM983057 NGI983050:NGI983057 NQE983050:NQE983057 OAA983050:OAA983057 OJW983050:OJW983057 OTS983050:OTS983057 PDO983050:PDO983057 PNK983050:PNK983057 PXG983050:PXG983057 QHC983050:QHC983057 QQY983050:QQY983057 RAU983050:RAU983057 RKQ983050:RKQ983057 RUM983050:RUM983057 SEI983050:SEI983057 SOE983050:SOE983057 SYA983050:SYA983057 THW983050:THW983057 TRS983050:TRS983057 UBO983050:UBO983057 ULK983050:ULK983057 UVG983050:UVG983057 VFC983050:VFC983057 VOY983050:VOY983057 VYU983050:VYU983057 WIQ983050:WIQ983057">
      <formula1>$D$5:$D$6</formula1>
    </dataValidation>
    <dataValidation type="list" allowBlank="1" showInputMessage="1" showErrorMessage="1" sqref="GK5:GK104 WSW983046:WSW983145 WJA983046:WJA983145 VZE983046:VZE983145 VPI983046:VPI983145 VFM983046:VFM983145 UVQ983046:UVQ983145 ULU983046:ULU983145 UBY983046:UBY983145 TSC983046:TSC983145 TIG983046:TIG983145 SYK983046:SYK983145 SOO983046:SOO983145 SES983046:SES983145 RUW983046:RUW983145 RLA983046:RLA983145 RBE983046:RBE983145 QRI983046:QRI983145 QHM983046:QHM983145 PXQ983046:PXQ983145 PNU983046:PNU983145 PDY983046:PDY983145 OUC983046:OUC983145 OKG983046:OKG983145 OAK983046:OAK983145 NQO983046:NQO983145 NGS983046:NGS983145 MWW983046:MWW983145 MNA983046:MNA983145 MDE983046:MDE983145 LTI983046:LTI983145 LJM983046:LJM983145 KZQ983046:KZQ983145 KPU983046:KPU983145 KFY983046:KFY983145 JWC983046:JWC983145 JMG983046:JMG983145 JCK983046:JCK983145 ISO983046:ISO983145 IIS983046:IIS983145 HYW983046:HYW983145 HPA983046:HPA983145 HFE983046:HFE983145 GVI983046:GVI983145 GLM983046:GLM983145 GBQ983046:GBQ983145 FRU983046:FRU983145 FHY983046:FHY983145 EYC983046:EYC983145 EOG983046:EOG983145 EEK983046:EEK983145 DUO983046:DUO983145 DKS983046:DKS983145 DAW983046:DAW983145 CRA983046:CRA983145 CHE983046:CHE983145 BXI983046:BXI983145 BNM983046:BNM983145 BDQ983046:BDQ983145 ATU983046:ATU983145 AJY983046:AJY983145 AAC983046:AAC983145 QG983046:QG983145 GK983046:GK983145 WSW917510:WSW917609 WJA917510:WJA917609 VZE917510:VZE917609 VPI917510:VPI917609 VFM917510:VFM917609 UVQ917510:UVQ917609 ULU917510:ULU917609 UBY917510:UBY917609 TSC917510:TSC917609 TIG917510:TIG917609 SYK917510:SYK917609 SOO917510:SOO917609 SES917510:SES917609 RUW917510:RUW917609 RLA917510:RLA917609 RBE917510:RBE917609 QRI917510:QRI917609 QHM917510:QHM917609 PXQ917510:PXQ917609 PNU917510:PNU917609 PDY917510:PDY917609 OUC917510:OUC917609 OKG917510:OKG917609 OAK917510:OAK917609 NQO917510:NQO917609 NGS917510:NGS917609 MWW917510:MWW917609 MNA917510:MNA917609 MDE917510:MDE917609 LTI917510:LTI917609 LJM917510:LJM917609 KZQ917510:KZQ917609 KPU917510:KPU917609 KFY917510:KFY917609 JWC917510:JWC917609 JMG917510:JMG917609 JCK917510:JCK917609 ISO917510:ISO917609 IIS917510:IIS917609 HYW917510:HYW917609 HPA917510:HPA917609 HFE917510:HFE917609 GVI917510:GVI917609 GLM917510:GLM917609 GBQ917510:GBQ917609 FRU917510:FRU917609 FHY917510:FHY917609 EYC917510:EYC917609 EOG917510:EOG917609 EEK917510:EEK917609 DUO917510:DUO917609 DKS917510:DKS917609 DAW917510:DAW917609 CRA917510:CRA917609 CHE917510:CHE917609 BXI917510:BXI917609 BNM917510:BNM917609 BDQ917510:BDQ917609 ATU917510:ATU917609 AJY917510:AJY917609 AAC917510:AAC917609 QG917510:QG917609 GK917510:GK917609 WSW851974:WSW852073 WJA851974:WJA852073 VZE851974:VZE852073 VPI851974:VPI852073 VFM851974:VFM852073 UVQ851974:UVQ852073 ULU851974:ULU852073 UBY851974:UBY852073 TSC851974:TSC852073 TIG851974:TIG852073 SYK851974:SYK852073 SOO851974:SOO852073 SES851974:SES852073 RUW851974:RUW852073 RLA851974:RLA852073 RBE851974:RBE852073 QRI851974:QRI852073 QHM851974:QHM852073 PXQ851974:PXQ852073 PNU851974:PNU852073 PDY851974:PDY852073 OUC851974:OUC852073 OKG851974:OKG852073 OAK851974:OAK852073 NQO851974:NQO852073 NGS851974:NGS852073 MWW851974:MWW852073 MNA851974:MNA852073 MDE851974:MDE852073 LTI851974:LTI852073 LJM851974:LJM852073 KZQ851974:KZQ852073 KPU851974:KPU852073 KFY851974:KFY852073 JWC851974:JWC852073 JMG851974:JMG852073 JCK851974:JCK852073 ISO851974:ISO852073 IIS851974:IIS852073 HYW851974:HYW852073 HPA851974:HPA852073 HFE851974:HFE852073 GVI851974:GVI852073 GLM851974:GLM852073 GBQ851974:GBQ852073 FRU851974:FRU852073 FHY851974:FHY852073 EYC851974:EYC852073 EOG851974:EOG852073 EEK851974:EEK852073 DUO851974:DUO852073 DKS851974:DKS852073 DAW851974:DAW852073 CRA851974:CRA852073 CHE851974:CHE852073 BXI851974:BXI852073 BNM851974:BNM852073 BDQ851974:BDQ852073 ATU851974:ATU852073 AJY851974:AJY852073 AAC851974:AAC852073 QG851974:QG852073 GK851974:GK852073 WSW786438:WSW786537 WJA786438:WJA786537 VZE786438:VZE786537 VPI786438:VPI786537 VFM786438:VFM786537 UVQ786438:UVQ786537 ULU786438:ULU786537 UBY786438:UBY786537 TSC786438:TSC786537 TIG786438:TIG786537 SYK786438:SYK786537 SOO786438:SOO786537 SES786438:SES786537 RUW786438:RUW786537 RLA786438:RLA786537 RBE786438:RBE786537 QRI786438:QRI786537 QHM786438:QHM786537 PXQ786438:PXQ786537 PNU786438:PNU786537 PDY786438:PDY786537 OUC786438:OUC786537 OKG786438:OKG786537 OAK786438:OAK786537 NQO786438:NQO786537 NGS786438:NGS786537 MWW786438:MWW786537 MNA786438:MNA786537 MDE786438:MDE786537 LTI786438:LTI786537 LJM786438:LJM786537 KZQ786438:KZQ786537 KPU786438:KPU786537 KFY786438:KFY786537 JWC786438:JWC786537 JMG786438:JMG786537 JCK786438:JCK786537 ISO786438:ISO786537 IIS786438:IIS786537 HYW786438:HYW786537 HPA786438:HPA786537 HFE786438:HFE786537 GVI786438:GVI786537 GLM786438:GLM786537 GBQ786438:GBQ786537 FRU786438:FRU786537 FHY786438:FHY786537 EYC786438:EYC786537 EOG786438:EOG786537 EEK786438:EEK786537 DUO786438:DUO786537 DKS786438:DKS786537 DAW786438:DAW786537 CRA786438:CRA786537 CHE786438:CHE786537 BXI786438:BXI786537 BNM786438:BNM786537 BDQ786438:BDQ786537 ATU786438:ATU786537 AJY786438:AJY786537 AAC786438:AAC786537 QG786438:QG786537 GK786438:GK786537 WSW720902:WSW721001 WJA720902:WJA721001 VZE720902:VZE721001 VPI720902:VPI721001 VFM720902:VFM721001 UVQ720902:UVQ721001 ULU720902:ULU721001 UBY720902:UBY721001 TSC720902:TSC721001 TIG720902:TIG721001 SYK720902:SYK721001 SOO720902:SOO721001 SES720902:SES721001 RUW720902:RUW721001 RLA720902:RLA721001 RBE720902:RBE721001 QRI720902:QRI721001 QHM720902:QHM721001 PXQ720902:PXQ721001 PNU720902:PNU721001 PDY720902:PDY721001 OUC720902:OUC721001 OKG720902:OKG721001 OAK720902:OAK721001 NQO720902:NQO721001 NGS720902:NGS721001 MWW720902:MWW721001 MNA720902:MNA721001 MDE720902:MDE721001 LTI720902:LTI721001 LJM720902:LJM721001 KZQ720902:KZQ721001 KPU720902:KPU721001 KFY720902:KFY721001 JWC720902:JWC721001 JMG720902:JMG721001 JCK720902:JCK721001 ISO720902:ISO721001 IIS720902:IIS721001 HYW720902:HYW721001 HPA720902:HPA721001 HFE720902:HFE721001 GVI720902:GVI721001 GLM720902:GLM721001 GBQ720902:GBQ721001 FRU720902:FRU721001 FHY720902:FHY721001 EYC720902:EYC721001 EOG720902:EOG721001 EEK720902:EEK721001 DUO720902:DUO721001 DKS720902:DKS721001 DAW720902:DAW721001 CRA720902:CRA721001 CHE720902:CHE721001 BXI720902:BXI721001 BNM720902:BNM721001 BDQ720902:BDQ721001 ATU720902:ATU721001 AJY720902:AJY721001 AAC720902:AAC721001 QG720902:QG721001 GK720902:GK721001 WSW655366:WSW655465 WJA655366:WJA655465 VZE655366:VZE655465 VPI655366:VPI655465 VFM655366:VFM655465 UVQ655366:UVQ655465 ULU655366:ULU655465 UBY655366:UBY655465 TSC655366:TSC655465 TIG655366:TIG655465 SYK655366:SYK655465 SOO655366:SOO655465 SES655366:SES655465 RUW655366:RUW655465 RLA655366:RLA655465 RBE655366:RBE655465 QRI655366:QRI655465 QHM655366:QHM655465 PXQ655366:PXQ655465 PNU655366:PNU655465 PDY655366:PDY655465 OUC655366:OUC655465 OKG655366:OKG655465 OAK655366:OAK655465 NQO655366:NQO655465 NGS655366:NGS655465 MWW655366:MWW655465 MNA655366:MNA655465 MDE655366:MDE655465 LTI655366:LTI655465 LJM655366:LJM655465 KZQ655366:KZQ655465 KPU655366:KPU655465 KFY655366:KFY655465 JWC655366:JWC655465 JMG655366:JMG655465 JCK655366:JCK655465 ISO655366:ISO655465 IIS655366:IIS655465 HYW655366:HYW655465 HPA655366:HPA655465 HFE655366:HFE655465 GVI655366:GVI655465 GLM655366:GLM655465 GBQ655366:GBQ655465 FRU655366:FRU655465 FHY655366:FHY655465 EYC655366:EYC655465 EOG655366:EOG655465 EEK655366:EEK655465 DUO655366:DUO655465 DKS655366:DKS655465 DAW655366:DAW655465 CRA655366:CRA655465 CHE655366:CHE655465 BXI655366:BXI655465 BNM655366:BNM655465 BDQ655366:BDQ655465 ATU655366:ATU655465 AJY655366:AJY655465 AAC655366:AAC655465 QG655366:QG655465 GK655366:GK655465 WSW589830:WSW589929 WJA589830:WJA589929 VZE589830:VZE589929 VPI589830:VPI589929 VFM589830:VFM589929 UVQ589830:UVQ589929 ULU589830:ULU589929 UBY589830:UBY589929 TSC589830:TSC589929 TIG589830:TIG589929 SYK589830:SYK589929 SOO589830:SOO589929 SES589830:SES589929 RUW589830:RUW589929 RLA589830:RLA589929 RBE589830:RBE589929 QRI589830:QRI589929 QHM589830:QHM589929 PXQ589830:PXQ589929 PNU589830:PNU589929 PDY589830:PDY589929 OUC589830:OUC589929 OKG589830:OKG589929 OAK589830:OAK589929 NQO589830:NQO589929 NGS589830:NGS589929 MWW589830:MWW589929 MNA589830:MNA589929 MDE589830:MDE589929 LTI589830:LTI589929 LJM589830:LJM589929 KZQ589830:KZQ589929 KPU589830:KPU589929 KFY589830:KFY589929 JWC589830:JWC589929 JMG589830:JMG589929 JCK589830:JCK589929 ISO589830:ISO589929 IIS589830:IIS589929 HYW589830:HYW589929 HPA589830:HPA589929 HFE589830:HFE589929 GVI589830:GVI589929 GLM589830:GLM589929 GBQ589830:GBQ589929 FRU589830:FRU589929 FHY589830:FHY589929 EYC589830:EYC589929 EOG589830:EOG589929 EEK589830:EEK589929 DUO589830:DUO589929 DKS589830:DKS589929 DAW589830:DAW589929 CRA589830:CRA589929 CHE589830:CHE589929 BXI589830:BXI589929 BNM589830:BNM589929 BDQ589830:BDQ589929 ATU589830:ATU589929 AJY589830:AJY589929 AAC589830:AAC589929 QG589830:QG589929 GK589830:GK589929 WSW524294:WSW524393 WJA524294:WJA524393 VZE524294:VZE524393 VPI524294:VPI524393 VFM524294:VFM524393 UVQ524294:UVQ524393 ULU524294:ULU524393 UBY524294:UBY524393 TSC524294:TSC524393 TIG524294:TIG524393 SYK524294:SYK524393 SOO524294:SOO524393 SES524294:SES524393 RUW524294:RUW524393 RLA524294:RLA524393 RBE524294:RBE524393 QRI524294:QRI524393 QHM524294:QHM524393 PXQ524294:PXQ524393 PNU524294:PNU524393 PDY524294:PDY524393 OUC524294:OUC524393 OKG524294:OKG524393 OAK524294:OAK524393 NQO524294:NQO524393 NGS524294:NGS524393 MWW524294:MWW524393 MNA524294:MNA524393 MDE524294:MDE524393 LTI524294:LTI524393 LJM524294:LJM524393 KZQ524294:KZQ524393 KPU524294:KPU524393 KFY524294:KFY524393 JWC524294:JWC524393 JMG524294:JMG524393 JCK524294:JCK524393 ISO524294:ISO524393 IIS524294:IIS524393 HYW524294:HYW524393 HPA524294:HPA524393 HFE524294:HFE524393 GVI524294:GVI524393 GLM524294:GLM524393 GBQ524294:GBQ524393 FRU524294:FRU524393 FHY524294:FHY524393 EYC524294:EYC524393 EOG524294:EOG524393 EEK524294:EEK524393 DUO524294:DUO524393 DKS524294:DKS524393 DAW524294:DAW524393 CRA524294:CRA524393 CHE524294:CHE524393 BXI524294:BXI524393 BNM524294:BNM524393 BDQ524294:BDQ524393 ATU524294:ATU524393 AJY524294:AJY524393 AAC524294:AAC524393 QG524294:QG524393 GK524294:GK524393 WSW458758:WSW458857 WJA458758:WJA458857 VZE458758:VZE458857 VPI458758:VPI458857 VFM458758:VFM458857 UVQ458758:UVQ458857 ULU458758:ULU458857 UBY458758:UBY458857 TSC458758:TSC458857 TIG458758:TIG458857 SYK458758:SYK458857 SOO458758:SOO458857 SES458758:SES458857 RUW458758:RUW458857 RLA458758:RLA458857 RBE458758:RBE458857 QRI458758:QRI458857 QHM458758:QHM458857 PXQ458758:PXQ458857 PNU458758:PNU458857 PDY458758:PDY458857 OUC458758:OUC458857 OKG458758:OKG458857 OAK458758:OAK458857 NQO458758:NQO458857 NGS458758:NGS458857 MWW458758:MWW458857 MNA458758:MNA458857 MDE458758:MDE458857 LTI458758:LTI458857 LJM458758:LJM458857 KZQ458758:KZQ458857 KPU458758:KPU458857 KFY458758:KFY458857 JWC458758:JWC458857 JMG458758:JMG458857 JCK458758:JCK458857 ISO458758:ISO458857 IIS458758:IIS458857 HYW458758:HYW458857 HPA458758:HPA458857 HFE458758:HFE458857 GVI458758:GVI458857 GLM458758:GLM458857 GBQ458758:GBQ458857 FRU458758:FRU458857 FHY458758:FHY458857 EYC458758:EYC458857 EOG458758:EOG458857 EEK458758:EEK458857 DUO458758:DUO458857 DKS458758:DKS458857 DAW458758:DAW458857 CRA458758:CRA458857 CHE458758:CHE458857 BXI458758:BXI458857 BNM458758:BNM458857 BDQ458758:BDQ458857 ATU458758:ATU458857 AJY458758:AJY458857 AAC458758:AAC458857 QG458758:QG458857 GK458758:GK458857 WSW393222:WSW393321 WJA393222:WJA393321 VZE393222:VZE393321 VPI393222:VPI393321 VFM393222:VFM393321 UVQ393222:UVQ393321 ULU393222:ULU393321 UBY393222:UBY393321 TSC393222:TSC393321 TIG393222:TIG393321 SYK393222:SYK393321 SOO393222:SOO393321 SES393222:SES393321 RUW393222:RUW393321 RLA393222:RLA393321 RBE393222:RBE393321 QRI393222:QRI393321 QHM393222:QHM393321 PXQ393222:PXQ393321 PNU393222:PNU393321 PDY393222:PDY393321 OUC393222:OUC393321 OKG393222:OKG393321 OAK393222:OAK393321 NQO393222:NQO393321 NGS393222:NGS393321 MWW393222:MWW393321 MNA393222:MNA393321 MDE393222:MDE393321 LTI393222:LTI393321 LJM393222:LJM393321 KZQ393222:KZQ393321 KPU393222:KPU393321 KFY393222:KFY393321 JWC393222:JWC393321 JMG393222:JMG393321 JCK393222:JCK393321 ISO393222:ISO393321 IIS393222:IIS393321 HYW393222:HYW393321 HPA393222:HPA393321 HFE393222:HFE393321 GVI393222:GVI393321 GLM393222:GLM393321 GBQ393222:GBQ393321 FRU393222:FRU393321 FHY393222:FHY393321 EYC393222:EYC393321 EOG393222:EOG393321 EEK393222:EEK393321 DUO393222:DUO393321 DKS393222:DKS393321 DAW393222:DAW393321 CRA393222:CRA393321 CHE393222:CHE393321 BXI393222:BXI393321 BNM393222:BNM393321 BDQ393222:BDQ393321 ATU393222:ATU393321 AJY393222:AJY393321 AAC393222:AAC393321 QG393222:QG393321 GK393222:GK393321 WSW327686:WSW327785 WJA327686:WJA327785 VZE327686:VZE327785 VPI327686:VPI327785 VFM327686:VFM327785 UVQ327686:UVQ327785 ULU327686:ULU327785 UBY327686:UBY327785 TSC327686:TSC327785 TIG327686:TIG327785 SYK327686:SYK327785 SOO327686:SOO327785 SES327686:SES327785 RUW327686:RUW327785 RLA327686:RLA327785 RBE327686:RBE327785 QRI327686:QRI327785 QHM327686:QHM327785 PXQ327686:PXQ327785 PNU327686:PNU327785 PDY327686:PDY327785 OUC327686:OUC327785 OKG327686:OKG327785 OAK327686:OAK327785 NQO327686:NQO327785 NGS327686:NGS327785 MWW327686:MWW327785 MNA327686:MNA327785 MDE327686:MDE327785 LTI327686:LTI327785 LJM327686:LJM327785 KZQ327686:KZQ327785 KPU327686:KPU327785 KFY327686:KFY327785 JWC327686:JWC327785 JMG327686:JMG327785 JCK327686:JCK327785 ISO327686:ISO327785 IIS327686:IIS327785 HYW327686:HYW327785 HPA327686:HPA327785 HFE327686:HFE327785 GVI327686:GVI327785 GLM327686:GLM327785 GBQ327686:GBQ327785 FRU327686:FRU327785 FHY327686:FHY327785 EYC327686:EYC327785 EOG327686:EOG327785 EEK327686:EEK327785 DUO327686:DUO327785 DKS327686:DKS327785 DAW327686:DAW327785 CRA327686:CRA327785 CHE327686:CHE327785 BXI327686:BXI327785 BNM327686:BNM327785 BDQ327686:BDQ327785 ATU327686:ATU327785 AJY327686:AJY327785 AAC327686:AAC327785 QG327686:QG327785 GK327686:GK327785 WSW262150:WSW262249 WJA262150:WJA262249 VZE262150:VZE262249 VPI262150:VPI262249 VFM262150:VFM262249 UVQ262150:UVQ262249 ULU262150:ULU262249 UBY262150:UBY262249 TSC262150:TSC262249 TIG262150:TIG262249 SYK262150:SYK262249 SOO262150:SOO262249 SES262150:SES262249 RUW262150:RUW262249 RLA262150:RLA262249 RBE262150:RBE262249 QRI262150:QRI262249 QHM262150:QHM262249 PXQ262150:PXQ262249 PNU262150:PNU262249 PDY262150:PDY262249 OUC262150:OUC262249 OKG262150:OKG262249 OAK262150:OAK262249 NQO262150:NQO262249 NGS262150:NGS262249 MWW262150:MWW262249 MNA262150:MNA262249 MDE262150:MDE262249 LTI262150:LTI262249 LJM262150:LJM262249 KZQ262150:KZQ262249 KPU262150:KPU262249 KFY262150:KFY262249 JWC262150:JWC262249 JMG262150:JMG262249 JCK262150:JCK262249 ISO262150:ISO262249 IIS262150:IIS262249 HYW262150:HYW262249 HPA262150:HPA262249 HFE262150:HFE262249 GVI262150:GVI262249 GLM262150:GLM262249 GBQ262150:GBQ262249 FRU262150:FRU262249 FHY262150:FHY262249 EYC262150:EYC262249 EOG262150:EOG262249 EEK262150:EEK262249 DUO262150:DUO262249 DKS262150:DKS262249 DAW262150:DAW262249 CRA262150:CRA262249 CHE262150:CHE262249 BXI262150:BXI262249 BNM262150:BNM262249 BDQ262150:BDQ262249 ATU262150:ATU262249 AJY262150:AJY262249 AAC262150:AAC262249 QG262150:QG262249 GK262150:GK262249 WSW196614:WSW196713 WJA196614:WJA196713 VZE196614:VZE196713 VPI196614:VPI196713 VFM196614:VFM196713 UVQ196614:UVQ196713 ULU196614:ULU196713 UBY196614:UBY196713 TSC196614:TSC196713 TIG196614:TIG196713 SYK196614:SYK196713 SOO196614:SOO196713 SES196614:SES196713 RUW196614:RUW196713 RLA196614:RLA196713 RBE196614:RBE196713 QRI196614:QRI196713 QHM196614:QHM196713 PXQ196614:PXQ196713 PNU196614:PNU196713 PDY196614:PDY196713 OUC196614:OUC196713 OKG196614:OKG196713 OAK196614:OAK196713 NQO196614:NQO196713 NGS196614:NGS196713 MWW196614:MWW196713 MNA196614:MNA196713 MDE196614:MDE196713 LTI196614:LTI196713 LJM196614:LJM196713 KZQ196614:KZQ196713 KPU196614:KPU196713 KFY196614:KFY196713 JWC196614:JWC196713 JMG196614:JMG196713 JCK196614:JCK196713 ISO196614:ISO196713 IIS196614:IIS196713 HYW196614:HYW196713 HPA196614:HPA196713 HFE196614:HFE196713 GVI196614:GVI196713 GLM196614:GLM196713 GBQ196614:GBQ196713 FRU196614:FRU196713 FHY196614:FHY196713 EYC196614:EYC196713 EOG196614:EOG196713 EEK196614:EEK196713 DUO196614:DUO196713 DKS196614:DKS196713 DAW196614:DAW196713 CRA196614:CRA196713 CHE196614:CHE196713 BXI196614:BXI196713 BNM196614:BNM196713 BDQ196614:BDQ196713 ATU196614:ATU196713 AJY196614:AJY196713 AAC196614:AAC196713 QG196614:QG196713 GK196614:GK196713 WSW131078:WSW131177 WJA131078:WJA131177 VZE131078:VZE131177 VPI131078:VPI131177 VFM131078:VFM131177 UVQ131078:UVQ131177 ULU131078:ULU131177 UBY131078:UBY131177 TSC131078:TSC131177 TIG131078:TIG131177 SYK131078:SYK131177 SOO131078:SOO131177 SES131078:SES131177 RUW131078:RUW131177 RLA131078:RLA131177 RBE131078:RBE131177 QRI131078:QRI131177 QHM131078:QHM131177 PXQ131078:PXQ131177 PNU131078:PNU131177 PDY131078:PDY131177 OUC131078:OUC131177 OKG131078:OKG131177 OAK131078:OAK131177 NQO131078:NQO131177 NGS131078:NGS131177 MWW131078:MWW131177 MNA131078:MNA131177 MDE131078:MDE131177 LTI131078:LTI131177 LJM131078:LJM131177 KZQ131078:KZQ131177 KPU131078:KPU131177 KFY131078:KFY131177 JWC131078:JWC131177 JMG131078:JMG131177 JCK131078:JCK131177 ISO131078:ISO131177 IIS131078:IIS131177 HYW131078:HYW131177 HPA131078:HPA131177 HFE131078:HFE131177 GVI131078:GVI131177 GLM131078:GLM131177 GBQ131078:GBQ131177 FRU131078:FRU131177 FHY131078:FHY131177 EYC131078:EYC131177 EOG131078:EOG131177 EEK131078:EEK131177 DUO131078:DUO131177 DKS131078:DKS131177 DAW131078:DAW131177 CRA131078:CRA131177 CHE131078:CHE131177 BXI131078:BXI131177 BNM131078:BNM131177 BDQ131078:BDQ131177 ATU131078:ATU131177 AJY131078:AJY131177 AAC131078:AAC131177 QG131078:QG131177 GK131078:GK131177 WSW65542:WSW65641 WJA65542:WJA65641 VZE65542:VZE65641 VPI65542:VPI65641 VFM65542:VFM65641 UVQ65542:UVQ65641 ULU65542:ULU65641 UBY65542:UBY65641 TSC65542:TSC65641 TIG65542:TIG65641 SYK65542:SYK65641 SOO65542:SOO65641 SES65542:SES65641 RUW65542:RUW65641 RLA65542:RLA65641 RBE65542:RBE65641 QRI65542:QRI65641 QHM65542:QHM65641 PXQ65542:PXQ65641 PNU65542:PNU65641 PDY65542:PDY65641 OUC65542:OUC65641 OKG65542:OKG65641 OAK65542:OAK65641 NQO65542:NQO65641 NGS65542:NGS65641 MWW65542:MWW65641 MNA65542:MNA65641 MDE65542:MDE65641 LTI65542:LTI65641 LJM65542:LJM65641 KZQ65542:KZQ65641 KPU65542:KPU65641 KFY65542:KFY65641 JWC65542:JWC65641 JMG65542:JMG65641 JCK65542:JCK65641 ISO65542:ISO65641 IIS65542:IIS65641 HYW65542:HYW65641 HPA65542:HPA65641 HFE65542:HFE65641 GVI65542:GVI65641 GLM65542:GLM65641 GBQ65542:GBQ65641 FRU65542:FRU65641 FHY65542:FHY65641 EYC65542:EYC65641 EOG65542:EOG65641 EEK65542:EEK65641 DUO65542:DUO65641 DKS65542:DKS65641 DAW65542:DAW65641 CRA65542:CRA65641 CHE65542:CHE65641 BXI65542:BXI65641 BNM65542:BNM65641 BDQ65542:BDQ65641 ATU65542:ATU65641 AJY65542:AJY65641 AAC65542:AAC65641 QG65542:QG65641 GK65542:GK65641 WSW5:WSW104 WJA5:WJA104 VZE5:VZE104 VPI5:VPI104 VFM5:VFM104 UVQ5:UVQ104 ULU5:ULU104 UBY5:UBY104 TSC5:TSC104 TIG5:TIG104 SYK5:SYK104 SOO5:SOO104 SES5:SES104 RUW5:RUW104 RLA5:RLA104 RBE5:RBE104 QRI5:QRI104 QHM5:QHM104 PXQ5:PXQ104 PNU5:PNU104 PDY5:PDY104 OUC5:OUC104 OKG5:OKG104 OAK5:OAK104 NQO5:NQO104 NGS5:NGS104 MWW5:MWW104 MNA5:MNA104 MDE5:MDE104 LTI5:LTI104 LJM5:LJM104 KZQ5:KZQ104 KPU5:KPU104 KFY5:KFY104 JWC5:JWC104 JMG5:JMG104 JCK5:JCK104 ISO5:ISO104 IIS5:IIS104 HYW5:HYW104 HPA5:HPA104 HFE5:HFE104 GVI5:GVI104 GLM5:GLM104 GBQ5:GBQ104 FRU5:FRU104 FHY5:FHY104 EYC5:EYC104 EOG5:EOG104 EEK5:EEK104 DUO5:DUO104 DKS5:DKS104 DAW5:DAW104 CRA5:CRA104 CHE5:CHE104 BXI5:BXI104 BNM5:BNM104 BDQ5:BDQ104 ATU5:ATU104 AJY5:AJY104 AAC5:AAC104 QG5:QG104">
      <formula1>OFFSET(ListeModèles,1,MATCH(#REF!,TêteListe,0)-1,COUNTIF(OFFSET(ListeModèles,,MATCH(#REF!,TêteListe,0)-1),"&gt;&lt;")-1)</formula1>
    </dataValidation>
    <dataValidation type="list" allowBlank="1" showInputMessage="1" showErrorMessage="1" sqref="WSR983046:WSR983145 GF5:GF104 QB5:QB104 ZX5:ZX104 AJT5:AJT104 ATP5:ATP104 BDL5:BDL104 BNH5:BNH104 BXD5:BXD104 CGZ5:CGZ104 CQV5:CQV104 DAR5:DAR104 DKN5:DKN104 DUJ5:DUJ104 EEF5:EEF104 EOB5:EOB104 EXX5:EXX104 FHT5:FHT104 FRP5:FRP104 GBL5:GBL104 GLH5:GLH104 GVD5:GVD104 HEZ5:HEZ104 HOV5:HOV104 HYR5:HYR104 IIN5:IIN104 ISJ5:ISJ104 JCF5:JCF104 JMB5:JMB104 JVX5:JVX104 KFT5:KFT104 KPP5:KPP104 KZL5:KZL104 LJH5:LJH104 LTD5:LTD104 MCZ5:MCZ104 MMV5:MMV104 MWR5:MWR104 NGN5:NGN104 NQJ5:NQJ104 OAF5:OAF104 OKB5:OKB104 OTX5:OTX104 PDT5:PDT104 PNP5:PNP104 PXL5:PXL104 QHH5:QHH104 QRD5:QRD104 RAZ5:RAZ104 RKV5:RKV104 RUR5:RUR104 SEN5:SEN104 SOJ5:SOJ104 SYF5:SYF104 TIB5:TIB104 TRX5:TRX104 UBT5:UBT104 ULP5:ULP104 UVL5:UVL104 VFH5:VFH104 VPD5:VPD104 VYZ5:VYZ104 WIV5:WIV104 WSR5:WSR104 H65542:H65641 GF65542:GF65641 QB65542:QB65641 ZX65542:ZX65641 AJT65542:AJT65641 ATP65542:ATP65641 BDL65542:BDL65641 BNH65542:BNH65641 BXD65542:BXD65641 CGZ65542:CGZ65641 CQV65542:CQV65641 DAR65542:DAR65641 DKN65542:DKN65641 DUJ65542:DUJ65641 EEF65542:EEF65641 EOB65542:EOB65641 EXX65542:EXX65641 FHT65542:FHT65641 FRP65542:FRP65641 GBL65542:GBL65641 GLH65542:GLH65641 GVD65542:GVD65641 HEZ65542:HEZ65641 HOV65542:HOV65641 HYR65542:HYR65641 IIN65542:IIN65641 ISJ65542:ISJ65641 JCF65542:JCF65641 JMB65542:JMB65641 JVX65542:JVX65641 KFT65542:KFT65641 KPP65542:KPP65641 KZL65542:KZL65641 LJH65542:LJH65641 LTD65542:LTD65641 MCZ65542:MCZ65641 MMV65542:MMV65641 MWR65542:MWR65641 NGN65542:NGN65641 NQJ65542:NQJ65641 OAF65542:OAF65641 OKB65542:OKB65641 OTX65542:OTX65641 PDT65542:PDT65641 PNP65542:PNP65641 PXL65542:PXL65641 QHH65542:QHH65641 QRD65542:QRD65641 RAZ65542:RAZ65641 RKV65542:RKV65641 RUR65542:RUR65641 SEN65542:SEN65641 SOJ65542:SOJ65641 SYF65542:SYF65641 TIB65542:TIB65641 TRX65542:TRX65641 UBT65542:UBT65641 ULP65542:ULP65641 UVL65542:UVL65641 VFH65542:VFH65641 VPD65542:VPD65641 VYZ65542:VYZ65641 WIV65542:WIV65641 WSR65542:WSR65641 H131078:H131177 GF131078:GF131177 QB131078:QB131177 ZX131078:ZX131177 AJT131078:AJT131177 ATP131078:ATP131177 BDL131078:BDL131177 BNH131078:BNH131177 BXD131078:BXD131177 CGZ131078:CGZ131177 CQV131078:CQV131177 DAR131078:DAR131177 DKN131078:DKN131177 DUJ131078:DUJ131177 EEF131078:EEF131177 EOB131078:EOB131177 EXX131078:EXX131177 FHT131078:FHT131177 FRP131078:FRP131177 GBL131078:GBL131177 GLH131078:GLH131177 GVD131078:GVD131177 HEZ131078:HEZ131177 HOV131078:HOV131177 HYR131078:HYR131177 IIN131078:IIN131177 ISJ131078:ISJ131177 JCF131078:JCF131177 JMB131078:JMB131177 JVX131078:JVX131177 KFT131078:KFT131177 KPP131078:KPP131177 KZL131078:KZL131177 LJH131078:LJH131177 LTD131078:LTD131177 MCZ131078:MCZ131177 MMV131078:MMV131177 MWR131078:MWR131177 NGN131078:NGN131177 NQJ131078:NQJ131177 OAF131078:OAF131177 OKB131078:OKB131177 OTX131078:OTX131177 PDT131078:PDT131177 PNP131078:PNP131177 PXL131078:PXL131177 QHH131078:QHH131177 QRD131078:QRD131177 RAZ131078:RAZ131177 RKV131078:RKV131177 RUR131078:RUR131177 SEN131078:SEN131177 SOJ131078:SOJ131177 SYF131078:SYF131177 TIB131078:TIB131177 TRX131078:TRX131177 UBT131078:UBT131177 ULP131078:ULP131177 UVL131078:UVL131177 VFH131078:VFH131177 VPD131078:VPD131177 VYZ131078:VYZ131177 WIV131078:WIV131177 WSR131078:WSR131177 H196614:H196713 GF196614:GF196713 QB196614:QB196713 ZX196614:ZX196713 AJT196614:AJT196713 ATP196614:ATP196713 BDL196614:BDL196713 BNH196614:BNH196713 BXD196614:BXD196713 CGZ196614:CGZ196713 CQV196614:CQV196713 DAR196614:DAR196713 DKN196614:DKN196713 DUJ196614:DUJ196713 EEF196614:EEF196713 EOB196614:EOB196713 EXX196614:EXX196713 FHT196614:FHT196713 FRP196614:FRP196713 GBL196614:GBL196713 GLH196614:GLH196713 GVD196614:GVD196713 HEZ196614:HEZ196713 HOV196614:HOV196713 HYR196614:HYR196713 IIN196614:IIN196713 ISJ196614:ISJ196713 JCF196614:JCF196713 JMB196614:JMB196713 JVX196614:JVX196713 KFT196614:KFT196713 KPP196614:KPP196713 KZL196614:KZL196713 LJH196614:LJH196713 LTD196614:LTD196713 MCZ196614:MCZ196713 MMV196614:MMV196713 MWR196614:MWR196713 NGN196614:NGN196713 NQJ196614:NQJ196713 OAF196614:OAF196713 OKB196614:OKB196713 OTX196614:OTX196713 PDT196614:PDT196713 PNP196614:PNP196713 PXL196614:PXL196713 QHH196614:QHH196713 QRD196614:QRD196713 RAZ196614:RAZ196713 RKV196614:RKV196713 RUR196614:RUR196713 SEN196614:SEN196713 SOJ196614:SOJ196713 SYF196614:SYF196713 TIB196614:TIB196713 TRX196614:TRX196713 UBT196614:UBT196713 ULP196614:ULP196713 UVL196614:UVL196713 VFH196614:VFH196713 VPD196614:VPD196713 VYZ196614:VYZ196713 WIV196614:WIV196713 WSR196614:WSR196713 H262150:H262249 GF262150:GF262249 QB262150:QB262249 ZX262150:ZX262249 AJT262150:AJT262249 ATP262150:ATP262249 BDL262150:BDL262249 BNH262150:BNH262249 BXD262150:BXD262249 CGZ262150:CGZ262249 CQV262150:CQV262249 DAR262150:DAR262249 DKN262150:DKN262249 DUJ262150:DUJ262249 EEF262150:EEF262249 EOB262150:EOB262249 EXX262150:EXX262249 FHT262150:FHT262249 FRP262150:FRP262249 GBL262150:GBL262249 GLH262150:GLH262249 GVD262150:GVD262249 HEZ262150:HEZ262249 HOV262150:HOV262249 HYR262150:HYR262249 IIN262150:IIN262249 ISJ262150:ISJ262249 JCF262150:JCF262249 JMB262150:JMB262249 JVX262150:JVX262249 KFT262150:KFT262249 KPP262150:KPP262249 KZL262150:KZL262249 LJH262150:LJH262249 LTD262150:LTD262249 MCZ262150:MCZ262249 MMV262150:MMV262249 MWR262150:MWR262249 NGN262150:NGN262249 NQJ262150:NQJ262249 OAF262150:OAF262249 OKB262150:OKB262249 OTX262150:OTX262249 PDT262150:PDT262249 PNP262150:PNP262249 PXL262150:PXL262249 QHH262150:QHH262249 QRD262150:QRD262249 RAZ262150:RAZ262249 RKV262150:RKV262249 RUR262150:RUR262249 SEN262150:SEN262249 SOJ262150:SOJ262249 SYF262150:SYF262249 TIB262150:TIB262249 TRX262150:TRX262249 UBT262150:UBT262249 ULP262150:ULP262249 UVL262150:UVL262249 VFH262150:VFH262249 VPD262150:VPD262249 VYZ262150:VYZ262249 WIV262150:WIV262249 WSR262150:WSR262249 H327686:H327785 GF327686:GF327785 QB327686:QB327785 ZX327686:ZX327785 AJT327686:AJT327785 ATP327686:ATP327785 BDL327686:BDL327785 BNH327686:BNH327785 BXD327686:BXD327785 CGZ327686:CGZ327785 CQV327686:CQV327785 DAR327686:DAR327785 DKN327686:DKN327785 DUJ327686:DUJ327785 EEF327686:EEF327785 EOB327686:EOB327785 EXX327686:EXX327785 FHT327686:FHT327785 FRP327686:FRP327785 GBL327686:GBL327785 GLH327686:GLH327785 GVD327686:GVD327785 HEZ327686:HEZ327785 HOV327686:HOV327785 HYR327686:HYR327785 IIN327686:IIN327785 ISJ327686:ISJ327785 JCF327686:JCF327785 JMB327686:JMB327785 JVX327686:JVX327785 KFT327686:KFT327785 KPP327686:KPP327785 KZL327686:KZL327785 LJH327686:LJH327785 LTD327686:LTD327785 MCZ327686:MCZ327785 MMV327686:MMV327785 MWR327686:MWR327785 NGN327686:NGN327785 NQJ327686:NQJ327785 OAF327686:OAF327785 OKB327686:OKB327785 OTX327686:OTX327785 PDT327686:PDT327785 PNP327686:PNP327785 PXL327686:PXL327785 QHH327686:QHH327785 QRD327686:QRD327785 RAZ327686:RAZ327785 RKV327686:RKV327785 RUR327686:RUR327785 SEN327686:SEN327785 SOJ327686:SOJ327785 SYF327686:SYF327785 TIB327686:TIB327785 TRX327686:TRX327785 UBT327686:UBT327785 ULP327686:ULP327785 UVL327686:UVL327785 VFH327686:VFH327785 VPD327686:VPD327785 VYZ327686:VYZ327785 WIV327686:WIV327785 WSR327686:WSR327785 H393222:H393321 GF393222:GF393321 QB393222:QB393321 ZX393222:ZX393321 AJT393222:AJT393321 ATP393222:ATP393321 BDL393222:BDL393321 BNH393222:BNH393321 BXD393222:BXD393321 CGZ393222:CGZ393321 CQV393222:CQV393321 DAR393222:DAR393321 DKN393222:DKN393321 DUJ393222:DUJ393321 EEF393222:EEF393321 EOB393222:EOB393321 EXX393222:EXX393321 FHT393222:FHT393321 FRP393222:FRP393321 GBL393222:GBL393321 GLH393222:GLH393321 GVD393222:GVD393321 HEZ393222:HEZ393321 HOV393222:HOV393321 HYR393222:HYR393321 IIN393222:IIN393321 ISJ393222:ISJ393321 JCF393222:JCF393321 JMB393222:JMB393321 JVX393222:JVX393321 KFT393222:KFT393321 KPP393222:KPP393321 KZL393222:KZL393321 LJH393222:LJH393321 LTD393222:LTD393321 MCZ393222:MCZ393321 MMV393222:MMV393321 MWR393222:MWR393321 NGN393222:NGN393321 NQJ393222:NQJ393321 OAF393222:OAF393321 OKB393222:OKB393321 OTX393222:OTX393321 PDT393222:PDT393321 PNP393222:PNP393321 PXL393222:PXL393321 QHH393222:QHH393321 QRD393222:QRD393321 RAZ393222:RAZ393321 RKV393222:RKV393321 RUR393222:RUR393321 SEN393222:SEN393321 SOJ393222:SOJ393321 SYF393222:SYF393321 TIB393222:TIB393321 TRX393222:TRX393321 UBT393222:UBT393321 ULP393222:ULP393321 UVL393222:UVL393321 VFH393222:VFH393321 VPD393222:VPD393321 VYZ393222:VYZ393321 WIV393222:WIV393321 WSR393222:WSR393321 H458758:H458857 GF458758:GF458857 QB458758:QB458857 ZX458758:ZX458857 AJT458758:AJT458857 ATP458758:ATP458857 BDL458758:BDL458857 BNH458758:BNH458857 BXD458758:BXD458857 CGZ458758:CGZ458857 CQV458758:CQV458857 DAR458758:DAR458857 DKN458758:DKN458857 DUJ458758:DUJ458857 EEF458758:EEF458857 EOB458758:EOB458857 EXX458758:EXX458857 FHT458758:FHT458857 FRP458758:FRP458857 GBL458758:GBL458857 GLH458758:GLH458857 GVD458758:GVD458857 HEZ458758:HEZ458857 HOV458758:HOV458857 HYR458758:HYR458857 IIN458758:IIN458857 ISJ458758:ISJ458857 JCF458758:JCF458857 JMB458758:JMB458857 JVX458758:JVX458857 KFT458758:KFT458857 KPP458758:KPP458857 KZL458758:KZL458857 LJH458758:LJH458857 LTD458758:LTD458857 MCZ458758:MCZ458857 MMV458758:MMV458857 MWR458758:MWR458857 NGN458758:NGN458857 NQJ458758:NQJ458857 OAF458758:OAF458857 OKB458758:OKB458857 OTX458758:OTX458857 PDT458758:PDT458857 PNP458758:PNP458857 PXL458758:PXL458857 QHH458758:QHH458857 QRD458758:QRD458857 RAZ458758:RAZ458857 RKV458758:RKV458857 RUR458758:RUR458857 SEN458758:SEN458857 SOJ458758:SOJ458857 SYF458758:SYF458857 TIB458758:TIB458857 TRX458758:TRX458857 UBT458758:UBT458857 ULP458758:ULP458857 UVL458758:UVL458857 VFH458758:VFH458857 VPD458758:VPD458857 VYZ458758:VYZ458857 WIV458758:WIV458857 WSR458758:WSR458857 H524294:H524393 GF524294:GF524393 QB524294:QB524393 ZX524294:ZX524393 AJT524294:AJT524393 ATP524294:ATP524393 BDL524294:BDL524393 BNH524294:BNH524393 BXD524294:BXD524393 CGZ524294:CGZ524393 CQV524294:CQV524393 DAR524294:DAR524393 DKN524294:DKN524393 DUJ524294:DUJ524393 EEF524294:EEF524393 EOB524294:EOB524393 EXX524294:EXX524393 FHT524294:FHT524393 FRP524294:FRP524393 GBL524294:GBL524393 GLH524294:GLH524393 GVD524294:GVD524393 HEZ524294:HEZ524393 HOV524294:HOV524393 HYR524294:HYR524393 IIN524294:IIN524393 ISJ524294:ISJ524393 JCF524294:JCF524393 JMB524294:JMB524393 JVX524294:JVX524393 KFT524294:KFT524393 KPP524294:KPP524393 KZL524294:KZL524393 LJH524294:LJH524393 LTD524294:LTD524393 MCZ524294:MCZ524393 MMV524294:MMV524393 MWR524294:MWR524393 NGN524294:NGN524393 NQJ524294:NQJ524393 OAF524294:OAF524393 OKB524294:OKB524393 OTX524294:OTX524393 PDT524294:PDT524393 PNP524294:PNP524393 PXL524294:PXL524393 QHH524294:QHH524393 QRD524294:QRD524393 RAZ524294:RAZ524393 RKV524294:RKV524393 RUR524294:RUR524393 SEN524294:SEN524393 SOJ524294:SOJ524393 SYF524294:SYF524393 TIB524294:TIB524393 TRX524294:TRX524393 UBT524294:UBT524393 ULP524294:ULP524393 UVL524294:UVL524393 VFH524294:VFH524393 VPD524294:VPD524393 VYZ524294:VYZ524393 WIV524294:WIV524393 WSR524294:WSR524393 H589830:H589929 GF589830:GF589929 QB589830:QB589929 ZX589830:ZX589929 AJT589830:AJT589929 ATP589830:ATP589929 BDL589830:BDL589929 BNH589830:BNH589929 BXD589830:BXD589929 CGZ589830:CGZ589929 CQV589830:CQV589929 DAR589830:DAR589929 DKN589830:DKN589929 DUJ589830:DUJ589929 EEF589830:EEF589929 EOB589830:EOB589929 EXX589830:EXX589929 FHT589830:FHT589929 FRP589830:FRP589929 GBL589830:GBL589929 GLH589830:GLH589929 GVD589830:GVD589929 HEZ589830:HEZ589929 HOV589830:HOV589929 HYR589830:HYR589929 IIN589830:IIN589929 ISJ589830:ISJ589929 JCF589830:JCF589929 JMB589830:JMB589929 JVX589830:JVX589929 KFT589830:KFT589929 KPP589830:KPP589929 KZL589830:KZL589929 LJH589830:LJH589929 LTD589830:LTD589929 MCZ589830:MCZ589929 MMV589830:MMV589929 MWR589830:MWR589929 NGN589830:NGN589929 NQJ589830:NQJ589929 OAF589830:OAF589929 OKB589830:OKB589929 OTX589830:OTX589929 PDT589830:PDT589929 PNP589830:PNP589929 PXL589830:PXL589929 QHH589830:QHH589929 QRD589830:QRD589929 RAZ589830:RAZ589929 RKV589830:RKV589929 RUR589830:RUR589929 SEN589830:SEN589929 SOJ589830:SOJ589929 SYF589830:SYF589929 TIB589830:TIB589929 TRX589830:TRX589929 UBT589830:UBT589929 ULP589830:ULP589929 UVL589830:UVL589929 VFH589830:VFH589929 VPD589830:VPD589929 VYZ589830:VYZ589929 WIV589830:WIV589929 WSR589830:WSR589929 H655366:H655465 GF655366:GF655465 QB655366:QB655465 ZX655366:ZX655465 AJT655366:AJT655465 ATP655366:ATP655465 BDL655366:BDL655465 BNH655366:BNH655465 BXD655366:BXD655465 CGZ655366:CGZ655465 CQV655366:CQV655465 DAR655366:DAR655465 DKN655366:DKN655465 DUJ655366:DUJ655465 EEF655366:EEF655465 EOB655366:EOB655465 EXX655366:EXX655465 FHT655366:FHT655465 FRP655366:FRP655465 GBL655366:GBL655465 GLH655366:GLH655465 GVD655366:GVD655465 HEZ655366:HEZ655465 HOV655366:HOV655465 HYR655366:HYR655465 IIN655366:IIN655465 ISJ655366:ISJ655465 JCF655366:JCF655465 JMB655366:JMB655465 JVX655366:JVX655465 KFT655366:KFT655465 KPP655366:KPP655465 KZL655366:KZL655465 LJH655366:LJH655465 LTD655366:LTD655465 MCZ655366:MCZ655465 MMV655366:MMV655465 MWR655366:MWR655465 NGN655366:NGN655465 NQJ655366:NQJ655465 OAF655366:OAF655465 OKB655366:OKB655465 OTX655366:OTX655465 PDT655366:PDT655465 PNP655366:PNP655465 PXL655366:PXL655465 QHH655366:QHH655465 QRD655366:QRD655465 RAZ655366:RAZ655465 RKV655366:RKV655465 RUR655366:RUR655465 SEN655366:SEN655465 SOJ655366:SOJ655465 SYF655366:SYF655465 TIB655366:TIB655465 TRX655366:TRX655465 UBT655366:UBT655465 ULP655366:ULP655465 UVL655366:UVL655465 VFH655366:VFH655465 VPD655366:VPD655465 VYZ655366:VYZ655465 WIV655366:WIV655465 WSR655366:WSR655465 H720902:H721001 GF720902:GF721001 QB720902:QB721001 ZX720902:ZX721001 AJT720902:AJT721001 ATP720902:ATP721001 BDL720902:BDL721001 BNH720902:BNH721001 BXD720902:BXD721001 CGZ720902:CGZ721001 CQV720902:CQV721001 DAR720902:DAR721001 DKN720902:DKN721001 DUJ720902:DUJ721001 EEF720902:EEF721001 EOB720902:EOB721001 EXX720902:EXX721001 FHT720902:FHT721001 FRP720902:FRP721001 GBL720902:GBL721001 GLH720902:GLH721001 GVD720902:GVD721001 HEZ720902:HEZ721001 HOV720902:HOV721001 HYR720902:HYR721001 IIN720902:IIN721001 ISJ720902:ISJ721001 JCF720902:JCF721001 JMB720902:JMB721001 JVX720902:JVX721001 KFT720902:KFT721001 KPP720902:KPP721001 KZL720902:KZL721001 LJH720902:LJH721001 LTD720902:LTD721001 MCZ720902:MCZ721001 MMV720902:MMV721001 MWR720902:MWR721001 NGN720902:NGN721001 NQJ720902:NQJ721001 OAF720902:OAF721001 OKB720902:OKB721001 OTX720902:OTX721001 PDT720902:PDT721001 PNP720902:PNP721001 PXL720902:PXL721001 QHH720902:QHH721001 QRD720902:QRD721001 RAZ720902:RAZ721001 RKV720902:RKV721001 RUR720902:RUR721001 SEN720902:SEN721001 SOJ720902:SOJ721001 SYF720902:SYF721001 TIB720902:TIB721001 TRX720902:TRX721001 UBT720902:UBT721001 ULP720902:ULP721001 UVL720902:UVL721001 VFH720902:VFH721001 VPD720902:VPD721001 VYZ720902:VYZ721001 WIV720902:WIV721001 WSR720902:WSR721001 H786438:H786537 GF786438:GF786537 QB786438:QB786537 ZX786438:ZX786537 AJT786438:AJT786537 ATP786438:ATP786537 BDL786438:BDL786537 BNH786438:BNH786537 BXD786438:BXD786537 CGZ786438:CGZ786537 CQV786438:CQV786537 DAR786438:DAR786537 DKN786438:DKN786537 DUJ786438:DUJ786537 EEF786438:EEF786537 EOB786438:EOB786537 EXX786438:EXX786537 FHT786438:FHT786537 FRP786438:FRP786537 GBL786438:GBL786537 GLH786438:GLH786537 GVD786438:GVD786537 HEZ786438:HEZ786537 HOV786438:HOV786537 HYR786438:HYR786537 IIN786438:IIN786537 ISJ786438:ISJ786537 JCF786438:JCF786537 JMB786438:JMB786537 JVX786438:JVX786537 KFT786438:KFT786537 KPP786438:KPP786537 KZL786438:KZL786537 LJH786438:LJH786537 LTD786438:LTD786537 MCZ786438:MCZ786537 MMV786438:MMV786537 MWR786438:MWR786537 NGN786438:NGN786537 NQJ786438:NQJ786537 OAF786438:OAF786537 OKB786438:OKB786537 OTX786438:OTX786537 PDT786438:PDT786537 PNP786438:PNP786537 PXL786438:PXL786537 QHH786438:QHH786537 QRD786438:QRD786537 RAZ786438:RAZ786537 RKV786438:RKV786537 RUR786438:RUR786537 SEN786438:SEN786537 SOJ786438:SOJ786537 SYF786438:SYF786537 TIB786438:TIB786537 TRX786438:TRX786537 UBT786438:UBT786537 ULP786438:ULP786537 UVL786438:UVL786537 VFH786438:VFH786537 VPD786438:VPD786537 VYZ786438:VYZ786537 WIV786438:WIV786537 WSR786438:WSR786537 H851974:H852073 GF851974:GF852073 QB851974:QB852073 ZX851974:ZX852073 AJT851974:AJT852073 ATP851974:ATP852073 BDL851974:BDL852073 BNH851974:BNH852073 BXD851974:BXD852073 CGZ851974:CGZ852073 CQV851974:CQV852073 DAR851974:DAR852073 DKN851974:DKN852073 DUJ851974:DUJ852073 EEF851974:EEF852073 EOB851974:EOB852073 EXX851974:EXX852073 FHT851974:FHT852073 FRP851974:FRP852073 GBL851974:GBL852073 GLH851974:GLH852073 GVD851974:GVD852073 HEZ851974:HEZ852073 HOV851974:HOV852073 HYR851974:HYR852073 IIN851974:IIN852073 ISJ851974:ISJ852073 JCF851974:JCF852073 JMB851974:JMB852073 JVX851974:JVX852073 KFT851974:KFT852073 KPP851974:KPP852073 KZL851974:KZL852073 LJH851974:LJH852073 LTD851974:LTD852073 MCZ851974:MCZ852073 MMV851974:MMV852073 MWR851974:MWR852073 NGN851974:NGN852073 NQJ851974:NQJ852073 OAF851974:OAF852073 OKB851974:OKB852073 OTX851974:OTX852073 PDT851974:PDT852073 PNP851974:PNP852073 PXL851974:PXL852073 QHH851974:QHH852073 QRD851974:QRD852073 RAZ851974:RAZ852073 RKV851974:RKV852073 RUR851974:RUR852073 SEN851974:SEN852073 SOJ851974:SOJ852073 SYF851974:SYF852073 TIB851974:TIB852073 TRX851974:TRX852073 UBT851974:UBT852073 ULP851974:ULP852073 UVL851974:UVL852073 VFH851974:VFH852073 VPD851974:VPD852073 VYZ851974:VYZ852073 WIV851974:WIV852073 WSR851974:WSR852073 H917510:H917609 GF917510:GF917609 QB917510:QB917609 ZX917510:ZX917609 AJT917510:AJT917609 ATP917510:ATP917609 BDL917510:BDL917609 BNH917510:BNH917609 BXD917510:BXD917609 CGZ917510:CGZ917609 CQV917510:CQV917609 DAR917510:DAR917609 DKN917510:DKN917609 DUJ917510:DUJ917609 EEF917510:EEF917609 EOB917510:EOB917609 EXX917510:EXX917609 FHT917510:FHT917609 FRP917510:FRP917609 GBL917510:GBL917609 GLH917510:GLH917609 GVD917510:GVD917609 HEZ917510:HEZ917609 HOV917510:HOV917609 HYR917510:HYR917609 IIN917510:IIN917609 ISJ917510:ISJ917609 JCF917510:JCF917609 JMB917510:JMB917609 JVX917510:JVX917609 KFT917510:KFT917609 KPP917510:KPP917609 KZL917510:KZL917609 LJH917510:LJH917609 LTD917510:LTD917609 MCZ917510:MCZ917609 MMV917510:MMV917609 MWR917510:MWR917609 NGN917510:NGN917609 NQJ917510:NQJ917609 OAF917510:OAF917609 OKB917510:OKB917609 OTX917510:OTX917609 PDT917510:PDT917609 PNP917510:PNP917609 PXL917510:PXL917609 QHH917510:QHH917609 QRD917510:QRD917609 RAZ917510:RAZ917609 RKV917510:RKV917609 RUR917510:RUR917609 SEN917510:SEN917609 SOJ917510:SOJ917609 SYF917510:SYF917609 TIB917510:TIB917609 TRX917510:TRX917609 UBT917510:UBT917609 ULP917510:ULP917609 UVL917510:UVL917609 VFH917510:VFH917609 VPD917510:VPD917609 VYZ917510:VYZ917609 WIV917510:WIV917609 WSR917510:WSR917609 H983046:H983145 GF983046:GF983145 QB983046:QB983145 ZX983046:ZX983145 AJT983046:AJT983145 ATP983046:ATP983145 BDL983046:BDL983145 BNH983046:BNH983145 BXD983046:BXD983145 CGZ983046:CGZ983145 CQV983046:CQV983145 DAR983046:DAR983145 DKN983046:DKN983145 DUJ983046:DUJ983145 EEF983046:EEF983145 EOB983046:EOB983145 EXX983046:EXX983145 FHT983046:FHT983145 FRP983046:FRP983145 GBL983046:GBL983145 GLH983046:GLH983145 GVD983046:GVD983145 HEZ983046:HEZ983145 HOV983046:HOV983145 HYR983046:HYR983145 IIN983046:IIN983145 ISJ983046:ISJ983145 JCF983046:JCF983145 JMB983046:JMB983145 JVX983046:JVX983145 KFT983046:KFT983145 KPP983046:KPP983145 KZL983046:KZL983145 LJH983046:LJH983145 LTD983046:LTD983145 MCZ983046:MCZ983145 MMV983046:MMV983145 MWR983046:MWR983145 NGN983046:NGN983145 NQJ983046:NQJ983145 OAF983046:OAF983145 OKB983046:OKB983145 OTX983046:OTX983145 PDT983046:PDT983145 PNP983046:PNP983145 PXL983046:PXL983145 QHH983046:QHH983145 QRD983046:QRD983145 RAZ983046:RAZ983145 RKV983046:RKV983145 RUR983046:RUR983145 SEN983046:SEN983145 SOJ983046:SOJ983145 SYF983046:SYF983145 TIB983046:TIB983145 TRX983046:TRX983145 UBT983046:UBT983145 ULP983046:ULP983145 UVL983046:UVL983145 VFH983046:VFH983145 VPD983046:VPD983145 VYZ983046:VYZ983145 WIV983046:WIV983145 H6:H105">
      <formula1>OFFSET(ListeModèles,1,MATCH($G5,TêteListe,0)-1,COUNTIF(OFFSET(ListeModèles,,MATCH($G5,TêteListe,0)-1),"&gt;&lt;")-1)</formula1>
    </dataValidation>
    <dataValidation type="list" allowBlank="1" showInputMessage="1" showErrorMessage="1" sqref="GJ5:GJ104 QF5:QF104 AAB5:AAB104 AJX5:AJX104 ATT5:ATT104 BDP5:BDP104 BNL5:BNL104 BXH5:BXH104 CHD5:CHD104 CQZ5:CQZ104 DAV5:DAV104 DKR5:DKR104 DUN5:DUN104 EEJ5:EEJ104 EOF5:EOF104 EYB5:EYB104 FHX5:FHX104 FRT5:FRT104 GBP5:GBP104 GLL5:GLL104 GVH5:GVH104 HFD5:HFD104 HOZ5:HOZ104 HYV5:HYV104 IIR5:IIR104 ISN5:ISN104 JCJ5:JCJ104 JMF5:JMF104 JWB5:JWB104 KFX5:KFX104 KPT5:KPT104 KZP5:KZP104 LJL5:LJL104 LTH5:LTH104 MDD5:MDD104 MMZ5:MMZ104 MWV5:MWV104 NGR5:NGR104 NQN5:NQN104 OAJ5:OAJ104 OKF5:OKF104 OUB5:OUB104 PDX5:PDX104 PNT5:PNT104 PXP5:PXP104 QHL5:QHL104 QRH5:QRH104 RBD5:RBD104 RKZ5:RKZ104 RUV5:RUV104 SER5:SER104 SON5:SON104 SYJ5:SYJ104 TIF5:TIF104 TSB5:TSB104 UBX5:UBX104 ULT5:ULT104 UVP5:UVP104 VFL5:VFL104 VPH5:VPH104 VZD5:VZD104 WIZ5:WIZ104 WSV5:WSV104 GJ65542:GJ65641 QF65542:QF65641 AAB65542:AAB65641 AJX65542:AJX65641 ATT65542:ATT65641 BDP65542:BDP65641 BNL65542:BNL65641 BXH65542:BXH65641 CHD65542:CHD65641 CQZ65542:CQZ65641 DAV65542:DAV65641 DKR65542:DKR65641 DUN65542:DUN65641 EEJ65542:EEJ65641 EOF65542:EOF65641 EYB65542:EYB65641 FHX65542:FHX65641 FRT65542:FRT65641 GBP65542:GBP65641 GLL65542:GLL65641 GVH65542:GVH65641 HFD65542:HFD65641 HOZ65542:HOZ65641 HYV65542:HYV65641 IIR65542:IIR65641 ISN65542:ISN65641 JCJ65542:JCJ65641 JMF65542:JMF65641 JWB65542:JWB65641 KFX65542:KFX65641 KPT65542:KPT65641 KZP65542:KZP65641 LJL65542:LJL65641 LTH65542:LTH65641 MDD65542:MDD65641 MMZ65542:MMZ65641 MWV65542:MWV65641 NGR65542:NGR65641 NQN65542:NQN65641 OAJ65542:OAJ65641 OKF65542:OKF65641 OUB65542:OUB65641 PDX65542:PDX65641 PNT65542:PNT65641 PXP65542:PXP65641 QHL65542:QHL65641 QRH65542:QRH65641 RBD65542:RBD65641 RKZ65542:RKZ65641 RUV65542:RUV65641 SER65542:SER65641 SON65542:SON65641 SYJ65542:SYJ65641 TIF65542:TIF65641 TSB65542:TSB65641 UBX65542:UBX65641 ULT65542:ULT65641 UVP65542:UVP65641 VFL65542:VFL65641 VPH65542:VPH65641 VZD65542:VZD65641 WIZ65542:WIZ65641 WSV65542:WSV65641 GJ131078:GJ131177 QF131078:QF131177 AAB131078:AAB131177 AJX131078:AJX131177 ATT131078:ATT131177 BDP131078:BDP131177 BNL131078:BNL131177 BXH131078:BXH131177 CHD131078:CHD131177 CQZ131078:CQZ131177 DAV131078:DAV131177 DKR131078:DKR131177 DUN131078:DUN131177 EEJ131078:EEJ131177 EOF131078:EOF131177 EYB131078:EYB131177 FHX131078:FHX131177 FRT131078:FRT131177 GBP131078:GBP131177 GLL131078:GLL131177 GVH131078:GVH131177 HFD131078:HFD131177 HOZ131078:HOZ131177 HYV131078:HYV131177 IIR131078:IIR131177 ISN131078:ISN131177 JCJ131078:JCJ131177 JMF131078:JMF131177 JWB131078:JWB131177 KFX131078:KFX131177 KPT131078:KPT131177 KZP131078:KZP131177 LJL131078:LJL131177 LTH131078:LTH131177 MDD131078:MDD131177 MMZ131078:MMZ131177 MWV131078:MWV131177 NGR131078:NGR131177 NQN131078:NQN131177 OAJ131078:OAJ131177 OKF131078:OKF131177 OUB131078:OUB131177 PDX131078:PDX131177 PNT131078:PNT131177 PXP131078:PXP131177 QHL131078:QHL131177 QRH131078:QRH131177 RBD131078:RBD131177 RKZ131078:RKZ131177 RUV131078:RUV131177 SER131078:SER131177 SON131078:SON131177 SYJ131078:SYJ131177 TIF131078:TIF131177 TSB131078:TSB131177 UBX131078:UBX131177 ULT131078:ULT131177 UVP131078:UVP131177 VFL131078:VFL131177 VPH131078:VPH131177 VZD131078:VZD131177 WIZ131078:WIZ131177 WSV131078:WSV131177 GJ196614:GJ196713 QF196614:QF196713 AAB196614:AAB196713 AJX196614:AJX196713 ATT196614:ATT196713 BDP196614:BDP196713 BNL196614:BNL196713 BXH196614:BXH196713 CHD196614:CHD196713 CQZ196614:CQZ196713 DAV196614:DAV196713 DKR196614:DKR196713 DUN196614:DUN196713 EEJ196614:EEJ196713 EOF196614:EOF196713 EYB196614:EYB196713 FHX196614:FHX196713 FRT196614:FRT196713 GBP196614:GBP196713 GLL196614:GLL196713 GVH196614:GVH196713 HFD196614:HFD196713 HOZ196614:HOZ196713 HYV196614:HYV196713 IIR196614:IIR196713 ISN196614:ISN196713 JCJ196614:JCJ196713 JMF196614:JMF196713 JWB196614:JWB196713 KFX196614:KFX196713 KPT196614:KPT196713 KZP196614:KZP196713 LJL196614:LJL196713 LTH196614:LTH196713 MDD196614:MDD196713 MMZ196614:MMZ196713 MWV196614:MWV196713 NGR196614:NGR196713 NQN196614:NQN196713 OAJ196614:OAJ196713 OKF196614:OKF196713 OUB196614:OUB196713 PDX196614:PDX196713 PNT196614:PNT196713 PXP196614:PXP196713 QHL196614:QHL196713 QRH196614:QRH196713 RBD196614:RBD196713 RKZ196614:RKZ196713 RUV196614:RUV196713 SER196614:SER196713 SON196614:SON196713 SYJ196614:SYJ196713 TIF196614:TIF196713 TSB196614:TSB196713 UBX196614:UBX196713 ULT196614:ULT196713 UVP196614:UVP196713 VFL196614:VFL196713 VPH196614:VPH196713 VZD196614:VZD196713 WIZ196614:WIZ196713 WSV196614:WSV196713 GJ262150:GJ262249 QF262150:QF262249 AAB262150:AAB262249 AJX262150:AJX262249 ATT262150:ATT262249 BDP262150:BDP262249 BNL262150:BNL262249 BXH262150:BXH262249 CHD262150:CHD262249 CQZ262150:CQZ262249 DAV262150:DAV262249 DKR262150:DKR262249 DUN262150:DUN262249 EEJ262150:EEJ262249 EOF262150:EOF262249 EYB262150:EYB262249 FHX262150:FHX262249 FRT262150:FRT262249 GBP262150:GBP262249 GLL262150:GLL262249 GVH262150:GVH262249 HFD262150:HFD262249 HOZ262150:HOZ262249 HYV262150:HYV262249 IIR262150:IIR262249 ISN262150:ISN262249 JCJ262150:JCJ262249 JMF262150:JMF262249 JWB262150:JWB262249 KFX262150:KFX262249 KPT262150:KPT262249 KZP262150:KZP262249 LJL262150:LJL262249 LTH262150:LTH262249 MDD262150:MDD262249 MMZ262150:MMZ262249 MWV262150:MWV262249 NGR262150:NGR262249 NQN262150:NQN262249 OAJ262150:OAJ262249 OKF262150:OKF262249 OUB262150:OUB262249 PDX262150:PDX262249 PNT262150:PNT262249 PXP262150:PXP262249 QHL262150:QHL262249 QRH262150:QRH262249 RBD262150:RBD262249 RKZ262150:RKZ262249 RUV262150:RUV262249 SER262150:SER262249 SON262150:SON262249 SYJ262150:SYJ262249 TIF262150:TIF262249 TSB262150:TSB262249 UBX262150:UBX262249 ULT262150:ULT262249 UVP262150:UVP262249 VFL262150:VFL262249 VPH262150:VPH262249 VZD262150:VZD262249 WIZ262150:WIZ262249 WSV262150:WSV262249 GJ327686:GJ327785 QF327686:QF327785 AAB327686:AAB327785 AJX327686:AJX327785 ATT327686:ATT327785 BDP327686:BDP327785 BNL327686:BNL327785 BXH327686:BXH327785 CHD327686:CHD327785 CQZ327686:CQZ327785 DAV327686:DAV327785 DKR327686:DKR327785 DUN327686:DUN327785 EEJ327686:EEJ327785 EOF327686:EOF327785 EYB327686:EYB327785 FHX327686:FHX327785 FRT327686:FRT327785 GBP327686:GBP327785 GLL327686:GLL327785 GVH327686:GVH327785 HFD327686:HFD327785 HOZ327686:HOZ327785 HYV327686:HYV327785 IIR327686:IIR327785 ISN327686:ISN327785 JCJ327686:JCJ327785 JMF327686:JMF327785 JWB327686:JWB327785 KFX327686:KFX327785 KPT327686:KPT327785 KZP327686:KZP327785 LJL327686:LJL327785 LTH327686:LTH327785 MDD327686:MDD327785 MMZ327686:MMZ327785 MWV327686:MWV327785 NGR327686:NGR327785 NQN327686:NQN327785 OAJ327686:OAJ327785 OKF327686:OKF327785 OUB327686:OUB327785 PDX327686:PDX327785 PNT327686:PNT327785 PXP327686:PXP327785 QHL327686:QHL327785 QRH327686:QRH327785 RBD327686:RBD327785 RKZ327686:RKZ327785 RUV327686:RUV327785 SER327686:SER327785 SON327686:SON327785 SYJ327686:SYJ327785 TIF327686:TIF327785 TSB327686:TSB327785 UBX327686:UBX327785 ULT327686:ULT327785 UVP327686:UVP327785 VFL327686:VFL327785 VPH327686:VPH327785 VZD327686:VZD327785 WIZ327686:WIZ327785 WSV327686:WSV327785 GJ393222:GJ393321 QF393222:QF393321 AAB393222:AAB393321 AJX393222:AJX393321 ATT393222:ATT393321 BDP393222:BDP393321 BNL393222:BNL393321 BXH393222:BXH393321 CHD393222:CHD393321 CQZ393222:CQZ393321 DAV393222:DAV393321 DKR393222:DKR393321 DUN393222:DUN393321 EEJ393222:EEJ393321 EOF393222:EOF393321 EYB393222:EYB393321 FHX393222:FHX393321 FRT393222:FRT393321 GBP393222:GBP393321 GLL393222:GLL393321 GVH393222:GVH393321 HFD393222:HFD393321 HOZ393222:HOZ393321 HYV393222:HYV393321 IIR393222:IIR393321 ISN393222:ISN393321 JCJ393222:JCJ393321 JMF393222:JMF393321 JWB393222:JWB393321 KFX393222:KFX393321 KPT393222:KPT393321 KZP393222:KZP393321 LJL393222:LJL393321 LTH393222:LTH393321 MDD393222:MDD393321 MMZ393222:MMZ393321 MWV393222:MWV393321 NGR393222:NGR393321 NQN393222:NQN393321 OAJ393222:OAJ393321 OKF393222:OKF393321 OUB393222:OUB393321 PDX393222:PDX393321 PNT393222:PNT393321 PXP393222:PXP393321 QHL393222:QHL393321 QRH393222:QRH393321 RBD393222:RBD393321 RKZ393222:RKZ393321 RUV393222:RUV393321 SER393222:SER393321 SON393222:SON393321 SYJ393222:SYJ393321 TIF393222:TIF393321 TSB393222:TSB393321 UBX393222:UBX393321 ULT393222:ULT393321 UVP393222:UVP393321 VFL393222:VFL393321 VPH393222:VPH393321 VZD393222:VZD393321 WIZ393222:WIZ393321 WSV393222:WSV393321 GJ458758:GJ458857 QF458758:QF458857 AAB458758:AAB458857 AJX458758:AJX458857 ATT458758:ATT458857 BDP458758:BDP458857 BNL458758:BNL458857 BXH458758:BXH458857 CHD458758:CHD458857 CQZ458758:CQZ458857 DAV458758:DAV458857 DKR458758:DKR458857 DUN458758:DUN458857 EEJ458758:EEJ458857 EOF458758:EOF458857 EYB458758:EYB458857 FHX458758:FHX458857 FRT458758:FRT458857 GBP458758:GBP458857 GLL458758:GLL458857 GVH458758:GVH458857 HFD458758:HFD458857 HOZ458758:HOZ458857 HYV458758:HYV458857 IIR458758:IIR458857 ISN458758:ISN458857 JCJ458758:JCJ458857 JMF458758:JMF458857 JWB458758:JWB458857 KFX458758:KFX458857 KPT458758:KPT458857 KZP458758:KZP458857 LJL458758:LJL458857 LTH458758:LTH458857 MDD458758:MDD458857 MMZ458758:MMZ458857 MWV458758:MWV458857 NGR458758:NGR458857 NQN458758:NQN458857 OAJ458758:OAJ458857 OKF458758:OKF458857 OUB458758:OUB458857 PDX458758:PDX458857 PNT458758:PNT458857 PXP458758:PXP458857 QHL458758:QHL458857 QRH458758:QRH458857 RBD458758:RBD458857 RKZ458758:RKZ458857 RUV458758:RUV458857 SER458758:SER458857 SON458758:SON458857 SYJ458758:SYJ458857 TIF458758:TIF458857 TSB458758:TSB458857 UBX458758:UBX458857 ULT458758:ULT458857 UVP458758:UVP458857 VFL458758:VFL458857 VPH458758:VPH458857 VZD458758:VZD458857 WIZ458758:WIZ458857 WSV458758:WSV458857 GJ524294:GJ524393 QF524294:QF524393 AAB524294:AAB524393 AJX524294:AJX524393 ATT524294:ATT524393 BDP524294:BDP524393 BNL524294:BNL524393 BXH524294:BXH524393 CHD524294:CHD524393 CQZ524294:CQZ524393 DAV524294:DAV524393 DKR524294:DKR524393 DUN524294:DUN524393 EEJ524294:EEJ524393 EOF524294:EOF524393 EYB524294:EYB524393 FHX524294:FHX524393 FRT524294:FRT524393 GBP524294:GBP524393 GLL524294:GLL524393 GVH524294:GVH524393 HFD524294:HFD524393 HOZ524294:HOZ524393 HYV524294:HYV524393 IIR524294:IIR524393 ISN524294:ISN524393 JCJ524294:JCJ524393 JMF524294:JMF524393 JWB524294:JWB524393 KFX524294:KFX524393 KPT524294:KPT524393 KZP524294:KZP524393 LJL524294:LJL524393 LTH524294:LTH524393 MDD524294:MDD524393 MMZ524294:MMZ524393 MWV524294:MWV524393 NGR524294:NGR524393 NQN524294:NQN524393 OAJ524294:OAJ524393 OKF524294:OKF524393 OUB524294:OUB524393 PDX524294:PDX524393 PNT524294:PNT524393 PXP524294:PXP524393 QHL524294:QHL524393 QRH524294:QRH524393 RBD524294:RBD524393 RKZ524294:RKZ524393 RUV524294:RUV524393 SER524294:SER524393 SON524294:SON524393 SYJ524294:SYJ524393 TIF524294:TIF524393 TSB524294:TSB524393 UBX524294:UBX524393 ULT524294:ULT524393 UVP524294:UVP524393 VFL524294:VFL524393 VPH524294:VPH524393 VZD524294:VZD524393 WIZ524294:WIZ524393 WSV524294:WSV524393 GJ589830:GJ589929 QF589830:QF589929 AAB589830:AAB589929 AJX589830:AJX589929 ATT589830:ATT589929 BDP589830:BDP589929 BNL589830:BNL589929 BXH589830:BXH589929 CHD589830:CHD589929 CQZ589830:CQZ589929 DAV589830:DAV589929 DKR589830:DKR589929 DUN589830:DUN589929 EEJ589830:EEJ589929 EOF589830:EOF589929 EYB589830:EYB589929 FHX589830:FHX589929 FRT589830:FRT589929 GBP589830:GBP589929 GLL589830:GLL589929 GVH589830:GVH589929 HFD589830:HFD589929 HOZ589830:HOZ589929 HYV589830:HYV589929 IIR589830:IIR589929 ISN589830:ISN589929 JCJ589830:JCJ589929 JMF589830:JMF589929 JWB589830:JWB589929 KFX589830:KFX589929 KPT589830:KPT589929 KZP589830:KZP589929 LJL589830:LJL589929 LTH589830:LTH589929 MDD589830:MDD589929 MMZ589830:MMZ589929 MWV589830:MWV589929 NGR589830:NGR589929 NQN589830:NQN589929 OAJ589830:OAJ589929 OKF589830:OKF589929 OUB589830:OUB589929 PDX589830:PDX589929 PNT589830:PNT589929 PXP589830:PXP589929 QHL589830:QHL589929 QRH589830:QRH589929 RBD589830:RBD589929 RKZ589830:RKZ589929 RUV589830:RUV589929 SER589830:SER589929 SON589830:SON589929 SYJ589830:SYJ589929 TIF589830:TIF589929 TSB589830:TSB589929 UBX589830:UBX589929 ULT589830:ULT589929 UVP589830:UVP589929 VFL589830:VFL589929 VPH589830:VPH589929 VZD589830:VZD589929 WIZ589830:WIZ589929 WSV589830:WSV589929 GJ655366:GJ655465 QF655366:QF655465 AAB655366:AAB655465 AJX655366:AJX655465 ATT655366:ATT655465 BDP655366:BDP655465 BNL655366:BNL655465 BXH655366:BXH655465 CHD655366:CHD655465 CQZ655366:CQZ655465 DAV655366:DAV655465 DKR655366:DKR655465 DUN655366:DUN655465 EEJ655366:EEJ655465 EOF655366:EOF655465 EYB655366:EYB655465 FHX655366:FHX655465 FRT655366:FRT655465 GBP655366:GBP655465 GLL655366:GLL655465 GVH655366:GVH655465 HFD655366:HFD655465 HOZ655366:HOZ655465 HYV655366:HYV655465 IIR655366:IIR655465 ISN655366:ISN655465 JCJ655366:JCJ655465 JMF655366:JMF655465 JWB655366:JWB655465 KFX655366:KFX655465 KPT655366:KPT655465 KZP655366:KZP655465 LJL655366:LJL655465 LTH655366:LTH655465 MDD655366:MDD655465 MMZ655366:MMZ655465 MWV655366:MWV655465 NGR655366:NGR655465 NQN655366:NQN655465 OAJ655366:OAJ655465 OKF655366:OKF655465 OUB655366:OUB655465 PDX655366:PDX655465 PNT655366:PNT655465 PXP655366:PXP655465 QHL655366:QHL655465 QRH655366:QRH655465 RBD655366:RBD655465 RKZ655366:RKZ655465 RUV655366:RUV655465 SER655366:SER655465 SON655366:SON655465 SYJ655366:SYJ655465 TIF655366:TIF655465 TSB655366:TSB655465 UBX655366:UBX655465 ULT655366:ULT655465 UVP655366:UVP655465 VFL655366:VFL655465 VPH655366:VPH655465 VZD655366:VZD655465 WIZ655366:WIZ655465 WSV655366:WSV655465 GJ720902:GJ721001 QF720902:QF721001 AAB720902:AAB721001 AJX720902:AJX721001 ATT720902:ATT721001 BDP720902:BDP721001 BNL720902:BNL721001 BXH720902:BXH721001 CHD720902:CHD721001 CQZ720902:CQZ721001 DAV720902:DAV721001 DKR720902:DKR721001 DUN720902:DUN721001 EEJ720902:EEJ721001 EOF720902:EOF721001 EYB720902:EYB721001 FHX720902:FHX721001 FRT720902:FRT721001 GBP720902:GBP721001 GLL720902:GLL721001 GVH720902:GVH721001 HFD720902:HFD721001 HOZ720902:HOZ721001 HYV720902:HYV721001 IIR720902:IIR721001 ISN720902:ISN721001 JCJ720902:JCJ721001 JMF720902:JMF721001 JWB720902:JWB721001 KFX720902:KFX721001 KPT720902:KPT721001 KZP720902:KZP721001 LJL720902:LJL721001 LTH720902:LTH721001 MDD720902:MDD721001 MMZ720902:MMZ721001 MWV720902:MWV721001 NGR720902:NGR721001 NQN720902:NQN721001 OAJ720902:OAJ721001 OKF720902:OKF721001 OUB720902:OUB721001 PDX720902:PDX721001 PNT720902:PNT721001 PXP720902:PXP721001 QHL720902:QHL721001 QRH720902:QRH721001 RBD720902:RBD721001 RKZ720902:RKZ721001 RUV720902:RUV721001 SER720902:SER721001 SON720902:SON721001 SYJ720902:SYJ721001 TIF720902:TIF721001 TSB720902:TSB721001 UBX720902:UBX721001 ULT720902:ULT721001 UVP720902:UVP721001 VFL720902:VFL721001 VPH720902:VPH721001 VZD720902:VZD721001 WIZ720902:WIZ721001 WSV720902:WSV721001 GJ786438:GJ786537 QF786438:QF786537 AAB786438:AAB786537 AJX786438:AJX786537 ATT786438:ATT786537 BDP786438:BDP786537 BNL786438:BNL786537 BXH786438:BXH786537 CHD786438:CHD786537 CQZ786438:CQZ786537 DAV786438:DAV786537 DKR786438:DKR786537 DUN786438:DUN786537 EEJ786438:EEJ786537 EOF786438:EOF786537 EYB786438:EYB786537 FHX786438:FHX786537 FRT786438:FRT786537 GBP786438:GBP786537 GLL786438:GLL786537 GVH786438:GVH786537 HFD786438:HFD786537 HOZ786438:HOZ786537 HYV786438:HYV786537 IIR786438:IIR786537 ISN786438:ISN786537 JCJ786438:JCJ786537 JMF786438:JMF786537 JWB786438:JWB786537 KFX786438:KFX786537 KPT786438:KPT786537 KZP786438:KZP786537 LJL786438:LJL786537 LTH786438:LTH786537 MDD786438:MDD786537 MMZ786438:MMZ786537 MWV786438:MWV786537 NGR786438:NGR786537 NQN786438:NQN786537 OAJ786438:OAJ786537 OKF786438:OKF786537 OUB786438:OUB786537 PDX786438:PDX786537 PNT786438:PNT786537 PXP786438:PXP786537 QHL786438:QHL786537 QRH786438:QRH786537 RBD786438:RBD786537 RKZ786438:RKZ786537 RUV786438:RUV786537 SER786438:SER786537 SON786438:SON786537 SYJ786438:SYJ786537 TIF786438:TIF786537 TSB786438:TSB786537 UBX786438:UBX786537 ULT786438:ULT786537 UVP786438:UVP786537 VFL786438:VFL786537 VPH786438:VPH786537 VZD786438:VZD786537 WIZ786438:WIZ786537 WSV786438:WSV786537 GJ851974:GJ852073 QF851974:QF852073 AAB851974:AAB852073 AJX851974:AJX852073 ATT851974:ATT852073 BDP851974:BDP852073 BNL851974:BNL852073 BXH851974:BXH852073 CHD851974:CHD852073 CQZ851974:CQZ852073 DAV851974:DAV852073 DKR851974:DKR852073 DUN851974:DUN852073 EEJ851974:EEJ852073 EOF851974:EOF852073 EYB851974:EYB852073 FHX851974:FHX852073 FRT851974:FRT852073 GBP851974:GBP852073 GLL851974:GLL852073 GVH851974:GVH852073 HFD851974:HFD852073 HOZ851974:HOZ852073 HYV851974:HYV852073 IIR851974:IIR852073 ISN851974:ISN852073 JCJ851974:JCJ852073 JMF851974:JMF852073 JWB851974:JWB852073 KFX851974:KFX852073 KPT851974:KPT852073 KZP851974:KZP852073 LJL851974:LJL852073 LTH851974:LTH852073 MDD851974:MDD852073 MMZ851974:MMZ852073 MWV851974:MWV852073 NGR851974:NGR852073 NQN851974:NQN852073 OAJ851974:OAJ852073 OKF851974:OKF852073 OUB851974:OUB852073 PDX851974:PDX852073 PNT851974:PNT852073 PXP851974:PXP852073 QHL851974:QHL852073 QRH851974:QRH852073 RBD851974:RBD852073 RKZ851974:RKZ852073 RUV851974:RUV852073 SER851974:SER852073 SON851974:SON852073 SYJ851974:SYJ852073 TIF851974:TIF852073 TSB851974:TSB852073 UBX851974:UBX852073 ULT851974:ULT852073 UVP851974:UVP852073 VFL851974:VFL852073 VPH851974:VPH852073 VZD851974:VZD852073 WIZ851974:WIZ852073 WSV851974:WSV852073 GJ917510:GJ917609 QF917510:QF917609 AAB917510:AAB917609 AJX917510:AJX917609 ATT917510:ATT917609 BDP917510:BDP917609 BNL917510:BNL917609 BXH917510:BXH917609 CHD917510:CHD917609 CQZ917510:CQZ917609 DAV917510:DAV917609 DKR917510:DKR917609 DUN917510:DUN917609 EEJ917510:EEJ917609 EOF917510:EOF917609 EYB917510:EYB917609 FHX917510:FHX917609 FRT917510:FRT917609 GBP917510:GBP917609 GLL917510:GLL917609 GVH917510:GVH917609 HFD917510:HFD917609 HOZ917510:HOZ917609 HYV917510:HYV917609 IIR917510:IIR917609 ISN917510:ISN917609 JCJ917510:JCJ917609 JMF917510:JMF917609 JWB917510:JWB917609 KFX917510:KFX917609 KPT917510:KPT917609 KZP917510:KZP917609 LJL917510:LJL917609 LTH917510:LTH917609 MDD917510:MDD917609 MMZ917510:MMZ917609 MWV917510:MWV917609 NGR917510:NGR917609 NQN917510:NQN917609 OAJ917510:OAJ917609 OKF917510:OKF917609 OUB917510:OUB917609 PDX917510:PDX917609 PNT917510:PNT917609 PXP917510:PXP917609 QHL917510:QHL917609 QRH917510:QRH917609 RBD917510:RBD917609 RKZ917510:RKZ917609 RUV917510:RUV917609 SER917510:SER917609 SON917510:SON917609 SYJ917510:SYJ917609 TIF917510:TIF917609 TSB917510:TSB917609 UBX917510:UBX917609 ULT917510:ULT917609 UVP917510:UVP917609 VFL917510:VFL917609 VPH917510:VPH917609 VZD917510:VZD917609 WIZ917510:WIZ917609 WSV917510:WSV917609 GJ983046:GJ983145 QF983046:QF983145 AAB983046:AAB983145 AJX983046:AJX983145 ATT983046:ATT983145 BDP983046:BDP983145 BNL983046:BNL983145 BXH983046:BXH983145 CHD983046:CHD983145 CQZ983046:CQZ983145 DAV983046:DAV983145 DKR983046:DKR983145 DUN983046:DUN983145 EEJ983046:EEJ983145 EOF983046:EOF983145 EYB983046:EYB983145 FHX983046:FHX983145 FRT983046:FRT983145 GBP983046:GBP983145 GLL983046:GLL983145 GVH983046:GVH983145 HFD983046:HFD983145 HOZ983046:HOZ983145 HYV983046:HYV983145 IIR983046:IIR983145 ISN983046:ISN983145 JCJ983046:JCJ983145 JMF983046:JMF983145 JWB983046:JWB983145 KFX983046:KFX983145 KPT983046:KPT983145 KZP983046:KZP983145 LJL983046:LJL983145 LTH983046:LTH983145 MDD983046:MDD983145 MMZ983046:MMZ983145 MWV983046:MWV983145 NGR983046:NGR983145 NQN983046:NQN983145 OAJ983046:OAJ983145 OKF983046:OKF983145 OUB983046:OUB983145 PDX983046:PDX983145 PNT983046:PNT983145 PXP983046:PXP983145 QHL983046:QHL983145 QRH983046:QRH983145 RBD983046:RBD983145 RKZ983046:RKZ983145 RUV983046:RUV983145 SER983046:SER983145 SON983046:SON983145 SYJ983046:SYJ983145 TIF983046:TIF983145 TSB983046:TSB983145 UBX983046:UBX983145 ULT983046:ULT983145 UVP983046:UVP983145 VFL983046:VFL983145 VPH983046:VPH983145 VZD983046:VZD983145 WIZ983046:WIZ983145 WSV983046:WSV983145">
      <formula1>OFFSET(ListeDivers,1,MATCH($F5,ListeCatégorie,0)-1,COUNTA(OFFSET(ListeDivers,,MATCH($F5,ListeCatégorie,0)-1))-1)</formula1>
    </dataValidation>
    <dataValidation type="list" allowBlank="1" showInputMessage="1" showErrorMessage="1" sqref="WSQ983046:WSQ983145 GE5:GE104 QA5:QA104 ZW5:ZW104 AJS5:AJS104 ATO5:ATO104 BDK5:BDK104 BNG5:BNG104 BXC5:BXC104 CGY5:CGY104 CQU5:CQU104 DAQ5:DAQ104 DKM5:DKM104 DUI5:DUI104 EEE5:EEE104 EOA5:EOA104 EXW5:EXW104 FHS5:FHS104 FRO5:FRO104 GBK5:GBK104 GLG5:GLG104 GVC5:GVC104 HEY5:HEY104 HOU5:HOU104 HYQ5:HYQ104 IIM5:IIM104 ISI5:ISI104 JCE5:JCE104 JMA5:JMA104 JVW5:JVW104 KFS5:KFS104 KPO5:KPO104 KZK5:KZK104 LJG5:LJG104 LTC5:LTC104 MCY5:MCY104 MMU5:MMU104 MWQ5:MWQ104 NGM5:NGM104 NQI5:NQI104 OAE5:OAE104 OKA5:OKA104 OTW5:OTW104 PDS5:PDS104 PNO5:PNO104 PXK5:PXK104 QHG5:QHG104 QRC5:QRC104 RAY5:RAY104 RKU5:RKU104 RUQ5:RUQ104 SEM5:SEM104 SOI5:SOI104 SYE5:SYE104 TIA5:TIA104 TRW5:TRW104 UBS5:UBS104 ULO5:ULO104 UVK5:UVK104 VFG5:VFG104 VPC5:VPC104 VYY5:VYY104 WIU5:WIU104 WSQ5:WSQ104 G65542:G65641 GE65542:GE65641 QA65542:QA65641 ZW65542:ZW65641 AJS65542:AJS65641 ATO65542:ATO65641 BDK65542:BDK65641 BNG65542:BNG65641 BXC65542:BXC65641 CGY65542:CGY65641 CQU65542:CQU65641 DAQ65542:DAQ65641 DKM65542:DKM65641 DUI65542:DUI65641 EEE65542:EEE65641 EOA65542:EOA65641 EXW65542:EXW65641 FHS65542:FHS65641 FRO65542:FRO65641 GBK65542:GBK65641 GLG65542:GLG65641 GVC65542:GVC65641 HEY65542:HEY65641 HOU65542:HOU65641 HYQ65542:HYQ65641 IIM65542:IIM65641 ISI65542:ISI65641 JCE65542:JCE65641 JMA65542:JMA65641 JVW65542:JVW65641 KFS65542:KFS65641 KPO65542:KPO65641 KZK65542:KZK65641 LJG65542:LJG65641 LTC65542:LTC65641 MCY65542:MCY65641 MMU65542:MMU65641 MWQ65542:MWQ65641 NGM65542:NGM65641 NQI65542:NQI65641 OAE65542:OAE65641 OKA65542:OKA65641 OTW65542:OTW65641 PDS65542:PDS65641 PNO65542:PNO65641 PXK65542:PXK65641 QHG65542:QHG65641 QRC65542:QRC65641 RAY65542:RAY65641 RKU65542:RKU65641 RUQ65542:RUQ65641 SEM65542:SEM65641 SOI65542:SOI65641 SYE65542:SYE65641 TIA65542:TIA65641 TRW65542:TRW65641 UBS65542:UBS65641 ULO65542:ULO65641 UVK65542:UVK65641 VFG65542:VFG65641 VPC65542:VPC65641 VYY65542:VYY65641 WIU65542:WIU65641 WSQ65542:WSQ65641 G131078:G131177 GE131078:GE131177 QA131078:QA131177 ZW131078:ZW131177 AJS131078:AJS131177 ATO131078:ATO131177 BDK131078:BDK131177 BNG131078:BNG131177 BXC131078:BXC131177 CGY131078:CGY131177 CQU131078:CQU131177 DAQ131078:DAQ131177 DKM131078:DKM131177 DUI131078:DUI131177 EEE131078:EEE131177 EOA131078:EOA131177 EXW131078:EXW131177 FHS131078:FHS131177 FRO131078:FRO131177 GBK131078:GBK131177 GLG131078:GLG131177 GVC131078:GVC131177 HEY131078:HEY131177 HOU131078:HOU131177 HYQ131078:HYQ131177 IIM131078:IIM131177 ISI131078:ISI131177 JCE131078:JCE131177 JMA131078:JMA131177 JVW131078:JVW131177 KFS131078:KFS131177 KPO131078:KPO131177 KZK131078:KZK131177 LJG131078:LJG131177 LTC131078:LTC131177 MCY131078:MCY131177 MMU131078:MMU131177 MWQ131078:MWQ131177 NGM131078:NGM131177 NQI131078:NQI131177 OAE131078:OAE131177 OKA131078:OKA131177 OTW131078:OTW131177 PDS131078:PDS131177 PNO131078:PNO131177 PXK131078:PXK131177 QHG131078:QHG131177 QRC131078:QRC131177 RAY131078:RAY131177 RKU131078:RKU131177 RUQ131078:RUQ131177 SEM131078:SEM131177 SOI131078:SOI131177 SYE131078:SYE131177 TIA131078:TIA131177 TRW131078:TRW131177 UBS131078:UBS131177 ULO131078:ULO131177 UVK131078:UVK131177 VFG131078:VFG131177 VPC131078:VPC131177 VYY131078:VYY131177 WIU131078:WIU131177 WSQ131078:WSQ131177 G196614:G196713 GE196614:GE196713 QA196614:QA196713 ZW196614:ZW196713 AJS196614:AJS196713 ATO196614:ATO196713 BDK196614:BDK196713 BNG196614:BNG196713 BXC196614:BXC196713 CGY196614:CGY196713 CQU196614:CQU196713 DAQ196614:DAQ196713 DKM196614:DKM196713 DUI196614:DUI196713 EEE196614:EEE196713 EOA196614:EOA196713 EXW196614:EXW196713 FHS196614:FHS196713 FRO196614:FRO196713 GBK196614:GBK196713 GLG196614:GLG196713 GVC196614:GVC196713 HEY196614:HEY196713 HOU196614:HOU196713 HYQ196614:HYQ196713 IIM196614:IIM196713 ISI196614:ISI196713 JCE196614:JCE196713 JMA196614:JMA196713 JVW196614:JVW196713 KFS196614:KFS196713 KPO196614:KPO196713 KZK196614:KZK196713 LJG196614:LJG196713 LTC196614:LTC196713 MCY196614:MCY196713 MMU196614:MMU196713 MWQ196614:MWQ196713 NGM196614:NGM196713 NQI196614:NQI196713 OAE196614:OAE196713 OKA196614:OKA196713 OTW196614:OTW196713 PDS196614:PDS196713 PNO196614:PNO196713 PXK196614:PXK196713 QHG196614:QHG196713 QRC196614:QRC196713 RAY196614:RAY196713 RKU196614:RKU196713 RUQ196614:RUQ196713 SEM196614:SEM196713 SOI196614:SOI196713 SYE196614:SYE196713 TIA196614:TIA196713 TRW196614:TRW196713 UBS196614:UBS196713 ULO196614:ULO196713 UVK196614:UVK196713 VFG196614:VFG196713 VPC196614:VPC196713 VYY196614:VYY196713 WIU196614:WIU196713 WSQ196614:WSQ196713 G262150:G262249 GE262150:GE262249 QA262150:QA262249 ZW262150:ZW262249 AJS262150:AJS262249 ATO262150:ATO262249 BDK262150:BDK262249 BNG262150:BNG262249 BXC262150:BXC262249 CGY262150:CGY262249 CQU262150:CQU262249 DAQ262150:DAQ262249 DKM262150:DKM262249 DUI262150:DUI262249 EEE262150:EEE262249 EOA262150:EOA262249 EXW262150:EXW262249 FHS262150:FHS262249 FRO262150:FRO262249 GBK262150:GBK262249 GLG262150:GLG262249 GVC262150:GVC262249 HEY262150:HEY262249 HOU262150:HOU262249 HYQ262150:HYQ262249 IIM262150:IIM262249 ISI262150:ISI262249 JCE262150:JCE262249 JMA262150:JMA262249 JVW262150:JVW262249 KFS262150:KFS262249 KPO262150:KPO262249 KZK262150:KZK262249 LJG262150:LJG262249 LTC262150:LTC262249 MCY262150:MCY262249 MMU262150:MMU262249 MWQ262150:MWQ262249 NGM262150:NGM262249 NQI262150:NQI262249 OAE262150:OAE262249 OKA262150:OKA262249 OTW262150:OTW262249 PDS262150:PDS262249 PNO262150:PNO262249 PXK262150:PXK262249 QHG262150:QHG262249 QRC262150:QRC262249 RAY262150:RAY262249 RKU262150:RKU262249 RUQ262150:RUQ262249 SEM262150:SEM262249 SOI262150:SOI262249 SYE262150:SYE262249 TIA262150:TIA262249 TRW262150:TRW262249 UBS262150:UBS262249 ULO262150:ULO262249 UVK262150:UVK262249 VFG262150:VFG262249 VPC262150:VPC262249 VYY262150:VYY262249 WIU262150:WIU262249 WSQ262150:WSQ262249 G327686:G327785 GE327686:GE327785 QA327686:QA327785 ZW327686:ZW327785 AJS327686:AJS327785 ATO327686:ATO327785 BDK327686:BDK327785 BNG327686:BNG327785 BXC327686:BXC327785 CGY327686:CGY327785 CQU327686:CQU327785 DAQ327686:DAQ327785 DKM327686:DKM327785 DUI327686:DUI327785 EEE327686:EEE327785 EOA327686:EOA327785 EXW327686:EXW327785 FHS327686:FHS327785 FRO327686:FRO327785 GBK327686:GBK327785 GLG327686:GLG327785 GVC327686:GVC327785 HEY327686:HEY327785 HOU327686:HOU327785 HYQ327686:HYQ327785 IIM327686:IIM327785 ISI327686:ISI327785 JCE327686:JCE327785 JMA327686:JMA327785 JVW327686:JVW327785 KFS327686:KFS327785 KPO327686:KPO327785 KZK327686:KZK327785 LJG327686:LJG327785 LTC327686:LTC327785 MCY327686:MCY327785 MMU327686:MMU327785 MWQ327686:MWQ327785 NGM327686:NGM327785 NQI327686:NQI327785 OAE327686:OAE327785 OKA327686:OKA327785 OTW327686:OTW327785 PDS327686:PDS327785 PNO327686:PNO327785 PXK327686:PXK327785 QHG327686:QHG327785 QRC327686:QRC327785 RAY327686:RAY327785 RKU327686:RKU327785 RUQ327686:RUQ327785 SEM327686:SEM327785 SOI327686:SOI327785 SYE327686:SYE327785 TIA327686:TIA327785 TRW327686:TRW327785 UBS327686:UBS327785 ULO327686:ULO327785 UVK327686:UVK327785 VFG327686:VFG327785 VPC327686:VPC327785 VYY327686:VYY327785 WIU327686:WIU327785 WSQ327686:WSQ327785 G393222:G393321 GE393222:GE393321 QA393222:QA393321 ZW393222:ZW393321 AJS393222:AJS393321 ATO393222:ATO393321 BDK393222:BDK393321 BNG393222:BNG393321 BXC393222:BXC393321 CGY393222:CGY393321 CQU393222:CQU393321 DAQ393222:DAQ393321 DKM393222:DKM393321 DUI393222:DUI393321 EEE393222:EEE393321 EOA393222:EOA393321 EXW393222:EXW393321 FHS393222:FHS393321 FRO393222:FRO393321 GBK393222:GBK393321 GLG393222:GLG393321 GVC393222:GVC393321 HEY393222:HEY393321 HOU393222:HOU393321 HYQ393222:HYQ393321 IIM393222:IIM393321 ISI393222:ISI393321 JCE393222:JCE393321 JMA393222:JMA393321 JVW393222:JVW393321 KFS393222:KFS393321 KPO393222:KPO393321 KZK393222:KZK393321 LJG393222:LJG393321 LTC393222:LTC393321 MCY393222:MCY393321 MMU393222:MMU393321 MWQ393222:MWQ393321 NGM393222:NGM393321 NQI393222:NQI393321 OAE393222:OAE393321 OKA393222:OKA393321 OTW393222:OTW393321 PDS393222:PDS393321 PNO393222:PNO393321 PXK393222:PXK393321 QHG393222:QHG393321 QRC393222:QRC393321 RAY393222:RAY393321 RKU393222:RKU393321 RUQ393222:RUQ393321 SEM393222:SEM393321 SOI393222:SOI393321 SYE393222:SYE393321 TIA393222:TIA393321 TRW393222:TRW393321 UBS393222:UBS393321 ULO393222:ULO393321 UVK393222:UVK393321 VFG393222:VFG393321 VPC393222:VPC393321 VYY393222:VYY393321 WIU393222:WIU393321 WSQ393222:WSQ393321 G458758:G458857 GE458758:GE458857 QA458758:QA458857 ZW458758:ZW458857 AJS458758:AJS458857 ATO458758:ATO458857 BDK458758:BDK458857 BNG458758:BNG458857 BXC458758:BXC458857 CGY458758:CGY458857 CQU458758:CQU458857 DAQ458758:DAQ458857 DKM458758:DKM458857 DUI458758:DUI458857 EEE458758:EEE458857 EOA458758:EOA458857 EXW458758:EXW458857 FHS458758:FHS458857 FRO458758:FRO458857 GBK458758:GBK458857 GLG458758:GLG458857 GVC458758:GVC458857 HEY458758:HEY458857 HOU458758:HOU458857 HYQ458758:HYQ458857 IIM458758:IIM458857 ISI458758:ISI458857 JCE458758:JCE458857 JMA458758:JMA458857 JVW458758:JVW458857 KFS458758:KFS458857 KPO458758:KPO458857 KZK458758:KZK458857 LJG458758:LJG458857 LTC458758:LTC458857 MCY458758:MCY458857 MMU458758:MMU458857 MWQ458758:MWQ458857 NGM458758:NGM458857 NQI458758:NQI458857 OAE458758:OAE458857 OKA458758:OKA458857 OTW458758:OTW458857 PDS458758:PDS458857 PNO458758:PNO458857 PXK458758:PXK458857 QHG458758:QHG458857 QRC458758:QRC458857 RAY458758:RAY458857 RKU458758:RKU458857 RUQ458758:RUQ458857 SEM458758:SEM458857 SOI458758:SOI458857 SYE458758:SYE458857 TIA458758:TIA458857 TRW458758:TRW458857 UBS458758:UBS458857 ULO458758:ULO458857 UVK458758:UVK458857 VFG458758:VFG458857 VPC458758:VPC458857 VYY458758:VYY458857 WIU458758:WIU458857 WSQ458758:WSQ458857 G524294:G524393 GE524294:GE524393 QA524294:QA524393 ZW524294:ZW524393 AJS524294:AJS524393 ATO524294:ATO524393 BDK524294:BDK524393 BNG524294:BNG524393 BXC524294:BXC524393 CGY524294:CGY524393 CQU524294:CQU524393 DAQ524294:DAQ524393 DKM524294:DKM524393 DUI524294:DUI524393 EEE524294:EEE524393 EOA524294:EOA524393 EXW524294:EXW524393 FHS524294:FHS524393 FRO524294:FRO524393 GBK524294:GBK524393 GLG524294:GLG524393 GVC524294:GVC524393 HEY524294:HEY524393 HOU524294:HOU524393 HYQ524294:HYQ524393 IIM524294:IIM524393 ISI524294:ISI524393 JCE524294:JCE524393 JMA524294:JMA524393 JVW524294:JVW524393 KFS524294:KFS524393 KPO524294:KPO524393 KZK524294:KZK524393 LJG524294:LJG524393 LTC524294:LTC524393 MCY524294:MCY524393 MMU524294:MMU524393 MWQ524294:MWQ524393 NGM524294:NGM524393 NQI524294:NQI524393 OAE524294:OAE524393 OKA524294:OKA524393 OTW524294:OTW524393 PDS524294:PDS524393 PNO524294:PNO524393 PXK524294:PXK524393 QHG524294:QHG524393 QRC524294:QRC524393 RAY524294:RAY524393 RKU524294:RKU524393 RUQ524294:RUQ524393 SEM524294:SEM524393 SOI524294:SOI524393 SYE524294:SYE524393 TIA524294:TIA524393 TRW524294:TRW524393 UBS524294:UBS524393 ULO524294:ULO524393 UVK524294:UVK524393 VFG524294:VFG524393 VPC524294:VPC524393 VYY524294:VYY524393 WIU524294:WIU524393 WSQ524294:WSQ524393 G589830:G589929 GE589830:GE589929 QA589830:QA589929 ZW589830:ZW589929 AJS589830:AJS589929 ATO589830:ATO589929 BDK589830:BDK589929 BNG589830:BNG589929 BXC589830:BXC589929 CGY589830:CGY589929 CQU589830:CQU589929 DAQ589830:DAQ589929 DKM589830:DKM589929 DUI589830:DUI589929 EEE589830:EEE589929 EOA589830:EOA589929 EXW589830:EXW589929 FHS589830:FHS589929 FRO589830:FRO589929 GBK589830:GBK589929 GLG589830:GLG589929 GVC589830:GVC589929 HEY589830:HEY589929 HOU589830:HOU589929 HYQ589830:HYQ589929 IIM589830:IIM589929 ISI589830:ISI589929 JCE589830:JCE589929 JMA589830:JMA589929 JVW589830:JVW589929 KFS589830:KFS589929 KPO589830:KPO589929 KZK589830:KZK589929 LJG589830:LJG589929 LTC589830:LTC589929 MCY589830:MCY589929 MMU589830:MMU589929 MWQ589830:MWQ589929 NGM589830:NGM589929 NQI589830:NQI589929 OAE589830:OAE589929 OKA589830:OKA589929 OTW589830:OTW589929 PDS589830:PDS589929 PNO589830:PNO589929 PXK589830:PXK589929 QHG589830:QHG589929 QRC589830:QRC589929 RAY589830:RAY589929 RKU589830:RKU589929 RUQ589830:RUQ589929 SEM589830:SEM589929 SOI589830:SOI589929 SYE589830:SYE589929 TIA589830:TIA589929 TRW589830:TRW589929 UBS589830:UBS589929 ULO589830:ULO589929 UVK589830:UVK589929 VFG589830:VFG589929 VPC589830:VPC589929 VYY589830:VYY589929 WIU589830:WIU589929 WSQ589830:WSQ589929 G655366:G655465 GE655366:GE655465 QA655366:QA655465 ZW655366:ZW655465 AJS655366:AJS655465 ATO655366:ATO655465 BDK655366:BDK655465 BNG655366:BNG655465 BXC655366:BXC655465 CGY655366:CGY655465 CQU655366:CQU655465 DAQ655366:DAQ655465 DKM655366:DKM655465 DUI655366:DUI655465 EEE655366:EEE655465 EOA655366:EOA655465 EXW655366:EXW655465 FHS655366:FHS655465 FRO655366:FRO655465 GBK655366:GBK655465 GLG655366:GLG655465 GVC655366:GVC655465 HEY655366:HEY655465 HOU655366:HOU655465 HYQ655366:HYQ655465 IIM655366:IIM655465 ISI655366:ISI655465 JCE655366:JCE655465 JMA655366:JMA655465 JVW655366:JVW655465 KFS655366:KFS655465 KPO655366:KPO655465 KZK655366:KZK655465 LJG655366:LJG655465 LTC655366:LTC655465 MCY655366:MCY655465 MMU655366:MMU655465 MWQ655366:MWQ655465 NGM655366:NGM655465 NQI655366:NQI655465 OAE655366:OAE655465 OKA655366:OKA655465 OTW655366:OTW655465 PDS655366:PDS655465 PNO655366:PNO655465 PXK655366:PXK655465 QHG655366:QHG655465 QRC655366:QRC655465 RAY655366:RAY655465 RKU655366:RKU655465 RUQ655366:RUQ655465 SEM655366:SEM655465 SOI655366:SOI655465 SYE655366:SYE655465 TIA655366:TIA655465 TRW655366:TRW655465 UBS655366:UBS655465 ULO655366:ULO655465 UVK655366:UVK655465 VFG655366:VFG655465 VPC655366:VPC655465 VYY655366:VYY655465 WIU655366:WIU655465 WSQ655366:WSQ655465 G720902:G721001 GE720902:GE721001 QA720902:QA721001 ZW720902:ZW721001 AJS720902:AJS721001 ATO720902:ATO721001 BDK720902:BDK721001 BNG720902:BNG721001 BXC720902:BXC721001 CGY720902:CGY721001 CQU720902:CQU721001 DAQ720902:DAQ721001 DKM720902:DKM721001 DUI720902:DUI721001 EEE720902:EEE721001 EOA720902:EOA721001 EXW720902:EXW721001 FHS720902:FHS721001 FRO720902:FRO721001 GBK720902:GBK721001 GLG720902:GLG721001 GVC720902:GVC721001 HEY720902:HEY721001 HOU720902:HOU721001 HYQ720902:HYQ721001 IIM720902:IIM721001 ISI720902:ISI721001 JCE720902:JCE721001 JMA720902:JMA721001 JVW720902:JVW721001 KFS720902:KFS721001 KPO720902:KPO721001 KZK720902:KZK721001 LJG720902:LJG721001 LTC720902:LTC721001 MCY720902:MCY721001 MMU720902:MMU721001 MWQ720902:MWQ721001 NGM720902:NGM721001 NQI720902:NQI721001 OAE720902:OAE721001 OKA720902:OKA721001 OTW720902:OTW721001 PDS720902:PDS721001 PNO720902:PNO721001 PXK720902:PXK721001 QHG720902:QHG721001 QRC720902:QRC721001 RAY720902:RAY721001 RKU720902:RKU721001 RUQ720902:RUQ721001 SEM720902:SEM721001 SOI720902:SOI721001 SYE720902:SYE721001 TIA720902:TIA721001 TRW720902:TRW721001 UBS720902:UBS721001 ULO720902:ULO721001 UVK720902:UVK721001 VFG720902:VFG721001 VPC720902:VPC721001 VYY720902:VYY721001 WIU720902:WIU721001 WSQ720902:WSQ721001 G786438:G786537 GE786438:GE786537 QA786438:QA786537 ZW786438:ZW786537 AJS786438:AJS786537 ATO786438:ATO786537 BDK786438:BDK786537 BNG786438:BNG786537 BXC786438:BXC786537 CGY786438:CGY786537 CQU786438:CQU786537 DAQ786438:DAQ786537 DKM786438:DKM786537 DUI786438:DUI786537 EEE786438:EEE786537 EOA786438:EOA786537 EXW786438:EXW786537 FHS786438:FHS786537 FRO786438:FRO786537 GBK786438:GBK786537 GLG786438:GLG786537 GVC786438:GVC786537 HEY786438:HEY786537 HOU786438:HOU786537 HYQ786438:HYQ786537 IIM786438:IIM786537 ISI786438:ISI786537 JCE786438:JCE786537 JMA786438:JMA786537 JVW786438:JVW786537 KFS786438:KFS786537 KPO786438:KPO786537 KZK786438:KZK786537 LJG786438:LJG786537 LTC786438:LTC786537 MCY786438:MCY786537 MMU786438:MMU786537 MWQ786438:MWQ786537 NGM786438:NGM786537 NQI786438:NQI786537 OAE786438:OAE786537 OKA786438:OKA786537 OTW786438:OTW786537 PDS786438:PDS786537 PNO786438:PNO786537 PXK786438:PXK786537 QHG786438:QHG786537 QRC786438:QRC786537 RAY786438:RAY786537 RKU786438:RKU786537 RUQ786438:RUQ786537 SEM786438:SEM786537 SOI786438:SOI786537 SYE786438:SYE786537 TIA786438:TIA786537 TRW786438:TRW786537 UBS786438:UBS786537 ULO786438:ULO786537 UVK786438:UVK786537 VFG786438:VFG786537 VPC786438:VPC786537 VYY786438:VYY786537 WIU786438:WIU786537 WSQ786438:WSQ786537 G851974:G852073 GE851974:GE852073 QA851974:QA852073 ZW851974:ZW852073 AJS851974:AJS852073 ATO851974:ATO852073 BDK851974:BDK852073 BNG851974:BNG852073 BXC851974:BXC852073 CGY851974:CGY852073 CQU851974:CQU852073 DAQ851974:DAQ852073 DKM851974:DKM852073 DUI851974:DUI852073 EEE851974:EEE852073 EOA851974:EOA852073 EXW851974:EXW852073 FHS851974:FHS852073 FRO851974:FRO852073 GBK851974:GBK852073 GLG851974:GLG852073 GVC851974:GVC852073 HEY851974:HEY852073 HOU851974:HOU852073 HYQ851974:HYQ852073 IIM851974:IIM852073 ISI851974:ISI852073 JCE851974:JCE852073 JMA851974:JMA852073 JVW851974:JVW852073 KFS851974:KFS852073 KPO851974:KPO852073 KZK851974:KZK852073 LJG851974:LJG852073 LTC851974:LTC852073 MCY851974:MCY852073 MMU851974:MMU852073 MWQ851974:MWQ852073 NGM851974:NGM852073 NQI851974:NQI852073 OAE851974:OAE852073 OKA851974:OKA852073 OTW851974:OTW852073 PDS851974:PDS852073 PNO851974:PNO852073 PXK851974:PXK852073 QHG851974:QHG852073 QRC851974:QRC852073 RAY851974:RAY852073 RKU851974:RKU852073 RUQ851974:RUQ852073 SEM851974:SEM852073 SOI851974:SOI852073 SYE851974:SYE852073 TIA851974:TIA852073 TRW851974:TRW852073 UBS851974:UBS852073 ULO851974:ULO852073 UVK851974:UVK852073 VFG851974:VFG852073 VPC851974:VPC852073 VYY851974:VYY852073 WIU851974:WIU852073 WSQ851974:WSQ852073 G917510:G917609 GE917510:GE917609 QA917510:QA917609 ZW917510:ZW917609 AJS917510:AJS917609 ATO917510:ATO917609 BDK917510:BDK917609 BNG917510:BNG917609 BXC917510:BXC917609 CGY917510:CGY917609 CQU917510:CQU917609 DAQ917510:DAQ917609 DKM917510:DKM917609 DUI917510:DUI917609 EEE917510:EEE917609 EOA917510:EOA917609 EXW917510:EXW917609 FHS917510:FHS917609 FRO917510:FRO917609 GBK917510:GBK917609 GLG917510:GLG917609 GVC917510:GVC917609 HEY917510:HEY917609 HOU917510:HOU917609 HYQ917510:HYQ917609 IIM917510:IIM917609 ISI917510:ISI917609 JCE917510:JCE917609 JMA917510:JMA917609 JVW917510:JVW917609 KFS917510:KFS917609 KPO917510:KPO917609 KZK917510:KZK917609 LJG917510:LJG917609 LTC917510:LTC917609 MCY917510:MCY917609 MMU917510:MMU917609 MWQ917510:MWQ917609 NGM917510:NGM917609 NQI917510:NQI917609 OAE917510:OAE917609 OKA917510:OKA917609 OTW917510:OTW917609 PDS917510:PDS917609 PNO917510:PNO917609 PXK917510:PXK917609 QHG917510:QHG917609 QRC917510:QRC917609 RAY917510:RAY917609 RKU917510:RKU917609 RUQ917510:RUQ917609 SEM917510:SEM917609 SOI917510:SOI917609 SYE917510:SYE917609 TIA917510:TIA917609 TRW917510:TRW917609 UBS917510:UBS917609 ULO917510:ULO917609 UVK917510:UVK917609 VFG917510:VFG917609 VPC917510:VPC917609 VYY917510:VYY917609 WIU917510:WIU917609 WSQ917510:WSQ917609 G983046:G983145 GE983046:GE983145 QA983046:QA983145 ZW983046:ZW983145 AJS983046:AJS983145 ATO983046:ATO983145 BDK983046:BDK983145 BNG983046:BNG983145 BXC983046:BXC983145 CGY983046:CGY983145 CQU983046:CQU983145 DAQ983046:DAQ983145 DKM983046:DKM983145 DUI983046:DUI983145 EEE983046:EEE983145 EOA983046:EOA983145 EXW983046:EXW983145 FHS983046:FHS983145 FRO983046:FRO983145 GBK983046:GBK983145 GLG983046:GLG983145 GVC983046:GVC983145 HEY983046:HEY983145 HOU983046:HOU983145 HYQ983046:HYQ983145 IIM983046:IIM983145 ISI983046:ISI983145 JCE983046:JCE983145 JMA983046:JMA983145 JVW983046:JVW983145 KFS983046:KFS983145 KPO983046:KPO983145 KZK983046:KZK983145 LJG983046:LJG983145 LTC983046:LTC983145 MCY983046:MCY983145 MMU983046:MMU983145 MWQ983046:MWQ983145 NGM983046:NGM983145 NQI983046:NQI983145 OAE983046:OAE983145 OKA983046:OKA983145 OTW983046:OTW983145 PDS983046:PDS983145 PNO983046:PNO983145 PXK983046:PXK983145 QHG983046:QHG983145 QRC983046:QRC983145 RAY983046:RAY983145 RKU983046:RKU983145 RUQ983046:RUQ983145 SEM983046:SEM983145 SOI983046:SOI983145 SYE983046:SYE983145 TIA983046:TIA983145 TRW983046:TRW983145 UBS983046:UBS983145 ULO983046:ULO983145 UVK983046:UVK983145 VFG983046:VFG983145 VPC983046:VPC983145 VYY983046:VYY983145 WIU983046:WIU983145 G6:G105">
      <formula1>OFFSET(ListeMatériels,1,MATCH($F5,ListeCatégorie,0)-1,COUNTA(OFFSET(ListeMatériels,,MATCH($F5,ListeCatégorie,0)-1))-1)</formula1>
    </dataValidation>
  </dataValidations>
  <hyperlinks>
    <hyperlink ref="D1:E1" location="notice!A1" display="notice!A1"/>
    <hyperlink ref="A34:B34" location="silos!A1" display="silos!A1"/>
    <hyperlink ref="D107:E107" location="'entrepôts et local phyto'!A1" display="Cliques → ICI ←"/>
  </hyperlinks>
  <pageMargins left="0.78740157499999996" right="0.78740157499999996" top="0.984251969" bottom="0.984251969" header="0.4921259845" footer="0.4921259845"/>
  <pageSetup paperSize="9" orientation="portrait" horizontalDpi="300" verticalDpi="300" r:id="rId1"/>
  <headerFooter alignWithMargins="0"/>
  <ignoredErrors>
    <ignoredError sqref="A34"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BDD!$M$2:$M$3</xm:f>
          </x14:formula1>
          <xm:sqref>C8:C15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313"/>
  <sheetViews>
    <sheetView zoomScaleNormal="100" workbookViewId="0"/>
  </sheetViews>
  <sheetFormatPr baseColWidth="10" defaultRowHeight="12.75" x14ac:dyDescent="0.2"/>
  <cols>
    <col min="1" max="1" width="11.42578125" style="125" customWidth="1"/>
    <col min="2" max="2" width="42" style="125" bestFit="1" customWidth="1"/>
    <col min="3" max="3" width="24.7109375" style="125" customWidth="1"/>
    <col min="4" max="4" width="12.5703125" style="125" customWidth="1"/>
    <col min="5" max="5" width="11.42578125" style="125" customWidth="1"/>
    <col min="6" max="6" width="11.42578125" style="334" customWidth="1"/>
    <col min="7" max="23" width="11.42578125" style="263" customWidth="1"/>
    <col min="24" max="26" width="16.7109375" style="263" customWidth="1"/>
    <col min="27" max="27" width="11.42578125" style="263" customWidth="1"/>
    <col min="28" max="30" width="11.5703125" style="263" customWidth="1"/>
    <col min="31" max="39" width="11.42578125" style="263" customWidth="1"/>
    <col min="40" max="42" width="16.7109375" style="263" customWidth="1"/>
    <col min="43" max="78" width="11.42578125" style="263" customWidth="1"/>
    <col min="79" max="79" width="23" style="263" customWidth="1"/>
    <col min="80" max="93" width="11.42578125" style="263" customWidth="1"/>
    <col min="94" max="97" width="9.140625" style="328" customWidth="1"/>
    <col min="98" max="16384" width="11.42578125" style="125"/>
  </cols>
  <sheetData>
    <row r="1" spans="1:99" ht="12.75" customHeight="1" x14ac:dyDescent="0.2">
      <c r="A1" s="1134"/>
      <c r="B1" s="1502" t="s">
        <v>745</v>
      </c>
      <c r="C1" s="1503"/>
      <c r="D1" s="1684" t="str">
        <f>CliquesIci</f>
        <v>Cliques → ICI ←</v>
      </c>
      <c r="E1" s="1685"/>
      <c r="F1" s="162"/>
      <c r="G1" s="162"/>
      <c r="H1" s="326"/>
      <c r="U1" s="102"/>
      <c r="V1" s="327"/>
      <c r="W1" s="327"/>
      <c r="X1" s="102"/>
      <c r="AD1" s="102"/>
      <c r="AE1" s="102"/>
      <c r="AF1" s="102"/>
      <c r="AG1" s="102"/>
      <c r="AH1" s="102"/>
      <c r="AK1" s="102"/>
      <c r="AN1" s="102"/>
      <c r="AS1" s="102"/>
      <c r="AT1" s="102"/>
      <c r="AU1" s="102"/>
      <c r="AX1" s="102"/>
      <c r="AZ1" s="102"/>
      <c r="BD1" s="102"/>
      <c r="BE1" s="102"/>
      <c r="BF1" s="102"/>
      <c r="BH1" s="102"/>
      <c r="BI1" s="102"/>
      <c r="BR1" s="102"/>
      <c r="CC1" s="102"/>
      <c r="CD1" s="102"/>
      <c r="CF1" s="102"/>
      <c r="CP1" s="263"/>
      <c r="CQ1" s="263"/>
      <c r="CT1" s="328"/>
      <c r="CU1" s="328"/>
    </row>
    <row r="2" spans="1:99" ht="12.75" customHeight="1" thickBot="1" x14ac:dyDescent="0.25">
      <c r="A2" s="147"/>
      <c r="B2" s="80"/>
      <c r="C2" s="80"/>
      <c r="D2" s="80"/>
      <c r="E2" s="80"/>
      <c r="F2" s="80"/>
      <c r="G2" s="80"/>
      <c r="H2" s="329"/>
      <c r="R2" s="330"/>
      <c r="S2" s="330"/>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P2" s="263"/>
      <c r="CQ2" s="263"/>
      <c r="CT2" s="328"/>
      <c r="CU2" s="328"/>
    </row>
    <row r="3" spans="1:99" ht="12.75" customHeight="1" thickBot="1" x14ac:dyDescent="0.25">
      <c r="A3" s="147"/>
      <c r="B3" s="1698" t="s">
        <v>465</v>
      </c>
      <c r="C3" s="1699"/>
      <c r="D3" s="1700"/>
      <c r="E3" s="162"/>
      <c r="F3" s="162"/>
      <c r="G3" s="162"/>
      <c r="H3" s="329"/>
      <c r="R3" s="330"/>
      <c r="S3" s="330"/>
      <c r="U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102"/>
      <c r="BL3" s="102"/>
      <c r="BM3" s="331"/>
      <c r="BN3" s="331"/>
      <c r="BO3" s="102"/>
      <c r="BP3" s="331"/>
      <c r="BQ3" s="331"/>
      <c r="BR3" s="331"/>
      <c r="BS3" s="331"/>
      <c r="BT3" s="331"/>
      <c r="BU3" s="331"/>
      <c r="BW3" s="331"/>
      <c r="BX3" s="331"/>
      <c r="BY3" s="331"/>
      <c r="BZ3" s="331"/>
      <c r="CA3" s="331"/>
      <c r="CP3" s="263"/>
      <c r="CQ3" s="263"/>
      <c r="CT3" s="328"/>
      <c r="CU3" s="328"/>
    </row>
    <row r="4" spans="1:99" ht="12.75" customHeight="1" thickBot="1" x14ac:dyDescent="0.25">
      <c r="A4" s="147"/>
      <c r="B4" s="335" t="s">
        <v>123</v>
      </c>
      <c r="C4" s="61" t="s">
        <v>464</v>
      </c>
      <c r="D4" s="336" t="s">
        <v>1790</v>
      </c>
      <c r="E4" s="336" t="s">
        <v>1791</v>
      </c>
      <c r="F4" s="336" t="s">
        <v>1792</v>
      </c>
      <c r="G4" s="162"/>
      <c r="H4" s="329"/>
      <c r="R4" s="330"/>
      <c r="S4" s="330"/>
      <c r="U4" s="331"/>
      <c r="W4" s="327"/>
      <c r="X4" s="331"/>
      <c r="Y4" s="331"/>
      <c r="Z4" s="331"/>
      <c r="AA4" s="331"/>
      <c r="AB4" s="331"/>
      <c r="AC4" s="331"/>
      <c r="AD4" s="331"/>
      <c r="AE4" s="331"/>
      <c r="AF4" s="331"/>
      <c r="AG4" s="331"/>
      <c r="AH4" s="331"/>
      <c r="AI4" s="102"/>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102"/>
      <c r="BL4" s="102"/>
      <c r="BM4" s="331"/>
      <c r="BN4" s="331"/>
      <c r="BO4" s="102"/>
      <c r="BP4" s="331"/>
      <c r="BQ4" s="331"/>
      <c r="BR4" s="331"/>
      <c r="BS4" s="102"/>
      <c r="BT4" s="331"/>
      <c r="BU4" s="102"/>
      <c r="BW4" s="331"/>
      <c r="BX4" s="331"/>
      <c r="BY4" s="331"/>
      <c r="BZ4" s="331"/>
      <c r="CA4" s="331"/>
      <c r="CM4" s="102"/>
      <c r="CP4" s="263"/>
      <c r="CQ4" s="263"/>
      <c r="CT4" s="328"/>
      <c r="CU4" s="328"/>
    </row>
    <row r="5" spans="1:99" ht="12.75" customHeight="1" x14ac:dyDescent="0.2">
      <c r="A5" s="147"/>
      <c r="B5" s="93" t="s">
        <v>130</v>
      </c>
      <c r="C5" s="337"/>
      <c r="D5" s="338"/>
      <c r="E5" s="338"/>
      <c r="F5" s="338"/>
      <c r="G5" s="106"/>
      <c r="H5" s="329"/>
      <c r="M5" s="50"/>
      <c r="R5" s="330"/>
      <c r="S5" s="330"/>
      <c r="U5" s="331"/>
      <c r="V5" s="102"/>
      <c r="W5" s="331"/>
      <c r="X5" s="331"/>
      <c r="Y5" s="331"/>
      <c r="Z5" s="331"/>
      <c r="AA5" s="331"/>
      <c r="AB5" s="331"/>
      <c r="AC5" s="331"/>
      <c r="AD5" s="331"/>
      <c r="AE5" s="331"/>
      <c r="AF5" s="331"/>
      <c r="AG5" s="331"/>
      <c r="AH5" s="331"/>
      <c r="AI5" s="102"/>
      <c r="AJ5" s="331"/>
      <c r="AK5" s="331"/>
      <c r="AL5" s="331"/>
      <c r="AM5" s="331"/>
      <c r="AN5" s="331"/>
      <c r="AO5" s="331"/>
      <c r="AP5" s="331"/>
      <c r="AQ5" s="331"/>
      <c r="AR5" s="331"/>
      <c r="AT5" s="331"/>
      <c r="AU5" s="331"/>
      <c r="AV5" s="331"/>
      <c r="AW5" s="331"/>
      <c r="AX5" s="331"/>
      <c r="AY5" s="331"/>
      <c r="AZ5" s="331"/>
      <c r="BB5" s="331"/>
      <c r="BC5" s="331"/>
      <c r="BD5" s="331"/>
      <c r="BE5" s="331"/>
      <c r="BF5" s="331"/>
      <c r="BG5" s="331"/>
      <c r="BH5" s="331"/>
      <c r="BI5" s="331"/>
      <c r="BJ5" s="102"/>
      <c r="BK5" s="102"/>
      <c r="BM5" s="331"/>
      <c r="BN5" s="331"/>
      <c r="BO5" s="102"/>
      <c r="BP5" s="331"/>
      <c r="BQ5" s="331"/>
      <c r="BR5" s="331"/>
      <c r="BS5" s="102"/>
      <c r="BW5" s="332"/>
      <c r="BY5" s="331"/>
      <c r="BZ5" s="331"/>
      <c r="CA5" s="331"/>
      <c r="CL5" s="102"/>
      <c r="CM5" s="102"/>
      <c r="CP5" s="263"/>
      <c r="CQ5" s="263"/>
      <c r="CT5" s="328"/>
      <c r="CU5" s="328"/>
    </row>
    <row r="6" spans="1:99" ht="12.75" customHeight="1" x14ac:dyDescent="0.2">
      <c r="A6" s="147"/>
      <c r="B6" s="94" t="s">
        <v>463</v>
      </c>
      <c r="C6" s="339"/>
      <c r="D6" s="340"/>
      <c r="E6" s="340"/>
      <c r="F6" s="340"/>
      <c r="G6" s="106"/>
      <c r="H6" s="329"/>
      <c r="M6" s="50"/>
      <c r="R6" s="330"/>
      <c r="S6" s="330"/>
      <c r="U6" s="331"/>
      <c r="V6" s="102"/>
      <c r="W6" s="102"/>
      <c r="X6" s="331"/>
      <c r="Y6" s="331"/>
      <c r="Z6" s="331"/>
      <c r="AA6" s="331"/>
      <c r="AB6" s="331"/>
      <c r="AC6" s="331"/>
      <c r="AD6" s="331"/>
      <c r="AE6" s="331"/>
      <c r="AF6" s="331"/>
      <c r="AG6" s="331"/>
      <c r="AH6" s="331"/>
      <c r="AI6" s="102"/>
      <c r="AJ6" s="331"/>
      <c r="AK6" s="331"/>
      <c r="AL6" s="331"/>
      <c r="AM6" s="331"/>
      <c r="AN6" s="331"/>
      <c r="AO6" s="331"/>
      <c r="AP6" s="331"/>
      <c r="AQ6" s="331"/>
      <c r="AR6" s="331"/>
      <c r="AT6" s="331"/>
      <c r="AU6" s="331"/>
      <c r="AV6" s="331"/>
      <c r="AW6" s="331"/>
      <c r="AX6" s="331"/>
      <c r="AY6" s="331"/>
      <c r="AZ6" s="331"/>
      <c r="BB6" s="331"/>
      <c r="BC6" s="331"/>
      <c r="BD6" s="331"/>
      <c r="BE6" s="331"/>
      <c r="BF6" s="331"/>
      <c r="BG6" s="331"/>
      <c r="BH6" s="331"/>
      <c r="BI6" s="331"/>
      <c r="BJ6" s="102"/>
      <c r="BK6" s="102"/>
      <c r="BM6" s="331"/>
      <c r="BN6" s="331"/>
      <c r="BO6" s="102"/>
      <c r="BP6" s="331"/>
      <c r="BQ6" s="331"/>
      <c r="BR6" s="331"/>
      <c r="BS6" s="102"/>
      <c r="BY6" s="331"/>
      <c r="BZ6" s="331"/>
      <c r="CA6" s="331"/>
      <c r="CD6" s="333"/>
      <c r="CI6" s="102"/>
      <c r="CL6" s="102"/>
      <c r="CM6" s="102"/>
      <c r="CO6" s="102"/>
      <c r="CP6" s="263"/>
      <c r="CQ6" s="263"/>
      <c r="CT6" s="328"/>
      <c r="CU6" s="328"/>
    </row>
    <row r="7" spans="1:99" ht="12.75" customHeight="1" x14ac:dyDescent="0.2">
      <c r="A7" s="147"/>
      <c r="B7" s="203" t="s">
        <v>1318</v>
      </c>
      <c r="C7" s="339"/>
      <c r="D7" s="340"/>
      <c r="E7" s="340"/>
      <c r="F7" s="340"/>
      <c r="G7" s="106"/>
      <c r="H7" s="329"/>
      <c r="M7" s="50"/>
      <c r="R7" s="330"/>
      <c r="S7" s="330"/>
      <c r="U7" s="331"/>
      <c r="V7" s="102"/>
      <c r="W7" s="102"/>
      <c r="X7" s="331"/>
      <c r="Y7" s="331"/>
      <c r="Z7" s="331"/>
      <c r="AA7" s="331"/>
      <c r="AB7" s="331"/>
      <c r="AC7" s="331"/>
      <c r="AD7" s="331"/>
      <c r="AE7" s="331"/>
      <c r="AF7" s="331"/>
      <c r="AG7" s="331"/>
      <c r="AH7" s="331"/>
      <c r="AI7" s="102"/>
      <c r="AJ7" s="331"/>
      <c r="AK7" s="331"/>
      <c r="AL7" s="331"/>
      <c r="AM7" s="331"/>
      <c r="AN7" s="331"/>
      <c r="AO7" s="331"/>
      <c r="AP7" s="331"/>
      <c r="AQ7" s="331"/>
      <c r="AR7" s="331"/>
      <c r="AT7" s="331"/>
      <c r="AU7" s="331"/>
      <c r="AW7" s="331"/>
      <c r="AX7" s="331"/>
      <c r="AY7" s="331"/>
      <c r="AZ7" s="331"/>
      <c r="BC7" s="331"/>
      <c r="BD7" s="331"/>
      <c r="BE7" s="331"/>
      <c r="BF7" s="331"/>
      <c r="BG7" s="331"/>
      <c r="BH7" s="331"/>
      <c r="BI7" s="102"/>
      <c r="BJ7" s="102"/>
      <c r="BM7" s="331"/>
      <c r="BN7" s="331"/>
      <c r="BO7" s="102"/>
      <c r="BP7" s="331"/>
      <c r="BQ7" s="331"/>
      <c r="BR7" s="331"/>
      <c r="BS7" s="102"/>
      <c r="BY7" s="331"/>
      <c r="BZ7" s="331"/>
      <c r="CA7" s="331"/>
      <c r="CI7" s="102"/>
      <c r="CL7" s="102"/>
      <c r="CP7" s="263"/>
      <c r="CQ7" s="263"/>
      <c r="CT7" s="328"/>
      <c r="CU7" s="328"/>
    </row>
    <row r="8" spans="1:99" ht="12.75" customHeight="1" x14ac:dyDescent="0.2">
      <c r="A8" s="147"/>
      <c r="B8" s="94" t="s">
        <v>17</v>
      </c>
      <c r="C8" s="339"/>
      <c r="D8" s="340"/>
      <c r="E8" s="340"/>
      <c r="F8" s="340"/>
      <c r="G8" s="106"/>
      <c r="H8" s="329"/>
      <c r="M8" s="50"/>
      <c r="R8" s="330"/>
      <c r="S8" s="330"/>
      <c r="U8" s="331"/>
      <c r="V8" s="102"/>
      <c r="W8" s="102"/>
      <c r="X8" s="331"/>
      <c r="Y8" s="331"/>
      <c r="Z8" s="331"/>
      <c r="AA8" s="331"/>
      <c r="AB8" s="331"/>
      <c r="AC8" s="331"/>
      <c r="AD8" s="331"/>
      <c r="AE8" s="331"/>
      <c r="AF8" s="331"/>
      <c r="AG8" s="102"/>
      <c r="AH8" s="102"/>
      <c r="AI8" s="102"/>
      <c r="AJ8" s="331"/>
      <c r="AK8" s="331"/>
      <c r="AL8" s="331"/>
      <c r="AM8" s="331"/>
      <c r="AN8" s="331"/>
      <c r="AO8" s="331"/>
      <c r="AP8" s="331"/>
      <c r="AQ8" s="331"/>
      <c r="AR8" s="331"/>
      <c r="AT8" s="331"/>
      <c r="AU8" s="331"/>
      <c r="AW8" s="331"/>
      <c r="AX8" s="331"/>
      <c r="AY8" s="331"/>
      <c r="AZ8" s="331"/>
      <c r="BB8" s="331"/>
      <c r="BC8" s="331"/>
      <c r="BD8" s="331"/>
      <c r="BE8" s="331"/>
      <c r="BF8" s="331"/>
      <c r="BG8" s="331"/>
      <c r="BH8" s="331"/>
      <c r="BI8" s="102"/>
      <c r="BM8" s="331"/>
      <c r="BN8" s="331"/>
      <c r="BR8" s="331"/>
      <c r="BS8" s="102"/>
      <c r="BY8" s="331"/>
      <c r="BZ8" s="331"/>
      <c r="CA8" s="331"/>
      <c r="CI8" s="102"/>
      <c r="CL8" s="102"/>
      <c r="CP8" s="263"/>
      <c r="CQ8" s="263"/>
      <c r="CT8" s="328"/>
      <c r="CU8" s="328"/>
    </row>
    <row r="9" spans="1:99" ht="12.75" customHeight="1" x14ac:dyDescent="0.2">
      <c r="A9" s="147"/>
      <c r="B9" s="203" t="s">
        <v>1365</v>
      </c>
      <c r="C9" s="339"/>
      <c r="D9" s="340"/>
      <c r="E9" s="340"/>
      <c r="F9" s="340"/>
      <c r="G9" s="106"/>
      <c r="H9" s="329"/>
      <c r="R9" s="330"/>
      <c r="S9" s="330"/>
      <c r="U9" s="331"/>
      <c r="W9" s="102"/>
      <c r="X9" s="331"/>
      <c r="Y9" s="331"/>
      <c r="Z9" s="331"/>
      <c r="AA9" s="331"/>
      <c r="AB9" s="331"/>
      <c r="AC9" s="331"/>
      <c r="AD9" s="331"/>
      <c r="AE9" s="331"/>
      <c r="AF9" s="331"/>
      <c r="AG9" s="102"/>
      <c r="AH9" s="102"/>
      <c r="AJ9" s="331"/>
      <c r="AK9" s="331"/>
      <c r="AL9" s="331"/>
      <c r="AM9" s="331"/>
      <c r="AN9" s="331"/>
      <c r="AO9" s="331"/>
      <c r="AP9" s="331"/>
      <c r="AQ9" s="331"/>
      <c r="AR9" s="331"/>
      <c r="AT9" s="331"/>
      <c r="AU9" s="331"/>
      <c r="AW9" s="331"/>
      <c r="AX9" s="331"/>
      <c r="AY9" s="331"/>
      <c r="AZ9" s="331"/>
      <c r="BB9" s="331"/>
      <c r="BC9" s="331"/>
      <c r="BD9" s="331"/>
      <c r="BE9" s="331"/>
      <c r="BF9" s="331"/>
      <c r="BG9" s="331"/>
      <c r="BH9" s="331"/>
      <c r="BI9" s="102"/>
      <c r="BM9" s="331"/>
      <c r="BN9" s="331"/>
      <c r="BR9" s="331"/>
      <c r="BS9" s="102"/>
      <c r="CI9" s="102"/>
      <c r="CK9" s="102"/>
      <c r="CL9" s="102"/>
      <c r="CP9" s="263"/>
      <c r="CQ9" s="263"/>
      <c r="CT9" s="328"/>
      <c r="CU9" s="328"/>
    </row>
    <row r="10" spans="1:99" ht="12.75" customHeight="1" x14ac:dyDescent="0.2">
      <c r="A10" s="147"/>
      <c r="B10" s="94" t="s">
        <v>1319</v>
      </c>
      <c r="C10" s="339"/>
      <c r="D10" s="340"/>
      <c r="E10" s="340"/>
      <c r="F10" s="340"/>
      <c r="G10" s="106"/>
      <c r="H10" s="329"/>
      <c r="M10" s="50"/>
      <c r="R10" s="330"/>
      <c r="S10" s="330"/>
      <c r="U10" s="331"/>
      <c r="X10" s="331"/>
      <c r="Y10" s="331"/>
      <c r="Z10" s="331"/>
      <c r="AA10" s="331"/>
      <c r="AB10" s="331"/>
      <c r="AC10" s="331"/>
      <c r="AD10" s="331"/>
      <c r="AE10" s="331"/>
      <c r="AF10" s="331"/>
      <c r="AG10" s="102"/>
      <c r="AH10" s="102"/>
      <c r="AJ10" s="331"/>
      <c r="AK10" s="331"/>
      <c r="AL10" s="331"/>
      <c r="AM10" s="331"/>
      <c r="AN10" s="331"/>
      <c r="AO10" s="331"/>
      <c r="AQ10" s="331"/>
      <c r="AR10" s="331"/>
      <c r="AT10" s="331"/>
      <c r="AU10" s="331"/>
      <c r="AW10" s="331"/>
      <c r="AX10" s="331"/>
      <c r="AY10" s="331"/>
      <c r="AZ10" s="331"/>
      <c r="BB10" s="331"/>
      <c r="BC10" s="331"/>
      <c r="BD10" s="331"/>
      <c r="BE10" s="331"/>
      <c r="BF10" s="331"/>
      <c r="BG10" s="331"/>
      <c r="BH10" s="331"/>
      <c r="BI10" s="102"/>
      <c r="BN10" s="331"/>
      <c r="BQ10" s="331"/>
      <c r="BR10" s="331"/>
      <c r="BZ10" s="331"/>
      <c r="CI10" s="102"/>
      <c r="CK10" s="102"/>
      <c r="CL10" s="102"/>
      <c r="CP10" s="263"/>
      <c r="CQ10" s="263"/>
      <c r="CT10" s="328"/>
      <c r="CU10" s="328"/>
    </row>
    <row r="11" spans="1:99" ht="12.75" customHeight="1" x14ac:dyDescent="0.2">
      <c r="A11" s="147"/>
      <c r="B11" s="203" t="s">
        <v>1325</v>
      </c>
      <c r="C11" s="339"/>
      <c r="D11" s="340"/>
      <c r="E11" s="340"/>
      <c r="F11" s="340"/>
      <c r="G11" s="106"/>
      <c r="H11" s="329"/>
      <c r="M11" s="50"/>
      <c r="R11" s="330"/>
      <c r="S11" s="330"/>
      <c r="U11" s="331"/>
      <c r="X11" s="331"/>
      <c r="Y11" s="331"/>
      <c r="Z11" s="331"/>
      <c r="AA11" s="331"/>
      <c r="AB11" s="331"/>
      <c r="AC11" s="331"/>
      <c r="AD11" s="331"/>
      <c r="AE11" s="331"/>
      <c r="AF11" s="331"/>
      <c r="AG11" s="102"/>
      <c r="AH11" s="102"/>
      <c r="AJ11" s="331"/>
      <c r="AK11" s="331"/>
      <c r="AL11" s="331"/>
      <c r="AM11" s="331"/>
      <c r="AN11" s="331"/>
      <c r="AO11" s="331"/>
      <c r="AT11" s="331"/>
      <c r="AU11" s="331"/>
      <c r="AW11" s="331"/>
      <c r="AX11" s="331"/>
      <c r="AY11" s="331"/>
      <c r="AZ11" s="331"/>
      <c r="BB11" s="331"/>
      <c r="BC11" s="331"/>
      <c r="BD11" s="331"/>
      <c r="BE11" s="331"/>
      <c r="BF11" s="331"/>
      <c r="BG11" s="102"/>
      <c r="BH11" s="331"/>
      <c r="BI11" s="102"/>
      <c r="BN11" s="331"/>
      <c r="BR11" s="102"/>
      <c r="BZ11" s="331"/>
      <c r="CI11" s="102"/>
      <c r="CP11" s="263"/>
      <c r="CQ11" s="263"/>
      <c r="CT11" s="328"/>
      <c r="CU11" s="328"/>
    </row>
    <row r="12" spans="1:99" ht="12.75" customHeight="1" x14ac:dyDescent="0.2">
      <c r="A12" s="147"/>
      <c r="B12" s="94" t="s">
        <v>129</v>
      </c>
      <c r="C12" s="339"/>
      <c r="D12" s="340"/>
      <c r="E12" s="340"/>
      <c r="F12" s="340"/>
      <c r="G12" s="106"/>
      <c r="H12" s="329"/>
      <c r="M12" s="50"/>
      <c r="R12" s="330"/>
      <c r="S12" s="330"/>
      <c r="U12" s="331"/>
      <c r="X12" s="331"/>
      <c r="Y12" s="331"/>
      <c r="Z12" s="331"/>
      <c r="AA12" s="331"/>
      <c r="AB12" s="331"/>
      <c r="AC12" s="331"/>
      <c r="AD12" s="331"/>
      <c r="AE12" s="331"/>
      <c r="AF12" s="331"/>
      <c r="AJ12" s="331"/>
      <c r="AK12" s="331"/>
      <c r="AL12" s="331"/>
      <c r="AM12" s="331"/>
      <c r="AN12" s="331"/>
      <c r="AO12" s="331"/>
      <c r="AT12" s="102"/>
      <c r="AU12" s="331"/>
      <c r="AW12" s="331"/>
      <c r="AX12" s="331"/>
      <c r="AY12" s="331"/>
      <c r="AZ12" s="331"/>
      <c r="BA12" s="102"/>
      <c r="BB12" s="331"/>
      <c r="BC12" s="102"/>
      <c r="BD12" s="331"/>
      <c r="BE12" s="331"/>
      <c r="BF12" s="331"/>
      <c r="BG12" s="102"/>
      <c r="BH12" s="331"/>
      <c r="BI12" s="102"/>
      <c r="BN12" s="331"/>
      <c r="BR12" s="102"/>
      <c r="CI12" s="102"/>
      <c r="CP12" s="263"/>
      <c r="CQ12" s="263"/>
      <c r="CT12" s="328"/>
      <c r="CU12" s="328"/>
    </row>
    <row r="13" spans="1:99" ht="12.75" customHeight="1" x14ac:dyDescent="0.2">
      <c r="A13" s="147"/>
      <c r="B13" s="186" t="s">
        <v>1320</v>
      </c>
      <c r="C13" s="339"/>
      <c r="D13" s="340"/>
      <c r="E13" s="340"/>
      <c r="F13" s="340"/>
      <c r="G13" s="106"/>
      <c r="H13" s="329"/>
      <c r="I13" s="334"/>
      <c r="J13" s="334"/>
      <c r="K13" s="334"/>
      <c r="L13" s="334"/>
      <c r="M13" s="50"/>
      <c r="R13" s="330"/>
      <c r="S13" s="330"/>
      <c r="U13" s="331"/>
      <c r="X13" s="331"/>
      <c r="Y13" s="331"/>
      <c r="Z13" s="331"/>
      <c r="AA13" s="331"/>
      <c r="AB13" s="331"/>
      <c r="AC13" s="331"/>
      <c r="AD13" s="331"/>
      <c r="AE13" s="331"/>
      <c r="AF13" s="331"/>
      <c r="AJ13" s="331"/>
      <c r="AK13" s="331"/>
      <c r="AM13" s="331"/>
      <c r="AN13" s="331"/>
      <c r="AO13" s="331"/>
      <c r="AQ13" s="331"/>
      <c r="AR13" s="331"/>
      <c r="AU13" s="331"/>
      <c r="AW13" s="102"/>
      <c r="AX13" s="331"/>
      <c r="AY13" s="331"/>
      <c r="AZ13" s="331"/>
      <c r="BA13" s="102"/>
      <c r="BB13" s="102"/>
      <c r="BC13" s="102"/>
      <c r="BD13" s="331"/>
      <c r="BE13" s="331"/>
      <c r="BF13" s="331"/>
      <c r="BG13" s="102"/>
      <c r="BN13" s="331"/>
      <c r="CI13" s="102"/>
      <c r="CP13" s="263"/>
      <c r="CQ13" s="263"/>
      <c r="CT13" s="328"/>
      <c r="CU13" s="328"/>
    </row>
    <row r="14" spans="1:99" ht="12.75" customHeight="1" x14ac:dyDescent="0.2">
      <c r="A14" s="147"/>
      <c r="B14" s="94" t="s">
        <v>128</v>
      </c>
      <c r="C14" s="339"/>
      <c r="D14" s="340"/>
      <c r="E14" s="340"/>
      <c r="F14" s="340"/>
      <c r="G14" s="106"/>
      <c r="H14" s="329"/>
      <c r="I14" s="334"/>
      <c r="J14" s="334"/>
      <c r="K14" s="334"/>
      <c r="L14" s="334"/>
      <c r="M14" s="50"/>
      <c r="R14" s="330"/>
      <c r="S14" s="330"/>
      <c r="U14" s="331"/>
      <c r="X14" s="331"/>
      <c r="Y14" s="331"/>
      <c r="Z14" s="331"/>
      <c r="AA14" s="331"/>
      <c r="AB14" s="331"/>
      <c r="AC14" s="331"/>
      <c r="AD14" s="331"/>
      <c r="AE14" s="331"/>
      <c r="AF14" s="331"/>
      <c r="AJ14" s="331"/>
      <c r="AK14" s="331"/>
      <c r="AM14" s="331"/>
      <c r="AN14" s="331"/>
      <c r="AO14" s="331"/>
      <c r="AQ14" s="331"/>
      <c r="AR14" s="331"/>
      <c r="AU14" s="331"/>
      <c r="AW14" s="102"/>
      <c r="AX14" s="331"/>
      <c r="AY14" s="331"/>
      <c r="AZ14" s="331"/>
      <c r="BA14" s="102"/>
      <c r="BB14" s="102"/>
      <c r="BC14" s="102"/>
      <c r="BD14" s="331"/>
      <c r="BE14" s="331"/>
      <c r="BF14" s="331"/>
      <c r="BN14" s="331"/>
      <c r="CF14" s="102"/>
      <c r="CP14" s="263"/>
      <c r="CQ14" s="263"/>
      <c r="CT14" s="328"/>
      <c r="CU14" s="328"/>
    </row>
    <row r="15" spans="1:99" ht="12.75" customHeight="1" x14ac:dyDescent="0.2">
      <c r="A15" s="147"/>
      <c r="B15" s="186" t="s">
        <v>460</v>
      </c>
      <c r="C15" s="339"/>
      <c r="D15" s="340"/>
      <c r="E15" s="340"/>
      <c r="F15" s="340"/>
      <c r="G15" s="162"/>
      <c r="H15" s="329"/>
      <c r="I15" s="334"/>
      <c r="J15" s="334"/>
      <c r="K15" s="334"/>
      <c r="L15" s="334"/>
      <c r="M15" s="50"/>
      <c r="R15" s="330"/>
      <c r="S15" s="330"/>
      <c r="U15" s="331"/>
      <c r="X15" s="331"/>
      <c r="Y15" s="331"/>
      <c r="Z15" s="331"/>
      <c r="AA15" s="331"/>
      <c r="AB15" s="331"/>
      <c r="AC15" s="331"/>
      <c r="AD15" s="331"/>
      <c r="AE15" s="331"/>
      <c r="AF15" s="331"/>
      <c r="AJ15" s="331"/>
      <c r="AK15" s="331"/>
      <c r="AM15" s="331"/>
      <c r="AN15" s="331"/>
      <c r="AO15" s="102"/>
      <c r="AQ15" s="331"/>
      <c r="AR15" s="331"/>
      <c r="AU15" s="331"/>
      <c r="AW15" s="331"/>
      <c r="AX15" s="331"/>
      <c r="AY15" s="331"/>
      <c r="AZ15" s="331"/>
      <c r="BA15" s="102"/>
      <c r="BB15" s="102"/>
      <c r="BD15" s="331"/>
      <c r="BE15" s="102"/>
      <c r="BF15" s="331"/>
      <c r="CF15" s="102"/>
      <c r="CG15" s="102"/>
      <c r="CH15" s="102"/>
      <c r="CP15" s="263"/>
      <c r="CQ15" s="263"/>
      <c r="CT15" s="328"/>
      <c r="CU15" s="328"/>
    </row>
    <row r="16" spans="1:99" ht="12.75" customHeight="1" x14ac:dyDescent="0.2">
      <c r="A16" s="147"/>
      <c r="B16" s="94" t="s">
        <v>1321</v>
      </c>
      <c r="C16" s="339"/>
      <c r="D16" s="340"/>
      <c r="E16" s="340"/>
      <c r="F16" s="340"/>
      <c r="G16" s="162"/>
      <c r="H16" s="329"/>
      <c r="I16" s="334"/>
      <c r="J16" s="334"/>
      <c r="K16" s="334"/>
      <c r="L16" s="334"/>
      <c r="M16" s="50"/>
      <c r="R16" s="330"/>
      <c r="S16" s="330"/>
      <c r="U16" s="331"/>
      <c r="X16" s="331"/>
      <c r="Y16" s="331"/>
      <c r="Z16" s="331"/>
      <c r="AA16" s="331"/>
      <c r="AB16" s="331"/>
      <c r="AC16" s="331"/>
      <c r="AD16" s="331"/>
      <c r="AE16" s="331"/>
      <c r="AF16" s="331"/>
      <c r="AJ16" s="331"/>
      <c r="AK16" s="331"/>
      <c r="AM16" s="331"/>
      <c r="AN16" s="331"/>
      <c r="AO16" s="102"/>
      <c r="AQ16" s="331"/>
      <c r="AR16" s="331"/>
      <c r="AU16" s="331"/>
      <c r="AW16" s="331"/>
      <c r="AX16" s="331"/>
      <c r="AY16" s="331"/>
      <c r="AZ16" s="331"/>
      <c r="BA16" s="102"/>
      <c r="BB16" s="102"/>
      <c r="BD16" s="331"/>
      <c r="BE16" s="102"/>
      <c r="BF16" s="331"/>
      <c r="CF16" s="102"/>
      <c r="CG16" s="102"/>
      <c r="CH16" s="102"/>
      <c r="CP16" s="263"/>
      <c r="CQ16" s="263"/>
      <c r="CT16" s="328"/>
      <c r="CU16" s="328"/>
    </row>
    <row r="17" spans="1:99" ht="12.75" customHeight="1" x14ac:dyDescent="0.2">
      <c r="A17" s="147"/>
      <c r="B17" s="186" t="s">
        <v>461</v>
      </c>
      <c r="C17" s="339"/>
      <c r="D17" s="340"/>
      <c r="E17" s="340"/>
      <c r="F17" s="340"/>
      <c r="G17" s="162"/>
      <c r="H17" s="329"/>
      <c r="I17" s="334"/>
      <c r="J17" s="334"/>
      <c r="K17" s="334"/>
      <c r="L17" s="334"/>
      <c r="M17" s="50"/>
      <c r="R17" s="330"/>
      <c r="S17" s="330"/>
      <c r="U17" s="331"/>
      <c r="X17" s="331"/>
      <c r="Y17" s="331"/>
      <c r="Z17" s="331"/>
      <c r="AA17" s="331"/>
      <c r="AB17" s="331"/>
      <c r="AC17" s="331"/>
      <c r="AD17" s="331"/>
      <c r="AE17" s="331"/>
      <c r="AF17" s="331"/>
      <c r="AJ17" s="331"/>
      <c r="AK17" s="331"/>
      <c r="AM17" s="331"/>
      <c r="AN17" s="331"/>
      <c r="AQ17" s="331"/>
      <c r="AR17" s="331"/>
      <c r="AU17" s="331"/>
      <c r="AV17" s="331"/>
      <c r="AW17" s="331"/>
      <c r="AX17" s="331"/>
      <c r="AY17" s="331"/>
      <c r="AZ17" s="331"/>
      <c r="BA17" s="102"/>
      <c r="BB17" s="102"/>
      <c r="BD17" s="331"/>
      <c r="BE17" s="102"/>
      <c r="BF17" s="331"/>
      <c r="CF17" s="102"/>
      <c r="CG17" s="102"/>
      <c r="CH17" s="102"/>
      <c r="CP17" s="263"/>
      <c r="CQ17" s="263"/>
      <c r="CT17" s="328"/>
      <c r="CU17" s="328"/>
    </row>
    <row r="18" spans="1:99" ht="12.75" customHeight="1" x14ac:dyDescent="0.2">
      <c r="A18" s="147"/>
      <c r="B18" s="94" t="s">
        <v>125</v>
      </c>
      <c r="C18" s="339"/>
      <c r="D18" s="340"/>
      <c r="E18" s="340"/>
      <c r="F18" s="340"/>
      <c r="G18" s="162"/>
      <c r="H18" s="329"/>
      <c r="I18" s="334"/>
      <c r="J18" s="334"/>
      <c r="K18" s="334"/>
      <c r="L18" s="334"/>
      <c r="M18" s="50"/>
      <c r="R18" s="330"/>
      <c r="S18" s="330"/>
      <c r="U18" s="331"/>
      <c r="X18" s="331"/>
      <c r="Y18" s="331"/>
      <c r="Z18" s="331"/>
      <c r="AA18" s="331"/>
      <c r="AB18" s="331"/>
      <c r="AC18" s="331"/>
      <c r="AD18" s="331"/>
      <c r="AE18" s="331"/>
      <c r="AF18" s="331"/>
      <c r="AJ18" s="331"/>
      <c r="AK18" s="331"/>
      <c r="AM18" s="331"/>
      <c r="AN18" s="331"/>
      <c r="AQ18" s="331"/>
      <c r="AR18" s="331"/>
      <c r="AV18" s="331"/>
      <c r="AW18" s="331"/>
      <c r="AX18" s="331"/>
      <c r="AY18" s="331"/>
      <c r="AZ18" s="331"/>
      <c r="BB18" s="102"/>
      <c r="BD18" s="331"/>
      <c r="BE18" s="102"/>
      <c r="BF18" s="331"/>
      <c r="CF18" s="102"/>
      <c r="CG18" s="102"/>
      <c r="CH18" s="102"/>
      <c r="CP18" s="263"/>
      <c r="CQ18" s="263"/>
      <c r="CT18" s="328"/>
      <c r="CU18" s="328"/>
    </row>
    <row r="19" spans="1:99" ht="12.75" customHeight="1" x14ac:dyDescent="0.2">
      <c r="A19" s="147"/>
      <c r="B19" s="186" t="s">
        <v>126</v>
      </c>
      <c r="C19" s="339"/>
      <c r="D19" s="340"/>
      <c r="E19" s="340"/>
      <c r="F19" s="340"/>
      <c r="G19" s="162"/>
      <c r="H19" s="329"/>
      <c r="I19" s="334"/>
      <c r="J19" s="334"/>
      <c r="K19" s="334"/>
      <c r="L19" s="334"/>
      <c r="M19" s="50"/>
      <c r="R19" s="330"/>
      <c r="S19" s="330"/>
      <c r="U19" s="331"/>
      <c r="X19" s="331"/>
      <c r="Y19" s="331"/>
      <c r="Z19" s="331"/>
      <c r="AA19" s="331"/>
      <c r="AB19" s="331"/>
      <c r="AC19" s="331"/>
      <c r="AD19" s="331"/>
      <c r="AE19" s="331"/>
      <c r="AF19" s="331"/>
      <c r="AJ19" s="331"/>
      <c r="AK19" s="331"/>
      <c r="AM19" s="331"/>
      <c r="AN19" s="331"/>
      <c r="AV19" s="331"/>
      <c r="AW19" s="331"/>
      <c r="AX19" s="331"/>
      <c r="AY19" s="331"/>
      <c r="AZ19" s="102"/>
      <c r="BD19" s="331"/>
      <c r="BE19" s="102"/>
      <c r="BF19" s="331"/>
      <c r="CG19" s="102"/>
      <c r="CH19" s="102"/>
      <c r="CP19" s="263"/>
      <c r="CQ19" s="263"/>
      <c r="CT19" s="328"/>
      <c r="CU19" s="328"/>
    </row>
    <row r="20" spans="1:99" ht="12.75" customHeight="1" x14ac:dyDescent="0.2">
      <c r="A20" s="147"/>
      <c r="B20" s="94" t="s">
        <v>1322</v>
      </c>
      <c r="C20" s="339"/>
      <c r="D20" s="340"/>
      <c r="E20" s="340"/>
      <c r="F20" s="340"/>
      <c r="G20" s="162"/>
      <c r="H20" s="329"/>
      <c r="I20" s="334"/>
      <c r="J20" s="334"/>
      <c r="K20" s="334"/>
      <c r="L20" s="334"/>
      <c r="M20" s="50"/>
      <c r="R20" s="330"/>
      <c r="S20" s="330"/>
      <c r="U20" s="331"/>
      <c r="X20" s="331"/>
      <c r="Y20" s="331"/>
      <c r="Z20" s="331"/>
      <c r="AA20" s="331"/>
      <c r="AB20" s="331"/>
      <c r="AC20" s="331"/>
      <c r="AD20" s="102"/>
      <c r="AE20" s="331"/>
      <c r="AF20" s="331"/>
      <c r="AJ20" s="331"/>
      <c r="AK20" s="331"/>
      <c r="AM20" s="331"/>
      <c r="AN20" s="331"/>
      <c r="AV20" s="331"/>
      <c r="AW20" s="331"/>
      <c r="AX20" s="331"/>
      <c r="AY20" s="331"/>
      <c r="AZ20" s="102"/>
      <c r="BD20" s="331"/>
      <c r="BE20" s="102"/>
      <c r="BF20" s="331"/>
      <c r="CP20" s="263"/>
      <c r="CQ20" s="263"/>
      <c r="CT20" s="328"/>
      <c r="CU20" s="328"/>
    </row>
    <row r="21" spans="1:99" ht="12.75" customHeight="1" x14ac:dyDescent="0.2">
      <c r="A21" s="147"/>
      <c r="B21" s="343" t="s">
        <v>1326</v>
      </c>
      <c r="C21" s="339"/>
      <c r="D21" s="340"/>
      <c r="E21" s="340"/>
      <c r="F21" s="340"/>
      <c r="G21" s="162"/>
      <c r="H21" s="329"/>
      <c r="I21" s="334"/>
      <c r="J21" s="334"/>
      <c r="K21" s="334"/>
      <c r="L21" s="334"/>
      <c r="M21" s="50"/>
      <c r="R21" s="330"/>
      <c r="S21" s="330"/>
      <c r="U21" s="331"/>
      <c r="X21" s="331"/>
      <c r="Y21" s="331"/>
      <c r="Z21" s="331"/>
      <c r="AB21" s="331"/>
      <c r="AC21" s="331"/>
      <c r="AE21" s="102"/>
      <c r="AF21" s="102"/>
      <c r="AJ21" s="331"/>
      <c r="AK21" s="331"/>
      <c r="AM21" s="331"/>
      <c r="AN21" s="331"/>
      <c r="AQ21" s="331"/>
      <c r="AR21" s="331"/>
      <c r="AV21" s="331"/>
      <c r="AW21" s="331"/>
      <c r="AY21" s="331"/>
      <c r="AZ21" s="102"/>
      <c r="BD21" s="331"/>
      <c r="BE21" s="102"/>
      <c r="BF21" s="331"/>
      <c r="CD21" s="102"/>
      <c r="CP21" s="263"/>
      <c r="CQ21" s="263"/>
      <c r="CT21" s="328"/>
      <c r="CU21" s="328"/>
    </row>
    <row r="22" spans="1:99" ht="12.75" customHeight="1" x14ac:dyDescent="0.2">
      <c r="A22" s="147"/>
      <c r="B22" s="94" t="s">
        <v>127</v>
      </c>
      <c r="C22" s="339"/>
      <c r="D22" s="340"/>
      <c r="E22" s="340"/>
      <c r="F22" s="340"/>
      <c r="G22" s="162"/>
      <c r="H22" s="329"/>
      <c r="I22" s="334"/>
      <c r="J22" s="334"/>
      <c r="K22" s="334"/>
      <c r="L22" s="334"/>
      <c r="R22" s="330"/>
      <c r="S22" s="330"/>
      <c r="U22" s="331"/>
      <c r="X22" s="331"/>
      <c r="Y22" s="331"/>
      <c r="Z22" s="331"/>
      <c r="AB22" s="331"/>
      <c r="AC22" s="331"/>
      <c r="AE22" s="102"/>
      <c r="AF22" s="102"/>
      <c r="AJ22" s="331"/>
      <c r="AK22" s="331"/>
      <c r="AM22" s="331"/>
      <c r="AN22" s="331"/>
      <c r="AQ22" s="331"/>
      <c r="AR22" s="331"/>
      <c r="AV22" s="331"/>
      <c r="AW22" s="331"/>
      <c r="AZ22" s="102"/>
      <c r="BD22" s="331"/>
      <c r="BE22" s="102"/>
      <c r="BF22" s="331"/>
      <c r="CD22" s="102"/>
      <c r="CE22" s="102"/>
      <c r="CP22" s="263"/>
      <c r="CQ22" s="263"/>
      <c r="CT22" s="328"/>
      <c r="CU22" s="328"/>
    </row>
    <row r="23" spans="1:99" ht="12.75" customHeight="1" x14ac:dyDescent="0.2">
      <c r="A23" s="147"/>
      <c r="B23" s="343" t="s">
        <v>462</v>
      </c>
      <c r="C23" s="339"/>
      <c r="D23" s="340"/>
      <c r="E23" s="340"/>
      <c r="F23" s="340"/>
      <c r="G23" s="162"/>
      <c r="H23" s="329"/>
      <c r="I23" s="334"/>
      <c r="J23" s="334"/>
      <c r="K23" s="334"/>
      <c r="L23" s="334"/>
      <c r="R23" s="330"/>
      <c r="S23" s="330"/>
      <c r="U23" s="331"/>
      <c r="X23" s="331"/>
      <c r="Y23" s="331"/>
      <c r="Z23" s="331"/>
      <c r="AB23" s="331"/>
      <c r="AC23" s="331"/>
      <c r="AE23" s="331"/>
      <c r="AF23" s="331"/>
      <c r="AK23" s="331"/>
      <c r="AL23" s="331"/>
      <c r="AM23" s="331"/>
      <c r="AN23" s="331"/>
      <c r="AV23" s="331"/>
      <c r="AW23" s="331"/>
      <c r="AZ23" s="102"/>
      <c r="BD23" s="331"/>
      <c r="BF23" s="331"/>
      <c r="CE23" s="102"/>
      <c r="CP23" s="263"/>
      <c r="CQ23" s="263"/>
      <c r="CT23" s="328"/>
      <c r="CU23" s="328"/>
    </row>
    <row r="24" spans="1:99" ht="12.75" customHeight="1" x14ac:dyDescent="0.2">
      <c r="A24" s="147"/>
      <c r="B24" s="94" t="s">
        <v>124</v>
      </c>
      <c r="C24" s="339"/>
      <c r="D24" s="340"/>
      <c r="E24" s="340"/>
      <c r="F24" s="340"/>
      <c r="G24" s="162"/>
      <c r="H24" s="329"/>
      <c r="I24" s="334"/>
      <c r="J24" s="334"/>
      <c r="K24" s="334"/>
      <c r="L24" s="334"/>
      <c r="M24" s="50"/>
      <c r="R24" s="330"/>
      <c r="S24" s="330"/>
      <c r="U24" s="331"/>
      <c r="X24" s="331"/>
      <c r="Y24" s="331"/>
      <c r="Z24" s="331"/>
      <c r="AB24" s="331"/>
      <c r="AC24" s="331"/>
      <c r="AE24" s="331"/>
      <c r="AF24" s="331"/>
      <c r="AK24" s="331"/>
      <c r="AL24" s="331"/>
      <c r="AM24" s="331"/>
      <c r="AN24" s="331"/>
      <c r="AV24" s="331"/>
      <c r="AW24" s="331"/>
      <c r="AY24" s="331"/>
      <c r="BF24" s="331"/>
      <c r="CP24" s="263"/>
      <c r="CQ24" s="263"/>
      <c r="CT24" s="328"/>
      <c r="CU24" s="328"/>
    </row>
    <row r="25" spans="1:99" ht="12.75" customHeight="1" x14ac:dyDescent="0.2">
      <c r="A25" s="147"/>
      <c r="B25" s="343" t="s">
        <v>1327</v>
      </c>
      <c r="C25" s="339"/>
      <c r="D25" s="340"/>
      <c r="E25" s="340"/>
      <c r="F25" s="340"/>
      <c r="G25" s="162"/>
      <c r="H25" s="329"/>
      <c r="I25" s="334"/>
      <c r="J25" s="334"/>
      <c r="K25" s="334"/>
      <c r="L25" s="334"/>
      <c r="M25" s="50"/>
      <c r="R25" s="330"/>
      <c r="S25" s="330"/>
      <c r="U25" s="331"/>
      <c r="X25" s="331"/>
      <c r="Y25" s="331"/>
      <c r="Z25" s="331"/>
      <c r="AB25" s="331"/>
      <c r="AC25" s="331"/>
      <c r="AE25" s="331"/>
      <c r="AF25" s="331"/>
      <c r="AK25" s="331"/>
      <c r="AL25" s="331"/>
      <c r="AM25" s="331"/>
      <c r="AN25" s="331"/>
      <c r="AV25" s="331"/>
      <c r="AW25" s="331"/>
      <c r="AX25" s="102"/>
      <c r="AY25" s="331"/>
      <c r="BF25" s="331"/>
      <c r="CP25" s="263"/>
      <c r="CQ25" s="263"/>
      <c r="CT25" s="328"/>
      <c r="CU25" s="328"/>
    </row>
    <row r="26" spans="1:99" ht="12.75" customHeight="1" x14ac:dyDescent="0.2">
      <c r="A26" s="147"/>
      <c r="B26" s="94" t="s">
        <v>1328</v>
      </c>
      <c r="C26" s="339"/>
      <c r="D26" s="340"/>
      <c r="E26" s="340"/>
      <c r="F26" s="340"/>
      <c r="G26" s="162"/>
      <c r="H26" s="329"/>
      <c r="I26" s="334"/>
      <c r="J26" s="334"/>
      <c r="K26" s="334"/>
      <c r="L26" s="334"/>
      <c r="M26" s="50"/>
      <c r="R26" s="330"/>
      <c r="S26" s="330"/>
      <c r="U26" s="331"/>
      <c r="X26" s="331"/>
      <c r="Y26" s="102"/>
      <c r="Z26" s="331"/>
      <c r="AB26" s="331"/>
      <c r="AC26" s="331"/>
      <c r="AE26" s="331"/>
      <c r="AF26" s="331"/>
      <c r="AK26" s="331"/>
      <c r="AL26" s="331"/>
      <c r="AM26" s="331"/>
      <c r="AN26" s="331"/>
      <c r="AV26" s="331"/>
      <c r="AW26" s="331"/>
      <c r="AX26" s="102"/>
      <c r="AY26" s="102"/>
      <c r="BF26" s="331"/>
      <c r="CP26" s="263"/>
      <c r="CQ26" s="263"/>
      <c r="CT26" s="328"/>
      <c r="CU26" s="328"/>
    </row>
    <row r="27" spans="1:99" ht="12.75" customHeight="1" x14ac:dyDescent="0.2">
      <c r="A27" s="147"/>
      <c r="B27" s="343" t="s">
        <v>1329</v>
      </c>
      <c r="C27" s="339"/>
      <c r="D27" s="340"/>
      <c r="E27" s="340"/>
      <c r="F27" s="340"/>
      <c r="G27" s="162"/>
      <c r="H27" s="329"/>
      <c r="I27" s="334"/>
      <c r="J27" s="334"/>
      <c r="K27" s="334"/>
      <c r="L27" s="334"/>
      <c r="M27" s="50"/>
      <c r="R27" s="330"/>
      <c r="S27" s="330"/>
      <c r="U27" s="331"/>
      <c r="X27" s="331"/>
      <c r="Y27" s="102"/>
      <c r="Z27" s="331"/>
      <c r="AB27" s="331"/>
      <c r="AC27" s="331"/>
      <c r="AE27" s="331"/>
      <c r="AF27" s="331"/>
      <c r="AK27" s="331"/>
      <c r="AL27" s="331"/>
      <c r="AM27" s="331"/>
      <c r="AN27" s="331"/>
      <c r="AV27" s="331"/>
      <c r="AW27" s="331"/>
      <c r="AY27" s="102"/>
      <c r="BF27" s="331"/>
      <c r="CP27" s="263"/>
      <c r="CQ27" s="263"/>
      <c r="CT27" s="328"/>
      <c r="CU27" s="328"/>
    </row>
    <row r="28" spans="1:99" ht="12.75" customHeight="1" x14ac:dyDescent="0.2">
      <c r="A28" s="80"/>
      <c r="B28" s="94" t="s">
        <v>1330</v>
      </c>
      <c r="C28" s="339"/>
      <c r="D28" s="340"/>
      <c r="E28" s="340"/>
      <c r="F28" s="340"/>
      <c r="G28" s="162"/>
      <c r="H28" s="329"/>
      <c r="I28" s="334"/>
      <c r="J28" s="334"/>
      <c r="K28" s="334"/>
      <c r="L28" s="334"/>
      <c r="M28" s="50"/>
      <c r="R28" s="330"/>
      <c r="S28" s="330"/>
      <c r="U28" s="331"/>
      <c r="X28" s="331"/>
      <c r="Y28" s="102"/>
      <c r="Z28" s="331"/>
      <c r="AB28" s="331"/>
      <c r="AC28" s="331"/>
      <c r="AE28" s="331"/>
      <c r="AF28" s="331"/>
      <c r="AK28" s="331"/>
      <c r="AL28" s="331"/>
      <c r="AM28" s="331"/>
      <c r="AN28" s="331"/>
      <c r="AV28" s="331"/>
      <c r="AW28" s="331"/>
      <c r="BF28" s="331"/>
      <c r="CP28" s="263"/>
      <c r="CQ28" s="263"/>
      <c r="CT28" s="328"/>
      <c r="CU28" s="328"/>
    </row>
    <row r="29" spans="1:99" ht="12.75" customHeight="1" x14ac:dyDescent="0.2">
      <c r="A29" s="147"/>
      <c r="B29" s="186" t="s">
        <v>1331</v>
      </c>
      <c r="C29" s="339"/>
      <c r="D29" s="340"/>
      <c r="E29" s="340"/>
      <c r="F29" s="340"/>
      <c r="G29" s="162"/>
      <c r="H29" s="329"/>
      <c r="I29" s="334"/>
      <c r="J29" s="334"/>
      <c r="K29" s="334"/>
      <c r="L29" s="334"/>
      <c r="M29" s="50"/>
      <c r="N29" s="330"/>
      <c r="O29" s="330"/>
      <c r="Q29" s="331"/>
      <c r="T29" s="331"/>
      <c r="X29" s="331"/>
      <c r="Y29" s="331"/>
      <c r="AA29" s="331"/>
      <c r="AB29" s="331"/>
      <c r="AG29" s="331"/>
      <c r="AH29" s="331"/>
      <c r="AI29" s="331"/>
      <c r="AJ29" s="331"/>
      <c r="AR29" s="331"/>
      <c r="AS29" s="331"/>
      <c r="BB29" s="331"/>
      <c r="CN29" s="328"/>
      <c r="CO29" s="328"/>
      <c r="CR29" s="125"/>
      <c r="CS29" s="125"/>
    </row>
    <row r="30" spans="1:99" ht="12.75" customHeight="1" x14ac:dyDescent="0.2">
      <c r="A30" s="147"/>
      <c r="B30" s="94" t="s">
        <v>1323</v>
      </c>
      <c r="C30" s="339"/>
      <c r="D30" s="340"/>
      <c r="E30" s="340"/>
      <c r="F30" s="340"/>
      <c r="G30" s="162"/>
      <c r="H30" s="329"/>
      <c r="I30" s="334"/>
      <c r="J30" s="334"/>
      <c r="K30" s="334"/>
      <c r="L30" s="334"/>
      <c r="M30" s="50"/>
      <c r="N30" s="330"/>
      <c r="O30" s="330"/>
      <c r="Q30" s="331"/>
      <c r="T30" s="331"/>
      <c r="X30" s="331"/>
      <c r="Y30" s="341"/>
      <c r="AA30" s="331"/>
      <c r="AB30" s="331"/>
      <c r="AE30" s="342"/>
      <c r="AG30" s="331"/>
      <c r="AH30" s="331"/>
      <c r="AI30" s="331"/>
      <c r="AJ30" s="331"/>
      <c r="AR30" s="331"/>
      <c r="AS30" s="331"/>
      <c r="BB30" s="331"/>
      <c r="CN30" s="328"/>
      <c r="CO30" s="328"/>
      <c r="CR30" s="125"/>
      <c r="CS30" s="125"/>
    </row>
    <row r="31" spans="1:99" ht="12.75" customHeight="1" x14ac:dyDescent="0.2">
      <c r="A31" s="147"/>
      <c r="B31" s="186" t="s">
        <v>1324</v>
      </c>
      <c r="C31" s="339"/>
      <c r="D31" s="340"/>
      <c r="E31" s="340"/>
      <c r="F31" s="340"/>
      <c r="G31" s="162"/>
      <c r="H31" s="329"/>
      <c r="I31" s="334"/>
      <c r="J31" s="334"/>
      <c r="K31" s="334"/>
      <c r="L31" s="334"/>
      <c r="M31" s="50"/>
      <c r="N31" s="330"/>
      <c r="O31" s="330"/>
      <c r="Q31" s="331"/>
      <c r="T31" s="331"/>
      <c r="X31" s="331"/>
      <c r="AA31" s="331"/>
      <c r="AB31" s="331"/>
      <c r="AG31" s="331"/>
      <c r="AH31" s="331"/>
      <c r="AI31" s="331"/>
      <c r="AJ31" s="331"/>
      <c r="BB31" s="331"/>
      <c r="CN31" s="328"/>
      <c r="CO31" s="328"/>
      <c r="CR31" s="125"/>
      <c r="CS31" s="125"/>
    </row>
    <row r="32" spans="1:99" ht="12.75" customHeight="1" x14ac:dyDescent="0.2">
      <c r="A32" s="147"/>
      <c r="B32" s="94" t="s">
        <v>1332</v>
      </c>
      <c r="C32" s="339"/>
      <c r="D32" s="340"/>
      <c r="E32" s="340"/>
      <c r="F32" s="340"/>
      <c r="G32" s="162"/>
      <c r="H32" s="329"/>
      <c r="I32" s="344"/>
      <c r="J32" s="345"/>
      <c r="K32" s="345"/>
      <c r="L32" s="345"/>
      <c r="M32" s="50"/>
      <c r="N32" s="330"/>
      <c r="O32" s="330"/>
      <c r="Q32" s="331"/>
      <c r="T32" s="331"/>
      <c r="X32" s="331"/>
      <c r="AA32" s="331"/>
      <c r="AB32" s="331"/>
      <c r="AG32" s="331"/>
      <c r="AH32" s="331"/>
      <c r="AI32" s="331"/>
      <c r="AJ32" s="331"/>
      <c r="BB32" s="331"/>
      <c r="CN32" s="328"/>
      <c r="CO32" s="328"/>
      <c r="CR32" s="125"/>
      <c r="CS32" s="125"/>
    </row>
    <row r="33" spans="1:97" ht="12.75" customHeight="1" x14ac:dyDescent="0.2">
      <c r="A33" s="147"/>
      <c r="B33" s="186" t="s">
        <v>1333</v>
      </c>
      <c r="C33" s="339"/>
      <c r="D33" s="340"/>
      <c r="E33" s="340"/>
      <c r="F33" s="340"/>
      <c r="G33" s="162"/>
      <c r="H33" s="329"/>
      <c r="I33" s="969"/>
      <c r="J33" s="969"/>
      <c r="K33" s="969"/>
      <c r="L33" s="344"/>
      <c r="N33" s="330"/>
      <c r="O33" s="330"/>
      <c r="Q33" s="331"/>
      <c r="T33" s="331"/>
      <c r="X33" s="331"/>
      <c r="AA33" s="331"/>
      <c r="AB33" s="331"/>
      <c r="AH33" s="331"/>
      <c r="AI33" s="331"/>
      <c r="AJ33" s="331"/>
      <c r="AR33" s="331"/>
      <c r="AS33" s="331"/>
      <c r="BB33" s="331"/>
      <c r="CN33" s="328"/>
      <c r="CO33" s="328"/>
      <c r="CR33" s="125"/>
      <c r="CS33" s="125"/>
    </row>
    <row r="34" spans="1:97" ht="12.75" customHeight="1" x14ac:dyDescent="0.2">
      <c r="A34" s="147"/>
      <c r="B34" s="94" t="s">
        <v>1334</v>
      </c>
      <c r="C34" s="339"/>
      <c r="D34" s="340"/>
      <c r="E34" s="340"/>
      <c r="F34" s="340"/>
      <c r="G34" s="162"/>
      <c r="H34" s="329"/>
      <c r="I34" s="969"/>
      <c r="J34" s="969"/>
      <c r="K34" s="969"/>
      <c r="L34" s="344"/>
      <c r="N34" s="330"/>
      <c r="O34" s="330"/>
      <c r="Q34" s="331"/>
      <c r="T34" s="331"/>
      <c r="X34" s="331"/>
      <c r="AA34" s="331"/>
      <c r="AB34" s="331"/>
      <c r="AJ34" s="331"/>
      <c r="AR34" s="331"/>
      <c r="AS34" s="331"/>
      <c r="BB34" s="331"/>
      <c r="CN34" s="328"/>
      <c r="CO34" s="328"/>
      <c r="CR34" s="125"/>
      <c r="CS34" s="125"/>
    </row>
    <row r="35" spans="1:97" ht="12.75" customHeight="1" x14ac:dyDescent="0.2">
      <c r="A35" s="147"/>
      <c r="B35" s="186" t="s">
        <v>1335</v>
      </c>
      <c r="C35" s="339"/>
      <c r="D35" s="340"/>
      <c r="E35" s="340"/>
      <c r="F35" s="340"/>
      <c r="G35" s="162"/>
      <c r="H35" s="329"/>
      <c r="N35" s="330"/>
      <c r="O35" s="330"/>
      <c r="Q35" s="331"/>
      <c r="T35" s="331"/>
      <c r="X35" s="331"/>
      <c r="AA35" s="331"/>
      <c r="AB35" s="331"/>
      <c r="AJ35" s="331"/>
      <c r="AQ35" s="331"/>
      <c r="AR35" s="331"/>
      <c r="AS35" s="331"/>
      <c r="BB35" s="331"/>
      <c r="CN35" s="328"/>
      <c r="CO35" s="328"/>
      <c r="CR35" s="125"/>
      <c r="CS35" s="125"/>
    </row>
    <row r="36" spans="1:97" ht="12.75" customHeight="1" x14ac:dyDescent="0.2">
      <c r="A36" s="147"/>
      <c r="B36" s="94" t="s">
        <v>1336</v>
      </c>
      <c r="C36" s="339"/>
      <c r="D36" s="340"/>
      <c r="E36" s="340"/>
      <c r="F36" s="340"/>
      <c r="G36" s="162"/>
      <c r="H36" s="329"/>
      <c r="N36" s="330"/>
      <c r="O36" s="330"/>
      <c r="Q36" s="331"/>
      <c r="T36" s="331"/>
      <c r="X36" s="331"/>
      <c r="AA36" s="331"/>
      <c r="AB36" s="331"/>
      <c r="AH36" s="331"/>
      <c r="AI36" s="331"/>
      <c r="AJ36" s="331"/>
      <c r="AQ36" s="331"/>
      <c r="AR36" s="331"/>
      <c r="AS36" s="331"/>
      <c r="BB36" s="331"/>
      <c r="CN36" s="328"/>
      <c r="CO36" s="328"/>
      <c r="CR36" s="125"/>
      <c r="CS36" s="125"/>
    </row>
    <row r="37" spans="1:97" ht="12.75" customHeight="1" x14ac:dyDescent="0.2">
      <c r="A37" s="147"/>
      <c r="B37" s="186" t="s">
        <v>1337</v>
      </c>
      <c r="C37" s="339"/>
      <c r="D37" s="340"/>
      <c r="E37" s="340"/>
      <c r="F37" s="340"/>
      <c r="G37" s="162"/>
      <c r="H37" s="329"/>
      <c r="N37" s="330"/>
      <c r="O37" s="330"/>
      <c r="Q37" s="331"/>
      <c r="T37" s="331"/>
      <c r="X37" s="331"/>
      <c r="AA37" s="331"/>
      <c r="AB37" s="331"/>
      <c r="AH37" s="331"/>
      <c r="AI37" s="331"/>
      <c r="AJ37" s="331"/>
      <c r="AQ37" s="331"/>
      <c r="AR37" s="331"/>
      <c r="AS37" s="331"/>
      <c r="BB37" s="331"/>
      <c r="CN37" s="328"/>
      <c r="CO37" s="328"/>
      <c r="CR37" s="125"/>
      <c r="CS37" s="125"/>
    </row>
    <row r="38" spans="1:97" ht="12.75" customHeight="1" x14ac:dyDescent="0.2">
      <c r="A38" s="147"/>
      <c r="B38" s="94" t="s">
        <v>1338</v>
      </c>
      <c r="C38" s="339"/>
      <c r="D38" s="340"/>
      <c r="E38" s="340"/>
      <c r="F38" s="340"/>
      <c r="G38" s="162"/>
      <c r="H38" s="329"/>
      <c r="N38" s="330"/>
      <c r="O38" s="330"/>
      <c r="Q38" s="331"/>
      <c r="T38" s="331"/>
      <c r="AA38" s="331"/>
      <c r="AB38" s="331"/>
      <c r="AH38" s="331"/>
      <c r="AI38" s="331"/>
      <c r="AJ38" s="331"/>
      <c r="BB38" s="331"/>
      <c r="CN38" s="328"/>
      <c r="CO38" s="328"/>
      <c r="CR38" s="125"/>
      <c r="CS38" s="125"/>
    </row>
    <row r="39" spans="1:97" ht="12.75" customHeight="1" x14ac:dyDescent="0.2">
      <c r="A39" s="147"/>
      <c r="B39" s="186" t="s">
        <v>1339</v>
      </c>
      <c r="C39" s="339"/>
      <c r="D39" s="340"/>
      <c r="E39" s="340"/>
      <c r="F39" s="340"/>
      <c r="G39" s="162"/>
      <c r="H39" s="329"/>
      <c r="N39" s="330"/>
      <c r="O39" s="330"/>
      <c r="Q39" s="331"/>
      <c r="T39" s="331"/>
      <c r="AA39" s="331"/>
      <c r="AB39" s="331"/>
      <c r="AH39" s="331"/>
      <c r="AI39" s="331"/>
      <c r="AJ39" s="331"/>
      <c r="BB39" s="331"/>
      <c r="CN39" s="328"/>
      <c r="CO39" s="328"/>
      <c r="CR39" s="125"/>
      <c r="CS39" s="125"/>
    </row>
    <row r="40" spans="1:97" ht="12.75" customHeight="1" thickBot="1" x14ac:dyDescent="0.25">
      <c r="A40" s="147"/>
      <c r="B40" s="346" t="s">
        <v>1340</v>
      </c>
      <c r="C40" s="347"/>
      <c r="D40" s="348"/>
      <c r="E40" s="348"/>
      <c r="F40" s="348"/>
      <c r="G40" s="162"/>
      <c r="H40" s="329"/>
      <c r="N40" s="330"/>
      <c r="O40" s="330"/>
      <c r="Q40" s="331"/>
      <c r="T40" s="331"/>
      <c r="Z40" s="102"/>
      <c r="AA40" s="331"/>
      <c r="AB40" s="331"/>
      <c r="AH40" s="331"/>
      <c r="AI40" s="331"/>
      <c r="AJ40" s="331"/>
      <c r="AQ40" s="331"/>
      <c r="AR40" s="331"/>
      <c r="AS40" s="331"/>
      <c r="BB40" s="331"/>
      <c r="CN40" s="328"/>
      <c r="CO40" s="328"/>
      <c r="CR40" s="125"/>
      <c r="CS40" s="125"/>
    </row>
    <row r="41" spans="1:97" ht="12.75" customHeight="1" x14ac:dyDescent="0.2">
      <c r="A41" s="147"/>
      <c r="B41" s="80"/>
      <c r="C41" s="148"/>
      <c r="D41" s="1135"/>
      <c r="E41" s="1135"/>
      <c r="F41" s="1135"/>
      <c r="G41" s="162"/>
      <c r="H41" s="329"/>
      <c r="N41" s="330"/>
      <c r="O41" s="330"/>
      <c r="Q41" s="331"/>
      <c r="T41" s="331"/>
      <c r="AA41" s="102"/>
      <c r="AB41" s="102"/>
      <c r="AH41" s="331"/>
      <c r="AI41" s="331"/>
      <c r="AJ41" s="331"/>
      <c r="AQ41" s="331"/>
      <c r="AR41" s="331"/>
      <c r="AS41" s="331"/>
      <c r="BB41" s="331"/>
      <c r="CN41" s="328"/>
      <c r="CO41" s="328"/>
      <c r="CR41" s="125"/>
      <c r="CS41" s="125"/>
    </row>
    <row r="42" spans="1:97" ht="12.75" customHeight="1" x14ac:dyDescent="0.2">
      <c r="A42" s="147"/>
      <c r="B42" s="975" t="str">
        <f>D1</f>
        <v>Cliques → ICI ←</v>
      </c>
      <c r="C42" s="1648" t="s">
        <v>46</v>
      </c>
      <c r="D42" s="1649"/>
      <c r="E42" s="80"/>
      <c r="F42" s="80"/>
      <c r="G42" s="80"/>
      <c r="H42" s="329"/>
      <c r="N42" s="330"/>
      <c r="O42" s="330"/>
      <c r="Q42" s="331"/>
      <c r="T42" s="331"/>
      <c r="AA42" s="102"/>
      <c r="AB42" s="102"/>
      <c r="AH42" s="331"/>
      <c r="AI42" s="331"/>
      <c r="AJ42" s="102"/>
      <c r="AQ42" s="331"/>
      <c r="AR42" s="331"/>
      <c r="AS42" s="331"/>
      <c r="CN42" s="328"/>
      <c r="CO42" s="328"/>
      <c r="CR42" s="125"/>
      <c r="CS42" s="125"/>
    </row>
    <row r="43" spans="1:97" ht="12.75" customHeight="1" x14ac:dyDescent="0.2">
      <c r="A43" s="147"/>
      <c r="B43" s="975" t="str">
        <f>D1</f>
        <v>Cliques → ICI ←</v>
      </c>
      <c r="C43" s="1648" t="s">
        <v>1502</v>
      </c>
      <c r="D43" s="1649"/>
      <c r="E43" s="80"/>
      <c r="F43" s="80"/>
      <c r="G43" s="80"/>
      <c r="H43" s="329"/>
      <c r="N43" s="330"/>
      <c r="O43" s="330"/>
      <c r="Q43" s="331"/>
      <c r="AA43" s="331"/>
      <c r="AB43" s="331"/>
      <c r="AH43" s="331"/>
      <c r="AI43" s="331"/>
      <c r="AJ43" s="102"/>
      <c r="AQ43" s="331"/>
      <c r="AR43" s="331"/>
      <c r="AS43" s="331"/>
      <c r="CN43" s="328"/>
      <c r="CO43" s="328"/>
      <c r="CR43" s="125"/>
      <c r="CS43" s="125"/>
    </row>
    <row r="44" spans="1:97" ht="12.75" customHeight="1" x14ac:dyDescent="0.2">
      <c r="A44" s="147"/>
      <c r="B44" s="80"/>
      <c r="C44" s="80"/>
      <c r="D44" s="80"/>
      <c r="E44" s="80"/>
      <c r="F44" s="80"/>
      <c r="G44" s="80"/>
      <c r="H44" s="329"/>
      <c r="N44" s="102"/>
      <c r="O44" s="330"/>
      <c r="Q44" s="331"/>
      <c r="AA44" s="331"/>
      <c r="AB44" s="331"/>
      <c r="AH44" s="331"/>
      <c r="AI44" s="331"/>
      <c r="AJ44" s="102"/>
      <c r="AQ44" s="331"/>
      <c r="AR44" s="331"/>
      <c r="AS44" s="331"/>
      <c r="CN44" s="328"/>
      <c r="CO44" s="328"/>
      <c r="CR44" s="125"/>
      <c r="CS44" s="125"/>
    </row>
    <row r="45" spans="1:97" ht="12.75" customHeight="1" x14ac:dyDescent="0.2">
      <c r="A45" s="147"/>
      <c r="B45" s="80"/>
      <c r="C45" s="80"/>
      <c r="D45" s="80"/>
      <c r="E45" s="80"/>
      <c r="F45" s="80"/>
      <c r="G45" s="80"/>
      <c r="H45" s="329"/>
      <c r="N45" s="102"/>
      <c r="O45" s="330"/>
      <c r="Q45" s="331"/>
      <c r="AA45" s="331"/>
      <c r="AB45" s="331"/>
      <c r="AH45" s="331"/>
      <c r="AI45" s="331"/>
      <c r="AJ45" s="102"/>
      <c r="AQ45" s="331"/>
      <c r="AR45" s="331"/>
      <c r="AS45" s="331"/>
      <c r="CN45" s="328"/>
      <c r="CO45" s="328"/>
      <c r="CR45" s="125"/>
      <c r="CS45" s="125"/>
    </row>
    <row r="46" spans="1:97" ht="12.75" customHeight="1" x14ac:dyDescent="0.2">
      <c r="A46" s="147"/>
      <c r="B46" s="80"/>
      <c r="C46" s="80"/>
      <c r="D46" s="80"/>
      <c r="E46" s="80"/>
      <c r="F46" s="80"/>
      <c r="G46" s="80"/>
      <c r="H46" s="329"/>
      <c r="O46" s="330"/>
      <c r="Q46" s="331"/>
      <c r="AA46" s="331"/>
      <c r="AB46" s="331"/>
      <c r="AH46" s="331"/>
      <c r="AI46" s="331"/>
      <c r="AJ46" s="102"/>
      <c r="AQ46" s="331"/>
      <c r="AR46" s="331"/>
      <c r="AS46" s="331"/>
      <c r="CN46" s="328"/>
      <c r="CO46" s="328"/>
      <c r="CR46" s="125"/>
      <c r="CS46" s="125"/>
    </row>
    <row r="47" spans="1:97" ht="12.75" customHeight="1" x14ac:dyDescent="0.2">
      <c r="A47" s="147"/>
      <c r="B47" s="80"/>
      <c r="C47" s="80"/>
      <c r="D47" s="80"/>
      <c r="E47" s="80"/>
      <c r="F47" s="80"/>
      <c r="G47" s="80"/>
      <c r="H47" s="329"/>
      <c r="O47" s="330"/>
      <c r="Q47" s="331"/>
      <c r="AA47" s="331"/>
      <c r="AB47" s="331"/>
      <c r="AJ47" s="102"/>
      <c r="AQ47" s="331"/>
      <c r="AR47" s="331"/>
      <c r="AS47" s="331"/>
      <c r="CN47" s="328"/>
      <c r="CO47" s="328"/>
      <c r="CR47" s="125"/>
      <c r="CS47" s="125"/>
    </row>
    <row r="48" spans="1:97" ht="12.75" customHeight="1" x14ac:dyDescent="0.2">
      <c r="A48" s="147"/>
      <c r="B48" s="80"/>
      <c r="C48" s="80"/>
      <c r="D48" s="80"/>
      <c r="E48" s="80"/>
      <c r="F48" s="80"/>
      <c r="G48" s="80"/>
      <c r="H48" s="329"/>
      <c r="N48" s="330"/>
      <c r="O48" s="330"/>
      <c r="Q48" s="331"/>
      <c r="AA48" s="331"/>
      <c r="AB48" s="331"/>
      <c r="AJ48" s="102"/>
      <c r="CN48" s="328"/>
      <c r="CO48" s="328"/>
      <c r="CR48" s="125"/>
      <c r="CS48" s="125"/>
    </row>
    <row r="49" spans="1:99" ht="12.75" customHeight="1" x14ac:dyDescent="0.2">
      <c r="A49" s="147"/>
      <c r="B49" s="80"/>
      <c r="C49" s="80"/>
      <c r="D49" s="80"/>
      <c r="E49" s="80"/>
      <c r="F49" s="80"/>
      <c r="G49" s="80"/>
      <c r="H49" s="329"/>
      <c r="N49" s="330"/>
      <c r="O49" s="330"/>
      <c r="Q49" s="331"/>
      <c r="AA49" s="331"/>
      <c r="AB49" s="331"/>
      <c r="AH49" s="331"/>
      <c r="AI49" s="331"/>
      <c r="AJ49" s="102"/>
      <c r="CN49" s="328"/>
      <c r="CO49" s="328"/>
      <c r="CR49" s="125"/>
      <c r="CS49" s="125"/>
    </row>
    <row r="50" spans="1:99" ht="12.75" customHeight="1" x14ac:dyDescent="0.2">
      <c r="A50" s="147"/>
      <c r="B50" s="80"/>
      <c r="C50" s="80"/>
      <c r="D50" s="80"/>
      <c r="E50" s="80"/>
      <c r="F50" s="80"/>
      <c r="G50" s="80"/>
      <c r="H50" s="329"/>
      <c r="N50" s="330"/>
      <c r="O50" s="330"/>
      <c r="Q50" s="331"/>
      <c r="AA50" s="331"/>
      <c r="AB50" s="331"/>
      <c r="AH50" s="331"/>
      <c r="AI50" s="331"/>
      <c r="AJ50" s="102"/>
      <c r="CN50" s="328"/>
      <c r="CO50" s="328"/>
      <c r="CR50" s="125"/>
      <c r="CS50" s="125"/>
    </row>
    <row r="51" spans="1:99" ht="12.75" customHeight="1" x14ac:dyDescent="0.2">
      <c r="A51" s="147"/>
      <c r="B51" s="80"/>
      <c r="C51" s="80"/>
      <c r="D51" s="80"/>
      <c r="E51" s="80"/>
      <c r="F51" s="80"/>
      <c r="G51" s="80"/>
      <c r="H51" s="329"/>
      <c r="R51" s="330"/>
      <c r="U51" s="331"/>
      <c r="AE51" s="331"/>
      <c r="AF51" s="331"/>
      <c r="AL51" s="331"/>
      <c r="AM51" s="331"/>
      <c r="AN51" s="102"/>
      <c r="CP51" s="263"/>
      <c r="CQ51" s="263"/>
      <c r="CT51" s="328"/>
      <c r="CU51" s="328"/>
    </row>
    <row r="52" spans="1:99" ht="12.75" customHeight="1" x14ac:dyDescent="0.2">
      <c r="A52" s="147"/>
      <c r="B52" s="80"/>
      <c r="C52" s="80"/>
      <c r="D52" s="80"/>
      <c r="E52" s="80"/>
      <c r="F52" s="80"/>
      <c r="G52" s="80"/>
      <c r="H52" s="329"/>
      <c r="R52" s="330"/>
      <c r="U52" s="331"/>
      <c r="AL52" s="331"/>
      <c r="AM52" s="331"/>
      <c r="AN52" s="102"/>
      <c r="CP52" s="263"/>
      <c r="CQ52" s="263"/>
      <c r="CT52" s="328"/>
      <c r="CU52" s="328"/>
    </row>
    <row r="53" spans="1:99" ht="12.75" customHeight="1" thickBot="1" x14ac:dyDescent="0.25">
      <c r="A53" s="153"/>
      <c r="B53" s="81"/>
      <c r="C53" s="81"/>
      <c r="D53" s="81"/>
      <c r="E53" s="81"/>
      <c r="F53" s="81"/>
      <c r="G53" s="81"/>
      <c r="H53" s="349"/>
      <c r="R53" s="330"/>
      <c r="U53" s="331"/>
      <c r="AN53" s="102"/>
      <c r="CP53" s="263"/>
      <c r="CQ53" s="263"/>
      <c r="CT53" s="328"/>
      <c r="CU53" s="328"/>
    </row>
    <row r="54" spans="1:99" ht="12.75" customHeight="1" x14ac:dyDescent="0.2">
      <c r="A54" s="120"/>
      <c r="B54" s="120"/>
      <c r="C54" s="120"/>
      <c r="D54" s="120"/>
      <c r="E54" s="120"/>
      <c r="P54" s="330"/>
      <c r="S54" s="331"/>
      <c r="AL54" s="102"/>
    </row>
    <row r="55" spans="1:99" ht="12.75" customHeight="1" x14ac:dyDescent="0.2">
      <c r="A55" s="120"/>
      <c r="B55" s="120"/>
      <c r="C55" s="120"/>
      <c r="D55" s="120"/>
      <c r="E55" s="120"/>
      <c r="P55" s="330"/>
      <c r="S55" s="331"/>
    </row>
    <row r="56" spans="1:99" ht="12.75" customHeight="1" x14ac:dyDescent="0.2">
      <c r="A56" s="120"/>
      <c r="B56" s="120"/>
      <c r="C56" s="120"/>
      <c r="D56" s="120"/>
      <c r="E56" s="120"/>
      <c r="P56" s="330"/>
      <c r="S56" s="331"/>
    </row>
    <row r="57" spans="1:99" ht="12.75" customHeight="1" x14ac:dyDescent="0.2">
      <c r="A57" s="120"/>
      <c r="B57" s="120"/>
      <c r="C57" s="120"/>
      <c r="D57" s="120"/>
      <c r="E57" s="120"/>
      <c r="P57" s="330"/>
      <c r="S57" s="331"/>
    </row>
    <row r="58" spans="1:99" ht="12.75" customHeight="1" x14ac:dyDescent="0.2">
      <c r="A58" s="120"/>
      <c r="B58" s="120"/>
      <c r="C58" s="120"/>
      <c r="D58" s="120"/>
      <c r="E58" s="120"/>
      <c r="S58" s="331"/>
    </row>
    <row r="59" spans="1:99" ht="12.75" customHeight="1" x14ac:dyDescent="0.2">
      <c r="A59" s="120"/>
      <c r="B59" s="120"/>
      <c r="C59" s="120"/>
      <c r="D59" s="120"/>
      <c r="E59" s="120"/>
      <c r="S59" s="331"/>
    </row>
    <row r="60" spans="1:99" ht="12.75" customHeight="1" x14ac:dyDescent="0.2">
      <c r="A60" s="120"/>
      <c r="B60" s="120"/>
      <c r="C60" s="120"/>
      <c r="D60" s="120"/>
      <c r="E60" s="120"/>
      <c r="S60" s="331"/>
    </row>
    <row r="61" spans="1:99" ht="12.75" customHeight="1" x14ac:dyDescent="0.2">
      <c r="A61" s="120"/>
      <c r="B61" s="120"/>
      <c r="C61" s="120"/>
      <c r="D61" s="120"/>
      <c r="E61" s="120"/>
      <c r="S61" s="331"/>
    </row>
    <row r="62" spans="1:99" ht="12.75" customHeight="1" x14ac:dyDescent="0.2">
      <c r="A62" s="120"/>
      <c r="B62" s="120"/>
      <c r="C62" s="120"/>
      <c r="D62" s="120"/>
      <c r="E62" s="120"/>
      <c r="S62" s="331"/>
    </row>
    <row r="63" spans="1:99" ht="12.75" customHeight="1" x14ac:dyDescent="0.2">
      <c r="A63" s="120"/>
      <c r="B63" s="120"/>
      <c r="C63" s="120"/>
      <c r="D63" s="120"/>
      <c r="E63" s="120"/>
      <c r="S63" s="331"/>
    </row>
    <row r="64" spans="1:99" ht="12.75" customHeight="1" x14ac:dyDescent="0.2">
      <c r="A64" s="120"/>
      <c r="B64" s="120"/>
      <c r="C64" s="120"/>
      <c r="D64" s="120"/>
      <c r="E64" s="120"/>
      <c r="S64" s="331"/>
    </row>
    <row r="65" spans="1:19" ht="12.75" customHeight="1" x14ac:dyDescent="0.2">
      <c r="A65" s="120"/>
      <c r="B65" s="120"/>
      <c r="C65" s="120"/>
      <c r="D65" s="120"/>
      <c r="E65" s="120"/>
      <c r="S65" s="331"/>
    </row>
    <row r="66" spans="1:19" ht="12.75" customHeight="1" x14ac:dyDescent="0.2">
      <c r="A66" s="120"/>
      <c r="B66" s="120"/>
      <c r="C66" s="120"/>
      <c r="D66" s="120"/>
      <c r="E66" s="120"/>
      <c r="S66" s="331"/>
    </row>
    <row r="67" spans="1:19" ht="12.75" customHeight="1" x14ac:dyDescent="0.2">
      <c r="A67" s="120"/>
      <c r="B67" s="120"/>
      <c r="C67" s="120"/>
      <c r="D67" s="120"/>
      <c r="E67" s="120"/>
      <c r="S67" s="331"/>
    </row>
    <row r="68" spans="1:19" ht="12.75" customHeight="1" x14ac:dyDescent="0.2">
      <c r="A68" s="120"/>
      <c r="B68" s="120"/>
      <c r="C68" s="120"/>
      <c r="D68" s="120"/>
      <c r="E68" s="120"/>
      <c r="S68" s="331"/>
    </row>
    <row r="69" spans="1:19" ht="12.75" customHeight="1" x14ac:dyDescent="0.2">
      <c r="A69" s="120"/>
      <c r="B69" s="120"/>
      <c r="C69" s="120"/>
      <c r="D69" s="120"/>
      <c r="E69" s="120"/>
      <c r="S69" s="331"/>
    </row>
    <row r="70" spans="1:19" ht="12.75" customHeight="1" x14ac:dyDescent="0.2">
      <c r="A70" s="120"/>
      <c r="B70" s="120"/>
      <c r="C70" s="120"/>
      <c r="D70" s="120"/>
      <c r="E70" s="120"/>
      <c r="S70" s="331"/>
    </row>
    <row r="71" spans="1:19" ht="12.75" customHeight="1" x14ac:dyDescent="0.2">
      <c r="A71" s="120"/>
      <c r="B71" s="120"/>
      <c r="C71" s="120"/>
      <c r="D71" s="120"/>
      <c r="E71" s="120"/>
      <c r="S71" s="331"/>
    </row>
    <row r="72" spans="1:19" ht="12.75" customHeight="1" x14ac:dyDescent="0.2">
      <c r="A72" s="120"/>
      <c r="B72" s="120"/>
      <c r="C72" s="120"/>
      <c r="D72" s="120"/>
      <c r="E72" s="120"/>
      <c r="S72" s="331"/>
    </row>
    <row r="73" spans="1:19" ht="12.75" customHeight="1" x14ac:dyDescent="0.2">
      <c r="A73" s="120"/>
      <c r="B73" s="120"/>
      <c r="C73" s="120"/>
      <c r="D73" s="120"/>
      <c r="E73" s="120"/>
      <c r="S73" s="331"/>
    </row>
    <row r="74" spans="1:19" ht="12.75" customHeight="1" x14ac:dyDescent="0.2">
      <c r="A74" s="120"/>
      <c r="B74" s="120"/>
      <c r="C74" s="120"/>
      <c r="D74" s="120"/>
      <c r="E74" s="120"/>
      <c r="S74" s="331"/>
    </row>
    <row r="75" spans="1:19" ht="12.75" customHeight="1" x14ac:dyDescent="0.2">
      <c r="A75" s="120"/>
      <c r="B75" s="120"/>
      <c r="C75" s="120"/>
      <c r="D75" s="120"/>
      <c r="E75" s="120"/>
      <c r="S75" s="331"/>
    </row>
    <row r="76" spans="1:19" ht="12.75" customHeight="1" x14ac:dyDescent="0.2">
      <c r="A76" s="120"/>
      <c r="B76" s="120"/>
      <c r="C76" s="120"/>
      <c r="D76" s="120"/>
      <c r="E76" s="120"/>
      <c r="S76" s="331"/>
    </row>
    <row r="77" spans="1:19" ht="12.75" customHeight="1" x14ac:dyDescent="0.2">
      <c r="A77" s="120"/>
      <c r="B77" s="120"/>
      <c r="C77" s="120"/>
      <c r="D77" s="120"/>
      <c r="E77" s="120"/>
      <c r="S77" s="331"/>
    </row>
    <row r="78" spans="1:19" ht="12.75" customHeight="1" x14ac:dyDescent="0.2">
      <c r="A78" s="120"/>
      <c r="B78" s="120"/>
      <c r="C78" s="120"/>
      <c r="D78" s="120"/>
      <c r="E78" s="120"/>
      <c r="S78" s="331"/>
    </row>
    <row r="79" spans="1:19" ht="12.75" customHeight="1" x14ac:dyDescent="0.2">
      <c r="A79" s="120"/>
      <c r="B79" s="120"/>
      <c r="C79" s="120"/>
      <c r="D79" s="120"/>
      <c r="E79" s="120"/>
      <c r="S79" s="331"/>
    </row>
    <row r="80" spans="1:19" ht="12.75" customHeight="1" x14ac:dyDescent="0.2">
      <c r="A80" s="120"/>
      <c r="B80" s="120"/>
      <c r="C80" s="120"/>
      <c r="D80" s="120"/>
      <c r="E80" s="120"/>
      <c r="S80" s="331"/>
    </row>
    <row r="81" spans="1:19" ht="12.75" customHeight="1" x14ac:dyDescent="0.2">
      <c r="A81" s="120"/>
      <c r="B81" s="120"/>
      <c r="C81" s="120"/>
      <c r="D81" s="120"/>
      <c r="E81" s="120"/>
      <c r="S81" s="331"/>
    </row>
    <row r="82" spans="1:19" ht="12.75" customHeight="1" x14ac:dyDescent="0.2">
      <c r="A82" s="120"/>
      <c r="B82" s="120"/>
      <c r="C82" s="120"/>
      <c r="D82" s="120"/>
      <c r="E82" s="120"/>
      <c r="S82" s="331"/>
    </row>
    <row r="83" spans="1:19" ht="12.75" customHeight="1" x14ac:dyDescent="0.2">
      <c r="A83" s="120"/>
      <c r="B83" s="120"/>
      <c r="C83" s="120"/>
      <c r="D83" s="120"/>
      <c r="E83" s="120"/>
      <c r="S83" s="331"/>
    </row>
    <row r="84" spans="1:19" ht="12.75" customHeight="1" x14ac:dyDescent="0.2">
      <c r="A84" s="120"/>
      <c r="B84" s="120"/>
      <c r="C84" s="120"/>
      <c r="D84" s="120"/>
      <c r="E84" s="120"/>
      <c r="S84" s="331"/>
    </row>
    <row r="85" spans="1:19" ht="12.75" customHeight="1" x14ac:dyDescent="0.2">
      <c r="A85" s="120"/>
      <c r="B85" s="120"/>
      <c r="C85" s="120"/>
      <c r="D85" s="120"/>
      <c r="E85" s="120"/>
      <c r="S85" s="331"/>
    </row>
    <row r="86" spans="1:19" ht="12.75" customHeight="1" x14ac:dyDescent="0.2">
      <c r="A86" s="120"/>
      <c r="B86" s="120"/>
      <c r="C86" s="120"/>
      <c r="D86" s="120"/>
      <c r="E86" s="120"/>
      <c r="S86" s="331"/>
    </row>
    <row r="87" spans="1:19" ht="12.75" customHeight="1" x14ac:dyDescent="0.2">
      <c r="A87" s="120"/>
      <c r="B87" s="120"/>
      <c r="C87" s="120"/>
      <c r="D87" s="120"/>
      <c r="E87" s="120"/>
      <c r="S87" s="331"/>
    </row>
    <row r="88" spans="1:19" ht="12.75" customHeight="1" x14ac:dyDescent="0.2">
      <c r="A88" s="120"/>
      <c r="B88" s="120"/>
      <c r="C88" s="120"/>
      <c r="D88" s="120"/>
      <c r="E88" s="120"/>
      <c r="S88" s="331"/>
    </row>
    <row r="89" spans="1:19" ht="12.75" customHeight="1" x14ac:dyDescent="0.2">
      <c r="A89" s="120"/>
      <c r="B89" s="120"/>
      <c r="C89" s="120"/>
      <c r="D89" s="120"/>
      <c r="E89" s="120"/>
      <c r="S89" s="331"/>
    </row>
    <row r="90" spans="1:19" ht="12.75" customHeight="1" x14ac:dyDescent="0.2">
      <c r="A90" s="120"/>
      <c r="B90" s="120"/>
      <c r="C90" s="120"/>
      <c r="D90" s="120"/>
      <c r="E90" s="120"/>
      <c r="S90" s="331"/>
    </row>
    <row r="91" spans="1:19" ht="12.75" customHeight="1" x14ac:dyDescent="0.2">
      <c r="A91" s="120"/>
      <c r="B91" s="120"/>
      <c r="C91" s="120"/>
      <c r="D91" s="120"/>
      <c r="E91" s="120"/>
      <c r="S91" s="331"/>
    </row>
    <row r="92" spans="1:19" ht="12.75" customHeight="1" x14ac:dyDescent="0.2">
      <c r="A92" s="120"/>
      <c r="B92" s="120"/>
      <c r="C92" s="120"/>
      <c r="D92" s="120"/>
      <c r="E92" s="120"/>
      <c r="S92" s="331"/>
    </row>
    <row r="93" spans="1:19" ht="12.75" customHeight="1" x14ac:dyDescent="0.2">
      <c r="A93" s="120"/>
      <c r="B93" s="120"/>
      <c r="C93" s="120"/>
      <c r="D93" s="120"/>
      <c r="E93" s="120"/>
      <c r="S93" s="331"/>
    </row>
    <row r="94" spans="1:19" ht="12.75" customHeight="1" x14ac:dyDescent="0.2">
      <c r="A94" s="120"/>
      <c r="B94" s="120"/>
      <c r="C94" s="120"/>
      <c r="D94" s="120"/>
      <c r="E94" s="120"/>
      <c r="S94" s="331"/>
    </row>
    <row r="95" spans="1:19" ht="12.75" customHeight="1" x14ac:dyDescent="0.2">
      <c r="A95" s="120"/>
      <c r="B95" s="120"/>
      <c r="C95" s="120"/>
      <c r="D95" s="120"/>
      <c r="E95" s="120"/>
      <c r="S95" s="331"/>
    </row>
    <row r="96" spans="1:19" ht="12.75" customHeight="1" x14ac:dyDescent="0.2">
      <c r="A96" s="120"/>
      <c r="B96" s="120"/>
      <c r="C96" s="120"/>
      <c r="D96" s="120"/>
      <c r="E96" s="120"/>
      <c r="S96" s="331"/>
    </row>
    <row r="97" spans="1:19" ht="12.75" customHeight="1" x14ac:dyDescent="0.2">
      <c r="A97" s="120"/>
      <c r="B97" s="120"/>
      <c r="C97" s="120"/>
      <c r="D97" s="120"/>
      <c r="E97" s="120"/>
      <c r="S97" s="331"/>
    </row>
    <row r="98" spans="1:19" ht="12.75" customHeight="1" x14ac:dyDescent="0.2">
      <c r="A98" s="120"/>
      <c r="B98" s="120"/>
      <c r="C98" s="120"/>
      <c r="D98" s="120"/>
      <c r="E98" s="120"/>
      <c r="S98" s="331"/>
    </row>
    <row r="99" spans="1:19" ht="12.75" customHeight="1" x14ac:dyDescent="0.2">
      <c r="A99" s="120"/>
      <c r="B99" s="120"/>
      <c r="C99" s="120"/>
      <c r="D99" s="120"/>
      <c r="E99" s="120"/>
      <c r="S99" s="331"/>
    </row>
    <row r="100" spans="1:19" ht="12.75" customHeight="1" x14ac:dyDescent="0.2">
      <c r="A100" s="120"/>
      <c r="B100" s="120"/>
      <c r="C100" s="120"/>
      <c r="D100" s="120"/>
      <c r="E100" s="120"/>
      <c r="S100" s="331"/>
    </row>
    <row r="101" spans="1:19" ht="12.75" customHeight="1" x14ac:dyDescent="0.2">
      <c r="A101" s="120"/>
      <c r="B101" s="120"/>
      <c r="C101" s="120"/>
      <c r="D101" s="120"/>
      <c r="E101" s="120"/>
      <c r="S101" s="331"/>
    </row>
    <row r="102" spans="1:19" ht="12.75" customHeight="1" x14ac:dyDescent="0.2">
      <c r="A102" s="120"/>
      <c r="B102" s="120"/>
      <c r="C102" s="120"/>
      <c r="D102" s="120"/>
      <c r="E102" s="120"/>
      <c r="S102" s="331"/>
    </row>
    <row r="103" spans="1:19" ht="12.75" customHeight="1" x14ac:dyDescent="0.2">
      <c r="A103" s="120"/>
      <c r="B103" s="120"/>
      <c r="C103" s="120"/>
      <c r="D103" s="120"/>
      <c r="E103" s="120"/>
      <c r="S103" s="331"/>
    </row>
    <row r="104" spans="1:19" ht="12.75" customHeight="1" x14ac:dyDescent="0.2">
      <c r="A104" s="120"/>
      <c r="B104" s="120"/>
      <c r="C104" s="120"/>
      <c r="D104" s="120"/>
      <c r="E104" s="120"/>
      <c r="S104" s="331"/>
    </row>
    <row r="105" spans="1:19" ht="12.75" customHeight="1" x14ac:dyDescent="0.2">
      <c r="A105" s="120"/>
      <c r="B105" s="120"/>
      <c r="C105" s="120"/>
      <c r="D105" s="120"/>
      <c r="E105" s="120"/>
      <c r="S105" s="331"/>
    </row>
    <row r="106" spans="1:19" ht="12.75" customHeight="1" x14ac:dyDescent="0.2">
      <c r="A106" s="120"/>
      <c r="B106" s="120"/>
      <c r="C106" s="120"/>
      <c r="D106" s="120"/>
      <c r="E106" s="120"/>
      <c r="S106" s="331"/>
    </row>
    <row r="107" spans="1:19" ht="12.75" customHeight="1" x14ac:dyDescent="0.2">
      <c r="A107" s="120"/>
      <c r="B107" s="120"/>
      <c r="C107" s="120"/>
      <c r="D107" s="120"/>
      <c r="E107" s="120"/>
      <c r="S107" s="331"/>
    </row>
    <row r="108" spans="1:19" ht="12.75" customHeight="1" x14ac:dyDescent="0.2">
      <c r="A108" s="120"/>
      <c r="B108" s="120"/>
      <c r="C108" s="120"/>
      <c r="D108" s="120"/>
      <c r="E108" s="120"/>
      <c r="S108" s="331"/>
    </row>
    <row r="109" spans="1:19" ht="12.75" customHeight="1" x14ac:dyDescent="0.2">
      <c r="A109" s="120"/>
      <c r="B109" s="120"/>
      <c r="C109" s="120"/>
      <c r="D109" s="120"/>
      <c r="E109" s="120"/>
      <c r="S109" s="331"/>
    </row>
    <row r="110" spans="1:19" ht="12.75" customHeight="1" x14ac:dyDescent="0.2">
      <c r="A110" s="120"/>
      <c r="B110" s="120"/>
      <c r="C110" s="120"/>
      <c r="D110" s="120"/>
      <c r="E110" s="120"/>
      <c r="S110" s="331"/>
    </row>
    <row r="111" spans="1:19" ht="12.75" customHeight="1" x14ac:dyDescent="0.2">
      <c r="A111" s="120"/>
      <c r="B111" s="120"/>
      <c r="C111" s="120"/>
      <c r="D111" s="120"/>
      <c r="E111" s="120"/>
      <c r="S111" s="331"/>
    </row>
    <row r="112" spans="1:19" ht="12.75" customHeight="1" x14ac:dyDescent="0.2">
      <c r="A112" s="120"/>
      <c r="B112" s="120"/>
      <c r="C112" s="120"/>
      <c r="D112" s="120"/>
      <c r="E112" s="120"/>
      <c r="S112" s="331"/>
    </row>
    <row r="113" spans="1:19" ht="12.75" customHeight="1" x14ac:dyDescent="0.2">
      <c r="A113" s="120"/>
      <c r="B113" s="120"/>
      <c r="C113" s="120"/>
      <c r="D113" s="120"/>
      <c r="E113" s="120"/>
      <c r="S113" s="331"/>
    </row>
    <row r="114" spans="1:19" ht="12.75" customHeight="1" x14ac:dyDescent="0.2">
      <c r="A114" s="120"/>
      <c r="B114" s="120"/>
      <c r="C114" s="120"/>
      <c r="D114" s="120"/>
      <c r="E114" s="120"/>
      <c r="S114" s="331"/>
    </row>
    <row r="115" spans="1:19" ht="12.75" customHeight="1" x14ac:dyDescent="0.2">
      <c r="A115" s="120"/>
      <c r="B115" s="120"/>
      <c r="C115" s="120"/>
      <c r="D115" s="120"/>
      <c r="E115" s="120"/>
      <c r="S115" s="331"/>
    </row>
    <row r="116" spans="1:19" ht="12.75" customHeight="1" x14ac:dyDescent="0.2">
      <c r="A116" s="120"/>
      <c r="B116" s="120"/>
      <c r="C116" s="120"/>
      <c r="D116" s="120"/>
      <c r="E116" s="120"/>
      <c r="S116" s="331"/>
    </row>
    <row r="117" spans="1:19" ht="12.75" customHeight="1" x14ac:dyDescent="0.2">
      <c r="A117" s="120"/>
      <c r="B117" s="120"/>
      <c r="C117" s="120"/>
      <c r="D117" s="120"/>
      <c r="E117" s="120"/>
      <c r="S117" s="331"/>
    </row>
    <row r="118" spans="1:19" ht="12.75" customHeight="1" x14ac:dyDescent="0.2">
      <c r="A118" s="120"/>
      <c r="B118" s="120"/>
      <c r="C118" s="120"/>
      <c r="D118" s="120"/>
      <c r="E118" s="120"/>
      <c r="S118" s="331"/>
    </row>
    <row r="119" spans="1:19" ht="12.75" customHeight="1" x14ac:dyDescent="0.2">
      <c r="A119" s="120"/>
      <c r="B119" s="120"/>
      <c r="C119" s="120"/>
      <c r="D119" s="120"/>
      <c r="E119" s="120"/>
      <c r="S119" s="331"/>
    </row>
    <row r="120" spans="1:19" ht="12.75" customHeight="1" x14ac:dyDescent="0.2">
      <c r="A120" s="120"/>
      <c r="B120" s="120"/>
      <c r="C120" s="120"/>
      <c r="D120" s="120"/>
      <c r="E120" s="120"/>
      <c r="S120" s="331"/>
    </row>
    <row r="121" spans="1:19" ht="12.75" customHeight="1" x14ac:dyDescent="0.2">
      <c r="A121" s="120"/>
      <c r="B121" s="120"/>
      <c r="C121" s="120"/>
      <c r="D121" s="120"/>
      <c r="E121" s="120"/>
      <c r="S121" s="331"/>
    </row>
    <row r="122" spans="1:19" ht="12.75" customHeight="1" x14ac:dyDescent="0.2">
      <c r="A122" s="120"/>
      <c r="B122" s="120"/>
      <c r="C122" s="120"/>
      <c r="D122" s="120"/>
      <c r="E122" s="120"/>
      <c r="S122" s="331"/>
    </row>
    <row r="123" spans="1:19" ht="12.75" customHeight="1" x14ac:dyDescent="0.2">
      <c r="A123" s="120"/>
      <c r="B123" s="120"/>
      <c r="C123" s="120"/>
      <c r="D123" s="120"/>
      <c r="E123" s="120"/>
      <c r="S123" s="331"/>
    </row>
    <row r="124" spans="1:19" ht="12.75" customHeight="1" x14ac:dyDescent="0.2">
      <c r="A124" s="120"/>
      <c r="B124" s="120"/>
      <c r="C124" s="120"/>
      <c r="D124" s="120"/>
      <c r="E124" s="120"/>
      <c r="S124" s="331"/>
    </row>
    <row r="125" spans="1:19" ht="12.75" customHeight="1" x14ac:dyDescent="0.2">
      <c r="A125" s="120"/>
      <c r="B125" s="120"/>
      <c r="C125" s="120"/>
      <c r="D125" s="120"/>
      <c r="E125" s="120"/>
      <c r="S125" s="331"/>
    </row>
    <row r="126" spans="1:19" ht="12.75" customHeight="1" x14ac:dyDescent="0.2">
      <c r="A126" s="120"/>
      <c r="B126" s="120"/>
      <c r="C126" s="120"/>
      <c r="D126" s="120"/>
      <c r="E126" s="120"/>
      <c r="S126" s="331"/>
    </row>
    <row r="127" spans="1:19" ht="12.75" customHeight="1" x14ac:dyDescent="0.2">
      <c r="A127" s="120"/>
      <c r="B127" s="120"/>
      <c r="C127" s="120"/>
      <c r="D127" s="120"/>
      <c r="E127" s="120"/>
      <c r="S127" s="331"/>
    </row>
    <row r="128" spans="1:19" ht="12.75" customHeight="1" x14ac:dyDescent="0.2">
      <c r="A128" s="120"/>
      <c r="B128" s="120"/>
      <c r="C128" s="120"/>
      <c r="D128" s="120"/>
      <c r="E128" s="120"/>
      <c r="S128" s="331"/>
    </row>
    <row r="129" spans="1:19" ht="12.75" customHeight="1" x14ac:dyDescent="0.2">
      <c r="A129" s="120"/>
      <c r="B129" s="120"/>
      <c r="C129" s="120"/>
      <c r="D129" s="120"/>
      <c r="E129" s="120"/>
      <c r="S129" s="331"/>
    </row>
    <row r="130" spans="1:19" ht="12.75" customHeight="1" x14ac:dyDescent="0.2">
      <c r="A130" s="120"/>
      <c r="B130" s="120"/>
      <c r="C130" s="120"/>
      <c r="D130" s="120"/>
      <c r="E130" s="120"/>
      <c r="S130" s="331"/>
    </row>
    <row r="131" spans="1:19" ht="12.75" customHeight="1" x14ac:dyDescent="0.2">
      <c r="A131" s="120"/>
      <c r="B131" s="120"/>
      <c r="C131" s="120"/>
      <c r="D131" s="120"/>
      <c r="E131" s="120"/>
      <c r="S131" s="331"/>
    </row>
    <row r="132" spans="1:19" ht="12.75" customHeight="1" x14ac:dyDescent="0.2">
      <c r="A132" s="120"/>
      <c r="B132" s="120"/>
      <c r="C132" s="120"/>
      <c r="D132" s="120"/>
      <c r="E132" s="120"/>
      <c r="S132" s="331"/>
    </row>
    <row r="133" spans="1:19" ht="12.75" customHeight="1" x14ac:dyDescent="0.2">
      <c r="A133" s="120"/>
      <c r="B133" s="120"/>
      <c r="C133" s="120"/>
      <c r="D133" s="120"/>
      <c r="E133" s="120"/>
      <c r="S133" s="331"/>
    </row>
    <row r="134" spans="1:19" ht="12.75" customHeight="1" x14ac:dyDescent="0.2">
      <c r="A134" s="120"/>
      <c r="B134" s="120"/>
      <c r="C134" s="120"/>
      <c r="D134" s="120"/>
      <c r="E134" s="120"/>
      <c r="S134" s="331"/>
    </row>
    <row r="135" spans="1:19" ht="12.75" customHeight="1" x14ac:dyDescent="0.2">
      <c r="A135" s="120"/>
      <c r="B135" s="120"/>
      <c r="C135" s="120"/>
      <c r="D135" s="120"/>
      <c r="E135" s="120"/>
      <c r="S135" s="331"/>
    </row>
    <row r="136" spans="1:19" ht="12.75" customHeight="1" x14ac:dyDescent="0.2">
      <c r="A136" s="120"/>
      <c r="B136" s="120"/>
      <c r="C136" s="120"/>
      <c r="D136" s="120"/>
      <c r="E136" s="120"/>
      <c r="S136" s="331"/>
    </row>
    <row r="137" spans="1:19" ht="12.75" customHeight="1" x14ac:dyDescent="0.2">
      <c r="A137" s="120"/>
      <c r="B137" s="120"/>
      <c r="C137" s="120"/>
      <c r="D137" s="120"/>
      <c r="E137" s="120"/>
      <c r="S137" s="331"/>
    </row>
    <row r="138" spans="1:19" ht="12.75" customHeight="1" x14ac:dyDescent="0.2">
      <c r="A138" s="120"/>
      <c r="B138" s="120"/>
      <c r="C138" s="120"/>
      <c r="D138" s="120"/>
      <c r="E138" s="120"/>
      <c r="S138" s="331"/>
    </row>
    <row r="139" spans="1:19" ht="12.75" customHeight="1" x14ac:dyDescent="0.2">
      <c r="A139" s="120"/>
      <c r="B139" s="120"/>
      <c r="C139" s="120"/>
      <c r="D139" s="120"/>
      <c r="E139" s="120"/>
      <c r="S139" s="331"/>
    </row>
    <row r="140" spans="1:19" ht="12.75" customHeight="1" x14ac:dyDescent="0.2">
      <c r="A140" s="120"/>
      <c r="B140" s="120"/>
      <c r="C140" s="120"/>
      <c r="D140" s="120"/>
      <c r="E140" s="120"/>
      <c r="S140" s="331"/>
    </row>
    <row r="141" spans="1:19" ht="12.75" customHeight="1" x14ac:dyDescent="0.2">
      <c r="A141" s="120"/>
      <c r="B141" s="120"/>
      <c r="C141" s="120"/>
      <c r="D141" s="120"/>
      <c r="E141" s="120"/>
      <c r="S141" s="331"/>
    </row>
    <row r="142" spans="1:19" ht="12.75" customHeight="1" x14ac:dyDescent="0.2">
      <c r="A142" s="120"/>
      <c r="B142" s="120"/>
      <c r="C142" s="120"/>
      <c r="D142" s="120"/>
      <c r="E142" s="120"/>
      <c r="S142" s="331"/>
    </row>
    <row r="143" spans="1:19" ht="12.75" customHeight="1" x14ac:dyDescent="0.2">
      <c r="A143" s="120"/>
      <c r="B143" s="120"/>
      <c r="C143" s="120"/>
      <c r="D143" s="120"/>
      <c r="E143" s="120"/>
      <c r="S143" s="331"/>
    </row>
    <row r="144" spans="1:19" ht="12.75" customHeight="1" x14ac:dyDescent="0.2">
      <c r="A144" s="120"/>
      <c r="B144" s="120"/>
      <c r="C144" s="120"/>
      <c r="D144" s="120"/>
      <c r="E144" s="120"/>
      <c r="S144" s="331"/>
    </row>
    <row r="145" spans="1:19" ht="12.75" customHeight="1" x14ac:dyDescent="0.2">
      <c r="A145" s="120"/>
      <c r="B145" s="120"/>
      <c r="C145" s="120"/>
      <c r="D145" s="120"/>
      <c r="E145" s="120"/>
      <c r="S145" s="331"/>
    </row>
    <row r="146" spans="1:19" ht="12.75" customHeight="1" x14ac:dyDescent="0.2">
      <c r="A146" s="120"/>
      <c r="B146" s="120"/>
      <c r="C146" s="120"/>
      <c r="D146" s="120"/>
      <c r="E146" s="120"/>
      <c r="S146" s="331"/>
    </row>
    <row r="147" spans="1:19" ht="12.75" customHeight="1" x14ac:dyDescent="0.2">
      <c r="A147" s="120"/>
      <c r="B147" s="120"/>
      <c r="C147" s="120"/>
      <c r="D147" s="120"/>
      <c r="E147" s="120"/>
      <c r="S147" s="331"/>
    </row>
    <row r="148" spans="1:19" ht="12.75" customHeight="1" x14ac:dyDescent="0.2">
      <c r="A148" s="120"/>
      <c r="B148" s="120"/>
      <c r="C148" s="120"/>
      <c r="D148" s="120"/>
      <c r="E148" s="120"/>
      <c r="S148" s="331"/>
    </row>
    <row r="149" spans="1:19" ht="12.75" customHeight="1" x14ac:dyDescent="0.2">
      <c r="A149" s="120"/>
      <c r="B149" s="120"/>
      <c r="C149" s="120"/>
      <c r="D149" s="120"/>
      <c r="E149" s="120"/>
      <c r="S149" s="331"/>
    </row>
    <row r="150" spans="1:19" ht="12.75" customHeight="1" x14ac:dyDescent="0.2">
      <c r="A150" s="120"/>
      <c r="B150" s="120"/>
      <c r="C150" s="120"/>
      <c r="D150" s="120"/>
      <c r="E150" s="120"/>
      <c r="S150" s="331"/>
    </row>
    <row r="151" spans="1:19" ht="12.75" customHeight="1" x14ac:dyDescent="0.2">
      <c r="A151" s="120"/>
      <c r="B151" s="120"/>
      <c r="C151" s="120"/>
      <c r="D151" s="120"/>
      <c r="E151" s="120"/>
      <c r="S151" s="331"/>
    </row>
    <row r="152" spans="1:19" ht="12.75" customHeight="1" x14ac:dyDescent="0.2">
      <c r="A152" s="120"/>
      <c r="B152" s="120"/>
      <c r="C152" s="120"/>
      <c r="D152" s="120"/>
      <c r="E152" s="120"/>
      <c r="S152" s="331"/>
    </row>
    <row r="153" spans="1:19" ht="12.75" customHeight="1" x14ac:dyDescent="0.2">
      <c r="A153" s="120"/>
      <c r="B153" s="120"/>
      <c r="C153" s="120"/>
      <c r="D153" s="120"/>
      <c r="E153" s="120"/>
      <c r="S153" s="331"/>
    </row>
    <row r="154" spans="1:19" ht="12.75" customHeight="1" x14ac:dyDescent="0.2">
      <c r="A154" s="120"/>
      <c r="B154" s="120"/>
      <c r="C154" s="120"/>
      <c r="D154" s="120"/>
      <c r="E154" s="120"/>
      <c r="S154" s="331"/>
    </row>
    <row r="155" spans="1:19" ht="12.75" customHeight="1" x14ac:dyDescent="0.2">
      <c r="A155" s="120"/>
      <c r="B155" s="120"/>
      <c r="C155" s="120"/>
      <c r="D155" s="120"/>
      <c r="E155" s="120"/>
      <c r="S155" s="331"/>
    </row>
    <row r="156" spans="1:19" ht="12.75" customHeight="1" x14ac:dyDescent="0.2">
      <c r="A156" s="120"/>
      <c r="B156" s="120"/>
      <c r="C156" s="120"/>
      <c r="D156" s="120"/>
      <c r="E156" s="120"/>
      <c r="S156" s="331"/>
    </row>
    <row r="157" spans="1:19" ht="12.75" customHeight="1" x14ac:dyDescent="0.2">
      <c r="A157" s="120"/>
      <c r="B157" s="120"/>
      <c r="C157" s="120"/>
      <c r="D157" s="120"/>
      <c r="E157" s="120"/>
      <c r="S157" s="331"/>
    </row>
    <row r="158" spans="1:19" ht="12.75" customHeight="1" x14ac:dyDescent="0.2">
      <c r="A158" s="120"/>
      <c r="B158" s="120"/>
      <c r="C158" s="120"/>
      <c r="D158" s="120"/>
      <c r="E158" s="120"/>
      <c r="S158" s="331"/>
    </row>
    <row r="159" spans="1:19" ht="12.75" customHeight="1" x14ac:dyDescent="0.2">
      <c r="A159" s="120"/>
      <c r="B159" s="120"/>
      <c r="C159" s="120"/>
      <c r="D159" s="120"/>
      <c r="E159" s="120"/>
      <c r="S159" s="331"/>
    </row>
    <row r="160" spans="1:19" ht="12.75" customHeight="1" x14ac:dyDescent="0.2">
      <c r="A160" s="120"/>
      <c r="B160" s="120"/>
      <c r="C160" s="120"/>
      <c r="D160" s="120"/>
      <c r="E160" s="120"/>
      <c r="S160" s="331"/>
    </row>
    <row r="161" spans="1:19" ht="12.75" customHeight="1" x14ac:dyDescent="0.2">
      <c r="A161" s="120"/>
      <c r="B161" s="120"/>
      <c r="C161" s="120"/>
      <c r="D161" s="120"/>
      <c r="E161" s="120"/>
      <c r="S161" s="331"/>
    </row>
    <row r="162" spans="1:19" ht="12.75" customHeight="1" x14ac:dyDescent="0.2">
      <c r="A162" s="120"/>
      <c r="B162" s="120"/>
      <c r="C162" s="120"/>
      <c r="D162" s="120"/>
      <c r="E162" s="120"/>
      <c r="S162" s="331"/>
    </row>
    <row r="163" spans="1:19" ht="12.75" customHeight="1" x14ac:dyDescent="0.2">
      <c r="A163" s="120"/>
      <c r="B163" s="120"/>
      <c r="C163" s="120"/>
      <c r="D163" s="120"/>
      <c r="E163" s="120"/>
      <c r="S163" s="331"/>
    </row>
    <row r="164" spans="1:19" ht="12.75" customHeight="1" x14ac:dyDescent="0.2">
      <c r="A164" s="120"/>
      <c r="B164" s="120"/>
      <c r="C164" s="120"/>
      <c r="D164" s="120"/>
      <c r="E164" s="120"/>
      <c r="S164" s="331"/>
    </row>
    <row r="165" spans="1:19" ht="12.75" customHeight="1" x14ac:dyDescent="0.2">
      <c r="A165" s="120"/>
      <c r="B165" s="120"/>
      <c r="C165" s="120"/>
      <c r="D165" s="120"/>
      <c r="E165" s="120"/>
      <c r="S165" s="331"/>
    </row>
    <row r="166" spans="1:19" ht="12.75" customHeight="1" x14ac:dyDescent="0.2">
      <c r="A166" s="120"/>
      <c r="B166" s="120"/>
      <c r="C166" s="120"/>
      <c r="D166" s="120"/>
      <c r="E166" s="120"/>
      <c r="S166" s="331"/>
    </row>
    <row r="167" spans="1:19" ht="12.75" customHeight="1" x14ac:dyDescent="0.2">
      <c r="A167" s="120"/>
      <c r="B167" s="120"/>
      <c r="C167" s="120"/>
      <c r="D167" s="120"/>
      <c r="E167" s="120"/>
      <c r="S167" s="331"/>
    </row>
    <row r="168" spans="1:19" ht="12.75" customHeight="1" x14ac:dyDescent="0.2">
      <c r="A168" s="120"/>
      <c r="B168" s="120"/>
      <c r="C168" s="120"/>
      <c r="D168" s="120"/>
      <c r="E168" s="120"/>
      <c r="S168" s="331"/>
    </row>
    <row r="169" spans="1:19" ht="12.75" customHeight="1" x14ac:dyDescent="0.2">
      <c r="A169" s="120"/>
      <c r="B169" s="120"/>
      <c r="C169" s="120"/>
      <c r="D169" s="120"/>
      <c r="E169" s="120"/>
      <c r="S169" s="331"/>
    </row>
    <row r="170" spans="1:19" ht="12.75" customHeight="1" x14ac:dyDescent="0.2">
      <c r="A170" s="120"/>
      <c r="B170" s="120"/>
      <c r="C170" s="120"/>
      <c r="D170" s="120"/>
      <c r="E170" s="120"/>
      <c r="S170" s="331"/>
    </row>
    <row r="171" spans="1:19" ht="12.75" customHeight="1" x14ac:dyDescent="0.2">
      <c r="A171" s="120"/>
      <c r="B171" s="120"/>
      <c r="C171" s="120"/>
      <c r="D171" s="120"/>
      <c r="E171" s="120"/>
      <c r="S171" s="331"/>
    </row>
    <row r="172" spans="1:19" ht="12.75" customHeight="1" x14ac:dyDescent="0.2">
      <c r="A172" s="120"/>
      <c r="B172" s="120"/>
      <c r="C172" s="120"/>
      <c r="D172" s="120"/>
      <c r="E172" s="120"/>
      <c r="S172" s="331"/>
    </row>
    <row r="173" spans="1:19" ht="12.75" customHeight="1" x14ac:dyDescent="0.2">
      <c r="A173" s="120"/>
      <c r="B173" s="120"/>
      <c r="C173" s="120"/>
      <c r="D173" s="120"/>
      <c r="E173" s="120"/>
      <c r="S173" s="331"/>
    </row>
    <row r="174" spans="1:19" ht="12.75" customHeight="1" x14ac:dyDescent="0.2">
      <c r="A174" s="120"/>
      <c r="B174" s="120"/>
      <c r="C174" s="120"/>
      <c r="D174" s="120"/>
      <c r="E174" s="120"/>
      <c r="S174" s="331"/>
    </row>
    <row r="175" spans="1:19" ht="12.75" customHeight="1" x14ac:dyDescent="0.2">
      <c r="A175" s="120"/>
      <c r="B175" s="120"/>
      <c r="C175" s="120"/>
      <c r="D175" s="120"/>
      <c r="E175" s="120"/>
      <c r="S175" s="331"/>
    </row>
    <row r="176" spans="1:19" ht="12.75" customHeight="1" x14ac:dyDescent="0.2">
      <c r="A176" s="120"/>
      <c r="B176" s="120"/>
      <c r="C176" s="120"/>
      <c r="D176" s="120"/>
      <c r="E176" s="120"/>
      <c r="S176" s="331"/>
    </row>
    <row r="177" spans="1:19" ht="12.75" customHeight="1" x14ac:dyDescent="0.2">
      <c r="A177" s="120"/>
      <c r="B177" s="120"/>
      <c r="C177" s="120"/>
      <c r="D177" s="120"/>
      <c r="E177" s="120"/>
      <c r="S177" s="331"/>
    </row>
    <row r="178" spans="1:19" ht="12.75" customHeight="1" x14ac:dyDescent="0.2">
      <c r="A178" s="120"/>
      <c r="B178" s="120"/>
      <c r="C178" s="120"/>
      <c r="D178" s="120"/>
      <c r="E178" s="120"/>
      <c r="S178" s="331"/>
    </row>
    <row r="179" spans="1:19" ht="12.75" customHeight="1" x14ac:dyDescent="0.2">
      <c r="A179" s="120"/>
      <c r="B179" s="120"/>
      <c r="C179" s="120"/>
      <c r="D179" s="120"/>
      <c r="E179" s="120"/>
    </row>
    <row r="180" spans="1:19" ht="12.75" customHeight="1" x14ac:dyDescent="0.2">
      <c r="A180" s="120"/>
      <c r="B180" s="120"/>
      <c r="C180" s="120"/>
      <c r="D180" s="120"/>
      <c r="E180" s="120"/>
    </row>
    <row r="181" spans="1:19" ht="12.75" customHeight="1" x14ac:dyDescent="0.2">
      <c r="A181" s="120"/>
      <c r="B181" s="120"/>
      <c r="C181" s="120"/>
      <c r="D181" s="120"/>
      <c r="E181" s="120"/>
    </row>
    <row r="182" spans="1:19" ht="12.75" customHeight="1" x14ac:dyDescent="0.2">
      <c r="A182" s="120"/>
      <c r="B182" s="120"/>
      <c r="C182" s="120"/>
      <c r="D182" s="120"/>
      <c r="E182" s="120"/>
    </row>
    <row r="183" spans="1:19" ht="12.75" customHeight="1" x14ac:dyDescent="0.2">
      <c r="A183" s="120"/>
      <c r="B183" s="120"/>
      <c r="C183" s="120"/>
      <c r="D183" s="120"/>
      <c r="E183" s="120"/>
    </row>
    <row r="184" spans="1:19" ht="12.75" customHeight="1" x14ac:dyDescent="0.2">
      <c r="A184" s="120"/>
      <c r="B184" s="120"/>
      <c r="C184" s="120"/>
      <c r="D184" s="120"/>
      <c r="E184" s="120"/>
    </row>
    <row r="185" spans="1:19" ht="12.75" customHeight="1" x14ac:dyDescent="0.2">
      <c r="A185" s="120"/>
      <c r="B185" s="120"/>
      <c r="C185" s="120"/>
      <c r="D185" s="120"/>
      <c r="E185" s="120"/>
    </row>
    <row r="186" spans="1:19" ht="12.75" customHeight="1" x14ac:dyDescent="0.2">
      <c r="A186" s="120"/>
      <c r="B186" s="120"/>
      <c r="C186" s="120"/>
      <c r="D186" s="120"/>
      <c r="E186" s="120"/>
    </row>
    <row r="187" spans="1:19" ht="12.75" customHeight="1" x14ac:dyDescent="0.2">
      <c r="A187" s="120"/>
      <c r="B187" s="120"/>
      <c r="C187" s="120"/>
      <c r="D187" s="120"/>
      <c r="E187" s="120"/>
    </row>
    <row r="188" spans="1:19" ht="12.75" customHeight="1" x14ac:dyDescent="0.2">
      <c r="A188" s="120"/>
      <c r="B188" s="120"/>
      <c r="C188" s="120"/>
      <c r="D188" s="120"/>
      <c r="E188" s="120"/>
    </row>
    <row r="189" spans="1:19" ht="12.75" customHeight="1" x14ac:dyDescent="0.2">
      <c r="A189" s="120"/>
      <c r="B189" s="120"/>
      <c r="C189" s="120"/>
      <c r="D189" s="120"/>
      <c r="E189" s="120"/>
    </row>
    <row r="190" spans="1:19" ht="12.75" customHeight="1" x14ac:dyDescent="0.2">
      <c r="A190" s="120"/>
      <c r="B190" s="120"/>
      <c r="C190" s="120"/>
      <c r="D190" s="120"/>
      <c r="E190" s="120"/>
    </row>
    <row r="191" spans="1:19" ht="12.75" customHeight="1" x14ac:dyDescent="0.2">
      <c r="A191" s="120"/>
      <c r="B191" s="120"/>
      <c r="C191" s="120"/>
      <c r="D191" s="120"/>
      <c r="E191" s="120"/>
    </row>
    <row r="192" spans="1:19" ht="12.75" customHeight="1" x14ac:dyDescent="0.2">
      <c r="A192" s="120"/>
      <c r="B192" s="120"/>
      <c r="C192" s="120"/>
      <c r="D192" s="120"/>
      <c r="E192" s="120"/>
    </row>
    <row r="193" spans="1:5" ht="12.75" customHeight="1" x14ac:dyDescent="0.2">
      <c r="A193" s="120"/>
      <c r="B193" s="120"/>
      <c r="C193" s="120"/>
      <c r="D193" s="120"/>
      <c r="E193" s="120"/>
    </row>
    <row r="194" spans="1:5" ht="12.75" customHeight="1" x14ac:dyDescent="0.2">
      <c r="A194" s="120"/>
      <c r="B194" s="120"/>
      <c r="C194" s="120"/>
      <c r="D194" s="120"/>
      <c r="E194" s="120"/>
    </row>
    <row r="195" spans="1:5" ht="12.75" customHeight="1" x14ac:dyDescent="0.2">
      <c r="A195" s="120"/>
      <c r="B195" s="120"/>
      <c r="C195" s="120"/>
      <c r="D195" s="120"/>
      <c r="E195" s="120"/>
    </row>
    <row r="196" spans="1:5" ht="12.75" customHeight="1" x14ac:dyDescent="0.2">
      <c r="A196" s="120"/>
      <c r="B196" s="120"/>
      <c r="C196" s="120"/>
      <c r="D196" s="120"/>
      <c r="E196" s="120"/>
    </row>
    <row r="197" spans="1:5" ht="12.75" customHeight="1" x14ac:dyDescent="0.2">
      <c r="A197" s="120"/>
      <c r="B197" s="120"/>
      <c r="C197" s="120"/>
      <c r="D197" s="120"/>
      <c r="E197" s="120"/>
    </row>
    <row r="198" spans="1:5" ht="12.75" customHeight="1" x14ac:dyDescent="0.2">
      <c r="A198" s="120"/>
      <c r="B198" s="120"/>
      <c r="C198" s="120"/>
      <c r="D198" s="120"/>
      <c r="E198" s="120"/>
    </row>
    <row r="199" spans="1:5" ht="12.75" customHeight="1" x14ac:dyDescent="0.2">
      <c r="A199" s="120"/>
      <c r="B199" s="120"/>
      <c r="C199" s="120"/>
      <c r="D199" s="120"/>
      <c r="E199" s="120"/>
    </row>
    <row r="200" spans="1:5" ht="12.75" customHeight="1" x14ac:dyDescent="0.2">
      <c r="A200" s="120"/>
      <c r="B200" s="120"/>
      <c r="C200" s="120"/>
      <c r="D200" s="120"/>
      <c r="E200" s="120"/>
    </row>
    <row r="201" spans="1:5" ht="12.75" customHeight="1" x14ac:dyDescent="0.2">
      <c r="A201" s="120"/>
      <c r="B201" s="120"/>
      <c r="C201" s="120"/>
      <c r="D201" s="120"/>
      <c r="E201" s="120"/>
    </row>
    <row r="202" spans="1:5" ht="12.75" customHeight="1" x14ac:dyDescent="0.2">
      <c r="A202" s="120"/>
      <c r="B202" s="120"/>
      <c r="C202" s="120"/>
      <c r="D202" s="120"/>
      <c r="E202" s="120"/>
    </row>
    <row r="203" spans="1:5" ht="12.75" customHeight="1" x14ac:dyDescent="0.2">
      <c r="A203" s="120"/>
      <c r="B203" s="120"/>
      <c r="C203" s="120"/>
      <c r="D203" s="120"/>
      <c r="E203" s="120"/>
    </row>
    <row r="204" spans="1:5" ht="12.75" customHeight="1" x14ac:dyDescent="0.2">
      <c r="A204" s="120"/>
      <c r="B204" s="120"/>
      <c r="C204" s="120"/>
      <c r="D204" s="120"/>
      <c r="E204" s="120"/>
    </row>
    <row r="205" spans="1:5" ht="12.75" customHeight="1" x14ac:dyDescent="0.2">
      <c r="A205" s="120"/>
      <c r="B205" s="120"/>
      <c r="C205" s="120"/>
      <c r="D205" s="120"/>
      <c r="E205" s="120"/>
    </row>
    <row r="206" spans="1:5" ht="12.75" customHeight="1" x14ac:dyDescent="0.2">
      <c r="A206" s="120"/>
      <c r="B206" s="120"/>
      <c r="C206" s="120"/>
      <c r="D206" s="120"/>
      <c r="E206" s="120"/>
    </row>
    <row r="207" spans="1:5" ht="12.75" customHeight="1" x14ac:dyDescent="0.2">
      <c r="A207" s="120"/>
      <c r="B207" s="120"/>
      <c r="C207" s="120"/>
      <c r="D207" s="120"/>
      <c r="E207" s="120"/>
    </row>
    <row r="208" spans="1:5" ht="12.75" customHeight="1" x14ac:dyDescent="0.2">
      <c r="A208" s="120"/>
      <c r="B208" s="120"/>
      <c r="C208" s="120"/>
      <c r="D208" s="120"/>
      <c r="E208" s="120"/>
    </row>
    <row r="209" spans="1:5" ht="12.75" customHeight="1" x14ac:dyDescent="0.2">
      <c r="A209" s="120"/>
      <c r="B209" s="120"/>
      <c r="C209" s="120"/>
      <c r="D209" s="120"/>
      <c r="E209" s="120"/>
    </row>
    <row r="210" spans="1:5" ht="12.75" customHeight="1" x14ac:dyDescent="0.2">
      <c r="A210" s="120"/>
      <c r="B210" s="120"/>
      <c r="C210" s="120"/>
      <c r="D210" s="120"/>
      <c r="E210" s="120"/>
    </row>
    <row r="211" spans="1:5" ht="12.75" customHeight="1" x14ac:dyDescent="0.2">
      <c r="A211" s="120"/>
      <c r="B211" s="120"/>
      <c r="C211" s="120"/>
      <c r="D211" s="120"/>
      <c r="E211" s="120"/>
    </row>
    <row r="212" spans="1:5" ht="12.75" customHeight="1" x14ac:dyDescent="0.2">
      <c r="A212" s="120"/>
      <c r="B212" s="120"/>
      <c r="C212" s="120"/>
      <c r="D212" s="120"/>
      <c r="E212" s="120"/>
    </row>
    <row r="213" spans="1:5" ht="12.75" customHeight="1" x14ac:dyDescent="0.2">
      <c r="A213" s="120"/>
      <c r="B213" s="120"/>
      <c r="C213" s="120"/>
      <c r="D213" s="120"/>
      <c r="E213" s="120"/>
    </row>
    <row r="214" spans="1:5" ht="12.75" customHeight="1" x14ac:dyDescent="0.2">
      <c r="A214" s="120"/>
      <c r="B214" s="120"/>
      <c r="C214" s="120"/>
      <c r="D214" s="120"/>
      <c r="E214" s="120"/>
    </row>
    <row r="215" spans="1:5" ht="12.75" customHeight="1" x14ac:dyDescent="0.2">
      <c r="A215" s="120"/>
      <c r="B215" s="120"/>
      <c r="C215" s="120"/>
      <c r="D215" s="120"/>
      <c r="E215" s="120"/>
    </row>
    <row r="216" spans="1:5" ht="12.75" customHeight="1" x14ac:dyDescent="0.2">
      <c r="A216" s="120"/>
      <c r="B216" s="120"/>
      <c r="C216" s="120"/>
      <c r="D216" s="120"/>
      <c r="E216" s="120"/>
    </row>
    <row r="217" spans="1:5" ht="12.75" customHeight="1" x14ac:dyDescent="0.2">
      <c r="A217" s="120"/>
      <c r="B217" s="120"/>
      <c r="C217" s="120"/>
      <c r="D217" s="120"/>
      <c r="E217" s="120"/>
    </row>
    <row r="218" spans="1:5" ht="12.75" customHeight="1" x14ac:dyDescent="0.2">
      <c r="A218" s="120"/>
      <c r="B218" s="120"/>
      <c r="C218" s="120"/>
      <c r="D218" s="120"/>
      <c r="E218" s="120"/>
    </row>
    <row r="219" spans="1:5" ht="12.75" customHeight="1" x14ac:dyDescent="0.2">
      <c r="A219" s="120"/>
      <c r="B219" s="120"/>
      <c r="C219" s="120"/>
      <c r="D219" s="120"/>
      <c r="E219" s="120"/>
    </row>
    <row r="220" spans="1:5" ht="12.75" customHeight="1" x14ac:dyDescent="0.2">
      <c r="A220" s="120"/>
      <c r="B220" s="120"/>
      <c r="C220" s="120"/>
      <c r="D220" s="120"/>
      <c r="E220" s="120"/>
    </row>
    <row r="221" spans="1:5" ht="12.75" customHeight="1" x14ac:dyDescent="0.2">
      <c r="A221" s="120"/>
      <c r="B221" s="120"/>
      <c r="C221" s="120"/>
      <c r="D221" s="120"/>
      <c r="E221" s="120"/>
    </row>
    <row r="222" spans="1:5" ht="12.75" customHeight="1" x14ac:dyDescent="0.2">
      <c r="A222" s="120"/>
      <c r="B222" s="120"/>
      <c r="C222" s="120"/>
      <c r="D222" s="120"/>
      <c r="E222" s="120"/>
    </row>
    <row r="223" spans="1:5" ht="12.75" customHeight="1" x14ac:dyDescent="0.2">
      <c r="A223" s="120"/>
      <c r="B223" s="120"/>
      <c r="C223" s="120"/>
      <c r="D223" s="120"/>
      <c r="E223" s="120"/>
    </row>
    <row r="224" spans="1:5" ht="12.75" customHeight="1" x14ac:dyDescent="0.2">
      <c r="A224" s="120"/>
      <c r="B224" s="120"/>
      <c r="C224" s="120"/>
      <c r="D224" s="120"/>
      <c r="E224" s="120"/>
    </row>
    <row r="225" spans="1:5" ht="12.75" customHeight="1" x14ac:dyDescent="0.2">
      <c r="A225" s="120"/>
      <c r="B225" s="120"/>
      <c r="C225" s="120"/>
      <c r="D225" s="120"/>
      <c r="E225" s="120"/>
    </row>
    <row r="226" spans="1:5" ht="12.75" customHeight="1" x14ac:dyDescent="0.2">
      <c r="A226" s="120"/>
      <c r="B226" s="120"/>
      <c r="C226" s="120"/>
      <c r="D226" s="120"/>
      <c r="E226" s="120"/>
    </row>
    <row r="227" spans="1:5" x14ac:dyDescent="0.2">
      <c r="A227" s="120"/>
      <c r="B227" s="120"/>
      <c r="C227" s="120"/>
      <c r="D227" s="120"/>
      <c r="E227" s="120"/>
    </row>
    <row r="228" spans="1:5" x14ac:dyDescent="0.2">
      <c r="A228" s="120"/>
      <c r="B228" s="120"/>
      <c r="C228" s="120"/>
      <c r="D228" s="120"/>
      <c r="E228" s="120"/>
    </row>
    <row r="229" spans="1:5" x14ac:dyDescent="0.2">
      <c r="A229" s="120"/>
      <c r="B229" s="120"/>
      <c r="C229" s="120"/>
      <c r="D229" s="120"/>
      <c r="E229" s="120"/>
    </row>
    <row r="230" spans="1:5" x14ac:dyDescent="0.2">
      <c r="A230" s="120"/>
      <c r="B230" s="120"/>
      <c r="C230" s="120"/>
      <c r="D230" s="120"/>
      <c r="E230" s="120"/>
    </row>
    <row r="231" spans="1:5" x14ac:dyDescent="0.2">
      <c r="A231" s="120"/>
      <c r="B231" s="120"/>
      <c r="C231" s="120"/>
      <c r="D231" s="120"/>
      <c r="E231" s="120"/>
    </row>
    <row r="232" spans="1:5" x14ac:dyDescent="0.2">
      <c r="A232" s="120"/>
      <c r="B232" s="120"/>
      <c r="C232" s="120"/>
      <c r="D232" s="120"/>
      <c r="E232" s="120"/>
    </row>
    <row r="233" spans="1:5" x14ac:dyDescent="0.2">
      <c r="A233" s="120"/>
      <c r="B233" s="120"/>
      <c r="C233" s="120"/>
      <c r="D233" s="120"/>
      <c r="E233" s="120"/>
    </row>
    <row r="234" spans="1:5" x14ac:dyDescent="0.2">
      <c r="A234" s="120"/>
      <c r="B234" s="120"/>
      <c r="C234" s="120"/>
      <c r="D234" s="120"/>
      <c r="E234" s="120"/>
    </row>
    <row r="235" spans="1:5" x14ac:dyDescent="0.2">
      <c r="A235" s="120"/>
      <c r="B235" s="120"/>
      <c r="C235" s="120"/>
      <c r="D235" s="120"/>
      <c r="E235" s="120"/>
    </row>
    <row r="236" spans="1:5" x14ac:dyDescent="0.2">
      <c r="A236" s="120"/>
      <c r="B236" s="120"/>
      <c r="C236" s="120"/>
      <c r="D236" s="120"/>
      <c r="E236" s="120"/>
    </row>
    <row r="237" spans="1:5" x14ac:dyDescent="0.2">
      <c r="A237" s="120"/>
      <c r="B237" s="120"/>
      <c r="C237" s="120"/>
      <c r="D237" s="120"/>
      <c r="E237" s="120"/>
    </row>
    <row r="238" spans="1:5" x14ac:dyDescent="0.2">
      <c r="A238" s="120"/>
      <c r="B238" s="120"/>
      <c r="C238" s="120"/>
      <c r="D238" s="120"/>
      <c r="E238" s="120"/>
    </row>
    <row r="239" spans="1:5" x14ac:dyDescent="0.2">
      <c r="A239" s="120"/>
      <c r="B239" s="120"/>
      <c r="C239" s="120"/>
      <c r="D239" s="120"/>
      <c r="E239" s="120"/>
    </row>
    <row r="240" spans="1:5" x14ac:dyDescent="0.2">
      <c r="A240" s="120"/>
      <c r="B240" s="120"/>
      <c r="C240" s="120"/>
      <c r="D240" s="120"/>
      <c r="E240" s="120"/>
    </row>
    <row r="241" spans="1:5" x14ac:dyDescent="0.2">
      <c r="A241" s="120"/>
      <c r="B241" s="120"/>
      <c r="C241" s="120"/>
      <c r="D241" s="120"/>
      <c r="E241" s="120"/>
    </row>
    <row r="242" spans="1:5" x14ac:dyDescent="0.2">
      <c r="A242" s="120"/>
      <c r="B242" s="120"/>
      <c r="C242" s="120"/>
      <c r="D242" s="120"/>
      <c r="E242" s="120"/>
    </row>
    <row r="243" spans="1:5" x14ac:dyDescent="0.2">
      <c r="A243" s="120"/>
      <c r="B243" s="120"/>
      <c r="C243" s="120"/>
      <c r="D243" s="120"/>
      <c r="E243" s="120"/>
    </row>
    <row r="244" spans="1:5" x14ac:dyDescent="0.2">
      <c r="A244" s="120"/>
      <c r="B244" s="120"/>
      <c r="C244" s="120"/>
      <c r="D244" s="120"/>
      <c r="E244" s="120"/>
    </row>
    <row r="245" spans="1:5" x14ac:dyDescent="0.2">
      <c r="A245" s="120"/>
      <c r="B245" s="120"/>
      <c r="C245" s="120"/>
      <c r="D245" s="120"/>
      <c r="E245" s="120"/>
    </row>
    <row r="246" spans="1:5" x14ac:dyDescent="0.2">
      <c r="A246" s="120"/>
      <c r="B246" s="120"/>
      <c r="C246" s="120"/>
      <c r="D246" s="120"/>
      <c r="E246" s="120"/>
    </row>
    <row r="247" spans="1:5" x14ac:dyDescent="0.2">
      <c r="A247" s="120"/>
      <c r="B247" s="120"/>
      <c r="C247" s="120"/>
      <c r="D247" s="120"/>
      <c r="E247" s="120"/>
    </row>
    <row r="248" spans="1:5" x14ac:dyDescent="0.2">
      <c r="A248" s="120"/>
      <c r="B248" s="120"/>
      <c r="C248" s="120"/>
      <c r="D248" s="120"/>
      <c r="E248" s="120"/>
    </row>
    <row r="249" spans="1:5" x14ac:dyDescent="0.2">
      <c r="A249" s="120"/>
      <c r="B249" s="120"/>
      <c r="C249" s="120"/>
      <c r="D249" s="120"/>
      <c r="E249" s="120"/>
    </row>
    <row r="250" spans="1:5" x14ac:dyDescent="0.2">
      <c r="A250" s="120"/>
      <c r="B250" s="120"/>
      <c r="C250" s="120"/>
      <c r="D250" s="120"/>
      <c r="E250" s="120"/>
    </row>
    <row r="251" spans="1:5" x14ac:dyDescent="0.2">
      <c r="A251" s="120"/>
      <c r="B251" s="120"/>
      <c r="C251" s="120"/>
      <c r="D251" s="120"/>
      <c r="E251" s="120"/>
    </row>
    <row r="252" spans="1:5" x14ac:dyDescent="0.2">
      <c r="A252" s="120"/>
      <c r="B252" s="120"/>
      <c r="C252" s="120"/>
      <c r="D252" s="120"/>
      <c r="E252" s="120"/>
    </row>
    <row r="253" spans="1:5" x14ac:dyDescent="0.2">
      <c r="A253" s="120"/>
      <c r="B253" s="120"/>
      <c r="C253" s="120"/>
      <c r="D253" s="120"/>
      <c r="E253" s="120"/>
    </row>
    <row r="254" spans="1:5" x14ac:dyDescent="0.2">
      <c r="A254" s="120"/>
      <c r="B254" s="120"/>
      <c r="C254" s="120"/>
      <c r="D254" s="120"/>
      <c r="E254" s="120"/>
    </row>
    <row r="255" spans="1:5" x14ac:dyDescent="0.2">
      <c r="A255" s="120"/>
      <c r="B255" s="120"/>
      <c r="C255" s="120"/>
      <c r="D255" s="120"/>
      <c r="E255" s="120"/>
    </row>
    <row r="256" spans="1:5" x14ac:dyDescent="0.2">
      <c r="A256" s="120"/>
      <c r="B256" s="120"/>
      <c r="C256" s="120"/>
      <c r="D256" s="120"/>
      <c r="E256" s="120"/>
    </row>
    <row r="257" spans="1:5" x14ac:dyDescent="0.2">
      <c r="A257" s="120"/>
      <c r="B257" s="120"/>
      <c r="C257" s="120"/>
      <c r="D257" s="120"/>
      <c r="E257" s="120"/>
    </row>
    <row r="258" spans="1:5" x14ac:dyDescent="0.2">
      <c r="A258" s="120"/>
      <c r="B258" s="120"/>
      <c r="C258" s="120"/>
      <c r="D258" s="120"/>
      <c r="E258" s="120"/>
    </row>
    <row r="259" spans="1:5" x14ac:dyDescent="0.2">
      <c r="A259" s="120"/>
      <c r="B259" s="120"/>
      <c r="C259" s="120"/>
      <c r="D259" s="120"/>
      <c r="E259" s="120"/>
    </row>
    <row r="260" spans="1:5" x14ac:dyDescent="0.2">
      <c r="A260" s="120"/>
      <c r="B260" s="120"/>
      <c r="C260" s="120"/>
      <c r="D260" s="120"/>
      <c r="E260" s="120"/>
    </row>
    <row r="261" spans="1:5" x14ac:dyDescent="0.2">
      <c r="A261" s="120"/>
      <c r="B261" s="120"/>
      <c r="C261" s="120"/>
      <c r="D261" s="120"/>
      <c r="E261" s="120"/>
    </row>
    <row r="262" spans="1:5" x14ac:dyDescent="0.2">
      <c r="A262" s="120"/>
      <c r="B262" s="120"/>
      <c r="C262" s="120"/>
      <c r="D262" s="120"/>
      <c r="E262" s="120"/>
    </row>
    <row r="263" spans="1:5" x14ac:dyDescent="0.2">
      <c r="A263" s="120"/>
      <c r="B263" s="120"/>
      <c r="C263" s="120"/>
      <c r="D263" s="120"/>
      <c r="E263" s="120"/>
    </row>
    <row r="264" spans="1:5" x14ac:dyDescent="0.2">
      <c r="A264" s="120"/>
      <c r="B264" s="120"/>
      <c r="C264" s="120"/>
      <c r="D264" s="120"/>
      <c r="E264" s="120"/>
    </row>
    <row r="265" spans="1:5" x14ac:dyDescent="0.2">
      <c r="A265" s="120"/>
      <c r="B265" s="120"/>
      <c r="C265" s="120"/>
      <c r="D265" s="120"/>
      <c r="E265" s="120"/>
    </row>
    <row r="266" spans="1:5" x14ac:dyDescent="0.2">
      <c r="A266" s="120"/>
      <c r="B266" s="120"/>
      <c r="C266" s="120"/>
      <c r="D266" s="120"/>
      <c r="E266" s="120"/>
    </row>
    <row r="267" spans="1:5" x14ac:dyDescent="0.2">
      <c r="A267" s="120"/>
      <c r="B267" s="120"/>
      <c r="C267" s="120"/>
      <c r="D267" s="120"/>
      <c r="E267" s="120"/>
    </row>
    <row r="268" spans="1:5" x14ac:dyDescent="0.2">
      <c r="A268" s="120"/>
      <c r="B268" s="120"/>
      <c r="C268" s="120"/>
      <c r="D268" s="120"/>
      <c r="E268" s="120"/>
    </row>
    <row r="269" spans="1:5" x14ac:dyDescent="0.2">
      <c r="A269" s="120"/>
      <c r="B269" s="120"/>
      <c r="C269" s="120"/>
      <c r="D269" s="120"/>
      <c r="E269" s="120"/>
    </row>
    <row r="270" spans="1:5" x14ac:dyDescent="0.2">
      <c r="A270" s="30"/>
      <c r="B270" s="30"/>
      <c r="C270" s="30"/>
      <c r="D270" s="30"/>
      <c r="E270" s="120"/>
    </row>
    <row r="271" spans="1:5" x14ac:dyDescent="0.2">
      <c r="A271" s="30"/>
      <c r="B271" s="30"/>
      <c r="C271" s="30"/>
      <c r="D271" s="30"/>
      <c r="E271" s="120"/>
    </row>
    <row r="272" spans="1:5" x14ac:dyDescent="0.2">
      <c r="A272" s="30"/>
      <c r="B272" s="30"/>
      <c r="C272" s="30"/>
      <c r="D272" s="30"/>
      <c r="E272" s="120"/>
    </row>
    <row r="273" spans="1:5" x14ac:dyDescent="0.2">
      <c r="A273" s="30"/>
      <c r="B273" s="30"/>
      <c r="C273" s="30"/>
      <c r="D273" s="30"/>
      <c r="E273" s="120"/>
    </row>
    <row r="274" spans="1:5" x14ac:dyDescent="0.2">
      <c r="A274" s="30"/>
      <c r="B274" s="30"/>
      <c r="C274" s="30"/>
      <c r="D274" s="30"/>
      <c r="E274" s="120"/>
    </row>
    <row r="275" spans="1:5" x14ac:dyDescent="0.2">
      <c r="A275" s="30"/>
      <c r="B275" s="30"/>
      <c r="C275" s="30"/>
      <c r="D275" s="30"/>
      <c r="E275" s="120"/>
    </row>
    <row r="276" spans="1:5" x14ac:dyDescent="0.2">
      <c r="A276" s="30"/>
      <c r="B276" s="30"/>
      <c r="C276" s="30"/>
      <c r="D276" s="30"/>
      <c r="E276" s="30"/>
    </row>
    <row r="277" spans="1:5" x14ac:dyDescent="0.2">
      <c r="A277" s="30"/>
      <c r="B277" s="30"/>
      <c r="C277" s="30"/>
      <c r="D277" s="30"/>
      <c r="E277" s="30"/>
    </row>
    <row r="278" spans="1:5" x14ac:dyDescent="0.2">
      <c r="A278" s="30"/>
      <c r="B278" s="30"/>
      <c r="C278" s="30"/>
      <c r="D278" s="30"/>
      <c r="E278" s="30"/>
    </row>
    <row r="279" spans="1:5" x14ac:dyDescent="0.2">
      <c r="A279" s="30"/>
      <c r="B279" s="30"/>
      <c r="C279" s="30"/>
      <c r="D279" s="30"/>
      <c r="E279" s="30"/>
    </row>
    <row r="280" spans="1:5" x14ac:dyDescent="0.2">
      <c r="A280" s="30"/>
      <c r="B280" s="30"/>
      <c r="C280" s="30"/>
      <c r="D280" s="30"/>
      <c r="E280" s="30"/>
    </row>
    <row r="281" spans="1:5" x14ac:dyDescent="0.2">
      <c r="A281" s="30"/>
      <c r="B281" s="30"/>
      <c r="C281" s="30"/>
      <c r="D281" s="30"/>
      <c r="E281" s="30"/>
    </row>
    <row r="282" spans="1:5" x14ac:dyDescent="0.2">
      <c r="A282" s="30"/>
      <c r="B282" s="30"/>
      <c r="C282" s="30"/>
      <c r="D282" s="30"/>
      <c r="E282" s="30"/>
    </row>
    <row r="283" spans="1:5" x14ac:dyDescent="0.2">
      <c r="A283" s="30"/>
      <c r="B283" s="30"/>
      <c r="C283" s="30"/>
      <c r="D283" s="30"/>
      <c r="E283" s="30"/>
    </row>
    <row r="284" spans="1:5" x14ac:dyDescent="0.2">
      <c r="A284" s="30"/>
      <c r="B284" s="30"/>
      <c r="C284" s="30"/>
      <c r="D284" s="30"/>
      <c r="E284" s="30"/>
    </row>
    <row r="285" spans="1:5" x14ac:dyDescent="0.2">
      <c r="A285" s="30"/>
      <c r="B285" s="30"/>
      <c r="C285" s="30"/>
      <c r="D285" s="30"/>
      <c r="E285" s="30"/>
    </row>
    <row r="286" spans="1:5" x14ac:dyDescent="0.2">
      <c r="A286" s="30"/>
      <c r="B286" s="30"/>
      <c r="C286" s="30"/>
      <c r="D286" s="30"/>
      <c r="E286" s="30"/>
    </row>
    <row r="287" spans="1:5" x14ac:dyDescent="0.2">
      <c r="A287" s="30"/>
      <c r="B287" s="30"/>
      <c r="C287" s="30"/>
      <c r="D287" s="30"/>
      <c r="E287" s="30"/>
    </row>
    <row r="288" spans="1:5" x14ac:dyDescent="0.2">
      <c r="A288" s="30"/>
      <c r="B288" s="30"/>
      <c r="C288" s="30"/>
      <c r="D288" s="30"/>
      <c r="E288" s="30"/>
    </row>
    <row r="289" spans="1:5" x14ac:dyDescent="0.2">
      <c r="A289" s="30"/>
      <c r="B289" s="30"/>
      <c r="C289" s="30"/>
      <c r="D289" s="30"/>
      <c r="E289" s="30"/>
    </row>
    <row r="290" spans="1:5" x14ac:dyDescent="0.2">
      <c r="A290" s="30"/>
      <c r="B290" s="30"/>
      <c r="C290" s="30"/>
      <c r="D290" s="30"/>
      <c r="E290" s="30"/>
    </row>
    <row r="291" spans="1:5" x14ac:dyDescent="0.2">
      <c r="A291" s="30"/>
      <c r="B291" s="30"/>
      <c r="C291" s="30"/>
      <c r="D291" s="30"/>
      <c r="E291" s="30"/>
    </row>
    <row r="292" spans="1:5" x14ac:dyDescent="0.2">
      <c r="A292" s="30"/>
      <c r="B292" s="30"/>
      <c r="C292" s="30"/>
      <c r="D292" s="30"/>
      <c r="E292" s="30"/>
    </row>
    <row r="293" spans="1:5" x14ac:dyDescent="0.2">
      <c r="A293" s="30"/>
      <c r="B293" s="30"/>
      <c r="C293" s="30"/>
      <c r="D293" s="30"/>
      <c r="E293" s="30"/>
    </row>
    <row r="294" spans="1:5" x14ac:dyDescent="0.2">
      <c r="A294" s="30"/>
      <c r="B294" s="30"/>
      <c r="C294" s="30"/>
      <c r="D294" s="30"/>
      <c r="E294" s="30"/>
    </row>
    <row r="295" spans="1:5" x14ac:dyDescent="0.2">
      <c r="A295" s="30"/>
      <c r="B295" s="30"/>
      <c r="C295" s="30"/>
      <c r="D295" s="30"/>
      <c r="E295" s="30"/>
    </row>
    <row r="296" spans="1:5" x14ac:dyDescent="0.2">
      <c r="A296" s="30"/>
      <c r="B296" s="30"/>
      <c r="C296" s="30"/>
      <c r="D296" s="30"/>
      <c r="E296" s="30"/>
    </row>
    <row r="297" spans="1:5" x14ac:dyDescent="0.2">
      <c r="A297" s="30"/>
      <c r="B297" s="30"/>
      <c r="C297" s="30"/>
      <c r="D297" s="30"/>
      <c r="E297" s="30"/>
    </row>
    <row r="298" spans="1:5" x14ac:dyDescent="0.2">
      <c r="A298" s="30"/>
      <c r="B298" s="30"/>
      <c r="C298" s="30"/>
      <c r="D298" s="30"/>
      <c r="E298" s="30"/>
    </row>
    <row r="299" spans="1:5" x14ac:dyDescent="0.2">
      <c r="A299" s="30"/>
      <c r="B299" s="30"/>
      <c r="C299" s="30"/>
      <c r="D299" s="30"/>
      <c r="E299" s="30"/>
    </row>
    <row r="300" spans="1:5" x14ac:dyDescent="0.2">
      <c r="A300" s="30"/>
      <c r="B300" s="30"/>
      <c r="C300" s="30"/>
      <c r="D300" s="30"/>
      <c r="E300" s="30"/>
    </row>
    <row r="301" spans="1:5" x14ac:dyDescent="0.2">
      <c r="A301" s="30"/>
      <c r="B301" s="30"/>
      <c r="C301" s="30"/>
      <c r="D301" s="30"/>
      <c r="E301" s="30"/>
    </row>
    <row r="302" spans="1:5" x14ac:dyDescent="0.2">
      <c r="A302" s="30"/>
      <c r="B302" s="30"/>
      <c r="C302" s="30"/>
      <c r="D302" s="30"/>
      <c r="E302" s="30"/>
    </row>
    <row r="303" spans="1:5" x14ac:dyDescent="0.2">
      <c r="A303" s="30"/>
      <c r="B303" s="30"/>
      <c r="C303" s="30"/>
      <c r="D303" s="30"/>
      <c r="E303" s="30"/>
    </row>
    <row r="304" spans="1:5" x14ac:dyDescent="0.2">
      <c r="A304" s="30"/>
      <c r="B304" s="30"/>
      <c r="C304" s="30"/>
      <c r="D304" s="30"/>
      <c r="E304" s="30"/>
    </row>
    <row r="305" spans="1:5" x14ac:dyDescent="0.2">
      <c r="A305" s="30"/>
      <c r="B305" s="30"/>
      <c r="C305" s="30"/>
      <c r="D305" s="30"/>
      <c r="E305" s="30"/>
    </row>
    <row r="306" spans="1:5" x14ac:dyDescent="0.2">
      <c r="A306" s="30"/>
      <c r="B306" s="30"/>
      <c r="C306" s="30"/>
      <c r="D306" s="30"/>
      <c r="E306" s="30"/>
    </row>
    <row r="307" spans="1:5" x14ac:dyDescent="0.2">
      <c r="A307" s="30"/>
      <c r="B307" s="30"/>
      <c r="C307" s="30"/>
      <c r="D307" s="30"/>
      <c r="E307" s="30"/>
    </row>
    <row r="308" spans="1:5" x14ac:dyDescent="0.2">
      <c r="E308" s="30"/>
    </row>
    <row r="309" spans="1:5" x14ac:dyDescent="0.2">
      <c r="E309" s="30"/>
    </row>
    <row r="310" spans="1:5" x14ac:dyDescent="0.2">
      <c r="E310" s="30"/>
    </row>
    <row r="311" spans="1:5" x14ac:dyDescent="0.2">
      <c r="E311" s="30"/>
    </row>
    <row r="312" spans="1:5" x14ac:dyDescent="0.2">
      <c r="E312" s="30"/>
    </row>
    <row r="313" spans="1:5" x14ac:dyDescent="0.2">
      <c r="E313" s="30"/>
    </row>
  </sheetData>
  <sheetProtection pivotTables="0"/>
  <mergeCells count="5">
    <mergeCell ref="B3:D3"/>
    <mergeCell ref="B1:C1"/>
    <mergeCell ref="D1:E1"/>
    <mergeCell ref="C42:D42"/>
    <mergeCell ref="C43:D43"/>
  </mergeCells>
  <hyperlinks>
    <hyperlink ref="D1:E1" location="notice!A1" display="notice!A1"/>
    <hyperlink ref="A42" location="hangars!A1" display="Cliques → ICI ←"/>
    <hyperlink ref="A43:B43" location="entrepôts!A1" display="Cliques → ICI ←"/>
    <hyperlink ref="B43" location="'coût alimentation'!A1" display="'coût alimentation'!A1"/>
    <hyperlink ref="B42" location="'entrepôts et local phyto'!A1" display="'entrepôts et local phyto'!A1"/>
  </hyperlinks>
  <pageMargins left="0.78740157499999996" right="0.78740157499999996" top="0.984251969" bottom="0.984251969" header="0.4921259845" footer="0.4921259845"/>
  <pageSetup paperSize="9" orientation="portrait" horizontalDpi="300" verticalDpi="300" r:id="rId1"/>
  <headerFooter alignWithMargins="0"/>
  <ignoredErrors>
    <ignoredError sqref="D1 B42:B43" unlockedFormula="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M41"/>
  <sheetViews>
    <sheetView zoomScaleNormal="100" workbookViewId="0"/>
  </sheetViews>
  <sheetFormatPr baseColWidth="10" defaultRowHeight="12.75" x14ac:dyDescent="0.2"/>
  <cols>
    <col min="1" max="1" width="11.42578125" style="397" customWidth="1"/>
    <col min="2" max="2" width="83.5703125" style="397" bestFit="1" customWidth="1"/>
    <col min="3" max="3" width="6.85546875" style="397" bestFit="1" customWidth="1"/>
    <col min="4" max="4" width="25.28515625" style="397" bestFit="1" customWidth="1"/>
    <col min="5" max="5" width="30.5703125" style="397" bestFit="1" customWidth="1"/>
    <col min="6" max="6" width="34.42578125" style="397" bestFit="1" customWidth="1"/>
    <col min="7" max="8" width="26.140625" style="397" bestFit="1" customWidth="1"/>
    <col min="9" max="9" width="15.42578125" style="397" bestFit="1" customWidth="1"/>
    <col min="10" max="10" width="17.42578125" style="397" bestFit="1" customWidth="1"/>
    <col min="11" max="11" width="25.85546875" style="397" bestFit="1" customWidth="1"/>
    <col min="12" max="12" width="36" style="397" bestFit="1" customWidth="1"/>
    <col min="13" max="13" width="36.7109375" style="397" bestFit="1" customWidth="1"/>
    <col min="14" max="16384" width="11.42578125" style="397"/>
  </cols>
  <sheetData>
    <row r="1" spans="1:13" ht="13.5" thickBot="1" x14ac:dyDescent="0.25">
      <c r="B1" s="398"/>
      <c r="C1" s="398"/>
      <c r="D1" s="398"/>
      <c r="E1" s="398"/>
      <c r="F1" s="398"/>
      <c r="G1" s="398"/>
      <c r="H1" s="398"/>
      <c r="I1" s="398"/>
      <c r="J1" s="398"/>
      <c r="K1" s="398"/>
      <c r="L1" s="398"/>
      <c r="M1" s="398"/>
    </row>
    <row r="2" spans="1:13" ht="16.5" thickBot="1" x14ac:dyDescent="0.25">
      <c r="A2" s="399"/>
      <c r="B2" s="708" t="s">
        <v>118</v>
      </c>
      <c r="C2" s="709" t="s">
        <v>119</v>
      </c>
      <c r="D2" s="709" t="s">
        <v>120</v>
      </c>
      <c r="E2" s="709" t="s">
        <v>121</v>
      </c>
      <c r="F2" s="709" t="s">
        <v>277</v>
      </c>
      <c r="G2" s="709" t="s">
        <v>278</v>
      </c>
      <c r="H2" s="709" t="s">
        <v>279</v>
      </c>
      <c r="I2" s="709" t="s">
        <v>280</v>
      </c>
      <c r="J2" s="709" t="s">
        <v>281</v>
      </c>
      <c r="K2" s="709" t="s">
        <v>282</v>
      </c>
      <c r="L2" s="709" t="s">
        <v>283</v>
      </c>
      <c r="M2" s="710" t="s">
        <v>284</v>
      </c>
    </row>
    <row r="3" spans="1:13" ht="16.5" thickTop="1" x14ac:dyDescent="0.2">
      <c r="A3" s="1727" t="s">
        <v>588</v>
      </c>
      <c r="B3" s="711"/>
      <c r="C3" s="712"/>
      <c r="D3" s="712"/>
      <c r="E3" s="400" t="s">
        <v>429</v>
      </c>
      <c r="F3" s="400" t="s">
        <v>544</v>
      </c>
      <c r="G3" s="400" t="s">
        <v>433</v>
      </c>
      <c r="H3" s="400" t="s">
        <v>435</v>
      </c>
      <c r="I3" s="1729"/>
      <c r="J3" s="1729"/>
      <c r="K3" s="712"/>
      <c r="L3" s="712"/>
      <c r="M3" s="713"/>
    </row>
    <row r="4" spans="1:13" ht="16.5" thickBot="1" x14ac:dyDescent="0.25">
      <c r="A4" s="1728"/>
      <c r="B4" s="714"/>
      <c r="C4" s="715"/>
      <c r="D4" s="715"/>
      <c r="E4" s="715"/>
      <c r="F4" s="401" t="s">
        <v>543</v>
      </c>
      <c r="G4" s="715"/>
      <c r="H4" s="715"/>
      <c r="I4" s="1730"/>
      <c r="J4" s="1730"/>
      <c r="K4" s="715"/>
      <c r="L4" s="715"/>
      <c r="M4" s="716"/>
    </row>
    <row r="5" spans="1:13" ht="16.5" customHeight="1" thickTop="1" x14ac:dyDescent="0.2">
      <c r="A5" s="1723" t="s">
        <v>218</v>
      </c>
      <c r="B5" s="402" t="s">
        <v>442</v>
      </c>
      <c r="C5" s="1701" t="s">
        <v>448</v>
      </c>
      <c r="D5" s="1701"/>
      <c r="E5" s="1701" t="s">
        <v>542</v>
      </c>
      <c r="F5" s="1701"/>
      <c r="G5" s="403" t="s">
        <v>432</v>
      </c>
      <c r="H5" s="717"/>
      <c r="I5" s="403" t="s">
        <v>563</v>
      </c>
      <c r="J5" s="1701" t="s">
        <v>541</v>
      </c>
      <c r="K5" s="1701"/>
      <c r="L5" s="1701" t="s">
        <v>439</v>
      </c>
      <c r="M5" s="1702"/>
    </row>
    <row r="6" spans="1:13" ht="15.75" x14ac:dyDescent="0.2">
      <c r="A6" s="1724"/>
      <c r="B6" s="404" t="s">
        <v>443</v>
      </c>
      <c r="C6" s="1709" t="s">
        <v>449</v>
      </c>
      <c r="D6" s="1709"/>
      <c r="E6" s="718"/>
      <c r="F6" s="405" t="s">
        <v>545</v>
      </c>
      <c r="G6" s="406" t="s">
        <v>550</v>
      </c>
      <c r="H6" s="1707" t="s">
        <v>552</v>
      </c>
      <c r="I6" s="1707"/>
      <c r="J6" s="406" t="s">
        <v>564</v>
      </c>
      <c r="K6" s="1707" t="s">
        <v>448</v>
      </c>
      <c r="L6" s="1707"/>
      <c r="M6" s="407" t="s">
        <v>442</v>
      </c>
    </row>
    <row r="7" spans="1:13" ht="15.75" x14ac:dyDescent="0.2">
      <c r="A7" s="1724"/>
      <c r="B7" s="408" t="s">
        <v>444</v>
      </c>
      <c r="C7" s="1703" t="s">
        <v>450</v>
      </c>
      <c r="D7" s="1703"/>
      <c r="E7" s="415"/>
      <c r="F7" s="409" t="s">
        <v>546</v>
      </c>
      <c r="G7" s="415"/>
      <c r="H7" s="1703" t="s">
        <v>553</v>
      </c>
      <c r="I7" s="1703"/>
      <c r="J7" s="719"/>
      <c r="K7" s="1703" t="s">
        <v>449</v>
      </c>
      <c r="L7" s="1703"/>
      <c r="M7" s="410" t="s">
        <v>443</v>
      </c>
    </row>
    <row r="8" spans="1:13" ht="15.75" x14ac:dyDescent="0.2">
      <c r="A8" s="1724"/>
      <c r="B8" s="404" t="s">
        <v>445</v>
      </c>
      <c r="C8" s="411"/>
      <c r="D8" s="405" t="s">
        <v>451</v>
      </c>
      <c r="E8" s="718"/>
      <c r="F8" s="405" t="s">
        <v>547</v>
      </c>
      <c r="G8" s="718"/>
      <c r="H8" s="1707" t="s">
        <v>554</v>
      </c>
      <c r="I8" s="1707"/>
      <c r="J8" s="406" t="s">
        <v>567</v>
      </c>
      <c r="K8" s="1707" t="s">
        <v>583</v>
      </c>
      <c r="L8" s="1707"/>
      <c r="M8" s="407" t="s">
        <v>444</v>
      </c>
    </row>
    <row r="9" spans="1:13" ht="15.75" x14ac:dyDescent="0.2">
      <c r="A9" s="1724"/>
      <c r="B9" s="408" t="s">
        <v>446</v>
      </c>
      <c r="C9" s="415"/>
      <c r="D9" s="409" t="s">
        <v>452</v>
      </c>
      <c r="E9" s="415"/>
      <c r="F9" s="409" t="s">
        <v>548</v>
      </c>
      <c r="G9" s="415"/>
      <c r="H9" s="409" t="s">
        <v>555</v>
      </c>
      <c r="I9" s="1703" t="s">
        <v>561</v>
      </c>
      <c r="J9" s="1703"/>
      <c r="K9" s="1703" t="s">
        <v>582</v>
      </c>
      <c r="L9" s="1703"/>
      <c r="M9" s="410" t="s">
        <v>445</v>
      </c>
    </row>
    <row r="10" spans="1:13" ht="15.75" x14ac:dyDescent="0.2">
      <c r="A10" s="1724"/>
      <c r="B10" s="404" t="s">
        <v>440</v>
      </c>
      <c r="C10" s="718"/>
      <c r="D10" s="405" t="s">
        <v>453</v>
      </c>
      <c r="E10" s="718"/>
      <c r="F10" s="405" t="s">
        <v>549</v>
      </c>
      <c r="G10" s="718"/>
      <c r="H10" s="1707" t="s">
        <v>556</v>
      </c>
      <c r="I10" s="1707"/>
      <c r="J10" s="1709" t="s">
        <v>568</v>
      </c>
      <c r="K10" s="1709"/>
      <c r="L10" s="405" t="s">
        <v>437</v>
      </c>
      <c r="M10" s="407" t="s">
        <v>446</v>
      </c>
    </row>
    <row r="11" spans="1:13" ht="15.75" x14ac:dyDescent="0.2">
      <c r="A11" s="1724"/>
      <c r="B11" s="408" t="s">
        <v>441</v>
      </c>
      <c r="C11" s="415"/>
      <c r="D11" s="409" t="s">
        <v>540</v>
      </c>
      <c r="E11" s="415"/>
      <c r="F11" s="415"/>
      <c r="G11" s="720"/>
      <c r="H11" s="1703" t="s">
        <v>557</v>
      </c>
      <c r="I11" s="1703"/>
      <c r="J11" s="1703" t="s">
        <v>569</v>
      </c>
      <c r="K11" s="1703"/>
      <c r="L11" s="415"/>
      <c r="M11" s="721"/>
    </row>
    <row r="12" spans="1:13" ht="15.75" x14ac:dyDescent="0.2">
      <c r="A12" s="1724"/>
      <c r="B12" s="722"/>
      <c r="C12" s="718"/>
      <c r="D12" s="405" t="s">
        <v>541</v>
      </c>
      <c r="E12" s="718"/>
      <c r="F12" s="718"/>
      <c r="G12" s="718"/>
      <c r="H12" s="1707" t="s">
        <v>558</v>
      </c>
      <c r="I12" s="1707"/>
      <c r="J12" s="1709" t="s">
        <v>565</v>
      </c>
      <c r="K12" s="1709"/>
      <c r="L12" s="419"/>
      <c r="M12" s="723"/>
    </row>
    <row r="13" spans="1:13" ht="15.75" x14ac:dyDescent="0.2">
      <c r="A13" s="1724"/>
      <c r="B13" s="720"/>
      <c r="C13" s="415"/>
      <c r="D13" s="415"/>
      <c r="E13" s="415"/>
      <c r="F13" s="415"/>
      <c r="G13" s="415"/>
      <c r="H13" s="1703" t="s">
        <v>559</v>
      </c>
      <c r="I13" s="1703"/>
      <c r="J13" s="1703"/>
      <c r="K13" s="409" t="s">
        <v>586</v>
      </c>
      <c r="L13" s="415"/>
      <c r="M13" s="721"/>
    </row>
    <row r="14" spans="1:13" ht="15.75" x14ac:dyDescent="0.2">
      <c r="A14" s="1724"/>
      <c r="B14" s="722"/>
      <c r="C14" s="718"/>
      <c r="D14" s="718"/>
      <c r="E14" s="718"/>
      <c r="F14" s="718"/>
      <c r="G14" s="718"/>
      <c r="H14" s="1707" t="s">
        <v>551</v>
      </c>
      <c r="I14" s="1707"/>
      <c r="J14" s="406" t="s">
        <v>566</v>
      </c>
      <c r="K14" s="405" t="s">
        <v>567</v>
      </c>
      <c r="L14" s="419"/>
      <c r="M14" s="723"/>
    </row>
    <row r="15" spans="1:13" ht="15.75" x14ac:dyDescent="0.2">
      <c r="A15" s="1724"/>
      <c r="B15" s="720"/>
      <c r="C15" s="415"/>
      <c r="D15" s="415"/>
      <c r="E15" s="415"/>
      <c r="F15" s="415"/>
      <c r="G15" s="415"/>
      <c r="H15" s="1703" t="s">
        <v>560</v>
      </c>
      <c r="I15" s="1703"/>
      <c r="J15" s="1703"/>
      <c r="K15" s="409" t="s">
        <v>584</v>
      </c>
      <c r="L15" s="415"/>
      <c r="M15" s="721"/>
    </row>
    <row r="16" spans="1:13" ht="15.75" x14ac:dyDescent="0.2">
      <c r="A16" s="1724"/>
      <c r="B16" s="722"/>
      <c r="C16" s="718"/>
      <c r="D16" s="718"/>
      <c r="E16" s="718"/>
      <c r="F16" s="718"/>
      <c r="G16" s="718"/>
      <c r="H16" s="718"/>
      <c r="I16" s="1709" t="s">
        <v>562</v>
      </c>
      <c r="J16" s="1709"/>
      <c r="K16" s="405" t="s">
        <v>585</v>
      </c>
      <c r="L16" s="419"/>
      <c r="M16" s="723"/>
    </row>
    <row r="17" spans="1:13" ht="16.5" thickBot="1" x14ac:dyDescent="0.25">
      <c r="A17" s="1724"/>
      <c r="B17" s="724"/>
      <c r="C17" s="412"/>
      <c r="D17" s="412"/>
      <c r="E17" s="412"/>
      <c r="F17" s="412"/>
      <c r="G17" s="412"/>
      <c r="H17" s="412"/>
      <c r="I17" s="1722" t="s">
        <v>391</v>
      </c>
      <c r="J17" s="1722"/>
      <c r="K17" s="725"/>
      <c r="L17" s="412"/>
      <c r="M17" s="726"/>
    </row>
    <row r="18" spans="1:13" ht="16.5" thickTop="1" x14ac:dyDescent="0.2">
      <c r="A18" s="1719" t="s">
        <v>596</v>
      </c>
      <c r="B18" s="727"/>
      <c r="C18" s="728"/>
      <c r="D18" s="728"/>
      <c r="E18" s="728"/>
      <c r="F18" s="1725" t="s">
        <v>592</v>
      </c>
      <c r="G18" s="1726"/>
      <c r="H18" s="728"/>
      <c r="I18" s="413"/>
      <c r="J18" s="413"/>
      <c r="K18" s="728"/>
      <c r="L18" s="728"/>
      <c r="M18" s="729"/>
    </row>
    <row r="19" spans="1:13" ht="15.75" customHeight="1" x14ac:dyDescent="0.2">
      <c r="A19" s="1720"/>
      <c r="B19" s="730"/>
      <c r="C19" s="731"/>
      <c r="D19" s="1704" t="s">
        <v>593</v>
      </c>
      <c r="E19" s="1705"/>
      <c r="F19" s="1705"/>
      <c r="G19" s="1705"/>
      <c r="H19" s="1705"/>
      <c r="I19" s="1705"/>
      <c r="J19" s="1705"/>
      <c r="K19" s="1705"/>
      <c r="L19" s="1705"/>
      <c r="M19" s="1708"/>
    </row>
    <row r="20" spans="1:13" ht="15.75" x14ac:dyDescent="0.2">
      <c r="A20" s="1720"/>
      <c r="B20" s="732"/>
      <c r="C20" s="419"/>
      <c r="D20" s="419"/>
      <c r="E20" s="419"/>
      <c r="F20" s="1717" t="s">
        <v>591</v>
      </c>
      <c r="G20" s="1718"/>
      <c r="H20" s="419"/>
      <c r="I20" s="414"/>
      <c r="J20" s="414"/>
      <c r="K20" s="419"/>
      <c r="L20" s="419"/>
      <c r="M20" s="733"/>
    </row>
    <row r="21" spans="1:13" ht="15.75" x14ac:dyDescent="0.2">
      <c r="A21" s="1720"/>
      <c r="B21" s="734"/>
      <c r="C21" s="415"/>
      <c r="D21" s="415"/>
      <c r="E21" s="415"/>
      <c r="F21" s="415"/>
      <c r="G21" s="415"/>
      <c r="H21" s="415"/>
      <c r="I21" s="416"/>
      <c r="J21" s="1704" t="s">
        <v>594</v>
      </c>
      <c r="K21" s="1705"/>
      <c r="L21" s="1706"/>
      <c r="M21" s="735"/>
    </row>
    <row r="22" spans="1:13" ht="16.5" thickBot="1" x14ac:dyDescent="0.25">
      <c r="A22" s="1721"/>
      <c r="B22" s="1712" t="s">
        <v>595</v>
      </c>
      <c r="C22" s="1713"/>
      <c r="D22" s="417"/>
      <c r="E22" s="417"/>
      <c r="F22" s="417"/>
      <c r="G22" s="417"/>
      <c r="H22" s="417"/>
      <c r="I22" s="418"/>
      <c r="J22" s="418"/>
      <c r="K22" s="417"/>
      <c r="L22" s="417"/>
      <c r="M22" s="736" t="s">
        <v>595</v>
      </c>
    </row>
    <row r="23" spans="1:13" ht="16.5" thickTop="1" x14ac:dyDescent="0.2">
      <c r="A23" s="1714" t="s">
        <v>587</v>
      </c>
      <c r="B23" s="1711" t="s">
        <v>590</v>
      </c>
      <c r="C23" s="1701"/>
      <c r="D23" s="1701"/>
      <c r="E23" s="1701"/>
      <c r="F23" s="737"/>
      <c r="G23" s="737"/>
      <c r="H23" s="1701" t="s">
        <v>434</v>
      </c>
      <c r="I23" s="1701"/>
      <c r="J23" s="1701"/>
      <c r="K23" s="1701" t="s">
        <v>590</v>
      </c>
      <c r="L23" s="1701"/>
      <c r="M23" s="1702"/>
    </row>
    <row r="24" spans="1:13" ht="15.75" x14ac:dyDescent="0.2">
      <c r="A24" s="1715"/>
      <c r="B24" s="722"/>
      <c r="C24" s="718"/>
      <c r="D24" s="718"/>
      <c r="E24" s="1709" t="s">
        <v>389</v>
      </c>
      <c r="F24" s="1709"/>
      <c r="G24" s="1709"/>
      <c r="H24" s="1709"/>
      <c r="I24" s="1709"/>
      <c r="J24" s="1709"/>
      <c r="K24" s="1709"/>
      <c r="L24" s="406" t="s">
        <v>438</v>
      </c>
      <c r="M24" s="723"/>
    </row>
    <row r="25" spans="1:13" ht="15.75" x14ac:dyDescent="0.2">
      <c r="A25" s="1715"/>
      <c r="B25" s="720"/>
      <c r="C25" s="415"/>
      <c r="D25" s="415"/>
      <c r="E25" s="409" t="s">
        <v>428</v>
      </c>
      <c r="F25" s="1703" t="s">
        <v>431</v>
      </c>
      <c r="G25" s="1703"/>
      <c r="H25" s="415"/>
      <c r="I25" s="415"/>
      <c r="J25" s="415"/>
      <c r="K25" s="415"/>
      <c r="L25" s="415"/>
      <c r="M25" s="721"/>
    </row>
    <row r="26" spans="1:13" ht="18.75" x14ac:dyDescent="0.2">
      <c r="A26" s="1715"/>
      <c r="B26" s="722"/>
      <c r="C26" s="718"/>
      <c r="D26" s="718"/>
      <c r="E26" s="718"/>
      <c r="F26" s="718"/>
      <c r="G26" s="406" t="s">
        <v>589</v>
      </c>
      <c r="H26" s="419"/>
      <c r="I26" s="419"/>
      <c r="J26" s="419"/>
      <c r="K26" s="406" t="s">
        <v>436</v>
      </c>
      <c r="L26" s="419"/>
      <c r="M26" s="723"/>
    </row>
    <row r="27" spans="1:13" ht="15.75" x14ac:dyDescent="0.2">
      <c r="A27" s="1715"/>
      <c r="B27" s="1706" t="s">
        <v>447</v>
      </c>
      <c r="C27" s="1703"/>
      <c r="D27" s="1703"/>
      <c r="E27" s="1703"/>
      <c r="F27" s="1703"/>
      <c r="G27" s="1703"/>
      <c r="H27" s="1703"/>
      <c r="I27" s="1703"/>
      <c r="J27" s="1703"/>
      <c r="K27" s="415"/>
      <c r="L27" s="415"/>
      <c r="M27" s="721"/>
    </row>
    <row r="28" spans="1:13" ht="15.75" x14ac:dyDescent="0.2">
      <c r="A28" s="1715"/>
      <c r="B28" s="722"/>
      <c r="C28" s="718"/>
      <c r="D28" s="718"/>
      <c r="E28" s="718"/>
      <c r="F28" s="1709" t="s">
        <v>430</v>
      </c>
      <c r="G28" s="1709"/>
      <c r="H28" s="1709"/>
      <c r="I28" s="1709"/>
      <c r="J28" s="1709"/>
      <c r="K28" s="419"/>
      <c r="L28" s="419"/>
      <c r="M28" s="723"/>
    </row>
    <row r="29" spans="1:13" ht="15.75" x14ac:dyDescent="0.2">
      <c r="A29" s="1715"/>
      <c r="B29" s="1706" t="s">
        <v>388</v>
      </c>
      <c r="C29" s="1703"/>
      <c r="D29" s="1704" t="s">
        <v>390</v>
      </c>
      <c r="E29" s="1705"/>
      <c r="F29" s="1705"/>
      <c r="G29" s="1706"/>
      <c r="H29" s="415"/>
      <c r="I29" s="415"/>
      <c r="J29" s="415"/>
      <c r="K29" s="415"/>
      <c r="L29" s="415"/>
      <c r="M29" s="721"/>
    </row>
    <row r="30" spans="1:13" ht="15.75" x14ac:dyDescent="0.2">
      <c r="A30" s="1715"/>
      <c r="B30" s="722"/>
      <c r="C30" s="718"/>
      <c r="D30" s="718"/>
      <c r="E30" s="1709" t="s">
        <v>427</v>
      </c>
      <c r="F30" s="1709"/>
      <c r="G30" s="1709"/>
      <c r="H30" s="1709"/>
      <c r="I30" s="1709"/>
      <c r="J30" s="1709"/>
      <c r="K30" s="1709"/>
      <c r="L30" s="419"/>
      <c r="M30" s="723"/>
    </row>
    <row r="31" spans="1:13" ht="16.5" thickBot="1" x14ac:dyDescent="0.25">
      <c r="A31" s="1716"/>
      <c r="B31" s="738"/>
      <c r="C31" s="739"/>
      <c r="D31" s="739"/>
      <c r="E31" s="1710" t="s">
        <v>426</v>
      </c>
      <c r="F31" s="1710"/>
      <c r="G31" s="1710"/>
      <c r="H31" s="1710"/>
      <c r="I31" s="1710"/>
      <c r="J31" s="1710"/>
      <c r="K31" s="1710"/>
      <c r="L31" s="739"/>
      <c r="M31" s="740"/>
    </row>
    <row r="32" spans="1:13" x14ac:dyDescent="0.2">
      <c r="A32" s="59"/>
      <c r="B32" s="398"/>
      <c r="C32" s="398"/>
      <c r="D32" s="398"/>
      <c r="E32" s="398"/>
      <c r="F32" s="398"/>
      <c r="G32" s="398"/>
      <c r="H32" s="398"/>
      <c r="I32" s="398"/>
      <c r="J32" s="398"/>
      <c r="K32" s="398"/>
      <c r="L32" s="398"/>
      <c r="M32" s="398"/>
    </row>
    <row r="33" spans="1:13" x14ac:dyDescent="0.2">
      <c r="A33" s="59"/>
      <c r="B33" s="398"/>
      <c r="C33" s="398"/>
      <c r="D33" s="398"/>
      <c r="E33" s="398"/>
      <c r="F33" s="398"/>
      <c r="G33" s="398"/>
      <c r="H33" s="398"/>
      <c r="I33" s="398"/>
      <c r="J33" s="398"/>
      <c r="K33" s="398"/>
      <c r="L33" s="398"/>
      <c r="M33" s="398"/>
    </row>
    <row r="34" spans="1:13" x14ac:dyDescent="0.2">
      <c r="B34" s="397" t="s">
        <v>597</v>
      </c>
    </row>
    <row r="35" spans="1:13" x14ac:dyDescent="0.2">
      <c r="B35" s="420" t="s">
        <v>334</v>
      </c>
    </row>
    <row r="37" spans="1:13" x14ac:dyDescent="0.2">
      <c r="B37" s="397" t="s">
        <v>335</v>
      </c>
    </row>
    <row r="38" spans="1:13" x14ac:dyDescent="0.2">
      <c r="B38" s="420" t="s">
        <v>336</v>
      </c>
    </row>
    <row r="40" spans="1:13" x14ac:dyDescent="0.2">
      <c r="B40" s="397" t="s">
        <v>337</v>
      </c>
    </row>
    <row r="41" spans="1:13" x14ac:dyDescent="0.2">
      <c r="B41" s="420" t="s">
        <v>338</v>
      </c>
    </row>
  </sheetData>
  <sheetProtection pivotTables="0"/>
  <mergeCells count="47">
    <mergeCell ref="H6:I6"/>
    <mergeCell ref="A3:A4"/>
    <mergeCell ref="I3:J3"/>
    <mergeCell ref="I4:J4"/>
    <mergeCell ref="C5:D5"/>
    <mergeCell ref="E5:F5"/>
    <mergeCell ref="J5:K5"/>
    <mergeCell ref="A23:A31"/>
    <mergeCell ref="K6:L6"/>
    <mergeCell ref="H11:I11"/>
    <mergeCell ref="B29:C29"/>
    <mergeCell ref="B27:J27"/>
    <mergeCell ref="D29:G29"/>
    <mergeCell ref="F25:G25"/>
    <mergeCell ref="K23:M23"/>
    <mergeCell ref="F28:J28"/>
    <mergeCell ref="F20:G20"/>
    <mergeCell ref="A18:A22"/>
    <mergeCell ref="H14:I14"/>
    <mergeCell ref="H15:J15"/>
    <mergeCell ref="I17:J17"/>
    <mergeCell ref="A5:A17"/>
    <mergeCell ref="F18:G18"/>
    <mergeCell ref="E31:K31"/>
    <mergeCell ref="E30:K30"/>
    <mergeCell ref="E24:K24"/>
    <mergeCell ref="J10:K10"/>
    <mergeCell ref="H12:I12"/>
    <mergeCell ref="H23:J23"/>
    <mergeCell ref="B23:E23"/>
    <mergeCell ref="B22:C22"/>
    <mergeCell ref="L5:M5"/>
    <mergeCell ref="J11:K11"/>
    <mergeCell ref="J21:L21"/>
    <mergeCell ref="K9:L9"/>
    <mergeCell ref="K7:L7"/>
    <mergeCell ref="I9:J9"/>
    <mergeCell ref="H10:I10"/>
    <mergeCell ref="H13:J13"/>
    <mergeCell ref="D19:M19"/>
    <mergeCell ref="I16:J16"/>
    <mergeCell ref="C7:D7"/>
    <mergeCell ref="J12:K12"/>
    <mergeCell ref="K8:L8"/>
    <mergeCell ref="C6:D6"/>
    <mergeCell ref="H7:I7"/>
    <mergeCell ref="H8:I8"/>
  </mergeCells>
  <phoneticPr fontId="0" type="noConversion"/>
  <hyperlinks>
    <hyperlink ref="B35" r:id="rId1"/>
    <hyperlink ref="B38" r:id="rId2"/>
    <hyperlink ref="B41" r:id="rId3"/>
  </hyperlinks>
  <pageMargins left="0.78740157499999996" right="0.78740157499999996" top="0.984251969" bottom="0.984251969" header="0.4921259845" footer="0.4921259845"/>
  <pageSetup paperSize="9" orientation="portrait" r:id="rId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IZ1447"/>
  <sheetViews>
    <sheetView topLeftCell="HE1" zoomScale="70" zoomScaleNormal="70" workbookViewId="0">
      <selection activeCell="HI36" sqref="HI36"/>
    </sheetView>
  </sheetViews>
  <sheetFormatPr baseColWidth="10" defaultRowHeight="12.75" x14ac:dyDescent="0.2"/>
  <cols>
    <col min="1" max="1" width="39.28515625" style="1142" bestFit="1" customWidth="1"/>
    <col min="2" max="2" width="30.5703125" style="1154" bestFit="1" customWidth="1"/>
    <col min="3" max="3" width="25.28515625" style="1138" bestFit="1" customWidth="1"/>
    <col min="4" max="4" width="29.7109375" style="1138" bestFit="1" customWidth="1"/>
    <col min="5" max="5" width="19.28515625" style="1138" bestFit="1" customWidth="1"/>
    <col min="6" max="6" width="108.28515625" style="1138" bestFit="1" customWidth="1"/>
    <col min="7" max="7" width="19.7109375" style="1138" bestFit="1" customWidth="1"/>
    <col min="8" max="8" width="25.7109375" style="1138" bestFit="1" customWidth="1"/>
    <col min="9" max="9" width="37.28515625" style="1138" bestFit="1" customWidth="1"/>
    <col min="10" max="10" width="27.7109375" style="1138" bestFit="1" customWidth="1"/>
    <col min="11" max="11" width="19.7109375" style="1138" bestFit="1" customWidth="1"/>
    <col min="12" max="12" width="19.140625" style="1138" bestFit="1" customWidth="1"/>
    <col min="13" max="13" width="23.85546875" style="1138" bestFit="1" customWidth="1"/>
    <col min="14" max="14" width="15.28515625" style="1138" bestFit="1" customWidth="1"/>
    <col min="15" max="15" width="27.7109375" style="1138" bestFit="1" customWidth="1"/>
    <col min="16" max="16" width="15.28515625" style="1138" bestFit="1" customWidth="1"/>
    <col min="17" max="17" width="22.42578125" style="1138" bestFit="1" customWidth="1"/>
    <col min="18" max="18" width="28.140625" style="1138" bestFit="1" customWidth="1"/>
    <col min="19" max="19" width="22.85546875" style="1138" bestFit="1" customWidth="1"/>
    <col min="20" max="20" width="23.42578125" style="1138" bestFit="1" customWidth="1"/>
    <col min="21" max="21" width="25.42578125" style="1138" bestFit="1" customWidth="1"/>
    <col min="22" max="22" width="24.85546875" style="1138" bestFit="1" customWidth="1"/>
    <col min="23" max="23" width="15.7109375" style="1138" bestFit="1" customWidth="1"/>
    <col min="24" max="24" width="14" style="1138" bestFit="1" customWidth="1"/>
    <col min="25" max="25" width="32" style="1138" bestFit="1" customWidth="1"/>
    <col min="26" max="26" width="46.85546875" style="1138" bestFit="1" customWidth="1"/>
    <col min="27" max="27" width="12.42578125" style="1138" bestFit="1" customWidth="1"/>
    <col min="28" max="28" width="15.7109375" style="1138" bestFit="1" customWidth="1"/>
    <col min="29" max="29" width="10.7109375" style="1138" bestFit="1" customWidth="1"/>
    <col min="30" max="30" width="10.140625" style="1138" bestFit="1" customWidth="1"/>
    <col min="31" max="31" width="15.7109375" style="1138" bestFit="1" customWidth="1"/>
    <col min="32" max="32" width="18.5703125" style="1138" bestFit="1" customWidth="1"/>
    <col min="33" max="33" width="9.140625" style="1138" bestFit="1" customWidth="1"/>
    <col min="34" max="34" width="7.28515625" style="1138" bestFit="1" customWidth="1"/>
    <col min="35" max="35" width="10.140625" style="1138" bestFit="1" customWidth="1"/>
    <col min="36" max="36" width="14.28515625" style="1138" bestFit="1" customWidth="1"/>
    <col min="37" max="37" width="10.140625" style="1138" bestFit="1" customWidth="1"/>
    <col min="38" max="38" width="15.85546875" style="1138" bestFit="1" customWidth="1"/>
    <col min="39" max="40" width="10.140625" style="1138" bestFit="1" customWidth="1"/>
    <col min="41" max="41" width="11.140625" style="1138" bestFit="1" customWidth="1"/>
    <col min="42" max="43" width="8.85546875" style="1138" bestFit="1" customWidth="1"/>
    <col min="44" max="44" width="10" style="1138" bestFit="1" customWidth="1"/>
    <col min="45" max="45" width="9.28515625" style="1138" bestFit="1" customWidth="1"/>
    <col min="46" max="46" width="12.85546875" style="1138" bestFit="1" customWidth="1"/>
    <col min="47" max="47" width="7.85546875" style="1138" bestFit="1" customWidth="1"/>
    <col min="48" max="48" width="8.5703125" style="1138" bestFit="1" customWidth="1"/>
    <col min="49" max="49" width="14.28515625" style="1138" bestFit="1" customWidth="1"/>
    <col min="50" max="50" width="12" style="1138" bestFit="1" customWidth="1"/>
    <col min="51" max="51" width="11" style="1138" bestFit="1" customWidth="1"/>
    <col min="52" max="53" width="16.7109375" style="1138" customWidth="1"/>
    <col min="54" max="54" width="58.28515625" style="1138" bestFit="1" customWidth="1"/>
    <col min="55" max="55" width="59.140625" style="1138" bestFit="1" customWidth="1"/>
    <col min="56" max="56" width="33" style="1138" bestFit="1" customWidth="1"/>
    <col min="57" max="57" width="22.42578125" style="1138" customWidth="1"/>
    <col min="58" max="58" width="45.7109375" style="1138" bestFit="1" customWidth="1"/>
    <col min="59" max="59" width="48.140625" style="1138" customWidth="1"/>
    <col min="60" max="60" width="21" style="1138" bestFit="1" customWidth="1"/>
    <col min="61" max="61" width="42.140625" style="1138" customWidth="1"/>
    <col min="62" max="62" width="15.42578125" style="1138" customWidth="1"/>
    <col min="63" max="63" width="15.42578125" style="1140" customWidth="1"/>
    <col min="64" max="64" width="16.7109375" style="1140" customWidth="1"/>
    <col min="65" max="65" width="35.85546875" style="1141" customWidth="1"/>
    <col min="66" max="66" width="19.140625" style="1138" bestFit="1" customWidth="1"/>
    <col min="67" max="67" width="18.7109375" style="1138" customWidth="1"/>
    <col min="68" max="68" width="22.42578125" style="1138" customWidth="1"/>
    <col min="69" max="69" width="17.85546875" style="1138" bestFit="1" customWidth="1"/>
    <col min="70" max="70" width="17.42578125" style="1138" customWidth="1"/>
    <col min="71" max="71" width="17.140625" style="1138" customWidth="1"/>
    <col min="72" max="72" width="16.28515625" style="1138" customWidth="1"/>
    <col min="73" max="73" width="15.42578125" style="1138" customWidth="1"/>
    <col min="74" max="74" width="15.42578125" style="1140" customWidth="1"/>
    <col min="75" max="75" width="16.7109375" style="1140" customWidth="1"/>
    <col min="76" max="76" width="58.28515625" style="1138" customWidth="1"/>
    <col min="77" max="77" width="43.5703125" style="1138" customWidth="1"/>
    <col min="78" max="78" width="32.140625" style="1138" bestFit="1" customWidth="1"/>
    <col min="79" max="79" width="22" style="1138" customWidth="1"/>
    <col min="80" max="80" width="34.85546875" style="1138" customWidth="1"/>
    <col min="81" max="81" width="32.140625" style="1138" bestFit="1" customWidth="1"/>
    <col min="82" max="82" width="19.140625" style="1140" customWidth="1"/>
    <col min="83" max="83" width="19.7109375" style="1140" customWidth="1"/>
    <col min="84" max="84" width="19.140625" style="1140" customWidth="1"/>
    <col min="85" max="85" width="12.5703125" style="1140" customWidth="1"/>
    <col min="86" max="86" width="11.7109375" style="1140" customWidth="1"/>
    <col min="87" max="87" width="11.42578125" style="1138" customWidth="1"/>
    <col min="88" max="88" width="46" style="1142" bestFit="1" customWidth="1"/>
    <col min="89" max="89" width="23" style="1138" customWidth="1"/>
    <col min="90" max="90" width="16.28515625" style="1138" customWidth="1"/>
    <col min="91" max="91" width="37.140625" style="1138" customWidth="1"/>
    <col min="92" max="92" width="43.140625" style="1138" bestFit="1" customWidth="1"/>
    <col min="93" max="93" width="15.42578125" style="1138" customWidth="1"/>
    <col min="94" max="94" width="72.85546875" style="1138" bestFit="1" customWidth="1"/>
    <col min="95" max="95" width="15" style="1138" customWidth="1"/>
    <col min="96" max="96" width="11.42578125" style="1138" customWidth="1"/>
    <col min="97" max="97" width="59.5703125" style="1138" customWidth="1"/>
    <col min="98" max="98" width="21.42578125" style="1138" customWidth="1"/>
    <col min="99" max="99" width="16" style="1138" customWidth="1"/>
    <col min="100" max="100" width="34.85546875" style="1138" customWidth="1"/>
    <col min="101" max="101" width="15.85546875" style="1138" bestFit="1" customWidth="1"/>
    <col min="102" max="102" width="15" style="1138" customWidth="1"/>
    <col min="103" max="103" width="11.42578125" style="1138" customWidth="1"/>
    <col min="104" max="104" width="59.28515625" style="1138" customWidth="1"/>
    <col min="105" max="105" width="21.140625" style="1138" customWidth="1"/>
    <col min="106" max="106" width="43.5703125" style="1138" customWidth="1"/>
    <col min="107" max="107" width="21.140625" style="1138" customWidth="1"/>
    <col min="108" max="109" width="15" style="1138" customWidth="1"/>
    <col min="110" max="110" width="11.42578125" style="1138" customWidth="1"/>
    <col min="111" max="111" width="59.28515625" style="1138" customWidth="1"/>
    <col min="112" max="112" width="21.140625" style="1138" customWidth="1"/>
    <col min="113" max="113" width="16" style="1138" customWidth="1"/>
    <col min="114" max="114" width="21.140625" style="1138" customWidth="1"/>
    <col min="115" max="116" width="15" style="1138" customWidth="1"/>
    <col min="117" max="117" width="11.42578125" style="1138" customWidth="1"/>
    <col min="118" max="118" width="46" style="1138" bestFit="1" customWidth="1"/>
    <col min="119" max="119" width="33" style="1138" bestFit="1" customWidth="1"/>
    <col min="120" max="120" width="33" style="1138" customWidth="1"/>
    <col min="121" max="121" width="43.5703125" style="1138" customWidth="1"/>
    <col min="122" max="122" width="33" style="1138" bestFit="1" customWidth="1"/>
    <col min="123" max="123" width="15.42578125" style="1140" customWidth="1"/>
    <col min="124" max="124" width="15.42578125" style="1141" customWidth="1"/>
    <col min="125" max="125" width="13.42578125" style="1141" customWidth="1"/>
    <col min="126" max="126" width="28.28515625" style="1138" customWidth="1"/>
    <col min="127" max="127" width="22.42578125" style="1138" customWidth="1"/>
    <col min="128" max="128" width="17.85546875" style="1138" customWidth="1"/>
    <col min="129" max="129" width="22.42578125" style="1138" customWidth="1"/>
    <col min="130" max="130" width="17.85546875" style="1138" customWidth="1"/>
    <col min="131" max="131" width="17.42578125" style="1138" customWidth="1"/>
    <col min="132" max="132" width="17.140625" style="1138" customWidth="1"/>
    <col min="133" max="133" width="55.42578125" style="1138" customWidth="1"/>
    <col min="134" max="135" width="15.42578125" style="1140" customWidth="1"/>
    <col min="136" max="136" width="11.42578125" style="1138" customWidth="1"/>
    <col min="137" max="137" width="46" style="1138" bestFit="1" customWidth="1"/>
    <col min="138" max="138" width="21.140625" style="1138" customWidth="1"/>
    <col min="139" max="139" width="66" style="1138" bestFit="1" customWidth="1"/>
    <col min="140" max="140" width="47.7109375" style="1138" customWidth="1"/>
    <col min="141" max="142" width="15.42578125" style="1140" customWidth="1"/>
    <col min="143" max="143" width="11.42578125" style="1138" customWidth="1"/>
    <col min="144" max="144" width="46" style="1138" bestFit="1" customWidth="1"/>
    <col min="145" max="145" width="21.140625" style="1138" customWidth="1"/>
    <col min="146" max="146" width="66" style="1138" bestFit="1" customWidth="1"/>
    <col min="147" max="147" width="47.7109375" style="1138" customWidth="1"/>
    <col min="148" max="149" width="15.42578125" style="1140" customWidth="1"/>
    <col min="150" max="150" width="11.42578125" style="1138" customWidth="1"/>
    <col min="151" max="151" width="59.7109375" style="1138" customWidth="1"/>
    <col min="152" max="152" width="22.42578125" style="1138" bestFit="1" customWidth="1"/>
    <col min="153" max="153" width="17.85546875" style="1138" customWidth="1"/>
    <col min="154" max="154" width="43.5703125" style="1138" customWidth="1"/>
    <col min="155" max="155" width="17.85546875" style="1138" customWidth="1"/>
    <col min="156" max="156" width="17.42578125" style="1140" customWidth="1"/>
    <col min="157" max="157" width="34.85546875" style="1140" customWidth="1"/>
    <col min="158" max="158" width="12.85546875" style="1140" customWidth="1"/>
    <col min="159" max="159" width="11.42578125" style="1138" customWidth="1"/>
    <col min="160" max="160" width="59.7109375" style="1138" customWidth="1"/>
    <col min="161" max="161" width="22.42578125" style="1138" bestFit="1" customWidth="1"/>
    <col min="162" max="162" width="17.85546875" style="1138" customWidth="1"/>
    <col min="163" max="163" width="43.5703125" style="1138" customWidth="1"/>
    <col min="164" max="164" width="17.85546875" style="1138" customWidth="1"/>
    <col min="165" max="165" width="17.42578125" style="1140" customWidth="1"/>
    <col min="166" max="166" width="34.85546875" style="1140" customWidth="1"/>
    <col min="167" max="167" width="12.85546875" style="1140" customWidth="1"/>
    <col min="168" max="168" width="11.42578125" style="1140" customWidth="1"/>
    <col min="169" max="169" width="11.42578125" style="1138" customWidth="1"/>
    <col min="170" max="170" width="59.7109375" style="1138" customWidth="1"/>
    <col min="171" max="171" width="22.42578125" style="1138" bestFit="1" customWidth="1"/>
    <col min="172" max="172" width="17.85546875" style="1138" customWidth="1"/>
    <col min="173" max="173" width="43.5703125" style="1138" customWidth="1"/>
    <col min="174" max="174" width="17.85546875" style="1138" customWidth="1"/>
    <col min="175" max="175" width="17.42578125" style="1140" customWidth="1"/>
    <col min="176" max="176" width="34.85546875" style="1140" customWidth="1"/>
    <col min="177" max="177" width="12.85546875" style="1140" customWidth="1"/>
    <col min="178" max="178" width="11.42578125" style="1140" customWidth="1"/>
    <col min="179" max="179" width="41.7109375" style="1138" customWidth="1"/>
    <col min="180" max="180" width="21.140625" style="1138" customWidth="1"/>
    <col min="181" max="181" width="16" style="1138" customWidth="1"/>
    <col min="182" max="182" width="21.140625" style="1138" customWidth="1"/>
    <col min="183" max="183" width="15.42578125" style="1140" customWidth="1"/>
    <col min="184" max="184" width="21" style="1138" customWidth="1"/>
    <col min="185" max="185" width="15" style="1138" customWidth="1"/>
    <col min="186" max="186" width="11.42578125" style="1138" customWidth="1"/>
    <col min="187" max="187" width="27.7109375" style="1138" customWidth="1"/>
    <col min="188" max="188" width="21.140625" style="1138" customWidth="1"/>
    <col min="189" max="189" width="27.7109375" style="1138" customWidth="1"/>
    <col min="190" max="190" width="17.7109375" style="1138" customWidth="1"/>
    <col min="191" max="191" width="20.140625" style="1138" customWidth="1"/>
    <col min="192" max="192" width="32.85546875" style="1138" customWidth="1"/>
    <col min="193" max="193" width="19.140625" style="1138" customWidth="1"/>
    <col min="194" max="194" width="16.42578125" style="1138" customWidth="1"/>
    <col min="195" max="195" width="25" style="1138" customWidth="1"/>
    <col min="196" max="196" width="18.5703125" style="1138" bestFit="1" customWidth="1"/>
    <col min="197" max="197" width="26.7109375" style="1138" customWidth="1"/>
    <col min="198" max="198" width="12.140625" style="1138" customWidth="1"/>
    <col min="199" max="199" width="17.42578125" style="1138" bestFit="1" customWidth="1"/>
    <col min="200" max="200" width="24.42578125" style="1138" bestFit="1" customWidth="1"/>
    <col min="201" max="201" width="27.42578125" style="1138" customWidth="1"/>
    <col min="202" max="202" width="16.7109375" style="1138" bestFit="1" customWidth="1"/>
    <col min="203" max="203" width="18.140625" style="1138" bestFit="1" customWidth="1"/>
    <col min="204" max="204" width="26.42578125" style="1138" customWidth="1"/>
    <col min="205" max="206" width="11.42578125" style="1138" customWidth="1"/>
    <col min="207" max="207" width="48.28515625" style="1138" bestFit="1" customWidth="1"/>
    <col min="208" max="208" width="11.42578125" style="1138" customWidth="1"/>
    <col min="209" max="209" width="5.28515625" style="1138" bestFit="1" customWidth="1"/>
    <col min="210" max="210" width="9.5703125" style="1138" bestFit="1" customWidth="1"/>
    <col min="211" max="212" width="11.42578125" style="1138" customWidth="1"/>
    <col min="213" max="213" width="10.7109375" style="1138" bestFit="1" customWidth="1"/>
    <col min="214" max="214" width="22.42578125" style="1138" customWidth="1"/>
    <col min="215" max="215" width="27.7109375" style="1138" customWidth="1"/>
    <col min="216" max="216" width="14" style="1138" customWidth="1"/>
    <col min="217" max="217" width="17.7109375" style="1138" customWidth="1"/>
    <col min="218" max="218" width="11.42578125" style="1138" customWidth="1"/>
    <col min="219" max="219" width="41.140625" style="1138" bestFit="1" customWidth="1"/>
    <col min="220" max="220" width="9.140625" style="1138" customWidth="1"/>
    <col min="221" max="221" width="9.5703125" style="1138" bestFit="1" customWidth="1"/>
    <col min="222" max="222" width="37.28515625" style="1138" bestFit="1" customWidth="1"/>
    <col min="223" max="223" width="10.140625" style="1138" bestFit="1" customWidth="1"/>
    <col min="224" max="229" width="11.5703125" style="1138" bestFit="1" customWidth="1"/>
    <col min="230" max="230" width="8.85546875" style="1138" bestFit="1" customWidth="1"/>
    <col min="231" max="231" width="10.28515625" style="1138" bestFit="1" customWidth="1"/>
    <col min="232" max="232" width="16.85546875" style="1138" customWidth="1"/>
    <col min="233" max="233" width="15.7109375" style="1138" bestFit="1" customWidth="1"/>
    <col min="234" max="234" width="15" style="1138" bestFit="1" customWidth="1"/>
    <col min="235" max="235" width="10.140625" style="1138" bestFit="1" customWidth="1"/>
    <col min="236" max="236" width="16.42578125" style="1138" bestFit="1" customWidth="1"/>
    <col min="237" max="237" width="10.5703125" style="1138" bestFit="1" customWidth="1"/>
    <col min="238" max="238" width="10.28515625" style="1138" bestFit="1" customWidth="1"/>
    <col min="239" max="239" width="7.85546875" style="1138" bestFit="1" customWidth="1"/>
    <col min="240" max="240" width="11.140625" style="1138" bestFit="1" customWidth="1"/>
    <col min="241" max="241" width="6.85546875" style="1138" bestFit="1" customWidth="1"/>
    <col min="242" max="242" width="9.140625" style="1138" bestFit="1" customWidth="1"/>
    <col min="243" max="243" width="8.85546875" style="1138" bestFit="1" customWidth="1"/>
    <col min="244" max="244" width="10.28515625" style="1138" bestFit="1" customWidth="1"/>
    <col min="245" max="245" width="16.85546875" style="1138" bestFit="1" customWidth="1"/>
    <col min="246" max="246" width="15.28515625" style="1138" bestFit="1" customWidth="1"/>
    <col min="247" max="247" width="13.5703125" style="1138" bestFit="1" customWidth="1"/>
    <col min="248" max="16384" width="11.42578125" style="1138"/>
  </cols>
  <sheetData>
    <row r="1" spans="1:248" ht="12.75" customHeight="1" x14ac:dyDescent="0.2">
      <c r="A1" s="1331"/>
      <c r="B1" s="1332"/>
      <c r="C1" s="1329"/>
      <c r="D1" s="1329"/>
      <c r="E1" s="1329"/>
      <c r="F1" s="1329"/>
      <c r="G1" s="1329"/>
      <c r="H1" s="1329"/>
      <c r="I1" s="1329"/>
      <c r="J1" s="1329"/>
      <c r="K1" s="1329"/>
      <c r="L1" s="1329"/>
      <c r="M1" s="1329"/>
      <c r="N1" s="1329"/>
      <c r="O1" s="1329"/>
      <c r="P1" s="1329"/>
      <c r="Q1" s="1299" t="s">
        <v>1219</v>
      </c>
      <c r="R1" s="1299" t="s">
        <v>1220</v>
      </c>
      <c r="S1" s="1329"/>
      <c r="T1" s="1329"/>
      <c r="U1" s="1329"/>
      <c r="V1" s="1329"/>
      <c r="W1" s="1329"/>
      <c r="X1" s="1329"/>
      <c r="Y1" s="1329"/>
      <c r="Z1" s="1329"/>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43"/>
      <c r="BL1" s="1343"/>
      <c r="BM1" s="1344"/>
      <c r="BN1" s="1329"/>
      <c r="BO1" s="1329"/>
      <c r="BP1" s="1329"/>
      <c r="BQ1" s="1329"/>
      <c r="BR1" s="1329"/>
      <c r="BS1" s="1329"/>
      <c r="BT1" s="1329"/>
      <c r="BU1" s="1329"/>
      <c r="BV1" s="1343"/>
      <c r="BW1" s="1343"/>
      <c r="BX1" s="1329"/>
      <c r="BY1" s="1329"/>
      <c r="BZ1" s="1329"/>
      <c r="CA1" s="1329"/>
      <c r="CB1" s="1329"/>
      <c r="CC1" s="1329"/>
      <c r="CD1" s="1343"/>
      <c r="CE1" s="1343"/>
      <c r="CF1" s="1343"/>
      <c r="CG1" s="1343"/>
      <c r="CH1" s="1343"/>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43"/>
      <c r="DT1" s="1344"/>
      <c r="DU1" s="1344"/>
      <c r="DV1" s="1329"/>
      <c r="DW1" s="1329"/>
      <c r="DX1" s="1329"/>
      <c r="DY1" s="1329"/>
      <c r="DZ1" s="1329"/>
      <c r="EA1" s="1329"/>
      <c r="EB1" s="1329"/>
      <c r="EC1" s="1329"/>
      <c r="ED1" s="1343"/>
      <c r="EE1" s="1343"/>
      <c r="EF1" s="1329"/>
      <c r="EG1" s="1329"/>
      <c r="EH1" s="1329"/>
      <c r="EI1" s="1329"/>
      <c r="EJ1" s="1329"/>
      <c r="EK1" s="1343"/>
      <c r="EL1" s="1343"/>
      <c r="EM1" s="1329"/>
      <c r="EN1" s="1329"/>
      <c r="EO1" s="1329"/>
      <c r="EP1" s="1329"/>
      <c r="EQ1" s="1329"/>
      <c r="ER1" s="1343"/>
      <c r="ES1" s="1343"/>
      <c r="ET1" s="1329"/>
      <c r="EU1" s="1329"/>
      <c r="EV1" s="1329"/>
      <c r="EW1" s="1329"/>
      <c r="EX1" s="1329"/>
      <c r="EY1" s="1329"/>
      <c r="EZ1" s="1343"/>
      <c r="FA1" s="1343"/>
      <c r="FB1" s="1343"/>
      <c r="FC1" s="1329"/>
      <c r="FD1" s="1329"/>
      <c r="FE1" s="1329"/>
      <c r="FF1" s="1329"/>
      <c r="FG1" s="1329"/>
      <c r="FH1" s="1329"/>
      <c r="FI1" s="1343"/>
      <c r="FJ1" s="1343"/>
      <c r="FK1" s="1343"/>
      <c r="FL1" s="1343"/>
      <c r="FM1" s="1329"/>
      <c r="FN1" s="1329"/>
      <c r="FO1" s="1329"/>
      <c r="FP1" s="1329"/>
      <c r="FQ1" s="1329"/>
      <c r="FR1" s="1329"/>
      <c r="FS1" s="1343"/>
      <c r="FT1" s="1343"/>
      <c r="FU1" s="1343"/>
      <c r="FV1" s="1343"/>
      <c r="FW1" s="1329"/>
      <c r="FX1" s="1329"/>
      <c r="FY1" s="1329"/>
      <c r="FZ1" s="1329"/>
      <c r="GA1" s="1343"/>
      <c r="GB1" s="1329"/>
      <c r="GC1" s="1329"/>
      <c r="GD1" s="1329"/>
      <c r="GE1" s="1299" t="s">
        <v>89</v>
      </c>
      <c r="GF1" s="1300" t="s">
        <v>90</v>
      </c>
      <c r="GG1" s="1299" t="s">
        <v>520</v>
      </c>
      <c r="GH1" s="1299" t="s">
        <v>290</v>
      </c>
      <c r="GI1" s="1300" t="s">
        <v>294</v>
      </c>
      <c r="GJ1" s="1299" t="s">
        <v>329</v>
      </c>
      <c r="GK1" s="1299" t="s">
        <v>286</v>
      </c>
      <c r="GL1" s="1299" t="s">
        <v>287</v>
      </c>
      <c r="GM1" s="1299" t="s">
        <v>243</v>
      </c>
      <c r="GN1" s="1299" t="s">
        <v>195</v>
      </c>
      <c r="GO1" s="1299" t="s">
        <v>606</v>
      </c>
      <c r="GP1" s="1299" t="s">
        <v>326</v>
      </c>
      <c r="GQ1" s="1299" t="s">
        <v>203</v>
      </c>
      <c r="GR1" s="1299" t="s">
        <v>634</v>
      </c>
      <c r="GS1" s="1299" t="s">
        <v>93</v>
      </c>
      <c r="GT1" s="1299" t="s">
        <v>262</v>
      </c>
      <c r="GU1" s="1299" t="s">
        <v>257</v>
      </c>
      <c r="GV1" s="1299" t="s">
        <v>635</v>
      </c>
      <c r="GW1" s="1329"/>
      <c r="GX1" s="1329"/>
      <c r="GY1" s="1329"/>
      <c r="GZ1" s="1329"/>
      <c r="HA1" s="1329"/>
      <c r="HB1" s="1329"/>
      <c r="HC1" s="1329"/>
      <c r="HD1" s="1329"/>
      <c r="HE1" s="1301" t="str">
        <f>Belgique</f>
        <v>Belgique</v>
      </c>
      <c r="HF1" s="1301" t="str">
        <f>CANADA</f>
        <v>Canada</v>
      </c>
      <c r="HG1" s="1301" t="str">
        <f>France</f>
        <v>France</v>
      </c>
      <c r="HH1" s="1301" t="str">
        <f>USA</f>
        <v>Etats-Unis</v>
      </c>
      <c r="HI1" s="1301" t="str">
        <f>Suisse</f>
        <v>Suisse</v>
      </c>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67"/>
    </row>
    <row r="2" spans="1:248" ht="12.75" customHeight="1" x14ac:dyDescent="0.2">
      <c r="A2" s="1319"/>
      <c r="B2" s="1321"/>
      <c r="C2" s="1321"/>
      <c r="D2" s="1327"/>
      <c r="E2" s="1320"/>
      <c r="F2" s="1321"/>
      <c r="G2" s="1321"/>
      <c r="H2" s="1321"/>
      <c r="I2" s="1321"/>
      <c r="J2" s="1076" t="s">
        <v>1661</v>
      </c>
      <c r="K2" s="1321"/>
      <c r="L2" s="1076" t="s">
        <v>193</v>
      </c>
      <c r="M2" s="1076" t="s">
        <v>24</v>
      </c>
      <c r="N2" s="1321"/>
      <c r="O2" s="1321"/>
      <c r="P2" s="1143" t="s">
        <v>1149</v>
      </c>
      <c r="Q2" s="1143">
        <v>3</v>
      </c>
      <c r="R2" s="1143">
        <v>18</v>
      </c>
      <c r="S2" s="1321"/>
      <c r="T2" s="1321"/>
      <c r="U2" s="1321"/>
      <c r="V2" s="1321"/>
      <c r="W2" s="1321"/>
      <c r="X2" s="1321"/>
      <c r="Y2" s="1321"/>
      <c r="Z2" s="1321"/>
      <c r="AA2" s="1321"/>
      <c r="AB2" s="1321"/>
      <c r="AC2" s="1321"/>
      <c r="AD2" s="1321"/>
      <c r="AE2" s="1321"/>
      <c r="AF2" s="1321"/>
      <c r="AG2" s="1321"/>
      <c r="AH2" s="1321"/>
      <c r="AI2" s="1321"/>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45"/>
      <c r="BL2" s="1345"/>
      <c r="BM2" s="1346"/>
      <c r="BN2" s="1321"/>
      <c r="BO2" s="1321"/>
      <c r="BP2" s="1321"/>
      <c r="BQ2" s="1321"/>
      <c r="BR2" s="1321"/>
      <c r="BS2" s="1321"/>
      <c r="BT2" s="1321"/>
      <c r="BU2" s="1321"/>
      <c r="BV2" s="1345"/>
      <c r="BW2" s="1345"/>
      <c r="BX2" s="1321"/>
      <c r="BY2" s="1321"/>
      <c r="BZ2" s="1321"/>
      <c r="CA2" s="1321"/>
      <c r="CB2" s="1321"/>
      <c r="CC2" s="1321"/>
      <c r="CD2" s="1345"/>
      <c r="CE2" s="1345"/>
      <c r="CF2" s="1345"/>
      <c r="CG2" s="1345"/>
      <c r="CH2" s="1345"/>
      <c r="CI2" s="1321"/>
      <c r="CJ2" s="1321"/>
      <c r="CK2" s="1321"/>
      <c r="CL2" s="1321"/>
      <c r="CM2" s="1321"/>
      <c r="CN2" s="1321"/>
      <c r="CO2" s="1321"/>
      <c r="CP2" s="1321"/>
      <c r="CQ2" s="1321"/>
      <c r="CR2" s="1321"/>
      <c r="CS2" s="1321"/>
      <c r="CT2" s="1321"/>
      <c r="CU2" s="1321"/>
      <c r="CV2" s="1321"/>
      <c r="CW2" s="1321"/>
      <c r="CX2" s="1321"/>
      <c r="CY2" s="1321"/>
      <c r="CZ2" s="1321"/>
      <c r="DA2" s="1321"/>
      <c r="DB2" s="1321"/>
      <c r="DC2" s="1321"/>
      <c r="DD2" s="1321"/>
      <c r="DE2" s="1321"/>
      <c r="DF2" s="1321"/>
      <c r="DG2" s="1321"/>
      <c r="DH2" s="1321"/>
      <c r="DI2" s="1321"/>
      <c r="DJ2" s="1321"/>
      <c r="DK2" s="1321"/>
      <c r="DL2" s="1321"/>
      <c r="DM2" s="1321"/>
      <c r="DN2" s="1321"/>
      <c r="DO2" s="1321"/>
      <c r="DP2" s="1321"/>
      <c r="DQ2" s="1321"/>
      <c r="DR2" s="1321"/>
      <c r="DS2" s="1345"/>
      <c r="DT2" s="1346"/>
      <c r="DU2" s="1346"/>
      <c r="DV2" s="1321"/>
      <c r="DW2" s="1321"/>
      <c r="DX2" s="1321"/>
      <c r="DY2" s="1321"/>
      <c r="DZ2" s="1321"/>
      <c r="EA2" s="1321"/>
      <c r="EB2" s="1321"/>
      <c r="EC2" s="1321"/>
      <c r="ED2" s="1345"/>
      <c r="EE2" s="1345"/>
      <c r="EF2" s="1321"/>
      <c r="EG2" s="1321"/>
      <c r="EH2" s="1321"/>
      <c r="EI2" s="1321"/>
      <c r="EJ2" s="1321"/>
      <c r="EK2" s="1345"/>
      <c r="EL2" s="1345"/>
      <c r="EM2" s="1321"/>
      <c r="EN2" s="1321"/>
      <c r="EO2" s="1321"/>
      <c r="EP2" s="1321"/>
      <c r="EQ2" s="1321"/>
      <c r="ER2" s="1345"/>
      <c r="ES2" s="1345"/>
      <c r="ET2" s="1321"/>
      <c r="EU2" s="1321"/>
      <c r="EV2" s="1321"/>
      <c r="EW2" s="1321"/>
      <c r="EX2" s="1321"/>
      <c r="EY2" s="1321"/>
      <c r="EZ2" s="1345"/>
      <c r="FA2" s="1345"/>
      <c r="FB2" s="1345"/>
      <c r="FC2" s="1321"/>
      <c r="FD2" s="1321"/>
      <c r="FE2" s="1321"/>
      <c r="FF2" s="1321"/>
      <c r="FG2" s="1321"/>
      <c r="FH2" s="1321"/>
      <c r="FI2" s="1345"/>
      <c r="FJ2" s="1345"/>
      <c r="FK2" s="1345"/>
      <c r="FL2" s="1345"/>
      <c r="FM2" s="1321"/>
      <c r="FN2" s="1321"/>
      <c r="FO2" s="1321"/>
      <c r="FP2" s="1321"/>
      <c r="FQ2" s="1321"/>
      <c r="FR2" s="1321"/>
      <c r="FS2" s="1345"/>
      <c r="FT2" s="1345"/>
      <c r="FU2" s="1345"/>
      <c r="FV2" s="1345"/>
      <c r="FW2" s="1321"/>
      <c r="FX2" s="1321"/>
      <c r="FY2" s="1321"/>
      <c r="FZ2" s="1321"/>
      <c r="GA2" s="1345"/>
      <c r="GB2" s="1302" t="s">
        <v>1285</v>
      </c>
      <c r="GC2" s="1321"/>
      <c r="GD2" s="1321"/>
      <c r="GE2" s="1143" t="s">
        <v>416</v>
      </c>
      <c r="GF2" s="1144" t="s">
        <v>634</v>
      </c>
      <c r="GG2" s="1143" t="s">
        <v>97</v>
      </c>
      <c r="GH2" s="1143" t="s">
        <v>290</v>
      </c>
      <c r="GI2" s="1144" t="s">
        <v>229</v>
      </c>
      <c r="GJ2" s="1143" t="s">
        <v>1720</v>
      </c>
      <c r="GK2" s="1143" t="s">
        <v>349</v>
      </c>
      <c r="GL2" s="1143" t="s">
        <v>1342</v>
      </c>
      <c r="GM2" s="1143" t="s">
        <v>233</v>
      </c>
      <c r="GN2" s="1143" t="s">
        <v>196</v>
      </c>
      <c r="GO2" s="1143" t="s">
        <v>607</v>
      </c>
      <c r="GP2" s="1143" t="s">
        <v>200</v>
      </c>
      <c r="GQ2" s="1143" t="s">
        <v>204</v>
      </c>
      <c r="GR2" s="1143" t="s">
        <v>288</v>
      </c>
      <c r="GS2" s="1143" t="s">
        <v>1343</v>
      </c>
      <c r="GT2" s="1143" t="s">
        <v>260</v>
      </c>
      <c r="GU2" s="1143" t="s">
        <v>258</v>
      </c>
      <c r="GV2" s="1143" t="s">
        <v>636</v>
      </c>
      <c r="GW2" s="1321"/>
      <c r="GX2" s="1321"/>
      <c r="GY2" s="1303" t="s">
        <v>1497</v>
      </c>
      <c r="GZ2" s="1303"/>
      <c r="HA2" s="1304" t="s">
        <v>1498</v>
      </c>
      <c r="HB2" s="1304" t="s">
        <v>382</v>
      </c>
      <c r="HC2" s="1321"/>
      <c r="HD2" s="1321"/>
      <c r="HE2" s="1143" t="str">
        <f>O65</f>
        <v>Wallonie</v>
      </c>
      <c r="HF2" s="1144" t="str">
        <f t="shared" ref="HF2:HF11" si="0">O13</f>
        <v>Terre-Neuve et Labrador</v>
      </c>
      <c r="HG2" s="1143" t="str">
        <f>O41</f>
        <v>Alsace</v>
      </c>
      <c r="HH2" s="1143" t="str">
        <f t="shared" ref="HH2:HH8" si="1">O25</f>
        <v>Alaska</v>
      </c>
      <c r="HI2" s="1143" t="str">
        <f>O69</f>
        <v>Suisse Romande</v>
      </c>
      <c r="HJ2" s="1321"/>
      <c r="HK2" s="1224" t="s">
        <v>1642</v>
      </c>
      <c r="HL2" s="1224" t="s">
        <v>1889</v>
      </c>
      <c r="HM2" s="1321"/>
      <c r="HN2" s="1328" t="s">
        <v>1622</v>
      </c>
      <c r="HO2" s="1321"/>
      <c r="HP2" s="1321"/>
      <c r="HQ2" s="1321"/>
      <c r="HR2" s="1321"/>
      <c r="HS2" s="1321"/>
      <c r="HT2" s="1321"/>
      <c r="HU2" s="1321"/>
      <c r="HV2" s="1321"/>
      <c r="HW2" s="1321"/>
      <c r="HX2" s="1321"/>
      <c r="HY2" s="1321"/>
      <c r="HZ2" s="1321"/>
      <c r="IA2" s="1321"/>
      <c r="IB2" s="1321"/>
      <c r="IC2" s="1321"/>
      <c r="ID2" s="1321"/>
      <c r="IE2" s="1321"/>
      <c r="IF2" s="1321"/>
      <c r="IG2" s="1321"/>
      <c r="IH2" s="1321"/>
      <c r="II2" s="1321"/>
      <c r="IJ2" s="1321"/>
      <c r="IK2" s="1321"/>
      <c r="IL2" s="1321"/>
      <c r="IM2" s="1321"/>
      <c r="IN2" s="1368"/>
    </row>
    <row r="3" spans="1:248" ht="12.75" customHeight="1" x14ac:dyDescent="0.2">
      <c r="A3" s="1305" t="s">
        <v>706</v>
      </c>
      <c r="B3" s="1145">
        <v>0.08</v>
      </c>
      <c r="C3" s="1318"/>
      <c r="D3" s="1326"/>
      <c r="E3" s="1320"/>
      <c r="F3" s="1146" t="s">
        <v>707</v>
      </c>
      <c r="G3" s="1147" t="s">
        <v>1750</v>
      </c>
      <c r="H3" s="1321"/>
      <c r="I3" s="1321"/>
      <c r="J3" s="1075" t="s">
        <v>1662</v>
      </c>
      <c r="K3" s="1321"/>
      <c r="L3" s="1075" t="s">
        <v>213</v>
      </c>
      <c r="M3" s="1075" t="s">
        <v>25</v>
      </c>
      <c r="N3" s="1321"/>
      <c r="O3" s="1197"/>
      <c r="P3" s="1139" t="s">
        <v>285</v>
      </c>
      <c r="Q3" s="1139" t="s">
        <v>1507</v>
      </c>
      <c r="R3" s="1139" t="s">
        <v>498</v>
      </c>
      <c r="S3" s="1139" t="s">
        <v>1509</v>
      </c>
      <c r="T3" s="1139" t="s">
        <v>499</v>
      </c>
      <c r="U3" s="1139" t="s">
        <v>76</v>
      </c>
      <c r="V3" s="1139" t="s">
        <v>500</v>
      </c>
      <c r="W3" s="1139" t="s">
        <v>339</v>
      </c>
      <c r="X3" s="1139" t="s">
        <v>340</v>
      </c>
      <c r="Y3" s="1139" t="s">
        <v>523</v>
      </c>
      <c r="Z3" s="1139" t="s">
        <v>715</v>
      </c>
      <c r="AA3" s="1139" t="s">
        <v>296</v>
      </c>
      <c r="AB3" s="1139" t="s">
        <v>297</v>
      </c>
      <c r="AC3" s="1139" t="s">
        <v>298</v>
      </c>
      <c r="AD3" s="1139" t="s">
        <v>63</v>
      </c>
      <c r="AE3" s="1139" t="s">
        <v>64</v>
      </c>
      <c r="AF3" s="1139" t="s">
        <v>65</v>
      </c>
      <c r="AG3" s="1732" t="s">
        <v>1128</v>
      </c>
      <c r="AH3" s="1733"/>
      <c r="AI3" s="1139" t="s">
        <v>331</v>
      </c>
      <c r="AJ3" s="1139" t="s">
        <v>332</v>
      </c>
      <c r="AK3" s="1139" t="s">
        <v>333</v>
      </c>
      <c r="AL3" s="1139" t="s">
        <v>671</v>
      </c>
      <c r="AM3" s="1139" t="s">
        <v>501</v>
      </c>
      <c r="AN3" s="1139" t="s">
        <v>49</v>
      </c>
      <c r="AO3" s="1139" t="s">
        <v>1567</v>
      </c>
      <c r="AP3" s="1139" t="s">
        <v>1568</v>
      </c>
      <c r="AQ3" s="1139" t="s">
        <v>1569</v>
      </c>
      <c r="AR3" s="1139" t="s">
        <v>1570</v>
      </c>
      <c r="AS3" s="1139" t="s">
        <v>1571</v>
      </c>
      <c r="AT3" s="1139" t="s">
        <v>1572</v>
      </c>
      <c r="AU3" s="1139" t="s">
        <v>1628</v>
      </c>
      <c r="AV3" s="1139" t="s">
        <v>1629</v>
      </c>
      <c r="AW3" s="1139" t="s">
        <v>1630</v>
      </c>
      <c r="AX3" s="1139" t="s">
        <v>1631</v>
      </c>
      <c r="AY3" s="1139" t="s">
        <v>1632</v>
      </c>
      <c r="AZ3" s="1321"/>
      <c r="BA3" s="1321"/>
      <c r="BB3" s="1321"/>
      <c r="BC3" s="1328" t="s">
        <v>114</v>
      </c>
      <c r="BD3" s="1342" t="s">
        <v>748</v>
      </c>
      <c r="BE3" s="1321"/>
      <c r="BF3" s="1321"/>
      <c r="BG3" s="1321"/>
      <c r="BH3" s="1321"/>
      <c r="BI3" s="1321"/>
      <c r="BJ3" s="1321"/>
      <c r="BK3" s="1345"/>
      <c r="BL3" s="1345"/>
      <c r="BM3" s="1346"/>
      <c r="BN3" s="1328" t="s">
        <v>580</v>
      </c>
      <c r="BO3" s="1328" t="s">
        <v>749</v>
      </c>
      <c r="BP3" s="1321"/>
      <c r="BQ3" s="1321"/>
      <c r="BR3" s="1321"/>
      <c r="BS3" s="1139" t="s">
        <v>1135</v>
      </c>
      <c r="BT3" s="1321"/>
      <c r="BU3" s="1321"/>
      <c r="BV3" s="1345"/>
      <c r="BW3" s="1345"/>
      <c r="BX3" s="1321"/>
      <c r="BY3" s="1328" t="s">
        <v>115</v>
      </c>
      <c r="BZ3" s="1328" t="s">
        <v>752</v>
      </c>
      <c r="CA3" s="1321"/>
      <c r="CB3" s="1321"/>
      <c r="CC3" s="1321"/>
      <c r="CD3" s="1345"/>
      <c r="CE3" s="1345"/>
      <c r="CF3" s="1345"/>
      <c r="CG3" s="1345"/>
      <c r="CH3" s="1345"/>
      <c r="CI3" s="1321"/>
      <c r="CJ3" s="1328" t="s">
        <v>158</v>
      </c>
      <c r="CK3" s="1328" t="s">
        <v>772</v>
      </c>
      <c r="CL3" s="1224" t="s">
        <v>1230</v>
      </c>
      <c r="CM3" s="1224" t="s">
        <v>1285</v>
      </c>
      <c r="CN3" s="1321"/>
      <c r="CO3" s="1224" t="s">
        <v>1363</v>
      </c>
      <c r="CP3" s="1321"/>
      <c r="CQ3" s="1321"/>
      <c r="CR3" s="1321"/>
      <c r="CS3" s="1328" t="s">
        <v>117</v>
      </c>
      <c r="CT3" s="1328" t="s">
        <v>784</v>
      </c>
      <c r="CU3" s="1328" t="s">
        <v>1363</v>
      </c>
      <c r="CV3" s="1224" t="s">
        <v>1231</v>
      </c>
      <c r="CW3" s="1224" t="s">
        <v>1228</v>
      </c>
      <c r="CX3" s="1321"/>
      <c r="CY3" s="1321"/>
      <c r="CZ3" s="1328" t="s">
        <v>794</v>
      </c>
      <c r="DA3" s="1328" t="s">
        <v>752</v>
      </c>
      <c r="DB3" s="1224" t="s">
        <v>1230</v>
      </c>
      <c r="DC3" s="1224" t="s">
        <v>1285</v>
      </c>
      <c r="DD3" s="1321"/>
      <c r="DE3" s="1321"/>
      <c r="DF3" s="1321"/>
      <c r="DG3" s="1328" t="s">
        <v>214</v>
      </c>
      <c r="DH3" s="1328" t="s">
        <v>752</v>
      </c>
      <c r="DI3" s="1224" t="s">
        <v>1230</v>
      </c>
      <c r="DJ3" s="1224" t="s">
        <v>1285</v>
      </c>
      <c r="DK3" s="1321"/>
      <c r="DL3" s="1321"/>
      <c r="DM3" s="1321"/>
      <c r="DN3" s="1328" t="s">
        <v>116</v>
      </c>
      <c r="DO3" s="1328" t="s">
        <v>752</v>
      </c>
      <c r="DP3" s="1321"/>
      <c r="DQ3" s="1321"/>
      <c r="DR3" s="1321"/>
      <c r="DS3" s="1345"/>
      <c r="DT3" s="1346"/>
      <c r="DU3" s="1346"/>
      <c r="DV3" s="1328" t="s">
        <v>656</v>
      </c>
      <c r="DW3" s="1328" t="s">
        <v>872</v>
      </c>
      <c r="DX3" s="1318"/>
      <c r="DY3" s="1318"/>
      <c r="DZ3" s="1302" t="s">
        <v>1231</v>
      </c>
      <c r="EA3" s="1302" t="s">
        <v>1234</v>
      </c>
      <c r="EB3" s="1318"/>
      <c r="EC3" s="1328" t="s">
        <v>874</v>
      </c>
      <c r="ED3" s="1321"/>
      <c r="EE3" s="1345"/>
      <c r="EF3" s="1321"/>
      <c r="EG3" s="1328" t="s">
        <v>255</v>
      </c>
      <c r="EH3" s="1328" t="s">
        <v>880</v>
      </c>
      <c r="EI3" s="1224" t="s">
        <v>1230</v>
      </c>
      <c r="EJ3" s="1321"/>
      <c r="EK3" s="1225" t="s">
        <v>1285</v>
      </c>
      <c r="EL3" s="1345"/>
      <c r="EM3" s="1321"/>
      <c r="EN3" s="1328" t="s">
        <v>256</v>
      </c>
      <c r="EO3" s="1328" t="s">
        <v>903</v>
      </c>
      <c r="EP3" s="1224" t="s">
        <v>1230</v>
      </c>
      <c r="EQ3" s="1224" t="s">
        <v>1285</v>
      </c>
      <c r="ER3" s="1345"/>
      <c r="ES3" s="1345"/>
      <c r="ET3" s="1321"/>
      <c r="EU3" s="1328" t="s">
        <v>912</v>
      </c>
      <c r="EV3" s="1328" t="s">
        <v>749</v>
      </c>
      <c r="EW3" s="1321"/>
      <c r="EX3" s="1224" t="s">
        <v>1232</v>
      </c>
      <c r="EY3" s="1321"/>
      <c r="EZ3" s="1345"/>
      <c r="FA3" s="1345"/>
      <c r="FB3" s="1345"/>
      <c r="FC3" s="1321"/>
      <c r="FD3" s="1328" t="s">
        <v>959</v>
      </c>
      <c r="FE3" s="1328" t="s">
        <v>974</v>
      </c>
      <c r="FF3" s="1321"/>
      <c r="FG3" s="1302" t="s">
        <v>1232</v>
      </c>
      <c r="FH3" s="1321"/>
      <c r="FI3" s="1345"/>
      <c r="FJ3" s="1345"/>
      <c r="FK3" s="1345"/>
      <c r="FL3" s="1345"/>
      <c r="FM3" s="1321"/>
      <c r="FN3" s="1328" t="s">
        <v>21</v>
      </c>
      <c r="FO3" s="1328" t="s">
        <v>1003</v>
      </c>
      <c r="FP3" s="1321"/>
      <c r="FQ3" s="1302" t="s">
        <v>1232</v>
      </c>
      <c r="FR3" s="1321"/>
      <c r="FS3" s="1345"/>
      <c r="FT3" s="1345"/>
      <c r="FU3" s="1345"/>
      <c r="FV3" s="1345"/>
      <c r="FW3" s="1328" t="s">
        <v>1061</v>
      </c>
      <c r="FX3" s="1321"/>
      <c r="FY3" s="1321"/>
      <c r="FZ3" s="1321"/>
      <c r="GA3" s="1345"/>
      <c r="GB3" s="1143" t="s">
        <v>1305</v>
      </c>
      <c r="GC3" s="1321"/>
      <c r="GD3" s="1321"/>
      <c r="GE3" s="1149" t="s">
        <v>522</v>
      </c>
      <c r="GF3" s="1150" t="s">
        <v>243</v>
      </c>
      <c r="GG3" s="1149" t="s">
        <v>368</v>
      </c>
      <c r="GH3" s="1149" t="s">
        <v>291</v>
      </c>
      <c r="GI3" s="1150" t="s">
        <v>503</v>
      </c>
      <c r="GJ3" s="1149" t="s">
        <v>1721</v>
      </c>
      <c r="GK3" s="1149" t="s">
        <v>342</v>
      </c>
      <c r="GL3" s="1321" t="s">
        <v>1349</v>
      </c>
      <c r="GM3" s="1149" t="s">
        <v>206</v>
      </c>
      <c r="GN3" s="1149" t="s">
        <v>197</v>
      </c>
      <c r="GO3" s="1149" t="s">
        <v>608</v>
      </c>
      <c r="GP3" s="1149" t="s">
        <v>201</v>
      </c>
      <c r="GQ3" s="1149" t="s">
        <v>205</v>
      </c>
      <c r="GR3" s="1149" t="s">
        <v>289</v>
      </c>
      <c r="GS3" s="1149" t="s">
        <v>1344</v>
      </c>
      <c r="GT3" s="1149" t="s">
        <v>261</v>
      </c>
      <c r="GU3" s="1149" t="s">
        <v>259</v>
      </c>
      <c r="GV3" s="1149" t="s">
        <v>637</v>
      </c>
      <c r="GW3" s="1321"/>
      <c r="GX3" s="1321"/>
      <c r="GY3" s="1082" t="str">
        <f>GJ2</f>
        <v>balles de foin 250kg BQ</v>
      </c>
      <c r="GZ3" s="1082"/>
      <c r="HA3" s="1085">
        <f t="shared" ref="HA3" si="2">SUMIF(TypeArticleDansEntrepôt,GY3,QtéArticleDansEntrepôt)</f>
        <v>0</v>
      </c>
      <c r="HB3" s="1085">
        <f>IF(COUNTIF(TypeArticleDansEntrepôt,GY3)=0,0,SUMIF(TypeArticleDansEntrepôt,GY3,QtéArticleDansEntrepôt)*VLOOKUP(GY3,place_necessaire_entrepots_aire_paille[],2,FALSE))</f>
        <v>0</v>
      </c>
      <c r="HC3" s="1321"/>
      <c r="HD3" s="1321"/>
      <c r="HE3" s="1149" t="str">
        <f>O66</f>
        <v>Flandre</v>
      </c>
      <c r="HF3" s="1150" t="str">
        <f t="shared" si="0"/>
        <v>Ile-du-Prince-Edouard</v>
      </c>
      <c r="HG3" s="1149" t="str">
        <f t="shared" ref="HG3:HG23" si="3">O42</f>
        <v>Aquitaine</v>
      </c>
      <c r="HH3" s="1149" t="str">
        <f t="shared" si="1"/>
        <v>Côte Pacifique</v>
      </c>
      <c r="HI3" s="1149" t="str">
        <f t="shared" ref="HI3:HI4" si="4">O70</f>
        <v>Suisse Alémanique</v>
      </c>
      <c r="HJ3" s="1321"/>
      <c r="HK3" s="1143" t="s">
        <v>1509</v>
      </c>
      <c r="HL3" s="1152">
        <v>95</v>
      </c>
      <c r="HM3" s="1321"/>
      <c r="HN3" s="1321"/>
      <c r="HO3" s="1153" t="s">
        <v>1557</v>
      </c>
      <c r="HP3" s="1153" t="s">
        <v>505</v>
      </c>
      <c r="HQ3" s="1153" t="s">
        <v>505</v>
      </c>
      <c r="HR3" s="1153" t="s">
        <v>505</v>
      </c>
      <c r="HS3" s="1153" t="s">
        <v>505</v>
      </c>
      <c r="HT3" s="1153" t="s">
        <v>505</v>
      </c>
      <c r="HU3" s="1153" t="s">
        <v>505</v>
      </c>
      <c r="HV3" s="1321"/>
      <c r="HW3" s="1321"/>
      <c r="HX3" s="1321"/>
      <c r="HY3" s="1321"/>
      <c r="HZ3" s="1321"/>
      <c r="IA3" s="1321"/>
      <c r="IB3" s="1321"/>
      <c r="IC3" s="1321"/>
      <c r="ID3" s="1321"/>
      <c r="IE3" s="1321"/>
      <c r="IF3" s="1321"/>
      <c r="IG3" s="1321"/>
      <c r="IH3" s="1321"/>
      <c r="II3" s="1321"/>
      <c r="IJ3" s="1321"/>
      <c r="IK3" s="1321"/>
      <c r="IL3" s="1321"/>
      <c r="IM3" s="1321"/>
      <c r="IN3" s="1368"/>
    </row>
    <row r="4" spans="1:248" ht="12.75" customHeight="1" x14ac:dyDescent="0.2">
      <c r="A4" s="1319"/>
      <c r="B4" s="1320"/>
      <c r="C4" s="1321"/>
      <c r="D4" s="1321"/>
      <c r="E4" s="1321"/>
      <c r="F4" s="1150" t="s">
        <v>708</v>
      </c>
      <c r="G4" s="1155">
        <v>15</v>
      </c>
      <c r="H4" s="1321"/>
      <c r="I4" s="1321"/>
      <c r="J4" s="1076" t="s">
        <v>1663</v>
      </c>
      <c r="K4" s="1321"/>
      <c r="L4" s="1321"/>
      <c r="M4" s="1321"/>
      <c r="N4" s="1321"/>
      <c r="O4" s="1197"/>
      <c r="P4" s="1139" t="s">
        <v>1111</v>
      </c>
      <c r="Q4" s="1139" t="s">
        <v>1111</v>
      </c>
      <c r="R4" s="1139" t="s">
        <v>1112</v>
      </c>
      <c r="S4" s="1139" t="s">
        <v>1111</v>
      </c>
      <c r="T4" s="1139" t="s">
        <v>1112</v>
      </c>
      <c r="U4" s="1139" t="s">
        <v>1111</v>
      </c>
      <c r="V4" s="1139" t="s">
        <v>1112</v>
      </c>
      <c r="W4" s="1139" t="s">
        <v>1112</v>
      </c>
      <c r="X4" s="1139" t="s">
        <v>1112</v>
      </c>
      <c r="Y4" s="1139" t="s">
        <v>1125</v>
      </c>
      <c r="Z4" s="1139" t="s">
        <v>1112</v>
      </c>
      <c r="AA4" s="1139" t="s">
        <v>1126</v>
      </c>
      <c r="AB4" s="1139" t="s">
        <v>1126</v>
      </c>
      <c r="AC4" s="1139" t="s">
        <v>1112</v>
      </c>
      <c r="AD4" s="1139" t="s">
        <v>1126</v>
      </c>
      <c r="AE4" s="1139" t="s">
        <v>1127</v>
      </c>
      <c r="AF4" s="1139" t="s">
        <v>1125</v>
      </c>
      <c r="AG4" s="1732" t="s">
        <v>1111</v>
      </c>
      <c r="AH4" s="1733"/>
      <c r="AI4" s="1139" t="s">
        <v>1126</v>
      </c>
      <c r="AJ4" s="1139" t="s">
        <v>1129</v>
      </c>
      <c r="AK4" s="1139" t="s">
        <v>1112</v>
      </c>
      <c r="AL4" s="1139" t="s">
        <v>1112</v>
      </c>
      <c r="AM4" s="1139" t="s">
        <v>1126</v>
      </c>
      <c r="AN4" s="1139" t="s">
        <v>1126</v>
      </c>
      <c r="AO4" s="1139"/>
      <c r="AP4" s="1139"/>
      <c r="AQ4" s="1139"/>
      <c r="AR4" s="1139"/>
      <c r="AS4" s="1139"/>
      <c r="AT4" s="1139"/>
      <c r="AU4" s="1139"/>
      <c r="AV4" s="1139"/>
      <c r="AW4" s="1139"/>
      <c r="AX4" s="1139"/>
      <c r="AY4" s="1139"/>
      <c r="AZ4" s="1321"/>
      <c r="BA4" s="1321"/>
      <c r="BB4" s="1321"/>
      <c r="BC4" s="1328" t="s">
        <v>159</v>
      </c>
      <c r="BD4" s="1320"/>
      <c r="BE4" s="1321"/>
      <c r="BF4" s="1321"/>
      <c r="BG4" s="1321"/>
      <c r="BH4" s="1321"/>
      <c r="BI4" s="1321"/>
      <c r="BJ4" s="1321"/>
      <c r="BK4" s="1345"/>
      <c r="BL4" s="1345"/>
      <c r="BM4" s="1346"/>
      <c r="BN4" s="1321"/>
      <c r="BO4" s="1321"/>
      <c r="BP4" s="1321"/>
      <c r="BQ4" s="1321"/>
      <c r="BR4" s="1321"/>
      <c r="BS4" s="1143" t="s">
        <v>1134</v>
      </c>
      <c r="BT4" s="1321"/>
      <c r="BU4" s="1321"/>
      <c r="BV4" s="1345"/>
      <c r="BW4" s="1345"/>
      <c r="BX4" s="1321"/>
      <c r="BY4" s="1321"/>
      <c r="BZ4" s="1321"/>
      <c r="CA4" s="1139" t="s">
        <v>1363</v>
      </c>
      <c r="CB4" s="1321"/>
      <c r="CC4" s="1321"/>
      <c r="CD4" s="1345"/>
      <c r="CE4" s="1345"/>
      <c r="CF4" s="1345"/>
      <c r="CG4" s="1345"/>
      <c r="CH4" s="1345"/>
      <c r="CI4" s="1321"/>
      <c r="CJ4" s="1143" t="s">
        <v>159</v>
      </c>
      <c r="CK4" s="1321"/>
      <c r="CL4" s="1143" t="s">
        <v>76</v>
      </c>
      <c r="CM4" s="1143" t="s">
        <v>1286</v>
      </c>
      <c r="CN4" s="1321"/>
      <c r="CO4" s="1143">
        <v>10</v>
      </c>
      <c r="CP4" s="1321"/>
      <c r="CQ4" s="1321"/>
      <c r="CR4" s="1321"/>
      <c r="CS4" s="1328" t="s">
        <v>790</v>
      </c>
      <c r="CT4" s="1363">
        <v>20</v>
      </c>
      <c r="CU4" s="1328">
        <v>10</v>
      </c>
      <c r="CV4" s="1143" t="s">
        <v>76</v>
      </c>
      <c r="CW4" s="1143" t="s">
        <v>297</v>
      </c>
      <c r="CX4" s="1321"/>
      <c r="CY4" s="1321"/>
      <c r="CZ4" s="1143" t="str">
        <f>IF(ChoixPaysPartie="","","intensif")</f>
        <v/>
      </c>
      <c r="DA4" s="1321"/>
      <c r="DB4" s="1143" t="s">
        <v>76</v>
      </c>
      <c r="DC4" s="1143" t="s">
        <v>1293</v>
      </c>
      <c r="DD4" s="1321"/>
      <c r="DE4" s="1321"/>
      <c r="DF4" s="1321"/>
      <c r="DG4" s="1143" t="str">
        <f>IF(ChoixPaysPartie="","","intensif")</f>
        <v/>
      </c>
      <c r="DH4" s="1321"/>
      <c r="DI4" s="1143" t="s">
        <v>76</v>
      </c>
      <c r="DJ4" s="1143" t="s">
        <v>1294</v>
      </c>
      <c r="DK4" s="1321"/>
      <c r="DL4" s="1321"/>
      <c r="DM4" s="1321"/>
      <c r="DN4" s="1321"/>
      <c r="DO4" s="1321"/>
      <c r="DP4" s="1321"/>
      <c r="DQ4" s="1321"/>
      <c r="DR4" s="1321"/>
      <c r="DS4" s="1345"/>
      <c r="DT4" s="1346"/>
      <c r="DU4" s="1346"/>
      <c r="DV4" s="1328"/>
      <c r="DW4" s="1328"/>
      <c r="DX4" s="1318"/>
      <c r="DY4" s="1318"/>
      <c r="DZ4" s="1143" t="s">
        <v>76</v>
      </c>
      <c r="EA4" s="1143" t="s">
        <v>63</v>
      </c>
      <c r="EB4" s="1318"/>
      <c r="EC4" s="1143" t="s">
        <v>875</v>
      </c>
      <c r="ED4" s="1143">
        <v>1</v>
      </c>
      <c r="EE4" s="1345"/>
      <c r="EF4" s="1321"/>
      <c r="EG4" s="1321"/>
      <c r="EH4" s="1321"/>
      <c r="EI4" s="1143" t="s">
        <v>76</v>
      </c>
      <c r="EJ4" s="1321"/>
      <c r="EK4" s="1156" t="s">
        <v>1477</v>
      </c>
      <c r="EL4" s="1345"/>
      <c r="EM4" s="1321"/>
      <c r="EN4" s="1321"/>
      <c r="EO4" s="1321"/>
      <c r="EP4" s="1143" t="s">
        <v>76</v>
      </c>
      <c r="EQ4" s="1157" t="s">
        <v>1302</v>
      </c>
      <c r="ER4" s="1345"/>
      <c r="ES4" s="1345"/>
      <c r="ET4" s="1321"/>
      <c r="EU4" s="1321"/>
      <c r="EV4" s="1321"/>
      <c r="EW4" s="1321"/>
      <c r="EX4" s="1143" t="s">
        <v>1481</v>
      </c>
      <c r="EY4" s="1321"/>
      <c r="EZ4" s="1345"/>
      <c r="FA4" s="1345"/>
      <c r="FB4" s="1345"/>
      <c r="FC4" s="1321"/>
      <c r="FD4" s="1321"/>
      <c r="FE4" s="1321"/>
      <c r="FF4" s="1321"/>
      <c r="FG4" s="1143" t="s">
        <v>1481</v>
      </c>
      <c r="FH4" s="1321"/>
      <c r="FI4" s="1345"/>
      <c r="FJ4" s="1345"/>
      <c r="FK4" s="1345"/>
      <c r="FL4" s="1345"/>
      <c r="FM4" s="1321"/>
      <c r="FN4" s="1321"/>
      <c r="FO4" s="1321"/>
      <c r="FP4" s="1321"/>
      <c r="FQ4" s="1143" t="s">
        <v>1481</v>
      </c>
      <c r="FR4" s="1321"/>
      <c r="FS4" s="1345"/>
      <c r="FT4" s="1345"/>
      <c r="FU4" s="1345"/>
      <c r="FV4" s="1345"/>
      <c r="FW4" s="1321"/>
      <c r="FX4" s="1321"/>
      <c r="FY4" s="1321"/>
      <c r="FZ4" s="1321"/>
      <c r="GA4" s="1345"/>
      <c r="GB4" s="1149" t="s">
        <v>1306</v>
      </c>
      <c r="GC4" s="1321"/>
      <c r="GD4" s="1321"/>
      <c r="GE4" s="1143" t="s">
        <v>173</v>
      </c>
      <c r="GF4" s="1144" t="s">
        <v>329</v>
      </c>
      <c r="GG4" s="1143" t="s">
        <v>369</v>
      </c>
      <c r="GH4" s="1143" t="s">
        <v>31</v>
      </c>
      <c r="GI4" s="1144" t="s">
        <v>502</v>
      </c>
      <c r="GJ4" s="1143" t="s">
        <v>1722</v>
      </c>
      <c r="GK4" s="1143" t="s">
        <v>343</v>
      </c>
      <c r="GL4" s="1321" t="s">
        <v>1349</v>
      </c>
      <c r="GM4" s="1143" t="s">
        <v>327</v>
      </c>
      <c r="GN4" s="1143" t="s">
        <v>198</v>
      </c>
      <c r="GO4" s="1143" t="s">
        <v>609</v>
      </c>
      <c r="GP4" s="1143" t="s">
        <v>202</v>
      </c>
      <c r="GQ4" s="1321" t="s">
        <v>1349</v>
      </c>
      <c r="GR4" s="1143" t="s">
        <v>67</v>
      </c>
      <c r="GS4" s="1143" t="s">
        <v>1345</v>
      </c>
      <c r="GT4" s="1321" t="s">
        <v>1349</v>
      </c>
      <c r="GU4" s="1321" t="s">
        <v>1349</v>
      </c>
      <c r="GV4" s="1143" t="s">
        <v>638</v>
      </c>
      <c r="GW4" s="1321"/>
      <c r="GX4" s="1321"/>
      <c r="GY4" s="1083" t="str">
        <f t="shared" ref="GY4:GY23" si="5">GJ3</f>
        <v>balles de foin 300kg BQ</v>
      </c>
      <c r="GZ4" s="1083"/>
      <c r="HA4" s="1084">
        <f t="shared" ref="HA4:HA23" si="6">SUMIF(TypeArticleDansEntrepôt,GY4,QtéArticleDansEntrepôt)</f>
        <v>0</v>
      </c>
      <c r="HB4" s="1084">
        <f>IF(COUNTIF(TypeArticleDansEntrepôt,GY4)=0,0,SUMIF(TypeArticleDansEntrepôt,GY4,QtéArticleDansEntrepôt)*VLOOKUP(GY4,place_necessaire_entrepots_aire_paille[],2,FALSE))</f>
        <v>0</v>
      </c>
      <c r="HC4" s="1321"/>
      <c r="HD4" s="1321"/>
      <c r="HE4" s="1321"/>
      <c r="HF4" s="1144" t="str">
        <f t="shared" si="0"/>
        <v>Nouvelle-Ecosse</v>
      </c>
      <c r="HG4" s="1143" t="str">
        <f t="shared" si="3"/>
        <v>Auvergne</v>
      </c>
      <c r="HH4" s="1143" t="str">
        <f t="shared" si="1"/>
        <v>Nord-Ouest</v>
      </c>
      <c r="HI4" s="1143" t="str">
        <f t="shared" si="4"/>
        <v>Suisse Italienne</v>
      </c>
      <c r="HJ4" s="1321"/>
      <c r="HK4" s="1149" t="s">
        <v>499</v>
      </c>
      <c r="HL4" s="1159">
        <v>95</v>
      </c>
      <c r="HM4" s="1321"/>
      <c r="HN4" s="1321"/>
      <c r="HO4" s="1160" t="s">
        <v>1558</v>
      </c>
      <c r="HP4" s="1160" t="s">
        <v>1559</v>
      </c>
      <c r="HQ4" s="1160" t="s">
        <v>1560</v>
      </c>
      <c r="HR4" s="1160" t="s">
        <v>1561</v>
      </c>
      <c r="HS4" s="1160" t="s">
        <v>1562</v>
      </c>
      <c r="HT4" s="1160" t="s">
        <v>1563</v>
      </c>
      <c r="HU4" s="1160" t="s">
        <v>1564</v>
      </c>
      <c r="HV4" s="1321"/>
      <c r="HW4" s="1321"/>
      <c r="HX4" s="1321"/>
      <c r="HY4" s="1321"/>
      <c r="HZ4" s="1321"/>
      <c r="IA4" s="1321"/>
      <c r="IB4" s="1321"/>
      <c r="IC4" s="1321"/>
      <c r="ID4" s="1321"/>
      <c r="IE4" s="1321"/>
      <c r="IF4" s="1321"/>
      <c r="IG4" s="1321"/>
      <c r="IH4" s="1321"/>
      <c r="II4" s="1321"/>
      <c r="IJ4" s="1321"/>
      <c r="IK4" s="1321"/>
      <c r="IL4" s="1321"/>
      <c r="IM4" s="1321"/>
      <c r="IN4" s="1368"/>
    </row>
    <row r="5" spans="1:248" ht="12.75" customHeight="1" x14ac:dyDescent="0.2">
      <c r="A5" s="1322"/>
      <c r="B5" s="1738" t="s">
        <v>701</v>
      </c>
      <c r="C5" s="1738"/>
      <c r="D5" s="1161" t="s">
        <v>700</v>
      </c>
      <c r="E5" s="1321"/>
      <c r="F5" s="1327"/>
      <c r="G5" s="1327"/>
      <c r="H5" s="1320"/>
      <c r="I5" s="1321"/>
      <c r="J5" s="1321"/>
      <c r="K5" s="1321"/>
      <c r="L5" s="1321"/>
      <c r="M5" s="1224" t="s">
        <v>1229</v>
      </c>
      <c r="N5" s="1321"/>
      <c r="O5" s="1143" t="s">
        <v>1137</v>
      </c>
      <c r="P5" s="1143">
        <v>150</v>
      </c>
      <c r="Q5" s="1143">
        <v>150</v>
      </c>
      <c r="R5" s="1143">
        <v>150</v>
      </c>
      <c r="S5" s="1143">
        <v>150</v>
      </c>
      <c r="T5" s="1143">
        <v>150</v>
      </c>
      <c r="U5" s="1143">
        <v>150</v>
      </c>
      <c r="V5" s="1143">
        <v>150</v>
      </c>
      <c r="W5" s="1143">
        <v>25</v>
      </c>
      <c r="X5" s="1143">
        <v>25</v>
      </c>
      <c r="Y5" s="1143">
        <v>150</v>
      </c>
      <c r="Z5" s="1143">
        <v>4</v>
      </c>
      <c r="AA5" s="1143">
        <v>150</v>
      </c>
      <c r="AB5" s="1143">
        <v>150</v>
      </c>
      <c r="AC5" s="1143">
        <v>220</v>
      </c>
      <c r="AD5" s="1143">
        <v>110</v>
      </c>
      <c r="AE5" s="1143">
        <v>120</v>
      </c>
      <c r="AF5" s="1143">
        <v>900</v>
      </c>
      <c r="AG5" s="1734">
        <v>50</v>
      </c>
      <c r="AH5" s="1735"/>
      <c r="AI5" s="1143">
        <v>150</v>
      </c>
      <c r="AJ5" s="1143">
        <v>150</v>
      </c>
      <c r="AK5" s="1143">
        <v>150</v>
      </c>
      <c r="AL5" s="1143">
        <v>12</v>
      </c>
      <c r="AM5" s="1143">
        <v>100</v>
      </c>
      <c r="AN5" s="1143">
        <v>150</v>
      </c>
      <c r="AO5" s="1143"/>
      <c r="AP5" s="1143"/>
      <c r="AQ5" s="1143"/>
      <c r="AR5" s="1143"/>
      <c r="AS5" s="1143"/>
      <c r="AT5" s="1143"/>
      <c r="AU5" s="1143"/>
      <c r="AV5" s="1143"/>
      <c r="AW5" s="1143"/>
      <c r="AX5" s="1143"/>
      <c r="AY5" s="1143"/>
      <c r="AZ5" s="1321"/>
      <c r="BA5" s="1321"/>
      <c r="BB5" s="1321"/>
      <c r="BC5" s="1328" t="s">
        <v>456</v>
      </c>
      <c r="BD5" s="1320"/>
      <c r="BE5" s="1321"/>
      <c r="BF5" s="1321"/>
      <c r="BG5" s="1321"/>
      <c r="BH5" s="1321"/>
      <c r="BI5" s="1321"/>
      <c r="BJ5" s="1321"/>
      <c r="BK5" s="1345"/>
      <c r="BL5" s="1345"/>
      <c r="BM5" s="1346"/>
      <c r="BN5" s="1139" t="s">
        <v>746</v>
      </c>
      <c r="BO5" s="1139" t="s">
        <v>674</v>
      </c>
      <c r="BP5" s="1139" t="s">
        <v>669</v>
      </c>
      <c r="BQ5" s="1321"/>
      <c r="BR5" s="1139" t="s">
        <v>1227</v>
      </c>
      <c r="BS5" s="1139" t="s">
        <v>1998</v>
      </c>
      <c r="BT5" s="1139" t="s">
        <v>1363</v>
      </c>
      <c r="BU5" s="1321"/>
      <c r="BV5" s="1345"/>
      <c r="BW5" s="1345"/>
      <c r="BX5" s="1321"/>
      <c r="BY5" s="1321"/>
      <c r="BZ5" s="1321"/>
      <c r="CA5" s="1162">
        <v>10</v>
      </c>
      <c r="CB5" s="1321"/>
      <c r="CC5" s="1321"/>
      <c r="CD5" s="1345"/>
      <c r="CE5" s="1345"/>
      <c r="CF5" s="1345"/>
      <c r="CG5" s="1345"/>
      <c r="CH5" s="1345"/>
      <c r="CI5" s="1321"/>
      <c r="CJ5" s="1149" t="s">
        <v>456</v>
      </c>
      <c r="CK5" s="1321"/>
      <c r="CL5" s="1149" t="s">
        <v>285</v>
      </c>
      <c r="CM5" s="1321"/>
      <c r="CN5" s="1321"/>
      <c r="CO5" s="1321"/>
      <c r="CP5" s="1321"/>
      <c r="CQ5" s="1321"/>
      <c r="CR5" s="1321"/>
      <c r="CS5" s="1321"/>
      <c r="CT5" s="1321"/>
      <c r="CU5" s="1321"/>
      <c r="CV5" s="1149" t="s">
        <v>285</v>
      </c>
      <c r="CW5" s="1149" t="s">
        <v>298</v>
      </c>
      <c r="CX5" s="1321"/>
      <c r="CY5" s="1321"/>
      <c r="CZ5" s="1149" t="str">
        <f>IF(ChoixPaysPartie="","","semi-liberté")</f>
        <v/>
      </c>
      <c r="DA5" s="1321"/>
      <c r="DB5" s="1149" t="s">
        <v>285</v>
      </c>
      <c r="DC5" s="1321"/>
      <c r="DD5" s="1321"/>
      <c r="DE5" s="1321"/>
      <c r="DF5" s="1321"/>
      <c r="DG5" s="1149" t="str">
        <f>IF(ChoixPaysPartie="","","semi-liberté")</f>
        <v/>
      </c>
      <c r="DH5" s="1321"/>
      <c r="DI5" s="1149" t="s">
        <v>285</v>
      </c>
      <c r="DJ5" s="1321"/>
      <c r="DK5" s="1321"/>
      <c r="DL5" s="1321"/>
      <c r="DM5" s="1321"/>
      <c r="DN5" s="1328" t="s">
        <v>838</v>
      </c>
      <c r="DO5" s="1328">
        <v>0.45</v>
      </c>
      <c r="DP5" s="1321"/>
      <c r="DQ5" s="1321"/>
      <c r="DR5" s="1321"/>
      <c r="DS5" s="1345"/>
      <c r="DT5" s="1346"/>
      <c r="DU5" s="1346"/>
      <c r="DV5" s="1318"/>
      <c r="DW5" s="1318"/>
      <c r="DX5" s="1318"/>
      <c r="DY5" s="1318"/>
      <c r="DZ5" s="1149" t="s">
        <v>285</v>
      </c>
      <c r="EA5" s="1149" t="s">
        <v>1273</v>
      </c>
      <c r="EB5" s="1318"/>
      <c r="EC5" s="1149" t="s">
        <v>876</v>
      </c>
      <c r="ED5" s="1149">
        <v>1</v>
      </c>
      <c r="EE5" s="1345"/>
      <c r="EF5" s="1321"/>
      <c r="EG5" s="1321"/>
      <c r="EH5" s="1321"/>
      <c r="EI5" s="1149" t="s">
        <v>285</v>
      </c>
      <c r="EJ5" s="1321"/>
      <c r="EK5" s="1345"/>
      <c r="EL5" s="1345"/>
      <c r="EM5" s="1321"/>
      <c r="EN5" s="1321"/>
      <c r="EO5" s="1321"/>
      <c r="EP5" s="1149" t="s">
        <v>285</v>
      </c>
      <c r="EQ5" s="1321"/>
      <c r="ER5" s="1345"/>
      <c r="ES5" s="1345"/>
      <c r="ET5" s="1321"/>
      <c r="EU5" s="1321"/>
      <c r="EV5" s="1321"/>
      <c r="EW5" s="1321"/>
      <c r="EX5" s="1149" t="s">
        <v>1240</v>
      </c>
      <c r="EY5" s="1321"/>
      <c r="EZ5" s="1345"/>
      <c r="FA5" s="1345"/>
      <c r="FB5" s="1345"/>
      <c r="FC5" s="1321"/>
      <c r="FD5" s="1321"/>
      <c r="FE5" s="1321"/>
      <c r="FF5" s="1321"/>
      <c r="FG5" s="1149" t="s">
        <v>1240</v>
      </c>
      <c r="FH5" s="1321"/>
      <c r="FI5" s="1345"/>
      <c r="FJ5" s="1345"/>
      <c r="FK5" s="1345"/>
      <c r="FL5" s="1345"/>
      <c r="FM5" s="1321"/>
      <c r="FN5" s="1321"/>
      <c r="FO5" s="1321"/>
      <c r="FP5" s="1321"/>
      <c r="FQ5" s="1149" t="s">
        <v>1240</v>
      </c>
      <c r="FR5" s="1321"/>
      <c r="FS5" s="1345"/>
      <c r="FT5" s="1345"/>
      <c r="FU5" s="1345"/>
      <c r="FV5" s="1345"/>
      <c r="FW5" s="1139" t="s">
        <v>1056</v>
      </c>
      <c r="FX5" s="1163"/>
      <c r="FY5" s="1164" t="s">
        <v>1057</v>
      </c>
      <c r="FZ5" s="1164" t="s">
        <v>612</v>
      </c>
      <c r="GA5" s="1345"/>
      <c r="GB5" s="1321"/>
      <c r="GC5" s="1321"/>
      <c r="GD5" s="1321"/>
      <c r="GE5" s="1149" t="s">
        <v>174</v>
      </c>
      <c r="GF5" s="1150" t="s">
        <v>286</v>
      </c>
      <c r="GG5" s="1149" t="s">
        <v>370</v>
      </c>
      <c r="GH5" s="1149" t="s">
        <v>292</v>
      </c>
      <c r="GI5" s="1150" t="s">
        <v>504</v>
      </c>
      <c r="GJ5" s="1149" t="s">
        <v>1723</v>
      </c>
      <c r="GK5" s="1321"/>
      <c r="GL5" s="1321" t="s">
        <v>1349</v>
      </c>
      <c r="GM5" s="1150" t="s">
        <v>328</v>
      </c>
      <c r="GN5" s="1149" t="s">
        <v>199</v>
      </c>
      <c r="GO5" s="1149" t="s">
        <v>509</v>
      </c>
      <c r="GP5" s="1321" t="s">
        <v>1349</v>
      </c>
      <c r="GQ5" s="1321" t="s">
        <v>1349</v>
      </c>
      <c r="GR5" s="1149" t="s">
        <v>13</v>
      </c>
      <c r="GS5" s="1149" t="s">
        <v>1741</v>
      </c>
      <c r="GT5" s="1321" t="s">
        <v>1349</v>
      </c>
      <c r="GU5" s="1321" t="s">
        <v>1349</v>
      </c>
      <c r="GV5" s="1321" t="s">
        <v>1349</v>
      </c>
      <c r="GW5" s="1321"/>
      <c r="GX5" s="1321"/>
      <c r="GY5" s="1082" t="str">
        <f t="shared" si="5"/>
        <v>balles de foin 300kg enrubanné BQ</v>
      </c>
      <c r="GZ5" s="1082"/>
      <c r="HA5" s="1085">
        <f t="shared" si="6"/>
        <v>0</v>
      </c>
      <c r="HB5" s="1085">
        <f>IF(COUNTIF(TypeArticleDansEntrepôt,GY5)=0,0,SUMIF(TypeArticleDansEntrepôt,GY5,QtéArticleDansEntrepôt)*VLOOKUP(GY5,place_necessaire_entrepots_aire_paille[],2,FALSE))</f>
        <v>0</v>
      </c>
      <c r="HC5" s="1321"/>
      <c r="HD5" s="1321"/>
      <c r="HE5" s="1321"/>
      <c r="HF5" s="1150" t="str">
        <f t="shared" si="0"/>
        <v>Nouveau-Brunswick</v>
      </c>
      <c r="HG5" s="1149" t="str">
        <f t="shared" si="3"/>
        <v>Basse-Normandie</v>
      </c>
      <c r="HH5" s="1149" t="str">
        <f t="shared" si="1"/>
        <v>Sud-Ouest</v>
      </c>
      <c r="HI5" s="1321"/>
      <c r="HJ5" s="1321"/>
      <c r="HK5" s="1143" t="s">
        <v>523</v>
      </c>
      <c r="HL5" s="1152">
        <v>120</v>
      </c>
      <c r="HM5" s="1321"/>
      <c r="HN5" s="1149" t="s">
        <v>65</v>
      </c>
      <c r="HO5" s="1165">
        <v>900</v>
      </c>
      <c r="HP5" s="1166">
        <f>0.6</f>
        <v>0.6</v>
      </c>
      <c r="HQ5" s="1166">
        <v>0.33333333333333331</v>
      </c>
      <c r="HR5" s="1166">
        <v>0.63636363636363635</v>
      </c>
      <c r="HS5" s="1166">
        <v>0.33333333333333331</v>
      </c>
      <c r="HT5" s="1166">
        <f>0.5/1.5</f>
        <v>0.33333333333333331</v>
      </c>
      <c r="HU5" s="1166">
        <f>0.5/1.5</f>
        <v>0.33333333333333331</v>
      </c>
      <c r="HV5" s="1321"/>
      <c r="HW5" s="1321"/>
      <c r="HX5" s="1321"/>
      <c r="HY5" s="1321"/>
      <c r="HZ5" s="1321"/>
      <c r="IA5" s="1321"/>
      <c r="IB5" s="1321"/>
      <c r="IC5" s="1321"/>
      <c r="ID5" s="1321"/>
      <c r="IE5" s="1321"/>
      <c r="IF5" s="1321"/>
      <c r="IG5" s="1321"/>
      <c r="IH5" s="1321"/>
      <c r="II5" s="1321"/>
      <c r="IJ5" s="1321"/>
      <c r="IK5" s="1321"/>
      <c r="IL5" s="1321"/>
      <c r="IM5" s="1321"/>
      <c r="IN5" s="1368"/>
    </row>
    <row r="6" spans="1:248" ht="12.75" customHeight="1" x14ac:dyDescent="0.2">
      <c r="A6" s="1306" t="s">
        <v>1364</v>
      </c>
      <c r="B6" s="1168" t="s">
        <v>702</v>
      </c>
      <c r="C6" s="1168" t="s">
        <v>703</v>
      </c>
      <c r="D6" s="1169" t="s">
        <v>704</v>
      </c>
      <c r="E6" s="1330"/>
      <c r="F6" s="1167" t="s">
        <v>1751</v>
      </c>
      <c r="G6" s="1168" t="s">
        <v>1789</v>
      </c>
      <c r="H6" s="1170" t="s">
        <v>1137</v>
      </c>
      <c r="I6" s="1171" t="s">
        <v>1646</v>
      </c>
      <c r="J6" s="1171" t="s">
        <v>1136</v>
      </c>
      <c r="K6" s="1172" t="s">
        <v>1148</v>
      </c>
      <c r="L6" s="1321"/>
      <c r="M6" s="1143" t="s">
        <v>524</v>
      </c>
      <c r="N6" s="1321"/>
      <c r="O6" s="1149" t="s">
        <v>1221</v>
      </c>
      <c r="P6" s="1149"/>
      <c r="Q6" s="1149"/>
      <c r="R6" s="1149"/>
      <c r="S6" s="1149"/>
      <c r="T6" s="1149"/>
      <c r="U6" s="1149"/>
      <c r="V6" s="1149">
        <v>0.35</v>
      </c>
      <c r="W6" s="1149">
        <v>0.35</v>
      </c>
      <c r="X6" s="1149">
        <v>0.35</v>
      </c>
      <c r="Y6" s="1149">
        <v>0.35</v>
      </c>
      <c r="Z6" s="1149">
        <v>0.35</v>
      </c>
      <c r="AA6" s="1149">
        <v>0.35</v>
      </c>
      <c r="AB6" s="1149"/>
      <c r="AC6" s="1149"/>
      <c r="AD6" s="1149">
        <v>0.35</v>
      </c>
      <c r="AE6" s="1149">
        <v>0.35</v>
      </c>
      <c r="AF6" s="1149">
        <v>0.35</v>
      </c>
      <c r="AG6" s="1736">
        <v>0.35</v>
      </c>
      <c r="AH6" s="1737"/>
      <c r="AI6" s="1149">
        <v>0.35</v>
      </c>
      <c r="AJ6" s="1149">
        <v>0.35</v>
      </c>
      <c r="AK6" s="1149">
        <v>0.35</v>
      </c>
      <c r="AL6" s="1149">
        <v>0.35</v>
      </c>
      <c r="AM6" s="1149">
        <v>0.35</v>
      </c>
      <c r="AN6" s="1149">
        <v>0.35</v>
      </c>
      <c r="AO6" s="1149"/>
      <c r="AP6" s="1149"/>
      <c r="AQ6" s="1149"/>
      <c r="AR6" s="1149"/>
      <c r="AS6" s="1149"/>
      <c r="AT6" s="1149"/>
      <c r="AU6" s="1149"/>
      <c r="AV6" s="1149"/>
      <c r="AW6" s="1149"/>
      <c r="AX6" s="1149"/>
      <c r="AY6" s="1149"/>
      <c r="AZ6" s="1321"/>
      <c r="BA6" s="1321"/>
      <c r="BB6" s="1321"/>
      <c r="BC6" s="1321"/>
      <c r="BD6" s="1320"/>
      <c r="BE6" s="1321"/>
      <c r="BF6" s="1321"/>
      <c r="BG6" s="1321"/>
      <c r="BH6" s="1321"/>
      <c r="BI6" s="1321"/>
      <c r="BJ6" s="1321"/>
      <c r="BK6" s="1345"/>
      <c r="BL6" s="1345"/>
      <c r="BM6" s="1346"/>
      <c r="BN6" s="1143" t="s">
        <v>66</v>
      </c>
      <c r="BO6" s="1143">
        <v>25</v>
      </c>
      <c r="BP6" s="1143">
        <v>550</v>
      </c>
      <c r="BQ6" s="1321"/>
      <c r="BR6" s="1143" t="s">
        <v>76</v>
      </c>
      <c r="BS6" s="1143" t="str">
        <f>IF(ChoixPaysPartie="","",IF(OR(ChoixPaysPartie=CANADA,ChoixPaysPartie=USA),"Canola","Tourteau de colza"))</f>
        <v/>
      </c>
      <c r="BT6" s="1143">
        <v>20</v>
      </c>
      <c r="BU6" s="1321"/>
      <c r="BV6" s="1345"/>
      <c r="BW6" s="1345"/>
      <c r="BX6" s="1321"/>
      <c r="BY6" s="1139" t="s">
        <v>753</v>
      </c>
      <c r="BZ6" s="1139" t="s">
        <v>674</v>
      </c>
      <c r="CA6" s="1139" t="s">
        <v>669</v>
      </c>
      <c r="CB6" s="1139" t="s">
        <v>47</v>
      </c>
      <c r="CC6" s="1139" t="s">
        <v>48</v>
      </c>
      <c r="CD6" s="1356"/>
      <c r="CE6" s="1356"/>
      <c r="CF6" s="1356"/>
      <c r="CG6" s="1356"/>
      <c r="CH6" s="1356"/>
      <c r="CI6" s="1321"/>
      <c r="CJ6" s="1143" t="s">
        <v>777</v>
      </c>
      <c r="CK6" s="1321"/>
      <c r="CL6" s="1328" t="str">
        <f>IF(OR(ChoixPaysPartie=France,ChoixPaysPartie=Belgique,ChoixPaysPartie=Suisse),"","Seigle")</f>
        <v>Seigle</v>
      </c>
      <c r="CM6" s="1321"/>
      <c r="CN6" s="1321"/>
      <c r="CO6" s="1321"/>
      <c r="CP6" s="1321"/>
      <c r="CQ6" s="1321"/>
      <c r="CR6" s="1321"/>
      <c r="CS6" s="1321"/>
      <c r="CT6" s="1321"/>
      <c r="CU6" s="1321"/>
      <c r="CV6" s="1321"/>
      <c r="CW6" s="1321"/>
      <c r="CX6" s="1321"/>
      <c r="CY6" s="1321"/>
      <c r="CZ6" s="1321"/>
      <c r="DA6" s="1321"/>
      <c r="DB6" s="1321"/>
      <c r="DC6" s="1321"/>
      <c r="DD6" s="1321"/>
      <c r="DE6" s="1321"/>
      <c r="DF6" s="1321"/>
      <c r="DG6" s="1321"/>
      <c r="DH6" s="1321"/>
      <c r="DI6" s="1342" t="s">
        <v>70</v>
      </c>
      <c r="DJ6" s="1342" t="s">
        <v>817</v>
      </c>
      <c r="DK6" s="1321"/>
      <c r="DL6" s="1321"/>
      <c r="DM6" s="1321"/>
      <c r="DN6" s="1321"/>
      <c r="DO6" s="1321"/>
      <c r="DP6" s="1321"/>
      <c r="DQ6" s="1321"/>
      <c r="DR6" s="1321"/>
      <c r="DS6" s="1345"/>
      <c r="DT6" s="1346"/>
      <c r="DU6" s="1346"/>
      <c r="DV6" s="1318"/>
      <c r="DW6" s="1318"/>
      <c r="DX6" s="1318"/>
      <c r="DY6" s="1318"/>
      <c r="DZ6" s="1318"/>
      <c r="EA6" s="1318"/>
      <c r="EB6" s="1318"/>
      <c r="EC6" s="1143" t="s">
        <v>877</v>
      </c>
      <c r="ED6" s="1143">
        <v>0.5</v>
      </c>
      <c r="EE6" s="1345"/>
      <c r="EF6" s="1321"/>
      <c r="EG6" s="1321"/>
      <c r="EH6" s="1321"/>
      <c r="EI6" s="1321"/>
      <c r="EJ6" s="1321"/>
      <c r="EK6" s="1345"/>
      <c r="EL6" s="1345"/>
      <c r="EM6" s="1321"/>
      <c r="EN6" s="1321"/>
      <c r="EO6" s="1321"/>
      <c r="EP6" s="1321"/>
      <c r="EQ6" s="1321"/>
      <c r="ER6" s="1345"/>
      <c r="ES6" s="1345"/>
      <c r="ET6" s="1321"/>
      <c r="EU6" s="1321"/>
      <c r="EV6" s="1321"/>
      <c r="EW6" s="1321"/>
      <c r="EX6" s="1321"/>
      <c r="EY6" s="1321"/>
      <c r="EZ6" s="1345"/>
      <c r="FA6" s="1345"/>
      <c r="FB6" s="1345"/>
      <c r="FC6" s="1321"/>
      <c r="FD6" s="1321"/>
      <c r="FE6" s="1321"/>
      <c r="FF6" s="1321"/>
      <c r="FG6" s="1321"/>
      <c r="FH6" s="1321"/>
      <c r="FI6" s="1345"/>
      <c r="FJ6" s="1345"/>
      <c r="FK6" s="1345"/>
      <c r="FL6" s="1345"/>
      <c r="FM6" s="1321"/>
      <c r="FN6" s="1321"/>
      <c r="FO6" s="1321"/>
      <c r="FP6" s="1321"/>
      <c r="FQ6" s="1321"/>
      <c r="FR6" s="1321"/>
      <c r="FS6" s="1345"/>
      <c r="FT6" s="1345"/>
      <c r="FU6" s="1345"/>
      <c r="FV6" s="1345"/>
      <c r="FW6" s="1173" t="s">
        <v>1059</v>
      </c>
      <c r="FX6" s="1174" t="s">
        <v>354</v>
      </c>
      <c r="FY6" s="1143">
        <v>100</v>
      </c>
      <c r="FZ6" s="1143">
        <v>50000</v>
      </c>
      <c r="GA6" s="1345"/>
      <c r="GB6" s="1321"/>
      <c r="GC6" s="1321"/>
      <c r="GD6" s="1321"/>
      <c r="GE6" s="1143" t="s">
        <v>175</v>
      </c>
      <c r="GF6" s="1144" t="s">
        <v>287</v>
      </c>
      <c r="GG6" s="1143" t="s">
        <v>380</v>
      </c>
      <c r="GH6" s="1143" t="s">
        <v>293</v>
      </c>
      <c r="GI6" s="1144" t="s">
        <v>295</v>
      </c>
      <c r="GJ6" s="1143" t="s">
        <v>1740</v>
      </c>
      <c r="GK6" s="1321"/>
      <c r="GL6" s="1321" t="s">
        <v>1349</v>
      </c>
      <c r="GM6" s="1321" t="s">
        <v>1349</v>
      </c>
      <c r="GN6" s="1143" t="s">
        <v>603</v>
      </c>
      <c r="GO6" s="1143" t="s">
        <v>510</v>
      </c>
      <c r="GP6" s="1321" t="s">
        <v>1349</v>
      </c>
      <c r="GQ6" s="1321" t="s">
        <v>1349</v>
      </c>
      <c r="GR6" s="1143" t="s">
        <v>14</v>
      </c>
      <c r="GS6" s="1143" t="s">
        <v>1742</v>
      </c>
      <c r="GT6" s="1321" t="s">
        <v>1349</v>
      </c>
      <c r="GU6" s="1321" t="s">
        <v>1349</v>
      </c>
      <c r="GV6" s="1321" t="s">
        <v>1349</v>
      </c>
      <c r="GW6" s="1321"/>
      <c r="GX6" s="1321"/>
      <c r="GY6" s="1083" t="str">
        <f t="shared" si="5"/>
        <v>balles de foin 500kg BQ</v>
      </c>
      <c r="GZ6" s="1083"/>
      <c r="HA6" s="1084">
        <f t="shared" si="6"/>
        <v>0</v>
      </c>
      <c r="HB6" s="1084">
        <f>IF(COUNTIF(TypeArticleDansEntrepôt,GY6)=0,0,SUMIF(TypeArticleDansEntrepôt,GY6,QtéArticleDansEntrepôt)*VLOOKUP(GY6,place_necessaire_entrepots_aire_paille[],2,FALSE))</f>
        <v>0</v>
      </c>
      <c r="HC6" s="1321"/>
      <c r="HD6" s="1321"/>
      <c r="HE6" s="1321"/>
      <c r="HF6" s="1144" t="str">
        <f t="shared" si="0"/>
        <v>Québec</v>
      </c>
      <c r="HG6" s="1143" t="str">
        <f t="shared" si="3"/>
        <v>Bourgogne</v>
      </c>
      <c r="HH6" s="1143" t="str">
        <f t="shared" si="1"/>
        <v>Centre</v>
      </c>
      <c r="HI6" s="1321"/>
      <c r="HJ6" s="1321"/>
      <c r="HK6" s="1149" t="s">
        <v>285</v>
      </c>
      <c r="HL6" s="1159">
        <v>100</v>
      </c>
      <c r="HM6" s="1321"/>
      <c r="HN6" s="1162" t="s">
        <v>296</v>
      </c>
      <c r="HO6" s="1160">
        <v>150</v>
      </c>
      <c r="HP6" s="1175">
        <v>0.83333333333333337</v>
      </c>
      <c r="HQ6" s="1175">
        <v>0.66666666666666663</v>
      </c>
      <c r="HR6" s="1175">
        <v>0.76923076923076927</v>
      </c>
      <c r="HS6" s="1175">
        <v>0.83870967741935487</v>
      </c>
      <c r="HT6" s="1175">
        <v>0.66666666666666663</v>
      </c>
      <c r="HU6" s="1175">
        <v>0</v>
      </c>
      <c r="HV6" s="1321"/>
      <c r="HW6" s="1321"/>
      <c r="HX6" s="1321"/>
      <c r="HY6" s="1321"/>
      <c r="HZ6" s="1321"/>
      <c r="IA6" s="1321"/>
      <c r="IB6" s="1321"/>
      <c r="IC6" s="1321"/>
      <c r="ID6" s="1321"/>
      <c r="IE6" s="1321"/>
      <c r="IF6" s="1321"/>
      <c r="IG6" s="1321"/>
      <c r="IH6" s="1321"/>
      <c r="II6" s="1321"/>
      <c r="IJ6" s="1321"/>
      <c r="IK6" s="1321"/>
      <c r="IL6" s="1321"/>
      <c r="IM6" s="1321"/>
      <c r="IN6" s="1368"/>
    </row>
    <row r="7" spans="1:248" ht="12.75" customHeight="1" x14ac:dyDescent="0.2">
      <c r="A7" s="1307" t="s">
        <v>679</v>
      </c>
      <c r="B7" s="1177" t="s">
        <v>354</v>
      </c>
      <c r="C7" s="1177">
        <v>30</v>
      </c>
      <c r="D7" s="1178">
        <v>0.3</v>
      </c>
      <c r="E7" s="1327"/>
      <c r="F7" s="1179" t="s">
        <v>1149</v>
      </c>
      <c r="G7" s="1180">
        <v>0.1</v>
      </c>
      <c r="H7" s="1181">
        <v>20000</v>
      </c>
      <c r="I7" s="1177">
        <v>0.1</v>
      </c>
      <c r="J7" s="1177">
        <v>75</v>
      </c>
      <c r="K7" s="1178"/>
      <c r="L7" s="1321"/>
      <c r="M7" s="1182" t="s">
        <v>466</v>
      </c>
      <c r="N7" s="1321"/>
      <c r="O7" s="1143" t="s">
        <v>1224</v>
      </c>
      <c r="P7" s="1143">
        <v>0.4</v>
      </c>
      <c r="Q7" s="1143">
        <v>0.4</v>
      </c>
      <c r="R7" s="1143">
        <v>0.4</v>
      </c>
      <c r="S7" s="1143">
        <v>0.4</v>
      </c>
      <c r="T7" s="1143">
        <v>0.4</v>
      </c>
      <c r="U7" s="1143">
        <v>0.4</v>
      </c>
      <c r="V7" s="1143"/>
      <c r="W7" s="1143"/>
      <c r="X7" s="1143"/>
      <c r="Y7" s="1143"/>
      <c r="Z7" s="1143"/>
      <c r="AA7" s="1143"/>
      <c r="AB7" s="1143">
        <v>0.4</v>
      </c>
      <c r="AC7" s="1143">
        <v>0.4</v>
      </c>
      <c r="AD7" s="1143"/>
      <c r="AE7" s="1143"/>
      <c r="AF7" s="1143"/>
      <c r="AG7" s="1734"/>
      <c r="AH7" s="1735"/>
      <c r="AI7" s="1143"/>
      <c r="AJ7" s="1143"/>
      <c r="AK7" s="1143"/>
      <c r="AL7" s="1143"/>
      <c r="AM7" s="1143"/>
      <c r="AN7" s="1143"/>
      <c r="AO7" s="1143"/>
      <c r="AP7" s="1143"/>
      <c r="AQ7" s="1143"/>
      <c r="AR7" s="1143"/>
      <c r="AS7" s="1143"/>
      <c r="AT7" s="1143"/>
      <c r="AU7" s="1143"/>
      <c r="AV7" s="1143"/>
      <c r="AW7" s="1143"/>
      <c r="AX7" s="1143"/>
      <c r="AY7" s="1143"/>
      <c r="AZ7" s="1321"/>
      <c r="BA7" s="1321"/>
      <c r="BB7" s="1321"/>
      <c r="BC7" s="1328" t="s">
        <v>722</v>
      </c>
      <c r="BD7" s="1320"/>
      <c r="BE7" s="1321"/>
      <c r="BF7" s="1321"/>
      <c r="BG7" s="1321"/>
      <c r="BH7" s="1321"/>
      <c r="BI7" s="1321"/>
      <c r="BJ7" s="1321"/>
      <c r="BK7" s="1345"/>
      <c r="BL7" s="1345"/>
      <c r="BM7" s="1346"/>
      <c r="BN7" s="1149" t="s">
        <v>747</v>
      </c>
      <c r="BO7" s="1149">
        <v>25</v>
      </c>
      <c r="BP7" s="1149">
        <v>550</v>
      </c>
      <c r="BQ7" s="1350"/>
      <c r="BR7" s="1149" t="s">
        <v>285</v>
      </c>
      <c r="BS7" s="1149" t="s">
        <v>63</v>
      </c>
      <c r="BT7" s="1321"/>
      <c r="BU7" s="1321"/>
      <c r="BV7" s="1345"/>
      <c r="BW7" s="1345"/>
      <c r="BX7" s="1321"/>
      <c r="BY7" s="1143" t="s">
        <v>358</v>
      </c>
      <c r="BZ7" s="1143">
        <v>2.2000000000000002</v>
      </c>
      <c r="CA7" s="1143">
        <v>60</v>
      </c>
      <c r="CB7" s="1143">
        <v>2.7</v>
      </c>
      <c r="CC7" s="1143">
        <v>0</v>
      </c>
      <c r="CD7" s="1345"/>
      <c r="CE7" s="1345"/>
      <c r="CF7" s="1345"/>
      <c r="CG7" s="1345"/>
      <c r="CH7" s="1345"/>
      <c r="CI7" s="1321"/>
      <c r="CJ7" s="1139" t="s">
        <v>753</v>
      </c>
      <c r="CK7" s="1139" t="s">
        <v>674</v>
      </c>
      <c r="CL7" s="1139" t="s">
        <v>669</v>
      </c>
      <c r="CM7" s="1321"/>
      <c r="CN7" s="1224" t="s">
        <v>766</v>
      </c>
      <c r="CO7" s="1197"/>
      <c r="CP7" s="1321"/>
      <c r="CQ7" s="1321"/>
      <c r="CR7" s="1321"/>
      <c r="CS7" s="1139" t="s">
        <v>753</v>
      </c>
      <c r="CT7" s="1139" t="s">
        <v>674</v>
      </c>
      <c r="CU7" s="1139" t="s">
        <v>669</v>
      </c>
      <c r="CV7" s="1139" t="s">
        <v>48</v>
      </c>
      <c r="CW7" s="1224" t="s">
        <v>1285</v>
      </c>
      <c r="CX7" s="1321"/>
      <c r="CY7" s="1321"/>
      <c r="CZ7" s="1139" t="s">
        <v>753</v>
      </c>
      <c r="DA7" s="1139" t="s">
        <v>674</v>
      </c>
      <c r="DB7" s="1139" t="s">
        <v>669</v>
      </c>
      <c r="DC7" s="1139" t="s">
        <v>796</v>
      </c>
      <c r="DD7" s="1321"/>
      <c r="DE7" s="1321"/>
      <c r="DF7" s="1321"/>
      <c r="DG7" s="1139" t="s">
        <v>753</v>
      </c>
      <c r="DH7" s="1139" t="s">
        <v>674</v>
      </c>
      <c r="DI7" s="1731" t="s">
        <v>669</v>
      </c>
      <c r="DJ7" s="1731"/>
      <c r="DK7" s="1139" t="s">
        <v>796</v>
      </c>
      <c r="DL7" s="1321"/>
      <c r="DM7" s="1321"/>
      <c r="DN7" s="1224" t="s">
        <v>1232</v>
      </c>
      <c r="DO7" s="1321"/>
      <c r="DP7" s="1321"/>
      <c r="DQ7" s="1224" t="s">
        <v>1233</v>
      </c>
      <c r="DR7" s="1224" t="s">
        <v>1363</v>
      </c>
      <c r="DS7" s="1345"/>
      <c r="DT7" s="1346"/>
      <c r="DU7" s="1346"/>
      <c r="DV7" s="1184" t="s">
        <v>753</v>
      </c>
      <c r="DW7" s="1185" t="s">
        <v>674</v>
      </c>
      <c r="DX7" s="1185" t="s">
        <v>669</v>
      </c>
      <c r="DY7" s="1318"/>
      <c r="DZ7" s="1302" t="s">
        <v>1285</v>
      </c>
      <c r="EA7" s="1318"/>
      <c r="EB7" s="1302" t="s">
        <v>1363</v>
      </c>
      <c r="EC7" s="1149" t="s">
        <v>878</v>
      </c>
      <c r="ED7" s="1149">
        <v>0.5</v>
      </c>
      <c r="EE7" s="1345"/>
      <c r="EF7" s="1321"/>
      <c r="EG7" s="1185" t="s">
        <v>753</v>
      </c>
      <c r="EH7" s="1185" t="s">
        <v>891</v>
      </c>
      <c r="EI7" s="1185" t="s">
        <v>669</v>
      </c>
      <c r="EJ7" s="1321"/>
      <c r="EK7" s="1224" t="s">
        <v>1363</v>
      </c>
      <c r="EL7" s="1345"/>
      <c r="EM7" s="1321"/>
      <c r="EN7" s="1185" t="s">
        <v>753</v>
      </c>
      <c r="EO7" s="1185" t="s">
        <v>891</v>
      </c>
      <c r="EP7" s="1185" t="s">
        <v>669</v>
      </c>
      <c r="EQ7" s="1139" t="s">
        <v>911</v>
      </c>
      <c r="ER7" s="1345"/>
      <c r="ES7" s="1345"/>
      <c r="ET7" s="1321"/>
      <c r="EU7" s="1186" t="s">
        <v>753</v>
      </c>
      <c r="EV7" s="1186" t="s">
        <v>674</v>
      </c>
      <c r="EW7" s="1186" t="s">
        <v>669</v>
      </c>
      <c r="EX7" s="1139" t="s">
        <v>933</v>
      </c>
      <c r="EY7" s="1321"/>
      <c r="EZ7" s="1345"/>
      <c r="FA7" s="1345"/>
      <c r="FB7" s="1345"/>
      <c r="FC7" s="1321"/>
      <c r="FD7" s="1184" t="s">
        <v>753</v>
      </c>
      <c r="FE7" s="1185" t="s">
        <v>674</v>
      </c>
      <c r="FF7" s="1185" t="s">
        <v>669</v>
      </c>
      <c r="FG7" s="1164" t="s">
        <v>933</v>
      </c>
      <c r="FH7" s="1321"/>
      <c r="FI7" s="1345"/>
      <c r="FJ7" s="1345"/>
      <c r="FK7" s="1345"/>
      <c r="FL7" s="1345"/>
      <c r="FM7" s="1321"/>
      <c r="FN7" s="1184" t="s">
        <v>753</v>
      </c>
      <c r="FO7" s="1185" t="s">
        <v>674</v>
      </c>
      <c r="FP7" s="1185" t="s">
        <v>669</v>
      </c>
      <c r="FQ7" s="1164" t="s">
        <v>933</v>
      </c>
      <c r="FR7" s="1321"/>
      <c r="FS7" s="1345"/>
      <c r="FT7" s="1345"/>
      <c r="FU7" s="1345"/>
      <c r="FV7" s="1345"/>
      <c r="FW7" s="1149" t="s">
        <v>1058</v>
      </c>
      <c r="FX7" s="1155" t="s">
        <v>354</v>
      </c>
      <c r="FY7" s="1149">
        <v>1</v>
      </c>
      <c r="FZ7" s="1149">
        <v>500</v>
      </c>
      <c r="GA7" s="1345"/>
      <c r="GB7" s="1321"/>
      <c r="GC7" s="1321"/>
      <c r="GD7" s="1321"/>
      <c r="GE7" s="1149" t="s">
        <v>153</v>
      </c>
      <c r="GF7" s="1150" t="s">
        <v>93</v>
      </c>
      <c r="GG7" s="1149" t="s">
        <v>150</v>
      </c>
      <c r="GH7" s="1149" t="s">
        <v>15</v>
      </c>
      <c r="GI7" s="1150" t="s">
        <v>30</v>
      </c>
      <c r="GJ7" s="1149" t="s">
        <v>1724</v>
      </c>
      <c r="GK7" s="1321"/>
      <c r="GL7" s="1321" t="s">
        <v>1349</v>
      </c>
      <c r="GM7" s="1321" t="s">
        <v>1349</v>
      </c>
      <c r="GN7" s="1149" t="s">
        <v>604</v>
      </c>
      <c r="GO7" s="1149" t="s">
        <v>511</v>
      </c>
      <c r="GP7" s="1321" t="s">
        <v>1349</v>
      </c>
      <c r="GQ7" s="1321" t="s">
        <v>1349</v>
      </c>
      <c r="GR7" s="1149" t="s">
        <v>621</v>
      </c>
      <c r="GS7" s="1149" t="s">
        <v>1743</v>
      </c>
      <c r="GT7" s="1321" t="s">
        <v>1349</v>
      </c>
      <c r="GU7" s="1321" t="s">
        <v>1349</v>
      </c>
      <c r="GV7" s="1321" t="s">
        <v>1349</v>
      </c>
      <c r="GW7" s="1321"/>
      <c r="GX7" s="1321"/>
      <c r="GY7" s="1082" t="str">
        <f t="shared" si="5"/>
        <v>balles de foin 250kg MoQ</v>
      </c>
      <c r="GZ7" s="1082"/>
      <c r="HA7" s="1085">
        <f t="shared" si="6"/>
        <v>0</v>
      </c>
      <c r="HB7" s="1085">
        <f>IF(COUNTIF(TypeArticleDansEntrepôt,GY7)=0,0,SUMIF(TypeArticleDansEntrepôt,GY7,QtéArticleDansEntrepôt)*VLOOKUP(GY7,place_necessaire_entrepots_aire_paille[],2,FALSE))</f>
        <v>0</v>
      </c>
      <c r="HC7" s="1321"/>
      <c r="HD7" s="1321"/>
      <c r="HE7" s="1321"/>
      <c r="HF7" s="1150" t="str">
        <f t="shared" si="0"/>
        <v>Ontario</v>
      </c>
      <c r="HG7" s="1149" t="str">
        <f t="shared" si="3"/>
        <v>Bretagne</v>
      </c>
      <c r="HH7" s="1149" t="str">
        <f t="shared" si="1"/>
        <v>Nord-Est</v>
      </c>
      <c r="HI7" s="1321"/>
      <c r="HJ7" s="1321"/>
      <c r="HK7" s="1143" t="s">
        <v>300</v>
      </c>
      <c r="HL7" s="1152">
        <v>350</v>
      </c>
      <c r="HM7" s="1328" t="s">
        <v>1890</v>
      </c>
      <c r="HN7" s="1149" t="s">
        <v>339</v>
      </c>
      <c r="HO7" s="1165">
        <v>150</v>
      </c>
      <c r="HP7" s="1166">
        <v>0.6875</v>
      </c>
      <c r="HQ7" s="1166">
        <v>0.63636363636363635</v>
      </c>
      <c r="HR7" s="1166">
        <v>0.66666666666666663</v>
      </c>
      <c r="HS7" s="1166">
        <v>0.7142857142857143</v>
      </c>
      <c r="HT7" s="1166">
        <v>0.5</v>
      </c>
      <c r="HU7" s="1166">
        <v>0</v>
      </c>
      <c r="HV7" s="1321"/>
      <c r="HW7" s="1321"/>
      <c r="HX7" s="1321"/>
      <c r="HY7" s="1321"/>
      <c r="HZ7" s="1321"/>
      <c r="IA7" s="1321"/>
      <c r="IB7" s="1321"/>
      <c r="IC7" s="1321"/>
      <c r="ID7" s="1321"/>
      <c r="IE7" s="1321"/>
      <c r="IF7" s="1321"/>
      <c r="IG7" s="1321"/>
      <c r="IH7" s="1321"/>
      <c r="II7" s="1321"/>
      <c r="IJ7" s="1321"/>
      <c r="IK7" s="1321"/>
      <c r="IL7" s="1321"/>
      <c r="IM7" s="1321"/>
      <c r="IN7" s="1368"/>
    </row>
    <row r="8" spans="1:248" ht="12.75" customHeight="1" x14ac:dyDescent="0.2">
      <c r="A8" s="1307" t="s">
        <v>1090</v>
      </c>
      <c r="B8" s="1177" t="s">
        <v>354</v>
      </c>
      <c r="C8" s="1177">
        <v>30</v>
      </c>
      <c r="D8" s="1178"/>
      <c r="E8" s="1327"/>
      <c r="F8" s="1179" t="s">
        <v>190</v>
      </c>
      <c r="G8" s="1180">
        <v>5.5</v>
      </c>
      <c r="H8" s="1181">
        <v>25</v>
      </c>
      <c r="I8" s="1177">
        <v>5.5</v>
      </c>
      <c r="J8" s="1177">
        <v>0</v>
      </c>
      <c r="K8" s="1178">
        <v>75</v>
      </c>
      <c r="L8" s="1321"/>
      <c r="M8" s="1157" t="s">
        <v>468</v>
      </c>
      <c r="N8" s="1321"/>
      <c r="O8" s="1149" t="s">
        <v>1225</v>
      </c>
      <c r="P8" s="1149">
        <v>0.4</v>
      </c>
      <c r="Q8" s="1149">
        <v>0.4</v>
      </c>
      <c r="R8" s="1149">
        <v>0.4</v>
      </c>
      <c r="S8" s="1149">
        <v>0.4</v>
      </c>
      <c r="T8" s="1149">
        <v>0.4</v>
      </c>
      <c r="U8" s="1149">
        <v>0.4</v>
      </c>
      <c r="V8" s="1149"/>
      <c r="W8" s="1149"/>
      <c r="X8" s="1149"/>
      <c r="Y8" s="1149"/>
      <c r="Z8" s="1149"/>
      <c r="AA8" s="1149"/>
      <c r="AB8" s="1149">
        <v>0.4</v>
      </c>
      <c r="AC8" s="1149">
        <v>0.4</v>
      </c>
      <c r="AD8" s="1149"/>
      <c r="AE8" s="1149"/>
      <c r="AF8" s="1149"/>
      <c r="AG8" s="1736"/>
      <c r="AH8" s="1737"/>
      <c r="AI8" s="1149"/>
      <c r="AJ8" s="1149"/>
      <c r="AK8" s="1149"/>
      <c r="AL8" s="1149"/>
      <c r="AM8" s="1149"/>
      <c r="AN8" s="1149"/>
      <c r="AO8" s="1149"/>
      <c r="AP8" s="1149"/>
      <c r="AQ8" s="1149"/>
      <c r="AR8" s="1149"/>
      <c r="AS8" s="1149"/>
      <c r="AT8" s="1149"/>
      <c r="AU8" s="1149"/>
      <c r="AV8" s="1149"/>
      <c r="AW8" s="1149"/>
      <c r="AX8" s="1149"/>
      <c r="AY8" s="1149"/>
      <c r="AZ8" s="1321"/>
      <c r="BA8" s="1321"/>
      <c r="BB8" s="1321"/>
      <c r="BC8" s="1139" t="s">
        <v>746</v>
      </c>
      <c r="BD8" s="1139" t="s">
        <v>674</v>
      </c>
      <c r="BE8" s="1139" t="s">
        <v>669</v>
      </c>
      <c r="BF8" s="1139" t="s">
        <v>47</v>
      </c>
      <c r="BG8" s="1224" t="s">
        <v>1227</v>
      </c>
      <c r="BH8" s="1321"/>
      <c r="BI8" s="1139" t="s">
        <v>1133</v>
      </c>
      <c r="BJ8" s="1321"/>
      <c r="BK8" s="1345"/>
      <c r="BL8" s="1345"/>
      <c r="BM8" s="1346"/>
      <c r="BN8" s="1327"/>
      <c r="BO8" s="1327"/>
      <c r="BP8" s="1327"/>
      <c r="BQ8" s="1350"/>
      <c r="BR8" s="1321"/>
      <c r="BS8" s="1321"/>
      <c r="BT8" s="1321"/>
      <c r="BU8" s="1321"/>
      <c r="BV8" s="1345"/>
      <c r="BW8" s="1345"/>
      <c r="BX8" s="1321"/>
      <c r="BY8" s="1149" t="s">
        <v>361</v>
      </c>
      <c r="BZ8" s="1149">
        <v>2</v>
      </c>
      <c r="CA8" s="1149">
        <v>30</v>
      </c>
      <c r="CB8" s="1149">
        <v>2.4</v>
      </c>
      <c r="CC8" s="1149">
        <v>2</v>
      </c>
      <c r="CD8" s="1345"/>
      <c r="CE8" s="1345"/>
      <c r="CF8" s="1345"/>
      <c r="CG8" s="1345"/>
      <c r="CH8" s="1345"/>
      <c r="CI8" s="1321"/>
      <c r="CJ8" s="1143" t="s">
        <v>68</v>
      </c>
      <c r="CK8" s="1143" t="s">
        <v>773</v>
      </c>
      <c r="CL8" s="1143">
        <v>240</v>
      </c>
      <c r="CM8" s="1321"/>
      <c r="CN8" s="1143" t="s">
        <v>779</v>
      </c>
      <c r="CO8" s="1143">
        <v>5</v>
      </c>
      <c r="CP8" s="1321"/>
      <c r="CQ8" s="1321"/>
      <c r="CR8" s="1321"/>
      <c r="CS8" s="1173" t="s">
        <v>385</v>
      </c>
      <c r="CT8" s="1173">
        <v>0.05</v>
      </c>
      <c r="CU8" s="1173">
        <v>4.5</v>
      </c>
      <c r="CV8" s="1173">
        <v>0</v>
      </c>
      <c r="CW8" s="1173" t="s">
        <v>1292</v>
      </c>
      <c r="CX8" s="1321"/>
      <c r="CY8" s="1321"/>
      <c r="CZ8" s="1174" t="s">
        <v>598</v>
      </c>
      <c r="DA8" s="1174">
        <v>0.05</v>
      </c>
      <c r="DB8" s="1174" t="s">
        <v>797</v>
      </c>
      <c r="DC8" s="1174" t="s">
        <v>795</v>
      </c>
      <c r="DD8" s="1320"/>
      <c r="DE8" s="1320"/>
      <c r="DF8" s="1321"/>
      <c r="DG8" s="1143" t="s">
        <v>71</v>
      </c>
      <c r="DH8" s="1143">
        <v>0.05</v>
      </c>
      <c r="DI8" s="1143">
        <v>2.5</v>
      </c>
      <c r="DJ8" s="1143">
        <v>2.9</v>
      </c>
      <c r="DK8" s="1143" t="s">
        <v>816</v>
      </c>
      <c r="DL8" s="1321"/>
      <c r="DM8" s="1321"/>
      <c r="DN8" s="1143" t="s">
        <v>724</v>
      </c>
      <c r="DO8" s="1321"/>
      <c r="DP8" s="1321"/>
      <c r="DQ8" s="1143" t="s">
        <v>672</v>
      </c>
      <c r="DR8" s="1143">
        <v>10</v>
      </c>
      <c r="DS8" s="1345"/>
      <c r="DT8" s="1346"/>
      <c r="DU8" s="1346"/>
      <c r="DV8" s="1143" t="s">
        <v>873</v>
      </c>
      <c r="DW8" s="1143">
        <v>3</v>
      </c>
      <c r="DX8" s="1143">
        <v>53</v>
      </c>
      <c r="DY8" s="1318"/>
      <c r="DZ8" s="1143" t="s">
        <v>1300</v>
      </c>
      <c r="EA8" s="1318"/>
      <c r="EB8" s="1143">
        <v>10</v>
      </c>
      <c r="EC8" s="1143" t="s">
        <v>879</v>
      </c>
      <c r="ED8" s="1143">
        <v>0.25</v>
      </c>
      <c r="EE8" s="1345"/>
      <c r="EF8" s="1321"/>
      <c r="EG8" s="1143" t="s">
        <v>881</v>
      </c>
      <c r="EH8" s="1143" t="s">
        <v>882</v>
      </c>
      <c r="EI8" s="1143">
        <v>7</v>
      </c>
      <c r="EJ8" s="1321"/>
      <c r="EK8" s="1143">
        <v>1.5</v>
      </c>
      <c r="EL8" s="1345"/>
      <c r="EM8" s="1321"/>
      <c r="EN8" s="1143" t="s">
        <v>904</v>
      </c>
      <c r="EO8" s="1143" t="s">
        <v>882</v>
      </c>
      <c r="EP8" s="1143">
        <v>3</v>
      </c>
      <c r="EQ8" s="1143" t="s">
        <v>905</v>
      </c>
      <c r="ER8" s="1345"/>
      <c r="ES8" s="1345"/>
      <c r="ET8" s="1321"/>
      <c r="EU8" s="1143" t="s">
        <v>913</v>
      </c>
      <c r="EV8" s="1143" t="s">
        <v>934</v>
      </c>
      <c r="EW8" s="1143" t="s">
        <v>936</v>
      </c>
      <c r="EX8" s="1143" t="s">
        <v>946</v>
      </c>
      <c r="EY8" s="1321"/>
      <c r="EZ8" s="1345"/>
      <c r="FA8" s="1345"/>
      <c r="FB8" s="1345"/>
      <c r="FC8" s="1321"/>
      <c r="FD8" s="1143" t="s">
        <v>960</v>
      </c>
      <c r="FE8" s="1143" t="s">
        <v>986</v>
      </c>
      <c r="FF8" s="1143" t="s">
        <v>988</v>
      </c>
      <c r="FG8" s="1143" t="s">
        <v>955</v>
      </c>
      <c r="FH8" s="1321"/>
      <c r="FI8" s="1345"/>
      <c r="FJ8" s="1345"/>
      <c r="FK8" s="1345"/>
      <c r="FL8" s="1345"/>
      <c r="FM8" s="1321"/>
      <c r="FN8" s="1143" t="s">
        <v>975</v>
      </c>
      <c r="FO8" s="1143" t="s">
        <v>987</v>
      </c>
      <c r="FP8" s="1143" t="s">
        <v>995</v>
      </c>
      <c r="FQ8" s="1143" t="s">
        <v>1014</v>
      </c>
      <c r="FR8" s="1321"/>
      <c r="FS8" s="1345"/>
      <c r="FT8" s="1345"/>
      <c r="FU8" s="1345"/>
      <c r="FV8" s="1345"/>
      <c r="FW8" s="1143" t="s">
        <v>1060</v>
      </c>
      <c r="FX8" s="1174" t="s">
        <v>354</v>
      </c>
      <c r="FY8" s="1143">
        <v>1</v>
      </c>
      <c r="FZ8" s="1143">
        <v>40</v>
      </c>
      <c r="GA8" s="1345"/>
      <c r="GB8" s="1321"/>
      <c r="GC8" s="1321"/>
      <c r="GD8" s="1321"/>
      <c r="GE8" s="1143" t="s">
        <v>245</v>
      </c>
      <c r="GF8" s="1144" t="s">
        <v>290</v>
      </c>
      <c r="GG8" s="1143" t="s">
        <v>151</v>
      </c>
      <c r="GH8" s="1143" t="s">
        <v>16</v>
      </c>
      <c r="GI8" s="1144" t="s">
        <v>55</v>
      </c>
      <c r="GJ8" s="1143" t="s">
        <v>1725</v>
      </c>
      <c r="GK8" s="1321"/>
      <c r="GL8" s="1321" t="s">
        <v>1349</v>
      </c>
      <c r="GM8" s="1321" t="s">
        <v>1349</v>
      </c>
      <c r="GN8" s="1143" t="s">
        <v>605</v>
      </c>
      <c r="GO8" s="1143" t="s">
        <v>325</v>
      </c>
      <c r="GP8" s="1321" t="s">
        <v>1349</v>
      </c>
      <c r="GQ8" s="1321" t="s">
        <v>1349</v>
      </c>
      <c r="GR8" s="1143" t="s">
        <v>620</v>
      </c>
      <c r="GS8" s="1321"/>
      <c r="GT8" s="1321" t="s">
        <v>1349</v>
      </c>
      <c r="GU8" s="1321" t="s">
        <v>1349</v>
      </c>
      <c r="GV8" s="1321" t="s">
        <v>1349</v>
      </c>
      <c r="GW8" s="1321"/>
      <c r="GX8" s="1321"/>
      <c r="GY8" s="1083" t="str">
        <f t="shared" si="5"/>
        <v>balles de foin 300kg MoQ</v>
      </c>
      <c r="GZ8" s="1083"/>
      <c r="HA8" s="1084">
        <f t="shared" si="6"/>
        <v>0</v>
      </c>
      <c r="HB8" s="1084">
        <f>IF(COUNTIF(TypeArticleDansEntrepôt,GY8)=0,0,SUMIF(TypeArticleDansEntrepôt,GY8,QtéArticleDansEntrepôt)*VLOOKUP(GY8,place_necessaire_entrepots_aire_paille[],2,FALSE))</f>
        <v>0</v>
      </c>
      <c r="HC8" s="1321"/>
      <c r="HD8" s="1321"/>
      <c r="HE8" s="1321"/>
      <c r="HF8" s="1144" t="str">
        <f t="shared" si="0"/>
        <v>Manitoba</v>
      </c>
      <c r="HG8" s="1143" t="str">
        <f t="shared" si="3"/>
        <v>Centre</v>
      </c>
      <c r="HH8" s="1143" t="str">
        <f t="shared" si="1"/>
        <v>Sud</v>
      </c>
      <c r="HI8" s="1321"/>
      <c r="HJ8" s="1321"/>
      <c r="HK8" s="1149" t="s">
        <v>501</v>
      </c>
      <c r="HL8" s="1159">
        <v>220</v>
      </c>
      <c r="HM8" s="1321"/>
      <c r="HN8" s="1162" t="s">
        <v>340</v>
      </c>
      <c r="HO8" s="1160">
        <f>HO7</f>
        <v>150</v>
      </c>
      <c r="HP8" s="1175">
        <f>0.625</f>
        <v>0.625</v>
      </c>
      <c r="HQ8" s="1175">
        <v>0.7142857142857143</v>
      </c>
      <c r="HR8" s="1175">
        <v>0.75</v>
      </c>
      <c r="HS8" s="1175">
        <v>0.6</v>
      </c>
      <c r="HT8" s="1175">
        <v>0.5</v>
      </c>
      <c r="HU8" s="1175">
        <v>0</v>
      </c>
      <c r="HV8" s="1321"/>
      <c r="HW8" s="1321"/>
      <c r="HX8" s="1321"/>
      <c r="HY8" s="1321"/>
      <c r="HZ8" s="1321"/>
      <c r="IA8" s="1321"/>
      <c r="IB8" s="1321"/>
      <c r="IC8" s="1321"/>
      <c r="ID8" s="1321"/>
      <c r="IE8" s="1321"/>
      <c r="IF8" s="1321"/>
      <c r="IG8" s="1321"/>
      <c r="IH8" s="1321"/>
      <c r="II8" s="1321"/>
      <c r="IJ8" s="1321"/>
      <c r="IK8" s="1321"/>
      <c r="IL8" s="1321"/>
      <c r="IM8" s="1321"/>
      <c r="IN8" s="1368"/>
    </row>
    <row r="9" spans="1:248" ht="12.75" customHeight="1" x14ac:dyDescent="0.2">
      <c r="A9" s="1307" t="s">
        <v>684</v>
      </c>
      <c r="B9" s="1177" t="s">
        <v>354</v>
      </c>
      <c r="C9" s="1177">
        <v>30</v>
      </c>
      <c r="D9" s="1178">
        <v>0.15</v>
      </c>
      <c r="E9" s="1327"/>
      <c r="F9" s="1179" t="s">
        <v>1147</v>
      </c>
      <c r="G9" s="1180"/>
      <c r="H9" s="1181"/>
      <c r="I9" s="1177"/>
      <c r="J9" s="1177"/>
      <c r="K9" s="1178"/>
      <c r="L9" s="1321"/>
      <c r="M9" s="1182" t="s">
        <v>467</v>
      </c>
      <c r="N9" s="1321"/>
      <c r="O9" s="1143" t="s">
        <v>1226</v>
      </c>
      <c r="P9" s="1143">
        <v>0.35</v>
      </c>
      <c r="Q9" s="1143">
        <v>0.35</v>
      </c>
      <c r="R9" s="1143">
        <v>0.35</v>
      </c>
      <c r="S9" s="1143">
        <v>0.35</v>
      </c>
      <c r="T9" s="1143">
        <v>0.35</v>
      </c>
      <c r="U9" s="1143">
        <v>0.35</v>
      </c>
      <c r="V9" s="1143"/>
      <c r="W9" s="1143"/>
      <c r="X9" s="1143"/>
      <c r="Y9" s="1143"/>
      <c r="Z9" s="1143"/>
      <c r="AA9" s="1143"/>
      <c r="AB9" s="1143">
        <v>0.35</v>
      </c>
      <c r="AC9" s="1143">
        <v>0.35</v>
      </c>
      <c r="AD9" s="1143"/>
      <c r="AE9" s="1143"/>
      <c r="AF9" s="1143"/>
      <c r="AG9" s="1734"/>
      <c r="AH9" s="1735"/>
      <c r="AI9" s="1143"/>
      <c r="AJ9" s="1143"/>
      <c r="AK9" s="1143"/>
      <c r="AL9" s="1143"/>
      <c r="AM9" s="1143"/>
      <c r="AN9" s="1143"/>
      <c r="AO9" s="1143">
        <f>AVERAGE(0.51,0.65)</f>
        <v>0.58000000000000007</v>
      </c>
      <c r="AP9" s="1143">
        <f>AVERAGE(0.55,0.95)</f>
        <v>0.75</v>
      </c>
      <c r="AQ9" s="1143">
        <f>AVERAGE(1.25,1.9)</f>
        <v>1.575</v>
      </c>
      <c r="AR9" s="1143">
        <f>AVERAGE(1.9,2.1)</f>
        <v>2</v>
      </c>
      <c r="AS9" s="1143">
        <f>AVERAGE(0.9,1.1)</f>
        <v>1</v>
      </c>
      <c r="AT9" s="1143">
        <f>AVERAGE(1.2,1.5)</f>
        <v>1.35</v>
      </c>
      <c r="AU9" s="1143">
        <f>AVERAGE(3.8,4)</f>
        <v>3.9</v>
      </c>
      <c r="AV9" s="1143">
        <f>AVERAGE(4,4.2)</f>
        <v>4.0999999999999996</v>
      </c>
      <c r="AW9" s="1143">
        <f>AVERAGE(6.3,6.5)</f>
        <v>6.4</v>
      </c>
      <c r="AX9" s="1143">
        <f>AVERAGE(3.8,4)</f>
        <v>3.9</v>
      </c>
      <c r="AY9" s="1143">
        <f>AVERAGE(4,4.2)</f>
        <v>4.0999999999999996</v>
      </c>
      <c r="AZ9" s="1321"/>
      <c r="BA9" s="1321"/>
      <c r="BB9" s="1321"/>
      <c r="BC9" s="1143" t="s">
        <v>357</v>
      </c>
      <c r="BD9" s="1143">
        <v>44</v>
      </c>
      <c r="BE9" s="1143">
        <v>700</v>
      </c>
      <c r="BF9" s="1143">
        <v>28</v>
      </c>
      <c r="BG9" s="1143" t="s">
        <v>285</v>
      </c>
      <c r="BH9" s="1345"/>
      <c r="BI9" s="1143" t="s">
        <v>724</v>
      </c>
      <c r="BJ9" s="1321"/>
      <c r="BK9" s="1345"/>
      <c r="BL9" s="1345"/>
      <c r="BM9" s="1328" t="s">
        <v>1282</v>
      </c>
      <c r="BN9" s="1321"/>
      <c r="BO9" s="1321"/>
      <c r="BP9" s="1321"/>
      <c r="BQ9" s="1321"/>
      <c r="BR9" s="1321"/>
      <c r="BS9" s="1321"/>
      <c r="BT9" s="1321"/>
      <c r="BU9" s="1321"/>
      <c r="BV9" s="1345"/>
      <c r="BW9" s="1345"/>
      <c r="BX9" s="1321"/>
      <c r="BY9" s="1143" t="s">
        <v>363</v>
      </c>
      <c r="BZ9" s="1143">
        <v>2.1</v>
      </c>
      <c r="CA9" s="1143">
        <v>40</v>
      </c>
      <c r="CB9" s="1143">
        <v>2.4</v>
      </c>
      <c r="CC9" s="1143">
        <v>0</v>
      </c>
      <c r="CD9" s="1345"/>
      <c r="CE9" s="1345"/>
      <c r="CF9" s="1345"/>
      <c r="CG9" s="1345"/>
      <c r="CH9" s="1345"/>
      <c r="CI9" s="1321"/>
      <c r="CJ9" s="1149" t="s">
        <v>774</v>
      </c>
      <c r="CK9" s="1149" t="s">
        <v>773</v>
      </c>
      <c r="CL9" s="1149">
        <v>230</v>
      </c>
      <c r="CM9" s="1321"/>
      <c r="CN9" s="1149" t="s">
        <v>780</v>
      </c>
      <c r="CO9" s="1149">
        <v>4</v>
      </c>
      <c r="CP9" s="1321"/>
      <c r="CQ9" s="1321"/>
      <c r="CR9" s="1321"/>
      <c r="CS9" s="1149" t="s">
        <v>72</v>
      </c>
      <c r="CT9" s="1149">
        <v>0.05</v>
      </c>
      <c r="CU9" s="1149">
        <v>4.5</v>
      </c>
      <c r="CV9" s="1149">
        <v>0</v>
      </c>
      <c r="CW9" s="1321"/>
      <c r="CX9" s="1321"/>
      <c r="CY9" s="1321"/>
      <c r="CZ9" s="1155" t="s">
        <v>599</v>
      </c>
      <c r="DA9" s="1155">
        <v>0.05</v>
      </c>
      <c r="DB9" s="1155" t="s">
        <v>797</v>
      </c>
      <c r="DC9" s="1155" t="s">
        <v>795</v>
      </c>
      <c r="DD9" s="1320"/>
      <c r="DE9" s="1320"/>
      <c r="DF9" s="1321"/>
      <c r="DG9" s="1321"/>
      <c r="DH9" s="1321"/>
      <c r="DI9" s="1321"/>
      <c r="DJ9" s="1321"/>
      <c r="DK9" s="1321"/>
      <c r="DL9" s="1321"/>
      <c r="DM9" s="1321"/>
      <c r="DN9" s="1149" t="s">
        <v>836</v>
      </c>
      <c r="DO9" s="1321"/>
      <c r="DP9" s="1321"/>
      <c r="DQ9" s="1149" t="s">
        <v>285</v>
      </c>
      <c r="DR9" s="1321"/>
      <c r="DS9" s="1345"/>
      <c r="DT9" s="1346"/>
      <c r="DU9" s="1346"/>
      <c r="DV9" s="1318"/>
      <c r="DW9" s="1318"/>
      <c r="DX9" s="1318"/>
      <c r="DY9" s="1318"/>
      <c r="DZ9" s="1318"/>
      <c r="EA9" s="1318"/>
      <c r="EB9" s="1318"/>
      <c r="EC9" s="1318"/>
      <c r="ED9" s="1345"/>
      <c r="EE9" s="1345"/>
      <c r="EF9" s="1321"/>
      <c r="EG9" s="1149" t="s">
        <v>883</v>
      </c>
      <c r="EH9" s="1149" t="s">
        <v>882</v>
      </c>
      <c r="EI9" s="1149">
        <v>6</v>
      </c>
      <c r="EJ9" s="1321"/>
      <c r="EK9" s="1345"/>
      <c r="EL9" s="1345"/>
      <c r="EM9" s="1321"/>
      <c r="EN9" s="1149" t="s">
        <v>906</v>
      </c>
      <c r="EO9" s="1149" t="s">
        <v>882</v>
      </c>
      <c r="EP9" s="1149">
        <v>2.5</v>
      </c>
      <c r="EQ9" s="1149" t="s">
        <v>905</v>
      </c>
      <c r="ER9" s="1345"/>
      <c r="ES9" s="1345"/>
      <c r="ET9" s="1321"/>
      <c r="EU9" s="1149" t="s">
        <v>914</v>
      </c>
      <c r="EV9" s="1149" t="s">
        <v>934</v>
      </c>
      <c r="EW9" s="1149" t="s">
        <v>937</v>
      </c>
      <c r="EX9" s="1149" t="s">
        <v>947</v>
      </c>
      <c r="EY9" s="1321"/>
      <c r="EZ9" s="1345"/>
      <c r="FA9" s="1345"/>
      <c r="FB9" s="1345"/>
      <c r="FC9" s="1321"/>
      <c r="FD9" s="1149" t="s">
        <v>961</v>
      </c>
      <c r="FE9" s="1149" t="s">
        <v>986</v>
      </c>
      <c r="FF9" s="1149" t="s">
        <v>988</v>
      </c>
      <c r="FG9" s="1149" t="s">
        <v>956</v>
      </c>
      <c r="FH9" s="1321"/>
      <c r="FI9" s="1345"/>
      <c r="FJ9" s="1345"/>
      <c r="FK9" s="1345"/>
      <c r="FL9" s="1345"/>
      <c r="FM9" s="1321"/>
      <c r="FN9" s="1149" t="s">
        <v>976</v>
      </c>
      <c r="FO9" s="1149" t="s">
        <v>987</v>
      </c>
      <c r="FP9" s="1149" t="s">
        <v>936</v>
      </c>
      <c r="FQ9" s="1149" t="s">
        <v>1015</v>
      </c>
      <c r="FR9" s="1321"/>
      <c r="FS9" s="1345"/>
      <c r="FT9" s="1345"/>
      <c r="FU9" s="1345"/>
      <c r="FV9" s="1345"/>
      <c r="FW9" s="1321"/>
      <c r="FX9" s="1321"/>
      <c r="FY9" s="1321"/>
      <c r="FZ9" s="1321"/>
      <c r="GA9" s="1345"/>
      <c r="GB9" s="1321"/>
      <c r="GC9" s="1321"/>
      <c r="GD9" s="1321"/>
      <c r="GE9" s="1149" t="s">
        <v>265</v>
      </c>
      <c r="GF9" s="1150" t="s">
        <v>195</v>
      </c>
      <c r="GG9" s="1149" t="s">
        <v>146</v>
      </c>
      <c r="GH9" s="1149" t="s">
        <v>614</v>
      </c>
      <c r="GI9" s="1150" t="s">
        <v>315</v>
      </c>
      <c r="GJ9" s="1149" t="s">
        <v>1726</v>
      </c>
      <c r="GK9" s="1321"/>
      <c r="GL9" s="1321" t="s">
        <v>1349</v>
      </c>
      <c r="GM9" s="1321" t="s">
        <v>1349</v>
      </c>
      <c r="GN9" s="1321" t="s">
        <v>1349</v>
      </c>
      <c r="GO9" s="1321" t="s">
        <v>1349</v>
      </c>
      <c r="GP9" s="1321" t="s">
        <v>1349</v>
      </c>
      <c r="GQ9" s="1321" t="s">
        <v>1349</v>
      </c>
      <c r="GR9" s="1149" t="s">
        <v>622</v>
      </c>
      <c r="GS9" s="1321"/>
      <c r="GT9" s="1321" t="s">
        <v>1349</v>
      </c>
      <c r="GU9" s="1321" t="s">
        <v>1349</v>
      </c>
      <c r="GV9" s="1321" t="s">
        <v>1349</v>
      </c>
      <c r="GW9" s="1321"/>
      <c r="GX9" s="1321"/>
      <c r="GY9" s="1082" t="str">
        <f t="shared" si="5"/>
        <v>balles de foin 300kg enrubanné MoQ</v>
      </c>
      <c r="GZ9" s="1082"/>
      <c r="HA9" s="1085">
        <f t="shared" si="6"/>
        <v>0</v>
      </c>
      <c r="HB9" s="1085">
        <f>IF(COUNTIF(TypeArticleDansEntrepôt,GY9)=0,0,SUMIF(TypeArticleDansEntrepôt,GY9,QtéArticleDansEntrepôt)*VLOOKUP(GY9,place_necessaire_entrepots_aire_paille[],2,FALSE))</f>
        <v>0</v>
      </c>
      <c r="HC9" s="1321"/>
      <c r="HD9" s="1321"/>
      <c r="HE9" s="1321"/>
      <c r="HF9" s="1150" t="str">
        <f t="shared" si="0"/>
        <v>Saskatchewan</v>
      </c>
      <c r="HG9" s="1149" t="str">
        <f t="shared" si="3"/>
        <v>Champagnes-Ardennes</v>
      </c>
      <c r="HH9" s="1321"/>
      <c r="HI9" s="1321"/>
      <c r="HJ9" s="1321"/>
      <c r="HK9" s="1143" t="str">
        <f>IF(OR(parcelles!K2=USA,parcelles!K2=CANADA),"Canola","Colza")</f>
        <v>Colza</v>
      </c>
      <c r="HL9" s="1152">
        <v>220</v>
      </c>
      <c r="HM9" s="1321"/>
      <c r="HN9" s="1149" t="s">
        <v>523</v>
      </c>
      <c r="HO9" s="1165">
        <v>150</v>
      </c>
      <c r="HP9" s="1166">
        <v>0.33333333333333331</v>
      </c>
      <c r="HQ9" s="1166">
        <f>0.5/1.5</f>
        <v>0.33333333333333331</v>
      </c>
      <c r="HR9" s="1166">
        <v>0.66666666666666663</v>
      </c>
      <c r="HS9" s="1166">
        <v>0.7142857142857143</v>
      </c>
      <c r="HT9" s="1166">
        <f>0.5/1.5</f>
        <v>0.33333333333333331</v>
      </c>
      <c r="HU9" s="1166">
        <f>0.5/1.5</f>
        <v>0.33333333333333331</v>
      </c>
      <c r="HV9" s="1321"/>
      <c r="HW9" s="1321"/>
      <c r="HX9" s="1321"/>
      <c r="HY9" s="1321"/>
      <c r="HZ9" s="1321"/>
      <c r="IA9" s="1321"/>
      <c r="IB9" s="1321"/>
      <c r="IC9" s="1321"/>
      <c r="ID9" s="1321"/>
      <c r="IE9" s="1321"/>
      <c r="IF9" s="1321"/>
      <c r="IG9" s="1321"/>
      <c r="IH9" s="1321"/>
      <c r="II9" s="1321"/>
      <c r="IJ9" s="1321"/>
      <c r="IK9" s="1321"/>
      <c r="IL9" s="1321"/>
      <c r="IM9" s="1321"/>
      <c r="IN9" s="1368"/>
    </row>
    <row r="10" spans="1:248" ht="12.75" customHeight="1" x14ac:dyDescent="0.2">
      <c r="A10" s="1307" t="s">
        <v>1087</v>
      </c>
      <c r="B10" s="1177" t="s">
        <v>354</v>
      </c>
      <c r="C10" s="1177">
        <v>300</v>
      </c>
      <c r="D10" s="1178">
        <v>0.8</v>
      </c>
      <c r="E10" s="1327"/>
      <c r="F10" s="1176" t="s">
        <v>1439</v>
      </c>
      <c r="G10" s="1177">
        <v>0.34</v>
      </c>
      <c r="H10" s="1177">
        <v>20</v>
      </c>
      <c r="I10" s="1177">
        <v>0.34</v>
      </c>
      <c r="J10" s="1177"/>
      <c r="K10" s="1178">
        <v>70</v>
      </c>
      <c r="L10" s="1321"/>
      <c r="M10" s="1157" t="s">
        <v>424</v>
      </c>
      <c r="N10" s="1321"/>
      <c r="O10" s="1149" t="s">
        <v>1222</v>
      </c>
      <c r="P10" s="1149">
        <v>100</v>
      </c>
      <c r="Q10" s="1149">
        <v>105</v>
      </c>
      <c r="R10" s="1149">
        <v>105</v>
      </c>
      <c r="S10" s="1149">
        <v>95</v>
      </c>
      <c r="T10" s="1149">
        <v>95</v>
      </c>
      <c r="U10" s="1149">
        <v>125</v>
      </c>
      <c r="V10" s="1149">
        <v>110</v>
      </c>
      <c r="W10" s="1149">
        <v>110</v>
      </c>
      <c r="X10" s="1149">
        <v>45</v>
      </c>
      <c r="Y10" s="1149">
        <v>120</v>
      </c>
      <c r="Z10" s="1149">
        <v>220</v>
      </c>
      <c r="AA10" s="1149">
        <v>230</v>
      </c>
      <c r="AB10" s="1149">
        <v>120</v>
      </c>
      <c r="AC10" s="1149">
        <v>145</v>
      </c>
      <c r="AD10" s="1149">
        <v>165</v>
      </c>
      <c r="AE10" s="1149">
        <v>1300</v>
      </c>
      <c r="AF10" s="1149">
        <v>80</v>
      </c>
      <c r="AG10" s="1736">
        <v>350</v>
      </c>
      <c r="AH10" s="1737"/>
      <c r="AI10" s="1149">
        <v>120</v>
      </c>
      <c r="AJ10" s="1149">
        <v>195</v>
      </c>
      <c r="AK10" s="1149">
        <v>1220</v>
      </c>
      <c r="AL10" s="1149">
        <v>50</v>
      </c>
      <c r="AM10" s="1149">
        <v>1080</v>
      </c>
      <c r="AN10" s="1149">
        <v>4500</v>
      </c>
      <c r="AO10" s="1149"/>
      <c r="AP10" s="1149"/>
      <c r="AQ10" s="1149"/>
      <c r="AR10" s="1149"/>
      <c r="AS10" s="1149"/>
      <c r="AT10" s="1149"/>
      <c r="AU10" s="1149"/>
      <c r="AV10" s="1149"/>
      <c r="AW10" s="1149"/>
      <c r="AX10" s="1149"/>
      <c r="AY10" s="1149"/>
      <c r="AZ10" s="1321"/>
      <c r="BA10" s="1321"/>
      <c r="BB10" s="1321"/>
      <c r="BC10" s="1149" t="s">
        <v>360</v>
      </c>
      <c r="BD10" s="1149">
        <v>50</v>
      </c>
      <c r="BE10" s="1149">
        <v>700</v>
      </c>
      <c r="BF10" s="1149">
        <v>25</v>
      </c>
      <c r="BG10" s="1149" t="s">
        <v>672</v>
      </c>
      <c r="BH10" s="1345"/>
      <c r="BI10" s="1149" t="s">
        <v>726</v>
      </c>
      <c r="BJ10" s="1321"/>
      <c r="BK10" s="1345"/>
      <c r="BL10" s="1345"/>
      <c r="BM10" s="1187" t="s">
        <v>1232</v>
      </c>
      <c r="BN10" s="1171" t="s">
        <v>1250</v>
      </c>
      <c r="BO10" s="1168" t="s">
        <v>1251</v>
      </c>
      <c r="BP10" s="1171" t="s">
        <v>1261</v>
      </c>
      <c r="BQ10" s="1171" t="s">
        <v>1260</v>
      </c>
      <c r="BR10" s="1171" t="s">
        <v>1259</v>
      </c>
      <c r="BS10" s="1171" t="s">
        <v>1258</v>
      </c>
      <c r="BT10" s="1171" t="s">
        <v>1257</v>
      </c>
      <c r="BU10" s="1171" t="s">
        <v>1256</v>
      </c>
      <c r="BV10" s="1188" t="s">
        <v>1255</v>
      </c>
      <c r="BW10" s="1345"/>
      <c r="BX10" s="1321"/>
      <c r="BY10" s="1149" t="s">
        <v>365</v>
      </c>
      <c r="BZ10" s="1149">
        <v>2.2000000000000002</v>
      </c>
      <c r="CA10" s="1149">
        <v>65</v>
      </c>
      <c r="CB10" s="1149">
        <v>2.7</v>
      </c>
      <c r="CC10" s="1149">
        <v>0</v>
      </c>
      <c r="CD10" s="1345"/>
      <c r="CE10" s="1345"/>
      <c r="CF10" s="1345"/>
      <c r="CG10" s="1345"/>
      <c r="CH10" s="1345"/>
      <c r="CI10" s="1321"/>
      <c r="CJ10" s="1143" t="s">
        <v>69</v>
      </c>
      <c r="CK10" s="1143" t="s">
        <v>773</v>
      </c>
      <c r="CL10" s="1143">
        <v>220</v>
      </c>
      <c r="CM10" s="1321"/>
      <c r="CN10" s="1143" t="s">
        <v>781</v>
      </c>
      <c r="CO10" s="1143">
        <v>2</v>
      </c>
      <c r="CP10" s="1321"/>
      <c r="CQ10" s="1321"/>
      <c r="CR10" s="1321"/>
      <c r="CS10" s="1143" t="s">
        <v>386</v>
      </c>
      <c r="CT10" s="1143">
        <v>0.05</v>
      </c>
      <c r="CU10" s="1143">
        <v>4.5</v>
      </c>
      <c r="CV10" s="1143">
        <v>0</v>
      </c>
      <c r="CW10" s="1321"/>
      <c r="CX10" s="1321"/>
      <c r="CY10" s="1321"/>
      <c r="CZ10" s="1174" t="s">
        <v>600</v>
      </c>
      <c r="DA10" s="1174">
        <v>0.05</v>
      </c>
      <c r="DB10" s="1174" t="s">
        <v>797</v>
      </c>
      <c r="DC10" s="1174" t="s">
        <v>795</v>
      </c>
      <c r="DD10" s="1320"/>
      <c r="DE10" s="1320"/>
      <c r="DF10" s="1321"/>
      <c r="DG10" s="1321"/>
      <c r="DH10" s="1321"/>
      <c r="DI10" s="1321"/>
      <c r="DJ10" s="1321"/>
      <c r="DK10" s="1321"/>
      <c r="DL10" s="1321"/>
      <c r="DM10" s="1321"/>
      <c r="DN10" s="1143" t="s">
        <v>727</v>
      </c>
      <c r="DO10" s="1321"/>
      <c r="DP10" s="1321"/>
      <c r="DQ10" s="1143" t="s">
        <v>76</v>
      </c>
      <c r="DR10" s="1321"/>
      <c r="DS10" s="1345"/>
      <c r="DT10" s="1346"/>
      <c r="DU10" s="1346"/>
      <c r="DV10" s="1328" t="s">
        <v>1301</v>
      </c>
      <c r="DW10" s="1318"/>
      <c r="DX10" s="1318"/>
      <c r="DY10" s="1318"/>
      <c r="DZ10" s="1318"/>
      <c r="EA10" s="1318"/>
      <c r="EB10" s="1318"/>
      <c r="EC10" s="1318"/>
      <c r="ED10" s="1345"/>
      <c r="EE10" s="1345"/>
      <c r="EF10" s="1321"/>
      <c r="EG10" s="1143" t="s">
        <v>884</v>
      </c>
      <c r="EH10" s="1143" t="s">
        <v>882</v>
      </c>
      <c r="EI10" s="1143">
        <v>4</v>
      </c>
      <c r="EJ10" s="1321"/>
      <c r="EK10" s="1345"/>
      <c r="EL10" s="1345"/>
      <c r="EM10" s="1321"/>
      <c r="EN10" s="1143" t="s">
        <v>907</v>
      </c>
      <c r="EO10" s="1143" t="s">
        <v>882</v>
      </c>
      <c r="EP10" s="1143">
        <v>3</v>
      </c>
      <c r="EQ10" s="1143" t="s">
        <v>905</v>
      </c>
      <c r="ER10" s="1345"/>
      <c r="ES10" s="1345"/>
      <c r="ET10" s="1321"/>
      <c r="EU10" s="1143" t="s">
        <v>915</v>
      </c>
      <c r="EV10" s="1143" t="s">
        <v>934</v>
      </c>
      <c r="EW10" s="1143" t="s">
        <v>938</v>
      </c>
      <c r="EX10" s="1143" t="s">
        <v>948</v>
      </c>
      <c r="EY10" s="1321"/>
      <c r="EZ10" s="1345"/>
      <c r="FA10" s="1345"/>
      <c r="FB10" s="1345"/>
      <c r="FC10" s="1321"/>
      <c r="FD10" s="1143" t="s">
        <v>962</v>
      </c>
      <c r="FE10" s="1143" t="s">
        <v>986</v>
      </c>
      <c r="FF10" s="1143" t="s">
        <v>990</v>
      </c>
      <c r="FG10" s="1143" t="s">
        <v>956</v>
      </c>
      <c r="FH10" s="1321"/>
      <c r="FI10" s="1345"/>
      <c r="FJ10" s="1345"/>
      <c r="FK10" s="1345"/>
      <c r="FL10" s="1345"/>
      <c r="FM10" s="1321"/>
      <c r="FN10" s="1143" t="s">
        <v>977</v>
      </c>
      <c r="FO10" s="1143" t="s">
        <v>987</v>
      </c>
      <c r="FP10" s="1143" t="s">
        <v>936</v>
      </c>
      <c r="FQ10" s="1143" t="s">
        <v>1015</v>
      </c>
      <c r="FR10" s="1321"/>
      <c r="FS10" s="1345"/>
      <c r="FT10" s="1345"/>
      <c r="FU10" s="1345"/>
      <c r="FV10" s="1345"/>
      <c r="FW10" s="1328" t="s">
        <v>1313</v>
      </c>
      <c r="FX10" s="1321"/>
      <c r="FY10" s="1321"/>
      <c r="FZ10" s="1321"/>
      <c r="GA10" s="1302" t="s">
        <v>1230</v>
      </c>
      <c r="GB10" s="1321"/>
      <c r="GC10" s="1321"/>
      <c r="GD10" s="1321"/>
      <c r="GE10" s="1143" t="s">
        <v>422</v>
      </c>
      <c r="GF10" s="1144" t="s">
        <v>203</v>
      </c>
      <c r="GG10" s="1143" t="s">
        <v>147</v>
      </c>
      <c r="GH10" s="1143" t="s">
        <v>615</v>
      </c>
      <c r="GI10" s="1144" t="s">
        <v>316</v>
      </c>
      <c r="GJ10" s="1143" t="s">
        <v>1727</v>
      </c>
      <c r="GK10" s="1321"/>
      <c r="GL10" s="1321" t="s">
        <v>1349</v>
      </c>
      <c r="GM10" s="1321" t="s">
        <v>1349</v>
      </c>
      <c r="GN10" s="1321" t="s">
        <v>1349</v>
      </c>
      <c r="GO10" s="1321" t="s">
        <v>1349</v>
      </c>
      <c r="GP10" s="1321" t="s">
        <v>1349</v>
      </c>
      <c r="GQ10" s="1321" t="s">
        <v>1349</v>
      </c>
      <c r="GR10" s="1143" t="s">
        <v>623</v>
      </c>
      <c r="GS10" s="1321"/>
      <c r="GT10" s="1321" t="s">
        <v>1349</v>
      </c>
      <c r="GU10" s="1321" t="s">
        <v>1349</v>
      </c>
      <c r="GV10" s="1321" t="s">
        <v>1349</v>
      </c>
      <c r="GW10" s="1321"/>
      <c r="GX10" s="1321"/>
      <c r="GY10" s="1083" t="str">
        <f t="shared" si="5"/>
        <v>balles de foin 500kg MoQ</v>
      </c>
      <c r="GZ10" s="1083"/>
      <c r="HA10" s="1084">
        <f t="shared" si="6"/>
        <v>0</v>
      </c>
      <c r="HB10" s="1084">
        <f>IF(COUNTIF(TypeArticleDansEntrepôt,GY10)=0,0,SUMIF(TypeArticleDansEntrepôt,GY10,QtéArticleDansEntrepôt)*VLOOKUP(GY10,place_necessaire_entrepots_aire_paille[],2,FALSE))</f>
        <v>0</v>
      </c>
      <c r="HC10" s="1321"/>
      <c r="HD10" s="1321"/>
      <c r="HE10" s="1321"/>
      <c r="HF10" s="1144" t="str">
        <f t="shared" si="0"/>
        <v>Alberta</v>
      </c>
      <c r="HG10" s="1143" t="str">
        <f t="shared" si="3"/>
        <v>Corse</v>
      </c>
      <c r="HH10" s="1321"/>
      <c r="HI10" s="1321"/>
      <c r="HJ10" s="1321"/>
      <c r="HK10" s="1149" t="s">
        <v>331</v>
      </c>
      <c r="HL10" s="1159">
        <v>120</v>
      </c>
      <c r="HM10" s="1321"/>
      <c r="HN10" s="1162" t="s">
        <v>64</v>
      </c>
      <c r="HO10" s="1160">
        <v>120</v>
      </c>
      <c r="HP10" s="1175">
        <v>0.66666666666666663</v>
      </c>
      <c r="HQ10" s="1175">
        <v>0.5</v>
      </c>
      <c r="HR10" s="1175">
        <v>0.5</v>
      </c>
      <c r="HS10" s="1175">
        <v>0.5</v>
      </c>
      <c r="HT10" s="1175">
        <v>0.33333333333333331</v>
      </c>
      <c r="HU10" s="1175">
        <v>0.33333333333333331</v>
      </c>
      <c r="HV10" s="1321"/>
      <c r="HW10" s="1321"/>
      <c r="HX10" s="1321"/>
      <c r="HY10" s="1321"/>
      <c r="HZ10" s="1321"/>
      <c r="IA10" s="1321"/>
      <c r="IB10" s="1321"/>
      <c r="IC10" s="1321"/>
      <c r="ID10" s="1321"/>
      <c r="IE10" s="1321"/>
      <c r="IF10" s="1321"/>
      <c r="IG10" s="1321"/>
      <c r="IH10" s="1321"/>
      <c r="II10" s="1321"/>
      <c r="IJ10" s="1321"/>
      <c r="IK10" s="1321"/>
      <c r="IL10" s="1321"/>
      <c r="IM10" s="1321"/>
      <c r="IN10" s="1368"/>
    </row>
    <row r="11" spans="1:248" ht="12.75" customHeight="1" x14ac:dyDescent="0.2">
      <c r="A11" s="1307" t="s">
        <v>1088</v>
      </c>
      <c r="B11" s="1177" t="s">
        <v>354</v>
      </c>
      <c r="C11" s="1177">
        <v>300</v>
      </c>
      <c r="D11" s="1178">
        <v>0.8</v>
      </c>
      <c r="E11" s="1327"/>
      <c r="F11" s="1176" t="s">
        <v>1441</v>
      </c>
      <c r="G11" s="1177">
        <v>0.34</v>
      </c>
      <c r="H11" s="1177">
        <v>25</v>
      </c>
      <c r="I11" s="1177">
        <v>0.34</v>
      </c>
      <c r="J11" s="1177"/>
      <c r="K11" s="1178">
        <v>70</v>
      </c>
      <c r="L11" s="1321"/>
      <c r="M11" s="1321"/>
      <c r="N11" s="1321"/>
      <c r="O11" s="1143" t="s">
        <v>1223</v>
      </c>
      <c r="P11" s="1143">
        <v>70</v>
      </c>
      <c r="Q11" s="1143">
        <v>70</v>
      </c>
      <c r="R11" s="1143">
        <v>70</v>
      </c>
      <c r="S11" s="1143">
        <v>70</v>
      </c>
      <c r="T11" s="1143">
        <v>70</v>
      </c>
      <c r="U11" s="1143">
        <v>70</v>
      </c>
      <c r="V11" s="1143"/>
      <c r="W11" s="1143"/>
      <c r="X11" s="1143"/>
      <c r="Y11" s="1143"/>
      <c r="Z11" s="1143"/>
      <c r="AA11" s="1143"/>
      <c r="AB11" s="1143">
        <v>70</v>
      </c>
      <c r="AC11" s="1143">
        <v>70</v>
      </c>
      <c r="AD11" s="1143"/>
      <c r="AE11" s="1143"/>
      <c r="AF11" s="1143"/>
      <c r="AG11" s="1734">
        <v>120</v>
      </c>
      <c r="AH11" s="1735"/>
      <c r="AI11" s="1143"/>
      <c r="AJ11" s="1143"/>
      <c r="AK11" s="1143"/>
      <c r="AL11" s="1143"/>
      <c r="AM11" s="1143"/>
      <c r="AN11" s="1143"/>
      <c r="AO11" s="1143"/>
      <c r="AP11" s="1143"/>
      <c r="AQ11" s="1143"/>
      <c r="AR11" s="1143"/>
      <c r="AS11" s="1143"/>
      <c r="AT11" s="1143"/>
      <c r="AU11" s="1143"/>
      <c r="AV11" s="1143"/>
      <c r="AW11" s="1143"/>
      <c r="AX11" s="1143"/>
      <c r="AY11" s="1143"/>
      <c r="AZ11" s="1321"/>
      <c r="BA11" s="1321"/>
      <c r="BB11" s="1321"/>
      <c r="BC11" s="1143" t="s">
        <v>571</v>
      </c>
      <c r="BD11" s="1143">
        <v>43</v>
      </c>
      <c r="BE11" s="1143">
        <v>750</v>
      </c>
      <c r="BF11" s="1143">
        <v>28</v>
      </c>
      <c r="BG11" s="1143" t="s">
        <v>76</v>
      </c>
      <c r="BH11" s="1345"/>
      <c r="BI11" s="1143" t="s">
        <v>727</v>
      </c>
      <c r="BJ11" s="1321"/>
      <c r="BK11" s="1345"/>
      <c r="BL11" s="1345"/>
      <c r="BM11" s="1189" t="s">
        <v>1134</v>
      </c>
      <c r="BN11" s="1177" t="s">
        <v>723</v>
      </c>
      <c r="BO11" s="1190" t="s">
        <v>1277</v>
      </c>
      <c r="BP11" s="1177">
        <v>65</v>
      </c>
      <c r="BQ11" s="1177">
        <v>52</v>
      </c>
      <c r="BR11" s="1177">
        <v>39</v>
      </c>
      <c r="BS11" s="1177">
        <v>32.5</v>
      </c>
      <c r="BT11" s="1177">
        <v>26</v>
      </c>
      <c r="BU11" s="1177">
        <v>13</v>
      </c>
      <c r="BV11" s="1191">
        <v>0</v>
      </c>
      <c r="BW11" s="1345"/>
      <c r="BX11" s="1321"/>
      <c r="BY11" s="1143" t="s">
        <v>135</v>
      </c>
      <c r="BZ11" s="1143">
        <v>2.2999999999999998</v>
      </c>
      <c r="CA11" s="1143">
        <v>65</v>
      </c>
      <c r="CB11" s="1143">
        <v>2.7</v>
      </c>
      <c r="CC11" s="1143">
        <v>0</v>
      </c>
      <c r="CD11" s="1345"/>
      <c r="CE11" s="1345"/>
      <c r="CF11" s="1345"/>
      <c r="CG11" s="1345"/>
      <c r="CH11" s="1345"/>
      <c r="CI11" s="1321"/>
      <c r="CJ11" s="1149" t="s">
        <v>775</v>
      </c>
      <c r="CK11" s="1149" t="s">
        <v>773</v>
      </c>
      <c r="CL11" s="1149">
        <v>220</v>
      </c>
      <c r="CM11" s="1321"/>
      <c r="CN11" s="1149" t="s">
        <v>782</v>
      </c>
      <c r="CO11" s="1149">
        <v>2</v>
      </c>
      <c r="CP11" s="1321"/>
      <c r="CQ11" s="1321"/>
      <c r="CR11" s="1321"/>
      <c r="CS11" s="1149" t="s">
        <v>73</v>
      </c>
      <c r="CT11" s="1149">
        <v>0.05</v>
      </c>
      <c r="CU11" s="1149">
        <v>4.5</v>
      </c>
      <c r="CV11" s="1149">
        <v>0</v>
      </c>
      <c r="CW11" s="1321"/>
      <c r="CX11" s="1321"/>
      <c r="CY11" s="1321"/>
      <c r="CZ11" s="1155" t="s">
        <v>601</v>
      </c>
      <c r="DA11" s="1155">
        <v>0.05</v>
      </c>
      <c r="DB11" s="1155" t="s">
        <v>798</v>
      </c>
      <c r="DC11" s="1155">
        <v>1</v>
      </c>
      <c r="DD11" s="1320"/>
      <c r="DE11" s="1320"/>
      <c r="DF11" s="1321"/>
      <c r="DG11" s="1328" t="s">
        <v>734</v>
      </c>
      <c r="DH11" s="1321"/>
      <c r="DI11" s="1321"/>
      <c r="DJ11" s="1321"/>
      <c r="DK11" s="1321"/>
      <c r="DL11" s="1321"/>
      <c r="DM11" s="1321"/>
      <c r="DN11" s="1149" t="s">
        <v>729</v>
      </c>
      <c r="DO11" s="1321"/>
      <c r="DP11" s="1321"/>
      <c r="DQ11" s="1321"/>
      <c r="DR11" s="1321"/>
      <c r="DS11" s="1345"/>
      <c r="DT11" s="1346"/>
      <c r="DU11" s="1346"/>
      <c r="DV11" s="1187" t="s">
        <v>1232</v>
      </c>
      <c r="DW11" s="1171" t="s">
        <v>1250</v>
      </c>
      <c r="DX11" s="1168" t="s">
        <v>1251</v>
      </c>
      <c r="DY11" s="1171" t="s">
        <v>1261</v>
      </c>
      <c r="DZ11" s="1171" t="s">
        <v>1260</v>
      </c>
      <c r="EA11" s="1171" t="s">
        <v>1259</v>
      </c>
      <c r="EB11" s="1171" t="s">
        <v>1258</v>
      </c>
      <c r="EC11" s="1171" t="s">
        <v>1257</v>
      </c>
      <c r="ED11" s="1192" t="s">
        <v>1256</v>
      </c>
      <c r="EE11" s="1188" t="s">
        <v>1255</v>
      </c>
      <c r="EF11" s="1321"/>
      <c r="EG11" s="1149" t="s">
        <v>885</v>
      </c>
      <c r="EH11" s="1149" t="s">
        <v>882</v>
      </c>
      <c r="EI11" s="1149">
        <v>4</v>
      </c>
      <c r="EJ11" s="1321"/>
      <c r="EK11" s="1345"/>
      <c r="EL11" s="1345"/>
      <c r="EM11" s="1321"/>
      <c r="EN11" s="1149" t="s">
        <v>908</v>
      </c>
      <c r="EO11" s="1149" t="s">
        <v>882</v>
      </c>
      <c r="EP11" s="1149">
        <v>3</v>
      </c>
      <c r="EQ11" s="1149" t="s">
        <v>905</v>
      </c>
      <c r="ER11" s="1345"/>
      <c r="ES11" s="1345"/>
      <c r="ET11" s="1321"/>
      <c r="EU11" s="1149" t="s">
        <v>916</v>
      </c>
      <c r="EV11" s="1149" t="s">
        <v>934</v>
      </c>
      <c r="EW11" s="1149" t="s">
        <v>939</v>
      </c>
      <c r="EX11" s="1149" t="s">
        <v>949</v>
      </c>
      <c r="EY11" s="1321"/>
      <c r="EZ11" s="1345"/>
      <c r="FA11" s="1345"/>
      <c r="FB11" s="1345"/>
      <c r="FC11" s="1321"/>
      <c r="FD11" s="1149" t="s">
        <v>963</v>
      </c>
      <c r="FE11" s="1149" t="s">
        <v>986</v>
      </c>
      <c r="FF11" s="1149" t="s">
        <v>989</v>
      </c>
      <c r="FG11" s="1149" t="s">
        <v>1006</v>
      </c>
      <c r="FH11" s="1321"/>
      <c r="FI11" s="1345"/>
      <c r="FJ11" s="1345"/>
      <c r="FK11" s="1345"/>
      <c r="FL11" s="1345"/>
      <c r="FM11" s="1321"/>
      <c r="FN11" s="1149" t="s">
        <v>978</v>
      </c>
      <c r="FO11" s="1149" t="s">
        <v>987</v>
      </c>
      <c r="FP11" s="1149" t="s">
        <v>996</v>
      </c>
      <c r="FQ11" s="1149" t="s">
        <v>1016</v>
      </c>
      <c r="FR11" s="1321"/>
      <c r="FS11" s="1345"/>
      <c r="FT11" s="1345"/>
      <c r="FU11" s="1345"/>
      <c r="FV11" s="1345"/>
      <c r="FW11" s="1143" t="s">
        <v>1063</v>
      </c>
      <c r="FX11" s="1143" t="s">
        <v>1064</v>
      </c>
      <c r="FY11" s="1143">
        <v>7</v>
      </c>
      <c r="FZ11" s="1321"/>
      <c r="GA11" s="1143" t="s">
        <v>285</v>
      </c>
      <c r="GB11" s="1321"/>
      <c r="GC11" s="1321"/>
      <c r="GD11" s="1321"/>
      <c r="GE11" s="1149" t="s">
        <v>91</v>
      </c>
      <c r="GF11" s="1150" t="s">
        <v>326</v>
      </c>
      <c r="GG11" s="1149" t="s">
        <v>148</v>
      </c>
      <c r="GH11" s="1149" t="s">
        <v>616</v>
      </c>
      <c r="GI11" s="1321" t="s">
        <v>1349</v>
      </c>
      <c r="GJ11" s="1149" t="s">
        <v>1728</v>
      </c>
      <c r="GK11" s="1321" t="s">
        <v>1349</v>
      </c>
      <c r="GL11" s="1321" t="s">
        <v>1349</v>
      </c>
      <c r="GM11" s="1321" t="s">
        <v>1349</v>
      </c>
      <c r="GN11" s="1321" t="s">
        <v>1349</v>
      </c>
      <c r="GO11" s="1321" t="s">
        <v>1349</v>
      </c>
      <c r="GP11" s="1321" t="s">
        <v>1349</v>
      </c>
      <c r="GQ11" s="1321" t="s">
        <v>1349</v>
      </c>
      <c r="GR11" s="1149" t="s">
        <v>625</v>
      </c>
      <c r="GS11" s="1321"/>
      <c r="GT11" s="1321" t="s">
        <v>1349</v>
      </c>
      <c r="GU11" s="1321" t="s">
        <v>1349</v>
      </c>
      <c r="GV11" s="1321" t="s">
        <v>1349</v>
      </c>
      <c r="GW11" s="1321"/>
      <c r="GX11" s="1321"/>
      <c r="GY11" s="1082" t="str">
        <f t="shared" si="5"/>
        <v>balles de foin 250kg MaQ</v>
      </c>
      <c r="GZ11" s="1082"/>
      <c r="HA11" s="1085">
        <f t="shared" si="6"/>
        <v>0</v>
      </c>
      <c r="HB11" s="1085">
        <f>IF(COUNTIF(TypeArticleDansEntrepôt,GY11)=0,0,SUMIF(TypeArticleDansEntrepôt,GY11,QtéArticleDansEntrepôt)*VLOOKUP(GY11,place_necessaire_entrepots_aire_paille[],2,FALSE))</f>
        <v>0</v>
      </c>
      <c r="HC11" s="1321"/>
      <c r="HD11" s="1321"/>
      <c r="HE11" s="1321"/>
      <c r="HF11" s="1150" t="str">
        <f t="shared" si="0"/>
        <v>Colombie-Britannique</v>
      </c>
      <c r="HG11" s="1149" t="str">
        <f t="shared" si="3"/>
        <v>Franche-Comté</v>
      </c>
      <c r="HH11" s="1321"/>
      <c r="HI11" s="1321"/>
      <c r="HJ11" s="1321"/>
      <c r="HK11" s="1143" t="s">
        <v>298</v>
      </c>
      <c r="HL11" s="1152">
        <v>145</v>
      </c>
      <c r="HM11" s="1321"/>
      <c r="HN11" s="1149" t="s">
        <v>285</v>
      </c>
      <c r="HO11" s="1165">
        <v>150</v>
      </c>
      <c r="HP11" s="1166">
        <v>0.66666666666666663</v>
      </c>
      <c r="HQ11" s="1166">
        <f>0.5/1.5</f>
        <v>0.33333333333333331</v>
      </c>
      <c r="HR11" s="1166">
        <v>0.33333333333333331</v>
      </c>
      <c r="HS11" s="1166">
        <v>0.55555555555555558</v>
      </c>
      <c r="HT11" s="1166">
        <v>0.5</v>
      </c>
      <c r="HU11" s="1166">
        <v>0.66666666666666663</v>
      </c>
      <c r="HV11" s="1321"/>
      <c r="HW11" s="1321"/>
      <c r="HX11" s="1321"/>
      <c r="HY11" s="1321"/>
      <c r="HZ11" s="1321"/>
      <c r="IA11" s="1321"/>
      <c r="IB11" s="1321"/>
      <c r="IC11" s="1321"/>
      <c r="ID11" s="1321"/>
      <c r="IE11" s="1321"/>
      <c r="IF11" s="1321"/>
      <c r="IG11" s="1321"/>
      <c r="IH11" s="1321"/>
      <c r="II11" s="1321"/>
      <c r="IJ11" s="1321"/>
      <c r="IK11" s="1321"/>
      <c r="IL11" s="1321"/>
      <c r="IM11" s="1321"/>
      <c r="IN11" s="1368"/>
    </row>
    <row r="12" spans="1:248" ht="12.75" customHeight="1" x14ac:dyDescent="0.2">
      <c r="A12" s="1307" t="s">
        <v>1089</v>
      </c>
      <c r="B12" s="1177" t="s">
        <v>354</v>
      </c>
      <c r="C12" s="1177">
        <v>300</v>
      </c>
      <c r="D12" s="1178">
        <v>0.8</v>
      </c>
      <c r="E12" s="1327"/>
      <c r="F12" s="1176" t="s">
        <v>1443</v>
      </c>
      <c r="G12" s="1177">
        <v>0.34</v>
      </c>
      <c r="H12" s="1177">
        <v>20</v>
      </c>
      <c r="I12" s="1177">
        <v>0.34</v>
      </c>
      <c r="J12" s="1177"/>
      <c r="K12" s="1178">
        <v>70</v>
      </c>
      <c r="L12" s="1321"/>
      <c r="M12" s="1321"/>
      <c r="N12" s="1321"/>
      <c r="O12" s="1193" t="s">
        <v>1113</v>
      </c>
      <c r="P12" s="1194"/>
      <c r="Q12" s="1195"/>
      <c r="R12" s="1195"/>
      <c r="S12" s="1195"/>
      <c r="T12" s="1195"/>
      <c r="U12" s="1195"/>
      <c r="V12" s="1195"/>
      <c r="W12" s="1195"/>
      <c r="X12" s="1195"/>
      <c r="Y12" s="1195"/>
      <c r="Z12" s="1195"/>
      <c r="AA12" s="1195"/>
      <c r="AB12" s="1195"/>
      <c r="AC12" s="1195"/>
      <c r="AD12" s="1195"/>
      <c r="AE12" s="1195"/>
      <c r="AF12" s="1195"/>
      <c r="AG12" s="1196" t="s">
        <v>1154</v>
      </c>
      <c r="AH12" s="1196" t="s">
        <v>576</v>
      </c>
      <c r="AI12" s="1195"/>
      <c r="AJ12" s="1195"/>
      <c r="AK12" s="1195"/>
      <c r="AL12" s="1195"/>
      <c r="AM12" s="1195"/>
      <c r="AN12" s="1195"/>
      <c r="AO12" s="1195"/>
      <c r="AP12" s="1197"/>
      <c r="AQ12" s="1197"/>
      <c r="AR12" s="1197"/>
      <c r="AS12" s="1197"/>
      <c r="AT12" s="1197"/>
      <c r="AU12" s="1197"/>
      <c r="AV12" s="1197"/>
      <c r="AW12" s="1197"/>
      <c r="AX12" s="1197"/>
      <c r="AY12" s="1197"/>
      <c r="AZ12" s="1321"/>
      <c r="BA12" s="1321"/>
      <c r="BB12" s="1321"/>
      <c r="BC12" s="1149" t="s">
        <v>134</v>
      </c>
      <c r="BD12" s="1149">
        <v>35</v>
      </c>
      <c r="BE12" s="1149">
        <v>680</v>
      </c>
      <c r="BF12" s="1149">
        <v>14</v>
      </c>
      <c r="BG12" s="1321"/>
      <c r="BH12" s="1345"/>
      <c r="BI12" s="1149" t="s">
        <v>729</v>
      </c>
      <c r="BJ12" s="1321"/>
      <c r="BK12" s="1345"/>
      <c r="BL12" s="1345"/>
      <c r="BM12" s="1189" t="s">
        <v>1134</v>
      </c>
      <c r="BN12" s="1177" t="s">
        <v>219</v>
      </c>
      <c r="BO12" s="1177" t="s">
        <v>1252</v>
      </c>
      <c r="BP12" s="1177">
        <v>40</v>
      </c>
      <c r="BQ12" s="1177">
        <v>32</v>
      </c>
      <c r="BR12" s="1177">
        <v>24</v>
      </c>
      <c r="BS12" s="1177">
        <v>20</v>
      </c>
      <c r="BT12" s="1177">
        <v>16</v>
      </c>
      <c r="BU12" s="1177">
        <v>8</v>
      </c>
      <c r="BV12" s="1191">
        <v>0</v>
      </c>
      <c r="BW12" s="1345"/>
      <c r="BX12" s="1321"/>
      <c r="BY12" s="1149" t="s">
        <v>137</v>
      </c>
      <c r="BZ12" s="1149">
        <v>2.4</v>
      </c>
      <c r="CA12" s="1149">
        <v>70</v>
      </c>
      <c r="CB12" s="1149">
        <v>2.7</v>
      </c>
      <c r="CC12" s="1149">
        <v>0</v>
      </c>
      <c r="CD12" s="1345"/>
      <c r="CE12" s="1345"/>
      <c r="CF12" s="1345"/>
      <c r="CG12" s="1345"/>
      <c r="CH12" s="1345"/>
      <c r="CI12" s="1321"/>
      <c r="CJ12" s="1143" t="s">
        <v>362</v>
      </c>
      <c r="CK12" s="1143" t="s">
        <v>773</v>
      </c>
      <c r="CL12" s="1143">
        <v>240</v>
      </c>
      <c r="CM12" s="1321"/>
      <c r="CN12" s="1143" t="s">
        <v>783</v>
      </c>
      <c r="CO12" s="1143">
        <v>0.5</v>
      </c>
      <c r="CP12" s="1321"/>
      <c r="CQ12" s="1321"/>
      <c r="CR12" s="1321"/>
      <c r="CS12" s="1143" t="s">
        <v>74</v>
      </c>
      <c r="CT12" s="1143">
        <v>0.05</v>
      </c>
      <c r="CU12" s="1143">
        <v>3.7</v>
      </c>
      <c r="CV12" s="1143">
        <v>0</v>
      </c>
      <c r="CW12" s="1224" t="s">
        <v>1291</v>
      </c>
      <c r="CX12" s="1321"/>
      <c r="CY12" s="1321"/>
      <c r="CZ12" s="1174" t="s">
        <v>23</v>
      </c>
      <c r="DA12" s="1174">
        <v>0.05</v>
      </c>
      <c r="DB12" s="1174" t="s">
        <v>799</v>
      </c>
      <c r="DC12" s="1174">
        <v>2</v>
      </c>
      <c r="DD12" s="1320"/>
      <c r="DE12" s="1320"/>
      <c r="DF12" s="1321"/>
      <c r="DG12" s="1143" t="s">
        <v>819</v>
      </c>
      <c r="DH12" s="1143">
        <v>0.5</v>
      </c>
      <c r="DI12" s="1321"/>
      <c r="DJ12" s="1321"/>
      <c r="DK12" s="1224" t="s">
        <v>1363</v>
      </c>
      <c r="DL12" s="1321"/>
      <c r="DM12" s="1321"/>
      <c r="DN12" s="1143" t="s">
        <v>1316</v>
      </c>
      <c r="DO12" s="1321"/>
      <c r="DP12" s="1321"/>
      <c r="DQ12" s="1321"/>
      <c r="DR12" s="1321"/>
      <c r="DS12" s="1345"/>
      <c r="DT12" s="1346"/>
      <c r="DU12" s="1346"/>
      <c r="DV12" s="1176" t="s">
        <v>1300</v>
      </c>
      <c r="DW12" s="1177" t="s">
        <v>723</v>
      </c>
      <c r="DX12" s="1177" t="s">
        <v>1252</v>
      </c>
      <c r="DY12" s="1177">
        <v>0</v>
      </c>
      <c r="DZ12" s="1177">
        <v>0</v>
      </c>
      <c r="EA12" s="1177">
        <v>0</v>
      </c>
      <c r="EB12" s="1177">
        <v>0</v>
      </c>
      <c r="EC12" s="1177">
        <v>0</v>
      </c>
      <c r="ED12" s="1198">
        <v>0</v>
      </c>
      <c r="EE12" s="1199">
        <v>0</v>
      </c>
      <c r="EF12" s="1321"/>
      <c r="EG12" s="1143" t="s">
        <v>886</v>
      </c>
      <c r="EH12" s="1143" t="s">
        <v>882</v>
      </c>
      <c r="EI12" s="1143">
        <v>4</v>
      </c>
      <c r="EJ12" s="1321"/>
      <c r="EK12" s="1345"/>
      <c r="EL12" s="1345"/>
      <c r="EM12" s="1321"/>
      <c r="EN12" s="1143" t="s">
        <v>909</v>
      </c>
      <c r="EO12" s="1143" t="s">
        <v>882</v>
      </c>
      <c r="EP12" s="1143">
        <v>3</v>
      </c>
      <c r="EQ12" s="1143" t="s">
        <v>905</v>
      </c>
      <c r="ER12" s="1345"/>
      <c r="ES12" s="1345"/>
      <c r="ET12" s="1321"/>
      <c r="EU12" s="1143" t="s">
        <v>917</v>
      </c>
      <c r="EV12" s="1143" t="s">
        <v>934</v>
      </c>
      <c r="EW12" s="1143" t="s">
        <v>940</v>
      </c>
      <c r="EX12" s="1143" t="s">
        <v>947</v>
      </c>
      <c r="EY12" s="1321"/>
      <c r="EZ12" s="1345"/>
      <c r="FA12" s="1345"/>
      <c r="FB12" s="1345"/>
      <c r="FC12" s="1321"/>
      <c r="FD12" s="1143" t="s">
        <v>964</v>
      </c>
      <c r="FE12" s="1143" t="s">
        <v>986</v>
      </c>
      <c r="FF12" s="1143" t="s">
        <v>992</v>
      </c>
      <c r="FG12" s="1143" t="s">
        <v>955</v>
      </c>
      <c r="FH12" s="1321"/>
      <c r="FI12" s="1345"/>
      <c r="FJ12" s="1345"/>
      <c r="FK12" s="1345"/>
      <c r="FL12" s="1345"/>
      <c r="FM12" s="1321"/>
      <c r="FN12" s="1143" t="s">
        <v>979</v>
      </c>
      <c r="FO12" s="1143" t="s">
        <v>987</v>
      </c>
      <c r="FP12" s="1143" t="s">
        <v>997</v>
      </c>
      <c r="FQ12" s="1143" t="s">
        <v>1021</v>
      </c>
      <c r="FR12" s="1321"/>
      <c r="FS12" s="1345"/>
      <c r="FT12" s="1345"/>
      <c r="FU12" s="1345"/>
      <c r="FV12" s="1345"/>
      <c r="FW12" s="1149" t="s">
        <v>1065</v>
      </c>
      <c r="FX12" s="1149" t="s">
        <v>1066</v>
      </c>
      <c r="FY12" s="1149">
        <v>7</v>
      </c>
      <c r="FZ12" s="1321"/>
      <c r="GA12" s="1149" t="s">
        <v>76</v>
      </c>
      <c r="GB12" s="1321"/>
      <c r="GC12" s="1321"/>
      <c r="GD12" s="1321"/>
      <c r="GE12" s="1143" t="s">
        <v>82</v>
      </c>
      <c r="GF12" s="1144" t="s">
        <v>606</v>
      </c>
      <c r="GG12" s="1143" t="s">
        <v>149</v>
      </c>
      <c r="GH12" s="1143" t="s">
        <v>617</v>
      </c>
      <c r="GI12" s="1321" t="s">
        <v>1349</v>
      </c>
      <c r="GJ12" s="1143" t="s">
        <v>1729</v>
      </c>
      <c r="GK12" s="1321" t="s">
        <v>1349</v>
      </c>
      <c r="GL12" s="1321" t="s">
        <v>1349</v>
      </c>
      <c r="GM12" s="1321" t="s">
        <v>1349</v>
      </c>
      <c r="GN12" s="1321" t="s">
        <v>1349</v>
      </c>
      <c r="GO12" s="1321" t="s">
        <v>1349</v>
      </c>
      <c r="GP12" s="1321" t="s">
        <v>1349</v>
      </c>
      <c r="GQ12" s="1321" t="s">
        <v>1349</v>
      </c>
      <c r="GR12" s="1143" t="s">
        <v>624</v>
      </c>
      <c r="GS12" s="1321"/>
      <c r="GT12" s="1321" t="s">
        <v>1349</v>
      </c>
      <c r="GU12" s="1321" t="s">
        <v>1349</v>
      </c>
      <c r="GV12" s="1321" t="s">
        <v>1349</v>
      </c>
      <c r="GW12" s="1321"/>
      <c r="GX12" s="1321"/>
      <c r="GY12" s="1083" t="str">
        <f t="shared" si="5"/>
        <v>balles de foin 300kg MaQ</v>
      </c>
      <c r="GZ12" s="1083"/>
      <c r="HA12" s="1084">
        <f t="shared" si="6"/>
        <v>0</v>
      </c>
      <c r="HB12" s="1084">
        <f>IF(COUNTIF(TypeArticleDansEntrepôt,GY12)=0,0,SUMIF(TypeArticleDansEntrepôt,GY12,QtéArticleDansEntrepôt)*VLOOKUP(GY12,place_necessaire_entrepots_aire_paille[],2,FALSE))</f>
        <v>0</v>
      </c>
      <c r="HC12" s="1321"/>
      <c r="HD12" s="1321"/>
      <c r="HE12" s="1321"/>
      <c r="HF12" s="1321"/>
      <c r="HG12" s="1143" t="str">
        <f t="shared" si="3"/>
        <v>Haute-Normandie</v>
      </c>
      <c r="HH12" s="1321"/>
      <c r="HI12" s="1321"/>
      <c r="HJ12" s="1321"/>
      <c r="HK12" s="1149" t="s">
        <v>332</v>
      </c>
      <c r="HL12" s="1159">
        <v>195</v>
      </c>
      <c r="HM12" s="1321"/>
      <c r="HN12" s="1162" t="s">
        <v>1507</v>
      </c>
      <c r="HO12" s="1160">
        <v>150</v>
      </c>
      <c r="HP12" s="1175">
        <v>0.75</v>
      </c>
      <c r="HQ12" s="1175">
        <f>0.5/1.5</f>
        <v>0.33333333333333331</v>
      </c>
      <c r="HR12" s="1175">
        <v>0.33333333333333331</v>
      </c>
      <c r="HS12" s="1175">
        <v>0.55555555555555558</v>
      </c>
      <c r="HT12" s="1175">
        <v>0.5</v>
      </c>
      <c r="HU12" s="1175">
        <v>0.66666666666666663</v>
      </c>
      <c r="HV12" s="1321"/>
      <c r="HW12" s="1321"/>
      <c r="HX12" s="1321"/>
      <c r="HY12" s="1321"/>
      <c r="HZ12" s="1321"/>
      <c r="IA12" s="1321"/>
      <c r="IB12" s="1321"/>
      <c r="IC12" s="1321"/>
      <c r="ID12" s="1321"/>
      <c r="IE12" s="1321"/>
      <c r="IF12" s="1321"/>
      <c r="IG12" s="1321"/>
      <c r="IH12" s="1321"/>
      <c r="II12" s="1321"/>
      <c r="IJ12" s="1321"/>
      <c r="IK12" s="1321"/>
      <c r="IL12" s="1321"/>
      <c r="IM12" s="1321"/>
      <c r="IN12" s="1368"/>
    </row>
    <row r="13" spans="1:248" ht="12.75" customHeight="1" x14ac:dyDescent="0.2">
      <c r="A13" s="1307" t="s">
        <v>695</v>
      </c>
      <c r="B13" s="1177" t="s">
        <v>354</v>
      </c>
      <c r="C13" s="1177">
        <v>60</v>
      </c>
      <c r="D13" s="1178">
        <v>0.84</v>
      </c>
      <c r="E13" s="1327"/>
      <c r="F13" s="1176" t="s">
        <v>1445</v>
      </c>
      <c r="G13" s="1177">
        <v>0.34</v>
      </c>
      <c r="H13" s="1177">
        <v>20</v>
      </c>
      <c r="I13" s="1177">
        <v>0.34</v>
      </c>
      <c r="J13" s="1177"/>
      <c r="K13" s="1178">
        <v>70</v>
      </c>
      <c r="L13" s="1321"/>
      <c r="M13" s="1321"/>
      <c r="N13" s="1321"/>
      <c r="O13" s="1143" t="s">
        <v>54</v>
      </c>
      <c r="P13" s="1143">
        <v>0</v>
      </c>
      <c r="Q13" s="1143">
        <v>0</v>
      </c>
      <c r="R13" s="1143">
        <v>0</v>
      </c>
      <c r="S13" s="1143">
        <v>2.2999999999999998</v>
      </c>
      <c r="T13" s="1143">
        <v>2.4</v>
      </c>
      <c r="U13" s="1143">
        <v>0</v>
      </c>
      <c r="V13" s="1143">
        <v>0</v>
      </c>
      <c r="W13" s="1143">
        <v>0</v>
      </c>
      <c r="X13" s="1143">
        <v>11.5</v>
      </c>
      <c r="Y13" s="1143">
        <v>0</v>
      </c>
      <c r="Z13" s="1143">
        <v>0</v>
      </c>
      <c r="AA13" s="1143">
        <v>0</v>
      </c>
      <c r="AB13" s="1143">
        <v>0</v>
      </c>
      <c r="AC13" s="1143">
        <v>0</v>
      </c>
      <c r="AD13" s="1143">
        <v>0</v>
      </c>
      <c r="AE13" s="1143">
        <v>0</v>
      </c>
      <c r="AF13" s="1143">
        <v>21</v>
      </c>
      <c r="AG13" s="1143">
        <v>0</v>
      </c>
      <c r="AH13" s="1143">
        <v>0</v>
      </c>
      <c r="AI13" s="1143">
        <v>0</v>
      </c>
      <c r="AJ13" s="1143">
        <v>0</v>
      </c>
      <c r="AK13" s="1143">
        <v>0</v>
      </c>
      <c r="AL13" s="1143">
        <v>0</v>
      </c>
      <c r="AM13" s="1143">
        <v>0</v>
      </c>
      <c r="AN13" s="1143">
        <v>0</v>
      </c>
      <c r="AO13" s="1143">
        <v>0</v>
      </c>
      <c r="AP13" s="1143">
        <v>0</v>
      </c>
      <c r="AQ13" s="1143">
        <v>0</v>
      </c>
      <c r="AR13" s="1143">
        <v>0</v>
      </c>
      <c r="AS13" s="1143">
        <v>0</v>
      </c>
      <c r="AT13" s="1143">
        <v>0</v>
      </c>
      <c r="AU13" s="1143">
        <v>0</v>
      </c>
      <c r="AV13" s="1143">
        <v>0</v>
      </c>
      <c r="AW13" s="1143">
        <v>8.5</v>
      </c>
      <c r="AX13" s="1143">
        <v>10</v>
      </c>
      <c r="AY13" s="1143">
        <v>10</v>
      </c>
      <c r="AZ13" s="1321"/>
      <c r="BA13" s="1321"/>
      <c r="BB13" s="1321"/>
      <c r="BC13" s="1143" t="s">
        <v>136</v>
      </c>
      <c r="BD13" s="1143">
        <v>35</v>
      </c>
      <c r="BE13" s="1143">
        <v>650</v>
      </c>
      <c r="BF13" s="1143">
        <v>26</v>
      </c>
      <c r="BG13" s="1321"/>
      <c r="BH13" s="1345"/>
      <c r="BI13" s="1143" t="s">
        <v>1314</v>
      </c>
      <c r="BJ13" s="1321"/>
      <c r="BK13" s="1345"/>
      <c r="BL13" s="1345"/>
      <c r="BM13" s="1189" t="s">
        <v>1134</v>
      </c>
      <c r="BN13" s="1177" t="s">
        <v>285</v>
      </c>
      <c r="BO13" s="1177" t="s">
        <v>1253</v>
      </c>
      <c r="BP13" s="1177">
        <v>6</v>
      </c>
      <c r="BQ13" s="1177">
        <v>4.8</v>
      </c>
      <c r="BR13" s="1177">
        <v>3.6</v>
      </c>
      <c r="BS13" s="1177">
        <v>3</v>
      </c>
      <c r="BT13" s="1177">
        <v>2.4</v>
      </c>
      <c r="BU13" s="1177">
        <v>1.2</v>
      </c>
      <c r="BV13" s="1191">
        <v>0</v>
      </c>
      <c r="BW13" s="1345"/>
      <c r="BX13" s="1321"/>
      <c r="BY13" s="1143" t="s">
        <v>755</v>
      </c>
      <c r="BZ13" s="1143">
        <v>2.2000000000000002</v>
      </c>
      <c r="CA13" s="1143">
        <v>50</v>
      </c>
      <c r="CB13" s="1143">
        <v>1.7</v>
      </c>
      <c r="CC13" s="1143">
        <v>0</v>
      </c>
      <c r="CD13" s="1345"/>
      <c r="CE13" s="1345"/>
      <c r="CF13" s="1345"/>
      <c r="CG13" s="1345"/>
      <c r="CH13" s="1345"/>
      <c r="CI13" s="1321"/>
      <c r="CJ13" s="1149" t="s">
        <v>776</v>
      </c>
      <c r="CK13" s="1149" t="s">
        <v>773</v>
      </c>
      <c r="CL13" s="1149">
        <v>240</v>
      </c>
      <c r="CM13" s="1321"/>
      <c r="CN13" s="1321"/>
      <c r="CO13" s="1321"/>
      <c r="CP13" s="1321"/>
      <c r="CQ13" s="1321"/>
      <c r="CR13" s="1321"/>
      <c r="CS13" s="1149" t="s">
        <v>785</v>
      </c>
      <c r="CT13" s="1149">
        <v>0.05</v>
      </c>
      <c r="CU13" s="1149">
        <v>3.8</v>
      </c>
      <c r="CV13" s="1149">
        <v>0</v>
      </c>
      <c r="CW13" s="1143" t="s">
        <v>1640</v>
      </c>
      <c r="CX13" s="1321"/>
      <c r="CY13" s="1321"/>
      <c r="CZ13" s="1155" t="s">
        <v>468</v>
      </c>
      <c r="DA13" s="1155">
        <v>0.05</v>
      </c>
      <c r="DB13" s="1155" t="s">
        <v>800</v>
      </c>
      <c r="DC13" s="1155">
        <v>2</v>
      </c>
      <c r="DD13" s="1320"/>
      <c r="DE13" s="1320"/>
      <c r="DF13" s="1321"/>
      <c r="DG13" s="1149" t="s">
        <v>820</v>
      </c>
      <c r="DH13" s="1149">
        <v>0.3</v>
      </c>
      <c r="DI13" s="1321"/>
      <c r="DJ13" s="1321"/>
      <c r="DK13" s="1143">
        <v>1.5</v>
      </c>
      <c r="DL13" s="1321"/>
      <c r="DM13" s="1321"/>
      <c r="DN13" s="1149" t="s">
        <v>837</v>
      </c>
      <c r="DO13" s="1321"/>
      <c r="DP13" s="1321"/>
      <c r="DQ13" s="1321"/>
      <c r="DR13" s="1321"/>
      <c r="DS13" s="1345"/>
      <c r="DT13" s="1346"/>
      <c r="DU13" s="1346"/>
      <c r="DV13" s="1176" t="s">
        <v>1300</v>
      </c>
      <c r="DW13" s="1177" t="s">
        <v>219</v>
      </c>
      <c r="DX13" s="1177" t="s">
        <v>1252</v>
      </c>
      <c r="DY13" s="1177">
        <v>10</v>
      </c>
      <c r="DZ13" s="1177">
        <v>9</v>
      </c>
      <c r="EA13" s="1177">
        <v>8</v>
      </c>
      <c r="EB13" s="1177">
        <v>7</v>
      </c>
      <c r="EC13" s="1177">
        <v>6</v>
      </c>
      <c r="ED13" s="1198">
        <v>5</v>
      </c>
      <c r="EE13" s="1199">
        <v>0</v>
      </c>
      <c r="EF13" s="1321"/>
      <c r="EG13" s="1149" t="s">
        <v>887</v>
      </c>
      <c r="EH13" s="1149" t="s">
        <v>888</v>
      </c>
      <c r="EI13" s="1149">
        <v>4</v>
      </c>
      <c r="EJ13" s="1321"/>
      <c r="EK13" s="1345"/>
      <c r="EL13" s="1345"/>
      <c r="EM13" s="1321"/>
      <c r="EN13" s="1149" t="s">
        <v>910</v>
      </c>
      <c r="EO13" s="1149" t="s">
        <v>888</v>
      </c>
      <c r="EP13" s="1149">
        <v>4</v>
      </c>
      <c r="EQ13" s="1149" t="s">
        <v>905</v>
      </c>
      <c r="ER13" s="1345"/>
      <c r="ES13" s="1345"/>
      <c r="ET13" s="1321"/>
      <c r="EU13" s="1149" t="s">
        <v>918</v>
      </c>
      <c r="EV13" s="1149" t="s">
        <v>934</v>
      </c>
      <c r="EW13" s="1149" t="s">
        <v>941</v>
      </c>
      <c r="EX13" s="1149" t="s">
        <v>947</v>
      </c>
      <c r="EY13" s="1321"/>
      <c r="EZ13" s="1345"/>
      <c r="FA13" s="1345"/>
      <c r="FB13" s="1345"/>
      <c r="FC13" s="1321"/>
      <c r="FD13" s="1149" t="s">
        <v>965</v>
      </c>
      <c r="FE13" s="1149" t="s">
        <v>986</v>
      </c>
      <c r="FF13" s="1149" t="s">
        <v>991</v>
      </c>
      <c r="FG13" s="1149" t="s">
        <v>954</v>
      </c>
      <c r="FH13" s="1321"/>
      <c r="FI13" s="1345"/>
      <c r="FJ13" s="1345"/>
      <c r="FK13" s="1345"/>
      <c r="FL13" s="1345"/>
      <c r="FM13" s="1321"/>
      <c r="FN13" s="1149" t="s">
        <v>980</v>
      </c>
      <c r="FO13" s="1149" t="s">
        <v>987</v>
      </c>
      <c r="FP13" s="1149" t="s">
        <v>937</v>
      </c>
      <c r="FQ13" s="1149" t="s">
        <v>1020</v>
      </c>
      <c r="FR13" s="1321"/>
      <c r="FS13" s="1345"/>
      <c r="FT13" s="1345"/>
      <c r="FU13" s="1345"/>
      <c r="FV13" s="1345"/>
      <c r="FW13" s="1143" t="s">
        <v>1067</v>
      </c>
      <c r="FX13" s="1143" t="s">
        <v>1068</v>
      </c>
      <c r="FY13" s="1143">
        <v>7</v>
      </c>
      <c r="FZ13" s="1321"/>
      <c r="GA13" s="1345"/>
      <c r="GB13" s="1321"/>
      <c r="GC13" s="1321"/>
      <c r="GD13" s="1321"/>
      <c r="GE13" s="1149" t="s">
        <v>306</v>
      </c>
      <c r="GF13" s="1150" t="s">
        <v>635</v>
      </c>
      <c r="GG13" s="1149" t="s">
        <v>399</v>
      </c>
      <c r="GH13" s="1149" t="s">
        <v>618</v>
      </c>
      <c r="GI13" s="1321" t="s">
        <v>1349</v>
      </c>
      <c r="GJ13" s="1149" t="s">
        <v>1730</v>
      </c>
      <c r="GK13" s="1321" t="s">
        <v>1349</v>
      </c>
      <c r="GL13" s="1321" t="s">
        <v>1349</v>
      </c>
      <c r="GM13" s="1321" t="s">
        <v>1349</v>
      </c>
      <c r="GN13" s="1321" t="s">
        <v>1349</v>
      </c>
      <c r="GO13" s="1321" t="s">
        <v>1349</v>
      </c>
      <c r="GP13" s="1321" t="s">
        <v>1349</v>
      </c>
      <c r="GQ13" s="1321" t="s">
        <v>1349</v>
      </c>
      <c r="GR13" s="1149" t="s">
        <v>626</v>
      </c>
      <c r="GS13" s="1321"/>
      <c r="GT13" s="1321" t="s">
        <v>1349</v>
      </c>
      <c r="GU13" s="1321" t="s">
        <v>1349</v>
      </c>
      <c r="GV13" s="1321" t="s">
        <v>1349</v>
      </c>
      <c r="GW13" s="1321"/>
      <c r="GX13" s="1321"/>
      <c r="GY13" s="1082" t="str">
        <f t="shared" si="5"/>
        <v>balles de foin 300kg enrubanné MaQ</v>
      </c>
      <c r="GZ13" s="1082"/>
      <c r="HA13" s="1085">
        <f t="shared" si="6"/>
        <v>0</v>
      </c>
      <c r="HB13" s="1085">
        <f>IF(COUNTIF(TypeArticleDansEntrepôt,GY13)=0,0,SUMIF(TypeArticleDansEntrepôt,GY13,QtéArticleDansEntrepôt)*VLOOKUP(GY13,place_necessaire_entrepots_aire_paille[],2,FALSE))</f>
        <v>0</v>
      </c>
      <c r="HC13" s="1321"/>
      <c r="HD13" s="1321"/>
      <c r="HE13" s="1321"/>
      <c r="HF13" s="1321"/>
      <c r="HG13" s="1149" t="str">
        <f t="shared" si="3"/>
        <v>Ile-de-France</v>
      </c>
      <c r="HH13" s="1321"/>
      <c r="HI13" s="1321"/>
      <c r="HJ13" s="1321"/>
      <c r="HK13" s="1143" t="s">
        <v>333</v>
      </c>
      <c r="HL13" s="1152">
        <v>1220</v>
      </c>
      <c r="HM13" s="1321"/>
      <c r="HN13" s="1149" t="s">
        <v>498</v>
      </c>
      <c r="HO13" s="1165">
        <f>HO12</f>
        <v>150</v>
      </c>
      <c r="HP13" s="1166">
        <v>0.75</v>
      </c>
      <c r="HQ13" s="1166">
        <f>0.5/1.5</f>
        <v>0.33333333333333331</v>
      </c>
      <c r="HR13" s="1166">
        <v>0.33333333333333331</v>
      </c>
      <c r="HS13" s="1166">
        <v>0.55555555555555558</v>
      </c>
      <c r="HT13" s="1166">
        <v>0.5</v>
      </c>
      <c r="HU13" s="1166">
        <v>0.66666666666666663</v>
      </c>
      <c r="HV13" s="1321"/>
      <c r="HW13" s="1321"/>
      <c r="HX13" s="1321"/>
      <c r="HY13" s="1321"/>
      <c r="HZ13" s="1321"/>
      <c r="IA13" s="1321"/>
      <c r="IB13" s="1321"/>
      <c r="IC13" s="1321"/>
      <c r="ID13" s="1321"/>
      <c r="IE13" s="1321"/>
      <c r="IF13" s="1321"/>
      <c r="IG13" s="1321"/>
      <c r="IH13" s="1321"/>
      <c r="II13" s="1321"/>
      <c r="IJ13" s="1321"/>
      <c r="IK13" s="1321"/>
      <c r="IL13" s="1321"/>
      <c r="IM13" s="1321"/>
      <c r="IN13" s="1368"/>
    </row>
    <row r="14" spans="1:248" ht="12.75" customHeight="1" x14ac:dyDescent="0.2">
      <c r="A14" s="1307" t="s">
        <v>696</v>
      </c>
      <c r="B14" s="1177" t="s">
        <v>354</v>
      </c>
      <c r="C14" s="1177">
        <v>50</v>
      </c>
      <c r="D14" s="1178">
        <v>0.22</v>
      </c>
      <c r="E14" s="1327"/>
      <c r="F14" s="1176" t="s">
        <v>1446</v>
      </c>
      <c r="G14" s="1177">
        <v>0.34</v>
      </c>
      <c r="H14" s="1177">
        <v>7</v>
      </c>
      <c r="I14" s="1177">
        <v>0.34</v>
      </c>
      <c r="J14" s="1177"/>
      <c r="K14" s="1178">
        <v>70</v>
      </c>
      <c r="L14" s="1321"/>
      <c r="M14" s="1321"/>
      <c r="N14" s="1321"/>
      <c r="O14" s="1149" t="s">
        <v>1114</v>
      </c>
      <c r="P14" s="1149">
        <v>3.3</v>
      </c>
      <c r="Q14" s="1149">
        <v>3.3</v>
      </c>
      <c r="R14" s="1149">
        <v>3.3</v>
      </c>
      <c r="S14" s="1149">
        <v>2.9</v>
      </c>
      <c r="T14" s="1149">
        <v>2.9</v>
      </c>
      <c r="U14" s="1149">
        <v>0</v>
      </c>
      <c r="V14" s="1149">
        <v>0</v>
      </c>
      <c r="W14" s="1149">
        <v>4.7</v>
      </c>
      <c r="X14" s="1149">
        <v>10.7</v>
      </c>
      <c r="Y14" s="1149">
        <v>0</v>
      </c>
      <c r="Z14" s="1149">
        <v>0</v>
      </c>
      <c r="AA14" s="1149">
        <v>0</v>
      </c>
      <c r="AB14" s="1149">
        <v>0</v>
      </c>
      <c r="AC14" s="1149">
        <v>0</v>
      </c>
      <c r="AD14" s="1149">
        <v>0</v>
      </c>
      <c r="AE14" s="1149">
        <v>0</v>
      </c>
      <c r="AF14" s="1149">
        <v>32</v>
      </c>
      <c r="AG14" s="1149">
        <v>0</v>
      </c>
      <c r="AH14" s="1149">
        <v>0</v>
      </c>
      <c r="AI14" s="1149">
        <v>0</v>
      </c>
      <c r="AJ14" s="1149">
        <v>0</v>
      </c>
      <c r="AK14" s="1149">
        <v>0</v>
      </c>
      <c r="AL14" s="1149">
        <v>0</v>
      </c>
      <c r="AM14" s="1149">
        <v>0</v>
      </c>
      <c r="AN14" s="1149">
        <v>0</v>
      </c>
      <c r="AO14" s="1149">
        <v>0</v>
      </c>
      <c r="AP14" s="1149">
        <v>0</v>
      </c>
      <c r="AQ14" s="1149">
        <v>0</v>
      </c>
      <c r="AR14" s="1149">
        <v>0</v>
      </c>
      <c r="AS14" s="1149">
        <v>0</v>
      </c>
      <c r="AT14" s="1149">
        <v>0</v>
      </c>
      <c r="AU14" s="1149">
        <v>0</v>
      </c>
      <c r="AV14" s="1149">
        <v>0</v>
      </c>
      <c r="AW14" s="1149">
        <v>8.5</v>
      </c>
      <c r="AX14" s="1149">
        <v>10</v>
      </c>
      <c r="AY14" s="1149">
        <v>10</v>
      </c>
      <c r="AZ14" s="1321"/>
      <c r="BA14" s="1321"/>
      <c r="BB14" s="1321"/>
      <c r="BC14" s="1149" t="s">
        <v>138</v>
      </c>
      <c r="BD14" s="1149">
        <v>35</v>
      </c>
      <c r="BE14" s="1149">
        <v>600</v>
      </c>
      <c r="BF14" s="1149">
        <v>14</v>
      </c>
      <c r="BG14" s="1224" t="s">
        <v>1228</v>
      </c>
      <c r="BH14" s="1345"/>
      <c r="BI14" s="1149" t="s">
        <v>731</v>
      </c>
      <c r="BJ14" s="1321"/>
      <c r="BK14" s="1345"/>
      <c r="BL14" s="1345"/>
      <c r="BM14" s="1189" t="s">
        <v>1134</v>
      </c>
      <c r="BN14" s="1177" t="s">
        <v>76</v>
      </c>
      <c r="BO14" s="1177" t="s">
        <v>1253</v>
      </c>
      <c r="BP14" s="1177">
        <v>6</v>
      </c>
      <c r="BQ14" s="1177">
        <v>4.8</v>
      </c>
      <c r="BR14" s="1177">
        <v>3.6</v>
      </c>
      <c r="BS14" s="1177">
        <v>3</v>
      </c>
      <c r="BT14" s="1177">
        <v>2.4</v>
      </c>
      <c r="BU14" s="1177">
        <v>1.2</v>
      </c>
      <c r="BV14" s="1191">
        <v>0</v>
      </c>
      <c r="BW14" s="1345"/>
      <c r="BX14" s="1321"/>
      <c r="BY14" s="1149" t="s">
        <v>754</v>
      </c>
      <c r="BZ14" s="1149">
        <v>2.4</v>
      </c>
      <c r="CA14" s="1149">
        <v>70</v>
      </c>
      <c r="CB14" s="1149">
        <v>2.7</v>
      </c>
      <c r="CC14" s="1149">
        <v>0</v>
      </c>
      <c r="CD14" s="1345"/>
      <c r="CE14" s="1345"/>
      <c r="CF14" s="1345"/>
      <c r="CG14" s="1345"/>
      <c r="CH14" s="1345"/>
      <c r="CI14" s="1321"/>
      <c r="CJ14" s="1321"/>
      <c r="CK14" s="1321"/>
      <c r="CL14" s="1321"/>
      <c r="CM14" s="1321"/>
      <c r="CN14" s="1321"/>
      <c r="CO14" s="1321"/>
      <c r="CP14" s="1321"/>
      <c r="CQ14" s="1321"/>
      <c r="CR14" s="1321"/>
      <c r="CS14" s="1143" t="s">
        <v>361</v>
      </c>
      <c r="CT14" s="1143">
        <v>0.05</v>
      </c>
      <c r="CU14" s="1143">
        <v>4.0999999999999996</v>
      </c>
      <c r="CV14" s="1143">
        <v>0.3</v>
      </c>
      <c r="CW14" s="1149" t="s">
        <v>1641</v>
      </c>
      <c r="CX14" s="1321"/>
      <c r="CY14" s="1321"/>
      <c r="CZ14" s="1321"/>
      <c r="DA14" s="1321"/>
      <c r="DB14" s="1321"/>
      <c r="DC14" s="1321"/>
      <c r="DD14" s="1321"/>
      <c r="DE14" s="1321"/>
      <c r="DF14" s="1321"/>
      <c r="DG14" s="1143" t="s">
        <v>821</v>
      </c>
      <c r="DH14" s="1143">
        <v>0.1</v>
      </c>
      <c r="DI14" s="1321"/>
      <c r="DJ14" s="1321"/>
      <c r="DK14" s="1321"/>
      <c r="DL14" s="1321"/>
      <c r="DM14" s="1321"/>
      <c r="DN14" s="1143" t="s">
        <v>765</v>
      </c>
      <c r="DO14" s="1321"/>
      <c r="DP14" s="1321"/>
      <c r="DQ14" s="1321"/>
      <c r="DR14" s="1321"/>
      <c r="DS14" s="1345"/>
      <c r="DT14" s="1346"/>
      <c r="DU14" s="1346"/>
      <c r="DV14" s="1176" t="s">
        <v>1300</v>
      </c>
      <c r="DW14" s="1177" t="s">
        <v>285</v>
      </c>
      <c r="DX14" s="1177" t="s">
        <v>1253</v>
      </c>
      <c r="DY14" s="1177">
        <v>1</v>
      </c>
      <c r="DZ14" s="1177">
        <v>0.9</v>
      </c>
      <c r="EA14" s="1177">
        <v>0.8</v>
      </c>
      <c r="EB14" s="1177">
        <v>0.7</v>
      </c>
      <c r="EC14" s="1177">
        <v>0.6</v>
      </c>
      <c r="ED14" s="1198">
        <v>0.5</v>
      </c>
      <c r="EE14" s="1199">
        <v>0</v>
      </c>
      <c r="EF14" s="1321"/>
      <c r="EG14" s="1143" t="s">
        <v>889</v>
      </c>
      <c r="EH14" s="1143" t="s">
        <v>888</v>
      </c>
      <c r="EI14" s="1143">
        <v>8</v>
      </c>
      <c r="EJ14" s="1321"/>
      <c r="EK14" s="1345"/>
      <c r="EL14" s="1345"/>
      <c r="EM14" s="1321"/>
      <c r="EN14" s="1321"/>
      <c r="EO14" s="1321"/>
      <c r="EP14" s="1321"/>
      <c r="EQ14" s="1321"/>
      <c r="ER14" s="1345"/>
      <c r="ES14" s="1345"/>
      <c r="ET14" s="1321"/>
      <c r="EU14" s="1143" t="s">
        <v>919</v>
      </c>
      <c r="EV14" s="1143" t="s">
        <v>934</v>
      </c>
      <c r="EW14" s="1143" t="s">
        <v>942</v>
      </c>
      <c r="EX14" s="1143" t="s">
        <v>946</v>
      </c>
      <c r="EY14" s="1321"/>
      <c r="EZ14" s="1345"/>
      <c r="FA14" s="1345"/>
      <c r="FB14" s="1345"/>
      <c r="FC14" s="1321"/>
      <c r="FD14" s="1143" t="s">
        <v>966</v>
      </c>
      <c r="FE14" s="1143" t="s">
        <v>986</v>
      </c>
      <c r="FF14" s="1143" t="s">
        <v>993</v>
      </c>
      <c r="FG14" s="1143" t="s">
        <v>1008</v>
      </c>
      <c r="FH14" s="1321"/>
      <c r="FI14" s="1345"/>
      <c r="FJ14" s="1345"/>
      <c r="FK14" s="1345"/>
      <c r="FL14" s="1345"/>
      <c r="FM14" s="1321"/>
      <c r="FN14" s="1143" t="s">
        <v>981</v>
      </c>
      <c r="FO14" s="1143" t="s">
        <v>987</v>
      </c>
      <c r="FP14" s="1143" t="s">
        <v>998</v>
      </c>
      <c r="FQ14" s="1143" t="s">
        <v>1015</v>
      </c>
      <c r="FR14" s="1321"/>
      <c r="FS14" s="1345"/>
      <c r="FT14" s="1345"/>
      <c r="FU14" s="1345"/>
      <c r="FV14" s="1345"/>
      <c r="FW14" s="1321"/>
      <c r="FX14" s="1321"/>
      <c r="FY14" s="1321"/>
      <c r="FZ14" s="1321"/>
      <c r="GA14" s="1345"/>
      <c r="GB14" s="1321"/>
      <c r="GC14" s="1321"/>
      <c r="GD14" s="1321"/>
      <c r="GE14" s="1143" t="s">
        <v>396</v>
      </c>
      <c r="GF14" s="1144" t="s">
        <v>257</v>
      </c>
      <c r="GG14" s="1143" t="s">
        <v>400</v>
      </c>
      <c r="GH14" s="1143" t="s">
        <v>619</v>
      </c>
      <c r="GI14" s="1321" t="s">
        <v>1349</v>
      </c>
      <c r="GJ14" s="1143" t="s">
        <v>1731</v>
      </c>
      <c r="GK14" s="1321" t="s">
        <v>1349</v>
      </c>
      <c r="GL14" s="1321" t="s">
        <v>1349</v>
      </c>
      <c r="GM14" s="1321" t="s">
        <v>1349</v>
      </c>
      <c r="GN14" s="1321" t="s">
        <v>1349</v>
      </c>
      <c r="GO14" s="1321" t="s">
        <v>1349</v>
      </c>
      <c r="GP14" s="1321" t="s">
        <v>1349</v>
      </c>
      <c r="GQ14" s="1321" t="s">
        <v>1349</v>
      </c>
      <c r="GR14" s="1143" t="s">
        <v>627</v>
      </c>
      <c r="GS14" s="1321" t="s">
        <v>1349</v>
      </c>
      <c r="GT14" s="1321" t="s">
        <v>1349</v>
      </c>
      <c r="GU14" s="1321" t="s">
        <v>1349</v>
      </c>
      <c r="GV14" s="1321" t="s">
        <v>1349</v>
      </c>
      <c r="GW14" s="1321"/>
      <c r="GX14" s="1321"/>
      <c r="GY14" s="1083" t="str">
        <f t="shared" si="5"/>
        <v>balles de foin 500kg MaQ</v>
      </c>
      <c r="GZ14" s="1083"/>
      <c r="HA14" s="1084">
        <f t="shared" si="6"/>
        <v>0</v>
      </c>
      <c r="HB14" s="1084">
        <f>IF(COUNTIF(TypeArticleDansEntrepôt,GY14)=0,0,SUMIF(TypeArticleDansEntrepôt,GY14,QtéArticleDansEntrepôt)*VLOOKUP(GY14,place_necessaire_entrepots_aire_paille[],2,FALSE))</f>
        <v>0</v>
      </c>
      <c r="HC14" s="1321"/>
      <c r="HD14" s="1321"/>
      <c r="HE14" s="1321"/>
      <c r="HF14" s="1321"/>
      <c r="HG14" s="1143" t="str">
        <f t="shared" si="3"/>
        <v>Languedoc-Roussillon</v>
      </c>
      <c r="HH14" s="1321"/>
      <c r="HI14" s="1321"/>
      <c r="HJ14" s="1321"/>
      <c r="HK14" s="1149" t="s">
        <v>64</v>
      </c>
      <c r="HL14" s="1159">
        <v>1300</v>
      </c>
      <c r="HM14" s="1321"/>
      <c r="HN14" s="1162" t="s">
        <v>63</v>
      </c>
      <c r="HO14" s="1160">
        <v>110</v>
      </c>
      <c r="HP14" s="1175">
        <v>0.86842105263157898</v>
      </c>
      <c r="HQ14" s="1175">
        <v>0.66666666666666663</v>
      </c>
      <c r="HR14" s="1175">
        <v>0.8214285714285714</v>
      </c>
      <c r="HS14" s="1175">
        <v>0.80392156862745101</v>
      </c>
      <c r="HT14" s="1175">
        <v>0.73333333333333328</v>
      </c>
      <c r="HU14" s="1175">
        <v>0</v>
      </c>
      <c r="HV14" s="1321"/>
      <c r="HW14" s="1321"/>
      <c r="HX14" s="1321"/>
      <c r="HY14" s="1321"/>
      <c r="HZ14" s="1321"/>
      <c r="IA14" s="1321"/>
      <c r="IB14" s="1321"/>
      <c r="IC14" s="1321"/>
      <c r="ID14" s="1321"/>
      <c r="IE14" s="1321"/>
      <c r="IF14" s="1321"/>
      <c r="IG14" s="1321"/>
      <c r="IH14" s="1321"/>
      <c r="II14" s="1321"/>
      <c r="IJ14" s="1321"/>
      <c r="IK14" s="1321"/>
      <c r="IL14" s="1321"/>
      <c r="IM14" s="1321"/>
      <c r="IN14" s="1368"/>
    </row>
    <row r="15" spans="1:248" ht="12.75" customHeight="1" x14ac:dyDescent="0.2">
      <c r="A15" s="1307" t="s">
        <v>697</v>
      </c>
      <c r="B15" s="1177" t="s">
        <v>354</v>
      </c>
      <c r="C15" s="1177">
        <v>50</v>
      </c>
      <c r="D15" s="1178">
        <v>0.22</v>
      </c>
      <c r="E15" s="1327"/>
      <c r="F15" s="1176" t="s">
        <v>1447</v>
      </c>
      <c r="G15" s="1177">
        <v>0.34</v>
      </c>
      <c r="H15" s="1177">
        <v>50</v>
      </c>
      <c r="I15" s="1177">
        <v>0.34</v>
      </c>
      <c r="J15" s="1177"/>
      <c r="K15" s="1178">
        <v>70</v>
      </c>
      <c r="L15" s="1321"/>
      <c r="M15" s="1321"/>
      <c r="N15" s="1321"/>
      <c r="O15" s="1143" t="s">
        <v>1115</v>
      </c>
      <c r="P15" s="1143">
        <v>4.3</v>
      </c>
      <c r="Q15" s="1143">
        <v>3.2</v>
      </c>
      <c r="R15" s="1143">
        <v>3.1</v>
      </c>
      <c r="S15" s="1143">
        <v>2.6</v>
      </c>
      <c r="T15" s="1143">
        <v>2.7</v>
      </c>
      <c r="U15" s="1143">
        <v>0</v>
      </c>
      <c r="V15" s="1143">
        <v>0</v>
      </c>
      <c r="W15" s="1143">
        <v>5.0999999999999996</v>
      </c>
      <c r="X15" s="1143">
        <v>12.2</v>
      </c>
      <c r="Y15" s="1143">
        <v>0</v>
      </c>
      <c r="Z15" s="1143">
        <v>0</v>
      </c>
      <c r="AA15" s="1143">
        <v>1.2</v>
      </c>
      <c r="AB15" s="1143">
        <v>0</v>
      </c>
      <c r="AC15" s="1143">
        <v>0</v>
      </c>
      <c r="AD15" s="1143">
        <v>0</v>
      </c>
      <c r="AE15" s="1143">
        <v>0</v>
      </c>
      <c r="AF15" s="1143">
        <v>29</v>
      </c>
      <c r="AG15" s="1143">
        <v>0</v>
      </c>
      <c r="AH15" s="1143">
        <v>0</v>
      </c>
      <c r="AI15" s="1143">
        <v>0</v>
      </c>
      <c r="AJ15" s="1143">
        <v>12</v>
      </c>
      <c r="AK15" s="1143">
        <v>0</v>
      </c>
      <c r="AL15" s="1143">
        <v>0</v>
      </c>
      <c r="AM15" s="1143">
        <v>0</v>
      </c>
      <c r="AN15" s="1143">
        <v>0</v>
      </c>
      <c r="AO15" s="1143">
        <v>15</v>
      </c>
      <c r="AP15" s="1143">
        <v>13</v>
      </c>
      <c r="AQ15" s="1143">
        <v>0</v>
      </c>
      <c r="AR15" s="1143">
        <v>0</v>
      </c>
      <c r="AS15" s="1143">
        <v>5</v>
      </c>
      <c r="AT15" s="1143">
        <v>0</v>
      </c>
      <c r="AU15" s="1143">
        <v>0</v>
      </c>
      <c r="AV15" s="1143">
        <v>0</v>
      </c>
      <c r="AW15" s="1143">
        <v>8.5</v>
      </c>
      <c r="AX15" s="1143">
        <v>10</v>
      </c>
      <c r="AY15" s="1143">
        <v>10</v>
      </c>
      <c r="AZ15" s="1321"/>
      <c r="BA15" s="1321"/>
      <c r="BB15" s="1321"/>
      <c r="BC15" s="1143" t="s">
        <v>160</v>
      </c>
      <c r="BD15" s="1143">
        <v>44</v>
      </c>
      <c r="BE15" s="1143">
        <v>750</v>
      </c>
      <c r="BF15" s="1143">
        <v>18</v>
      </c>
      <c r="BG15" s="1143" t="str">
        <f>IF(ChoixPaysPartie="","",IF(OR(ChoixPaysPartie=France,ChoixPaysPartie=Belgique,ChoixPaysPartie=Suisse),"Tourteau de Colza","Canola"))</f>
        <v/>
      </c>
      <c r="BH15" s="1345"/>
      <c r="BI15" s="1143" t="s">
        <v>732</v>
      </c>
      <c r="BJ15" s="1321"/>
      <c r="BK15" s="1345"/>
      <c r="BL15" s="1345"/>
      <c r="BM15" s="1189" t="s">
        <v>1134</v>
      </c>
      <c r="BN15" s="1177" t="s">
        <v>672</v>
      </c>
      <c r="BO15" s="1177" t="s">
        <v>1252</v>
      </c>
      <c r="BP15" s="1177">
        <v>6</v>
      </c>
      <c r="BQ15" s="1177">
        <v>4.8</v>
      </c>
      <c r="BR15" s="1177">
        <v>3.6</v>
      </c>
      <c r="BS15" s="1177">
        <v>3</v>
      </c>
      <c r="BT15" s="1177">
        <v>2.4</v>
      </c>
      <c r="BU15" s="1177">
        <v>1.2</v>
      </c>
      <c r="BV15" s="1191">
        <v>0</v>
      </c>
      <c r="BW15" s="1345"/>
      <c r="BX15" s="1321"/>
      <c r="BY15" s="1321"/>
      <c r="BZ15" s="1321"/>
      <c r="CA15" s="1321"/>
      <c r="CB15" s="1321"/>
      <c r="CC15" s="1321"/>
      <c r="CD15" s="1345"/>
      <c r="CE15" s="1345"/>
      <c r="CF15" s="1345"/>
      <c r="CG15" s="1345"/>
      <c r="CH15" s="1345"/>
      <c r="CI15" s="1321"/>
      <c r="CJ15" s="1328" t="s">
        <v>734</v>
      </c>
      <c r="CK15" s="1321"/>
      <c r="CL15" s="1321"/>
      <c r="CM15" s="1328" t="s">
        <v>778</v>
      </c>
      <c r="CN15" s="1321"/>
      <c r="CO15" s="1321"/>
      <c r="CP15" s="1224" t="s">
        <v>1360</v>
      </c>
      <c r="CQ15" s="1321"/>
      <c r="CR15" s="1321"/>
      <c r="CS15" s="1149" t="s">
        <v>407</v>
      </c>
      <c r="CT15" s="1149">
        <v>0.05</v>
      </c>
      <c r="CU15" s="1149">
        <v>3.8</v>
      </c>
      <c r="CV15" s="1149">
        <v>0</v>
      </c>
      <c r="CW15" s="1321"/>
      <c r="CX15" s="1321"/>
      <c r="CY15" s="1321"/>
      <c r="CZ15" s="1328" t="s">
        <v>801</v>
      </c>
      <c r="DA15" s="1321"/>
      <c r="DB15" s="1328" t="s">
        <v>734</v>
      </c>
      <c r="DC15" s="1321"/>
      <c r="DD15" s="1321"/>
      <c r="DE15" s="1321"/>
      <c r="DF15" s="1321"/>
      <c r="DG15" s="1321"/>
      <c r="DH15" s="1321"/>
      <c r="DI15" s="1321"/>
      <c r="DJ15" s="1321"/>
      <c r="DK15" s="1321"/>
      <c r="DL15" s="1321"/>
      <c r="DM15" s="1321"/>
      <c r="DN15" s="1321"/>
      <c r="DO15" s="1321"/>
      <c r="DP15" s="1321"/>
      <c r="DQ15" s="1321"/>
      <c r="DR15" s="1321"/>
      <c r="DS15" s="1345"/>
      <c r="DT15" s="1346"/>
      <c r="DU15" s="1346"/>
      <c r="DV15" s="1176" t="s">
        <v>1300</v>
      </c>
      <c r="DW15" s="1177" t="s">
        <v>76</v>
      </c>
      <c r="DX15" s="1177" t="s">
        <v>1253</v>
      </c>
      <c r="DY15" s="1177">
        <v>1</v>
      </c>
      <c r="DZ15" s="1177">
        <v>0.9</v>
      </c>
      <c r="EA15" s="1177">
        <v>0.8</v>
      </c>
      <c r="EB15" s="1177">
        <v>0.7</v>
      </c>
      <c r="EC15" s="1177">
        <v>0.6</v>
      </c>
      <c r="ED15" s="1198">
        <v>0.5</v>
      </c>
      <c r="EE15" s="1199">
        <v>0</v>
      </c>
      <c r="EF15" s="1321"/>
      <c r="EG15" s="1149" t="s">
        <v>890</v>
      </c>
      <c r="EH15" s="1149" t="s">
        <v>888</v>
      </c>
      <c r="EI15" s="1149">
        <v>6</v>
      </c>
      <c r="EJ15" s="1321"/>
      <c r="EK15" s="1345"/>
      <c r="EL15" s="1345"/>
      <c r="EM15" s="1321"/>
      <c r="EN15" s="1328" t="s">
        <v>892</v>
      </c>
      <c r="EO15" s="1321"/>
      <c r="EP15" s="1224" t="s">
        <v>902</v>
      </c>
      <c r="EQ15" s="1321"/>
      <c r="ER15" s="1345"/>
      <c r="ES15" s="1345"/>
      <c r="ET15" s="1321"/>
      <c r="EU15" s="1149" t="s">
        <v>920</v>
      </c>
      <c r="EV15" s="1149" t="s">
        <v>935</v>
      </c>
      <c r="EW15" s="1149" t="s">
        <v>944</v>
      </c>
      <c r="EX15" s="1149" t="s">
        <v>946</v>
      </c>
      <c r="EY15" s="1321"/>
      <c r="EZ15" s="1345"/>
      <c r="FA15" s="1345"/>
      <c r="FB15" s="1345"/>
      <c r="FC15" s="1321"/>
      <c r="FD15" s="1149" t="s">
        <v>967</v>
      </c>
      <c r="FE15" s="1149" t="s">
        <v>986</v>
      </c>
      <c r="FF15" s="1149" t="s">
        <v>989</v>
      </c>
      <c r="FG15" s="1149" t="s">
        <v>956</v>
      </c>
      <c r="FH15" s="1321"/>
      <c r="FI15" s="1345"/>
      <c r="FJ15" s="1345"/>
      <c r="FK15" s="1345"/>
      <c r="FL15" s="1345"/>
      <c r="FM15" s="1321"/>
      <c r="FN15" s="1149" t="s">
        <v>982</v>
      </c>
      <c r="FO15" s="1149" t="s">
        <v>987</v>
      </c>
      <c r="FP15" s="1149" t="s">
        <v>999</v>
      </c>
      <c r="FQ15" s="1149" t="s">
        <v>1017</v>
      </c>
      <c r="FR15" s="1321"/>
      <c r="FS15" s="1345"/>
      <c r="FT15" s="1345"/>
      <c r="FU15" s="1345"/>
      <c r="FV15" s="1345"/>
      <c r="FW15" s="1328" t="s">
        <v>1069</v>
      </c>
      <c r="FX15" s="1321"/>
      <c r="FY15" s="1321"/>
      <c r="FZ15" s="1321"/>
      <c r="GA15" s="1345"/>
      <c r="GB15" s="1321"/>
      <c r="GC15" s="1321"/>
      <c r="GD15" s="1321"/>
      <c r="GE15" s="1149" t="s">
        <v>251</v>
      </c>
      <c r="GF15" s="1150" t="s">
        <v>262</v>
      </c>
      <c r="GG15" s="1149" t="s">
        <v>301</v>
      </c>
      <c r="GH15" s="1321" t="s">
        <v>1349</v>
      </c>
      <c r="GI15" s="1321" t="s">
        <v>1349</v>
      </c>
      <c r="GJ15" s="1149" t="s">
        <v>1732</v>
      </c>
      <c r="GK15" s="1321" t="s">
        <v>1349</v>
      </c>
      <c r="GL15" s="1321" t="s">
        <v>1349</v>
      </c>
      <c r="GM15" s="1321" t="s">
        <v>1349</v>
      </c>
      <c r="GN15" s="1321" t="s">
        <v>1349</v>
      </c>
      <c r="GO15" s="1321" t="s">
        <v>1349</v>
      </c>
      <c r="GP15" s="1321" t="s">
        <v>1349</v>
      </c>
      <c r="GQ15" s="1321" t="s">
        <v>1349</v>
      </c>
      <c r="GR15" s="1149" t="s">
        <v>628</v>
      </c>
      <c r="GS15" s="1321" t="s">
        <v>1349</v>
      </c>
      <c r="GT15" s="1321" t="s">
        <v>1349</v>
      </c>
      <c r="GU15" s="1321" t="s">
        <v>1349</v>
      </c>
      <c r="GV15" s="1321" t="s">
        <v>1349</v>
      </c>
      <c r="GW15" s="1321"/>
      <c r="GX15" s="1321"/>
      <c r="GY15" s="1082" t="str">
        <f t="shared" si="5"/>
        <v>balles de paille 250kg BQ</v>
      </c>
      <c r="GZ15" s="1082"/>
      <c r="HA15" s="1085">
        <f t="shared" si="6"/>
        <v>0</v>
      </c>
      <c r="HB15" s="1085">
        <f>IF(COUNTIF(TypeArticleDansEntrepôt,GY15)=0,0,SUMIF(TypeArticleDansEntrepôt,GY15,QtéArticleDansEntrepôt)*VLOOKUP(GY15,place_necessaire_entrepots_aire_paille[],2,FALSE))</f>
        <v>0</v>
      </c>
      <c r="HC15" s="1321"/>
      <c r="HD15" s="1321"/>
      <c r="HE15" s="1321"/>
      <c r="HF15" s="1321"/>
      <c r="HG15" s="1149" t="str">
        <f t="shared" si="3"/>
        <v>Limousin</v>
      </c>
      <c r="HH15" s="1321"/>
      <c r="HI15" s="1321"/>
      <c r="HJ15" s="1321"/>
      <c r="HK15" s="1143" t="s">
        <v>191</v>
      </c>
      <c r="HL15" s="1152">
        <v>75</v>
      </c>
      <c r="HM15" s="1321"/>
      <c r="HN15" s="1149" t="s">
        <v>298</v>
      </c>
      <c r="HO15" s="1165">
        <v>220</v>
      </c>
      <c r="HP15" s="1166">
        <v>0</v>
      </c>
      <c r="HQ15" s="1166">
        <v>0.69230769230769229</v>
      </c>
      <c r="HR15" s="1166">
        <v>0.68421052631578949</v>
      </c>
      <c r="HS15" s="1166">
        <v>0.5</v>
      </c>
      <c r="HT15" s="1166">
        <v>0.6</v>
      </c>
      <c r="HU15" s="1166">
        <v>0.5</v>
      </c>
      <c r="HV15" s="1321"/>
      <c r="HW15" s="1321"/>
      <c r="HX15" s="1321"/>
      <c r="HY15" s="1321"/>
      <c r="HZ15" s="1321"/>
      <c r="IA15" s="1321"/>
      <c r="IB15" s="1321"/>
      <c r="IC15" s="1321"/>
      <c r="ID15" s="1321"/>
      <c r="IE15" s="1321"/>
      <c r="IF15" s="1321"/>
      <c r="IG15" s="1321"/>
      <c r="IH15" s="1321"/>
      <c r="II15" s="1321"/>
      <c r="IJ15" s="1321"/>
      <c r="IK15" s="1321"/>
      <c r="IL15" s="1321"/>
      <c r="IM15" s="1321"/>
      <c r="IN15" s="1368"/>
    </row>
    <row r="16" spans="1:248" ht="12.75" customHeight="1" x14ac:dyDescent="0.2">
      <c r="A16" s="1307" t="s">
        <v>698</v>
      </c>
      <c r="B16" s="1177" t="s">
        <v>354</v>
      </c>
      <c r="C16" s="1177">
        <v>50</v>
      </c>
      <c r="D16" s="1178">
        <v>0.52</v>
      </c>
      <c r="E16" s="1327"/>
      <c r="F16" s="1176" t="s">
        <v>1644</v>
      </c>
      <c r="G16" s="1177">
        <v>0.34</v>
      </c>
      <c r="H16" s="1177">
        <v>20</v>
      </c>
      <c r="I16" s="1177">
        <v>0.34</v>
      </c>
      <c r="J16" s="1177"/>
      <c r="K16" s="1178">
        <v>70</v>
      </c>
      <c r="L16" s="1321"/>
      <c r="M16" s="1076" t="s">
        <v>215</v>
      </c>
      <c r="N16" s="1321"/>
      <c r="O16" s="1149" t="s">
        <v>1116</v>
      </c>
      <c r="P16" s="1149">
        <v>3.2</v>
      </c>
      <c r="Q16" s="1149">
        <v>3.2</v>
      </c>
      <c r="R16" s="1149">
        <v>3</v>
      </c>
      <c r="S16" s="1149">
        <v>2.6</v>
      </c>
      <c r="T16" s="1149">
        <v>2.7</v>
      </c>
      <c r="U16" s="1149">
        <v>0</v>
      </c>
      <c r="V16" s="1149">
        <v>0</v>
      </c>
      <c r="W16" s="1149">
        <v>4.3</v>
      </c>
      <c r="X16" s="1149">
        <v>11.3</v>
      </c>
      <c r="Y16" s="1149">
        <v>0</v>
      </c>
      <c r="Z16" s="1149">
        <v>2</v>
      </c>
      <c r="AA16" s="1149">
        <v>0</v>
      </c>
      <c r="AB16" s="1149">
        <v>0</v>
      </c>
      <c r="AC16" s="1149">
        <v>0</v>
      </c>
      <c r="AD16" s="1149">
        <v>0</v>
      </c>
      <c r="AE16" s="1149">
        <v>0</v>
      </c>
      <c r="AF16" s="1149">
        <v>33</v>
      </c>
      <c r="AG16" s="1149">
        <v>0</v>
      </c>
      <c r="AH16" s="1149">
        <v>0</v>
      </c>
      <c r="AI16" s="1149">
        <v>0</v>
      </c>
      <c r="AJ16" s="1149">
        <v>10</v>
      </c>
      <c r="AK16" s="1149">
        <v>0</v>
      </c>
      <c r="AL16" s="1149">
        <v>0</v>
      </c>
      <c r="AM16" s="1149">
        <v>0</v>
      </c>
      <c r="AN16" s="1149">
        <v>0</v>
      </c>
      <c r="AO16" s="1149">
        <v>11</v>
      </c>
      <c r="AP16" s="1149">
        <v>0</v>
      </c>
      <c r="AQ16" s="1149">
        <v>0</v>
      </c>
      <c r="AR16" s="1149">
        <v>0</v>
      </c>
      <c r="AS16" s="1149">
        <v>0</v>
      </c>
      <c r="AT16" s="1149">
        <v>0</v>
      </c>
      <c r="AU16" s="1149">
        <v>0</v>
      </c>
      <c r="AV16" s="1149">
        <v>0</v>
      </c>
      <c r="AW16" s="1149">
        <v>8.5</v>
      </c>
      <c r="AX16" s="1149">
        <v>10</v>
      </c>
      <c r="AY16" s="1149">
        <v>10</v>
      </c>
      <c r="AZ16" s="1321"/>
      <c r="BA16" s="1321"/>
      <c r="BB16" s="1321"/>
      <c r="BC16" s="1149" t="s">
        <v>675</v>
      </c>
      <c r="BD16" s="1149">
        <v>35</v>
      </c>
      <c r="BE16" s="1149">
        <v>650</v>
      </c>
      <c r="BF16" s="1149">
        <v>26</v>
      </c>
      <c r="BG16" s="1149" t="s">
        <v>63</v>
      </c>
      <c r="BH16" s="1345"/>
      <c r="BI16" s="1149" t="s">
        <v>731</v>
      </c>
      <c r="BJ16" s="1321"/>
      <c r="BK16" s="1345"/>
      <c r="BL16" s="1345"/>
      <c r="BM16" s="1189" t="s">
        <v>1134</v>
      </c>
      <c r="BN16" s="1177" t="s">
        <v>673</v>
      </c>
      <c r="BO16" s="1177" t="s">
        <v>1252</v>
      </c>
      <c r="BP16" s="1177">
        <v>6</v>
      </c>
      <c r="BQ16" s="1177">
        <v>4.8</v>
      </c>
      <c r="BR16" s="1177">
        <v>3.6</v>
      </c>
      <c r="BS16" s="1177">
        <v>3</v>
      </c>
      <c r="BT16" s="1177">
        <v>2.4</v>
      </c>
      <c r="BU16" s="1177">
        <v>1.2</v>
      </c>
      <c r="BV16" s="1191">
        <v>0</v>
      </c>
      <c r="BW16" s="1345"/>
      <c r="BX16" s="1321"/>
      <c r="BY16" s="1328" t="s">
        <v>716</v>
      </c>
      <c r="BZ16" s="1321"/>
      <c r="CA16" s="1357" t="s">
        <v>1230</v>
      </c>
      <c r="CB16" s="1358" t="s">
        <v>1135</v>
      </c>
      <c r="CC16" s="1321"/>
      <c r="CD16" s="1345"/>
      <c r="CE16" s="1345"/>
      <c r="CF16" s="1345"/>
      <c r="CG16" s="1345"/>
      <c r="CH16" s="1345"/>
      <c r="CI16" s="1321"/>
      <c r="CJ16" s="1187" t="s">
        <v>1372</v>
      </c>
      <c r="CK16" s="1172" t="s">
        <v>576</v>
      </c>
      <c r="CL16" s="1321"/>
      <c r="CM16" s="1187" t="s">
        <v>1372</v>
      </c>
      <c r="CN16" s="1172" t="s">
        <v>1373</v>
      </c>
      <c r="CO16" s="1321"/>
      <c r="CP16" s="1143">
        <v>5</v>
      </c>
      <c r="CQ16" s="1321"/>
      <c r="CR16" s="1321"/>
      <c r="CS16" s="1143" t="s">
        <v>786</v>
      </c>
      <c r="CT16" s="1143">
        <v>0.05</v>
      </c>
      <c r="CU16" s="1143">
        <v>4.0999999999999996</v>
      </c>
      <c r="CV16" s="1143">
        <v>0</v>
      </c>
      <c r="CW16" s="1321"/>
      <c r="CX16" s="1321"/>
      <c r="CY16" s="1321"/>
      <c r="CZ16" s="1143" t="s">
        <v>802</v>
      </c>
      <c r="DA16" s="1321"/>
      <c r="DB16" s="1143" t="s">
        <v>811</v>
      </c>
      <c r="DC16" s="1143">
        <v>0.5</v>
      </c>
      <c r="DD16" s="1321"/>
      <c r="DE16" s="1321"/>
      <c r="DF16" s="1321"/>
      <c r="DG16" s="1328" t="s">
        <v>818</v>
      </c>
      <c r="DH16" s="1321"/>
      <c r="DI16" s="1321"/>
      <c r="DJ16" s="1321"/>
      <c r="DK16" s="1321"/>
      <c r="DL16" s="1321"/>
      <c r="DM16" s="1321"/>
      <c r="DN16" s="1321"/>
      <c r="DO16" s="1321"/>
      <c r="DP16" s="1321"/>
      <c r="DQ16" s="1321"/>
      <c r="DR16" s="1321"/>
      <c r="DS16" s="1345"/>
      <c r="DT16" s="1346"/>
      <c r="DU16" s="1346"/>
      <c r="DV16" s="1176" t="s">
        <v>1300</v>
      </c>
      <c r="DW16" s="1177" t="s">
        <v>672</v>
      </c>
      <c r="DX16" s="1177" t="s">
        <v>1252</v>
      </c>
      <c r="DY16" s="1177">
        <v>1</v>
      </c>
      <c r="DZ16" s="1177">
        <v>0.9</v>
      </c>
      <c r="EA16" s="1177">
        <v>0.8</v>
      </c>
      <c r="EB16" s="1177">
        <v>0.7</v>
      </c>
      <c r="EC16" s="1177">
        <v>0.6</v>
      </c>
      <c r="ED16" s="1198">
        <v>0.5</v>
      </c>
      <c r="EE16" s="1199">
        <v>0</v>
      </c>
      <c r="EF16" s="1321"/>
      <c r="EG16" s="1321"/>
      <c r="EH16" s="1321"/>
      <c r="EI16" s="1321"/>
      <c r="EJ16" s="1321"/>
      <c r="EK16" s="1345"/>
      <c r="EL16" s="1345"/>
      <c r="EM16" s="1321"/>
      <c r="EN16" s="1328" t="s">
        <v>1359</v>
      </c>
      <c r="EO16" s="1321"/>
      <c r="EP16" s="1143">
        <v>10</v>
      </c>
      <c r="EQ16" s="1321"/>
      <c r="ER16" s="1345"/>
      <c r="ES16" s="1345"/>
      <c r="ET16" s="1321"/>
      <c r="EU16" s="1143" t="s">
        <v>921</v>
      </c>
      <c r="EV16" s="1143" t="s">
        <v>934</v>
      </c>
      <c r="EW16" s="1143" t="s">
        <v>943</v>
      </c>
      <c r="EX16" s="1143" t="s">
        <v>950</v>
      </c>
      <c r="EY16" s="1321"/>
      <c r="EZ16" s="1345"/>
      <c r="FA16" s="1345"/>
      <c r="FB16" s="1345"/>
      <c r="FC16" s="1321"/>
      <c r="FD16" s="1143" t="s">
        <v>968</v>
      </c>
      <c r="FE16" s="1143" t="s">
        <v>986</v>
      </c>
      <c r="FF16" s="1143" t="s">
        <v>994</v>
      </c>
      <c r="FG16" s="1143" t="s">
        <v>1009</v>
      </c>
      <c r="FH16" s="1321"/>
      <c r="FI16" s="1345"/>
      <c r="FJ16" s="1345"/>
      <c r="FK16" s="1345"/>
      <c r="FL16" s="1345"/>
      <c r="FM16" s="1321"/>
      <c r="FN16" s="1143" t="s">
        <v>983</v>
      </c>
      <c r="FO16" s="1143" t="s">
        <v>987</v>
      </c>
      <c r="FP16" s="1143" t="s">
        <v>1000</v>
      </c>
      <c r="FQ16" s="1143" t="s">
        <v>1018</v>
      </c>
      <c r="FR16" s="1321"/>
      <c r="FS16" s="1345"/>
      <c r="FT16" s="1345"/>
      <c r="FU16" s="1345"/>
      <c r="FV16" s="1345"/>
      <c r="FW16" s="1308"/>
      <c r="FX16" s="1164" t="s">
        <v>639</v>
      </c>
      <c r="FY16" s="1164" t="s">
        <v>1062</v>
      </c>
      <c r="FZ16" s="1321"/>
      <c r="GA16" s="1345"/>
      <c r="GB16" s="1321"/>
      <c r="GC16" s="1321"/>
      <c r="GD16" s="1321"/>
      <c r="GE16" s="1143" t="s">
        <v>419</v>
      </c>
      <c r="GF16" s="1144" t="s">
        <v>520</v>
      </c>
      <c r="GG16" s="1143" t="s">
        <v>223</v>
      </c>
      <c r="GH16" s="1321" t="s">
        <v>1349</v>
      </c>
      <c r="GI16" s="1321" t="s">
        <v>1349</v>
      </c>
      <c r="GJ16" s="1143" t="s">
        <v>1733</v>
      </c>
      <c r="GK16" s="1321" t="s">
        <v>1349</v>
      </c>
      <c r="GL16" s="1321" t="s">
        <v>1349</v>
      </c>
      <c r="GM16" s="1321" t="s">
        <v>1349</v>
      </c>
      <c r="GN16" s="1321" t="s">
        <v>1349</v>
      </c>
      <c r="GO16" s="1321" t="s">
        <v>1349</v>
      </c>
      <c r="GP16" s="1321" t="s">
        <v>1349</v>
      </c>
      <c r="GQ16" s="1321" t="s">
        <v>1349</v>
      </c>
      <c r="GR16" s="1143" t="s">
        <v>629</v>
      </c>
      <c r="GS16" s="1321" t="s">
        <v>1349</v>
      </c>
      <c r="GT16" s="1321" t="s">
        <v>1349</v>
      </c>
      <c r="GU16" s="1321" t="s">
        <v>1349</v>
      </c>
      <c r="GV16" s="1321" t="s">
        <v>1349</v>
      </c>
      <c r="GW16" s="1321"/>
      <c r="GX16" s="1321"/>
      <c r="GY16" s="1083" t="str">
        <f t="shared" si="5"/>
        <v>balles de paille 300kg BQ</v>
      </c>
      <c r="GZ16" s="1083"/>
      <c r="HA16" s="1084">
        <f t="shared" si="6"/>
        <v>0</v>
      </c>
      <c r="HB16" s="1084">
        <f>IF(COUNTIF(TypeArticleDansEntrepôt,GY16)=0,0,SUMIF(TypeArticleDansEntrepôt,GY16,QtéArticleDansEntrepôt)*VLOOKUP(GY16,place_necessaire_entrepots_aire_paille[],2,FALSE))</f>
        <v>0</v>
      </c>
      <c r="HC16" s="1321"/>
      <c r="HD16" s="1321"/>
      <c r="HE16" s="1321"/>
      <c r="HF16" s="1321"/>
      <c r="HG16" s="1143" t="str">
        <f t="shared" si="3"/>
        <v>Lorraine</v>
      </c>
      <c r="HH16" s="1321"/>
      <c r="HI16" s="1321"/>
      <c r="HJ16" s="1321"/>
      <c r="HK16" s="1149" t="s">
        <v>340</v>
      </c>
      <c r="HL16" s="1159">
        <v>45</v>
      </c>
      <c r="HM16" s="1321"/>
      <c r="HN16" s="1162" t="s">
        <v>1509</v>
      </c>
      <c r="HO16" s="1160">
        <v>150</v>
      </c>
      <c r="HP16" s="1175">
        <v>0.66666666666666663</v>
      </c>
      <c r="HQ16" s="1175">
        <f>0.5/1.5</f>
        <v>0.33333333333333331</v>
      </c>
      <c r="HR16" s="1175">
        <v>0.33333333333333331</v>
      </c>
      <c r="HS16" s="1175">
        <v>0.55555555555555558</v>
      </c>
      <c r="HT16" s="1175">
        <v>0.5</v>
      </c>
      <c r="HU16" s="1175">
        <v>0.66666666666666663</v>
      </c>
      <c r="HV16" s="1321"/>
      <c r="HW16" s="1321"/>
      <c r="HX16" s="1321"/>
      <c r="HY16" s="1321"/>
      <c r="HZ16" s="1321"/>
      <c r="IA16" s="1321"/>
      <c r="IB16" s="1321"/>
      <c r="IC16" s="1321"/>
      <c r="ID16" s="1321"/>
      <c r="IE16" s="1321"/>
      <c r="IF16" s="1321"/>
      <c r="IG16" s="1321"/>
      <c r="IH16" s="1321"/>
      <c r="II16" s="1321"/>
      <c r="IJ16" s="1321"/>
      <c r="IK16" s="1321"/>
      <c r="IL16" s="1321"/>
      <c r="IM16" s="1321"/>
      <c r="IN16" s="1368"/>
    </row>
    <row r="17" spans="1:248" ht="12.75" customHeight="1" x14ac:dyDescent="0.2">
      <c r="A17" s="1307" t="s">
        <v>1076</v>
      </c>
      <c r="B17" s="1177" t="s">
        <v>354</v>
      </c>
      <c r="C17" s="1177">
        <v>60</v>
      </c>
      <c r="D17" s="1178">
        <v>0.3</v>
      </c>
      <c r="E17" s="1327"/>
      <c r="F17" s="1200" t="s">
        <v>1645</v>
      </c>
      <c r="G17" s="1201">
        <v>0.34</v>
      </c>
      <c r="H17" s="1201">
        <v>20</v>
      </c>
      <c r="I17" s="1201">
        <v>0.34</v>
      </c>
      <c r="J17" s="1201"/>
      <c r="K17" s="1202">
        <v>70</v>
      </c>
      <c r="L17" s="1321"/>
      <c r="M17" s="1075" t="s">
        <v>580</v>
      </c>
      <c r="N17" s="1321"/>
      <c r="O17" s="1143" t="s">
        <v>401</v>
      </c>
      <c r="P17" s="1143">
        <v>3.1</v>
      </c>
      <c r="Q17" s="1143">
        <v>3.1</v>
      </c>
      <c r="R17" s="1143">
        <v>3.2</v>
      </c>
      <c r="S17" s="1143">
        <v>2.6</v>
      </c>
      <c r="T17" s="1143">
        <v>2.2000000000000002</v>
      </c>
      <c r="U17" s="1143">
        <v>2.5</v>
      </c>
      <c r="V17" s="1143">
        <v>2.6</v>
      </c>
      <c r="W17" s="1143">
        <v>7.6</v>
      </c>
      <c r="X17" s="1143">
        <v>11.4</v>
      </c>
      <c r="Y17" s="1143">
        <v>0</v>
      </c>
      <c r="Z17" s="1143">
        <v>2.2000000000000002</v>
      </c>
      <c r="AA17" s="1143">
        <v>1.3</v>
      </c>
      <c r="AB17" s="1143">
        <v>0</v>
      </c>
      <c r="AC17" s="1143">
        <v>0</v>
      </c>
      <c r="AD17" s="1143">
        <v>2.9</v>
      </c>
      <c r="AE17" s="1143">
        <v>0</v>
      </c>
      <c r="AF17" s="1143">
        <v>31</v>
      </c>
      <c r="AG17" s="1143">
        <v>0.8</v>
      </c>
      <c r="AH17" s="1143">
        <v>7</v>
      </c>
      <c r="AI17" s="1143">
        <v>13</v>
      </c>
      <c r="AJ17" s="1143">
        <v>10</v>
      </c>
      <c r="AK17" s="1143">
        <v>1.2</v>
      </c>
      <c r="AL17" s="1143">
        <v>0</v>
      </c>
      <c r="AM17" s="1143">
        <v>0</v>
      </c>
      <c r="AN17" s="1143">
        <v>0</v>
      </c>
      <c r="AO17" s="1143">
        <v>13</v>
      </c>
      <c r="AP17" s="1143">
        <v>0</v>
      </c>
      <c r="AQ17" s="1143">
        <v>0</v>
      </c>
      <c r="AR17" s="1143">
        <v>0</v>
      </c>
      <c r="AS17" s="1143">
        <v>7</v>
      </c>
      <c r="AT17" s="1143">
        <v>0</v>
      </c>
      <c r="AU17" s="1143">
        <v>0</v>
      </c>
      <c r="AV17" s="1143">
        <v>0</v>
      </c>
      <c r="AW17" s="1143">
        <v>8.5</v>
      </c>
      <c r="AX17" s="1143">
        <v>10</v>
      </c>
      <c r="AY17" s="1143">
        <v>10</v>
      </c>
      <c r="AZ17" s="1321"/>
      <c r="BA17" s="1321"/>
      <c r="BB17" s="1321"/>
      <c r="BC17" s="1143" t="s">
        <v>676</v>
      </c>
      <c r="BD17" s="1143">
        <v>20</v>
      </c>
      <c r="BE17" s="1143">
        <v>450</v>
      </c>
      <c r="BF17" s="1143">
        <v>18</v>
      </c>
      <c r="BG17" s="1321"/>
      <c r="BH17" s="1321"/>
      <c r="BI17" s="1143" t="s">
        <v>1315</v>
      </c>
      <c r="BJ17" s="1321"/>
      <c r="BK17" s="1345"/>
      <c r="BL17" s="1345"/>
      <c r="BM17" s="1189" t="s">
        <v>1134</v>
      </c>
      <c r="BN17" s="1177" t="s">
        <v>1273</v>
      </c>
      <c r="BO17" s="1177" t="s">
        <v>1254</v>
      </c>
      <c r="BP17" s="1177">
        <v>6</v>
      </c>
      <c r="BQ17" s="1177">
        <v>4.8</v>
      </c>
      <c r="BR17" s="1177">
        <v>3.6</v>
      </c>
      <c r="BS17" s="1177">
        <v>3</v>
      </c>
      <c r="BT17" s="1177">
        <v>2.4</v>
      </c>
      <c r="BU17" s="1177">
        <v>1.2</v>
      </c>
      <c r="BV17" s="1191">
        <v>0</v>
      </c>
      <c r="BW17" s="1345"/>
      <c r="BX17" s="1321"/>
      <c r="BY17" s="1143" t="s">
        <v>756</v>
      </c>
      <c r="BZ17" s="1144">
        <v>68</v>
      </c>
      <c r="CA17" s="1144" t="s">
        <v>76</v>
      </c>
      <c r="CB17" s="1143" t="s">
        <v>761</v>
      </c>
      <c r="CC17" s="1321"/>
      <c r="CD17" s="1345"/>
      <c r="CE17" s="1345"/>
      <c r="CF17" s="1345"/>
      <c r="CG17" s="1345"/>
      <c r="CH17" s="1345"/>
      <c r="CI17" s="1321"/>
      <c r="CJ17" s="1176" t="s">
        <v>779</v>
      </c>
      <c r="CK17" s="1178">
        <v>15</v>
      </c>
      <c r="CL17" s="1321"/>
      <c r="CM17" s="1176" t="s">
        <v>779</v>
      </c>
      <c r="CN17" s="1178">
        <v>50</v>
      </c>
      <c r="CO17" s="1321"/>
      <c r="CP17" s="1321"/>
      <c r="CQ17" s="1321"/>
      <c r="CR17" s="1321"/>
      <c r="CS17" s="1149" t="s">
        <v>787</v>
      </c>
      <c r="CT17" s="1149">
        <v>0.05</v>
      </c>
      <c r="CU17" s="1149">
        <v>4.0999999999999996</v>
      </c>
      <c r="CV17" s="1149">
        <v>0</v>
      </c>
      <c r="CW17" s="1321"/>
      <c r="CX17" s="1321"/>
      <c r="CY17" s="1321"/>
      <c r="CZ17" s="1149" t="s">
        <v>803</v>
      </c>
      <c r="DA17" s="1321"/>
      <c r="DB17" s="1149" t="s">
        <v>812</v>
      </c>
      <c r="DC17" s="1149">
        <v>0.5</v>
      </c>
      <c r="DD17" s="1321"/>
      <c r="DE17" s="1321"/>
      <c r="DF17" s="1321"/>
      <c r="DG17" s="1143" t="s">
        <v>819</v>
      </c>
      <c r="DH17" s="1143">
        <v>0.1</v>
      </c>
      <c r="DI17" s="1321"/>
      <c r="DJ17" s="1321"/>
      <c r="DK17" s="1321"/>
      <c r="DL17" s="1321"/>
      <c r="DM17" s="1321"/>
      <c r="DN17" s="1321"/>
      <c r="DO17" s="1321"/>
      <c r="DP17" s="1321"/>
      <c r="DQ17" s="1321"/>
      <c r="DR17" s="1321"/>
      <c r="DS17" s="1345"/>
      <c r="DT17" s="1346"/>
      <c r="DU17" s="1346"/>
      <c r="DV17" s="1176" t="s">
        <v>1300</v>
      </c>
      <c r="DW17" s="1177" t="s">
        <v>673</v>
      </c>
      <c r="DX17" s="1177" t="s">
        <v>1252</v>
      </c>
      <c r="DY17" s="1177">
        <v>1</v>
      </c>
      <c r="DZ17" s="1177">
        <v>0.9</v>
      </c>
      <c r="EA17" s="1177">
        <v>0.8</v>
      </c>
      <c r="EB17" s="1177">
        <v>0.7</v>
      </c>
      <c r="EC17" s="1177">
        <v>0.6</v>
      </c>
      <c r="ED17" s="1198">
        <v>0.5</v>
      </c>
      <c r="EE17" s="1199">
        <v>0</v>
      </c>
      <c r="EF17" s="1321"/>
      <c r="EG17" s="1328" t="s">
        <v>892</v>
      </c>
      <c r="EH17" s="1321"/>
      <c r="EI17" s="1224" t="s">
        <v>902</v>
      </c>
      <c r="EJ17" s="1321"/>
      <c r="EK17" s="1345"/>
      <c r="EL17" s="1345"/>
      <c r="EM17" s="1321"/>
      <c r="EN17" s="1328" t="s">
        <v>1357</v>
      </c>
      <c r="EO17" s="1321"/>
      <c r="EP17" s="1321"/>
      <c r="EQ17" s="1321"/>
      <c r="ER17" s="1224" t="s">
        <v>1363</v>
      </c>
      <c r="ES17" s="1345"/>
      <c r="ET17" s="1321"/>
      <c r="EU17" s="1149" t="s">
        <v>922</v>
      </c>
      <c r="EV17" s="1149" t="s">
        <v>934</v>
      </c>
      <c r="EW17" s="1149" t="s">
        <v>945</v>
      </c>
      <c r="EX17" s="1149" t="s">
        <v>946</v>
      </c>
      <c r="EY17" s="1321"/>
      <c r="EZ17" s="1345"/>
      <c r="FA17" s="1345"/>
      <c r="FB17" s="1345"/>
      <c r="FC17" s="1321"/>
      <c r="FD17" s="1149" t="s">
        <v>969</v>
      </c>
      <c r="FE17" s="1149" t="s">
        <v>986</v>
      </c>
      <c r="FF17" s="1149" t="s">
        <v>994</v>
      </c>
      <c r="FG17" s="1149" t="s">
        <v>1007</v>
      </c>
      <c r="FH17" s="1321"/>
      <c r="FI17" s="1345"/>
      <c r="FJ17" s="1345"/>
      <c r="FK17" s="1345"/>
      <c r="FL17" s="1345"/>
      <c r="FM17" s="1321"/>
      <c r="FN17" s="1149" t="s">
        <v>984</v>
      </c>
      <c r="FO17" s="1149" t="s">
        <v>987</v>
      </c>
      <c r="FP17" s="1149" t="s">
        <v>996</v>
      </c>
      <c r="FQ17" s="1149" t="s">
        <v>1019</v>
      </c>
      <c r="FR17" s="1321"/>
      <c r="FS17" s="1345"/>
      <c r="FT17" s="1345"/>
      <c r="FU17" s="1345"/>
      <c r="FV17" s="1345"/>
      <c r="FW17" s="1143" t="s">
        <v>539</v>
      </c>
      <c r="FX17" s="1143">
        <v>0.27</v>
      </c>
      <c r="FY17" s="1143">
        <v>4</v>
      </c>
      <c r="FZ17" s="1321"/>
      <c r="GA17" s="1345"/>
      <c r="GB17" s="1321"/>
      <c r="GC17" s="1321"/>
      <c r="GD17" s="1321"/>
      <c r="GE17" s="1149" t="s">
        <v>304</v>
      </c>
      <c r="GF17" s="1150" t="s">
        <v>294</v>
      </c>
      <c r="GG17" s="1149" t="s">
        <v>226</v>
      </c>
      <c r="GH17" s="1321" t="s">
        <v>1349</v>
      </c>
      <c r="GI17" s="1321" t="s">
        <v>1349</v>
      </c>
      <c r="GJ17" s="1149" t="s">
        <v>1734</v>
      </c>
      <c r="GK17" s="1321" t="s">
        <v>1349</v>
      </c>
      <c r="GL17" s="1321" t="s">
        <v>1349</v>
      </c>
      <c r="GM17" s="1321" t="s">
        <v>1349</v>
      </c>
      <c r="GN17" s="1321" t="s">
        <v>1349</v>
      </c>
      <c r="GO17" s="1321" t="s">
        <v>1349</v>
      </c>
      <c r="GP17" s="1321" t="s">
        <v>1349</v>
      </c>
      <c r="GQ17" s="1321" t="s">
        <v>1349</v>
      </c>
      <c r="GR17" s="1149" t="s">
        <v>630</v>
      </c>
      <c r="GS17" s="1321" t="s">
        <v>1349</v>
      </c>
      <c r="GT17" s="1321" t="s">
        <v>1349</v>
      </c>
      <c r="GU17" s="1321" t="s">
        <v>1349</v>
      </c>
      <c r="GV17" s="1321" t="s">
        <v>1349</v>
      </c>
      <c r="GW17" s="1321"/>
      <c r="GX17" s="1321"/>
      <c r="GY17" s="1082" t="str">
        <f t="shared" si="5"/>
        <v>balles de paille 500kg BQ</v>
      </c>
      <c r="GZ17" s="1082"/>
      <c r="HA17" s="1085">
        <f t="shared" si="6"/>
        <v>0</v>
      </c>
      <c r="HB17" s="1085">
        <f>IF(COUNTIF(TypeArticleDansEntrepôt,GY17)=0,0,SUMIF(TypeArticleDansEntrepôt,GY17,QtéArticleDansEntrepôt)*VLOOKUP(GY17,place_necessaire_entrepots_aire_paille[],2,FALSE))</f>
        <v>0</v>
      </c>
      <c r="HC17" s="1321"/>
      <c r="HD17" s="1321"/>
      <c r="HE17" s="1321"/>
      <c r="HF17" s="1321"/>
      <c r="HG17" s="1149" t="str">
        <f t="shared" si="3"/>
        <v>Midi-Pyrénées</v>
      </c>
      <c r="HH17" s="1321"/>
      <c r="HI17" s="1321"/>
      <c r="HJ17" s="1321"/>
      <c r="HK17" s="1143" t="s">
        <v>339</v>
      </c>
      <c r="HL17" s="1152">
        <v>110</v>
      </c>
      <c r="HM17" s="1321"/>
      <c r="HN17" s="1149" t="s">
        <v>499</v>
      </c>
      <c r="HO17" s="1165">
        <f>HO16</f>
        <v>150</v>
      </c>
      <c r="HP17" s="1166">
        <v>0.66666666666666663</v>
      </c>
      <c r="HQ17" s="1166">
        <f>0.5/1.5</f>
        <v>0.33333333333333331</v>
      </c>
      <c r="HR17" s="1166">
        <v>0.33333333333333331</v>
      </c>
      <c r="HS17" s="1166">
        <v>0.55555555555555558</v>
      </c>
      <c r="HT17" s="1166">
        <v>0.5</v>
      </c>
      <c r="HU17" s="1166">
        <v>0.66666666666666663</v>
      </c>
      <c r="HV17" s="1321"/>
      <c r="HW17" s="1321"/>
      <c r="HX17" s="1321"/>
      <c r="HY17" s="1321"/>
      <c r="HZ17" s="1321"/>
      <c r="IA17" s="1321"/>
      <c r="IB17" s="1321"/>
      <c r="IC17" s="1321"/>
      <c r="ID17" s="1321"/>
      <c r="IE17" s="1321"/>
      <c r="IF17" s="1321"/>
      <c r="IG17" s="1321"/>
      <c r="IH17" s="1321"/>
      <c r="II17" s="1321"/>
      <c r="IJ17" s="1321"/>
      <c r="IK17" s="1321"/>
      <c r="IL17" s="1321"/>
      <c r="IM17" s="1321"/>
      <c r="IN17" s="1368"/>
    </row>
    <row r="18" spans="1:248" ht="12.75" customHeight="1" x14ac:dyDescent="0.2">
      <c r="A18" s="1307" t="s">
        <v>1078</v>
      </c>
      <c r="B18" s="1177" t="s">
        <v>354</v>
      </c>
      <c r="C18" s="1177">
        <v>60</v>
      </c>
      <c r="D18" s="1178">
        <v>0.3</v>
      </c>
      <c r="E18" s="1327"/>
      <c r="F18" s="1327"/>
      <c r="G18" s="1327"/>
      <c r="H18" s="1320"/>
      <c r="I18" s="1321"/>
      <c r="J18" s="1321"/>
      <c r="K18" s="1321"/>
      <c r="L18" s="1321"/>
      <c r="M18" s="1076" t="s">
        <v>194</v>
      </c>
      <c r="N18" s="1321"/>
      <c r="O18" s="1149" t="s">
        <v>402</v>
      </c>
      <c r="P18" s="1149">
        <v>5.2</v>
      </c>
      <c r="Q18" s="1149">
        <v>3.4</v>
      </c>
      <c r="R18" s="1149">
        <v>3.3</v>
      </c>
      <c r="S18" s="1149">
        <v>2.8</v>
      </c>
      <c r="T18" s="1149">
        <v>2.8</v>
      </c>
      <c r="U18" s="1149">
        <v>3.9</v>
      </c>
      <c r="V18" s="1149">
        <v>2.6</v>
      </c>
      <c r="W18" s="1149">
        <v>8</v>
      </c>
      <c r="X18" s="1149">
        <v>11.1</v>
      </c>
      <c r="Y18" s="1149">
        <v>0</v>
      </c>
      <c r="Z18" s="1149">
        <v>2.2999999999999998</v>
      </c>
      <c r="AA18" s="1149">
        <v>1.5</v>
      </c>
      <c r="AB18" s="1149">
        <v>0</v>
      </c>
      <c r="AC18" s="1149">
        <v>0</v>
      </c>
      <c r="AD18" s="1149">
        <v>3.1</v>
      </c>
      <c r="AE18" s="1149">
        <v>0</v>
      </c>
      <c r="AF18" s="1149">
        <v>24</v>
      </c>
      <c r="AG18" s="1149">
        <v>0.8</v>
      </c>
      <c r="AH18" s="1149">
        <v>7</v>
      </c>
      <c r="AI18" s="1149">
        <v>14</v>
      </c>
      <c r="AJ18" s="1149">
        <v>10</v>
      </c>
      <c r="AK18" s="1149">
        <v>1.1000000000000001</v>
      </c>
      <c r="AL18" s="1149">
        <v>0</v>
      </c>
      <c r="AM18" s="1149">
        <v>0</v>
      </c>
      <c r="AN18" s="1149">
        <v>0</v>
      </c>
      <c r="AO18" s="1149">
        <v>25</v>
      </c>
      <c r="AP18" s="1149">
        <v>11</v>
      </c>
      <c r="AQ18" s="1149">
        <v>0</v>
      </c>
      <c r="AR18" s="1149">
        <v>10</v>
      </c>
      <c r="AS18" s="1149">
        <v>6</v>
      </c>
      <c r="AT18" s="1149">
        <v>0</v>
      </c>
      <c r="AU18" s="1149">
        <v>3</v>
      </c>
      <c r="AV18" s="1149">
        <v>0</v>
      </c>
      <c r="AW18" s="1149">
        <v>8.5</v>
      </c>
      <c r="AX18" s="1149">
        <v>10</v>
      </c>
      <c r="AY18" s="1149">
        <v>10</v>
      </c>
      <c r="AZ18" s="1321"/>
      <c r="BA18" s="1321"/>
      <c r="BB18" s="1321"/>
      <c r="BC18" s="1149" t="s">
        <v>677</v>
      </c>
      <c r="BD18" s="1149">
        <v>45</v>
      </c>
      <c r="BE18" s="1149">
        <v>750</v>
      </c>
      <c r="BF18" s="1149">
        <v>28</v>
      </c>
      <c r="BG18" s="1321"/>
      <c r="BH18" s="1321"/>
      <c r="BI18" s="1321"/>
      <c r="BJ18" s="1321"/>
      <c r="BK18" s="1345"/>
      <c r="BL18" s="1345"/>
      <c r="BM18" s="1189" t="s">
        <v>1134</v>
      </c>
      <c r="BN18" s="1177" t="s">
        <v>715</v>
      </c>
      <c r="BO18" s="1177" t="s">
        <v>1254</v>
      </c>
      <c r="BP18" s="1177">
        <v>6</v>
      </c>
      <c r="BQ18" s="1177">
        <v>4.8</v>
      </c>
      <c r="BR18" s="1177">
        <v>3.6</v>
      </c>
      <c r="BS18" s="1177">
        <v>3</v>
      </c>
      <c r="BT18" s="1177">
        <v>2.4</v>
      </c>
      <c r="BU18" s="1177">
        <v>1.2</v>
      </c>
      <c r="BV18" s="1191">
        <v>0</v>
      </c>
      <c r="BW18" s="1345"/>
      <c r="BX18" s="1321"/>
      <c r="BY18" s="1149" t="s">
        <v>757</v>
      </c>
      <c r="BZ18" s="1150">
        <v>60</v>
      </c>
      <c r="CA18" s="1150" t="s">
        <v>285</v>
      </c>
      <c r="CB18" s="1149" t="s">
        <v>762</v>
      </c>
      <c r="CC18" s="1321"/>
      <c r="CD18" s="1345"/>
      <c r="CE18" s="1345"/>
      <c r="CF18" s="1345"/>
      <c r="CG18" s="1345"/>
      <c r="CH18" s="1345"/>
      <c r="CI18" s="1321"/>
      <c r="CJ18" s="1176" t="s">
        <v>780</v>
      </c>
      <c r="CK18" s="1178">
        <v>10</v>
      </c>
      <c r="CL18" s="1321"/>
      <c r="CM18" s="1176" t="s">
        <v>780</v>
      </c>
      <c r="CN18" s="1178">
        <v>50</v>
      </c>
      <c r="CO18" s="1321"/>
      <c r="CP18" s="1321"/>
      <c r="CQ18" s="1321"/>
      <c r="CR18" s="1321"/>
      <c r="CS18" s="1143" t="s">
        <v>788</v>
      </c>
      <c r="CT18" s="1143">
        <v>0.05</v>
      </c>
      <c r="CU18" s="1143">
        <v>4.0999999999999996</v>
      </c>
      <c r="CV18" s="1143">
        <v>0</v>
      </c>
      <c r="CW18" s="1321"/>
      <c r="CX18" s="1321"/>
      <c r="CY18" s="1321"/>
      <c r="CZ18" s="1143" t="s">
        <v>804</v>
      </c>
      <c r="DA18" s="1321"/>
      <c r="DB18" s="1143" t="s">
        <v>813</v>
      </c>
      <c r="DC18" s="1143">
        <v>0.3</v>
      </c>
      <c r="DD18" s="1321"/>
      <c r="DE18" s="1321"/>
      <c r="DF18" s="1321"/>
      <c r="DG18" s="1149" t="s">
        <v>820</v>
      </c>
      <c r="DH18" s="1149">
        <v>7.0000000000000007E-2</v>
      </c>
      <c r="DI18" s="1321"/>
      <c r="DJ18" s="1321"/>
      <c r="DK18" s="1321"/>
      <c r="DL18" s="1321"/>
      <c r="DM18" s="1321"/>
      <c r="DN18" s="1321"/>
      <c r="DO18" s="1321"/>
      <c r="DP18" s="1321"/>
      <c r="DQ18" s="1321"/>
      <c r="DR18" s="1321"/>
      <c r="DS18" s="1345"/>
      <c r="DT18" s="1346"/>
      <c r="DU18" s="1346"/>
      <c r="DV18" s="1176" t="s">
        <v>1300</v>
      </c>
      <c r="DW18" s="1177" t="s">
        <v>1273</v>
      </c>
      <c r="DX18" s="1177" t="s">
        <v>1254</v>
      </c>
      <c r="DY18" s="1177">
        <v>1</v>
      </c>
      <c r="DZ18" s="1177">
        <v>0.9</v>
      </c>
      <c r="EA18" s="1177">
        <v>0.8</v>
      </c>
      <c r="EB18" s="1177">
        <v>0.7</v>
      </c>
      <c r="EC18" s="1177">
        <v>0.6</v>
      </c>
      <c r="ED18" s="1198">
        <v>0.5</v>
      </c>
      <c r="EE18" s="1199">
        <v>0</v>
      </c>
      <c r="EF18" s="1321"/>
      <c r="EG18" s="1328" t="s">
        <v>893</v>
      </c>
      <c r="EH18" s="1321"/>
      <c r="EI18" s="1143">
        <v>10</v>
      </c>
      <c r="EJ18" s="1321"/>
      <c r="EK18" s="1345"/>
      <c r="EL18" s="1345"/>
      <c r="EM18" s="1321"/>
      <c r="EN18" s="1328" t="s">
        <v>1358</v>
      </c>
      <c r="EO18" s="1321"/>
      <c r="EP18" s="1225" t="s">
        <v>1637</v>
      </c>
      <c r="EQ18" s="1321"/>
      <c r="ER18" s="1143">
        <v>1.5</v>
      </c>
      <c r="ES18" s="1345"/>
      <c r="ET18" s="1321"/>
      <c r="EU18" s="1143" t="s">
        <v>923</v>
      </c>
      <c r="EV18" s="1143" t="s">
        <v>934</v>
      </c>
      <c r="EW18" s="1143" t="s">
        <v>943</v>
      </c>
      <c r="EX18" s="1143" t="s">
        <v>951</v>
      </c>
      <c r="EY18" s="1321"/>
      <c r="EZ18" s="1345"/>
      <c r="FA18" s="1345"/>
      <c r="FB18" s="1345"/>
      <c r="FC18" s="1321"/>
      <c r="FD18" s="1143" t="s">
        <v>970</v>
      </c>
      <c r="FE18" s="1143" t="s">
        <v>986</v>
      </c>
      <c r="FF18" s="1143" t="s">
        <v>994</v>
      </c>
      <c r="FG18" s="1143" t="s">
        <v>1011</v>
      </c>
      <c r="FH18" s="1321"/>
      <c r="FI18" s="1203" t="s">
        <v>1363</v>
      </c>
      <c r="FJ18" s="1345"/>
      <c r="FK18" s="1345"/>
      <c r="FL18" s="1345"/>
      <c r="FM18" s="1321"/>
      <c r="FN18" s="1143" t="s">
        <v>985</v>
      </c>
      <c r="FO18" s="1143" t="s">
        <v>987</v>
      </c>
      <c r="FP18" s="1143" t="s">
        <v>996</v>
      </c>
      <c r="FQ18" s="1143" t="s">
        <v>1022</v>
      </c>
      <c r="FR18" s="1321"/>
      <c r="FS18" s="1203" t="s">
        <v>1363</v>
      </c>
      <c r="FT18" s="1345"/>
      <c r="FU18" s="1345"/>
      <c r="FV18" s="1345"/>
      <c r="FW18" s="1177" t="s">
        <v>324</v>
      </c>
      <c r="FX18" s="1177">
        <v>6.25E-2</v>
      </c>
      <c r="FY18" s="1177">
        <v>3</v>
      </c>
      <c r="FZ18" s="1321"/>
      <c r="GA18" s="1345"/>
      <c r="GB18" s="1321"/>
      <c r="GC18" s="1321"/>
      <c r="GD18" s="1321"/>
      <c r="GE18" s="1143" t="s">
        <v>302</v>
      </c>
      <c r="GF18" s="1321"/>
      <c r="GG18" s="1143" t="s">
        <v>227</v>
      </c>
      <c r="GH18" s="1321" t="s">
        <v>1349</v>
      </c>
      <c r="GI18" s="1321" t="s">
        <v>1349</v>
      </c>
      <c r="GJ18" s="1143" t="s">
        <v>1735</v>
      </c>
      <c r="GK18" s="1321" t="s">
        <v>1349</v>
      </c>
      <c r="GL18" s="1321" t="s">
        <v>1349</v>
      </c>
      <c r="GM18" s="1321" t="s">
        <v>1349</v>
      </c>
      <c r="GN18" s="1321" t="s">
        <v>1349</v>
      </c>
      <c r="GO18" s="1321" t="s">
        <v>1349</v>
      </c>
      <c r="GP18" s="1321" t="s">
        <v>1349</v>
      </c>
      <c r="GQ18" s="1321" t="s">
        <v>1349</v>
      </c>
      <c r="GR18" s="1143" t="s">
        <v>631</v>
      </c>
      <c r="GS18" s="1321" t="s">
        <v>1349</v>
      </c>
      <c r="GT18" s="1321" t="s">
        <v>1349</v>
      </c>
      <c r="GU18" s="1321" t="s">
        <v>1349</v>
      </c>
      <c r="GV18" s="1321" t="s">
        <v>1349</v>
      </c>
      <c r="GW18" s="1321"/>
      <c r="GX18" s="1321"/>
      <c r="GY18" s="1083" t="str">
        <f t="shared" si="5"/>
        <v>balles de paille 250kg MoQ</v>
      </c>
      <c r="GZ18" s="1083"/>
      <c r="HA18" s="1084">
        <f t="shared" si="6"/>
        <v>0</v>
      </c>
      <c r="HB18" s="1084">
        <f>IF(COUNTIF(TypeArticleDansEntrepôt,GY18)=0,0,SUMIF(TypeArticleDansEntrepôt,GY18,QtéArticleDansEntrepôt)*VLOOKUP(GY18,place_necessaire_entrepots_aire_paille[],2,FALSE))</f>
        <v>0</v>
      </c>
      <c r="HC18" s="1321"/>
      <c r="HD18" s="1321"/>
      <c r="HE18" s="1321"/>
      <c r="HF18" s="1321"/>
      <c r="HG18" s="1143" t="str">
        <f t="shared" si="3"/>
        <v>Nord</v>
      </c>
      <c r="HH18" s="1321"/>
      <c r="HI18" s="1321"/>
      <c r="HJ18" s="1321"/>
      <c r="HK18" s="1149" t="s">
        <v>192</v>
      </c>
      <c r="HL18" s="1159">
        <v>75</v>
      </c>
      <c r="HM18" s="1321"/>
      <c r="HN18" s="1143" t="s">
        <v>297</v>
      </c>
      <c r="HO18" s="1204">
        <v>150</v>
      </c>
      <c r="HP18" s="1205">
        <v>0</v>
      </c>
      <c r="HQ18" s="1205">
        <v>0.69230769230769229</v>
      </c>
      <c r="HR18" s="1205">
        <v>0.68421052631578949</v>
      </c>
      <c r="HS18" s="1205">
        <v>0.5</v>
      </c>
      <c r="HT18" s="1205">
        <v>0.6</v>
      </c>
      <c r="HU18" s="1205">
        <v>0.5</v>
      </c>
      <c r="HV18" s="1321"/>
      <c r="HW18" s="1321"/>
      <c r="HX18" s="1321"/>
      <c r="HY18" s="1321"/>
      <c r="HZ18" s="1321"/>
      <c r="IA18" s="1321"/>
      <c r="IB18" s="1321"/>
      <c r="IC18" s="1321"/>
      <c r="ID18" s="1321"/>
      <c r="IE18" s="1321"/>
      <c r="IF18" s="1321"/>
      <c r="IG18" s="1321"/>
      <c r="IH18" s="1321"/>
      <c r="II18" s="1321"/>
      <c r="IJ18" s="1321"/>
      <c r="IK18" s="1321"/>
      <c r="IL18" s="1321"/>
      <c r="IM18" s="1321"/>
      <c r="IN18" s="1368"/>
    </row>
    <row r="19" spans="1:248" ht="12.75" customHeight="1" x14ac:dyDescent="0.2">
      <c r="A19" s="1307" t="s">
        <v>1080</v>
      </c>
      <c r="B19" s="1177" t="s">
        <v>354</v>
      </c>
      <c r="C19" s="1177">
        <v>60</v>
      </c>
      <c r="D19" s="1178">
        <v>0.3</v>
      </c>
      <c r="E19" s="1327"/>
      <c r="F19" s="1206" t="s">
        <v>709</v>
      </c>
      <c r="G19" s="1207" t="s">
        <v>1751</v>
      </c>
      <c r="H19" s="1321"/>
      <c r="I19" s="1321"/>
      <c r="J19" s="1321" t="s">
        <v>49</v>
      </c>
      <c r="K19" s="1321"/>
      <c r="L19" s="1321"/>
      <c r="M19" s="1075" t="s">
        <v>216</v>
      </c>
      <c r="N19" s="1321"/>
      <c r="O19" s="1143" t="s">
        <v>403</v>
      </c>
      <c r="P19" s="1143">
        <v>3.6</v>
      </c>
      <c r="Q19" s="1143">
        <v>3.7</v>
      </c>
      <c r="R19" s="1143">
        <v>3.7</v>
      </c>
      <c r="S19" s="1143">
        <v>3.4</v>
      </c>
      <c r="T19" s="1143">
        <v>3.8</v>
      </c>
      <c r="U19" s="1143">
        <v>4.3</v>
      </c>
      <c r="V19" s="1143">
        <v>3.2</v>
      </c>
      <c r="W19" s="1143">
        <v>5</v>
      </c>
      <c r="X19" s="1143">
        <v>10.5</v>
      </c>
      <c r="Y19" s="1143">
        <v>0</v>
      </c>
      <c r="Z19" s="1143">
        <v>2</v>
      </c>
      <c r="AA19" s="1143">
        <v>1.8</v>
      </c>
      <c r="AB19" s="1143">
        <v>2.7</v>
      </c>
      <c r="AC19" s="1143">
        <v>2.4</v>
      </c>
      <c r="AD19" s="1143">
        <v>2.2000000000000002</v>
      </c>
      <c r="AE19" s="1143">
        <v>1.5</v>
      </c>
      <c r="AF19" s="1143">
        <v>34</v>
      </c>
      <c r="AG19" s="1143">
        <v>0.8</v>
      </c>
      <c r="AH19" s="1143">
        <v>7</v>
      </c>
      <c r="AI19" s="1143">
        <v>0</v>
      </c>
      <c r="AJ19" s="1143">
        <v>0</v>
      </c>
      <c r="AK19" s="1143">
        <v>0</v>
      </c>
      <c r="AL19" s="1143">
        <v>0</v>
      </c>
      <c r="AM19" s="1143">
        <v>0</v>
      </c>
      <c r="AN19" s="1143">
        <v>0</v>
      </c>
      <c r="AO19" s="1143">
        <v>0</v>
      </c>
      <c r="AP19" s="1143">
        <v>0</v>
      </c>
      <c r="AQ19" s="1143">
        <v>0</v>
      </c>
      <c r="AR19" s="1143">
        <v>0</v>
      </c>
      <c r="AS19" s="1143">
        <v>0</v>
      </c>
      <c r="AT19" s="1143">
        <v>0</v>
      </c>
      <c r="AU19" s="1143">
        <v>0</v>
      </c>
      <c r="AV19" s="1143">
        <v>0</v>
      </c>
      <c r="AW19" s="1143">
        <v>8.5</v>
      </c>
      <c r="AX19" s="1143">
        <v>10</v>
      </c>
      <c r="AY19" s="1143">
        <v>10</v>
      </c>
      <c r="AZ19" s="1321"/>
      <c r="BA19" s="1321"/>
      <c r="BB19" s="1321"/>
      <c r="BC19" s="1143" t="s">
        <v>141</v>
      </c>
      <c r="BD19" s="1143">
        <v>45</v>
      </c>
      <c r="BE19" s="1143">
        <v>750</v>
      </c>
      <c r="BF19" s="1143">
        <v>12</v>
      </c>
      <c r="BG19" s="1321"/>
      <c r="BH19" s="1321"/>
      <c r="BI19" s="1321"/>
      <c r="BJ19" s="1321"/>
      <c r="BK19" s="1345"/>
      <c r="BL19" s="1345"/>
      <c r="BM19" s="1189" t="s">
        <v>1134</v>
      </c>
      <c r="BN19" s="1177" t="s">
        <v>63</v>
      </c>
      <c r="BO19" s="1177" t="s">
        <v>1254</v>
      </c>
      <c r="BP19" s="1177">
        <v>6</v>
      </c>
      <c r="BQ19" s="1177">
        <v>4.8</v>
      </c>
      <c r="BR19" s="1177">
        <v>3.6</v>
      </c>
      <c r="BS19" s="1177">
        <v>3</v>
      </c>
      <c r="BT19" s="1177">
        <v>2.4</v>
      </c>
      <c r="BU19" s="1177">
        <v>1.2</v>
      </c>
      <c r="BV19" s="1191">
        <v>0</v>
      </c>
      <c r="BW19" s="1345"/>
      <c r="BX19" s="1321"/>
      <c r="BY19" s="1143" t="s">
        <v>758</v>
      </c>
      <c r="BZ19" s="1143">
        <v>52</v>
      </c>
      <c r="CA19" s="1321"/>
      <c r="CB19" s="1143" t="s">
        <v>219</v>
      </c>
      <c r="CC19" s="1321"/>
      <c r="CD19" s="1345"/>
      <c r="CE19" s="1345"/>
      <c r="CF19" s="1345"/>
      <c r="CG19" s="1345"/>
      <c r="CH19" s="1345"/>
      <c r="CI19" s="1321"/>
      <c r="CJ19" s="1176" t="s">
        <v>781</v>
      </c>
      <c r="CK19" s="1178">
        <v>5</v>
      </c>
      <c r="CL19" s="1321"/>
      <c r="CM19" s="1176" t="s">
        <v>781</v>
      </c>
      <c r="CN19" s="1178">
        <v>30</v>
      </c>
      <c r="CO19" s="1321"/>
      <c r="CP19" s="1321"/>
      <c r="CQ19" s="1321"/>
      <c r="CR19" s="1321"/>
      <c r="CS19" s="1149" t="s">
        <v>789</v>
      </c>
      <c r="CT19" s="1149">
        <v>0.05</v>
      </c>
      <c r="CU19" s="1149">
        <v>4.0999999999999996</v>
      </c>
      <c r="CV19" s="1149">
        <v>0</v>
      </c>
      <c r="CW19" s="1321"/>
      <c r="CX19" s="1321"/>
      <c r="CY19" s="1321"/>
      <c r="CZ19" s="1149" t="s">
        <v>805</v>
      </c>
      <c r="DA19" s="1321"/>
      <c r="DB19" s="1149" t="s">
        <v>814</v>
      </c>
      <c r="DC19" s="1149">
        <v>0.3</v>
      </c>
      <c r="DD19" s="1321"/>
      <c r="DE19" s="1321"/>
      <c r="DF19" s="1321"/>
      <c r="DG19" s="1143" t="s">
        <v>821</v>
      </c>
      <c r="DH19" s="1143">
        <v>0.01</v>
      </c>
      <c r="DI19" s="1321"/>
      <c r="DJ19" s="1321"/>
      <c r="DK19" s="1321"/>
      <c r="DL19" s="1321"/>
      <c r="DM19" s="1321"/>
      <c r="DN19" s="1185" t="s">
        <v>753</v>
      </c>
      <c r="DO19" s="1185" t="s">
        <v>674</v>
      </c>
      <c r="DP19" s="1185" t="s">
        <v>669</v>
      </c>
      <c r="DQ19" s="1185" t="s">
        <v>47</v>
      </c>
      <c r="DR19" s="1185" t="s">
        <v>48</v>
      </c>
      <c r="DS19" s="1345"/>
      <c r="DT19" s="1346"/>
      <c r="DU19" s="1346"/>
      <c r="DV19" s="1176" t="s">
        <v>1300</v>
      </c>
      <c r="DW19" s="1177" t="s">
        <v>63</v>
      </c>
      <c r="DX19" s="1177" t="s">
        <v>1254</v>
      </c>
      <c r="DY19" s="1177">
        <v>1</v>
      </c>
      <c r="DZ19" s="1177">
        <v>0.9</v>
      </c>
      <c r="EA19" s="1177">
        <v>0.8</v>
      </c>
      <c r="EB19" s="1177">
        <v>0.7</v>
      </c>
      <c r="EC19" s="1177">
        <v>0.6</v>
      </c>
      <c r="ED19" s="1198">
        <v>0.5</v>
      </c>
      <c r="EE19" s="1199">
        <v>0</v>
      </c>
      <c r="EF19" s="1321"/>
      <c r="EG19" s="1328" t="s">
        <v>894</v>
      </c>
      <c r="EH19" s="1321"/>
      <c r="EI19" s="1321"/>
      <c r="EJ19" s="1321"/>
      <c r="EK19" s="1345"/>
      <c r="EL19" s="1345"/>
      <c r="EM19" s="1321"/>
      <c r="EN19" s="1328" t="s">
        <v>896</v>
      </c>
      <c r="EO19" s="1321"/>
      <c r="EP19" s="1208">
        <v>7.3999999999999996E-2</v>
      </c>
      <c r="EQ19" s="1321"/>
      <c r="ER19" s="1345"/>
      <c r="ES19" s="1345"/>
      <c r="ET19" s="1321"/>
      <c r="EU19" s="1149" t="s">
        <v>924</v>
      </c>
      <c r="EV19" s="1149" t="s">
        <v>934</v>
      </c>
      <c r="EW19" s="1149" t="s">
        <v>937</v>
      </c>
      <c r="EX19" s="1149" t="s">
        <v>946</v>
      </c>
      <c r="EY19" s="1321"/>
      <c r="EZ19" s="1345"/>
      <c r="FA19" s="1345"/>
      <c r="FB19" s="1345"/>
      <c r="FC19" s="1321"/>
      <c r="FD19" s="1149" t="s">
        <v>971</v>
      </c>
      <c r="FE19" s="1149" t="s">
        <v>986</v>
      </c>
      <c r="FF19" s="1149" t="s">
        <v>994</v>
      </c>
      <c r="FG19" s="1149" t="s">
        <v>1010</v>
      </c>
      <c r="FH19" s="1321"/>
      <c r="FI19" s="1156">
        <v>85</v>
      </c>
      <c r="FJ19" s="1345"/>
      <c r="FK19" s="1345"/>
      <c r="FL19" s="1345"/>
      <c r="FM19" s="1321"/>
      <c r="FN19" s="1149" t="s">
        <v>1001</v>
      </c>
      <c r="FO19" s="1149" t="s">
        <v>987</v>
      </c>
      <c r="FP19" s="1149" t="s">
        <v>1004</v>
      </c>
      <c r="FQ19" s="1149" t="s">
        <v>1024</v>
      </c>
      <c r="FR19" s="1321"/>
      <c r="FS19" s="1156">
        <v>85</v>
      </c>
      <c r="FT19" s="1345"/>
      <c r="FU19" s="1345"/>
      <c r="FV19" s="1345"/>
      <c r="FW19" s="1321"/>
      <c r="FX19" s="1321"/>
      <c r="FY19" s="1321"/>
      <c r="FZ19" s="1321"/>
      <c r="GA19" s="1345"/>
      <c r="GB19" s="1321"/>
      <c r="GC19" s="1321"/>
      <c r="GD19" s="1321"/>
      <c r="GE19" s="1149" t="s">
        <v>421</v>
      </c>
      <c r="GF19" s="1321"/>
      <c r="GG19" s="1149" t="s">
        <v>228</v>
      </c>
      <c r="GH19" s="1321" t="s">
        <v>1349</v>
      </c>
      <c r="GI19" s="1321" t="s">
        <v>1349</v>
      </c>
      <c r="GJ19" s="1149" t="s">
        <v>1736</v>
      </c>
      <c r="GK19" s="1321" t="s">
        <v>1349</v>
      </c>
      <c r="GL19" s="1321" t="s">
        <v>1349</v>
      </c>
      <c r="GM19" s="1321" t="s">
        <v>1349</v>
      </c>
      <c r="GN19" s="1321" t="s">
        <v>1349</v>
      </c>
      <c r="GO19" s="1321" t="s">
        <v>1349</v>
      </c>
      <c r="GP19" s="1321" t="s">
        <v>1349</v>
      </c>
      <c r="GQ19" s="1321" t="s">
        <v>1349</v>
      </c>
      <c r="GR19" s="1149" t="s">
        <v>632</v>
      </c>
      <c r="GS19" s="1321" t="s">
        <v>1349</v>
      </c>
      <c r="GT19" s="1321" t="s">
        <v>1349</v>
      </c>
      <c r="GU19" s="1321" t="s">
        <v>1349</v>
      </c>
      <c r="GV19" s="1321" t="s">
        <v>1349</v>
      </c>
      <c r="GW19" s="1321"/>
      <c r="GX19" s="1321"/>
      <c r="GY19" s="1082" t="str">
        <f t="shared" si="5"/>
        <v>balles de paille 300kg MoQ</v>
      </c>
      <c r="GZ19" s="1082"/>
      <c r="HA19" s="1085">
        <f t="shared" si="6"/>
        <v>0</v>
      </c>
      <c r="HB19" s="1085">
        <f>IF(COUNTIF(TypeArticleDansEntrepôt,GY19)=0,0,SUMIF(TypeArticleDansEntrepôt,GY19,QtéArticleDansEntrepôt)*VLOOKUP(GY19,place_necessaire_entrepots_aire_paille[],2,FALSE))</f>
        <v>0</v>
      </c>
      <c r="HC19" s="1321"/>
      <c r="HD19" s="1321"/>
      <c r="HE19" s="1321"/>
      <c r="HF19" s="1321"/>
      <c r="HG19" s="1149" t="str">
        <f t="shared" si="3"/>
        <v>Pays de Loire</v>
      </c>
      <c r="HH19" s="1321"/>
      <c r="HI19" s="1321"/>
      <c r="HJ19" s="1321"/>
      <c r="HK19" s="1143" t="s">
        <v>1548</v>
      </c>
      <c r="HL19" s="1152">
        <v>0</v>
      </c>
      <c r="HM19" s="1321"/>
      <c r="HN19" s="1149" t="str">
        <f>parcelles!L53</f>
        <v>ERREUR</v>
      </c>
      <c r="HO19" s="1165">
        <v>4</v>
      </c>
      <c r="HP19" s="1166">
        <v>0.8928571428571429</v>
      </c>
      <c r="HQ19" s="1166">
        <v>0.75</v>
      </c>
      <c r="HR19" s="1166">
        <v>0.66666666666666663</v>
      </c>
      <c r="HS19" s="1166">
        <v>0.88505747126436785</v>
      </c>
      <c r="HT19" s="1166">
        <v>0.69230769230769229</v>
      </c>
      <c r="HU19" s="1166">
        <v>0.85507246376811596</v>
      </c>
      <c r="HV19" s="1321"/>
      <c r="HW19" s="1321"/>
      <c r="HX19" s="1321"/>
      <c r="HY19" s="1321"/>
      <c r="HZ19" s="1321"/>
      <c r="IA19" s="1321"/>
      <c r="IB19" s="1321"/>
      <c r="IC19" s="1321"/>
      <c r="ID19" s="1321"/>
      <c r="IE19" s="1321"/>
      <c r="IF19" s="1321"/>
      <c r="IG19" s="1321"/>
      <c r="IH19" s="1321"/>
      <c r="II19" s="1321"/>
      <c r="IJ19" s="1321"/>
      <c r="IK19" s="1321"/>
      <c r="IL19" s="1321"/>
      <c r="IM19" s="1321"/>
      <c r="IN19" s="1368"/>
    </row>
    <row r="20" spans="1:248" ht="12.75" customHeight="1" x14ac:dyDescent="0.2">
      <c r="A20" s="1307" t="s">
        <v>1082</v>
      </c>
      <c r="B20" s="1177" t="s">
        <v>354</v>
      </c>
      <c r="C20" s="1177">
        <v>60</v>
      </c>
      <c r="D20" s="1178">
        <v>0.3</v>
      </c>
      <c r="E20" s="1327"/>
      <c r="F20" s="1179" t="s">
        <v>712</v>
      </c>
      <c r="G20" s="1209">
        <v>9</v>
      </c>
      <c r="H20" s="1321"/>
      <c r="I20" s="1321"/>
      <c r="J20" s="1327" t="s">
        <v>1140</v>
      </c>
      <c r="K20" s="1321"/>
      <c r="L20" s="1321"/>
      <c r="M20" s="1076" t="s">
        <v>392</v>
      </c>
      <c r="N20" s="1321"/>
      <c r="O20" s="1149" t="s">
        <v>1117</v>
      </c>
      <c r="P20" s="1149">
        <v>2.7</v>
      </c>
      <c r="Q20" s="1149">
        <v>3.1</v>
      </c>
      <c r="R20" s="1149">
        <v>3.3</v>
      </c>
      <c r="S20" s="1149">
        <v>3.2</v>
      </c>
      <c r="T20" s="1149">
        <v>3.3</v>
      </c>
      <c r="U20" s="1149">
        <v>3.1</v>
      </c>
      <c r="V20" s="1149">
        <v>2.2999999999999998</v>
      </c>
      <c r="W20" s="1149">
        <v>4.8</v>
      </c>
      <c r="X20" s="1149">
        <v>12.2</v>
      </c>
      <c r="Y20" s="1149">
        <v>0</v>
      </c>
      <c r="Z20" s="1149">
        <v>1.9</v>
      </c>
      <c r="AA20" s="1149">
        <v>1.5</v>
      </c>
      <c r="AB20" s="1149">
        <v>2.2999999999999998</v>
      </c>
      <c r="AC20" s="1149">
        <v>2</v>
      </c>
      <c r="AD20" s="1149">
        <v>0</v>
      </c>
      <c r="AE20" s="1149">
        <v>1.4</v>
      </c>
      <c r="AF20" s="1149">
        <v>29</v>
      </c>
      <c r="AG20" s="1149">
        <v>0.8</v>
      </c>
      <c r="AH20" s="1149">
        <v>7</v>
      </c>
      <c r="AI20" s="1149">
        <v>0</v>
      </c>
      <c r="AJ20" s="1149">
        <v>0</v>
      </c>
      <c r="AK20" s="1149">
        <v>1.8</v>
      </c>
      <c r="AL20" s="1149">
        <v>0</v>
      </c>
      <c r="AM20" s="1149">
        <v>0</v>
      </c>
      <c r="AN20" s="1149">
        <v>0</v>
      </c>
      <c r="AO20" s="1149">
        <v>0</v>
      </c>
      <c r="AP20" s="1149">
        <v>0</v>
      </c>
      <c r="AQ20" s="1149">
        <v>0</v>
      </c>
      <c r="AR20" s="1149">
        <v>0</v>
      </c>
      <c r="AS20" s="1149">
        <v>0</v>
      </c>
      <c r="AT20" s="1149">
        <v>0</v>
      </c>
      <c r="AU20" s="1149">
        <v>0</v>
      </c>
      <c r="AV20" s="1149">
        <v>0</v>
      </c>
      <c r="AW20" s="1149">
        <v>8.5</v>
      </c>
      <c r="AX20" s="1149">
        <v>10</v>
      </c>
      <c r="AY20" s="1149">
        <v>10</v>
      </c>
      <c r="AZ20" s="1321"/>
      <c r="BA20" s="1321"/>
      <c r="BB20" s="1321"/>
      <c r="BC20" s="1149" t="s">
        <v>139</v>
      </c>
      <c r="BD20" s="1149">
        <v>44</v>
      </c>
      <c r="BE20" s="1149">
        <v>850</v>
      </c>
      <c r="BF20" s="1149">
        <v>12</v>
      </c>
      <c r="BG20" s="1321"/>
      <c r="BH20" s="1321"/>
      <c r="BI20" s="1321"/>
      <c r="BJ20" s="1321"/>
      <c r="BK20" s="1345"/>
      <c r="BL20" s="1345"/>
      <c r="BM20" s="1189" t="s">
        <v>1134</v>
      </c>
      <c r="BN20" s="1177" t="s">
        <v>1271</v>
      </c>
      <c r="BO20" s="1177" t="s">
        <v>1252</v>
      </c>
      <c r="BP20" s="1177">
        <v>1</v>
      </c>
      <c r="BQ20" s="1177">
        <v>0.8</v>
      </c>
      <c r="BR20" s="1177">
        <v>0.6</v>
      </c>
      <c r="BS20" s="1177">
        <v>0.5</v>
      </c>
      <c r="BT20" s="1177">
        <v>0.4</v>
      </c>
      <c r="BU20" s="1177">
        <v>0.2</v>
      </c>
      <c r="BV20" s="1191">
        <v>0</v>
      </c>
      <c r="BW20" s="1345"/>
      <c r="BX20" s="1321"/>
      <c r="BY20" s="1149" t="s">
        <v>759</v>
      </c>
      <c r="BZ20" s="1149">
        <v>52</v>
      </c>
      <c r="CA20" s="1321"/>
      <c r="CB20" s="1149" t="s">
        <v>729</v>
      </c>
      <c r="CC20" s="1321"/>
      <c r="CD20" s="1345"/>
      <c r="CE20" s="1345"/>
      <c r="CF20" s="1345"/>
      <c r="CG20" s="1345"/>
      <c r="CH20" s="1345"/>
      <c r="CI20" s="1321"/>
      <c r="CJ20" s="1176" t="s">
        <v>782</v>
      </c>
      <c r="CK20" s="1178">
        <v>5</v>
      </c>
      <c r="CL20" s="1321"/>
      <c r="CM20" s="1176" t="s">
        <v>782</v>
      </c>
      <c r="CN20" s="1178">
        <v>30</v>
      </c>
      <c r="CO20" s="1321"/>
      <c r="CP20" s="1321"/>
      <c r="CQ20" s="1321"/>
      <c r="CR20" s="1321"/>
      <c r="CS20" s="1321"/>
      <c r="CT20" s="1321"/>
      <c r="CU20" s="1321"/>
      <c r="CV20" s="1321"/>
      <c r="CW20" s="1321"/>
      <c r="CX20" s="1321"/>
      <c r="CY20" s="1321"/>
      <c r="CZ20" s="1143" t="s">
        <v>806</v>
      </c>
      <c r="DA20" s="1321"/>
      <c r="DB20" s="1143" t="s">
        <v>815</v>
      </c>
      <c r="DC20" s="1143">
        <v>0.1</v>
      </c>
      <c r="DD20" s="1321"/>
      <c r="DE20" s="1321"/>
      <c r="DF20" s="1321"/>
      <c r="DG20" s="1321"/>
      <c r="DH20" s="1321"/>
      <c r="DI20" s="1321"/>
      <c r="DJ20" s="1321"/>
      <c r="DK20" s="1321"/>
      <c r="DL20" s="1321"/>
      <c r="DM20" s="1321"/>
      <c r="DN20" s="1210" t="s">
        <v>359</v>
      </c>
      <c r="DO20" s="1211">
        <v>4</v>
      </c>
      <c r="DP20" s="1211">
        <v>75</v>
      </c>
      <c r="DQ20" s="1211">
        <v>3</v>
      </c>
      <c r="DR20" s="1211">
        <v>0</v>
      </c>
      <c r="DS20" s="1345"/>
      <c r="DT20" s="1346"/>
      <c r="DU20" s="1346"/>
      <c r="DV20" s="1176" t="s">
        <v>1300</v>
      </c>
      <c r="DW20" s="1177" t="s">
        <v>1271</v>
      </c>
      <c r="DX20" s="1177" t="s">
        <v>1252</v>
      </c>
      <c r="DY20" s="1177">
        <v>0.25</v>
      </c>
      <c r="DZ20" s="1177">
        <v>0.23</v>
      </c>
      <c r="EA20" s="1177">
        <v>0.2</v>
      </c>
      <c r="EB20" s="1177">
        <v>0.18</v>
      </c>
      <c r="EC20" s="1177">
        <v>0.15</v>
      </c>
      <c r="ED20" s="1198">
        <v>0.13</v>
      </c>
      <c r="EE20" s="1199">
        <v>0</v>
      </c>
      <c r="EF20" s="1321"/>
      <c r="EG20" s="1328" t="s">
        <v>895</v>
      </c>
      <c r="EH20" s="1321"/>
      <c r="EI20" s="1321"/>
      <c r="EJ20" s="1321"/>
      <c r="EK20" s="1345"/>
      <c r="EL20" s="1345"/>
      <c r="EM20" s="1321"/>
      <c r="EN20" s="1321"/>
      <c r="EO20" s="1321"/>
      <c r="EP20" s="1321"/>
      <c r="EQ20" s="1321"/>
      <c r="ER20" s="1345"/>
      <c r="ES20" s="1345"/>
      <c r="ET20" s="1321"/>
      <c r="EU20" s="1143" t="s">
        <v>925</v>
      </c>
      <c r="EV20" s="1143" t="s">
        <v>934</v>
      </c>
      <c r="EW20" s="1143" t="s">
        <v>941</v>
      </c>
      <c r="EX20" s="1143" t="s">
        <v>952</v>
      </c>
      <c r="EY20" s="1321"/>
      <c r="EZ20" s="1345"/>
      <c r="FA20" s="1345"/>
      <c r="FB20" s="1345"/>
      <c r="FC20" s="1321"/>
      <c r="FD20" s="1143" t="s">
        <v>972</v>
      </c>
      <c r="FE20" s="1143" t="s">
        <v>986</v>
      </c>
      <c r="FF20" s="1143" t="s">
        <v>943</v>
      </c>
      <c r="FG20" s="1143" t="s">
        <v>1012</v>
      </c>
      <c r="FH20" s="1321"/>
      <c r="FI20" s="1345"/>
      <c r="FJ20" s="1345"/>
      <c r="FK20" s="1345"/>
      <c r="FL20" s="1345"/>
      <c r="FM20" s="1321"/>
      <c r="FN20" s="1143" t="s">
        <v>1002</v>
      </c>
      <c r="FO20" s="1143" t="s">
        <v>987</v>
      </c>
      <c r="FP20" s="1143" t="s">
        <v>1005</v>
      </c>
      <c r="FQ20" s="1143" t="s">
        <v>1023</v>
      </c>
      <c r="FR20" s="1321"/>
      <c r="FS20" s="1345"/>
      <c r="FT20" s="1345"/>
      <c r="FU20" s="1345"/>
      <c r="FV20" s="1345"/>
      <c r="FW20" s="1321"/>
      <c r="FX20" s="1321"/>
      <c r="FY20" s="1321"/>
      <c r="FZ20" s="1321"/>
      <c r="GA20" s="1345"/>
      <c r="GB20" s="1321"/>
      <c r="GC20" s="1321"/>
      <c r="GD20" s="1321"/>
      <c r="GE20" s="1143" t="s">
        <v>417</v>
      </c>
      <c r="GF20" s="1321"/>
      <c r="GG20" s="1143" t="s">
        <v>317</v>
      </c>
      <c r="GH20" s="1321" t="s">
        <v>1349</v>
      </c>
      <c r="GI20" s="1321" t="s">
        <v>1349</v>
      </c>
      <c r="GJ20" s="1143" t="s">
        <v>1738</v>
      </c>
      <c r="GK20" s="1321" t="s">
        <v>1349</v>
      </c>
      <c r="GL20" s="1321" t="s">
        <v>1349</v>
      </c>
      <c r="GM20" s="1321" t="s">
        <v>1349</v>
      </c>
      <c r="GN20" s="1321" t="s">
        <v>1349</v>
      </c>
      <c r="GO20" s="1321" t="s">
        <v>1349</v>
      </c>
      <c r="GP20" s="1321" t="s">
        <v>1349</v>
      </c>
      <c r="GQ20" s="1321" t="s">
        <v>1349</v>
      </c>
      <c r="GR20" s="1143" t="s">
        <v>633</v>
      </c>
      <c r="GS20" s="1321" t="s">
        <v>1349</v>
      </c>
      <c r="GT20" s="1321" t="s">
        <v>1349</v>
      </c>
      <c r="GU20" s="1321" t="s">
        <v>1349</v>
      </c>
      <c r="GV20" s="1321" t="s">
        <v>1349</v>
      </c>
      <c r="GW20" s="1321"/>
      <c r="GX20" s="1321"/>
      <c r="GY20" s="1083" t="str">
        <f t="shared" si="5"/>
        <v>balles de paille 500kg MoQ</v>
      </c>
      <c r="GZ20" s="1083"/>
      <c r="HA20" s="1084">
        <f t="shared" si="6"/>
        <v>0</v>
      </c>
      <c r="HB20" s="1084">
        <f>IF(COUNTIF(TypeArticleDansEntrepôt,GY20)=0,0,SUMIF(TypeArticleDansEntrepôt,GY20,QtéArticleDansEntrepôt)*VLOOKUP(GY20,place_necessaire_entrepots_aire_paille[],2,FALSE))</f>
        <v>0</v>
      </c>
      <c r="HC20" s="1321"/>
      <c r="HD20" s="1321"/>
      <c r="HE20" s="1321"/>
      <c r="HF20" s="1321"/>
      <c r="HG20" s="1143" t="str">
        <f t="shared" si="3"/>
        <v>Picardie</v>
      </c>
      <c r="HH20" s="1321"/>
      <c r="HI20" s="1321"/>
      <c r="HJ20" s="1321"/>
      <c r="HK20" s="1149" t="s">
        <v>1507</v>
      </c>
      <c r="HL20" s="1159">
        <v>105</v>
      </c>
      <c r="HM20" s="1321"/>
      <c r="HN20" s="1162" t="s">
        <v>76</v>
      </c>
      <c r="HO20" s="1160">
        <v>150</v>
      </c>
      <c r="HP20" s="1175">
        <v>0.66666666666666663</v>
      </c>
      <c r="HQ20" s="1175">
        <f>0.5/1.5</f>
        <v>0.33333333333333331</v>
      </c>
      <c r="HR20" s="1175">
        <v>0.33333333333333331</v>
      </c>
      <c r="HS20" s="1175">
        <v>0.55555555555555558</v>
      </c>
      <c r="HT20" s="1175">
        <v>0.5</v>
      </c>
      <c r="HU20" s="1175">
        <v>0.66666666666666663</v>
      </c>
      <c r="HV20" s="1321"/>
      <c r="HW20" s="1321"/>
      <c r="HX20" s="1321"/>
      <c r="HY20" s="1321"/>
      <c r="HZ20" s="1321"/>
      <c r="IA20" s="1321"/>
      <c r="IB20" s="1321"/>
      <c r="IC20" s="1321"/>
      <c r="ID20" s="1321"/>
      <c r="IE20" s="1321"/>
      <c r="IF20" s="1321"/>
      <c r="IG20" s="1321"/>
      <c r="IH20" s="1321"/>
      <c r="II20" s="1321"/>
      <c r="IJ20" s="1321"/>
      <c r="IK20" s="1321"/>
      <c r="IL20" s="1321"/>
      <c r="IM20" s="1321"/>
      <c r="IN20" s="1368"/>
    </row>
    <row r="21" spans="1:248" ht="12.75" customHeight="1" x14ac:dyDescent="0.2">
      <c r="A21" s="1307" t="s">
        <v>685</v>
      </c>
      <c r="B21" s="1177" t="s">
        <v>354</v>
      </c>
      <c r="C21" s="1177">
        <v>40</v>
      </c>
      <c r="D21" s="1178">
        <v>0.15</v>
      </c>
      <c r="E21" s="1327"/>
      <c r="F21" s="1212" t="s">
        <v>713</v>
      </c>
      <c r="G21" s="1213">
        <v>1.6</v>
      </c>
      <c r="H21" s="1321"/>
      <c r="I21" s="1321"/>
      <c r="J21" s="1321" t="s">
        <v>1141</v>
      </c>
      <c r="K21" s="1321"/>
      <c r="L21" s="1321"/>
      <c r="M21" s="1075" t="s">
        <v>393</v>
      </c>
      <c r="N21" s="1321"/>
      <c r="O21" s="1143" t="s">
        <v>404</v>
      </c>
      <c r="P21" s="1143">
        <v>3.3</v>
      </c>
      <c r="Q21" s="1143">
        <v>3.6</v>
      </c>
      <c r="R21" s="1143">
        <v>3.3</v>
      </c>
      <c r="S21" s="1143">
        <v>3.1</v>
      </c>
      <c r="T21" s="1143">
        <v>3.4</v>
      </c>
      <c r="U21" s="1143">
        <v>3.6</v>
      </c>
      <c r="V21" s="1143">
        <v>2.8</v>
      </c>
      <c r="W21" s="1143">
        <v>4.3</v>
      </c>
      <c r="X21" s="1143">
        <v>13.5</v>
      </c>
      <c r="Y21" s="1143">
        <v>55</v>
      </c>
      <c r="Z21" s="1143">
        <v>2.2000000000000002</v>
      </c>
      <c r="AA21" s="1143">
        <v>1.2</v>
      </c>
      <c r="AB21" s="1143">
        <v>2.7</v>
      </c>
      <c r="AC21" s="1143">
        <v>2</v>
      </c>
      <c r="AD21" s="1143">
        <v>0</v>
      </c>
      <c r="AE21" s="1143">
        <v>1.8</v>
      </c>
      <c r="AF21" s="1143">
        <v>40</v>
      </c>
      <c r="AG21" s="1143">
        <v>0.8</v>
      </c>
      <c r="AH21" s="1143">
        <v>7</v>
      </c>
      <c r="AI21" s="1143">
        <v>0</v>
      </c>
      <c r="AJ21" s="1143">
        <v>12</v>
      </c>
      <c r="AK21" s="1143">
        <v>1.9</v>
      </c>
      <c r="AL21" s="1143">
        <v>0</v>
      </c>
      <c r="AM21" s="1143">
        <v>0</v>
      </c>
      <c r="AN21" s="1143">
        <v>0</v>
      </c>
      <c r="AO21" s="1143">
        <v>0</v>
      </c>
      <c r="AP21" s="1143">
        <v>0</v>
      </c>
      <c r="AQ21" s="1143">
        <v>0</v>
      </c>
      <c r="AR21" s="1143">
        <v>0</v>
      </c>
      <c r="AS21" s="1143">
        <v>0</v>
      </c>
      <c r="AT21" s="1143">
        <v>0</v>
      </c>
      <c r="AU21" s="1143">
        <v>0</v>
      </c>
      <c r="AV21" s="1143">
        <v>0</v>
      </c>
      <c r="AW21" s="1143">
        <v>8.5</v>
      </c>
      <c r="AX21" s="1143">
        <v>10</v>
      </c>
      <c r="AY21" s="1143">
        <v>10</v>
      </c>
      <c r="AZ21" s="1321"/>
      <c r="BA21" s="1321"/>
      <c r="BB21" s="1321"/>
      <c r="BC21" s="1143" t="s">
        <v>142</v>
      </c>
      <c r="BD21" s="1143">
        <v>38</v>
      </c>
      <c r="BE21" s="1143">
        <v>670</v>
      </c>
      <c r="BF21" s="1143">
        <v>12</v>
      </c>
      <c r="BG21" s="1321"/>
      <c r="BH21" s="1139" t="s">
        <v>1362</v>
      </c>
      <c r="BI21" s="1321"/>
      <c r="BJ21" s="1321"/>
      <c r="BK21" s="1345"/>
      <c r="BL21" s="1345"/>
      <c r="BM21" s="1189" t="s">
        <v>1134</v>
      </c>
      <c r="BN21" s="1177" t="s">
        <v>733</v>
      </c>
      <c r="BO21" s="1177" t="s">
        <v>1252</v>
      </c>
      <c r="BP21" s="1177">
        <v>100</v>
      </c>
      <c r="BQ21" s="1177">
        <v>60</v>
      </c>
      <c r="BR21" s="1177">
        <v>48</v>
      </c>
      <c r="BS21" s="1177">
        <v>40</v>
      </c>
      <c r="BT21" s="1177">
        <v>32</v>
      </c>
      <c r="BU21" s="1177">
        <v>20</v>
      </c>
      <c r="BV21" s="1191">
        <v>8</v>
      </c>
      <c r="BW21" s="1345"/>
      <c r="BX21" s="1321"/>
      <c r="BY21" s="1143" t="s">
        <v>760</v>
      </c>
      <c r="BZ21" s="1143">
        <v>40</v>
      </c>
      <c r="CA21" s="1321"/>
      <c r="CB21" s="1143" t="s">
        <v>764</v>
      </c>
      <c r="CC21" s="1321"/>
      <c r="CD21" s="1345"/>
      <c r="CE21" s="1345"/>
      <c r="CF21" s="1345"/>
      <c r="CG21" s="1345"/>
      <c r="CH21" s="1345"/>
      <c r="CI21" s="1321"/>
      <c r="CJ21" s="1200" t="s">
        <v>783</v>
      </c>
      <c r="CK21" s="1202">
        <v>5</v>
      </c>
      <c r="CL21" s="1321"/>
      <c r="CM21" s="1200" t="s">
        <v>783</v>
      </c>
      <c r="CN21" s="1202">
        <v>5</v>
      </c>
      <c r="CO21" s="1321"/>
      <c r="CP21" s="1321"/>
      <c r="CQ21" s="1321"/>
      <c r="CR21" s="1321"/>
      <c r="CS21" s="1328" t="s">
        <v>1288</v>
      </c>
      <c r="CT21" s="1321"/>
      <c r="CU21" s="1321"/>
      <c r="CV21" s="1328" t="s">
        <v>766</v>
      </c>
      <c r="CW21" s="1321"/>
      <c r="CX21" s="1321"/>
      <c r="CY21" s="1321"/>
      <c r="CZ21" s="1149" t="s">
        <v>807</v>
      </c>
      <c r="DA21" s="1321"/>
      <c r="DB21" s="1321"/>
      <c r="DC21" s="1321"/>
      <c r="DD21" s="1321"/>
      <c r="DE21" s="1321"/>
      <c r="DF21" s="1321"/>
      <c r="DG21" s="1328" t="s">
        <v>810</v>
      </c>
      <c r="DH21" s="1321"/>
      <c r="DI21" s="1321"/>
      <c r="DJ21" s="1321"/>
      <c r="DK21" s="1321"/>
      <c r="DL21" s="1321"/>
      <c r="DM21" s="1321"/>
      <c r="DN21" s="1214" t="s">
        <v>570</v>
      </c>
      <c r="DO21" s="1215">
        <v>4</v>
      </c>
      <c r="DP21" s="1215">
        <v>50</v>
      </c>
      <c r="DQ21" s="1215">
        <v>1.5</v>
      </c>
      <c r="DR21" s="1215">
        <v>2</v>
      </c>
      <c r="DS21" s="1345"/>
      <c r="DT21" s="1346"/>
      <c r="DU21" s="1346"/>
      <c r="DV21" s="1176" t="s">
        <v>1300</v>
      </c>
      <c r="DW21" s="1177" t="s">
        <v>733</v>
      </c>
      <c r="DX21" s="1177" t="s">
        <v>1252</v>
      </c>
      <c r="DY21" s="1177">
        <v>20</v>
      </c>
      <c r="DZ21" s="1177">
        <v>18</v>
      </c>
      <c r="EA21" s="1177">
        <v>16</v>
      </c>
      <c r="EB21" s="1177">
        <v>14</v>
      </c>
      <c r="EC21" s="1177">
        <v>12</v>
      </c>
      <c r="ED21" s="1198">
        <v>10</v>
      </c>
      <c r="EE21" s="1199">
        <v>8</v>
      </c>
      <c r="EF21" s="1321"/>
      <c r="EG21" s="1328" t="s">
        <v>896</v>
      </c>
      <c r="EH21" s="1321"/>
      <c r="EI21" s="1321"/>
      <c r="EJ21" s="1321"/>
      <c r="EK21" s="1345"/>
      <c r="EL21" s="1345"/>
      <c r="EM21" s="1321"/>
      <c r="EN21" s="1328" t="s">
        <v>734</v>
      </c>
      <c r="EO21" s="1321"/>
      <c r="EP21" s="1321"/>
      <c r="EQ21" s="1328" t="s">
        <v>809</v>
      </c>
      <c r="ER21" s="1321"/>
      <c r="ES21" s="1345"/>
      <c r="ET21" s="1321"/>
      <c r="EU21" s="1149" t="s">
        <v>926</v>
      </c>
      <c r="EV21" s="1149" t="s">
        <v>934</v>
      </c>
      <c r="EW21" s="1149" t="s">
        <v>936</v>
      </c>
      <c r="EX21" s="1149" t="s">
        <v>953</v>
      </c>
      <c r="EY21" s="1321"/>
      <c r="EZ21" s="1345"/>
      <c r="FA21" s="1345"/>
      <c r="FB21" s="1345"/>
      <c r="FC21" s="1321"/>
      <c r="FD21" s="1149" t="s">
        <v>973</v>
      </c>
      <c r="FE21" s="1149" t="s">
        <v>986</v>
      </c>
      <c r="FF21" s="1149" t="s">
        <v>990</v>
      </c>
      <c r="FG21" s="1149" t="s">
        <v>1013</v>
      </c>
      <c r="FH21" s="1321"/>
      <c r="FI21" s="1345"/>
      <c r="FJ21" s="1345"/>
      <c r="FK21" s="1345"/>
      <c r="FL21" s="1345"/>
      <c r="FM21" s="1321"/>
      <c r="FN21" s="1321"/>
      <c r="FO21" s="1321"/>
      <c r="FP21" s="1321"/>
      <c r="FQ21" s="1321"/>
      <c r="FR21" s="1321"/>
      <c r="FS21" s="1345"/>
      <c r="FT21" s="1345"/>
      <c r="FU21" s="1345"/>
      <c r="FV21" s="1345"/>
      <c r="FW21" s="1187" t="s">
        <v>1232</v>
      </c>
      <c r="FX21" s="1171" t="s">
        <v>1250</v>
      </c>
      <c r="FY21" s="1168" t="s">
        <v>1251</v>
      </c>
      <c r="FZ21" s="1168" t="s">
        <v>1295</v>
      </c>
      <c r="GA21" s="1171" t="s">
        <v>1312</v>
      </c>
      <c r="GB21" s="1171" t="s">
        <v>1311</v>
      </c>
      <c r="GC21" s="1172" t="s">
        <v>1284</v>
      </c>
      <c r="GD21" s="1321"/>
      <c r="GE21" s="1149" t="s">
        <v>420</v>
      </c>
      <c r="GF21" s="1321"/>
      <c r="GG21" s="1149" t="s">
        <v>62</v>
      </c>
      <c r="GH21" s="1321" t="s">
        <v>1349</v>
      </c>
      <c r="GI21" s="1321" t="s">
        <v>1349</v>
      </c>
      <c r="GJ21" s="1149" t="s">
        <v>1737</v>
      </c>
      <c r="GK21" s="1321" t="s">
        <v>1349</v>
      </c>
      <c r="GL21" s="1321" t="s">
        <v>1349</v>
      </c>
      <c r="GM21" s="1321" t="s">
        <v>1349</v>
      </c>
      <c r="GN21" s="1321" t="s">
        <v>1349</v>
      </c>
      <c r="GO21" s="1321" t="s">
        <v>1349</v>
      </c>
      <c r="GP21" s="1321" t="s">
        <v>1349</v>
      </c>
      <c r="GQ21" s="1321" t="s">
        <v>1349</v>
      </c>
      <c r="GR21" s="1321" t="s">
        <v>1349</v>
      </c>
      <c r="GS21" s="1321" t="s">
        <v>1349</v>
      </c>
      <c r="GT21" s="1321" t="s">
        <v>1349</v>
      </c>
      <c r="GU21" s="1321" t="s">
        <v>1349</v>
      </c>
      <c r="GV21" s="1321" t="s">
        <v>1349</v>
      </c>
      <c r="GW21" s="1321"/>
      <c r="GX21" s="1321"/>
      <c r="GY21" s="1082" t="str">
        <f t="shared" si="5"/>
        <v>balles de paille 250kg MaQ</v>
      </c>
      <c r="GZ21" s="1082"/>
      <c r="HA21" s="1085">
        <f t="shared" si="6"/>
        <v>0</v>
      </c>
      <c r="HB21" s="1085">
        <f>IF(COUNTIF(TypeArticleDansEntrepôt,GY21)=0,0,SUMIF(TypeArticleDansEntrepôt,GY21,QtéArticleDansEntrepôt)*VLOOKUP(GY21,place_necessaire_entrepots_aire_paille[],2,FALSE))</f>
        <v>0</v>
      </c>
      <c r="HC21" s="1321"/>
      <c r="HD21" s="1321"/>
      <c r="HE21" s="1321"/>
      <c r="HF21" s="1321"/>
      <c r="HG21" s="1149" t="str">
        <f t="shared" si="3"/>
        <v>Poitou-Charentes</v>
      </c>
      <c r="HH21" s="1321"/>
      <c r="HI21" s="1321"/>
      <c r="HJ21" s="1321"/>
      <c r="HK21" s="1143" t="s">
        <v>498</v>
      </c>
      <c r="HL21" s="1152">
        <v>105</v>
      </c>
      <c r="HM21" s="1321"/>
      <c r="HN21" s="1149" t="s">
        <v>500</v>
      </c>
      <c r="HO21" s="1165">
        <v>150</v>
      </c>
      <c r="HP21" s="1166">
        <v>0.66666666666666663</v>
      </c>
      <c r="HQ21" s="1166">
        <f>0.5/1.5</f>
        <v>0.33333333333333331</v>
      </c>
      <c r="HR21" s="1166">
        <v>0.33333333333333331</v>
      </c>
      <c r="HS21" s="1166">
        <v>0.55555555555555558</v>
      </c>
      <c r="HT21" s="1166">
        <v>0.5</v>
      </c>
      <c r="HU21" s="1166">
        <v>0.66666666666666663</v>
      </c>
      <c r="HV21" s="1321"/>
      <c r="HW21" s="1321"/>
      <c r="HX21" s="1321"/>
      <c r="HY21" s="1321"/>
      <c r="HZ21" s="1321"/>
      <c r="IA21" s="1321"/>
      <c r="IB21" s="1321"/>
      <c r="IC21" s="1321"/>
      <c r="ID21" s="1321"/>
      <c r="IE21" s="1321"/>
      <c r="IF21" s="1321"/>
      <c r="IG21" s="1321"/>
      <c r="IH21" s="1321"/>
      <c r="II21" s="1321"/>
      <c r="IJ21" s="1321"/>
      <c r="IK21" s="1321"/>
      <c r="IL21" s="1321"/>
      <c r="IM21" s="1321"/>
      <c r="IN21" s="1368"/>
    </row>
    <row r="22" spans="1:248" ht="12.75" customHeight="1" x14ac:dyDescent="0.2">
      <c r="A22" s="1307" t="s">
        <v>680</v>
      </c>
      <c r="B22" s="1177" t="s">
        <v>354</v>
      </c>
      <c r="C22" s="1177">
        <v>10</v>
      </c>
      <c r="D22" s="1178">
        <v>10</v>
      </c>
      <c r="E22" s="1327"/>
      <c r="F22" s="1321"/>
      <c r="G22" s="1321"/>
      <c r="H22" s="1321"/>
      <c r="I22" s="1321"/>
      <c r="J22" s="1146" t="s">
        <v>1142</v>
      </c>
      <c r="K22" s="1216" t="s">
        <v>1752</v>
      </c>
      <c r="L22" s="1321"/>
      <c r="M22" s="1076" t="s">
        <v>117</v>
      </c>
      <c r="N22" s="1321"/>
      <c r="O22" s="1149" t="s">
        <v>1118</v>
      </c>
      <c r="P22" s="1149">
        <v>3.3</v>
      </c>
      <c r="Q22" s="1149">
        <v>3</v>
      </c>
      <c r="R22" s="1149">
        <v>3.2</v>
      </c>
      <c r="S22" s="1149">
        <v>2.9</v>
      </c>
      <c r="T22" s="1149">
        <v>3.1</v>
      </c>
      <c r="U22" s="1149">
        <v>3</v>
      </c>
      <c r="V22" s="1149">
        <v>0</v>
      </c>
      <c r="W22" s="1149">
        <v>4.5</v>
      </c>
      <c r="X22" s="1149">
        <v>12</v>
      </c>
      <c r="Y22" s="1149">
        <v>0</v>
      </c>
      <c r="Z22" s="1149">
        <v>1.8</v>
      </c>
      <c r="AA22" s="1149">
        <v>0</v>
      </c>
      <c r="AB22" s="1149">
        <v>2.9</v>
      </c>
      <c r="AC22" s="1149">
        <v>0</v>
      </c>
      <c r="AD22" s="1149">
        <v>0</v>
      </c>
      <c r="AE22" s="1149">
        <v>0</v>
      </c>
      <c r="AF22" s="1149">
        <v>31</v>
      </c>
      <c r="AG22" s="1149">
        <v>0.8</v>
      </c>
      <c r="AH22" s="1149">
        <v>7</v>
      </c>
      <c r="AI22" s="1149">
        <v>12</v>
      </c>
      <c r="AJ22" s="1149">
        <v>10</v>
      </c>
      <c r="AK22" s="1149">
        <v>1.3</v>
      </c>
      <c r="AL22" s="1149">
        <v>0</v>
      </c>
      <c r="AM22" s="1149">
        <v>0</v>
      </c>
      <c r="AN22" s="1149">
        <v>0</v>
      </c>
      <c r="AO22" s="1149">
        <v>21.5</v>
      </c>
      <c r="AP22" s="1149">
        <v>13</v>
      </c>
      <c r="AQ22" s="1149">
        <v>0</v>
      </c>
      <c r="AR22" s="1149">
        <v>10</v>
      </c>
      <c r="AS22" s="1149">
        <v>8</v>
      </c>
      <c r="AT22" s="1149">
        <v>0</v>
      </c>
      <c r="AU22" s="1149">
        <v>3</v>
      </c>
      <c r="AV22" s="1149">
        <v>0</v>
      </c>
      <c r="AW22" s="1149">
        <v>8.5</v>
      </c>
      <c r="AX22" s="1149">
        <v>10</v>
      </c>
      <c r="AY22" s="1149">
        <v>10</v>
      </c>
      <c r="AZ22" s="1321"/>
      <c r="BA22" s="1321"/>
      <c r="BB22" s="1321"/>
      <c r="BC22" s="1149" t="s">
        <v>143</v>
      </c>
      <c r="BD22" s="1149">
        <v>45</v>
      </c>
      <c r="BE22" s="1149">
        <v>800</v>
      </c>
      <c r="BF22" s="1149">
        <v>10</v>
      </c>
      <c r="BG22" s="1321"/>
      <c r="BH22" s="1143">
        <v>10</v>
      </c>
      <c r="BI22" s="1321"/>
      <c r="BJ22" s="1321"/>
      <c r="BK22" s="1345"/>
      <c r="BL22" s="1345"/>
      <c r="BM22" s="1189"/>
      <c r="BN22" s="1177"/>
      <c r="BO22" s="1177"/>
      <c r="BP22" s="1177"/>
      <c r="BQ22" s="1177"/>
      <c r="BR22" s="1177"/>
      <c r="BS22" s="1177"/>
      <c r="BT22" s="1177"/>
      <c r="BU22" s="1177"/>
      <c r="BV22" s="1191"/>
      <c r="BW22" s="1345"/>
      <c r="BX22" s="1321"/>
      <c r="BY22" s="1321"/>
      <c r="BZ22" s="1321"/>
      <c r="CA22" s="1321"/>
      <c r="CB22" s="1149" t="s">
        <v>765</v>
      </c>
      <c r="CC22" s="1321"/>
      <c r="CD22" s="1345"/>
      <c r="CE22" s="1345"/>
      <c r="CF22" s="1345"/>
      <c r="CG22" s="1345"/>
      <c r="CH22" s="1345"/>
      <c r="CI22" s="1321"/>
      <c r="CJ22" s="1321"/>
      <c r="CK22" s="1321"/>
      <c r="CL22" s="1321"/>
      <c r="CM22" s="1321"/>
      <c r="CN22" s="1321"/>
      <c r="CO22" s="1321"/>
      <c r="CP22" s="1321"/>
      <c r="CQ22" s="1321"/>
      <c r="CR22" s="1321"/>
      <c r="CS22" s="1143" t="s">
        <v>791</v>
      </c>
      <c r="CT22" s="1143">
        <v>2</v>
      </c>
      <c r="CU22" s="1321"/>
      <c r="CV22" s="1143" t="s">
        <v>791</v>
      </c>
      <c r="CW22" s="1143">
        <v>1</v>
      </c>
      <c r="CX22" s="1321"/>
      <c r="CY22" s="1321"/>
      <c r="CZ22" s="1143" t="s">
        <v>808</v>
      </c>
      <c r="DA22" s="1321"/>
      <c r="DB22" s="1321"/>
      <c r="DC22" s="1321"/>
      <c r="DD22" s="1156" t="s">
        <v>1636</v>
      </c>
      <c r="DE22" s="1208">
        <v>7.3999999999999996E-2</v>
      </c>
      <c r="DF22" s="1321"/>
      <c r="DG22" s="1143">
        <v>10</v>
      </c>
      <c r="DH22" s="1321"/>
      <c r="DI22" s="1321"/>
      <c r="DJ22" s="1321"/>
      <c r="DK22" s="1321"/>
      <c r="DL22" s="1321"/>
      <c r="DM22" s="1321"/>
      <c r="DN22" s="1210" t="s">
        <v>822</v>
      </c>
      <c r="DO22" s="1211">
        <v>4</v>
      </c>
      <c r="DP22" s="1211">
        <v>45</v>
      </c>
      <c r="DQ22" s="1211">
        <v>1</v>
      </c>
      <c r="DR22" s="1211">
        <v>2</v>
      </c>
      <c r="DS22" s="1345"/>
      <c r="DT22" s="1346"/>
      <c r="DU22" s="1346"/>
      <c r="DV22" s="1176"/>
      <c r="DW22" s="1177"/>
      <c r="DX22" s="1177"/>
      <c r="DY22" s="1177"/>
      <c r="DZ22" s="1177"/>
      <c r="EA22" s="1177"/>
      <c r="EB22" s="1177"/>
      <c r="EC22" s="1177"/>
      <c r="ED22" s="1198"/>
      <c r="EE22" s="1199"/>
      <c r="EF22" s="1321"/>
      <c r="EG22" s="1321"/>
      <c r="EH22" s="1321"/>
      <c r="EI22" s="1321"/>
      <c r="EJ22" s="1321"/>
      <c r="EK22" s="1345"/>
      <c r="EL22" s="1345"/>
      <c r="EM22" s="1321"/>
      <c r="EN22" s="1187" t="s">
        <v>1372</v>
      </c>
      <c r="EO22" s="1172" t="s">
        <v>576</v>
      </c>
      <c r="EP22" s="1321"/>
      <c r="EQ22" s="1187" t="s">
        <v>1372</v>
      </c>
      <c r="ER22" s="1172" t="s">
        <v>382</v>
      </c>
      <c r="ES22" s="1321"/>
      <c r="ET22" s="1321"/>
      <c r="EU22" s="1143" t="s">
        <v>927</v>
      </c>
      <c r="EV22" s="1143" t="s">
        <v>934</v>
      </c>
      <c r="EW22" s="1143" t="s">
        <v>939</v>
      </c>
      <c r="EX22" s="1143" t="s">
        <v>947</v>
      </c>
      <c r="EY22" s="1321"/>
      <c r="EZ22" s="1345"/>
      <c r="FA22" s="1345"/>
      <c r="FB22" s="1345"/>
      <c r="FC22" s="1321"/>
      <c r="FD22" s="1321"/>
      <c r="FE22" s="1321"/>
      <c r="FF22" s="1321"/>
      <c r="FG22" s="1321"/>
      <c r="FH22" s="1321"/>
      <c r="FI22" s="1345"/>
      <c r="FJ22" s="1345"/>
      <c r="FK22" s="1345"/>
      <c r="FL22" s="1345"/>
      <c r="FM22" s="1321"/>
      <c r="FN22" s="1328" t="s">
        <v>1025</v>
      </c>
      <c r="FO22" s="1321"/>
      <c r="FP22" s="1321"/>
      <c r="FQ22" s="1328" t="s">
        <v>734</v>
      </c>
      <c r="FR22" s="1321"/>
      <c r="FS22" s="1321"/>
      <c r="FT22" s="1328" t="s">
        <v>766</v>
      </c>
      <c r="FU22" s="1321"/>
      <c r="FV22" s="1345"/>
      <c r="FW22" s="1217" t="s">
        <v>1305</v>
      </c>
      <c r="FX22" s="1177" t="s">
        <v>723</v>
      </c>
      <c r="FY22" s="1177" t="s">
        <v>1277</v>
      </c>
      <c r="FZ22" s="1177"/>
      <c r="GA22" s="1177">
        <v>1.36</v>
      </c>
      <c r="GB22" s="1177">
        <v>1.05</v>
      </c>
      <c r="GC22" s="1178">
        <v>0.313</v>
      </c>
      <c r="GD22" s="1321"/>
      <c r="GE22" s="1143" t="s">
        <v>602</v>
      </c>
      <c r="GF22" s="1321"/>
      <c r="GG22" s="1143" t="s">
        <v>318</v>
      </c>
      <c r="GH22" s="1321" t="s">
        <v>1349</v>
      </c>
      <c r="GI22" s="1321" t="s">
        <v>1349</v>
      </c>
      <c r="GJ22" s="1143" t="s">
        <v>1739</v>
      </c>
      <c r="GK22" s="1321" t="s">
        <v>1349</v>
      </c>
      <c r="GL22" s="1321" t="s">
        <v>1349</v>
      </c>
      <c r="GM22" s="1321" t="s">
        <v>1349</v>
      </c>
      <c r="GN22" s="1321" t="s">
        <v>1349</v>
      </c>
      <c r="GO22" s="1321" t="s">
        <v>1349</v>
      </c>
      <c r="GP22" s="1321" t="s">
        <v>1349</v>
      </c>
      <c r="GQ22" s="1321" t="s">
        <v>1349</v>
      </c>
      <c r="GR22" s="1321" t="s">
        <v>1349</v>
      </c>
      <c r="GS22" s="1321" t="s">
        <v>1349</v>
      </c>
      <c r="GT22" s="1321" t="s">
        <v>1349</v>
      </c>
      <c r="GU22" s="1321" t="s">
        <v>1349</v>
      </c>
      <c r="GV22" s="1321" t="s">
        <v>1349</v>
      </c>
      <c r="GW22" s="1321"/>
      <c r="GX22" s="1321"/>
      <c r="GY22" s="1083" t="str">
        <f t="shared" si="5"/>
        <v>balles de paille 300kg MaQ</v>
      </c>
      <c r="GZ22" s="1083"/>
      <c r="HA22" s="1084">
        <f t="shared" si="6"/>
        <v>0</v>
      </c>
      <c r="HB22" s="1084">
        <f>IF(COUNTIF(TypeArticleDansEntrepôt,GY22)=0,0,SUMIF(TypeArticleDansEntrepôt,GY22,QtéArticleDansEntrepôt)*VLOOKUP(GY22,place_necessaire_entrepots_aire_paille[],2,FALSE))</f>
        <v>0</v>
      </c>
      <c r="HC22" s="1321"/>
      <c r="HD22" s="1321"/>
      <c r="HE22" s="1321"/>
      <c r="HF22" s="1321"/>
      <c r="HG22" s="1143" t="str">
        <f t="shared" si="3"/>
        <v>Provence-Alpes-Côtes-d'Azur</v>
      </c>
      <c r="HH22" s="1321"/>
      <c r="HI22" s="1321"/>
      <c r="HJ22" s="1321"/>
      <c r="HK22" s="1149" t="s">
        <v>1549</v>
      </c>
      <c r="HL22" s="1159">
        <v>0</v>
      </c>
      <c r="HM22" s="1321"/>
      <c r="HN22" s="1162" t="s">
        <v>300</v>
      </c>
      <c r="HO22" s="1160">
        <v>50</v>
      </c>
      <c r="HP22" s="1175">
        <v>0.66666666666666663</v>
      </c>
      <c r="HQ22" s="1175">
        <f>0.5/1.5</f>
        <v>0.33333333333333331</v>
      </c>
      <c r="HR22" s="1175">
        <v>0.33333333333333331</v>
      </c>
      <c r="HS22" s="1175">
        <v>0.55555555555555558</v>
      </c>
      <c r="HT22" s="1175">
        <v>0.5</v>
      </c>
      <c r="HU22" s="1175">
        <v>0.6</v>
      </c>
      <c r="HV22" s="1321"/>
      <c r="HW22" s="1321"/>
      <c r="HX22" s="1321"/>
      <c r="HY22" s="1321"/>
      <c r="HZ22" s="1321"/>
      <c r="IA22" s="1321"/>
      <c r="IB22" s="1321"/>
      <c r="IC22" s="1321"/>
      <c r="ID22" s="1321"/>
      <c r="IE22" s="1321"/>
      <c r="IF22" s="1321"/>
      <c r="IG22" s="1321"/>
      <c r="IH22" s="1321"/>
      <c r="II22" s="1321"/>
      <c r="IJ22" s="1321"/>
      <c r="IK22" s="1321"/>
      <c r="IL22" s="1321"/>
      <c r="IM22" s="1321"/>
      <c r="IN22" s="1368"/>
    </row>
    <row r="23" spans="1:248" ht="12.75" customHeight="1" x14ac:dyDescent="0.2">
      <c r="A23" s="1307" t="s">
        <v>686</v>
      </c>
      <c r="B23" s="1177" t="s">
        <v>705</v>
      </c>
      <c r="C23" s="1177">
        <v>250</v>
      </c>
      <c r="D23" s="1178">
        <v>0</v>
      </c>
      <c r="E23" s="1327"/>
      <c r="F23" s="1206" t="s">
        <v>710</v>
      </c>
      <c r="G23" s="1207" t="s">
        <v>1751</v>
      </c>
      <c r="H23" s="1321"/>
      <c r="I23" s="1321"/>
      <c r="J23" s="1218" t="s">
        <v>1143</v>
      </c>
      <c r="K23" s="1219">
        <v>50</v>
      </c>
      <c r="L23" s="1321"/>
      <c r="M23" s="1075" t="s">
        <v>1651</v>
      </c>
      <c r="N23" s="1321"/>
      <c r="O23" s="1321"/>
      <c r="P23" s="1321"/>
      <c r="Q23" s="1321"/>
      <c r="R23" s="1321"/>
      <c r="S23" s="1321"/>
      <c r="T23" s="1321"/>
      <c r="U23" s="1321"/>
      <c r="V23" s="1321"/>
      <c r="W23" s="1321"/>
      <c r="X23" s="1321"/>
      <c r="Y23" s="1321"/>
      <c r="Z23" s="1321"/>
      <c r="AA23" s="1321"/>
      <c r="AB23" s="1321"/>
      <c r="AC23" s="1321"/>
      <c r="AD23" s="1321"/>
      <c r="AE23" s="1321"/>
      <c r="AF23" s="1321"/>
      <c r="AG23" s="1321"/>
      <c r="AH23" s="1321"/>
      <c r="AI23" s="1321"/>
      <c r="AJ23" s="1321"/>
      <c r="AK23" s="1321"/>
      <c r="AL23" s="1321"/>
      <c r="AM23" s="1321"/>
      <c r="AN23" s="1321"/>
      <c r="AO23" s="1321"/>
      <c r="AP23" s="1321"/>
      <c r="AQ23" s="1321"/>
      <c r="AR23" s="1321"/>
      <c r="AS23" s="1321"/>
      <c r="AT23" s="1142"/>
      <c r="AU23" s="1142"/>
      <c r="AV23" s="1142"/>
      <c r="AW23" s="1142"/>
      <c r="AX23" s="1142"/>
      <c r="AY23" s="1142"/>
      <c r="AZ23" s="1321"/>
      <c r="BA23" s="1321"/>
      <c r="BB23" s="1321"/>
      <c r="BC23" s="1143" t="s">
        <v>144</v>
      </c>
      <c r="BD23" s="1143">
        <v>42</v>
      </c>
      <c r="BE23" s="1143">
        <v>800</v>
      </c>
      <c r="BF23" s="1143">
        <v>14</v>
      </c>
      <c r="BG23" s="1321"/>
      <c r="BH23" s="1321"/>
      <c r="BI23" s="1321"/>
      <c r="BJ23" s="1321"/>
      <c r="BK23" s="1345"/>
      <c r="BL23" s="1345"/>
      <c r="BM23" s="1189"/>
      <c r="BN23" s="1177"/>
      <c r="BO23" s="1177"/>
      <c r="BP23" s="1177"/>
      <c r="BQ23" s="1177"/>
      <c r="BR23" s="1177"/>
      <c r="BS23" s="1177"/>
      <c r="BT23" s="1177"/>
      <c r="BU23" s="1177"/>
      <c r="BV23" s="1191"/>
      <c r="BW23" s="1345"/>
      <c r="BX23" s="1321"/>
      <c r="BY23" s="1321"/>
      <c r="BZ23" s="1321"/>
      <c r="CA23" s="1321"/>
      <c r="CB23" s="1321"/>
      <c r="CC23" s="1321"/>
      <c r="CD23" s="1345"/>
      <c r="CE23" s="1345"/>
      <c r="CF23" s="1345"/>
      <c r="CG23" s="1345"/>
      <c r="CH23" s="1345"/>
      <c r="CI23" s="1321"/>
      <c r="CJ23" s="1328" t="s">
        <v>1282</v>
      </c>
      <c r="CK23" s="1321"/>
      <c r="CL23" s="1321"/>
      <c r="CM23" s="1321"/>
      <c r="CN23" s="1321"/>
      <c r="CO23" s="1321"/>
      <c r="CP23" s="1321"/>
      <c r="CQ23" s="1321"/>
      <c r="CR23" s="1321"/>
      <c r="CS23" s="1149" t="s">
        <v>792</v>
      </c>
      <c r="CT23" s="1149">
        <v>2</v>
      </c>
      <c r="CU23" s="1321"/>
      <c r="CV23" s="1149" t="s">
        <v>792</v>
      </c>
      <c r="CW23" s="1149">
        <v>1</v>
      </c>
      <c r="CX23" s="1321"/>
      <c r="CY23" s="1321"/>
      <c r="CZ23" s="1321"/>
      <c r="DA23" s="1321"/>
      <c r="DB23" s="1321"/>
      <c r="DC23" s="1321"/>
      <c r="DD23" s="1220" t="s">
        <v>1633</v>
      </c>
      <c r="DE23" s="1221">
        <v>6.2E-2</v>
      </c>
      <c r="DF23" s="1321"/>
      <c r="DG23" s="1321"/>
      <c r="DH23" s="1321"/>
      <c r="DI23" s="1321"/>
      <c r="DJ23" s="1321"/>
      <c r="DK23" s="1321"/>
      <c r="DL23" s="1321"/>
      <c r="DM23" s="1321"/>
      <c r="DN23" s="1214" t="s">
        <v>823</v>
      </c>
      <c r="DO23" s="1215">
        <v>4.5</v>
      </c>
      <c r="DP23" s="1215">
        <v>80</v>
      </c>
      <c r="DQ23" s="1215">
        <v>0</v>
      </c>
      <c r="DR23" s="1215">
        <v>4</v>
      </c>
      <c r="DS23" s="1345"/>
      <c r="DT23" s="1346"/>
      <c r="DU23" s="1346"/>
      <c r="DV23" s="1176"/>
      <c r="DW23" s="1177"/>
      <c r="DX23" s="1177"/>
      <c r="DY23" s="1177"/>
      <c r="DZ23" s="1177"/>
      <c r="EA23" s="1177"/>
      <c r="EB23" s="1177"/>
      <c r="EC23" s="1177"/>
      <c r="ED23" s="1222"/>
      <c r="EE23" s="1191"/>
      <c r="EF23" s="1321"/>
      <c r="EG23" s="1328" t="s">
        <v>734</v>
      </c>
      <c r="EH23" s="1321"/>
      <c r="EI23" s="1321"/>
      <c r="EJ23" s="1328" t="s">
        <v>809</v>
      </c>
      <c r="EK23" s="1321"/>
      <c r="EL23" s="1345"/>
      <c r="EM23" s="1321"/>
      <c r="EN23" s="1176" t="s">
        <v>1352</v>
      </c>
      <c r="EO23" s="1178">
        <v>0.5</v>
      </c>
      <c r="EP23" s="1321"/>
      <c r="EQ23" s="1176" t="s">
        <v>1352</v>
      </c>
      <c r="ER23" s="1178">
        <v>0.1</v>
      </c>
      <c r="ES23" s="1321"/>
      <c r="ET23" s="1321"/>
      <c r="EU23" s="1149" t="s">
        <v>928</v>
      </c>
      <c r="EV23" s="1149" t="s">
        <v>934</v>
      </c>
      <c r="EW23" s="1149" t="s">
        <v>936</v>
      </c>
      <c r="EX23" s="1149" t="s">
        <v>954</v>
      </c>
      <c r="EY23" s="1321"/>
      <c r="EZ23" s="1345"/>
      <c r="FA23" s="1345"/>
      <c r="FB23" s="1345"/>
      <c r="FC23" s="1321"/>
      <c r="FD23" s="1328" t="s">
        <v>1025</v>
      </c>
      <c r="FE23" s="1321"/>
      <c r="FF23" s="1321"/>
      <c r="FG23" s="1328" t="s">
        <v>734</v>
      </c>
      <c r="FH23" s="1321"/>
      <c r="FI23" s="1321"/>
      <c r="FJ23" s="1328" t="s">
        <v>766</v>
      </c>
      <c r="FK23" s="1321"/>
      <c r="FL23" s="1345"/>
      <c r="FM23" s="1321"/>
      <c r="FN23" s="1187" t="s">
        <v>1372</v>
      </c>
      <c r="FO23" s="1172" t="s">
        <v>1147</v>
      </c>
      <c r="FP23" s="1321"/>
      <c r="FQ23" s="1187" t="s">
        <v>1372</v>
      </c>
      <c r="FR23" s="1172" t="s">
        <v>576</v>
      </c>
      <c r="FS23" s="1321"/>
      <c r="FT23" s="1187" t="s">
        <v>1372</v>
      </c>
      <c r="FU23" s="1172" t="s">
        <v>382</v>
      </c>
      <c r="FV23" s="1345"/>
      <c r="FW23" s="1217" t="s">
        <v>1305</v>
      </c>
      <c r="FX23" s="1177" t="s">
        <v>285</v>
      </c>
      <c r="FY23" s="1177" t="s">
        <v>1253</v>
      </c>
      <c r="FZ23" s="1177"/>
      <c r="GA23" s="1177">
        <v>0.78</v>
      </c>
      <c r="GB23" s="1177">
        <v>0.6</v>
      </c>
      <c r="GC23" s="1178">
        <v>0.18</v>
      </c>
      <c r="GD23" s="1321"/>
      <c r="GE23" s="1149" t="s">
        <v>314</v>
      </c>
      <c r="GF23" s="1321"/>
      <c r="GG23" s="1149" t="s">
        <v>167</v>
      </c>
      <c r="GH23" s="1321" t="s">
        <v>1349</v>
      </c>
      <c r="GI23" s="1321" t="s">
        <v>1349</v>
      </c>
      <c r="GJ23" s="1321" t="s">
        <v>1349</v>
      </c>
      <c r="GK23" s="1321" t="s">
        <v>1349</v>
      </c>
      <c r="GL23" s="1321" t="s">
        <v>1349</v>
      </c>
      <c r="GM23" s="1321" t="s">
        <v>1349</v>
      </c>
      <c r="GN23" s="1321" t="s">
        <v>1349</v>
      </c>
      <c r="GO23" s="1321" t="s">
        <v>1349</v>
      </c>
      <c r="GP23" s="1321" t="s">
        <v>1349</v>
      </c>
      <c r="GQ23" s="1321" t="s">
        <v>1349</v>
      </c>
      <c r="GR23" s="1321" t="s">
        <v>1349</v>
      </c>
      <c r="GS23" s="1321" t="s">
        <v>1349</v>
      </c>
      <c r="GT23" s="1321" t="s">
        <v>1349</v>
      </c>
      <c r="GU23" s="1321" t="s">
        <v>1349</v>
      </c>
      <c r="GV23" s="1321" t="s">
        <v>1349</v>
      </c>
      <c r="GW23" s="1321"/>
      <c r="GX23" s="1321"/>
      <c r="GY23" s="1082" t="str">
        <f t="shared" si="5"/>
        <v>balles de paille 500kg MaQ</v>
      </c>
      <c r="GZ23" s="1082"/>
      <c r="HA23" s="1085">
        <f t="shared" si="6"/>
        <v>0</v>
      </c>
      <c r="HB23" s="1085">
        <f>IF(COUNTIF(TypeArticleDansEntrepôt,GY23)=0,0,SUMIF(TypeArticleDansEntrepôt,GY23,QtéArticleDansEntrepôt)*VLOOKUP(GY23,place_necessaire_entrepots_aire_paille[],2,FALSE))</f>
        <v>0</v>
      </c>
      <c r="HC23" s="1321"/>
      <c r="HD23" s="1321"/>
      <c r="HE23" s="1321"/>
      <c r="HF23" s="1321"/>
      <c r="HG23" s="1149" t="str">
        <f t="shared" si="3"/>
        <v>Rhône-Alpes</v>
      </c>
      <c r="HH23" s="1321"/>
      <c r="HI23" s="1321"/>
      <c r="HJ23" s="1321"/>
      <c r="HK23" s="1143" t="s">
        <v>297</v>
      </c>
      <c r="HL23" s="1152">
        <v>120</v>
      </c>
      <c r="HM23" s="1321"/>
      <c r="HN23" s="1149" t="s">
        <v>501</v>
      </c>
      <c r="HO23" s="1165">
        <v>100</v>
      </c>
      <c r="HP23" s="1166">
        <v>0.7142857142857143</v>
      </c>
      <c r="HQ23" s="1166">
        <v>0.7142857142857143</v>
      </c>
      <c r="HR23" s="1166">
        <v>0.7142857142857143</v>
      </c>
      <c r="HS23" s="1166">
        <v>0.5</v>
      </c>
      <c r="HT23" s="1166">
        <v>0.5</v>
      </c>
      <c r="HU23" s="1166">
        <v>0.5</v>
      </c>
      <c r="HV23" s="1321"/>
      <c r="HW23" s="1321"/>
      <c r="HX23" s="1321"/>
      <c r="HY23" s="1321"/>
      <c r="HZ23" s="1321"/>
      <c r="IA23" s="1321"/>
      <c r="IB23" s="1321"/>
      <c r="IC23" s="1321"/>
      <c r="ID23" s="1321"/>
      <c r="IE23" s="1321"/>
      <c r="IF23" s="1321"/>
      <c r="IG23" s="1321"/>
      <c r="IH23" s="1321"/>
      <c r="II23" s="1321"/>
      <c r="IJ23" s="1321"/>
      <c r="IK23" s="1321"/>
      <c r="IL23" s="1321"/>
      <c r="IM23" s="1321"/>
      <c r="IN23" s="1368"/>
    </row>
    <row r="24" spans="1:248" ht="12.75" customHeight="1" x14ac:dyDescent="0.2">
      <c r="A24" s="1307" t="s">
        <v>687</v>
      </c>
      <c r="B24" s="1177" t="s">
        <v>705</v>
      </c>
      <c r="C24" s="1177">
        <v>1</v>
      </c>
      <c r="D24" s="1178">
        <v>0</v>
      </c>
      <c r="E24" s="1327"/>
      <c r="F24" s="1179" t="s">
        <v>712</v>
      </c>
      <c r="G24" s="1209">
        <v>9</v>
      </c>
      <c r="H24" s="1321"/>
      <c r="I24" s="1321"/>
      <c r="J24" s="1146" t="s">
        <v>1144</v>
      </c>
      <c r="K24" s="1223">
        <v>200</v>
      </c>
      <c r="L24" s="1321"/>
      <c r="M24" s="1076" t="s">
        <v>656</v>
      </c>
      <c r="N24" s="1321"/>
      <c r="O24" s="1139" t="s">
        <v>1119</v>
      </c>
      <c r="P24" s="1224" t="s">
        <v>285</v>
      </c>
      <c r="Q24" s="1139" t="s">
        <v>1507</v>
      </c>
      <c r="R24" s="1224" t="s">
        <v>498</v>
      </c>
      <c r="S24" s="1139" t="s">
        <v>1509</v>
      </c>
      <c r="T24" s="1224" t="s">
        <v>499</v>
      </c>
      <c r="U24" s="1224" t="s">
        <v>76</v>
      </c>
      <c r="V24" s="1224" t="s">
        <v>500</v>
      </c>
      <c r="W24" s="1224" t="s">
        <v>339</v>
      </c>
      <c r="X24" s="1224" t="s">
        <v>340</v>
      </c>
      <c r="Y24" s="1224" t="s">
        <v>523</v>
      </c>
      <c r="Z24" s="1224" t="s">
        <v>715</v>
      </c>
      <c r="AA24" s="1224" t="s">
        <v>296</v>
      </c>
      <c r="AB24" s="1224" t="s">
        <v>297</v>
      </c>
      <c r="AC24" s="1224" t="s">
        <v>298</v>
      </c>
      <c r="AD24" s="1224" t="s">
        <v>63</v>
      </c>
      <c r="AE24" s="1224" t="s">
        <v>64</v>
      </c>
      <c r="AF24" s="1224" t="s">
        <v>65</v>
      </c>
      <c r="AG24" s="1739" t="s">
        <v>1128</v>
      </c>
      <c r="AH24" s="1739"/>
      <c r="AI24" s="1224" t="s">
        <v>331</v>
      </c>
      <c r="AJ24" s="1224" t="s">
        <v>332</v>
      </c>
      <c r="AK24" s="1224" t="s">
        <v>333</v>
      </c>
      <c r="AL24" s="1224" t="s">
        <v>671</v>
      </c>
      <c r="AM24" s="1224" t="s">
        <v>501</v>
      </c>
      <c r="AN24" s="1224" t="s">
        <v>49</v>
      </c>
      <c r="AO24" s="1224" t="s">
        <v>1567</v>
      </c>
      <c r="AP24" s="1224" t="s">
        <v>1568</v>
      </c>
      <c r="AQ24" s="1224" t="s">
        <v>1569</v>
      </c>
      <c r="AR24" s="1224" t="s">
        <v>1570</v>
      </c>
      <c r="AS24" s="1224" t="s">
        <v>1571</v>
      </c>
      <c r="AT24" s="1224" t="s">
        <v>1572</v>
      </c>
      <c r="AU24" s="1224" t="s">
        <v>1628</v>
      </c>
      <c r="AV24" s="1224" t="s">
        <v>1629</v>
      </c>
      <c r="AW24" s="1224" t="s">
        <v>1630</v>
      </c>
      <c r="AX24" s="1224" t="s">
        <v>1631</v>
      </c>
      <c r="AY24" s="1224" t="s">
        <v>1632</v>
      </c>
      <c r="AZ24" s="1321"/>
      <c r="BA24" s="1321"/>
      <c r="BB24" s="1321"/>
      <c r="BC24" s="1149" t="s">
        <v>678</v>
      </c>
      <c r="BD24" s="1149">
        <v>49</v>
      </c>
      <c r="BE24" s="1149">
        <v>850</v>
      </c>
      <c r="BF24" s="1149">
        <v>12</v>
      </c>
      <c r="BG24" s="1321"/>
      <c r="BH24" s="1321"/>
      <c r="BI24" s="1321"/>
      <c r="BJ24" s="1321"/>
      <c r="BK24" s="1345"/>
      <c r="BL24" s="1345"/>
      <c r="BM24" s="1189"/>
      <c r="BN24" s="1177"/>
      <c r="BO24" s="1177"/>
      <c r="BP24" s="1177"/>
      <c r="BQ24" s="1177"/>
      <c r="BR24" s="1177"/>
      <c r="BS24" s="1177"/>
      <c r="BT24" s="1177"/>
      <c r="BU24" s="1177"/>
      <c r="BV24" s="1191"/>
      <c r="BW24" s="1345"/>
      <c r="BX24" s="1321"/>
      <c r="BY24" s="1328" t="s">
        <v>734</v>
      </c>
      <c r="BZ24" s="1321"/>
      <c r="CA24" s="1321"/>
      <c r="CB24" s="1328" t="s">
        <v>766</v>
      </c>
      <c r="CC24" s="1321"/>
      <c r="CD24" s="1345"/>
      <c r="CE24" s="1345"/>
      <c r="CF24" s="1345"/>
      <c r="CG24" s="1345"/>
      <c r="CH24" s="1345"/>
      <c r="CI24" s="1321"/>
      <c r="CJ24" s="1187" t="s">
        <v>1232</v>
      </c>
      <c r="CK24" s="1171" t="s">
        <v>1250</v>
      </c>
      <c r="CL24" s="1168" t="s">
        <v>1251</v>
      </c>
      <c r="CM24" s="1171" t="s">
        <v>1280</v>
      </c>
      <c r="CN24" s="1171" t="s">
        <v>1257</v>
      </c>
      <c r="CO24" s="1171" t="s">
        <v>1256</v>
      </c>
      <c r="CP24" s="1171" t="s">
        <v>1283</v>
      </c>
      <c r="CQ24" s="1172" t="s">
        <v>1284</v>
      </c>
      <c r="CR24" s="1321"/>
      <c r="CS24" s="1143" t="s">
        <v>1351</v>
      </c>
      <c r="CT24" s="1143">
        <v>1</v>
      </c>
      <c r="CU24" s="1321"/>
      <c r="CV24" s="1143" t="s">
        <v>1351</v>
      </c>
      <c r="CW24" s="1143">
        <v>0.5</v>
      </c>
      <c r="CX24" s="1321"/>
      <c r="CY24" s="1321"/>
      <c r="CZ24" s="1328" t="s">
        <v>809</v>
      </c>
      <c r="DA24" s="1321"/>
      <c r="DB24" s="1321"/>
      <c r="DC24" s="1321"/>
      <c r="DD24" s="1156" t="s">
        <v>1634</v>
      </c>
      <c r="DE24" s="1208">
        <v>5.7000000000000002E-2</v>
      </c>
      <c r="DF24" s="1321"/>
      <c r="DG24" s="1321"/>
      <c r="DH24" s="1321"/>
      <c r="DI24" s="1321"/>
      <c r="DJ24" s="1321"/>
      <c r="DK24" s="1321"/>
      <c r="DL24" s="1321"/>
      <c r="DM24" s="1321"/>
      <c r="DN24" s="1210" t="s">
        <v>75</v>
      </c>
      <c r="DO24" s="1211">
        <v>3.5</v>
      </c>
      <c r="DP24" s="1211">
        <v>90</v>
      </c>
      <c r="DQ24" s="1211">
        <v>0</v>
      </c>
      <c r="DR24" s="1211">
        <v>0</v>
      </c>
      <c r="DS24" s="1345"/>
      <c r="DT24" s="1346"/>
      <c r="DU24" s="1346"/>
      <c r="DV24" s="1176"/>
      <c r="DW24" s="1177"/>
      <c r="DX24" s="1177"/>
      <c r="DY24" s="1177"/>
      <c r="DZ24" s="1177"/>
      <c r="EA24" s="1177"/>
      <c r="EB24" s="1177"/>
      <c r="EC24" s="1177"/>
      <c r="ED24" s="1222"/>
      <c r="EE24" s="1191"/>
      <c r="EF24" s="1321"/>
      <c r="EG24" s="1143" t="s">
        <v>897</v>
      </c>
      <c r="EH24" s="1143">
        <v>1</v>
      </c>
      <c r="EI24" s="1321"/>
      <c r="EJ24" s="1143" t="s">
        <v>897</v>
      </c>
      <c r="EK24" s="1143">
        <v>0.5</v>
      </c>
      <c r="EL24" s="1321"/>
      <c r="EM24" s="1321"/>
      <c r="EN24" s="1176" t="s">
        <v>1353</v>
      </c>
      <c r="EO24" s="1178">
        <v>0.5</v>
      </c>
      <c r="EP24" s="1321"/>
      <c r="EQ24" s="1176" t="s">
        <v>1353</v>
      </c>
      <c r="ER24" s="1178">
        <v>0.1</v>
      </c>
      <c r="ES24" s="1321"/>
      <c r="ET24" s="1321"/>
      <c r="EU24" s="1143" t="s">
        <v>929</v>
      </c>
      <c r="EV24" s="1143" t="s">
        <v>934</v>
      </c>
      <c r="EW24" s="1143" t="s">
        <v>941</v>
      </c>
      <c r="EX24" s="1143" t="s">
        <v>958</v>
      </c>
      <c r="EY24" s="1321"/>
      <c r="EZ24" s="1225" t="s">
        <v>1363</v>
      </c>
      <c r="FA24" s="1345"/>
      <c r="FB24" s="1345"/>
      <c r="FC24" s="1321"/>
      <c r="FD24" s="1187" t="s">
        <v>1372</v>
      </c>
      <c r="FE24" s="1172" t="s">
        <v>1147</v>
      </c>
      <c r="FF24" s="1321"/>
      <c r="FG24" s="1187" t="s">
        <v>1372</v>
      </c>
      <c r="FH24" s="1172" t="s">
        <v>576</v>
      </c>
      <c r="FI24" s="1321"/>
      <c r="FJ24" s="1187" t="s">
        <v>1372</v>
      </c>
      <c r="FK24" s="1172" t="s">
        <v>382</v>
      </c>
      <c r="FL24" s="1345"/>
      <c r="FM24" s="1321"/>
      <c r="FN24" s="1176" t="s">
        <v>1026</v>
      </c>
      <c r="FO24" s="1178">
        <v>30</v>
      </c>
      <c r="FP24" s="1321"/>
      <c r="FQ24" s="1176" t="s">
        <v>1033</v>
      </c>
      <c r="FR24" s="1178">
        <v>25</v>
      </c>
      <c r="FS24" s="1321"/>
      <c r="FT24" s="1176" t="s">
        <v>1033</v>
      </c>
      <c r="FU24" s="1178">
        <v>7</v>
      </c>
      <c r="FV24" s="1345"/>
      <c r="FW24" s="1217" t="s">
        <v>1305</v>
      </c>
      <c r="FX24" s="1177" t="s">
        <v>76</v>
      </c>
      <c r="FY24" s="1177" t="s">
        <v>1253</v>
      </c>
      <c r="FZ24" s="1177"/>
      <c r="GA24" s="1177">
        <v>0.78</v>
      </c>
      <c r="GB24" s="1177">
        <v>0.6</v>
      </c>
      <c r="GC24" s="1178">
        <v>0.18</v>
      </c>
      <c r="GD24" s="1321"/>
      <c r="GE24" s="1143" t="s">
        <v>264</v>
      </c>
      <c r="GF24" s="1321"/>
      <c r="GG24" s="1143" t="s">
        <v>50</v>
      </c>
      <c r="GH24" s="1321" t="s">
        <v>1349</v>
      </c>
      <c r="GI24" s="1321" t="s">
        <v>1349</v>
      </c>
      <c r="GJ24" s="1321" t="s">
        <v>1349</v>
      </c>
      <c r="GK24" s="1321" t="s">
        <v>1349</v>
      </c>
      <c r="GL24" s="1321" t="s">
        <v>1349</v>
      </c>
      <c r="GM24" s="1321" t="s">
        <v>1349</v>
      </c>
      <c r="GN24" s="1321" t="s">
        <v>1349</v>
      </c>
      <c r="GO24" s="1321" t="s">
        <v>1349</v>
      </c>
      <c r="GP24" s="1321" t="s">
        <v>1349</v>
      </c>
      <c r="GQ24" s="1321" t="s">
        <v>1349</v>
      </c>
      <c r="GR24" s="1321" t="s">
        <v>1349</v>
      </c>
      <c r="GS24" s="1321" t="s">
        <v>1349</v>
      </c>
      <c r="GT24" s="1321" t="s">
        <v>1349</v>
      </c>
      <c r="GU24" s="1321" t="s">
        <v>1349</v>
      </c>
      <c r="GV24" s="1321" t="s">
        <v>1349</v>
      </c>
      <c r="GW24" s="1321"/>
      <c r="GX24" s="1321"/>
      <c r="GY24" s="1083"/>
      <c r="GZ24" s="1083"/>
      <c r="HA24" s="1084"/>
      <c r="HB24" s="1084"/>
      <c r="HC24" s="1321"/>
      <c r="HD24" s="1321"/>
      <c r="HE24" s="1321"/>
      <c r="HF24" s="1321"/>
      <c r="HG24" s="1321"/>
      <c r="HH24" s="1321"/>
      <c r="HI24" s="1321"/>
      <c r="HJ24" s="1321"/>
      <c r="HK24" s="1149" t="s">
        <v>65</v>
      </c>
      <c r="HL24" s="1159">
        <v>80</v>
      </c>
      <c r="HM24" s="1321"/>
      <c r="HN24" s="1162" t="s">
        <v>49</v>
      </c>
      <c r="HO24" s="1160">
        <v>35000</v>
      </c>
      <c r="HP24" s="1175">
        <v>0.77777777777777779</v>
      </c>
      <c r="HQ24" s="1175">
        <v>0.66666666666666663</v>
      </c>
      <c r="HR24" s="1175">
        <v>0.66666666666666663</v>
      </c>
      <c r="HS24" s="1175">
        <v>0.6</v>
      </c>
      <c r="HT24" s="1175">
        <v>0.66666666666666663</v>
      </c>
      <c r="HU24" s="1175">
        <v>0.625</v>
      </c>
      <c r="HV24" s="1321"/>
      <c r="HW24" s="1321"/>
      <c r="HX24" s="1321"/>
      <c r="HY24" s="1321"/>
      <c r="HZ24" s="1321"/>
      <c r="IA24" s="1321"/>
      <c r="IB24" s="1321"/>
      <c r="IC24" s="1321"/>
      <c r="ID24" s="1321"/>
      <c r="IE24" s="1321"/>
      <c r="IF24" s="1321"/>
      <c r="IG24" s="1321"/>
      <c r="IH24" s="1321"/>
      <c r="II24" s="1321"/>
      <c r="IJ24" s="1321"/>
      <c r="IK24" s="1321"/>
      <c r="IL24" s="1321"/>
      <c r="IM24" s="1321"/>
      <c r="IN24" s="1368"/>
    </row>
    <row r="25" spans="1:248" ht="12.75" customHeight="1" x14ac:dyDescent="0.2">
      <c r="A25" s="1307" t="s">
        <v>688</v>
      </c>
      <c r="B25" s="1177" t="s">
        <v>705</v>
      </c>
      <c r="C25" s="1177">
        <v>10</v>
      </c>
      <c r="D25" s="1178">
        <v>0</v>
      </c>
      <c r="E25" s="1327"/>
      <c r="F25" s="1212" t="s">
        <v>713</v>
      </c>
      <c r="G25" s="1213">
        <v>1.6</v>
      </c>
      <c r="H25" s="1321"/>
      <c r="I25" s="1321"/>
      <c r="J25" s="1218" t="s">
        <v>1145</v>
      </c>
      <c r="K25" s="1219">
        <v>50</v>
      </c>
      <c r="L25" s="1321"/>
      <c r="M25" s="1075" t="s">
        <v>1650</v>
      </c>
      <c r="N25" s="1321"/>
      <c r="O25" s="1143" t="s">
        <v>407</v>
      </c>
      <c r="P25" s="1143">
        <v>0</v>
      </c>
      <c r="Q25" s="1143">
        <v>2.6</v>
      </c>
      <c r="R25" s="1143">
        <v>2.2999999999999998</v>
      </c>
      <c r="S25" s="1143">
        <v>2.6</v>
      </c>
      <c r="T25" s="1143">
        <v>2.5</v>
      </c>
      <c r="U25" s="1143">
        <v>0</v>
      </c>
      <c r="V25" s="1143">
        <v>0</v>
      </c>
      <c r="W25" s="1143">
        <v>0</v>
      </c>
      <c r="X25" s="1143">
        <v>0</v>
      </c>
      <c r="Y25" s="1143">
        <v>0</v>
      </c>
      <c r="Z25" s="1143">
        <v>0</v>
      </c>
      <c r="AA25" s="1143">
        <v>0</v>
      </c>
      <c r="AB25" s="1143">
        <v>0</v>
      </c>
      <c r="AC25" s="1143">
        <v>0</v>
      </c>
      <c r="AD25" s="1143">
        <v>0</v>
      </c>
      <c r="AE25" s="1143">
        <v>0</v>
      </c>
      <c r="AF25" s="1143">
        <v>23.8</v>
      </c>
      <c r="AG25" s="1143">
        <v>0</v>
      </c>
      <c r="AH25" s="1143">
        <v>0</v>
      </c>
      <c r="AI25" s="1143">
        <v>0</v>
      </c>
      <c r="AJ25" s="1143">
        <v>0</v>
      </c>
      <c r="AK25" s="1143">
        <v>0</v>
      </c>
      <c r="AL25" s="1143">
        <v>0</v>
      </c>
      <c r="AM25" s="1143">
        <v>0</v>
      </c>
      <c r="AN25" s="1143">
        <v>0</v>
      </c>
      <c r="AO25" s="1143">
        <v>0</v>
      </c>
      <c r="AP25" s="1143">
        <v>0</v>
      </c>
      <c r="AQ25" s="1143">
        <v>0</v>
      </c>
      <c r="AR25" s="1143">
        <v>0</v>
      </c>
      <c r="AS25" s="1143">
        <v>0</v>
      </c>
      <c r="AT25" s="1143">
        <v>0</v>
      </c>
      <c r="AU25" s="1143">
        <v>0</v>
      </c>
      <c r="AV25" s="1143">
        <v>0</v>
      </c>
      <c r="AW25" s="1143">
        <v>8.5</v>
      </c>
      <c r="AX25" s="1143">
        <v>10</v>
      </c>
      <c r="AY25" s="1143">
        <v>10</v>
      </c>
      <c r="AZ25" s="1321"/>
      <c r="BA25" s="1321"/>
      <c r="BB25" s="1321"/>
      <c r="BC25" s="1143" t="s">
        <v>364</v>
      </c>
      <c r="BD25" s="1143">
        <v>36</v>
      </c>
      <c r="BE25" s="1143">
        <v>680</v>
      </c>
      <c r="BF25" s="1143">
        <v>12</v>
      </c>
      <c r="BG25" s="1321"/>
      <c r="BH25" s="1321"/>
      <c r="BI25" s="1321"/>
      <c r="BJ25" s="1321"/>
      <c r="BK25" s="1345"/>
      <c r="BL25" s="1345"/>
      <c r="BM25" s="1189"/>
      <c r="BN25" s="1177"/>
      <c r="BO25" s="1177"/>
      <c r="BP25" s="1177"/>
      <c r="BQ25" s="1177"/>
      <c r="BR25" s="1177"/>
      <c r="BS25" s="1177"/>
      <c r="BT25" s="1177"/>
      <c r="BU25" s="1177"/>
      <c r="BV25" s="1191"/>
      <c r="BW25" s="1345"/>
      <c r="BX25" s="1321"/>
      <c r="BY25" s="1143" t="s">
        <v>767</v>
      </c>
      <c r="BZ25" s="1143">
        <v>20</v>
      </c>
      <c r="CA25" s="1321"/>
      <c r="CB25" s="1143" t="s">
        <v>767</v>
      </c>
      <c r="CC25" s="1143">
        <v>7</v>
      </c>
      <c r="CD25" s="1345"/>
      <c r="CE25" s="1345"/>
      <c r="CF25" s="1345"/>
      <c r="CG25" s="1345"/>
      <c r="CH25" s="1345"/>
      <c r="CI25" s="1321"/>
      <c r="CJ25" s="1176" t="s">
        <v>1286</v>
      </c>
      <c r="CK25" s="1177" t="s">
        <v>723</v>
      </c>
      <c r="CL25" s="1177" t="s">
        <v>1277</v>
      </c>
      <c r="CM25" s="1177">
        <v>14</v>
      </c>
      <c r="CN25" s="1177">
        <v>10</v>
      </c>
      <c r="CO25" s="1177">
        <v>8</v>
      </c>
      <c r="CP25" s="1177">
        <v>4</v>
      </c>
      <c r="CQ25" s="1178">
        <v>0</v>
      </c>
      <c r="CR25" s="1321"/>
      <c r="CS25" s="1149" t="s">
        <v>1350</v>
      </c>
      <c r="CT25" s="1149">
        <v>1</v>
      </c>
      <c r="CU25" s="1321"/>
      <c r="CV25" s="1149" t="s">
        <v>1350</v>
      </c>
      <c r="CW25" s="1149">
        <v>0.5</v>
      </c>
      <c r="CX25" s="1321"/>
      <c r="CY25" s="1321"/>
      <c r="CZ25" s="1143" t="s">
        <v>811</v>
      </c>
      <c r="DA25" s="1143">
        <v>0.1</v>
      </c>
      <c r="DB25" s="1321"/>
      <c r="DC25" s="1321"/>
      <c r="DD25" s="1220" t="s">
        <v>1635</v>
      </c>
      <c r="DE25" s="1221">
        <v>4.3999999999999997E-2</v>
      </c>
      <c r="DF25" s="1321"/>
      <c r="DG25" s="1328" t="s">
        <v>1297</v>
      </c>
      <c r="DH25" s="1321"/>
      <c r="DI25" s="1321"/>
      <c r="DJ25" s="1321"/>
      <c r="DK25" s="1321"/>
      <c r="DL25" s="1321"/>
      <c r="DM25" s="1321"/>
      <c r="DN25" s="1214" t="s">
        <v>574</v>
      </c>
      <c r="DO25" s="1215">
        <v>5</v>
      </c>
      <c r="DP25" s="1215">
        <v>90</v>
      </c>
      <c r="DQ25" s="1215">
        <v>0</v>
      </c>
      <c r="DR25" s="1215">
        <v>3</v>
      </c>
      <c r="DS25" s="1345"/>
      <c r="DT25" s="1346"/>
      <c r="DU25" s="1346"/>
      <c r="DV25" s="1176"/>
      <c r="DW25" s="1177"/>
      <c r="DX25" s="1177"/>
      <c r="DY25" s="1177"/>
      <c r="DZ25" s="1177"/>
      <c r="EA25" s="1177"/>
      <c r="EB25" s="1177"/>
      <c r="EC25" s="1177"/>
      <c r="ED25" s="1222"/>
      <c r="EE25" s="1191"/>
      <c r="EF25" s="1321"/>
      <c r="EG25" s="1149" t="s">
        <v>898</v>
      </c>
      <c r="EH25" s="1149">
        <v>1</v>
      </c>
      <c r="EI25" s="1321"/>
      <c r="EJ25" s="1149" t="s">
        <v>898</v>
      </c>
      <c r="EK25" s="1149">
        <v>0.5</v>
      </c>
      <c r="EL25" s="1321"/>
      <c r="EM25" s="1321"/>
      <c r="EN25" s="1176" t="s">
        <v>1354</v>
      </c>
      <c r="EO25" s="1178">
        <v>0.3</v>
      </c>
      <c r="EP25" s="1321"/>
      <c r="EQ25" s="1176" t="s">
        <v>1354</v>
      </c>
      <c r="ER25" s="1178">
        <v>0.08</v>
      </c>
      <c r="ES25" s="1321"/>
      <c r="ET25" s="1321"/>
      <c r="EU25" s="1149" t="s">
        <v>930</v>
      </c>
      <c r="EV25" s="1149" t="s">
        <v>934</v>
      </c>
      <c r="EW25" s="1149" t="s">
        <v>940</v>
      </c>
      <c r="EX25" s="1149" t="s">
        <v>955</v>
      </c>
      <c r="EY25" s="1321"/>
      <c r="EZ25" s="1156">
        <v>85</v>
      </c>
      <c r="FA25" s="1345"/>
      <c r="FB25" s="1345"/>
      <c r="FC25" s="1321"/>
      <c r="FD25" s="1176" t="s">
        <v>1026</v>
      </c>
      <c r="FE25" s="1178">
        <v>60</v>
      </c>
      <c r="FF25" s="1321"/>
      <c r="FG25" s="1176" t="s">
        <v>1033</v>
      </c>
      <c r="FH25" s="1178">
        <v>30</v>
      </c>
      <c r="FI25" s="1321"/>
      <c r="FJ25" s="1176" t="s">
        <v>1033</v>
      </c>
      <c r="FK25" s="1178">
        <v>12</v>
      </c>
      <c r="FL25" s="1345"/>
      <c r="FM25" s="1321"/>
      <c r="FN25" s="1176" t="s">
        <v>1027</v>
      </c>
      <c r="FO25" s="1178">
        <v>40</v>
      </c>
      <c r="FP25" s="1321"/>
      <c r="FQ25" s="1176" t="s">
        <v>1027</v>
      </c>
      <c r="FR25" s="1178">
        <v>25</v>
      </c>
      <c r="FS25" s="1321"/>
      <c r="FT25" s="1176" t="s">
        <v>1027</v>
      </c>
      <c r="FU25" s="1178">
        <v>7</v>
      </c>
      <c r="FV25" s="1345"/>
      <c r="FW25" s="1217" t="s">
        <v>1305</v>
      </c>
      <c r="FX25" s="1177" t="s">
        <v>339</v>
      </c>
      <c r="FY25" s="1177" t="s">
        <v>1252</v>
      </c>
      <c r="FZ25" s="1177">
        <v>5.5</v>
      </c>
      <c r="GA25" s="1177">
        <v>0.23400000000000001</v>
      </c>
      <c r="GB25" s="1177">
        <v>0.18</v>
      </c>
      <c r="GC25" s="1178">
        <v>5.3999999999999999E-2</v>
      </c>
      <c r="GD25" s="1321"/>
      <c r="GE25" s="1149" t="s">
        <v>263</v>
      </c>
      <c r="GF25" s="1321"/>
      <c r="GG25" s="1149" t="s">
        <v>508</v>
      </c>
      <c r="GH25" s="1321" t="s">
        <v>1349</v>
      </c>
      <c r="GI25" s="1321" t="s">
        <v>1349</v>
      </c>
      <c r="GJ25" s="1321" t="s">
        <v>1349</v>
      </c>
      <c r="GK25" s="1321" t="s">
        <v>1349</v>
      </c>
      <c r="GL25" s="1321" t="s">
        <v>1349</v>
      </c>
      <c r="GM25" s="1321" t="s">
        <v>1349</v>
      </c>
      <c r="GN25" s="1321" t="s">
        <v>1349</v>
      </c>
      <c r="GO25" s="1321" t="s">
        <v>1349</v>
      </c>
      <c r="GP25" s="1321" t="s">
        <v>1349</v>
      </c>
      <c r="GQ25" s="1321" t="s">
        <v>1349</v>
      </c>
      <c r="GR25" s="1321" t="s">
        <v>1349</v>
      </c>
      <c r="GS25" s="1321" t="s">
        <v>1349</v>
      </c>
      <c r="GT25" s="1321" t="s">
        <v>1349</v>
      </c>
      <c r="GU25" s="1321" t="s">
        <v>1349</v>
      </c>
      <c r="GV25" s="1321" t="s">
        <v>1349</v>
      </c>
      <c r="GW25" s="1321"/>
      <c r="GX25" s="1321"/>
      <c r="GY25" s="1082" t="s">
        <v>1343</v>
      </c>
      <c r="GZ25" s="1082"/>
      <c r="HA25" s="1085">
        <f>SUMIF(TypeArticleDansEntrepôt,GY25,QtéArticleDansEntrepôt)</f>
        <v>0</v>
      </c>
      <c r="HB25" s="1085">
        <f>IF(COUNTIF(TypeArticleDansEntrepôt,GY25)=0,0,SUMIF(TypeArticleDansEntrepôt,GY25,QtéArticleDansEntrepôt)*VLOOKUP(GY25,place_necessaire_entrepots_aire_paille[],2,FALSE))</f>
        <v>0</v>
      </c>
      <c r="HC25" s="1321"/>
      <c r="HD25" s="1321"/>
      <c r="HE25" s="1321"/>
      <c r="HF25" s="1321"/>
      <c r="HG25" s="1321"/>
      <c r="HH25" s="1321"/>
      <c r="HI25" s="1321"/>
      <c r="HJ25" s="1321"/>
      <c r="HK25" s="1143" t="s">
        <v>500</v>
      </c>
      <c r="HL25" s="1152">
        <v>110</v>
      </c>
      <c r="HM25" s="1321"/>
      <c r="HN25" s="1149" t="s">
        <v>1548</v>
      </c>
      <c r="HO25" s="1165">
        <v>10</v>
      </c>
      <c r="HP25" s="1166">
        <v>0</v>
      </c>
      <c r="HQ25" s="1166">
        <v>0</v>
      </c>
      <c r="HR25" s="1166">
        <v>0</v>
      </c>
      <c r="HS25" s="1166">
        <v>0</v>
      </c>
      <c r="HT25" s="1166">
        <v>0</v>
      </c>
      <c r="HU25" s="1166">
        <v>0</v>
      </c>
      <c r="HV25" s="1321"/>
      <c r="HW25" s="1321"/>
      <c r="HX25" s="1321"/>
      <c r="HY25" s="1321"/>
      <c r="HZ25" s="1321"/>
      <c r="IA25" s="1321"/>
      <c r="IB25" s="1321"/>
      <c r="IC25" s="1321"/>
      <c r="ID25" s="1321"/>
      <c r="IE25" s="1321"/>
      <c r="IF25" s="1321"/>
      <c r="IG25" s="1321"/>
      <c r="IH25" s="1321"/>
      <c r="II25" s="1321"/>
      <c r="IJ25" s="1321"/>
      <c r="IK25" s="1321"/>
      <c r="IL25" s="1321"/>
      <c r="IM25" s="1321"/>
      <c r="IN25" s="1368"/>
    </row>
    <row r="26" spans="1:248" ht="12.75" customHeight="1" x14ac:dyDescent="0.2">
      <c r="A26" s="1307" t="s">
        <v>689</v>
      </c>
      <c r="B26" s="1177" t="s">
        <v>705</v>
      </c>
      <c r="C26" s="1177">
        <v>0.03</v>
      </c>
      <c r="D26" s="1178">
        <v>0</v>
      </c>
      <c r="E26" s="1327"/>
      <c r="F26" s="1321"/>
      <c r="G26" s="1321"/>
      <c r="H26" s="1321"/>
      <c r="I26" s="1321"/>
      <c r="J26" s="1144" t="s">
        <v>1146</v>
      </c>
      <c r="K26" s="1143">
        <v>100</v>
      </c>
      <c r="L26" s="1321"/>
      <c r="M26" s="1321"/>
      <c r="N26" s="1321"/>
      <c r="O26" s="1149" t="s">
        <v>1120</v>
      </c>
      <c r="P26" s="1149">
        <v>4.8</v>
      </c>
      <c r="Q26" s="1149">
        <v>4</v>
      </c>
      <c r="R26" s="1149">
        <v>3.8</v>
      </c>
      <c r="S26" s="1149">
        <v>5.7</v>
      </c>
      <c r="T26" s="1149">
        <v>5.4</v>
      </c>
      <c r="U26" s="1149">
        <v>0</v>
      </c>
      <c r="V26" s="1149">
        <v>0</v>
      </c>
      <c r="W26" s="1149">
        <v>12.9</v>
      </c>
      <c r="X26" s="1149">
        <v>26.3</v>
      </c>
      <c r="Y26" s="1149">
        <v>85</v>
      </c>
      <c r="Z26" s="1149">
        <v>2.2000000000000002</v>
      </c>
      <c r="AA26" s="1149">
        <v>0</v>
      </c>
      <c r="AB26" s="1149">
        <v>0</v>
      </c>
      <c r="AC26" s="1149">
        <v>0</v>
      </c>
      <c r="AD26" s="1149">
        <v>0</v>
      </c>
      <c r="AE26" s="1149">
        <v>0</v>
      </c>
      <c r="AF26" s="1149">
        <v>66.400000000000006</v>
      </c>
      <c r="AG26" s="1149">
        <v>0</v>
      </c>
      <c r="AH26" s="1149">
        <v>0</v>
      </c>
      <c r="AI26" s="1149">
        <v>16</v>
      </c>
      <c r="AJ26" s="1149">
        <v>10</v>
      </c>
      <c r="AK26" s="1149">
        <v>0</v>
      </c>
      <c r="AL26" s="1149">
        <v>10</v>
      </c>
      <c r="AM26" s="1149">
        <v>1.8</v>
      </c>
      <c r="AN26" s="1149">
        <v>0</v>
      </c>
      <c r="AO26" s="1149">
        <v>45</v>
      </c>
      <c r="AP26" s="1149">
        <v>37</v>
      </c>
      <c r="AQ26" s="1149">
        <v>26</v>
      </c>
      <c r="AR26" s="1149">
        <v>10</v>
      </c>
      <c r="AS26" s="1149">
        <v>15</v>
      </c>
      <c r="AT26" s="1149">
        <v>0</v>
      </c>
      <c r="AU26" s="1149">
        <v>3</v>
      </c>
      <c r="AV26" s="1149">
        <v>4</v>
      </c>
      <c r="AW26" s="1149">
        <v>8.5</v>
      </c>
      <c r="AX26" s="1149">
        <v>10</v>
      </c>
      <c r="AY26" s="1149">
        <v>10</v>
      </c>
      <c r="AZ26" s="1321"/>
      <c r="BA26" s="1321"/>
      <c r="BB26" s="1321"/>
      <c r="BC26" s="1149" t="s">
        <v>112</v>
      </c>
      <c r="BD26" s="1149">
        <v>36</v>
      </c>
      <c r="BE26" s="1149">
        <v>650</v>
      </c>
      <c r="BF26" s="1149">
        <v>10</v>
      </c>
      <c r="BG26" s="1321"/>
      <c r="BH26" s="1321"/>
      <c r="BI26" s="1321"/>
      <c r="BJ26" s="1321"/>
      <c r="BK26" s="1345"/>
      <c r="BL26" s="1345"/>
      <c r="BM26" s="1189"/>
      <c r="BN26" s="1177"/>
      <c r="BO26" s="1177"/>
      <c r="BP26" s="1177"/>
      <c r="BQ26" s="1177"/>
      <c r="BR26" s="1177"/>
      <c r="BS26" s="1177"/>
      <c r="BT26" s="1177"/>
      <c r="BU26" s="1177"/>
      <c r="BV26" s="1191"/>
      <c r="BW26" s="1345"/>
      <c r="BX26" s="1321"/>
      <c r="BY26" s="1149" t="s">
        <v>768</v>
      </c>
      <c r="BZ26" s="1149">
        <v>15</v>
      </c>
      <c r="CA26" s="1321"/>
      <c r="CB26" s="1149" t="s">
        <v>768</v>
      </c>
      <c r="CC26" s="1149">
        <v>5</v>
      </c>
      <c r="CD26" s="1345"/>
      <c r="CE26" s="1345"/>
      <c r="CF26" s="1345"/>
      <c r="CG26" s="1345"/>
      <c r="CH26" s="1345"/>
      <c r="CI26" s="1321"/>
      <c r="CJ26" s="1176" t="s">
        <v>1286</v>
      </c>
      <c r="CK26" s="1177" t="s">
        <v>672</v>
      </c>
      <c r="CL26" s="1177" t="s">
        <v>1252</v>
      </c>
      <c r="CM26" s="1177">
        <v>8</v>
      </c>
      <c r="CN26" s="1177">
        <v>6</v>
      </c>
      <c r="CO26" s="1177">
        <v>0.8</v>
      </c>
      <c r="CP26" s="1177">
        <v>0</v>
      </c>
      <c r="CQ26" s="1178">
        <v>0</v>
      </c>
      <c r="CR26" s="1321"/>
      <c r="CS26" s="1143" t="s">
        <v>793</v>
      </c>
      <c r="CT26" s="1143">
        <v>0.5</v>
      </c>
      <c r="CU26" s="1321"/>
      <c r="CV26" s="1143" t="s">
        <v>793</v>
      </c>
      <c r="CW26" s="1143">
        <v>0.2</v>
      </c>
      <c r="CX26" s="1321"/>
      <c r="CY26" s="1321"/>
      <c r="CZ26" s="1149" t="s">
        <v>812</v>
      </c>
      <c r="DA26" s="1149">
        <v>0.1</v>
      </c>
      <c r="DB26" s="1321"/>
      <c r="DC26" s="1328" t="s">
        <v>1363</v>
      </c>
      <c r="DD26" s="1321"/>
      <c r="DE26" s="1321"/>
      <c r="DF26" s="1321"/>
      <c r="DG26" s="1187" t="s">
        <v>1232</v>
      </c>
      <c r="DH26" s="1171" t="s">
        <v>1250</v>
      </c>
      <c r="DI26" s="1168" t="s">
        <v>1251</v>
      </c>
      <c r="DJ26" s="1171" t="s">
        <v>1295</v>
      </c>
      <c r="DK26" s="1171" t="s">
        <v>1296</v>
      </c>
      <c r="DL26" s="1172" t="s">
        <v>1284</v>
      </c>
      <c r="DM26" s="1321"/>
      <c r="DN26" s="1210" t="s">
        <v>824</v>
      </c>
      <c r="DO26" s="1211">
        <v>4</v>
      </c>
      <c r="DP26" s="1211">
        <v>70</v>
      </c>
      <c r="DQ26" s="1211">
        <v>0</v>
      </c>
      <c r="DR26" s="1211">
        <v>4</v>
      </c>
      <c r="DS26" s="1345"/>
      <c r="DT26" s="1346"/>
      <c r="DU26" s="1346"/>
      <c r="DV26" s="1176"/>
      <c r="DW26" s="1177"/>
      <c r="DX26" s="1177"/>
      <c r="DY26" s="1177"/>
      <c r="DZ26" s="1177"/>
      <c r="EA26" s="1177"/>
      <c r="EB26" s="1177"/>
      <c r="EC26" s="1177"/>
      <c r="ED26" s="1222"/>
      <c r="EE26" s="1191"/>
      <c r="EF26" s="1321"/>
      <c r="EG26" s="1143" t="s">
        <v>899</v>
      </c>
      <c r="EH26" s="1143">
        <v>0.6</v>
      </c>
      <c r="EI26" s="1321"/>
      <c r="EJ26" s="1143" t="s">
        <v>899</v>
      </c>
      <c r="EK26" s="1143">
        <v>0.3</v>
      </c>
      <c r="EL26" s="1321"/>
      <c r="EM26" s="1321"/>
      <c r="EN26" s="1176" t="s">
        <v>1355</v>
      </c>
      <c r="EO26" s="1178">
        <v>0.3</v>
      </c>
      <c r="EP26" s="1321"/>
      <c r="EQ26" s="1176" t="s">
        <v>1355</v>
      </c>
      <c r="ER26" s="1178">
        <v>0.08</v>
      </c>
      <c r="ES26" s="1321"/>
      <c r="ET26" s="1321"/>
      <c r="EU26" s="1143" t="s">
        <v>931</v>
      </c>
      <c r="EV26" s="1143" t="s">
        <v>934</v>
      </c>
      <c r="EW26" s="1143" t="s">
        <v>936</v>
      </c>
      <c r="EX26" s="1143" t="s">
        <v>957</v>
      </c>
      <c r="EY26" s="1321"/>
      <c r="EZ26" s="1345"/>
      <c r="FA26" s="1345"/>
      <c r="FB26" s="1345"/>
      <c r="FC26" s="1321"/>
      <c r="FD26" s="1176" t="s">
        <v>1027</v>
      </c>
      <c r="FE26" s="1178">
        <v>80</v>
      </c>
      <c r="FF26" s="1321"/>
      <c r="FG26" s="1176" t="s">
        <v>1027</v>
      </c>
      <c r="FH26" s="1178">
        <v>30</v>
      </c>
      <c r="FI26" s="1321"/>
      <c r="FJ26" s="1176" t="s">
        <v>1027</v>
      </c>
      <c r="FK26" s="1178">
        <v>12</v>
      </c>
      <c r="FL26" s="1345"/>
      <c r="FM26" s="1321"/>
      <c r="FN26" s="1176" t="s">
        <v>1028</v>
      </c>
      <c r="FO26" s="1178">
        <v>40</v>
      </c>
      <c r="FP26" s="1321"/>
      <c r="FQ26" s="1176" t="s">
        <v>1028</v>
      </c>
      <c r="FR26" s="1178">
        <v>25</v>
      </c>
      <c r="FS26" s="1321"/>
      <c r="FT26" s="1176" t="s">
        <v>1028</v>
      </c>
      <c r="FU26" s="1178">
        <v>7</v>
      </c>
      <c r="FV26" s="1345"/>
      <c r="FW26" s="1217" t="s">
        <v>1305</v>
      </c>
      <c r="FX26" s="1177" t="s">
        <v>673</v>
      </c>
      <c r="FY26" s="1177" t="s">
        <v>1252</v>
      </c>
      <c r="FZ26" s="1177"/>
      <c r="GA26" s="1177">
        <v>0.23400000000000001</v>
      </c>
      <c r="GB26" s="1177">
        <v>0.18</v>
      </c>
      <c r="GC26" s="1178">
        <v>5.3999999999999999E-2</v>
      </c>
      <c r="GD26" s="1321"/>
      <c r="GE26" s="1143" t="s">
        <v>217</v>
      </c>
      <c r="GF26" s="1321"/>
      <c r="GG26" s="1143" t="s">
        <v>366</v>
      </c>
      <c r="GH26" s="1321" t="s">
        <v>1349</v>
      </c>
      <c r="GI26" s="1321" t="s">
        <v>1349</v>
      </c>
      <c r="GJ26" s="1321" t="s">
        <v>1349</v>
      </c>
      <c r="GK26" s="1321" t="s">
        <v>1349</v>
      </c>
      <c r="GL26" s="1321" t="s">
        <v>1349</v>
      </c>
      <c r="GM26" s="1321" t="s">
        <v>1349</v>
      </c>
      <c r="GN26" s="1321" t="s">
        <v>1349</v>
      </c>
      <c r="GO26" s="1321" t="s">
        <v>1349</v>
      </c>
      <c r="GP26" s="1321" t="s">
        <v>1349</v>
      </c>
      <c r="GQ26" s="1321" t="s">
        <v>1349</v>
      </c>
      <c r="GR26" s="1321" t="s">
        <v>1349</v>
      </c>
      <c r="GS26" s="1321" t="s">
        <v>1349</v>
      </c>
      <c r="GT26" s="1321" t="s">
        <v>1349</v>
      </c>
      <c r="GU26" s="1321" t="s">
        <v>1349</v>
      </c>
      <c r="GV26" s="1321" t="s">
        <v>1349</v>
      </c>
      <c r="GW26" s="1321"/>
      <c r="GX26" s="1321"/>
      <c r="GY26" s="1083" t="s">
        <v>1344</v>
      </c>
      <c r="GZ26" s="1083"/>
      <c r="HA26" s="1084">
        <f>SUMIF(TypeArticleDansEntrepôt,GY26,QtéArticleDansEntrepôt)</f>
        <v>0</v>
      </c>
      <c r="HB26" s="1084">
        <f>IF(COUNTIF(TypeArticleDansEntrepôt,GY26)=0,0,SUMIF(TypeArticleDansEntrepôt,GY26,QtéArticleDansEntrepôt)*VLOOKUP(GY26,place_necessaire_entrepots_aire_paille[],2,FALSE))</f>
        <v>0</v>
      </c>
      <c r="HC26" s="1321"/>
      <c r="HD26" s="1321"/>
      <c r="HE26" s="1321"/>
      <c r="HF26" s="1321"/>
      <c r="HG26" s="1321"/>
      <c r="HH26" s="1321"/>
      <c r="HI26" s="1321"/>
      <c r="HJ26" s="1321"/>
      <c r="HK26" s="1149" t="s">
        <v>63</v>
      </c>
      <c r="HL26" s="1159">
        <v>165</v>
      </c>
      <c r="HM26" s="1321"/>
      <c r="HN26" s="1162" t="s">
        <v>1549</v>
      </c>
      <c r="HO26" s="1160">
        <v>12</v>
      </c>
      <c r="HP26" s="1175">
        <v>0</v>
      </c>
      <c r="HQ26" s="1175">
        <v>0</v>
      </c>
      <c r="HR26" s="1175">
        <v>0</v>
      </c>
      <c r="HS26" s="1175">
        <v>0</v>
      </c>
      <c r="HT26" s="1175">
        <v>0</v>
      </c>
      <c r="HU26" s="1175">
        <v>0</v>
      </c>
      <c r="HV26" s="1321"/>
      <c r="HW26" s="1321"/>
      <c r="HX26" s="1321"/>
      <c r="HY26" s="1321"/>
      <c r="HZ26" s="1321"/>
      <c r="IA26" s="1321"/>
      <c r="IB26" s="1321"/>
      <c r="IC26" s="1321"/>
      <c r="ID26" s="1321"/>
      <c r="IE26" s="1321"/>
      <c r="IF26" s="1321"/>
      <c r="IG26" s="1321"/>
      <c r="IH26" s="1321"/>
      <c r="II26" s="1321"/>
      <c r="IJ26" s="1321"/>
      <c r="IK26" s="1321"/>
      <c r="IL26" s="1321"/>
      <c r="IM26" s="1321"/>
      <c r="IN26" s="1368"/>
    </row>
    <row r="27" spans="1:248" ht="12.75" customHeight="1" x14ac:dyDescent="0.2">
      <c r="A27" s="1307" t="s">
        <v>690</v>
      </c>
      <c r="B27" s="1177" t="s">
        <v>354</v>
      </c>
      <c r="C27" s="1177">
        <v>1</v>
      </c>
      <c r="D27" s="1178">
        <v>0</v>
      </c>
      <c r="E27" s="1327"/>
      <c r="F27" s="1732" t="s">
        <v>711</v>
      </c>
      <c r="G27" s="1733"/>
      <c r="H27" s="1321"/>
      <c r="I27" s="1321"/>
      <c r="J27" s="1321"/>
      <c r="K27" s="1321"/>
      <c r="L27" s="1321"/>
      <c r="M27" s="1076" t="s">
        <v>1882</v>
      </c>
      <c r="N27" s="1321"/>
      <c r="O27" s="1143" t="s">
        <v>1121</v>
      </c>
      <c r="P27" s="1143">
        <v>5</v>
      </c>
      <c r="Q27" s="1143">
        <v>5.6</v>
      </c>
      <c r="R27" s="1143">
        <v>5.2</v>
      </c>
      <c r="S27" s="1143">
        <v>4.4000000000000004</v>
      </c>
      <c r="T27" s="1143">
        <v>4.2</v>
      </c>
      <c r="U27" s="1143">
        <v>0</v>
      </c>
      <c r="V27" s="1143">
        <v>0</v>
      </c>
      <c r="W27" s="1143">
        <v>10.4</v>
      </c>
      <c r="X27" s="1143">
        <v>26.1</v>
      </c>
      <c r="Y27" s="1143">
        <v>80</v>
      </c>
      <c r="Z27" s="1143">
        <v>1.5</v>
      </c>
      <c r="AA27" s="1143">
        <v>0</v>
      </c>
      <c r="AB27" s="1143">
        <v>2</v>
      </c>
      <c r="AC27" s="1143">
        <v>0</v>
      </c>
      <c r="AD27" s="1143">
        <v>0</v>
      </c>
      <c r="AE27" s="1143">
        <v>0.9</v>
      </c>
      <c r="AF27" s="1143">
        <v>36.1</v>
      </c>
      <c r="AG27" s="1143">
        <v>0</v>
      </c>
      <c r="AH27" s="1143">
        <v>0</v>
      </c>
      <c r="AI27" s="1143">
        <v>0</v>
      </c>
      <c r="AJ27" s="1143">
        <v>0</v>
      </c>
      <c r="AK27" s="1143">
        <v>0</v>
      </c>
      <c r="AL27" s="1143">
        <v>0</v>
      </c>
      <c r="AM27" s="1143">
        <v>0</v>
      </c>
      <c r="AN27" s="1143">
        <v>0</v>
      </c>
      <c r="AO27" s="1143">
        <v>27</v>
      </c>
      <c r="AP27" s="1143">
        <v>0</v>
      </c>
      <c r="AQ27" s="1143">
        <v>21</v>
      </c>
      <c r="AR27" s="1143">
        <v>10</v>
      </c>
      <c r="AS27" s="1143">
        <v>13</v>
      </c>
      <c r="AT27" s="1143">
        <v>0</v>
      </c>
      <c r="AU27" s="1143">
        <v>3</v>
      </c>
      <c r="AV27" s="1143">
        <v>0</v>
      </c>
      <c r="AW27" s="1143">
        <v>8.5</v>
      </c>
      <c r="AX27" s="1143">
        <v>10</v>
      </c>
      <c r="AY27" s="1143">
        <v>10</v>
      </c>
      <c r="AZ27" s="1321"/>
      <c r="BA27" s="1321"/>
      <c r="BB27" s="1321"/>
      <c r="BC27" s="1327"/>
      <c r="BD27" s="1327"/>
      <c r="BE27" s="1327"/>
      <c r="BF27" s="1327"/>
      <c r="BG27" s="1321"/>
      <c r="BH27" s="1321"/>
      <c r="BI27" s="1321"/>
      <c r="BJ27" s="1321"/>
      <c r="BK27" s="1345"/>
      <c r="BL27" s="1345"/>
      <c r="BM27" s="1189"/>
      <c r="BN27" s="1177"/>
      <c r="BO27" s="1177"/>
      <c r="BP27" s="1177"/>
      <c r="BQ27" s="1177"/>
      <c r="BR27" s="1177"/>
      <c r="BS27" s="1177"/>
      <c r="BT27" s="1177"/>
      <c r="BU27" s="1177"/>
      <c r="BV27" s="1191"/>
      <c r="BW27" s="1345"/>
      <c r="BX27" s="1321"/>
      <c r="BY27" s="1143" t="s">
        <v>769</v>
      </c>
      <c r="BZ27" s="1143">
        <v>10</v>
      </c>
      <c r="CA27" s="1321"/>
      <c r="CB27" s="1143" t="s">
        <v>769</v>
      </c>
      <c r="CC27" s="1143">
        <v>4</v>
      </c>
      <c r="CD27" s="1345"/>
      <c r="CE27" s="1345"/>
      <c r="CF27" s="1345"/>
      <c r="CG27" s="1345"/>
      <c r="CH27" s="1345"/>
      <c r="CI27" s="1321"/>
      <c r="CJ27" s="1176" t="s">
        <v>1286</v>
      </c>
      <c r="CK27" s="1177" t="s">
        <v>285</v>
      </c>
      <c r="CL27" s="1177" t="s">
        <v>1253</v>
      </c>
      <c r="CM27" s="1177">
        <v>2</v>
      </c>
      <c r="CN27" s="1177">
        <v>1.6</v>
      </c>
      <c r="CO27" s="1177">
        <v>2</v>
      </c>
      <c r="CP27" s="1177">
        <v>1</v>
      </c>
      <c r="CQ27" s="1178">
        <v>0</v>
      </c>
      <c r="CR27" s="1321"/>
      <c r="CS27" s="1142"/>
      <c r="CT27" s="1142"/>
      <c r="CU27" s="1321"/>
      <c r="CV27" s="1321"/>
      <c r="CW27" s="1321"/>
      <c r="CX27" s="1321"/>
      <c r="CY27" s="1321"/>
      <c r="CZ27" s="1143" t="s">
        <v>813</v>
      </c>
      <c r="DA27" s="1143">
        <v>7.0000000000000007E-2</v>
      </c>
      <c r="DB27" s="1321"/>
      <c r="DC27" s="1143">
        <v>1.5</v>
      </c>
      <c r="DD27" s="1321"/>
      <c r="DE27" s="1321"/>
      <c r="DF27" s="1321"/>
      <c r="DG27" s="1176" t="s">
        <v>1294</v>
      </c>
      <c r="DH27" s="1177" t="s">
        <v>723</v>
      </c>
      <c r="DI27" s="1177" t="s">
        <v>1277</v>
      </c>
      <c r="DJ27" s="1177">
        <v>0.1</v>
      </c>
      <c r="DK27" s="1177">
        <v>9.0999999999999998E-2</v>
      </c>
      <c r="DL27" s="1178">
        <v>5.5E-2</v>
      </c>
      <c r="DM27" s="1321"/>
      <c r="DN27" s="1214" t="s">
        <v>408</v>
      </c>
      <c r="DO27" s="1215">
        <v>3</v>
      </c>
      <c r="DP27" s="1215">
        <v>80</v>
      </c>
      <c r="DQ27" s="1215">
        <v>0</v>
      </c>
      <c r="DR27" s="1215">
        <v>0</v>
      </c>
      <c r="DS27" s="1345"/>
      <c r="DT27" s="1346"/>
      <c r="DU27" s="1346"/>
      <c r="DV27" s="1200"/>
      <c r="DW27" s="1201"/>
      <c r="DX27" s="1201"/>
      <c r="DY27" s="1201"/>
      <c r="DZ27" s="1201"/>
      <c r="EA27" s="1201"/>
      <c r="EB27" s="1201"/>
      <c r="EC27" s="1201"/>
      <c r="ED27" s="1226"/>
      <c r="EE27" s="1227"/>
      <c r="EF27" s="1321"/>
      <c r="EG27" s="1149" t="s">
        <v>900</v>
      </c>
      <c r="EH27" s="1149">
        <v>0.6</v>
      </c>
      <c r="EI27" s="1321"/>
      <c r="EJ27" s="1149" t="s">
        <v>900</v>
      </c>
      <c r="EK27" s="1149">
        <v>0.3</v>
      </c>
      <c r="EL27" s="1321"/>
      <c r="EM27" s="1321"/>
      <c r="EN27" s="1200" t="s">
        <v>1356</v>
      </c>
      <c r="EO27" s="1202">
        <v>0.1</v>
      </c>
      <c r="EP27" s="1321"/>
      <c r="EQ27" s="1200" t="s">
        <v>1356</v>
      </c>
      <c r="ER27" s="1202">
        <v>0.04</v>
      </c>
      <c r="ES27" s="1321"/>
      <c r="ET27" s="1321"/>
      <c r="EU27" s="1149" t="s">
        <v>932</v>
      </c>
      <c r="EV27" s="1149" t="s">
        <v>934</v>
      </c>
      <c r="EW27" s="1149" t="s">
        <v>941</v>
      </c>
      <c r="EX27" s="1149" t="s">
        <v>956</v>
      </c>
      <c r="EY27" s="1321"/>
      <c r="EZ27" s="1345"/>
      <c r="FA27" s="1345"/>
      <c r="FB27" s="1345"/>
      <c r="FC27" s="1321"/>
      <c r="FD27" s="1176" t="s">
        <v>1028</v>
      </c>
      <c r="FE27" s="1178">
        <v>80</v>
      </c>
      <c r="FF27" s="1321"/>
      <c r="FG27" s="1176" t="s">
        <v>1028</v>
      </c>
      <c r="FH27" s="1178">
        <v>30</v>
      </c>
      <c r="FI27" s="1321"/>
      <c r="FJ27" s="1176" t="s">
        <v>1028</v>
      </c>
      <c r="FK27" s="1178">
        <v>12</v>
      </c>
      <c r="FL27" s="1345"/>
      <c r="FM27" s="1321"/>
      <c r="FN27" s="1176" t="s">
        <v>1029</v>
      </c>
      <c r="FO27" s="1178">
        <v>60</v>
      </c>
      <c r="FP27" s="1321"/>
      <c r="FQ27" s="1176" t="s">
        <v>1029</v>
      </c>
      <c r="FR27" s="1178">
        <v>30</v>
      </c>
      <c r="FS27" s="1321"/>
      <c r="FT27" s="1176" t="s">
        <v>1029</v>
      </c>
      <c r="FU27" s="1178">
        <v>10</v>
      </c>
      <c r="FV27" s="1345"/>
      <c r="FW27" s="1217" t="s">
        <v>1305</v>
      </c>
      <c r="FX27" s="1177" t="s">
        <v>1271</v>
      </c>
      <c r="FY27" s="1177" t="s">
        <v>1252</v>
      </c>
      <c r="FZ27" s="1177"/>
      <c r="GA27" s="1177">
        <v>5.1999999999999998E-2</v>
      </c>
      <c r="GB27" s="1177">
        <v>0.04</v>
      </c>
      <c r="GC27" s="1178">
        <v>1.2E-2</v>
      </c>
      <c r="GD27" s="1321"/>
      <c r="GE27" s="1149" t="s">
        <v>248</v>
      </c>
      <c r="GF27" s="1321"/>
      <c r="GG27" s="1149" t="s">
        <v>367</v>
      </c>
      <c r="GH27" s="1321" t="s">
        <v>1349</v>
      </c>
      <c r="GI27" s="1321" t="s">
        <v>1349</v>
      </c>
      <c r="GJ27" s="1321" t="s">
        <v>1349</v>
      </c>
      <c r="GK27" s="1321" t="s">
        <v>1349</v>
      </c>
      <c r="GL27" s="1321" t="s">
        <v>1349</v>
      </c>
      <c r="GM27" s="1321" t="s">
        <v>1349</v>
      </c>
      <c r="GN27" s="1321" t="s">
        <v>1349</v>
      </c>
      <c r="GO27" s="1321" t="s">
        <v>1349</v>
      </c>
      <c r="GP27" s="1321" t="s">
        <v>1349</v>
      </c>
      <c r="GQ27" s="1321" t="s">
        <v>1349</v>
      </c>
      <c r="GR27" s="1321" t="s">
        <v>1349</v>
      </c>
      <c r="GS27" s="1321" t="s">
        <v>1349</v>
      </c>
      <c r="GT27" s="1321" t="s">
        <v>1349</v>
      </c>
      <c r="GU27" s="1321" t="s">
        <v>1349</v>
      </c>
      <c r="GV27" s="1321" t="s">
        <v>1349</v>
      </c>
      <c r="GW27" s="1321"/>
      <c r="GX27" s="1321"/>
      <c r="GY27" s="1082" t="s">
        <v>1345</v>
      </c>
      <c r="GZ27" s="1082"/>
      <c r="HA27" s="1085">
        <f>SUMIF(TypeArticleDansEntrepôt,GY27,QtéArticleDansEntrepôt)</f>
        <v>0</v>
      </c>
      <c r="HB27" s="1085">
        <f>IF(COUNTIF(TypeArticleDansEntrepôt,GY27)=0,0,SUMIF(TypeArticleDansEntrepôt,GY27,QtéArticleDansEntrepôt)*VLOOKUP(GY27,place_necessaire_entrepots_aire_paille[],2,FALSE))</f>
        <v>0</v>
      </c>
      <c r="HC27" s="1321"/>
      <c r="HD27" s="1321"/>
      <c r="HE27" s="1321"/>
      <c r="HF27" s="1321"/>
      <c r="HG27" s="1321"/>
      <c r="HH27" s="1321"/>
      <c r="HI27" s="1321"/>
      <c r="HJ27" s="1321"/>
      <c r="HK27" s="1143" t="s">
        <v>671</v>
      </c>
      <c r="HL27" s="1152">
        <v>50</v>
      </c>
      <c r="HM27" s="1321"/>
      <c r="HN27" s="1149" t="s">
        <v>331</v>
      </c>
      <c r="HO27" s="1165">
        <v>40</v>
      </c>
      <c r="HP27" s="1166">
        <v>0.6</v>
      </c>
      <c r="HQ27" s="1166">
        <v>0.33333333333333331</v>
      </c>
      <c r="HR27" s="1166">
        <v>0.63636363636363635</v>
      </c>
      <c r="HS27" s="1166">
        <f>0.5/1.5</f>
        <v>0.33333333333333331</v>
      </c>
      <c r="HT27" s="1166">
        <f>0.5/1.5</f>
        <v>0.33333333333333331</v>
      </c>
      <c r="HU27" s="1166">
        <f>0.5/1.5</f>
        <v>0.33333333333333331</v>
      </c>
      <c r="HV27" s="1321"/>
      <c r="HW27" s="1321"/>
      <c r="HX27" s="1321"/>
      <c r="HY27" s="1321"/>
      <c r="HZ27" s="1321"/>
      <c r="IA27" s="1321"/>
      <c r="IB27" s="1321"/>
      <c r="IC27" s="1321"/>
      <c r="ID27" s="1321"/>
      <c r="IE27" s="1321"/>
      <c r="IF27" s="1321"/>
      <c r="IG27" s="1321"/>
      <c r="IH27" s="1321"/>
      <c r="II27" s="1321"/>
      <c r="IJ27" s="1321"/>
      <c r="IK27" s="1321"/>
      <c r="IL27" s="1321"/>
      <c r="IM27" s="1321"/>
      <c r="IN27" s="1368"/>
    </row>
    <row r="28" spans="1:248" ht="12.75" customHeight="1" x14ac:dyDescent="0.2">
      <c r="A28" s="1307" t="s">
        <v>681</v>
      </c>
      <c r="B28" s="1177" t="s">
        <v>354</v>
      </c>
      <c r="C28" s="1177">
        <v>30</v>
      </c>
      <c r="D28" s="1178">
        <v>0.15</v>
      </c>
      <c r="E28" s="1327"/>
      <c r="F28" s="1173" t="s">
        <v>712</v>
      </c>
      <c r="G28" s="1174">
        <v>9</v>
      </c>
      <c r="H28" s="1321"/>
      <c r="I28" s="1321"/>
      <c r="J28" s="1321"/>
      <c r="K28" s="1321"/>
      <c r="L28" s="1321"/>
      <c r="M28" s="1075" t="s">
        <v>1883</v>
      </c>
      <c r="N28" s="1321"/>
      <c r="O28" s="1149" t="s">
        <v>1122</v>
      </c>
      <c r="P28" s="1149">
        <v>6.3</v>
      </c>
      <c r="Q28" s="1149">
        <v>7.2</v>
      </c>
      <c r="R28" s="1149">
        <v>6.9</v>
      </c>
      <c r="S28" s="1149">
        <v>5</v>
      </c>
      <c r="T28" s="1149">
        <v>4.5999999999999996</v>
      </c>
      <c r="U28" s="1149">
        <v>0</v>
      </c>
      <c r="V28" s="1149">
        <v>0</v>
      </c>
      <c r="W28" s="1149">
        <v>12.2</v>
      </c>
      <c r="X28" s="1149">
        <v>26</v>
      </c>
      <c r="Y28" s="1149">
        <v>0</v>
      </c>
      <c r="Z28" s="1149">
        <v>0</v>
      </c>
      <c r="AA28" s="1149">
        <v>0</v>
      </c>
      <c r="AB28" s="1149">
        <v>0</v>
      </c>
      <c r="AC28" s="1149">
        <v>0</v>
      </c>
      <c r="AD28" s="1149">
        <v>0</v>
      </c>
      <c r="AE28" s="1149">
        <v>0</v>
      </c>
      <c r="AF28" s="1149">
        <v>43.1</v>
      </c>
      <c r="AG28" s="1149">
        <v>0</v>
      </c>
      <c r="AH28" s="1149">
        <v>0</v>
      </c>
      <c r="AI28" s="1149">
        <v>18</v>
      </c>
      <c r="AJ28" s="1149">
        <v>0</v>
      </c>
      <c r="AK28" s="1149">
        <v>0</v>
      </c>
      <c r="AL28" s="1149">
        <v>12</v>
      </c>
      <c r="AM28" s="1149">
        <v>1.2</v>
      </c>
      <c r="AN28" s="1149">
        <v>0</v>
      </c>
      <c r="AO28" s="1149">
        <v>32</v>
      </c>
      <c r="AP28" s="1149">
        <v>8</v>
      </c>
      <c r="AQ28" s="1149">
        <v>10</v>
      </c>
      <c r="AR28" s="1149">
        <v>10</v>
      </c>
      <c r="AS28" s="1149">
        <v>0</v>
      </c>
      <c r="AT28" s="1149">
        <v>0</v>
      </c>
      <c r="AU28" s="1149">
        <v>3</v>
      </c>
      <c r="AV28" s="1149">
        <v>4</v>
      </c>
      <c r="AW28" s="1149">
        <v>8.5</v>
      </c>
      <c r="AX28" s="1149">
        <v>10</v>
      </c>
      <c r="AY28" s="1149">
        <v>10</v>
      </c>
      <c r="AZ28" s="1321"/>
      <c r="BA28" s="1321"/>
      <c r="BB28" s="1321"/>
      <c r="BC28" s="1328" t="s">
        <v>734</v>
      </c>
      <c r="BD28" s="1320"/>
      <c r="BE28" s="1321"/>
      <c r="BF28" s="1328" t="s">
        <v>741</v>
      </c>
      <c r="BG28" s="1320"/>
      <c r="BH28" s="1321"/>
      <c r="BI28" s="1321"/>
      <c r="BJ28" s="1321"/>
      <c r="BK28" s="1345"/>
      <c r="BL28" s="1345"/>
      <c r="BM28" s="1189"/>
      <c r="BN28" s="1177"/>
      <c r="BO28" s="1177"/>
      <c r="BP28" s="1177"/>
      <c r="BQ28" s="1177"/>
      <c r="BR28" s="1177"/>
      <c r="BS28" s="1177"/>
      <c r="BT28" s="1177"/>
      <c r="BU28" s="1177"/>
      <c r="BV28" s="1191"/>
      <c r="BW28" s="1345"/>
      <c r="BX28" s="1321"/>
      <c r="BY28" s="1149" t="s">
        <v>770</v>
      </c>
      <c r="BZ28" s="1149">
        <v>10</v>
      </c>
      <c r="CA28" s="1321"/>
      <c r="CB28" s="1149" t="s">
        <v>770</v>
      </c>
      <c r="CC28" s="1149">
        <v>4</v>
      </c>
      <c r="CD28" s="1345"/>
      <c r="CE28" s="1345"/>
      <c r="CF28" s="1345"/>
      <c r="CG28" s="1345"/>
      <c r="CH28" s="1345"/>
      <c r="CI28" s="1321"/>
      <c r="CJ28" s="1176" t="s">
        <v>1286</v>
      </c>
      <c r="CK28" s="1177" t="s">
        <v>76</v>
      </c>
      <c r="CL28" s="1177" t="s">
        <v>1253</v>
      </c>
      <c r="CM28" s="1177">
        <v>2</v>
      </c>
      <c r="CN28" s="1177">
        <v>1.6</v>
      </c>
      <c r="CO28" s="1177">
        <v>2</v>
      </c>
      <c r="CP28" s="1177">
        <v>1</v>
      </c>
      <c r="CQ28" s="1178">
        <v>0</v>
      </c>
      <c r="CR28" s="1321"/>
      <c r="CS28" s="1148" t="s">
        <v>1361</v>
      </c>
      <c r="CT28" s="1142"/>
      <c r="CU28" s="1321"/>
      <c r="CV28" s="1321"/>
      <c r="CW28" s="1321"/>
      <c r="CX28" s="1321"/>
      <c r="CY28" s="1321"/>
      <c r="CZ28" s="1149" t="s">
        <v>814</v>
      </c>
      <c r="DA28" s="1149">
        <v>7.0000000000000007E-2</v>
      </c>
      <c r="DB28" s="1321"/>
      <c r="DC28" s="1321"/>
      <c r="DD28" s="1321"/>
      <c r="DE28" s="1321"/>
      <c r="DF28" s="1321"/>
      <c r="DG28" s="1176" t="s">
        <v>1294</v>
      </c>
      <c r="DH28" s="1177" t="s">
        <v>285</v>
      </c>
      <c r="DI28" s="1177" t="s">
        <v>1253</v>
      </c>
      <c r="DJ28" s="1177">
        <v>5.5E-2</v>
      </c>
      <c r="DK28" s="1177">
        <v>0.05</v>
      </c>
      <c r="DL28" s="1178">
        <v>0.03</v>
      </c>
      <c r="DM28" s="1321"/>
      <c r="DN28" s="1210" t="s">
        <v>145</v>
      </c>
      <c r="DO28" s="1211">
        <v>4</v>
      </c>
      <c r="DP28" s="1211">
        <v>75</v>
      </c>
      <c r="DQ28" s="1211">
        <v>0</v>
      </c>
      <c r="DR28" s="1211">
        <v>3</v>
      </c>
      <c r="DS28" s="1345"/>
      <c r="DT28" s="1346"/>
      <c r="DU28" s="1346"/>
      <c r="DV28" s="1321"/>
      <c r="DW28" s="1321"/>
      <c r="DX28" s="1321"/>
      <c r="DY28" s="1321"/>
      <c r="DZ28" s="1321"/>
      <c r="EA28" s="1321"/>
      <c r="EB28" s="1321"/>
      <c r="EC28" s="1321"/>
      <c r="ED28" s="1345"/>
      <c r="EE28" s="1345"/>
      <c r="EF28" s="1321"/>
      <c r="EG28" s="1143" t="s">
        <v>901</v>
      </c>
      <c r="EH28" s="1143">
        <v>0.2</v>
      </c>
      <c r="EI28" s="1321"/>
      <c r="EJ28" s="1143" t="s">
        <v>901</v>
      </c>
      <c r="EK28" s="1143">
        <v>0.15</v>
      </c>
      <c r="EL28" s="1321"/>
      <c r="EM28" s="1321"/>
      <c r="EN28" s="1321"/>
      <c r="EO28" s="1321"/>
      <c r="EP28" s="1321"/>
      <c r="EQ28" s="1321"/>
      <c r="ER28" s="1345"/>
      <c r="ES28" s="1321"/>
      <c r="ET28" s="1321"/>
      <c r="EU28" s="1321"/>
      <c r="EV28" s="1321"/>
      <c r="EW28" s="1321"/>
      <c r="EX28" s="1321"/>
      <c r="EY28" s="1321"/>
      <c r="EZ28" s="1345"/>
      <c r="FA28" s="1345"/>
      <c r="FB28" s="1345"/>
      <c r="FC28" s="1321"/>
      <c r="FD28" s="1176" t="s">
        <v>1029</v>
      </c>
      <c r="FE28" s="1178">
        <v>100</v>
      </c>
      <c r="FF28" s="1321"/>
      <c r="FG28" s="1176" t="s">
        <v>1029</v>
      </c>
      <c r="FH28" s="1178">
        <v>40</v>
      </c>
      <c r="FI28" s="1321"/>
      <c r="FJ28" s="1176" t="s">
        <v>1029</v>
      </c>
      <c r="FK28" s="1178">
        <v>15</v>
      </c>
      <c r="FL28" s="1345"/>
      <c r="FM28" s="1321"/>
      <c r="FN28" s="1200" t="s">
        <v>1030</v>
      </c>
      <c r="FO28" s="1202">
        <v>60</v>
      </c>
      <c r="FP28" s="1321"/>
      <c r="FQ28" s="1200" t="s">
        <v>1030</v>
      </c>
      <c r="FR28" s="1202">
        <v>30</v>
      </c>
      <c r="FS28" s="1321"/>
      <c r="FT28" s="1200" t="s">
        <v>1030</v>
      </c>
      <c r="FU28" s="1202">
        <v>10</v>
      </c>
      <c r="FV28" s="1345"/>
      <c r="FW28" s="1217" t="s">
        <v>1305</v>
      </c>
      <c r="FX28" s="1177" t="s">
        <v>733</v>
      </c>
      <c r="FY28" s="1177" t="s">
        <v>1252</v>
      </c>
      <c r="FZ28" s="1177">
        <v>0.8</v>
      </c>
      <c r="GA28" s="1177">
        <v>0.8</v>
      </c>
      <c r="GB28" s="1177">
        <v>0.8</v>
      </c>
      <c r="GC28" s="1178">
        <v>0.8</v>
      </c>
      <c r="GD28" s="1321"/>
      <c r="GE28" s="1143" t="s">
        <v>307</v>
      </c>
      <c r="GF28" s="1321"/>
      <c r="GG28" s="1143" t="s">
        <v>378</v>
      </c>
      <c r="GH28" s="1321" t="s">
        <v>1349</v>
      </c>
      <c r="GI28" s="1321" t="s">
        <v>1349</v>
      </c>
      <c r="GJ28" s="1321" t="s">
        <v>1349</v>
      </c>
      <c r="GK28" s="1321" t="s">
        <v>1349</v>
      </c>
      <c r="GL28" s="1321" t="s">
        <v>1349</v>
      </c>
      <c r="GM28" s="1321" t="s">
        <v>1349</v>
      </c>
      <c r="GN28" s="1321" t="s">
        <v>1349</v>
      </c>
      <c r="GO28" s="1321" t="s">
        <v>1349</v>
      </c>
      <c r="GP28" s="1321" t="s">
        <v>1349</v>
      </c>
      <c r="GQ28" s="1321" t="s">
        <v>1349</v>
      </c>
      <c r="GR28" s="1321" t="s">
        <v>1349</v>
      </c>
      <c r="GS28" s="1321" t="s">
        <v>1349</v>
      </c>
      <c r="GT28" s="1321" t="s">
        <v>1349</v>
      </c>
      <c r="GU28" s="1321" t="s">
        <v>1349</v>
      </c>
      <c r="GV28" s="1321" t="s">
        <v>1349</v>
      </c>
      <c r="GW28" s="1321"/>
      <c r="GX28" s="1321"/>
      <c r="GY28" s="1083"/>
      <c r="GZ28" s="1083"/>
      <c r="HA28" s="1084"/>
      <c r="HB28" s="1084"/>
      <c r="HC28" s="1321"/>
      <c r="HD28" s="1321"/>
      <c r="HE28" s="1321"/>
      <c r="HF28" s="1321"/>
      <c r="HG28" s="1321"/>
      <c r="HH28" s="1321"/>
      <c r="HI28" s="1321"/>
      <c r="HJ28" s="1321"/>
      <c r="HK28" s="1149" t="s">
        <v>49</v>
      </c>
      <c r="HL28" s="1159">
        <v>4350</v>
      </c>
      <c r="HM28" s="1321"/>
      <c r="HN28" s="1162" t="s">
        <v>1529</v>
      </c>
      <c r="HO28" s="1160">
        <v>40</v>
      </c>
      <c r="HP28" s="1175">
        <f t="shared" ref="HP28:HU28" si="7">HP27</f>
        <v>0.6</v>
      </c>
      <c r="HQ28" s="1175">
        <f t="shared" si="7"/>
        <v>0.33333333333333331</v>
      </c>
      <c r="HR28" s="1175">
        <f t="shared" si="7"/>
        <v>0.63636363636363635</v>
      </c>
      <c r="HS28" s="1175">
        <f t="shared" si="7"/>
        <v>0.33333333333333331</v>
      </c>
      <c r="HT28" s="1175">
        <f t="shared" si="7"/>
        <v>0.33333333333333331</v>
      </c>
      <c r="HU28" s="1175">
        <f t="shared" si="7"/>
        <v>0.33333333333333331</v>
      </c>
      <c r="HV28" s="1321"/>
      <c r="HW28" s="1321"/>
      <c r="HX28" s="1321"/>
      <c r="HY28" s="1321"/>
      <c r="HZ28" s="1321"/>
      <c r="IA28" s="1321"/>
      <c r="IB28" s="1321"/>
      <c r="IC28" s="1321"/>
      <c r="ID28" s="1321"/>
      <c r="IE28" s="1321"/>
      <c r="IF28" s="1321"/>
      <c r="IG28" s="1321"/>
      <c r="IH28" s="1321"/>
      <c r="II28" s="1321"/>
      <c r="IJ28" s="1321"/>
      <c r="IK28" s="1321"/>
      <c r="IL28" s="1321"/>
      <c r="IM28" s="1321"/>
      <c r="IN28" s="1368"/>
    </row>
    <row r="29" spans="1:248" ht="12.75" customHeight="1" x14ac:dyDescent="0.2">
      <c r="A29" s="1307" t="s">
        <v>691</v>
      </c>
      <c r="B29" s="1177" t="s">
        <v>354</v>
      </c>
      <c r="C29" s="1177">
        <v>200</v>
      </c>
      <c r="D29" s="1178">
        <v>0.5</v>
      </c>
      <c r="E29" s="1327"/>
      <c r="F29" s="1228" t="s">
        <v>713</v>
      </c>
      <c r="G29" s="1155">
        <v>1.6</v>
      </c>
      <c r="H29" s="1321"/>
      <c r="I29" s="1321"/>
      <c r="J29" s="1321"/>
      <c r="K29" s="1321"/>
      <c r="L29" s="1334"/>
      <c r="M29" s="1321"/>
      <c r="N29" s="1321"/>
      <c r="O29" s="1143" t="s">
        <v>531</v>
      </c>
      <c r="P29" s="1143">
        <v>3.5</v>
      </c>
      <c r="Q29" s="1143">
        <v>7.5</v>
      </c>
      <c r="R29" s="1143">
        <v>7.2</v>
      </c>
      <c r="S29" s="1143">
        <v>4.8</v>
      </c>
      <c r="T29" s="1143">
        <v>4.3</v>
      </c>
      <c r="U29" s="1143">
        <v>0</v>
      </c>
      <c r="V29" s="1143">
        <v>3</v>
      </c>
      <c r="W29" s="1143">
        <v>11</v>
      </c>
      <c r="X29" s="1143">
        <v>21.7</v>
      </c>
      <c r="Y29" s="1143">
        <v>74</v>
      </c>
      <c r="Z29" s="1143">
        <v>1.8</v>
      </c>
      <c r="AA29" s="1143">
        <v>2</v>
      </c>
      <c r="AB29" s="1143">
        <v>3</v>
      </c>
      <c r="AC29" s="1143">
        <v>0</v>
      </c>
      <c r="AD29" s="1143">
        <v>3.7</v>
      </c>
      <c r="AE29" s="1143">
        <v>1.2</v>
      </c>
      <c r="AF29" s="1143">
        <v>46.5</v>
      </c>
      <c r="AG29" s="1143">
        <v>0</v>
      </c>
      <c r="AH29" s="1143">
        <v>0</v>
      </c>
      <c r="AI29" s="1143">
        <v>9</v>
      </c>
      <c r="AJ29" s="1143">
        <v>11</v>
      </c>
      <c r="AK29" s="1143">
        <v>0</v>
      </c>
      <c r="AL29" s="1143">
        <v>10</v>
      </c>
      <c r="AM29" s="1143">
        <v>1.1000000000000001</v>
      </c>
      <c r="AN29" s="1143">
        <v>2.7</v>
      </c>
      <c r="AO29" s="1143">
        <v>20</v>
      </c>
      <c r="AP29" s="1143">
        <v>0</v>
      </c>
      <c r="AQ29" s="1143">
        <v>15</v>
      </c>
      <c r="AR29" s="1143">
        <v>0</v>
      </c>
      <c r="AS29" s="1143">
        <v>0</v>
      </c>
      <c r="AT29" s="1143">
        <v>0</v>
      </c>
      <c r="AU29" s="1143">
        <v>0</v>
      </c>
      <c r="AV29" s="1143">
        <v>0</v>
      </c>
      <c r="AW29" s="1143">
        <v>8.5</v>
      </c>
      <c r="AX29" s="1143">
        <v>10</v>
      </c>
      <c r="AY29" s="1143">
        <v>10</v>
      </c>
      <c r="AZ29" s="1321"/>
      <c r="BA29" s="1321"/>
      <c r="BB29" s="1321"/>
      <c r="BC29" s="1167" t="s">
        <v>1366</v>
      </c>
      <c r="BD29" s="1229" t="s">
        <v>1368</v>
      </c>
      <c r="BE29" s="1321"/>
      <c r="BF29" s="1167" t="s">
        <v>1366</v>
      </c>
      <c r="BG29" s="1229" t="s">
        <v>1367</v>
      </c>
      <c r="BH29" s="1321"/>
      <c r="BI29" s="1321"/>
      <c r="BJ29" s="1321"/>
      <c r="BK29" s="1345"/>
      <c r="BL29" s="1348"/>
      <c r="BM29" s="1189"/>
      <c r="BN29" s="1177"/>
      <c r="BO29" s="1177"/>
      <c r="BP29" s="1177"/>
      <c r="BQ29" s="1177"/>
      <c r="BR29" s="1177"/>
      <c r="BS29" s="1177"/>
      <c r="BT29" s="1177"/>
      <c r="BU29" s="1177"/>
      <c r="BV29" s="1191"/>
      <c r="BW29" s="1345"/>
      <c r="BX29" s="1321"/>
      <c r="BY29" s="1143" t="s">
        <v>771</v>
      </c>
      <c r="BZ29" s="1143">
        <v>5</v>
      </c>
      <c r="CA29" s="1321"/>
      <c r="CB29" s="1143" t="s">
        <v>771</v>
      </c>
      <c r="CC29" s="1143">
        <v>2</v>
      </c>
      <c r="CD29" s="1345"/>
      <c r="CE29" s="1345"/>
      <c r="CF29" s="1345"/>
      <c r="CG29" s="1345"/>
      <c r="CH29" s="1345"/>
      <c r="CI29" s="1321"/>
      <c r="CJ29" s="1176" t="s">
        <v>1286</v>
      </c>
      <c r="CK29" s="1177" t="s">
        <v>500</v>
      </c>
      <c r="CL29" s="1177" t="s">
        <v>1253</v>
      </c>
      <c r="CM29" s="1177">
        <v>2</v>
      </c>
      <c r="CN29" s="1177">
        <v>1.6</v>
      </c>
      <c r="CO29" s="1177">
        <v>2</v>
      </c>
      <c r="CP29" s="1177">
        <v>1</v>
      </c>
      <c r="CQ29" s="1178">
        <v>0</v>
      </c>
      <c r="CR29" s="1321"/>
      <c r="CS29" s="1143" t="s">
        <v>791</v>
      </c>
      <c r="CT29" s="1143">
        <v>0</v>
      </c>
      <c r="CU29" s="1321"/>
      <c r="CV29" s="1321"/>
      <c r="CW29" s="1321"/>
      <c r="CX29" s="1321"/>
      <c r="CY29" s="1321"/>
      <c r="CZ29" s="1143" t="s">
        <v>815</v>
      </c>
      <c r="DA29" s="1143">
        <v>0.01</v>
      </c>
      <c r="DB29" s="1321"/>
      <c r="DC29" s="1321"/>
      <c r="DD29" s="1321"/>
      <c r="DE29" s="1321"/>
      <c r="DF29" s="1321"/>
      <c r="DG29" s="1176" t="s">
        <v>1294</v>
      </c>
      <c r="DH29" s="1177" t="s">
        <v>76</v>
      </c>
      <c r="DI29" s="1177" t="s">
        <v>1253</v>
      </c>
      <c r="DJ29" s="1177">
        <v>5.5E-2</v>
      </c>
      <c r="DK29" s="1177">
        <v>0.05</v>
      </c>
      <c r="DL29" s="1178">
        <v>0.03</v>
      </c>
      <c r="DM29" s="1321"/>
      <c r="DN29" s="1214" t="s">
        <v>825</v>
      </c>
      <c r="DO29" s="1215">
        <v>3.5</v>
      </c>
      <c r="DP29" s="1215">
        <v>65</v>
      </c>
      <c r="DQ29" s="1215">
        <v>0</v>
      </c>
      <c r="DR29" s="1215">
        <v>1</v>
      </c>
      <c r="DS29" s="1345"/>
      <c r="DT29" s="1346"/>
      <c r="DU29" s="1346"/>
      <c r="DV29" s="1321"/>
      <c r="DW29" s="1321"/>
      <c r="DX29" s="1321"/>
      <c r="DY29" s="1321"/>
      <c r="DZ29" s="1321"/>
      <c r="EA29" s="1321"/>
      <c r="EB29" s="1321"/>
      <c r="EC29" s="1321"/>
      <c r="ED29" s="1345"/>
      <c r="EE29" s="1345"/>
      <c r="EF29" s="1321"/>
      <c r="EG29" s="1321"/>
      <c r="EH29" s="1321"/>
      <c r="EI29" s="1321"/>
      <c r="EJ29" s="1321"/>
      <c r="EK29" s="1345"/>
      <c r="EL29" s="1321"/>
      <c r="EM29" s="1321"/>
      <c r="EN29" s="1328" t="s">
        <v>1297</v>
      </c>
      <c r="EO29" s="1321"/>
      <c r="EP29" s="1321"/>
      <c r="EQ29" s="1321"/>
      <c r="ER29" s="1321"/>
      <c r="ES29" s="1321"/>
      <c r="ET29" s="1321"/>
      <c r="EU29" s="1328" t="s">
        <v>1025</v>
      </c>
      <c r="EV29" s="1321"/>
      <c r="EW29" s="1321"/>
      <c r="EX29" s="1328" t="s">
        <v>734</v>
      </c>
      <c r="EY29" s="1321"/>
      <c r="EZ29" s="1321"/>
      <c r="FA29" s="1328" t="s">
        <v>766</v>
      </c>
      <c r="FB29" s="1321"/>
      <c r="FC29" s="1321"/>
      <c r="FD29" s="1200" t="s">
        <v>1030</v>
      </c>
      <c r="FE29" s="1202">
        <v>100</v>
      </c>
      <c r="FF29" s="1321"/>
      <c r="FG29" s="1200" t="s">
        <v>1030</v>
      </c>
      <c r="FH29" s="1202">
        <v>40</v>
      </c>
      <c r="FI29" s="1321"/>
      <c r="FJ29" s="1200" t="s">
        <v>1030</v>
      </c>
      <c r="FK29" s="1202">
        <v>15</v>
      </c>
      <c r="FL29" s="1345"/>
      <c r="FM29" s="1321"/>
      <c r="FN29" s="1321"/>
      <c r="FO29" s="1321"/>
      <c r="FP29" s="1321"/>
      <c r="FQ29" s="1321"/>
      <c r="FR29" s="1321"/>
      <c r="FS29" s="1345"/>
      <c r="FT29" s="1345"/>
      <c r="FU29" s="1345"/>
      <c r="FV29" s="1345"/>
      <c r="FW29" s="1176" t="s">
        <v>1306</v>
      </c>
      <c r="FX29" s="1177" t="s">
        <v>723</v>
      </c>
      <c r="FY29" s="1177" t="s">
        <v>1277</v>
      </c>
      <c r="FZ29" s="1177"/>
      <c r="GA29" s="1177">
        <v>1.36</v>
      </c>
      <c r="GB29" s="1177">
        <v>1.04</v>
      </c>
      <c r="GC29" s="1178">
        <v>0.315</v>
      </c>
      <c r="GD29" s="1321"/>
      <c r="GE29" s="1149" t="s">
        <v>5</v>
      </c>
      <c r="GF29" s="1321"/>
      <c r="GG29" s="1149" t="s">
        <v>379</v>
      </c>
      <c r="GH29" s="1321" t="s">
        <v>1349</v>
      </c>
      <c r="GI29" s="1321" t="s">
        <v>1349</v>
      </c>
      <c r="GJ29" s="1321" t="s">
        <v>1349</v>
      </c>
      <c r="GK29" s="1321" t="s">
        <v>1349</v>
      </c>
      <c r="GL29" s="1321" t="s">
        <v>1349</v>
      </c>
      <c r="GM29" s="1321" t="s">
        <v>1349</v>
      </c>
      <c r="GN29" s="1321" t="s">
        <v>1349</v>
      </c>
      <c r="GO29" s="1321" t="s">
        <v>1349</v>
      </c>
      <c r="GP29" s="1321" t="s">
        <v>1349</v>
      </c>
      <c r="GQ29" s="1321" t="s">
        <v>1349</v>
      </c>
      <c r="GR29" s="1321" t="s">
        <v>1349</v>
      </c>
      <c r="GS29" s="1321" t="s">
        <v>1349</v>
      </c>
      <c r="GT29" s="1321" t="s">
        <v>1349</v>
      </c>
      <c r="GU29" s="1321" t="s">
        <v>1349</v>
      </c>
      <c r="GV29" s="1321" t="s">
        <v>1349</v>
      </c>
      <c r="GW29" s="1321"/>
      <c r="GX29" s="1321"/>
      <c r="GY29" s="1082" t="str">
        <f>GS5</f>
        <v>minéraux &amp; vitamines BQ</v>
      </c>
      <c r="GZ29" s="1082"/>
      <c r="HA29" s="1085">
        <f>SUMIF(TypeArticleDansEntrepôt,GY29,QtéArticleDansEntrepôt)</f>
        <v>0</v>
      </c>
      <c r="HB29" s="1085">
        <f>IF(COUNTIF(TypeArticleDansEntrepôt,GY29)=0,0,SUMIF(TypeArticleDansEntrepôt,GY29,QtéArticleDansEntrepôt)*VLOOKUP(GY29,place_necessaire_entrepots_aire_paille[],2,FALSE))</f>
        <v>0</v>
      </c>
      <c r="HC29" s="1321"/>
      <c r="HD29" s="1321"/>
      <c r="HE29" s="1321"/>
      <c r="HF29" s="1321"/>
      <c r="HG29" s="1321"/>
      <c r="HH29" s="1321"/>
      <c r="HI29" s="1321"/>
      <c r="HJ29" s="1321"/>
      <c r="HK29" s="1143" t="s">
        <v>296</v>
      </c>
      <c r="HL29" s="1152">
        <v>230</v>
      </c>
      <c r="HM29" s="1321"/>
      <c r="HN29" s="1149" t="s">
        <v>332</v>
      </c>
      <c r="HO29" s="1165">
        <v>100</v>
      </c>
      <c r="HP29" s="1166">
        <v>0.63636363636363635</v>
      </c>
      <c r="HQ29" s="1166">
        <v>0.5</v>
      </c>
      <c r="HR29" s="1166">
        <v>0.66666666666666663</v>
      </c>
      <c r="HS29" s="1166">
        <v>0.33333333333333331</v>
      </c>
      <c r="HT29" s="1166">
        <v>0.33333333333333331</v>
      </c>
      <c r="HU29" s="1166">
        <v>0.33333333333333331</v>
      </c>
      <c r="HV29" s="1321"/>
      <c r="HW29" s="1321"/>
      <c r="HX29" s="1321"/>
      <c r="HY29" s="1321"/>
      <c r="HZ29" s="1321"/>
      <c r="IA29" s="1321"/>
      <c r="IB29" s="1321"/>
      <c r="IC29" s="1321"/>
      <c r="ID29" s="1321"/>
      <c r="IE29" s="1321"/>
      <c r="IF29" s="1321"/>
      <c r="IG29" s="1321"/>
      <c r="IH29" s="1321"/>
      <c r="II29" s="1321"/>
      <c r="IJ29" s="1321"/>
      <c r="IK29" s="1321"/>
      <c r="IL29" s="1321"/>
      <c r="IM29" s="1321"/>
      <c r="IN29" s="1368"/>
    </row>
    <row r="30" spans="1:248" ht="12.75" customHeight="1" x14ac:dyDescent="0.2">
      <c r="A30" s="1307" t="s">
        <v>692</v>
      </c>
      <c r="B30" s="1177" t="s">
        <v>705</v>
      </c>
      <c r="C30" s="1177">
        <v>10</v>
      </c>
      <c r="D30" s="1178">
        <v>10</v>
      </c>
      <c r="E30" s="1327"/>
      <c r="F30" s="1327"/>
      <c r="G30" s="1327"/>
      <c r="H30" s="1321"/>
      <c r="I30" s="1321"/>
      <c r="J30" s="1321"/>
      <c r="K30" s="1321"/>
      <c r="L30" s="1334"/>
      <c r="M30" s="1321"/>
      <c r="N30" s="1321"/>
      <c r="O30" s="1149" t="s">
        <v>1123</v>
      </c>
      <c r="P30" s="1149">
        <v>4.4000000000000004</v>
      </c>
      <c r="Q30" s="1149">
        <v>5.0999999999999996</v>
      </c>
      <c r="R30" s="1149">
        <v>4.9000000000000004</v>
      </c>
      <c r="S30" s="1149">
        <v>5</v>
      </c>
      <c r="T30" s="1149">
        <v>4.7</v>
      </c>
      <c r="U30" s="1149">
        <v>0</v>
      </c>
      <c r="V30" s="1149">
        <v>0</v>
      </c>
      <c r="W30" s="1149">
        <v>10.3</v>
      </c>
      <c r="X30" s="1149">
        <v>20.100000000000001</v>
      </c>
      <c r="Y30" s="1149">
        <v>70</v>
      </c>
      <c r="Z30" s="1149">
        <v>0</v>
      </c>
      <c r="AA30" s="1149">
        <v>0</v>
      </c>
      <c r="AB30" s="1149">
        <v>0</v>
      </c>
      <c r="AC30" s="1149">
        <v>0</v>
      </c>
      <c r="AD30" s="1149">
        <v>3.6</v>
      </c>
      <c r="AE30" s="1149">
        <v>0</v>
      </c>
      <c r="AF30" s="1149">
        <v>46.1</v>
      </c>
      <c r="AG30" s="1149">
        <v>0</v>
      </c>
      <c r="AH30" s="1149">
        <v>0</v>
      </c>
      <c r="AI30" s="1149">
        <v>11</v>
      </c>
      <c r="AJ30" s="1149">
        <v>12</v>
      </c>
      <c r="AK30" s="1149">
        <v>0</v>
      </c>
      <c r="AL30" s="1149">
        <v>8</v>
      </c>
      <c r="AM30" s="1149">
        <v>0</v>
      </c>
      <c r="AN30" s="1149">
        <v>2.9</v>
      </c>
      <c r="AO30" s="1149">
        <v>26</v>
      </c>
      <c r="AP30" s="1149">
        <v>24</v>
      </c>
      <c r="AQ30" s="1149">
        <v>17</v>
      </c>
      <c r="AR30" s="1149">
        <v>10</v>
      </c>
      <c r="AS30" s="1149">
        <v>9</v>
      </c>
      <c r="AT30" s="1149">
        <v>0</v>
      </c>
      <c r="AU30" s="1149">
        <v>3</v>
      </c>
      <c r="AV30" s="1149">
        <v>0</v>
      </c>
      <c r="AW30" s="1149">
        <v>8.5</v>
      </c>
      <c r="AX30" s="1149">
        <v>10</v>
      </c>
      <c r="AY30" s="1149">
        <v>10</v>
      </c>
      <c r="AZ30" s="1321"/>
      <c r="BA30" s="1321"/>
      <c r="BB30" s="1321"/>
      <c r="BC30" s="1179" t="s">
        <v>735</v>
      </c>
      <c r="BD30" s="1209">
        <v>90</v>
      </c>
      <c r="BE30" s="1321"/>
      <c r="BF30" s="1179" t="s">
        <v>735</v>
      </c>
      <c r="BG30" s="1209">
        <f>0.2*1000</f>
        <v>200</v>
      </c>
      <c r="BH30" s="1321"/>
      <c r="BI30" s="1321"/>
      <c r="BJ30" s="1321"/>
      <c r="BK30" s="1345"/>
      <c r="BL30" s="1348"/>
      <c r="BM30" s="1189"/>
      <c r="BN30" s="1177"/>
      <c r="BO30" s="1177"/>
      <c r="BP30" s="1177"/>
      <c r="BQ30" s="1177"/>
      <c r="BR30" s="1177"/>
      <c r="BS30" s="1177"/>
      <c r="BT30" s="1177"/>
      <c r="BU30" s="1177"/>
      <c r="BV30" s="1191"/>
      <c r="BW30" s="1345"/>
      <c r="BX30" s="1321"/>
      <c r="BY30" s="1321"/>
      <c r="BZ30" s="1321"/>
      <c r="CA30" s="1321"/>
      <c r="CB30" s="1321"/>
      <c r="CC30" s="1321"/>
      <c r="CD30" s="1345"/>
      <c r="CE30" s="1345"/>
      <c r="CF30" s="1345"/>
      <c r="CG30" s="1345"/>
      <c r="CH30" s="1345"/>
      <c r="CI30" s="1321"/>
      <c r="CJ30" s="1176" t="s">
        <v>1286</v>
      </c>
      <c r="CK30" s="1177" t="s">
        <v>673</v>
      </c>
      <c r="CL30" s="1177" t="s">
        <v>1252</v>
      </c>
      <c r="CM30" s="1177">
        <v>2</v>
      </c>
      <c r="CN30" s="1177">
        <v>1.6</v>
      </c>
      <c r="CO30" s="1177">
        <v>0</v>
      </c>
      <c r="CP30" s="1177">
        <v>0.6</v>
      </c>
      <c r="CQ30" s="1178">
        <v>0</v>
      </c>
      <c r="CR30" s="1321"/>
      <c r="CS30" s="1149" t="s">
        <v>792</v>
      </c>
      <c r="CT30" s="1149">
        <v>0</v>
      </c>
      <c r="CU30" s="1321"/>
      <c r="CV30" s="1321"/>
      <c r="CW30" s="1321"/>
      <c r="CX30" s="1321"/>
      <c r="CY30" s="1321"/>
      <c r="CZ30" s="1321"/>
      <c r="DA30" s="1321"/>
      <c r="DB30" s="1321"/>
      <c r="DC30" s="1321"/>
      <c r="DD30" s="1321"/>
      <c r="DE30" s="1321"/>
      <c r="DF30" s="1321"/>
      <c r="DG30" s="1176" t="s">
        <v>1294</v>
      </c>
      <c r="DH30" s="1177" t="s">
        <v>339</v>
      </c>
      <c r="DI30" s="1177" t="s">
        <v>1252</v>
      </c>
      <c r="DJ30" s="1177">
        <v>0.02</v>
      </c>
      <c r="DK30" s="1177">
        <v>1.4999999999999999E-2</v>
      </c>
      <c r="DL30" s="1178">
        <v>0.01</v>
      </c>
      <c r="DM30" s="1321"/>
      <c r="DN30" s="1210" t="s">
        <v>826</v>
      </c>
      <c r="DO30" s="1211">
        <v>3.5</v>
      </c>
      <c r="DP30" s="1211">
        <v>55</v>
      </c>
      <c r="DQ30" s="1211">
        <v>0</v>
      </c>
      <c r="DR30" s="1211">
        <v>5.5</v>
      </c>
      <c r="DS30" s="1345"/>
      <c r="DT30" s="1346"/>
      <c r="DU30" s="1346"/>
      <c r="DV30" s="1336" t="s">
        <v>1275</v>
      </c>
      <c r="DW30" s="1336"/>
      <c r="DX30" s="1336"/>
      <c r="DY30" s="1336"/>
      <c r="DZ30" s="1336"/>
      <c r="EA30" s="1336"/>
      <c r="EB30" s="1336"/>
      <c r="EC30" s="1336"/>
      <c r="ED30" s="1359"/>
      <c r="EE30" s="1345"/>
      <c r="EF30" s="1321"/>
      <c r="EG30" s="1328" t="s">
        <v>1297</v>
      </c>
      <c r="EH30" s="1321"/>
      <c r="EI30" s="1321"/>
      <c r="EJ30" s="1321"/>
      <c r="EK30" s="1321"/>
      <c r="EL30" s="1321"/>
      <c r="EM30" s="1321"/>
      <c r="EN30" s="1187" t="s">
        <v>1232</v>
      </c>
      <c r="EO30" s="1171" t="s">
        <v>1250</v>
      </c>
      <c r="EP30" s="1168" t="s">
        <v>1251</v>
      </c>
      <c r="EQ30" s="1171" t="s">
        <v>1295</v>
      </c>
      <c r="ER30" s="1171" t="s">
        <v>1256</v>
      </c>
      <c r="ES30" s="1172" t="s">
        <v>1255</v>
      </c>
      <c r="ET30" s="1321"/>
      <c r="EU30" s="1187" t="s">
        <v>1372</v>
      </c>
      <c r="EV30" s="1172" t="s">
        <v>1147</v>
      </c>
      <c r="EW30" s="1321"/>
      <c r="EX30" s="1187" t="s">
        <v>1372</v>
      </c>
      <c r="EY30" s="1172" t="s">
        <v>576</v>
      </c>
      <c r="EZ30" s="1321"/>
      <c r="FA30" s="1187" t="s">
        <v>1372</v>
      </c>
      <c r="FB30" s="1172" t="s">
        <v>382</v>
      </c>
      <c r="FC30" s="1321"/>
      <c r="FD30" s="1321"/>
      <c r="FE30" s="1321"/>
      <c r="FF30" s="1321"/>
      <c r="FG30" s="1321"/>
      <c r="FH30" s="1321"/>
      <c r="FI30" s="1345"/>
      <c r="FJ30" s="1345"/>
      <c r="FK30" s="1345"/>
      <c r="FL30" s="1345"/>
      <c r="FM30" s="1321"/>
      <c r="FN30" s="1328" t="s">
        <v>1032</v>
      </c>
      <c r="FO30" s="1321"/>
      <c r="FP30" s="1321"/>
      <c r="FQ30" s="1321"/>
      <c r="FR30" s="1321"/>
      <c r="FS30" s="1321"/>
      <c r="FT30" s="1345"/>
      <c r="FU30" s="1345"/>
      <c r="FV30" s="1345"/>
      <c r="FW30" s="1176" t="s">
        <v>1306</v>
      </c>
      <c r="FX30" s="1177" t="s">
        <v>339</v>
      </c>
      <c r="FY30" s="1177" t="s">
        <v>1252</v>
      </c>
      <c r="FZ30" s="1177">
        <v>4</v>
      </c>
      <c r="GA30" s="1177">
        <v>0.78</v>
      </c>
      <c r="GB30" s="1177">
        <v>0.6</v>
      </c>
      <c r="GC30" s="1178">
        <v>0.18</v>
      </c>
      <c r="GD30" s="1321"/>
      <c r="GE30" s="1143" t="s">
        <v>252</v>
      </c>
      <c r="GF30" s="1321"/>
      <c r="GG30" s="1143" t="s">
        <v>222</v>
      </c>
      <c r="GH30" s="1321" t="s">
        <v>1349</v>
      </c>
      <c r="GI30" s="1321" t="s">
        <v>1349</v>
      </c>
      <c r="GJ30" s="1321" t="s">
        <v>1349</v>
      </c>
      <c r="GK30" s="1321" t="s">
        <v>1349</v>
      </c>
      <c r="GL30" s="1321" t="s">
        <v>1349</v>
      </c>
      <c r="GM30" s="1321" t="s">
        <v>1349</v>
      </c>
      <c r="GN30" s="1321" t="s">
        <v>1349</v>
      </c>
      <c r="GO30" s="1321" t="s">
        <v>1349</v>
      </c>
      <c r="GP30" s="1321" t="s">
        <v>1349</v>
      </c>
      <c r="GQ30" s="1321" t="s">
        <v>1349</v>
      </c>
      <c r="GR30" s="1321" t="s">
        <v>1349</v>
      </c>
      <c r="GS30" s="1321" t="s">
        <v>1349</v>
      </c>
      <c r="GT30" s="1321" t="s">
        <v>1349</v>
      </c>
      <c r="GU30" s="1321" t="s">
        <v>1349</v>
      </c>
      <c r="GV30" s="1321" t="s">
        <v>1349</v>
      </c>
      <c r="GW30" s="1321"/>
      <c r="GX30" s="1321"/>
      <c r="GY30" s="1083" t="str">
        <f t="shared" ref="GY30:GY31" si="8">GS6</f>
        <v>minéraux &amp; vitamines MoQ</v>
      </c>
      <c r="GZ30" s="1083"/>
      <c r="HA30" s="1084">
        <f>SUMIF(TypeArticleDansEntrepôt,GY30,QtéArticleDansEntrepôt)</f>
        <v>0</v>
      </c>
      <c r="HB30" s="1084">
        <f>IF(COUNTIF(TypeArticleDansEntrepôt,GY30)=0,0,SUMIF(TypeArticleDansEntrepôt,GY30,QtéArticleDansEntrepôt)*VLOOKUP(GY30,place_necessaire_entrepots_aire_paille[],2,FALSE))</f>
        <v>0</v>
      </c>
      <c r="HC30" s="1321"/>
      <c r="HD30" s="1321"/>
      <c r="HE30" s="1321"/>
      <c r="HF30" s="1321"/>
      <c r="HG30" s="1321"/>
      <c r="HH30" s="1321"/>
      <c r="HI30" s="1321"/>
      <c r="HJ30" s="1321"/>
      <c r="HK30" s="1149" t="s">
        <v>76</v>
      </c>
      <c r="HL30" s="1159">
        <v>125</v>
      </c>
      <c r="HM30" s="1321"/>
      <c r="HN30" s="1162" t="s">
        <v>333</v>
      </c>
      <c r="HO30" s="1160">
        <v>150</v>
      </c>
      <c r="HP30" s="1175">
        <v>0.66666666666666663</v>
      </c>
      <c r="HQ30" s="1175">
        <v>0.7142857142857143</v>
      </c>
      <c r="HR30" s="1175">
        <v>0.77777777777777779</v>
      </c>
      <c r="HS30" s="1175">
        <v>0.6</v>
      </c>
      <c r="HT30" s="1175">
        <v>0.6</v>
      </c>
      <c r="HU30" s="1175">
        <v>0.5</v>
      </c>
      <c r="HV30" s="1321"/>
      <c r="HW30" s="1321"/>
      <c r="HX30" s="1321"/>
      <c r="HY30" s="1321"/>
      <c r="HZ30" s="1321"/>
      <c r="IA30" s="1321"/>
      <c r="IB30" s="1321"/>
      <c r="IC30" s="1321"/>
      <c r="ID30" s="1321"/>
      <c r="IE30" s="1321"/>
      <c r="IF30" s="1321"/>
      <c r="IG30" s="1321"/>
      <c r="IH30" s="1321"/>
      <c r="II30" s="1321"/>
      <c r="IJ30" s="1321"/>
      <c r="IK30" s="1321"/>
      <c r="IL30" s="1321"/>
      <c r="IM30" s="1321"/>
      <c r="IN30" s="1368"/>
    </row>
    <row r="31" spans="1:248" ht="12.75" customHeight="1" x14ac:dyDescent="0.2">
      <c r="A31" s="1307" t="s">
        <v>682</v>
      </c>
      <c r="B31" s="1177" t="s">
        <v>354</v>
      </c>
      <c r="C31" s="1177">
        <v>500</v>
      </c>
      <c r="D31" s="1178">
        <v>10</v>
      </c>
      <c r="E31" s="1327"/>
      <c r="F31" s="1732" t="s">
        <v>1138</v>
      </c>
      <c r="G31" s="1733"/>
      <c r="H31" s="1321"/>
      <c r="I31" s="1321"/>
      <c r="J31" s="1321"/>
      <c r="K31" s="1321"/>
      <c r="L31" s="1321"/>
      <c r="M31" s="1321"/>
      <c r="N31" s="1321"/>
      <c r="O31" s="1143" t="s">
        <v>1124</v>
      </c>
      <c r="P31" s="1143">
        <v>3.9</v>
      </c>
      <c r="Q31" s="1143">
        <v>4.4000000000000004</v>
      </c>
      <c r="R31" s="1143">
        <v>4.5999999999999996</v>
      </c>
      <c r="S31" s="1143">
        <v>4.0999999999999996</v>
      </c>
      <c r="T31" s="1143">
        <v>3.7</v>
      </c>
      <c r="U31" s="1143">
        <v>0</v>
      </c>
      <c r="V31" s="1143">
        <v>1.8</v>
      </c>
      <c r="W31" s="1143">
        <v>10.6</v>
      </c>
      <c r="X31" s="1143">
        <v>19.399999999999999</v>
      </c>
      <c r="Y31" s="1143">
        <v>0</v>
      </c>
      <c r="Z31" s="1143">
        <v>0</v>
      </c>
      <c r="AA31" s="1143">
        <v>1.4</v>
      </c>
      <c r="AB31" s="1143">
        <v>0</v>
      </c>
      <c r="AC31" s="1143">
        <v>0</v>
      </c>
      <c r="AD31" s="1143">
        <v>3</v>
      </c>
      <c r="AE31" s="1143">
        <v>0</v>
      </c>
      <c r="AF31" s="1143">
        <v>35.9</v>
      </c>
      <c r="AG31" s="1143">
        <v>0</v>
      </c>
      <c r="AH31" s="1143">
        <v>0</v>
      </c>
      <c r="AI31" s="1143">
        <v>12</v>
      </c>
      <c r="AJ31" s="1143">
        <v>12</v>
      </c>
      <c r="AK31" s="1143">
        <v>0</v>
      </c>
      <c r="AL31" s="1143">
        <v>8</v>
      </c>
      <c r="AM31" s="1143">
        <v>1.2</v>
      </c>
      <c r="AN31" s="1143">
        <v>2.7</v>
      </c>
      <c r="AO31" s="1143">
        <v>23</v>
      </c>
      <c r="AP31" s="1143">
        <v>0</v>
      </c>
      <c r="AQ31" s="1143">
        <v>12</v>
      </c>
      <c r="AR31" s="1143">
        <v>0</v>
      </c>
      <c r="AS31" s="1143">
        <v>0</v>
      </c>
      <c r="AT31" s="1143">
        <v>0</v>
      </c>
      <c r="AU31" s="1143">
        <v>0</v>
      </c>
      <c r="AV31" s="1143">
        <v>4</v>
      </c>
      <c r="AW31" s="1143">
        <v>8.5</v>
      </c>
      <c r="AX31" s="1143">
        <v>10</v>
      </c>
      <c r="AY31" s="1143">
        <v>10</v>
      </c>
      <c r="AZ31" s="1321"/>
      <c r="BA31" s="1321"/>
      <c r="BB31" s="1321"/>
      <c r="BC31" s="1179" t="s">
        <v>736</v>
      </c>
      <c r="BD31" s="1209">
        <v>72</v>
      </c>
      <c r="BE31" s="1321"/>
      <c r="BF31" s="1179" t="s">
        <v>736</v>
      </c>
      <c r="BG31" s="1209">
        <v>200</v>
      </c>
      <c r="BH31" s="1321"/>
      <c r="BI31" s="1321"/>
      <c r="BJ31" s="1321"/>
      <c r="BK31" s="1345"/>
      <c r="BL31" s="1348"/>
      <c r="BM31" s="1189"/>
      <c r="BN31" s="1177"/>
      <c r="BO31" s="1177"/>
      <c r="BP31" s="1177"/>
      <c r="BQ31" s="1177"/>
      <c r="BR31" s="1177"/>
      <c r="BS31" s="1177"/>
      <c r="BT31" s="1177"/>
      <c r="BU31" s="1177"/>
      <c r="BV31" s="1191"/>
      <c r="BW31" s="1345"/>
      <c r="BX31" s="1321"/>
      <c r="BY31" s="1321"/>
      <c r="BZ31" s="1320"/>
      <c r="CA31" s="1321"/>
      <c r="CB31" s="1321"/>
      <c r="CC31" s="1321"/>
      <c r="CD31" s="1345"/>
      <c r="CE31" s="1345"/>
      <c r="CF31" s="1345"/>
      <c r="CG31" s="1345"/>
      <c r="CH31" s="1345"/>
      <c r="CI31" s="1321"/>
      <c r="CJ31" s="1176" t="s">
        <v>1286</v>
      </c>
      <c r="CK31" s="1177" t="s">
        <v>339</v>
      </c>
      <c r="CL31" s="1177" t="s">
        <v>1252</v>
      </c>
      <c r="CM31" s="1177">
        <v>0</v>
      </c>
      <c r="CN31" s="1177">
        <v>0</v>
      </c>
      <c r="CO31" s="1177">
        <v>3.2</v>
      </c>
      <c r="CP31" s="1177">
        <v>1.2</v>
      </c>
      <c r="CQ31" s="1178">
        <v>0</v>
      </c>
      <c r="CR31" s="1321"/>
      <c r="CS31" s="1143" t="s">
        <v>1351</v>
      </c>
      <c r="CT31" s="1143">
        <v>0</v>
      </c>
      <c r="CU31" s="1321"/>
      <c r="CV31" s="1321"/>
      <c r="CW31" s="1321"/>
      <c r="CX31" s="1321"/>
      <c r="CY31" s="1321"/>
      <c r="CZ31" s="1328" t="s">
        <v>810</v>
      </c>
      <c r="DA31" s="1321"/>
      <c r="DB31" s="1321"/>
      <c r="DC31" s="1321"/>
      <c r="DD31" s="1321"/>
      <c r="DE31" s="1321"/>
      <c r="DF31" s="1321"/>
      <c r="DG31" s="1176" t="s">
        <v>1294</v>
      </c>
      <c r="DH31" s="1177" t="s">
        <v>673</v>
      </c>
      <c r="DI31" s="1177" t="s">
        <v>1252</v>
      </c>
      <c r="DJ31" s="1177">
        <v>0.02</v>
      </c>
      <c r="DK31" s="1177">
        <v>1.4999999999999999E-2</v>
      </c>
      <c r="DL31" s="1178">
        <v>0.01</v>
      </c>
      <c r="DM31" s="1321"/>
      <c r="DN31" s="1214" t="s">
        <v>827</v>
      </c>
      <c r="DO31" s="1215">
        <v>4.5</v>
      </c>
      <c r="DP31" s="1215">
        <v>60</v>
      </c>
      <c r="DQ31" s="1215">
        <v>0</v>
      </c>
      <c r="DR31" s="1215">
        <v>2</v>
      </c>
      <c r="DS31" s="1345"/>
      <c r="DT31" s="1346"/>
      <c r="DU31" s="1346"/>
      <c r="DV31" s="1079" t="s">
        <v>1276</v>
      </c>
      <c r="DW31" s="1079" t="s">
        <v>1261</v>
      </c>
      <c r="DX31" s="1079" t="s">
        <v>1260</v>
      </c>
      <c r="DY31" s="1079" t="s">
        <v>1259</v>
      </c>
      <c r="DZ31" s="1079" t="s">
        <v>1258</v>
      </c>
      <c r="EA31" s="1079" t="s">
        <v>1257</v>
      </c>
      <c r="EB31" s="1273" t="s">
        <v>1256</v>
      </c>
      <c r="EC31" s="1273" t="s">
        <v>1255</v>
      </c>
      <c r="ED31" s="1079" t="s">
        <v>1269</v>
      </c>
      <c r="EE31" s="1345"/>
      <c r="EF31" s="1321"/>
      <c r="EG31" s="1187" t="s">
        <v>1232</v>
      </c>
      <c r="EH31" s="1171" t="s">
        <v>1250</v>
      </c>
      <c r="EI31" s="1168" t="s">
        <v>1251</v>
      </c>
      <c r="EJ31" s="1171" t="s">
        <v>1295</v>
      </c>
      <c r="EK31" s="1171" t="s">
        <v>1256</v>
      </c>
      <c r="EL31" s="1172" t="s">
        <v>1255</v>
      </c>
      <c r="EM31" s="1321"/>
      <c r="EN31" s="1217" t="s">
        <v>1302</v>
      </c>
      <c r="EO31" s="1177" t="s">
        <v>723</v>
      </c>
      <c r="EP31" s="1177" t="s">
        <v>1277</v>
      </c>
      <c r="EQ31" s="1177">
        <v>0.191</v>
      </c>
      <c r="ER31" s="1177">
        <v>0.14299999999999999</v>
      </c>
      <c r="ES31" s="1178">
        <v>0.95499999999999996</v>
      </c>
      <c r="ET31" s="1321"/>
      <c r="EU31" s="1176" t="s">
        <v>1026</v>
      </c>
      <c r="EV31" s="1178">
        <v>40</v>
      </c>
      <c r="EW31" s="1321"/>
      <c r="EX31" s="1176" t="s">
        <v>1033</v>
      </c>
      <c r="EY31" s="1178">
        <v>27</v>
      </c>
      <c r="EZ31" s="1321"/>
      <c r="FA31" s="1176" t="s">
        <v>1033</v>
      </c>
      <c r="FB31" s="1178">
        <v>9</v>
      </c>
      <c r="FC31" s="1321"/>
      <c r="FD31" s="1328" t="s">
        <v>1032</v>
      </c>
      <c r="FE31" s="1321"/>
      <c r="FF31" s="1321"/>
      <c r="FG31" s="1321"/>
      <c r="FH31" s="1321"/>
      <c r="FI31" s="1321"/>
      <c r="FJ31" s="1345"/>
      <c r="FK31" s="1345"/>
      <c r="FL31" s="1345"/>
      <c r="FM31" s="1321"/>
      <c r="FN31" s="1187" t="s">
        <v>1232</v>
      </c>
      <c r="FO31" s="1171" t="s">
        <v>1250</v>
      </c>
      <c r="FP31" s="1168" t="s">
        <v>1251</v>
      </c>
      <c r="FQ31" s="1171" t="s">
        <v>1261</v>
      </c>
      <c r="FR31" s="1171" t="s">
        <v>1260</v>
      </c>
      <c r="FS31" s="1171" t="s">
        <v>1304</v>
      </c>
      <c r="FT31" s="1188" t="s">
        <v>1303</v>
      </c>
      <c r="FU31" s="1345"/>
      <c r="FV31" s="1345"/>
      <c r="FW31" s="1176" t="s">
        <v>1306</v>
      </c>
      <c r="FX31" s="1177" t="s">
        <v>285</v>
      </c>
      <c r="FY31" s="1177" t="s">
        <v>1253</v>
      </c>
      <c r="FZ31" s="1177"/>
      <c r="GA31" s="1177">
        <v>0.23400000000000001</v>
      </c>
      <c r="GB31" s="1177">
        <v>0.18</v>
      </c>
      <c r="GC31" s="1178">
        <v>5.3999999999999999E-2</v>
      </c>
      <c r="GD31" s="1321"/>
      <c r="GE31" s="1149" t="s">
        <v>310</v>
      </c>
      <c r="GF31" s="1321"/>
      <c r="GG31" s="1149" t="s">
        <v>610</v>
      </c>
      <c r="GH31" s="1321" t="s">
        <v>1349</v>
      </c>
      <c r="GI31" s="1321" t="s">
        <v>1349</v>
      </c>
      <c r="GJ31" s="1321" t="s">
        <v>1349</v>
      </c>
      <c r="GK31" s="1321" t="s">
        <v>1349</v>
      </c>
      <c r="GL31" s="1321" t="s">
        <v>1349</v>
      </c>
      <c r="GM31" s="1321" t="s">
        <v>1349</v>
      </c>
      <c r="GN31" s="1321" t="s">
        <v>1349</v>
      </c>
      <c r="GO31" s="1321" t="s">
        <v>1349</v>
      </c>
      <c r="GP31" s="1321" t="s">
        <v>1349</v>
      </c>
      <c r="GQ31" s="1321" t="s">
        <v>1349</v>
      </c>
      <c r="GR31" s="1321" t="s">
        <v>1349</v>
      </c>
      <c r="GS31" s="1321" t="s">
        <v>1349</v>
      </c>
      <c r="GT31" s="1321" t="s">
        <v>1349</v>
      </c>
      <c r="GU31" s="1321" t="s">
        <v>1349</v>
      </c>
      <c r="GV31" s="1321" t="s">
        <v>1349</v>
      </c>
      <c r="GW31" s="1321"/>
      <c r="GX31" s="1321"/>
      <c r="GY31" s="1082" t="str">
        <f t="shared" si="8"/>
        <v>minéraux &amp; vitamines MaQ</v>
      </c>
      <c r="GZ31" s="1082"/>
      <c r="HA31" s="1085">
        <f>SUMIF(TypeArticleDansEntrepôt,GY31,QtéArticleDansEntrepôt)</f>
        <v>0</v>
      </c>
      <c r="HB31" s="1085">
        <f>IF(COUNTIF(TypeArticleDansEntrepôt,GY31)=0,0,SUMIF(TypeArticleDansEntrepôt,GY31,QtéArticleDansEntrepôt)*VLOOKUP(GY31,place_necessaire_entrepots_aire_paille[],2,FALSE))</f>
        <v>0</v>
      </c>
      <c r="HC31" s="1321"/>
      <c r="HD31" s="1321"/>
      <c r="HE31" s="1321"/>
      <c r="HF31" s="1321"/>
      <c r="HG31" s="1321"/>
      <c r="HH31" s="1321"/>
      <c r="HI31" s="1321"/>
      <c r="HJ31" s="1321"/>
      <c r="HK31" s="1321"/>
      <c r="HL31" s="1321"/>
      <c r="HM31" s="1321"/>
      <c r="HN31" s="1149" t="s">
        <v>1439</v>
      </c>
      <c r="HO31" s="1165">
        <v>20</v>
      </c>
      <c r="HP31" s="1166" t="s">
        <v>1566</v>
      </c>
      <c r="HQ31" s="1166">
        <v>0.75</v>
      </c>
      <c r="HR31" s="1166">
        <v>0.75</v>
      </c>
      <c r="HS31" s="1166">
        <v>0.75</v>
      </c>
      <c r="HT31" s="1166">
        <v>0.33333333333333331</v>
      </c>
      <c r="HU31" s="1166">
        <v>0.33333333333333331</v>
      </c>
      <c r="HV31" s="1321"/>
      <c r="HW31" s="1321"/>
      <c r="HX31" s="1321"/>
      <c r="HY31" s="1321"/>
      <c r="HZ31" s="1321"/>
      <c r="IA31" s="1321"/>
      <c r="IB31" s="1321"/>
      <c r="IC31" s="1321"/>
      <c r="ID31" s="1321"/>
      <c r="IE31" s="1321"/>
      <c r="IF31" s="1321"/>
      <c r="IG31" s="1321"/>
      <c r="IH31" s="1321"/>
      <c r="II31" s="1321"/>
      <c r="IJ31" s="1321"/>
      <c r="IK31" s="1321"/>
      <c r="IL31" s="1321"/>
      <c r="IM31" s="1321"/>
      <c r="IN31" s="1368"/>
    </row>
    <row r="32" spans="1:248" ht="12.75" customHeight="1" x14ac:dyDescent="0.2">
      <c r="A32" s="1307" t="s">
        <v>683</v>
      </c>
      <c r="B32" s="1177" t="s">
        <v>354</v>
      </c>
      <c r="C32" s="1177">
        <v>40</v>
      </c>
      <c r="D32" s="1178">
        <v>0.2</v>
      </c>
      <c r="E32" s="1327"/>
      <c r="F32" s="1173" t="s">
        <v>1139</v>
      </c>
      <c r="G32" s="1174"/>
      <c r="H32" s="1321"/>
      <c r="I32" s="1321"/>
      <c r="J32" s="1321"/>
      <c r="K32" s="1321"/>
      <c r="L32" s="1321"/>
      <c r="M32" s="1321"/>
      <c r="N32" s="1321"/>
      <c r="O32" s="1197"/>
      <c r="P32" s="1224" t="s">
        <v>285</v>
      </c>
      <c r="Q32" s="1139" t="s">
        <v>1507</v>
      </c>
      <c r="R32" s="1224" t="s">
        <v>498</v>
      </c>
      <c r="S32" s="1139" t="s">
        <v>1509</v>
      </c>
      <c r="T32" s="1224" t="s">
        <v>499</v>
      </c>
      <c r="U32" s="1224" t="s">
        <v>76</v>
      </c>
      <c r="V32" s="1224"/>
      <c r="W32" s="1224" t="s">
        <v>339</v>
      </c>
      <c r="X32" s="1224" t="s">
        <v>340</v>
      </c>
      <c r="Y32" s="1224" t="s">
        <v>523</v>
      </c>
      <c r="Z32" s="1224" t="s">
        <v>714</v>
      </c>
      <c r="AA32" s="1224" t="s">
        <v>296</v>
      </c>
      <c r="AB32" s="1224" t="s">
        <v>297</v>
      </c>
      <c r="AC32" s="1224" t="s">
        <v>298</v>
      </c>
      <c r="AD32" s="1224" t="s">
        <v>63</v>
      </c>
      <c r="AE32" s="1224" t="s">
        <v>64</v>
      </c>
      <c r="AF32" s="1224" t="s">
        <v>65</v>
      </c>
      <c r="AG32" s="1740" t="s">
        <v>1128</v>
      </c>
      <c r="AH32" s="1740"/>
      <c r="AI32" s="1224" t="s">
        <v>331</v>
      </c>
      <c r="AJ32" s="1224" t="s">
        <v>332</v>
      </c>
      <c r="AK32" s="1224" t="s">
        <v>333</v>
      </c>
      <c r="AL32" s="1224" t="s">
        <v>671</v>
      </c>
      <c r="AM32" s="1224"/>
      <c r="AN32" s="1224" t="s">
        <v>49</v>
      </c>
      <c r="AO32" s="1224" t="s">
        <v>1567</v>
      </c>
      <c r="AP32" s="1224" t="s">
        <v>1568</v>
      </c>
      <c r="AQ32" s="1224" t="s">
        <v>1569</v>
      </c>
      <c r="AR32" s="1224" t="s">
        <v>1570</v>
      </c>
      <c r="AS32" s="1224" t="s">
        <v>1571</v>
      </c>
      <c r="AT32" s="1224" t="s">
        <v>1572</v>
      </c>
      <c r="AU32" s="1224" t="s">
        <v>1628</v>
      </c>
      <c r="AV32" s="1224" t="s">
        <v>1629</v>
      </c>
      <c r="AW32" s="1224" t="s">
        <v>1630</v>
      </c>
      <c r="AX32" s="1224" t="s">
        <v>1631</v>
      </c>
      <c r="AY32" s="1224" t="s">
        <v>1632</v>
      </c>
      <c r="AZ32" s="1321"/>
      <c r="BA32" s="1321"/>
      <c r="BB32" s="1321"/>
      <c r="BC32" s="1179" t="s">
        <v>737</v>
      </c>
      <c r="BD32" s="1209">
        <v>48</v>
      </c>
      <c r="BE32" s="1321"/>
      <c r="BF32" s="1179" t="s">
        <v>737</v>
      </c>
      <c r="BG32" s="1209">
        <v>153</v>
      </c>
      <c r="BH32" s="1321"/>
      <c r="BI32" s="1321"/>
      <c r="BJ32" s="1321"/>
      <c r="BK32" s="1345"/>
      <c r="BL32" s="1348"/>
      <c r="BM32" s="1231"/>
      <c r="BN32" s="1201"/>
      <c r="BO32" s="1201"/>
      <c r="BP32" s="1201"/>
      <c r="BQ32" s="1201"/>
      <c r="BR32" s="1201"/>
      <c r="BS32" s="1201"/>
      <c r="BT32" s="1201"/>
      <c r="BU32" s="1201"/>
      <c r="BV32" s="1227"/>
      <c r="BW32" s="1345"/>
      <c r="BX32" s="1321"/>
      <c r="BY32" s="1333" t="s">
        <v>1040</v>
      </c>
      <c r="BZ32" s="1321"/>
      <c r="CA32" s="1321"/>
      <c r="CB32" s="1321"/>
      <c r="CC32" s="1321"/>
      <c r="CD32" s="1345"/>
      <c r="CE32" s="1345"/>
      <c r="CF32" s="1345"/>
      <c r="CG32" s="1345"/>
      <c r="CH32" s="1345"/>
      <c r="CI32" s="1321"/>
      <c r="CJ32" s="1176" t="s">
        <v>1286</v>
      </c>
      <c r="CK32" s="1177" t="s">
        <v>1717</v>
      </c>
      <c r="CL32" s="1177" t="s">
        <v>1252</v>
      </c>
      <c r="CM32" s="1177">
        <v>0</v>
      </c>
      <c r="CN32" s="1177">
        <v>0</v>
      </c>
      <c r="CO32" s="1177">
        <v>0</v>
      </c>
      <c r="CP32" s="1177">
        <v>0</v>
      </c>
      <c r="CQ32" s="1178">
        <v>0.4</v>
      </c>
      <c r="CR32" s="1321"/>
      <c r="CS32" s="1149" t="s">
        <v>1350</v>
      </c>
      <c r="CT32" s="1149">
        <v>0</v>
      </c>
      <c r="CU32" s="1321"/>
      <c r="CV32" s="1321"/>
      <c r="CW32" s="1321"/>
      <c r="CX32" s="1321"/>
      <c r="CY32" s="1321"/>
      <c r="CZ32" s="1143">
        <v>10</v>
      </c>
      <c r="DA32" s="1321"/>
      <c r="DB32" s="1321"/>
      <c r="DC32" s="1321"/>
      <c r="DD32" s="1321"/>
      <c r="DE32" s="1321"/>
      <c r="DF32" s="1321"/>
      <c r="DG32" s="1176" t="s">
        <v>1294</v>
      </c>
      <c r="DH32" s="1177" t="s">
        <v>1271</v>
      </c>
      <c r="DI32" s="1177" t="s">
        <v>1252</v>
      </c>
      <c r="DJ32" s="1177">
        <v>5.0000000000000001E-3</v>
      </c>
      <c r="DK32" s="1177">
        <v>3.0000000000000001E-3</v>
      </c>
      <c r="DL32" s="1178">
        <v>2E-3</v>
      </c>
      <c r="DM32" s="1321"/>
      <c r="DN32" s="1210" t="s">
        <v>828</v>
      </c>
      <c r="DO32" s="1211">
        <v>5</v>
      </c>
      <c r="DP32" s="1211">
        <v>70</v>
      </c>
      <c r="DQ32" s="1211">
        <v>0</v>
      </c>
      <c r="DR32" s="1211">
        <v>0</v>
      </c>
      <c r="DS32" s="1345"/>
      <c r="DT32" s="1346"/>
      <c r="DU32" s="1346"/>
      <c r="DV32" s="1076" t="s">
        <v>673</v>
      </c>
      <c r="DW32" s="1267">
        <f t="array" ref="DW32">IF(ChoixRationComplèteDaims=OUI,0,IFERROR(IF(OR(AND(INDEX(Règles_daims[Specificite],MATCH(ChoixRationDaims&amp;DV32,Règles_daims[Ration]&amp;Règles_daims[Aliment],0))="s1",IF(DV32=Spécificité1Daims,1)),
AND(INDEX(Règles_daims[Specificite],MATCH(ChoixRationDaims&amp;DV32,Règles_daims[Ration]&amp;Règles_daims[Aliment],0))="s2",IF(DV32=Spécificité2Daims,1)),
INDEX(Règles_daims[Specificite],MATCH(ChoixRationDaims&amp;DV32,Règles_daims[Ration]&amp;Règles_daims[Aliment],0))="c"),
INDEX(Règles_daims[Valeur 36 et plus],MATCH(ChoixRationDaims&amp;DV32,Règles_daims[Ration]&amp;Règles_daims[Aliment],0)),0),0)*SUM(TotalDaimsAdultes)*SUM(NbreJoursNourrirBisonsDaims))</f>
        <v>0</v>
      </c>
      <c r="DX32" s="1267">
        <f t="array" ref="DX32">IF(ChoixRationComplèteDaims=OUI,0,IFERROR(IF(OR(AND(INDEX(Règles_daims[Specificite],MATCH(ChoixRationDaims&amp;DV32,Règles_daims[Ration]&amp;Règles_daims[Aliment],0))="s1",IF(DV32=Spécificité1Daims,1)),
AND(INDEX(Règles_daims[Specificite],MATCH(ChoixRationDaims&amp;DV32,Règles_daims[Ration]&amp;Règles_daims[Aliment],0))="s2",IF(DV32=Spécificité2Daims,1)),
INDEX(Règles_daims[Specificite],MATCH(ChoixRationDaims&amp;DV32,Règles_daims[Ration]&amp;Règles_daims[Aliment],0))="c"),
INDEX(Règles_daims[Valeur 24-36],MATCH(ChoixRationDaims&amp;DV32,Règles_daims[Ration]&amp;Règles_daims[Aliment],0)),0),0)*SUM(TotalDaims24_36)*SUM(NbreJoursNourrirBisonsDaims))</f>
        <v>0</v>
      </c>
      <c r="DY32" s="1267">
        <f t="array" ref="DY32">IF(ChoixRationComplèteDaims=OUI,0,IFERROR(IF(OR(AND(INDEX(Règles_daims[Specificite],MATCH(ChoixRationDaims&amp;DV32,Règles_daims[Ration]&amp;Règles_daims[Aliment],0))="s1",IF(DV32=Spécificité1Daims,1)),
AND(INDEX(Règles_daims[Specificite],MATCH(ChoixRationDaims&amp;DV32,Règles_daims[Ration]&amp;Règles_daims[Aliment],0))="s2",IF(DV32=Spécificité2Daims,1)),
INDEX(Règles_daims[Specificite],MATCH(ChoixRationDaims&amp;DV32,Règles_daims[Ration]&amp;Règles_daims[Aliment],0))="c"),
INDEX(Règles_daims[Valeur 18-24],MATCH(ChoixRationDaims&amp;DV32,Règles_daims[Ration]&amp;Règles_daims[Aliment],0)),0),0)*SUM(TotalDaims18_24)*SUM(NbreJoursNourrirBisonsDaims))</f>
        <v>0</v>
      </c>
      <c r="DZ32" s="1267">
        <f t="array" ref="DZ32">IF(ChoixRationComplèteDaims=OUI,0,IFERROR(IF(OR(AND(INDEX(Règles_daims[Specificite],MATCH(ChoixRationDaims&amp;DV32,Règles_daims[Ration]&amp;Règles_daims[Aliment],0))="s1",IF(DV32=Spécificité1Daims,1)),
AND(INDEX(Règles_daims[Specificite],MATCH(ChoixRationDaims&amp;DV32,Règles_daims[Ration]&amp;Règles_daims[Aliment],0))="s2",IF(DV32=Spécificité2Daims,1)),
INDEX(Règles_daims[Specificite],MATCH(ChoixRationDaims&amp;DV32,Règles_daims[Ration]&amp;Règles_daims[Aliment],0))="c"),
INDEX(Règles_daims[Valeur 12-18],MATCH(ChoixRationDaims&amp;DV32,Règles_daims[Ration]&amp;Règles_daims[Aliment],0)),0),0)*SUM(TotalDaims12_18)*SUM(NbreJoursNourrirBisonsDaims))</f>
        <v>0</v>
      </c>
      <c r="EA32" s="1267">
        <f t="array" ref="EA32">IF(ChoixRationComplèteDaims=OUI,0,IFERROR(IF(OR(AND(INDEX(Règles_daims[Specificite],MATCH(ChoixRationDaims&amp;DV32,Règles_daims[Ration]&amp;Règles_daims[Aliment],0))="s1",IF(DV32=Spécificité1Daims,1)),
AND(INDEX(Règles_daims[Specificite],MATCH(ChoixRationDaims&amp;DV32,Règles_daims[Ration]&amp;Règles_daims[Aliment],0))="s2",IF(DV32=Spécificité2Daims,1)),
INDEX(Règles_daims[Specificite],MATCH(ChoixRationDaims&amp;DV32,Règles_daims[Ration]&amp;Règles_daims[Aliment],0))="c"),
INDEX(Règles_daims[Valeur 6-12],MATCH(ChoixRationDaims&amp;DV32,Règles_daims[Ration]&amp;Règles_daims[Aliment],0)),0),0)*SUM(TotalDaims6_12)*SUM(NbreJoursNourrirBisonsDaims))</f>
        <v>0</v>
      </c>
      <c r="EB32" s="1267">
        <f t="array" ref="EB32">IF(ChoixRationComplèteDaims=OUI,0,IFERROR(IF(OR(AND(INDEX(Règles_daims[Specificite],MATCH(ChoixRationDaims&amp;DV32,Règles_daims[Ration]&amp;Règles_daims[Aliment],0))="s1",IF(DV32=Spécificité1Daims,1)),
AND(INDEX(Règles_daims[Specificite],MATCH(ChoixRationDaims&amp;DV32,Règles_daims[Ration]&amp;Règles_daims[Aliment],0))="s2",IF(DV32=Spécificité2Daims,1)),
INDEX(Règles_daims[Specificite],MATCH(ChoixRationDaims&amp;DV32,Règles_daims[Ration]&amp;Règles_daims[Aliment],0))="c"),
INDEX(Règles_daims[Valeur 3-6],MATCH(ChoixRationDaims&amp;DV32,Règles_daims[Ration]&amp;Règles_daims[Aliment],0)),0),0)*SUM(TotalDaims3_6)*SUM(NbreJoursNourrirBisonsDaims))</f>
        <v>0</v>
      </c>
      <c r="EC32" s="1267">
        <f t="array" ref="EC32">IF(ChoixRationComplèteDaims=OUI,0,IFERROR(IF(OR(AND(INDEX(Règles_daims[Specificite],MATCH(ChoixRationDaims&amp;DV32,Règles_daims[Ration]&amp;Règles_daims[Aliment],0))="s1",IF(DV32=Spécificité1Daims,1)),
AND(INDEX(Règles_daims[Specificite],MATCH(ChoixRationDaims&amp;DV32,Règles_daims[Ration]&amp;Règles_daims[Aliment],0))="s2",IF(DV32=Spécificité2Daims,1)),
INDEX(Règles_daims[Specificite],MATCH(ChoixRationDaims&amp;DV32,Règles_daims[Ration]&amp;Règles_daims[Aliment],0))="c"),
INDEX(Règles_daims[Valeur 0-3],MATCH(ChoixRationDaims&amp;DV32,Règles_daims[Ration]&amp;Règles_daims[Aliment],0)),0),0)*SUM(TotalDaims0_3)*SUM(NbreJoursNourrirBisonsDaims))</f>
        <v>0</v>
      </c>
      <c r="ED32" s="1279">
        <f>SUM($DW32:$EC32)</f>
        <v>0</v>
      </c>
      <c r="EE32" s="1345"/>
      <c r="EF32" s="1321"/>
      <c r="EG32" s="1217" t="s">
        <v>1477</v>
      </c>
      <c r="EH32" s="1177" t="s">
        <v>723</v>
      </c>
      <c r="EI32" s="1177" t="s">
        <v>1277</v>
      </c>
      <c r="EJ32" s="1177">
        <v>0.38200000000000001</v>
      </c>
      <c r="EK32" s="1177">
        <v>0.28699999999999998</v>
      </c>
      <c r="EL32" s="1178">
        <v>0.21</v>
      </c>
      <c r="EM32" s="1321"/>
      <c r="EN32" s="1217" t="s">
        <v>1302</v>
      </c>
      <c r="EO32" s="1177" t="s">
        <v>339</v>
      </c>
      <c r="EP32" s="1177" t="s">
        <v>1252</v>
      </c>
      <c r="EQ32" s="1177">
        <v>0.11</v>
      </c>
      <c r="ER32" s="1177">
        <v>0.08</v>
      </c>
      <c r="ES32" s="1178">
        <v>0.5</v>
      </c>
      <c r="ET32" s="1321"/>
      <c r="EU32" s="1176" t="s">
        <v>1027</v>
      </c>
      <c r="EV32" s="1178">
        <v>60</v>
      </c>
      <c r="EW32" s="1321"/>
      <c r="EX32" s="1176" t="s">
        <v>1027</v>
      </c>
      <c r="EY32" s="1178">
        <v>27</v>
      </c>
      <c r="EZ32" s="1321"/>
      <c r="FA32" s="1176" t="s">
        <v>1027</v>
      </c>
      <c r="FB32" s="1178">
        <v>9</v>
      </c>
      <c r="FC32" s="1321"/>
      <c r="FD32" s="1187" t="s">
        <v>1232</v>
      </c>
      <c r="FE32" s="1171" t="s">
        <v>1250</v>
      </c>
      <c r="FF32" s="1168" t="s">
        <v>1251</v>
      </c>
      <c r="FG32" s="1171" t="s">
        <v>1261</v>
      </c>
      <c r="FH32" s="1171" t="s">
        <v>1260</v>
      </c>
      <c r="FI32" s="1171" t="s">
        <v>1304</v>
      </c>
      <c r="FJ32" s="1188" t="s">
        <v>1303</v>
      </c>
      <c r="FK32" s="1345"/>
      <c r="FL32" s="1345"/>
      <c r="FM32" s="1321"/>
      <c r="FN32" s="1217" t="s">
        <v>1481</v>
      </c>
      <c r="FO32" s="1177" t="s">
        <v>723</v>
      </c>
      <c r="FP32" s="1177" t="s">
        <v>1277</v>
      </c>
      <c r="FQ32" s="1177"/>
      <c r="FR32" s="1177"/>
      <c r="FS32" s="1177"/>
      <c r="FT32" s="1178"/>
      <c r="FU32" s="1345"/>
      <c r="FV32" s="1345"/>
      <c r="FW32" s="1176" t="s">
        <v>1306</v>
      </c>
      <c r="FX32" s="1177" t="s">
        <v>76</v>
      </c>
      <c r="FY32" s="1177" t="s">
        <v>1253</v>
      </c>
      <c r="FZ32" s="1177"/>
      <c r="GA32" s="1177">
        <v>0.23400000000000001</v>
      </c>
      <c r="GB32" s="1177">
        <v>0.18</v>
      </c>
      <c r="GC32" s="1178">
        <v>5.3999999999999999E-2</v>
      </c>
      <c r="GD32" s="1321"/>
      <c r="GE32" s="1143" t="s">
        <v>309</v>
      </c>
      <c r="GF32" s="1321"/>
      <c r="GG32" s="1143" t="s">
        <v>225</v>
      </c>
      <c r="GH32" s="1321" t="s">
        <v>1349</v>
      </c>
      <c r="GI32" s="1321" t="s">
        <v>1349</v>
      </c>
      <c r="GJ32" s="1321" t="s">
        <v>1349</v>
      </c>
      <c r="GK32" s="1321" t="s">
        <v>1349</v>
      </c>
      <c r="GL32" s="1321" t="s">
        <v>1349</v>
      </c>
      <c r="GM32" s="1321" t="s">
        <v>1349</v>
      </c>
      <c r="GN32" s="1321" t="s">
        <v>1349</v>
      </c>
      <c r="GO32" s="1321" t="s">
        <v>1349</v>
      </c>
      <c r="GP32" s="1321" t="s">
        <v>1349</v>
      </c>
      <c r="GQ32" s="1321" t="s">
        <v>1349</v>
      </c>
      <c r="GR32" s="1321" t="s">
        <v>1349</v>
      </c>
      <c r="GS32" s="1321" t="s">
        <v>1349</v>
      </c>
      <c r="GT32" s="1321" t="s">
        <v>1349</v>
      </c>
      <c r="GU32" s="1321" t="s">
        <v>1349</v>
      </c>
      <c r="GV32" s="1321" t="s">
        <v>1349</v>
      </c>
      <c r="GW32" s="1321"/>
      <c r="GX32" s="1321"/>
      <c r="GY32" s="1083"/>
      <c r="GZ32" s="1083"/>
      <c r="HA32" s="1084"/>
      <c r="HB32" s="1084"/>
      <c r="HC32" s="1321"/>
      <c r="HD32" s="1321"/>
      <c r="HE32" s="1321"/>
      <c r="HF32" s="1321"/>
      <c r="HG32" s="1321"/>
      <c r="HH32" s="1321"/>
      <c r="HI32" s="1321"/>
      <c r="HJ32" s="1321"/>
      <c r="HK32" s="1143" t="s">
        <v>1570</v>
      </c>
      <c r="HL32" s="1152">
        <f>AVERAGE(1.9,2.1)*1000</f>
        <v>2000</v>
      </c>
      <c r="HM32" s="1321"/>
      <c r="HN32" s="1162" t="s">
        <v>1441</v>
      </c>
      <c r="HO32" s="1160">
        <v>25</v>
      </c>
      <c r="HP32" s="1175" t="s">
        <v>1566</v>
      </c>
      <c r="HQ32" s="1175">
        <v>0.75</v>
      </c>
      <c r="HR32" s="1175">
        <v>0.75</v>
      </c>
      <c r="HS32" s="1175">
        <v>0.75</v>
      </c>
      <c r="HT32" s="1175">
        <v>0.33333333333333331</v>
      </c>
      <c r="HU32" s="1175">
        <v>0.33333333333333331</v>
      </c>
      <c r="HV32" s="1321"/>
      <c r="HW32" s="1321"/>
      <c r="HX32" s="1321"/>
      <c r="HY32" s="1321"/>
      <c r="HZ32" s="1321"/>
      <c r="IA32" s="1321"/>
      <c r="IB32" s="1321"/>
      <c r="IC32" s="1321"/>
      <c r="ID32" s="1321"/>
      <c r="IE32" s="1321"/>
      <c r="IF32" s="1321"/>
      <c r="IG32" s="1321"/>
      <c r="IH32" s="1321"/>
      <c r="II32" s="1321"/>
      <c r="IJ32" s="1321"/>
      <c r="IK32" s="1321"/>
      <c r="IL32" s="1321"/>
      <c r="IM32" s="1321"/>
      <c r="IN32" s="1368"/>
    </row>
    <row r="33" spans="1:248" ht="12.75" customHeight="1" x14ac:dyDescent="0.2">
      <c r="A33" s="1307" t="s">
        <v>699</v>
      </c>
      <c r="B33" s="1177" t="s">
        <v>705</v>
      </c>
      <c r="C33" s="1177">
        <v>100</v>
      </c>
      <c r="D33" s="1178">
        <v>0.3</v>
      </c>
      <c r="E33" s="1327"/>
      <c r="F33" s="1228" t="s">
        <v>713</v>
      </c>
      <c r="G33" s="1155">
        <v>2.5</v>
      </c>
      <c r="H33" s="1321"/>
      <c r="I33" s="1321"/>
      <c r="J33" s="1321"/>
      <c r="K33" s="1321"/>
      <c r="L33" s="1321"/>
      <c r="M33" s="1321"/>
      <c r="N33" s="1321"/>
      <c r="O33" s="1197"/>
      <c r="P33" s="1139" t="s">
        <v>1111</v>
      </c>
      <c r="Q33" s="1139" t="s">
        <v>1111</v>
      </c>
      <c r="R33" s="1139" t="s">
        <v>1112</v>
      </c>
      <c r="S33" s="1139" t="s">
        <v>1111</v>
      </c>
      <c r="T33" s="1139" t="s">
        <v>1112</v>
      </c>
      <c r="U33" s="1139" t="s">
        <v>1111</v>
      </c>
      <c r="V33" s="1139"/>
      <c r="W33" s="1139" t="s">
        <v>1112</v>
      </c>
      <c r="X33" s="1139" t="s">
        <v>1112</v>
      </c>
      <c r="Y33" s="1139" t="s">
        <v>1125</v>
      </c>
      <c r="Z33" s="1139" t="s">
        <v>1112</v>
      </c>
      <c r="AA33" s="1139" t="s">
        <v>1126</v>
      </c>
      <c r="AB33" s="1139" t="s">
        <v>1126</v>
      </c>
      <c r="AC33" s="1139" t="s">
        <v>1112</v>
      </c>
      <c r="AD33" s="1139" t="s">
        <v>1126</v>
      </c>
      <c r="AE33" s="1139" t="s">
        <v>1127</v>
      </c>
      <c r="AF33" s="1139" t="s">
        <v>1125</v>
      </c>
      <c r="AG33" s="1732" t="s">
        <v>1111</v>
      </c>
      <c r="AH33" s="1733"/>
      <c r="AI33" s="1139" t="s">
        <v>1126</v>
      </c>
      <c r="AJ33" s="1139" t="s">
        <v>1129</v>
      </c>
      <c r="AK33" s="1139" t="s">
        <v>1112</v>
      </c>
      <c r="AL33" s="1139" t="s">
        <v>1112</v>
      </c>
      <c r="AM33" s="1139"/>
      <c r="AN33" s="1139" t="s">
        <v>1126</v>
      </c>
      <c r="AO33" s="1139"/>
      <c r="AP33" s="1139"/>
      <c r="AQ33" s="1139"/>
      <c r="AR33" s="1139"/>
      <c r="AS33" s="1139"/>
      <c r="AT33" s="1139"/>
      <c r="AU33" s="1139"/>
      <c r="AV33" s="1139"/>
      <c r="AW33" s="1139"/>
      <c r="AX33" s="1139"/>
      <c r="AY33" s="1139"/>
      <c r="AZ33" s="1321"/>
      <c r="BA33" s="1321"/>
      <c r="BB33" s="1321"/>
      <c r="BC33" s="1179" t="s">
        <v>738</v>
      </c>
      <c r="BD33" s="1209">
        <v>48</v>
      </c>
      <c r="BE33" s="1321"/>
      <c r="BF33" s="1179" t="s">
        <v>738</v>
      </c>
      <c r="BG33" s="1209">
        <v>153</v>
      </c>
      <c r="BH33" s="1321"/>
      <c r="BI33" s="1321"/>
      <c r="BJ33" s="1321"/>
      <c r="BK33" s="1345"/>
      <c r="BL33" s="1348"/>
      <c r="BM33" s="1346"/>
      <c r="BN33" s="1321"/>
      <c r="BO33" s="1321"/>
      <c r="BP33" s="1321"/>
      <c r="BQ33" s="1321"/>
      <c r="BR33" s="1321"/>
      <c r="BS33" s="1321"/>
      <c r="BT33" s="1321"/>
      <c r="BU33" s="1321"/>
      <c r="BV33" s="1345"/>
      <c r="BW33" s="1345"/>
      <c r="BX33" s="1321"/>
      <c r="BY33" s="1328" t="s">
        <v>1041</v>
      </c>
      <c r="BZ33" s="1321"/>
      <c r="CA33" s="1321"/>
      <c r="CB33" s="1333" t="s">
        <v>1055</v>
      </c>
      <c r="CC33" s="1320"/>
      <c r="CD33" s="1345"/>
      <c r="CE33" s="1345"/>
      <c r="CF33" s="1345"/>
      <c r="CG33" s="1345"/>
      <c r="CH33" s="1345"/>
      <c r="CI33" s="1321"/>
      <c r="CJ33" s="1176" t="s">
        <v>1286</v>
      </c>
      <c r="CK33" s="1177" t="s">
        <v>1273</v>
      </c>
      <c r="CL33" s="1177" t="s">
        <v>1252</v>
      </c>
      <c r="CM33" s="1177">
        <v>0.8</v>
      </c>
      <c r="CN33" s="1177">
        <v>1.4</v>
      </c>
      <c r="CO33" s="1177">
        <v>1.6</v>
      </c>
      <c r="CP33" s="1177">
        <v>1</v>
      </c>
      <c r="CQ33" s="1178">
        <v>0</v>
      </c>
      <c r="CR33" s="1321"/>
      <c r="CS33" s="1143" t="s">
        <v>793</v>
      </c>
      <c r="CT33" s="1143">
        <v>0</v>
      </c>
      <c r="CU33" s="1321"/>
      <c r="CV33" s="1321"/>
      <c r="CW33" s="1321"/>
      <c r="CX33" s="1321"/>
      <c r="CY33" s="1321"/>
      <c r="CZ33" s="1321"/>
      <c r="DA33" s="1321"/>
      <c r="DB33" s="1321"/>
      <c r="DC33" s="1321"/>
      <c r="DD33" s="1321"/>
      <c r="DE33" s="1321"/>
      <c r="DF33" s="1321"/>
      <c r="DG33" s="1176" t="s">
        <v>1294</v>
      </c>
      <c r="DH33" s="1177" t="s">
        <v>733</v>
      </c>
      <c r="DI33" s="1177" t="s">
        <v>1252</v>
      </c>
      <c r="DJ33" s="1177">
        <v>1</v>
      </c>
      <c r="DK33" s="1177">
        <v>0.6</v>
      </c>
      <c r="DL33" s="1178">
        <v>0.2</v>
      </c>
      <c r="DM33" s="1321"/>
      <c r="DN33" s="1214" t="s">
        <v>829</v>
      </c>
      <c r="DO33" s="1215">
        <v>5</v>
      </c>
      <c r="DP33" s="1215">
        <v>70</v>
      </c>
      <c r="DQ33" s="1215">
        <v>0</v>
      </c>
      <c r="DR33" s="1215">
        <v>3</v>
      </c>
      <c r="DS33" s="1345"/>
      <c r="DT33" s="1346"/>
      <c r="DU33" s="1346"/>
      <c r="DV33" s="1075" t="s">
        <v>523</v>
      </c>
      <c r="DW33" s="1269">
        <f t="array" ref="DW33">IF(ChoixRationComplèteDaims=OUI,0,IFERROR(IF(OR(AND(INDEX(Règles_daims[Specificite],MATCH(ChoixRationDaims&amp;DV33,Règles_daims[Ration]&amp;Règles_daims[Aliment],0))="s1",IF(DV33=Spécificité1Daims,1)),
AND(INDEX(Règles_daims[Specificite],MATCH(ChoixRationDaims&amp;DV33,Règles_daims[Ration]&amp;Règles_daims[Aliment],0))="s2",IF(DV33=Spécificité2Daims,1)),
INDEX(Règles_daims[Specificite],MATCH(ChoixRationDaims&amp;DV33,Règles_daims[Ration]&amp;Règles_daims[Aliment],0))="c"),
INDEX(Règles_daims[Valeur 36 et plus],MATCH(ChoixRationDaims&amp;DV33,Règles_daims[Ration]&amp;Règles_daims[Aliment],0)),0),0)*SUM(TotalDaimsAdultes)*SUM(NbreJoursNourrirBisonsDaims))</f>
        <v>0</v>
      </c>
      <c r="DX33" s="1269">
        <f t="array" ref="DX33">IF(ChoixRationComplèteDaims=OUI,0,IFERROR(IF(OR(AND(INDEX(Règles_daims[Specificite],MATCH(ChoixRationDaims&amp;DV33,Règles_daims[Ration]&amp;Règles_daims[Aliment],0))="s1",IF(DV33=Spécificité1Daims,1)),
AND(INDEX(Règles_daims[Specificite],MATCH(ChoixRationDaims&amp;DV33,Règles_daims[Ration]&amp;Règles_daims[Aliment],0))="s2",IF(DV33=Spécificité2Daims,1)),
INDEX(Règles_daims[Specificite],MATCH(ChoixRationDaims&amp;DV33,Règles_daims[Ration]&amp;Règles_daims[Aliment],0))="c"),
INDEX(Règles_daims[Valeur 24-36],MATCH(ChoixRationDaims&amp;DV33,Règles_daims[Ration]&amp;Règles_daims[Aliment],0)),0),0)*SUM(TotalDaims24_36)*SUM(NbreJoursNourrirBisonsDaims))</f>
        <v>0</v>
      </c>
      <c r="DY33" s="1269">
        <f t="array" ref="DY33">IF(ChoixRationComplèteDaims=OUI,0,IFERROR(IF(OR(AND(INDEX(Règles_daims[Specificite],MATCH(ChoixRationDaims&amp;DV33,Règles_daims[Ration]&amp;Règles_daims[Aliment],0))="s1",IF(DV33=Spécificité1Daims,1)),
AND(INDEX(Règles_daims[Specificite],MATCH(ChoixRationDaims&amp;DV33,Règles_daims[Ration]&amp;Règles_daims[Aliment],0))="s2",IF(DV33=Spécificité2Daims,1)),
INDEX(Règles_daims[Specificite],MATCH(ChoixRationDaims&amp;DV33,Règles_daims[Ration]&amp;Règles_daims[Aliment],0))="c"),
INDEX(Règles_daims[Valeur 18-24],MATCH(ChoixRationDaims&amp;DV33,Règles_daims[Ration]&amp;Règles_daims[Aliment],0)),0),0)*SUM(TotalDaims18_24)*SUM(NbreJoursNourrirBisonsDaims))</f>
        <v>0</v>
      </c>
      <c r="DZ33" s="1280">
        <f t="array" ref="DZ33">IF(ChoixRationComplèteDaims=OUI,0,IFERROR(IF(OR(AND(INDEX(Règles_daims[Specificite],MATCH(ChoixRationDaims&amp;DV33,Règles_daims[Ration]&amp;Règles_daims[Aliment],0))="s1",IF(DV33=Spécificité1Daims,1)),
AND(INDEX(Règles_daims[Specificite],MATCH(ChoixRationDaims&amp;DV33,Règles_daims[Ration]&amp;Règles_daims[Aliment],0))="s2",IF(DV33=Spécificité2Daims,1)),
INDEX(Règles_daims[Specificite],MATCH(ChoixRationDaims&amp;DV33,Règles_daims[Ration]&amp;Règles_daims[Aliment],0))="c"),
INDEX(Règles_daims[Valeur 12-18],MATCH(ChoixRationDaims&amp;DV33,Règles_daims[Ration]&amp;Règles_daims[Aliment],0)),0),0)*SUM(TotalDaims12_18)*SUM(NbreJoursNourrirBisonsDaims))</f>
        <v>0</v>
      </c>
      <c r="EA33" s="1280">
        <f t="array" ref="EA33">IF(ChoixRationComplèteDaims=OUI,0,IFERROR(IF(OR(AND(INDEX(Règles_daims[Specificite],MATCH(ChoixRationDaims&amp;DV33,Règles_daims[Ration]&amp;Règles_daims[Aliment],0))="s1",IF(DV33=Spécificité1Daims,1)),
AND(INDEX(Règles_daims[Specificite],MATCH(ChoixRationDaims&amp;DV33,Règles_daims[Ration]&amp;Règles_daims[Aliment],0))="s2",IF(DV33=Spécificité2Daims,1)),
INDEX(Règles_daims[Specificite],MATCH(ChoixRationDaims&amp;DV33,Règles_daims[Ration]&amp;Règles_daims[Aliment],0))="c"),
INDEX(Règles_daims[Valeur 6-12],MATCH(ChoixRationDaims&amp;DV33,Règles_daims[Ration]&amp;Règles_daims[Aliment],0)),0),0)*SUM(TotalDaims6_12)*SUM(NbreJoursNourrirBisonsDaims))</f>
        <v>0</v>
      </c>
      <c r="EB33" s="1280">
        <f t="array" ref="EB33">IF(ChoixRationComplèteDaims=OUI,0,IFERROR(IF(OR(AND(INDEX(Règles_daims[Specificite],MATCH(ChoixRationDaims&amp;DV33,Règles_daims[Ration]&amp;Règles_daims[Aliment],0))="s1",IF(DV33=Spécificité1Daims,1)),
AND(INDEX(Règles_daims[Specificite],MATCH(ChoixRationDaims&amp;DV33,Règles_daims[Ration]&amp;Règles_daims[Aliment],0))="s2",IF(DV33=Spécificité2Daims,1)),
INDEX(Règles_daims[Specificite],MATCH(ChoixRationDaims&amp;DV33,Règles_daims[Ration]&amp;Règles_daims[Aliment],0))="c"),
INDEX(Règles_daims[Valeur 3-6],MATCH(ChoixRationDaims&amp;DV33,Règles_daims[Ration]&amp;Règles_daims[Aliment],0)),0),0)*SUM(TotalDaims3_6)*SUM(NbreJoursNourrirBisonsDaims))</f>
        <v>0</v>
      </c>
      <c r="EC33" s="1280">
        <f t="array" ref="EC33">IF(ChoixRationComplèteDaims=OUI,0,IFERROR(IF(OR(AND(INDEX(Règles_daims[Specificite],MATCH(ChoixRationDaims&amp;DV33,Règles_daims[Ration]&amp;Règles_daims[Aliment],0))="s1",IF(DV33=Spécificité1Daims,1)),
AND(INDEX(Règles_daims[Specificite],MATCH(ChoixRationDaims&amp;DV33,Règles_daims[Ration]&amp;Règles_daims[Aliment],0))="s2",IF(DV33=Spécificité2Daims,1)),
INDEX(Règles_daims[Specificite],MATCH(ChoixRationDaims&amp;DV33,Règles_daims[Ration]&amp;Règles_daims[Aliment],0))="c"),
INDEX(Règles_daims[Valeur 0-3],MATCH(ChoixRationDaims&amp;DV33,Règles_daims[Ration]&amp;Règles_daims[Aliment],0)),0),0)*SUM(TotalDaims0_3)*SUM(NbreJoursNourrirBisonsDaims))</f>
        <v>0</v>
      </c>
      <c r="ED33" s="1280">
        <f>SUM($DW33:$EC33)</f>
        <v>0</v>
      </c>
      <c r="EE33" s="1345"/>
      <c r="EF33" s="1321"/>
      <c r="EG33" s="1217" t="s">
        <v>1477</v>
      </c>
      <c r="EH33" s="1177" t="s">
        <v>285</v>
      </c>
      <c r="EI33" s="1177" t="s">
        <v>1253</v>
      </c>
      <c r="EJ33" s="1177">
        <v>0.22</v>
      </c>
      <c r="EK33" s="1177">
        <v>0.16</v>
      </c>
      <c r="EL33" s="1178">
        <v>0.12</v>
      </c>
      <c r="EM33" s="1321"/>
      <c r="EN33" s="1217" t="s">
        <v>1302</v>
      </c>
      <c r="EO33" s="1177" t="s">
        <v>285</v>
      </c>
      <c r="EP33" s="1177" t="s">
        <v>1253</v>
      </c>
      <c r="EQ33" s="1177">
        <v>0.04</v>
      </c>
      <c r="ER33" s="1177">
        <v>0.03</v>
      </c>
      <c r="ES33" s="1178">
        <v>0.2</v>
      </c>
      <c r="ET33" s="1321"/>
      <c r="EU33" s="1176" t="s">
        <v>1028</v>
      </c>
      <c r="EV33" s="1178">
        <v>60</v>
      </c>
      <c r="EW33" s="1321"/>
      <c r="EX33" s="1176" t="s">
        <v>1028</v>
      </c>
      <c r="EY33" s="1178">
        <v>27</v>
      </c>
      <c r="EZ33" s="1321"/>
      <c r="FA33" s="1176" t="s">
        <v>1028</v>
      </c>
      <c r="FB33" s="1178">
        <v>9</v>
      </c>
      <c r="FC33" s="1321"/>
      <c r="FD33" s="1217" t="s">
        <v>1481</v>
      </c>
      <c r="FE33" s="1177" t="s">
        <v>723</v>
      </c>
      <c r="FF33" s="1177" t="s">
        <v>1277</v>
      </c>
      <c r="FG33" s="1177"/>
      <c r="FH33" s="1177"/>
      <c r="FI33" s="1177"/>
      <c r="FJ33" s="1178"/>
      <c r="FK33" s="1345"/>
      <c r="FL33" s="1345"/>
      <c r="FM33" s="1321"/>
      <c r="FN33" s="1217" t="s">
        <v>1481</v>
      </c>
      <c r="FO33" s="1177" t="s">
        <v>673</v>
      </c>
      <c r="FP33" s="1177" t="s">
        <v>1252</v>
      </c>
      <c r="FQ33" s="1177">
        <v>4</v>
      </c>
      <c r="FR33" s="1177">
        <v>3</v>
      </c>
      <c r="FS33" s="1177">
        <v>2</v>
      </c>
      <c r="FT33" s="1178">
        <v>1</v>
      </c>
      <c r="FU33" s="1345"/>
      <c r="FV33" s="1345"/>
      <c r="FW33" s="1176" t="s">
        <v>1306</v>
      </c>
      <c r="FX33" s="1177" t="s">
        <v>63</v>
      </c>
      <c r="FY33" s="1177" t="s">
        <v>1252</v>
      </c>
      <c r="FZ33" s="1177"/>
      <c r="GA33" s="1177">
        <v>0.23400000000000001</v>
      </c>
      <c r="GB33" s="1177">
        <v>0.18</v>
      </c>
      <c r="GC33" s="1178">
        <v>5.3999999999999999E-2</v>
      </c>
      <c r="GD33" s="1321"/>
      <c r="GE33" s="1149" t="s">
        <v>330</v>
      </c>
      <c r="GF33" s="1321"/>
      <c r="GG33" s="1149" t="s">
        <v>611</v>
      </c>
      <c r="GH33" s="1321" t="s">
        <v>1349</v>
      </c>
      <c r="GI33" s="1321" t="s">
        <v>1349</v>
      </c>
      <c r="GJ33" s="1321" t="s">
        <v>1349</v>
      </c>
      <c r="GK33" s="1321" t="s">
        <v>1349</v>
      </c>
      <c r="GL33" s="1321" t="s">
        <v>1349</v>
      </c>
      <c r="GM33" s="1321" t="s">
        <v>1349</v>
      </c>
      <c r="GN33" s="1321" t="s">
        <v>1349</v>
      </c>
      <c r="GO33" s="1321" t="s">
        <v>1349</v>
      </c>
      <c r="GP33" s="1321" t="s">
        <v>1349</v>
      </c>
      <c r="GQ33" s="1321" t="s">
        <v>1349</v>
      </c>
      <c r="GR33" s="1321" t="s">
        <v>1349</v>
      </c>
      <c r="GS33" s="1321" t="s">
        <v>1349</v>
      </c>
      <c r="GT33" s="1321" t="s">
        <v>1349</v>
      </c>
      <c r="GU33" s="1321" t="s">
        <v>1349</v>
      </c>
      <c r="GV33" s="1321" t="s">
        <v>1349</v>
      </c>
      <c r="GW33" s="1321"/>
      <c r="GX33" s="1321"/>
      <c r="GY33" s="1082" t="str">
        <f>GI2</f>
        <v>défanage chimique</v>
      </c>
      <c r="GZ33" s="1082"/>
      <c r="HA33" s="1085"/>
      <c r="HB33" s="1085">
        <f>IF(COUNTIF(TypeArticleDansEntrepôt,GY33)=0,0,SUMIF(TypeArticleDansEntrepôt,GY33,QtéArticleDansEntrepôt)*VLOOKUP(GY33,place_necessaire_entrepots_aire_paille[],2,FALSE))</f>
        <v>0</v>
      </c>
      <c r="HC33" s="1321"/>
      <c r="HD33" s="1321"/>
      <c r="HE33" s="1321"/>
      <c r="HF33" s="1321"/>
      <c r="HG33" s="1321"/>
      <c r="HH33" s="1321"/>
      <c r="HI33" s="1321"/>
      <c r="HJ33" s="1321"/>
      <c r="HK33" s="1149" t="s">
        <v>1630</v>
      </c>
      <c r="HL33" s="1159">
        <f>AVERAGE(6.3,6.5)*1000</f>
        <v>6400</v>
      </c>
      <c r="HM33" s="1321"/>
      <c r="HN33" s="1149" t="s">
        <v>1443</v>
      </c>
      <c r="HO33" s="1165">
        <v>20</v>
      </c>
      <c r="HP33" s="1166" t="s">
        <v>1566</v>
      </c>
      <c r="HQ33" s="1166">
        <v>0.75</v>
      </c>
      <c r="HR33" s="1166">
        <v>0.75</v>
      </c>
      <c r="HS33" s="1166">
        <v>0.75</v>
      </c>
      <c r="HT33" s="1166">
        <v>0.33333333333333331</v>
      </c>
      <c r="HU33" s="1166">
        <v>0.33333333333333331</v>
      </c>
      <c r="HV33" s="1321"/>
      <c r="HW33" s="1321"/>
      <c r="HX33" s="1321"/>
      <c r="HY33" s="1321"/>
      <c r="HZ33" s="1321"/>
      <c r="IA33" s="1321"/>
      <c r="IB33" s="1321"/>
      <c r="IC33" s="1321"/>
      <c r="ID33" s="1321"/>
      <c r="IE33" s="1321"/>
      <c r="IF33" s="1321"/>
      <c r="IG33" s="1321"/>
      <c r="IH33" s="1321"/>
      <c r="II33" s="1321"/>
      <c r="IJ33" s="1321"/>
      <c r="IK33" s="1321"/>
      <c r="IL33" s="1321"/>
      <c r="IM33" s="1321"/>
      <c r="IN33" s="1368"/>
    </row>
    <row r="34" spans="1:248" ht="12.75" customHeight="1" x14ac:dyDescent="0.2">
      <c r="A34" s="1307" t="s">
        <v>693</v>
      </c>
      <c r="B34" s="1177" t="s">
        <v>705</v>
      </c>
      <c r="C34" s="1177">
        <v>0</v>
      </c>
      <c r="D34" s="1178">
        <v>0</v>
      </c>
      <c r="E34" s="1327"/>
      <c r="F34" s="1327"/>
      <c r="G34" s="1327"/>
      <c r="H34" s="1320"/>
      <c r="I34" s="1321"/>
      <c r="J34" s="1321"/>
      <c r="K34" s="1321"/>
      <c r="L34" s="1321"/>
      <c r="M34" s="1321"/>
      <c r="N34" s="1321"/>
      <c r="O34" s="1143" t="s">
        <v>1221</v>
      </c>
      <c r="P34" s="1143"/>
      <c r="Q34" s="1143"/>
      <c r="R34" s="1143"/>
      <c r="S34" s="1143"/>
      <c r="T34" s="1143"/>
      <c r="U34" s="1143"/>
      <c r="V34" s="1143"/>
      <c r="W34" s="1143">
        <v>0.35</v>
      </c>
      <c r="X34" s="1143">
        <v>0.35</v>
      </c>
      <c r="Y34" s="1143">
        <v>0.35</v>
      </c>
      <c r="Z34" s="1143">
        <v>0.35</v>
      </c>
      <c r="AA34" s="1143">
        <v>0.35</v>
      </c>
      <c r="AB34" s="1143"/>
      <c r="AC34" s="1143"/>
      <c r="AD34" s="1143">
        <v>0.35</v>
      </c>
      <c r="AE34" s="1143">
        <v>0.35</v>
      </c>
      <c r="AF34" s="1143">
        <v>0.35</v>
      </c>
      <c r="AG34" s="1734">
        <v>0.35</v>
      </c>
      <c r="AH34" s="1735"/>
      <c r="AI34" s="1143">
        <v>0.35</v>
      </c>
      <c r="AJ34" s="1143">
        <v>0.35</v>
      </c>
      <c r="AK34" s="1143">
        <v>0.35</v>
      </c>
      <c r="AL34" s="1143">
        <v>0.35</v>
      </c>
      <c r="AM34" s="1143"/>
      <c r="AN34" s="1143">
        <v>0.35</v>
      </c>
      <c r="AO34" s="1143"/>
      <c r="AP34" s="1143"/>
      <c r="AQ34" s="1143"/>
      <c r="AR34" s="1143"/>
      <c r="AS34" s="1143"/>
      <c r="AT34" s="1143"/>
      <c r="AU34" s="1143"/>
      <c r="AV34" s="1143"/>
      <c r="AW34" s="1143"/>
      <c r="AX34" s="1143"/>
      <c r="AY34" s="1143"/>
      <c r="AZ34" s="1321"/>
      <c r="BA34" s="1321"/>
      <c r="BB34" s="1321"/>
      <c r="BC34" s="1212" t="s">
        <v>739</v>
      </c>
      <c r="BD34" s="1213">
        <v>30</v>
      </c>
      <c r="BE34" s="1321"/>
      <c r="BF34" s="1212" t="s">
        <v>739</v>
      </c>
      <c r="BG34" s="1213">
        <v>60</v>
      </c>
      <c r="BH34" s="1321"/>
      <c r="BI34" s="1321"/>
      <c r="BJ34" s="1321"/>
      <c r="BK34" s="1345"/>
      <c r="BL34" s="1348"/>
      <c r="BM34" s="1349" t="s">
        <v>1704</v>
      </c>
      <c r="BN34" s="1336"/>
      <c r="BO34" s="1336"/>
      <c r="BP34" s="1336"/>
      <c r="BQ34" s="1336"/>
      <c r="BR34" s="1336"/>
      <c r="BS34" s="1336"/>
      <c r="BT34" s="1336"/>
      <c r="BU34" s="1336"/>
      <c r="BV34" s="1345"/>
      <c r="BW34" s="1345"/>
      <c r="BX34" s="1321"/>
      <c r="BY34" s="1139" t="s">
        <v>1042</v>
      </c>
      <c r="BZ34" s="1139" t="s">
        <v>1054</v>
      </c>
      <c r="CA34" s="1321"/>
      <c r="CB34" s="1139" t="s">
        <v>1042</v>
      </c>
      <c r="CC34" s="1139" t="s">
        <v>1054</v>
      </c>
      <c r="CD34" s="1345"/>
      <c r="CE34" s="1345"/>
      <c r="CF34" s="1345"/>
      <c r="CG34" s="1345"/>
      <c r="CH34" s="1345"/>
      <c r="CI34" s="1321"/>
      <c r="CJ34" s="1176" t="s">
        <v>1286</v>
      </c>
      <c r="CK34" s="1177" t="s">
        <v>715</v>
      </c>
      <c r="CL34" s="1177" t="s">
        <v>1252</v>
      </c>
      <c r="CM34" s="1177">
        <v>0.8</v>
      </c>
      <c r="CN34" s="1177">
        <v>1.4</v>
      </c>
      <c r="CO34" s="1177">
        <v>1.6</v>
      </c>
      <c r="CP34" s="1177">
        <v>1</v>
      </c>
      <c r="CQ34" s="1178">
        <v>0</v>
      </c>
      <c r="CR34" s="1321"/>
      <c r="CS34" s="1321"/>
      <c r="CT34" s="1321"/>
      <c r="CU34" s="1318"/>
      <c r="CV34" s="1321"/>
      <c r="CW34" s="1321"/>
      <c r="CX34" s="1321"/>
      <c r="CY34" s="1321"/>
      <c r="CZ34" s="1328" t="s">
        <v>1297</v>
      </c>
      <c r="DA34" s="1321"/>
      <c r="DB34" s="1321"/>
      <c r="DC34" s="1321"/>
      <c r="DD34" s="1321"/>
      <c r="DE34" s="1321"/>
      <c r="DF34" s="1321"/>
      <c r="DG34" s="1176"/>
      <c r="DH34" s="1177"/>
      <c r="DI34" s="1177"/>
      <c r="DJ34" s="1177"/>
      <c r="DK34" s="1177"/>
      <c r="DL34" s="1178"/>
      <c r="DM34" s="1321"/>
      <c r="DN34" s="1321"/>
      <c r="DO34" s="1321"/>
      <c r="DP34" s="1321"/>
      <c r="DQ34" s="1321"/>
      <c r="DR34" s="1321"/>
      <c r="DS34" s="1345"/>
      <c r="DT34" s="1346"/>
      <c r="DU34" s="1346"/>
      <c r="DV34" s="1076" t="s">
        <v>285</v>
      </c>
      <c r="DW34" s="1267">
        <f t="array" ref="DW34">IF(ChoixRationComplèteDaims=OUI,0,IFERROR(IF(OR(AND(INDEX(Règles_daims[Specificite],MATCH(ChoixRationDaims&amp;DV34,Règles_daims[Ration]&amp;Règles_daims[Aliment],0))="s1",IF(DV34=Spécificité1Daims,1)),
AND(INDEX(Règles_daims[Specificite],MATCH(ChoixRationDaims&amp;DV34,Règles_daims[Ration]&amp;Règles_daims[Aliment],0))="s2",IF(DV34=Spécificité2Daims,1)),
INDEX(Règles_daims[Specificite],MATCH(ChoixRationDaims&amp;DV34,Règles_daims[Ration]&amp;Règles_daims[Aliment],0))="c"),
INDEX(Règles_daims[Valeur 36 et plus],MATCH(ChoixRationDaims&amp;DV34,Règles_daims[Ration]&amp;Règles_daims[Aliment],0)),0),0)*SUM(TotalDaimsAdultes)*SUM(NbreJoursNourrirBisonsDaims))</f>
        <v>0</v>
      </c>
      <c r="DX34" s="1267">
        <f t="array" ref="DX34">IF(ChoixRationComplèteDaims=OUI,0,IFERROR(IF(OR(AND(INDEX(Règles_daims[Specificite],MATCH(ChoixRationDaims&amp;DV34,Règles_daims[Ration]&amp;Règles_daims[Aliment],0))="s1",IF(DV34=Spécificité1Daims,1)),
AND(INDEX(Règles_daims[Specificite],MATCH(ChoixRationDaims&amp;DV34,Règles_daims[Ration]&amp;Règles_daims[Aliment],0))="s2",IF(DV34=Spécificité2Daims,1)),
INDEX(Règles_daims[Specificite],MATCH(ChoixRationDaims&amp;DV34,Règles_daims[Ration]&amp;Règles_daims[Aliment],0))="c"),
INDEX(Règles_daims[Valeur 24-36],MATCH(ChoixRationDaims&amp;DV34,Règles_daims[Ration]&amp;Règles_daims[Aliment],0)),0),0)*SUM(TotalDaims24_36)*SUM(NbreJoursNourrirBisonsDaims))</f>
        <v>0</v>
      </c>
      <c r="DY34" s="1267">
        <f t="array" ref="DY34">IF(ChoixRationComplèteDaims=OUI,0,IFERROR(IF(OR(AND(INDEX(Règles_daims[Specificite],MATCH(ChoixRationDaims&amp;DV34,Règles_daims[Ration]&amp;Règles_daims[Aliment],0))="s1",IF(DV34=Spécificité1Daims,1)),
AND(INDEX(Règles_daims[Specificite],MATCH(ChoixRationDaims&amp;DV34,Règles_daims[Ration]&amp;Règles_daims[Aliment],0))="s2",IF(DV34=Spécificité2Daims,1)),
INDEX(Règles_daims[Specificite],MATCH(ChoixRationDaims&amp;DV34,Règles_daims[Ration]&amp;Règles_daims[Aliment],0))="c"),
INDEX(Règles_daims[Valeur 18-24],MATCH(ChoixRationDaims&amp;DV34,Règles_daims[Ration]&amp;Règles_daims[Aliment],0)),0),0)*SUM(TotalDaims18_24)*SUM(NbreJoursNourrirBisonsDaims))</f>
        <v>0</v>
      </c>
      <c r="DZ34" s="1279">
        <f t="array" ref="DZ34">IF(ChoixRationComplèteDaims=OUI,0,IFERROR(IF(OR(AND(INDEX(Règles_daims[Specificite],MATCH(ChoixRationDaims&amp;DV34,Règles_daims[Ration]&amp;Règles_daims[Aliment],0))="s1",IF(DV34=Spécificité1Daims,1)),
AND(INDEX(Règles_daims[Specificite],MATCH(ChoixRationDaims&amp;DV34,Règles_daims[Ration]&amp;Règles_daims[Aliment],0))="s2",IF(DV34=Spécificité2Daims,1)),
INDEX(Règles_daims[Specificite],MATCH(ChoixRationDaims&amp;DV34,Règles_daims[Ration]&amp;Règles_daims[Aliment],0))="c"),
INDEX(Règles_daims[Valeur 12-18],MATCH(ChoixRationDaims&amp;DV34,Règles_daims[Ration]&amp;Règles_daims[Aliment],0)),0),0)*SUM(TotalDaims12_18)*SUM(NbreJoursNourrirBisonsDaims))</f>
        <v>0</v>
      </c>
      <c r="EA34" s="1279">
        <f t="array" ref="EA34">IF(ChoixRationComplèteDaims=OUI,0,IFERROR(IF(OR(AND(INDEX(Règles_daims[Specificite],MATCH(ChoixRationDaims&amp;DV34,Règles_daims[Ration]&amp;Règles_daims[Aliment],0))="s1",IF(DV34=Spécificité1Daims,1)),
AND(INDEX(Règles_daims[Specificite],MATCH(ChoixRationDaims&amp;DV34,Règles_daims[Ration]&amp;Règles_daims[Aliment],0))="s2",IF(DV34=Spécificité2Daims,1)),
INDEX(Règles_daims[Specificite],MATCH(ChoixRationDaims&amp;DV34,Règles_daims[Ration]&amp;Règles_daims[Aliment],0))="c"),
INDEX(Règles_daims[Valeur 6-12],MATCH(ChoixRationDaims&amp;DV34,Règles_daims[Ration]&amp;Règles_daims[Aliment],0)),0),0)*SUM(TotalDaims6_12)*SUM(NbreJoursNourrirBisonsDaims))</f>
        <v>0</v>
      </c>
      <c r="EB34" s="1279">
        <f t="array" ref="EB34">IF(ChoixRationComplèteDaims=OUI,0,IFERROR(IF(OR(AND(INDEX(Règles_daims[Specificite],MATCH(ChoixRationDaims&amp;DV34,Règles_daims[Ration]&amp;Règles_daims[Aliment],0))="s1",IF(DV34=Spécificité1Daims,1)),
AND(INDEX(Règles_daims[Specificite],MATCH(ChoixRationDaims&amp;DV34,Règles_daims[Ration]&amp;Règles_daims[Aliment],0))="s2",IF(DV34=Spécificité2Daims,1)),
INDEX(Règles_daims[Specificite],MATCH(ChoixRationDaims&amp;DV34,Règles_daims[Ration]&amp;Règles_daims[Aliment],0))="c"),
INDEX(Règles_daims[Valeur 3-6],MATCH(ChoixRationDaims&amp;DV34,Règles_daims[Ration]&amp;Règles_daims[Aliment],0)),0),0)*SUM(TotalDaims3_6)*SUM(NbreJoursNourrirBisonsDaims))</f>
        <v>0</v>
      </c>
      <c r="EC34" s="1279">
        <f t="array" ref="EC34">IF(ChoixRationComplèteDaims=OUI,0,IFERROR(IF(OR(AND(INDEX(Règles_daims[Specificite],MATCH(ChoixRationDaims&amp;DV34,Règles_daims[Ration]&amp;Règles_daims[Aliment],0))="s1",IF(DV34=Spécificité1Daims,1)),
AND(INDEX(Règles_daims[Specificite],MATCH(ChoixRationDaims&amp;DV34,Règles_daims[Ration]&amp;Règles_daims[Aliment],0))="s2",IF(DV34=Spécificité2Daims,1)),
INDEX(Règles_daims[Specificite],MATCH(ChoixRationDaims&amp;DV34,Règles_daims[Ration]&amp;Règles_daims[Aliment],0))="c"),
INDEX(Règles_daims[Valeur 0-3],MATCH(ChoixRationDaims&amp;DV34,Règles_daims[Ration]&amp;Règles_daims[Aliment],0)),0),0)*SUM(TotalDaims0_3)*SUM(NbreJoursNourrirBisonsDaims))</f>
        <v>0</v>
      </c>
      <c r="ED34" s="1279">
        <f t="shared" ref="ED34:ED70" si="9">SUM($DW34:$EC34)</f>
        <v>0</v>
      </c>
      <c r="EE34" s="1345"/>
      <c r="EF34" s="1321"/>
      <c r="EG34" s="1217" t="s">
        <v>1477</v>
      </c>
      <c r="EH34" s="1177" t="s">
        <v>76</v>
      </c>
      <c r="EI34" s="1177" t="s">
        <v>1253</v>
      </c>
      <c r="EJ34" s="1177">
        <v>0.22</v>
      </c>
      <c r="EK34" s="1177">
        <v>0.16</v>
      </c>
      <c r="EL34" s="1178">
        <v>0.12</v>
      </c>
      <c r="EM34" s="1321"/>
      <c r="EN34" s="1217" t="s">
        <v>1302</v>
      </c>
      <c r="EO34" s="1177" t="s">
        <v>76</v>
      </c>
      <c r="EP34" s="1177" t="s">
        <v>1253</v>
      </c>
      <c r="EQ34" s="1177">
        <v>0.04</v>
      </c>
      <c r="ER34" s="1177">
        <v>0.03</v>
      </c>
      <c r="ES34" s="1178">
        <v>0.2</v>
      </c>
      <c r="ET34" s="1321"/>
      <c r="EU34" s="1176" t="s">
        <v>1029</v>
      </c>
      <c r="EV34" s="1178">
        <v>80</v>
      </c>
      <c r="EW34" s="1321"/>
      <c r="EX34" s="1176" t="s">
        <v>1029</v>
      </c>
      <c r="EY34" s="1178">
        <v>36</v>
      </c>
      <c r="EZ34" s="1321"/>
      <c r="FA34" s="1176" t="s">
        <v>1029</v>
      </c>
      <c r="FB34" s="1178">
        <v>12</v>
      </c>
      <c r="FC34" s="1321"/>
      <c r="FD34" s="1217" t="s">
        <v>1481</v>
      </c>
      <c r="FE34" s="1177" t="s">
        <v>673</v>
      </c>
      <c r="FF34" s="1177" t="s">
        <v>1252</v>
      </c>
      <c r="FG34" s="1177">
        <v>6</v>
      </c>
      <c r="FH34" s="1177">
        <v>4</v>
      </c>
      <c r="FI34" s="1177">
        <v>2.5</v>
      </c>
      <c r="FJ34" s="1178">
        <v>1.5</v>
      </c>
      <c r="FK34" s="1345"/>
      <c r="FL34" s="1345"/>
      <c r="FM34" s="1321"/>
      <c r="FN34" s="1217" t="s">
        <v>1481</v>
      </c>
      <c r="FO34" s="1177" t="s">
        <v>672</v>
      </c>
      <c r="FP34" s="1177" t="s">
        <v>1252</v>
      </c>
      <c r="FQ34" s="1177">
        <v>4</v>
      </c>
      <c r="FR34" s="1177">
        <v>3</v>
      </c>
      <c r="FS34" s="1177">
        <v>2</v>
      </c>
      <c r="FT34" s="1178">
        <v>1</v>
      </c>
      <c r="FU34" s="1345"/>
      <c r="FV34" s="1345"/>
      <c r="FW34" s="1176" t="s">
        <v>1306</v>
      </c>
      <c r="FX34" s="1177" t="s">
        <v>1271</v>
      </c>
      <c r="FY34" s="1177" t="s">
        <v>1252</v>
      </c>
      <c r="FZ34" s="1177"/>
      <c r="GA34" s="1177">
        <v>5.1999999999999998E-2</v>
      </c>
      <c r="GB34" s="1177">
        <v>0.04</v>
      </c>
      <c r="GC34" s="1178">
        <v>1.2E-2</v>
      </c>
      <c r="GD34" s="1321"/>
      <c r="GE34" s="1143" t="s">
        <v>312</v>
      </c>
      <c r="GF34" s="1321"/>
      <c r="GG34" s="1143" t="s">
        <v>1496</v>
      </c>
      <c r="GH34" s="1321" t="s">
        <v>1349</v>
      </c>
      <c r="GI34" s="1321" t="s">
        <v>1349</v>
      </c>
      <c r="GJ34" s="1321" t="s">
        <v>1349</v>
      </c>
      <c r="GK34" s="1321" t="s">
        <v>1349</v>
      </c>
      <c r="GL34" s="1321" t="s">
        <v>1349</v>
      </c>
      <c r="GM34" s="1321" t="s">
        <v>1349</v>
      </c>
      <c r="GN34" s="1321" t="s">
        <v>1349</v>
      </c>
      <c r="GO34" s="1321" t="s">
        <v>1349</v>
      </c>
      <c r="GP34" s="1321" t="s">
        <v>1349</v>
      </c>
      <c r="GQ34" s="1321" t="s">
        <v>1349</v>
      </c>
      <c r="GR34" s="1321" t="s">
        <v>1349</v>
      </c>
      <c r="GS34" s="1321" t="s">
        <v>1349</v>
      </c>
      <c r="GT34" s="1321" t="s">
        <v>1349</v>
      </c>
      <c r="GU34" s="1321" t="s">
        <v>1349</v>
      </c>
      <c r="GV34" s="1321" t="s">
        <v>1349</v>
      </c>
      <c r="GW34" s="1321"/>
      <c r="GX34" s="1321"/>
      <c r="GY34" s="1083"/>
      <c r="GZ34" s="1083"/>
      <c r="HA34" s="1084"/>
      <c r="HB34" s="1084"/>
      <c r="HC34" s="1321"/>
      <c r="HD34" s="1321"/>
      <c r="HE34" s="1321"/>
      <c r="HF34" s="1321"/>
      <c r="HG34" s="1321"/>
      <c r="HH34" s="1321"/>
      <c r="HI34" s="1321"/>
      <c r="HJ34" s="1321"/>
      <c r="HK34" s="1143" t="s">
        <v>1643</v>
      </c>
      <c r="HL34" s="1152">
        <f>AVERAGE(3.8,4)*1000</f>
        <v>3900</v>
      </c>
      <c r="HM34" s="1321"/>
      <c r="HN34" s="1162" t="s">
        <v>1445</v>
      </c>
      <c r="HO34" s="1160">
        <v>20</v>
      </c>
      <c r="HP34" s="1175" t="s">
        <v>1566</v>
      </c>
      <c r="HQ34" s="1175">
        <v>0.75</v>
      </c>
      <c r="HR34" s="1175">
        <v>0.75</v>
      </c>
      <c r="HS34" s="1175">
        <v>0.75</v>
      </c>
      <c r="HT34" s="1175">
        <v>0.33333333333333331</v>
      </c>
      <c r="HU34" s="1175">
        <v>0.33333333333333331</v>
      </c>
      <c r="HV34" s="1321"/>
      <c r="HW34" s="1321"/>
      <c r="HX34" s="1321"/>
      <c r="HY34" s="1321"/>
      <c r="HZ34" s="1321"/>
      <c r="IA34" s="1321"/>
      <c r="IB34" s="1321"/>
      <c r="IC34" s="1321"/>
      <c r="ID34" s="1321"/>
      <c r="IE34" s="1321"/>
      <c r="IF34" s="1321"/>
      <c r="IG34" s="1321"/>
      <c r="IH34" s="1321"/>
      <c r="II34" s="1321"/>
      <c r="IJ34" s="1321"/>
      <c r="IK34" s="1321"/>
      <c r="IL34" s="1321"/>
      <c r="IM34" s="1321"/>
      <c r="IN34" s="1368"/>
    </row>
    <row r="35" spans="1:248" ht="12.75" customHeight="1" x14ac:dyDescent="0.2">
      <c r="A35" s="1307" t="s">
        <v>694</v>
      </c>
      <c r="B35" s="1177" t="s">
        <v>354</v>
      </c>
      <c r="C35" s="1177">
        <v>0</v>
      </c>
      <c r="D35" s="1178">
        <v>0</v>
      </c>
      <c r="E35" s="1327"/>
      <c r="F35" s="1327"/>
      <c r="G35" s="1327"/>
      <c r="H35" s="1320"/>
      <c r="I35" s="1321"/>
      <c r="J35" s="1321"/>
      <c r="K35" s="1321"/>
      <c r="L35" s="1321"/>
      <c r="M35" s="1321"/>
      <c r="N35" s="1321"/>
      <c r="O35" s="1149" t="s">
        <v>1224</v>
      </c>
      <c r="P35" s="1149">
        <v>0.4</v>
      </c>
      <c r="Q35" s="1149">
        <v>0.4</v>
      </c>
      <c r="R35" s="1149">
        <v>0.4</v>
      </c>
      <c r="S35" s="1149">
        <v>0.4</v>
      </c>
      <c r="T35" s="1149">
        <v>0.4</v>
      </c>
      <c r="U35" s="1149">
        <v>0.4</v>
      </c>
      <c r="V35" s="1149"/>
      <c r="W35" s="1149"/>
      <c r="X35" s="1149"/>
      <c r="Y35" s="1149"/>
      <c r="Z35" s="1149"/>
      <c r="AA35" s="1149"/>
      <c r="AB35" s="1149">
        <v>0.4</v>
      </c>
      <c r="AC35" s="1149">
        <v>0.4</v>
      </c>
      <c r="AD35" s="1149"/>
      <c r="AE35" s="1149"/>
      <c r="AF35" s="1149"/>
      <c r="AG35" s="1736"/>
      <c r="AH35" s="1737"/>
      <c r="AI35" s="1149"/>
      <c r="AJ35" s="1149"/>
      <c r="AK35" s="1149"/>
      <c r="AL35" s="1149"/>
      <c r="AM35" s="1149"/>
      <c r="AN35" s="1149"/>
      <c r="AO35" s="1149"/>
      <c r="AP35" s="1149"/>
      <c r="AQ35" s="1149"/>
      <c r="AR35" s="1149"/>
      <c r="AS35" s="1149"/>
      <c r="AT35" s="1149"/>
      <c r="AU35" s="1149"/>
      <c r="AV35" s="1149"/>
      <c r="AW35" s="1149"/>
      <c r="AX35" s="1149"/>
      <c r="AY35" s="1149"/>
      <c r="AZ35" s="1321"/>
      <c r="BA35" s="1321"/>
      <c r="BB35" s="1321"/>
      <c r="BC35" s="1327"/>
      <c r="BD35" s="1320"/>
      <c r="BE35" s="1321"/>
      <c r="BF35" s="1321"/>
      <c r="BG35" s="1321"/>
      <c r="BH35" s="1321"/>
      <c r="BI35" s="1321"/>
      <c r="BJ35" s="1321"/>
      <c r="BK35" s="1345"/>
      <c r="BL35" s="1348"/>
      <c r="BM35" s="1272" t="s">
        <v>1276</v>
      </c>
      <c r="BN35" s="1079" t="s">
        <v>1261</v>
      </c>
      <c r="BO35" s="1079" t="s">
        <v>1260</v>
      </c>
      <c r="BP35" s="1079" t="s">
        <v>1259</v>
      </c>
      <c r="BQ35" s="1079" t="s">
        <v>1258</v>
      </c>
      <c r="BR35" s="1079" t="s">
        <v>1257</v>
      </c>
      <c r="BS35" s="1079" t="s">
        <v>1256</v>
      </c>
      <c r="BT35" s="1273" t="s">
        <v>1255</v>
      </c>
      <c r="BU35" s="1079" t="s">
        <v>1269</v>
      </c>
      <c r="BV35" s="1345"/>
      <c r="BW35" s="1345"/>
      <c r="BX35" s="1321"/>
      <c r="BY35" s="1143" t="s">
        <v>1044</v>
      </c>
      <c r="BZ35" s="1143">
        <v>550</v>
      </c>
      <c r="CA35" s="1321"/>
      <c r="CB35" s="1143" t="s">
        <v>1044</v>
      </c>
      <c r="CC35" s="1143">
        <v>660</v>
      </c>
      <c r="CD35" s="1345"/>
      <c r="CE35" s="1345"/>
      <c r="CF35" s="1345"/>
      <c r="CG35" s="1345"/>
      <c r="CH35" s="1345"/>
      <c r="CI35" s="1321"/>
      <c r="CJ35" s="1176" t="s">
        <v>1286</v>
      </c>
      <c r="CK35" s="1177" t="s">
        <v>1271</v>
      </c>
      <c r="CL35" s="1177" t="s">
        <v>1252</v>
      </c>
      <c r="CM35" s="1177">
        <v>0.8</v>
      </c>
      <c r="CN35" s="1177">
        <v>1.4</v>
      </c>
      <c r="CO35" s="1177">
        <v>0.4</v>
      </c>
      <c r="CP35" s="1177">
        <v>0.2</v>
      </c>
      <c r="CQ35" s="1178">
        <v>0</v>
      </c>
      <c r="CR35" s="1321"/>
      <c r="CS35" s="1328" t="s">
        <v>1289</v>
      </c>
      <c r="CT35" s="1321"/>
      <c r="CU35" s="1318"/>
      <c r="CV35" s="1321"/>
      <c r="CW35" s="1321"/>
      <c r="CX35" s="1321"/>
      <c r="CY35" s="1321"/>
      <c r="CZ35" s="1187" t="s">
        <v>1232</v>
      </c>
      <c r="DA35" s="1171" t="s">
        <v>1250</v>
      </c>
      <c r="DB35" s="1168" t="s">
        <v>1251</v>
      </c>
      <c r="DC35" s="1171" t="s">
        <v>1295</v>
      </c>
      <c r="DD35" s="1171" t="s">
        <v>1296</v>
      </c>
      <c r="DE35" s="1172" t="s">
        <v>1284</v>
      </c>
      <c r="DF35" s="1321"/>
      <c r="DG35" s="1176"/>
      <c r="DH35" s="1177"/>
      <c r="DI35" s="1177"/>
      <c r="DJ35" s="1177"/>
      <c r="DK35" s="1177"/>
      <c r="DL35" s="1178"/>
      <c r="DM35" s="1321"/>
      <c r="DN35" s="1328" t="s">
        <v>830</v>
      </c>
      <c r="DO35" s="1321"/>
      <c r="DP35" s="1321"/>
      <c r="DQ35" s="1328" t="s">
        <v>734</v>
      </c>
      <c r="DR35" s="1321"/>
      <c r="DS35" s="1345"/>
      <c r="DT35" s="1346"/>
      <c r="DU35" s="1346"/>
      <c r="DV35" s="1075" t="s">
        <v>730</v>
      </c>
      <c r="DW35" s="1269">
        <f t="array" ref="DW35">IF(ChoixRationComplèteDaims=OUI,0,IFERROR(IF(OR(AND(INDEX(Règles_daims[Specificite],MATCH(ChoixRationDaims&amp;DV35,Règles_daims[Ration]&amp;Règles_daims[Aliment],0))="s1",IF(DV35=Spécificité1Daims,1)),
AND(INDEX(Règles_daims[Specificite],MATCH(ChoixRationDaims&amp;DV35,Règles_daims[Ration]&amp;Règles_daims[Aliment],0))="s2",IF(DV35=Spécificité2Daims,1)),
INDEX(Règles_daims[Specificite],MATCH(ChoixRationDaims&amp;DV35,Règles_daims[Ration]&amp;Règles_daims[Aliment],0))="c"),
INDEX(Règles_daims[Valeur 36 et plus],MATCH(ChoixRationDaims&amp;DV35,Règles_daims[Ration]&amp;Règles_daims[Aliment],0)),0),0)*SUM(TotalDaimsAdultes)*SUM(NbreJoursNourrirBisonsDaims))</f>
        <v>0</v>
      </c>
      <c r="DX35" s="1269">
        <f t="array" ref="DX35">IF(ChoixRationComplèteDaims=OUI,0,IFERROR(IF(OR(AND(INDEX(Règles_daims[Specificite],MATCH(ChoixRationDaims&amp;DV35,Règles_daims[Ration]&amp;Règles_daims[Aliment],0))="s1",IF(DV35=Spécificité1Daims,1)),
AND(INDEX(Règles_daims[Specificite],MATCH(ChoixRationDaims&amp;DV35,Règles_daims[Ration]&amp;Règles_daims[Aliment],0))="s2",IF(DV35=Spécificité2Daims,1)),
INDEX(Règles_daims[Specificite],MATCH(ChoixRationDaims&amp;DV35,Règles_daims[Ration]&amp;Règles_daims[Aliment],0))="c"),
INDEX(Règles_daims[Valeur 24-36],MATCH(ChoixRationDaims&amp;DV35,Règles_daims[Ration]&amp;Règles_daims[Aliment],0)),0),0)*SUM(TotalDaims24_36)*SUM(NbreJoursNourrirBisonsDaims))</f>
        <v>0</v>
      </c>
      <c r="DY35" s="1269">
        <f t="array" ref="DY35">IF(ChoixRationComplèteDaims=OUI,0,IFERROR(IF(OR(AND(INDEX(Règles_daims[Specificite],MATCH(ChoixRationDaims&amp;DV35,Règles_daims[Ration]&amp;Règles_daims[Aliment],0))="s1",IF(DV35=Spécificité1Daims,1)),
AND(INDEX(Règles_daims[Specificite],MATCH(ChoixRationDaims&amp;DV35,Règles_daims[Ration]&amp;Règles_daims[Aliment],0))="s2",IF(DV35=Spécificité2Daims,1)),
INDEX(Règles_daims[Specificite],MATCH(ChoixRationDaims&amp;DV35,Règles_daims[Ration]&amp;Règles_daims[Aliment],0))="c"),
INDEX(Règles_daims[Valeur 18-24],MATCH(ChoixRationDaims&amp;DV35,Règles_daims[Ration]&amp;Règles_daims[Aliment],0)),0),0)*SUM(TotalDaims18_24)*SUM(NbreJoursNourrirBisonsDaims))</f>
        <v>0</v>
      </c>
      <c r="DZ35" s="1280">
        <f t="array" ref="DZ35">IF(ChoixRationComplèteDaims=OUI,0,IFERROR(IF(OR(AND(INDEX(Règles_daims[Specificite],MATCH(ChoixRationDaims&amp;DV35,Règles_daims[Ration]&amp;Règles_daims[Aliment],0))="s1",IF(DV35=Spécificité1Daims,1)),
AND(INDEX(Règles_daims[Specificite],MATCH(ChoixRationDaims&amp;DV35,Règles_daims[Ration]&amp;Règles_daims[Aliment],0))="s2",IF(DV35=Spécificité2Daims,1)),
INDEX(Règles_daims[Specificite],MATCH(ChoixRationDaims&amp;DV35,Règles_daims[Ration]&amp;Règles_daims[Aliment],0))="c"),
INDEX(Règles_daims[Valeur 12-18],MATCH(ChoixRationDaims&amp;DV35,Règles_daims[Ration]&amp;Règles_daims[Aliment],0)),0),0)*SUM(TotalDaims12_18)*SUM(NbreJoursNourrirBisonsDaims))</f>
        <v>0</v>
      </c>
      <c r="EA35" s="1280">
        <f t="array" ref="EA35">IF(ChoixRationComplèteDaims=OUI,0,IFERROR(IF(OR(AND(INDEX(Règles_daims[Specificite],MATCH(ChoixRationDaims&amp;DV35,Règles_daims[Ration]&amp;Règles_daims[Aliment],0))="s1",IF(DV35=Spécificité1Daims,1)),
AND(INDEX(Règles_daims[Specificite],MATCH(ChoixRationDaims&amp;DV35,Règles_daims[Ration]&amp;Règles_daims[Aliment],0))="s2",IF(DV35=Spécificité2Daims,1)),
INDEX(Règles_daims[Specificite],MATCH(ChoixRationDaims&amp;DV35,Règles_daims[Ration]&amp;Règles_daims[Aliment],0))="c"),
INDEX(Règles_daims[Valeur 6-12],MATCH(ChoixRationDaims&amp;DV35,Règles_daims[Ration]&amp;Règles_daims[Aliment],0)),0),0)*SUM(TotalDaims6_12)*SUM(NbreJoursNourrirBisonsDaims))</f>
        <v>0</v>
      </c>
      <c r="EB35" s="1280">
        <f t="array" ref="EB35">IF(ChoixRationComplèteDaims=OUI,0,IFERROR(IF(OR(AND(INDEX(Règles_daims[Specificite],MATCH(ChoixRationDaims&amp;DV35,Règles_daims[Ration]&amp;Règles_daims[Aliment],0))="s1",IF(DV35=Spécificité1Daims,1)),
AND(INDEX(Règles_daims[Specificite],MATCH(ChoixRationDaims&amp;DV35,Règles_daims[Ration]&amp;Règles_daims[Aliment],0))="s2",IF(DV35=Spécificité2Daims,1)),
INDEX(Règles_daims[Specificite],MATCH(ChoixRationDaims&amp;DV35,Règles_daims[Ration]&amp;Règles_daims[Aliment],0))="c"),
INDEX(Règles_daims[Valeur 3-6],MATCH(ChoixRationDaims&amp;DV35,Règles_daims[Ration]&amp;Règles_daims[Aliment],0)),0),0)*SUM(TotalDaims3_6)*SUM(NbreJoursNourrirBisonsDaims))</f>
        <v>0</v>
      </c>
      <c r="EC35" s="1280">
        <f t="array" ref="EC35">IF(ChoixRationComplèteDaims=OUI,0,IFERROR(IF(OR(AND(INDEX(Règles_daims[Specificite],MATCH(ChoixRationDaims&amp;DV35,Règles_daims[Ration]&amp;Règles_daims[Aliment],0))="s1",IF(DV35=Spécificité1Daims,1)),
AND(INDEX(Règles_daims[Specificite],MATCH(ChoixRationDaims&amp;DV35,Règles_daims[Ration]&amp;Règles_daims[Aliment],0))="s2",IF(DV35=Spécificité2Daims,1)),
INDEX(Règles_daims[Specificite],MATCH(ChoixRationDaims&amp;DV35,Règles_daims[Ration]&amp;Règles_daims[Aliment],0))="c"),
INDEX(Règles_daims[Valeur 0-3],MATCH(ChoixRationDaims&amp;DV35,Règles_daims[Ration]&amp;Règles_daims[Aliment],0)),0),0)*SUM(TotalDaims0_3)*SUM(NbreJoursNourrirBisonsDaims))</f>
        <v>0</v>
      </c>
      <c r="ED35" s="1280">
        <f t="shared" si="9"/>
        <v>0</v>
      </c>
      <c r="EE35" s="1345"/>
      <c r="EF35" s="1321"/>
      <c r="EG35" s="1217" t="s">
        <v>1477</v>
      </c>
      <c r="EH35" s="1177" t="s">
        <v>339</v>
      </c>
      <c r="EI35" s="1177" t="s">
        <v>1252</v>
      </c>
      <c r="EJ35" s="1177">
        <v>0.08</v>
      </c>
      <c r="EK35" s="1177">
        <v>0.06</v>
      </c>
      <c r="EL35" s="1178">
        <v>0.04</v>
      </c>
      <c r="EM35" s="1321"/>
      <c r="EN35" s="1217" t="s">
        <v>1302</v>
      </c>
      <c r="EO35" s="1177" t="s">
        <v>1273</v>
      </c>
      <c r="EP35" s="1177" t="s">
        <v>1252</v>
      </c>
      <c r="EQ35" s="1177">
        <v>0.04</v>
      </c>
      <c r="ER35" s="1177">
        <v>0.03</v>
      </c>
      <c r="ES35" s="1178">
        <v>0.2</v>
      </c>
      <c r="ET35" s="1321"/>
      <c r="EU35" s="1200" t="s">
        <v>1030</v>
      </c>
      <c r="EV35" s="1202">
        <v>80</v>
      </c>
      <c r="EW35" s="1321"/>
      <c r="EX35" s="1200" t="s">
        <v>1030</v>
      </c>
      <c r="EY35" s="1202">
        <v>36</v>
      </c>
      <c r="EZ35" s="1321"/>
      <c r="FA35" s="1200" t="s">
        <v>1030</v>
      </c>
      <c r="FB35" s="1202">
        <v>12</v>
      </c>
      <c r="FC35" s="1321"/>
      <c r="FD35" s="1217" t="s">
        <v>1481</v>
      </c>
      <c r="FE35" s="1177" t="s">
        <v>672</v>
      </c>
      <c r="FF35" s="1177" t="s">
        <v>1252</v>
      </c>
      <c r="FG35" s="1177">
        <v>6</v>
      </c>
      <c r="FH35" s="1177">
        <v>4</v>
      </c>
      <c r="FI35" s="1177">
        <v>2.5</v>
      </c>
      <c r="FJ35" s="1178">
        <v>1.5</v>
      </c>
      <c r="FK35" s="1345"/>
      <c r="FL35" s="1345"/>
      <c r="FM35" s="1321"/>
      <c r="FN35" s="1217" t="s">
        <v>1481</v>
      </c>
      <c r="FO35" s="1177" t="s">
        <v>339</v>
      </c>
      <c r="FP35" s="1177" t="s">
        <v>1252</v>
      </c>
      <c r="FQ35" s="1177">
        <v>4</v>
      </c>
      <c r="FR35" s="1177">
        <v>3</v>
      </c>
      <c r="FS35" s="1177">
        <v>2</v>
      </c>
      <c r="FT35" s="1178">
        <v>1</v>
      </c>
      <c r="FU35" s="1345"/>
      <c r="FV35" s="1345"/>
      <c r="FW35" s="1176" t="s">
        <v>1306</v>
      </c>
      <c r="FX35" s="1177" t="s">
        <v>733</v>
      </c>
      <c r="FY35" s="1177" t="s">
        <v>1252</v>
      </c>
      <c r="FZ35" s="1177">
        <v>2</v>
      </c>
      <c r="GA35" s="1177">
        <v>2</v>
      </c>
      <c r="GB35" s="1177">
        <v>2</v>
      </c>
      <c r="GC35" s="1178">
        <v>2</v>
      </c>
      <c r="GD35" s="1321"/>
      <c r="GE35" s="1149" t="s">
        <v>7</v>
      </c>
      <c r="GF35" s="1321"/>
      <c r="GG35" s="1149" t="s">
        <v>521</v>
      </c>
      <c r="GH35" s="1321" t="s">
        <v>1349</v>
      </c>
      <c r="GI35" s="1321" t="s">
        <v>1349</v>
      </c>
      <c r="GJ35" s="1321" t="s">
        <v>1349</v>
      </c>
      <c r="GK35" s="1321" t="s">
        <v>1349</v>
      </c>
      <c r="GL35" s="1321" t="s">
        <v>1349</v>
      </c>
      <c r="GM35" s="1321" t="s">
        <v>1349</v>
      </c>
      <c r="GN35" s="1321" t="s">
        <v>1349</v>
      </c>
      <c r="GO35" s="1321" t="s">
        <v>1349</v>
      </c>
      <c r="GP35" s="1321" t="s">
        <v>1349</v>
      </c>
      <c r="GQ35" s="1321" t="s">
        <v>1349</v>
      </c>
      <c r="GR35" s="1321" t="s">
        <v>1349</v>
      </c>
      <c r="GS35" s="1321" t="s">
        <v>1349</v>
      </c>
      <c r="GT35" s="1321" t="s">
        <v>1349</v>
      </c>
      <c r="GU35" s="1321" t="s">
        <v>1349</v>
      </c>
      <c r="GV35" s="1321" t="s">
        <v>1349</v>
      </c>
      <c r="GW35" s="1321"/>
      <c r="GX35" s="1321"/>
      <c r="GY35" s="1082" t="str">
        <f>GG2</f>
        <v>PDT pour plantation</v>
      </c>
      <c r="GZ35" s="1082"/>
      <c r="HA35" s="1085"/>
      <c r="HB35" s="1085">
        <f>IF(COUNTIF(TypeArticleDansEntrepôt,GY35)=0,0,SUMIF(TypeArticleDansEntrepôt,GY35,QtéArticleDansEntrepôt)*VLOOKUP(GY35,place_necessaire_entrepots_aire_paille[],2,FALSE))</f>
        <v>0</v>
      </c>
      <c r="HC35" s="1321"/>
      <c r="HD35" s="1321"/>
      <c r="HE35" s="1321"/>
      <c r="HF35" s="1321"/>
      <c r="HG35" s="1321"/>
      <c r="HH35" s="1321"/>
      <c r="HI35" s="1321"/>
      <c r="HJ35" s="1321"/>
      <c r="HK35" s="1149" t="s">
        <v>1572</v>
      </c>
      <c r="HL35" s="1159">
        <f>AVERAGE(1.2,1.5)*1000</f>
        <v>1350</v>
      </c>
      <c r="HM35" s="1321"/>
      <c r="HN35" s="1149" t="s">
        <v>1446</v>
      </c>
      <c r="HO35" s="1165">
        <v>7</v>
      </c>
      <c r="HP35" s="1166" t="s">
        <v>1566</v>
      </c>
      <c r="HQ35" s="1166">
        <v>0.75</v>
      </c>
      <c r="HR35" s="1166">
        <v>0.75</v>
      </c>
      <c r="HS35" s="1166">
        <v>0.75</v>
      </c>
      <c r="HT35" s="1166">
        <v>0.33333333333333331</v>
      </c>
      <c r="HU35" s="1166">
        <v>0.33333333333333331</v>
      </c>
      <c r="HV35" s="1321"/>
      <c r="HW35" s="1321"/>
      <c r="HX35" s="1321"/>
      <c r="HY35" s="1321"/>
      <c r="HZ35" s="1321"/>
      <c r="IA35" s="1321"/>
      <c r="IB35" s="1321"/>
      <c r="IC35" s="1321"/>
      <c r="ID35" s="1321"/>
      <c r="IE35" s="1321"/>
      <c r="IF35" s="1321"/>
      <c r="IG35" s="1321"/>
      <c r="IH35" s="1321"/>
      <c r="II35" s="1321"/>
      <c r="IJ35" s="1321"/>
      <c r="IK35" s="1321"/>
      <c r="IL35" s="1321"/>
      <c r="IM35" s="1321"/>
      <c r="IN35" s="1368"/>
    </row>
    <row r="36" spans="1:248" ht="12.75" customHeight="1" x14ac:dyDescent="0.2">
      <c r="A36" s="1307" t="s">
        <v>1091</v>
      </c>
      <c r="B36" s="1177" t="s">
        <v>1102</v>
      </c>
      <c r="C36" s="1177">
        <v>2500</v>
      </c>
      <c r="D36" s="1178">
        <v>0.05</v>
      </c>
      <c r="E36" s="1321" t="s">
        <v>1107</v>
      </c>
      <c r="F36" s="1327"/>
      <c r="G36" s="1327"/>
      <c r="H36" s="1320"/>
      <c r="I36" s="1321"/>
      <c r="J36" s="1321"/>
      <c r="K36" s="1321"/>
      <c r="L36" s="1321"/>
      <c r="M36" s="1321"/>
      <c r="N36" s="1321"/>
      <c r="O36" s="1143" t="s">
        <v>1225</v>
      </c>
      <c r="P36" s="1143">
        <v>0.4</v>
      </c>
      <c r="Q36" s="1143">
        <v>0.4</v>
      </c>
      <c r="R36" s="1143">
        <v>0.4</v>
      </c>
      <c r="S36" s="1143">
        <v>0.4</v>
      </c>
      <c r="T36" s="1143">
        <v>0.4</v>
      </c>
      <c r="U36" s="1143">
        <v>0.4</v>
      </c>
      <c r="V36" s="1143"/>
      <c r="W36" s="1143"/>
      <c r="X36" s="1143"/>
      <c r="Y36" s="1143"/>
      <c r="Z36" s="1143"/>
      <c r="AA36" s="1143"/>
      <c r="AB36" s="1143">
        <v>0.4</v>
      </c>
      <c r="AC36" s="1143">
        <v>0.4</v>
      </c>
      <c r="AD36" s="1143"/>
      <c r="AE36" s="1143"/>
      <c r="AF36" s="1143"/>
      <c r="AG36" s="1734"/>
      <c r="AH36" s="1735"/>
      <c r="AI36" s="1143"/>
      <c r="AJ36" s="1143"/>
      <c r="AK36" s="1143"/>
      <c r="AL36" s="1143"/>
      <c r="AM36" s="1143"/>
      <c r="AN36" s="1143"/>
      <c r="AO36" s="1143"/>
      <c r="AP36" s="1143"/>
      <c r="AQ36" s="1143"/>
      <c r="AR36" s="1143"/>
      <c r="AS36" s="1143"/>
      <c r="AT36" s="1143"/>
      <c r="AU36" s="1143"/>
      <c r="AV36" s="1143"/>
      <c r="AW36" s="1143"/>
      <c r="AX36" s="1143"/>
      <c r="AY36" s="1143"/>
      <c r="AZ36" s="1321"/>
      <c r="BA36" s="1321"/>
      <c r="BB36" s="1321"/>
      <c r="BC36" s="1224" t="s">
        <v>740</v>
      </c>
      <c r="BD36" s="1309"/>
      <c r="BE36" s="1321"/>
      <c r="BF36" s="1224" t="s">
        <v>716</v>
      </c>
      <c r="BG36" s="1309"/>
      <c r="BH36" s="1321"/>
      <c r="BI36" s="1321"/>
      <c r="BJ36" s="1321"/>
      <c r="BK36" s="1345"/>
      <c r="BL36" s="1348"/>
      <c r="BM36" s="1076" t="s">
        <v>673</v>
      </c>
      <c r="BN36" s="1076">
        <f t="array" ref="BN36">IF(Ration_hivernale_complète_bisons[somme]&gt;0,0,IFERROR(IF(OR(AND(INDEX(Règles_bison[Specificite],MATCH(ChoixRationBisons&amp;$BM36,Règles_bison[Ration]&amp;Règles_bison[Aliment],0))="s1",IF($BM36=ChoixSpécificité1Bisons,1)),
AND(INDEX(Règles_bison[Specificite],MATCH(ChoixRationBisons&amp;$BM36,Règles_bison[Ration]&amp;Règles_bison[Aliment],0))="s2",IF($BM36=ChoixSpécificité2Bisons,1)),INDEX(Règles_bison[Specificite],MATCH(ChoixRationBisons&amp;$BM36,Règles_bison[Ration]&amp;Règles_bison[Aliment],0))="c"),
INDEX(Règles_bison[Valeur 36 et plus],MATCH(ChoixRationBisons&amp;$BM36,Règles_bison[Ration]&amp;Règles_bison[Aliment],0)),0),0)*TotalBisonsMalesAdultes*SUM(NbreJoursNourrirBisonsDaims))</f>
        <v>0</v>
      </c>
      <c r="BO36" s="1076">
        <f t="array" ref="BO36">IF(Ration_hivernale_complète_bisons[somme]&gt;0,0,IFERROR(IF(OR(AND(INDEX(Règles_bison[Specificite],MATCH(ChoixRationBisons&amp;$BM36,Règles_bison[Ration]&amp;Règles_bison[Aliment],0))="s1",IF($BM36=ChoixSpécificité1Bisons,1)),
AND(INDEX(Règles_bison[Specificite],MATCH(ChoixRationBisons&amp;$BM36,Règles_bison[Ration]&amp;Règles_bison[Aliment],0))="s2",IF($BM36=ChoixSpécificité2Bisons,1)),INDEX(Règles_bison[Specificite],MATCH(ChoixRationBisons&amp;$BM36,Règles_bison[Ration]&amp;Règles_bison[Aliment],0))="c"),
INDEX(Règles_bison[Valeur 24-36],MATCH(ChoixRationBisons&amp;$BM36,Règles_bison[Ration]&amp;Règles_bison[Aliment],0)),0),0)*TotalBisonsMales_24_36_mois*SUM(NbreJoursNourrirBisonsDaims))</f>
        <v>0</v>
      </c>
      <c r="BP36" s="1076">
        <f t="array" ref="BP36">IF(Ration_hivernale_complète_bisons[somme]&gt;0,0,IFERROR(IF(OR(AND(INDEX(Règles_bison[Specificite],MATCH(ChoixRationBisons&amp;$BM36,Règles_bison[Ration]&amp;Règles_bison[Aliment],0))="s1",IF($BM36=ChoixSpécificité1Bisons,1)),
AND(INDEX(Règles_bison[Specificite],MATCH(ChoixRationBisons&amp;$BM36,Règles_bison[Ration]&amp;Règles_bison[Aliment],0))="s2",IF($BM36=ChoixSpécificité2Bisons,1)),INDEX(Règles_bison[Specificite],MATCH(ChoixRationBisons&amp;$BM36,Règles_bison[Ration]&amp;Règles_bison[Aliment],0))="c"),
INDEX(Règles_bison[Valeur 18-24],MATCH(ChoixRationBisons&amp;$BM36,Règles_bison[Ration]&amp;Règles_bison[Aliment],0)),0),0)*TotalBisonsMales_18_24_mois*SUM(NbreJoursNourrirBisonsDaims))</f>
        <v>0</v>
      </c>
      <c r="BQ36" s="1076">
        <f t="array" ref="BQ36">IF(Ration_hivernale_complète_bisons[somme]&gt;0,0,IFERROR(IF(OR(AND(INDEX(Règles_bison[Specificite],MATCH(ChoixRationBisons&amp;$BM36,Règles_bison[Ration]&amp;Règles_bison[Aliment],0))="s1",IF($BM36=ChoixSpécificité1Bisons,1)),
AND(INDEX(Règles_bison[Specificite],MATCH(ChoixRationBisons&amp;$BM36,Règles_bison[Ration]&amp;Règles_bison[Aliment],0))="s2",IF($BM36=ChoixSpécificité2Bisons,1)),INDEX(Règles_bison[Specificite],MATCH(ChoixRationBisons&amp;$BM36,Règles_bison[Ration]&amp;Règles_bison[Aliment],0))="c"),
INDEX(Règles_bison[Valeur 12-18],MATCH(ChoixRationBisons&amp;$BM36,Règles_bison[Ration]&amp;Règles_bison[Aliment],0)),0),0)*TotalBisonsMales_12_18_mois*SUM(NbreJoursNourrirBisonsDaims))</f>
        <v>0</v>
      </c>
      <c r="BR36" s="1076">
        <f t="array" ref="BR36">IF(Ration_hivernale_complète_bisons[somme]&gt;0,0,IFERROR(IF(OR(AND(INDEX(Règles_bison[Specificite],MATCH(ChoixRationBisons&amp;$BM36,Règles_bison[Ration]&amp;Règles_bison[Aliment],0))="s1",IF($BM36=ChoixSpécificité1Bisons,1)),
AND(INDEX(Règles_bison[Specificite],MATCH(ChoixRationBisons&amp;$BM36,Règles_bison[Ration]&amp;Règles_bison[Aliment],0))="s2",IF($BM36=ChoixSpécificité2Bisons,1)),INDEX(Règles_bison[Specificite],MATCH(ChoixRationBisons&amp;$BM36,Règles_bison[Ration]&amp;Règles_bison[Aliment],0))="c"),
INDEX(Règles_bison[Valeur 6-12],MATCH(ChoixRationBisons&amp;$BM36,Règles_bison[Ration]&amp;Règles_bison[Aliment],0)),0),0)*TotalBisonsMales_6_12_mois*SUM(NbreJoursNourrirBisonsDaims))</f>
        <v>0</v>
      </c>
      <c r="BS36" s="1076">
        <f t="array" ref="BS36">IF(Ration_hivernale_complète_bisons[somme]&gt;0,0,IFERROR(IF(OR(AND(INDEX(Règles_bison[Specificite],MATCH(ChoixRationBisons&amp;$BM36,Règles_bison[Ration]&amp;Règles_bison[Aliment],0))="s1",IF($BM36=ChoixSpécificité1Bisons,1)),
AND(INDEX(Règles_bison[Specificite],MATCH(ChoixRationBisons&amp;$BM36,Règles_bison[Ration]&amp;Règles_bison[Aliment],0))="s2",IF($BM36=ChoixSpécificité2Bisons,1)),INDEX(Règles_bison[Specificite],MATCH(ChoixRationBisons&amp;$BM36,Règles_bison[Ration]&amp;Règles_bison[Aliment],0))="c"),
INDEX(Règles_bison[Valeur 3-6],MATCH(ChoixRationBisons&amp;$BM36,Règles_bison[Ration]&amp;Règles_bison[Aliment],0)),0),0)*TotalBisonsMales_3_6_mois*SUM(NbreJoursNourrirBisonsDaims))</f>
        <v>0</v>
      </c>
      <c r="BT36" s="1076">
        <f t="array" ref="BT36">IF(Ration_hivernale_complète_bisons[somme]&gt;0,0,IFERROR(IF(OR(AND(INDEX(Règles_bison[Specificite],MATCH(ChoixRationBisons&amp;$BM36,Règles_bison[Ration]&amp;Règles_bison[Aliment],0))="s1",IF($BM36=ChoixSpécificité1Bisons,1)),
AND(INDEX(Règles_bison[Specificite],MATCH(ChoixRationBisons&amp;$BM36,Règles_bison[Ration]&amp;Règles_bison[Aliment],0))="s2",IF($BM36=ChoixSpécificité2Bisons,1)),INDEX(Règles_bison[Specificite],MATCH(ChoixRationBisons&amp;$BM36,Règles_bison[Ration]&amp;Règles_bison[Aliment],0))="c"),
INDEX(Règles_bison[Valeur 0-3],MATCH(ChoixRationBisons&amp;$BM36,Règles_bison[Ration]&amp;Règles_bison[Aliment],0)),0),0)*TotalBisonsMales_0_3_mois*SUM(NbreJoursNourrirBisonsDaims))</f>
        <v>0</v>
      </c>
      <c r="BU36" s="1076">
        <f t="shared" ref="BU36:BU69" si="10">SUM($BN36:$BT36)</f>
        <v>0</v>
      </c>
      <c r="BV36" s="1345"/>
      <c r="BW36" s="1345"/>
      <c r="BX36" s="1321"/>
      <c r="BY36" s="1149" t="s">
        <v>1045</v>
      </c>
      <c r="BZ36" s="1149">
        <v>560</v>
      </c>
      <c r="CA36" s="1321"/>
      <c r="CB36" s="1149" t="s">
        <v>1045</v>
      </c>
      <c r="CC36" s="1149">
        <v>672</v>
      </c>
      <c r="CD36" s="1345"/>
      <c r="CE36" s="1345"/>
      <c r="CF36" s="1345"/>
      <c r="CG36" s="1345"/>
      <c r="CH36" s="1345"/>
      <c r="CI36" s="1321"/>
      <c r="CJ36" s="1176" t="s">
        <v>1286</v>
      </c>
      <c r="CK36" s="1177" t="s">
        <v>733</v>
      </c>
      <c r="CL36" s="1177" t="s">
        <v>1252</v>
      </c>
      <c r="CM36" s="1177">
        <v>68</v>
      </c>
      <c r="CN36" s="1177">
        <v>48</v>
      </c>
      <c r="CO36" s="1177">
        <v>24</v>
      </c>
      <c r="CP36" s="1177">
        <v>12</v>
      </c>
      <c r="CQ36" s="1178">
        <v>2</v>
      </c>
      <c r="CR36" s="1321"/>
      <c r="CS36" s="1187" t="s">
        <v>1232</v>
      </c>
      <c r="CT36" s="1171" t="s">
        <v>1250</v>
      </c>
      <c r="CU36" s="1168" t="s">
        <v>1251</v>
      </c>
      <c r="CV36" s="1171" t="s">
        <v>1290</v>
      </c>
      <c r="CW36" s="1171" t="s">
        <v>1283</v>
      </c>
      <c r="CX36" s="1172" t="s">
        <v>1284</v>
      </c>
      <c r="CY36" s="1321"/>
      <c r="CZ36" s="1176" t="s">
        <v>1293</v>
      </c>
      <c r="DA36" s="1177" t="s">
        <v>723</v>
      </c>
      <c r="DB36" s="1177" t="s">
        <v>1277</v>
      </c>
      <c r="DC36" s="1177">
        <v>0.1</v>
      </c>
      <c r="DD36" s="1177">
        <v>7.4999999999999997E-2</v>
      </c>
      <c r="DE36" s="1178">
        <v>5.5E-2</v>
      </c>
      <c r="DF36" s="1321"/>
      <c r="DG36" s="1176"/>
      <c r="DH36" s="1177"/>
      <c r="DI36" s="1177"/>
      <c r="DJ36" s="1177"/>
      <c r="DK36" s="1177"/>
      <c r="DL36" s="1178"/>
      <c r="DM36" s="1321"/>
      <c r="DN36" s="1143" t="s">
        <v>831</v>
      </c>
      <c r="DO36" s="1143">
        <v>68</v>
      </c>
      <c r="DP36" s="1321"/>
      <c r="DQ36" s="1143" t="s">
        <v>831</v>
      </c>
      <c r="DR36" s="1143">
        <v>20</v>
      </c>
      <c r="DS36" s="1345"/>
      <c r="DT36" s="1346"/>
      <c r="DU36" s="1346"/>
      <c r="DV36" s="1076" t="s">
        <v>1270</v>
      </c>
      <c r="DW36" s="1267">
        <f t="array" ref="DW36">IF(ChoixRationComplèteDaims=OUI,0,IFERROR(IF(OR(AND(INDEX(Règles_daims[Specificite],MATCH(ChoixRationDaims&amp;DV36,Règles_daims[Ration]&amp;Règles_daims[Aliment],0))="s1",IF(DV36=Spécificité1Daims,1)),
AND(INDEX(Règles_daims[Specificite],MATCH(ChoixRationDaims&amp;DV36,Règles_daims[Ration]&amp;Règles_daims[Aliment],0))="s2",IF(DV36=Spécificité2Daims,1)),
INDEX(Règles_daims[Specificite],MATCH(ChoixRationDaims&amp;DV36,Règles_daims[Ration]&amp;Règles_daims[Aliment],0))="c"),
INDEX(Règles_daims[Valeur 36 et plus],MATCH(ChoixRationDaims&amp;DV36,Règles_daims[Ration]&amp;Règles_daims[Aliment],0)),0),0)*SUM(TotalDaimsAdultes)*SUM(NbreJoursNourrirBisonsDaims))</f>
        <v>0</v>
      </c>
      <c r="DX36" s="1267">
        <f t="array" ref="DX36">IF(ChoixRationComplèteDaims=OUI,0,IFERROR(IF(OR(AND(INDEX(Règles_daims[Specificite],MATCH(ChoixRationDaims&amp;DV36,Règles_daims[Ration]&amp;Règles_daims[Aliment],0))="s1",IF(DV36=Spécificité1Daims,1)),
AND(INDEX(Règles_daims[Specificite],MATCH(ChoixRationDaims&amp;DV36,Règles_daims[Ration]&amp;Règles_daims[Aliment],0))="s2",IF(DV36=Spécificité2Daims,1)),
INDEX(Règles_daims[Specificite],MATCH(ChoixRationDaims&amp;DV36,Règles_daims[Ration]&amp;Règles_daims[Aliment],0))="c"),
INDEX(Règles_daims[Valeur 24-36],MATCH(ChoixRationDaims&amp;DV36,Règles_daims[Ration]&amp;Règles_daims[Aliment],0)),0),0)*SUM(TotalDaims24_36)*SUM(NbreJoursNourrirBisonsDaims))</f>
        <v>0</v>
      </c>
      <c r="DY36" s="1267">
        <f t="array" ref="DY36">IF(ChoixRationComplèteDaims=OUI,0,IFERROR(IF(OR(AND(INDEX(Règles_daims[Specificite],MATCH(ChoixRationDaims&amp;DV36,Règles_daims[Ration]&amp;Règles_daims[Aliment],0))="s1",IF(DV36=Spécificité1Daims,1)),
AND(INDEX(Règles_daims[Specificite],MATCH(ChoixRationDaims&amp;DV36,Règles_daims[Ration]&amp;Règles_daims[Aliment],0))="s2",IF(DV36=Spécificité2Daims,1)),
INDEX(Règles_daims[Specificite],MATCH(ChoixRationDaims&amp;DV36,Règles_daims[Ration]&amp;Règles_daims[Aliment],0))="c"),
INDEX(Règles_daims[Valeur 18-24],MATCH(ChoixRationDaims&amp;DV36,Règles_daims[Ration]&amp;Règles_daims[Aliment],0)),0),0)*SUM(TotalDaims18_24)*SUM(NbreJoursNourrirBisonsDaims))</f>
        <v>0</v>
      </c>
      <c r="DZ36" s="1279">
        <f t="array" ref="DZ36">IF(ChoixRationComplèteDaims=OUI,0,IFERROR(IF(OR(AND(INDEX(Règles_daims[Specificite],MATCH(ChoixRationDaims&amp;DV36,Règles_daims[Ration]&amp;Règles_daims[Aliment],0))="s1",IF(DV36=Spécificité1Daims,1)),
AND(INDEX(Règles_daims[Specificite],MATCH(ChoixRationDaims&amp;DV36,Règles_daims[Ration]&amp;Règles_daims[Aliment],0))="s2",IF(DV36=Spécificité2Daims,1)),
INDEX(Règles_daims[Specificite],MATCH(ChoixRationDaims&amp;DV36,Règles_daims[Ration]&amp;Règles_daims[Aliment],0))="c"),
INDEX(Règles_daims[Valeur 12-18],MATCH(ChoixRationDaims&amp;DV36,Règles_daims[Ration]&amp;Règles_daims[Aliment],0)),0),0)*SUM(TotalDaims12_18)*SUM(NbreJoursNourrirBisonsDaims))</f>
        <v>0</v>
      </c>
      <c r="EA36" s="1279">
        <f t="array" ref="EA36">IF(ChoixRationComplèteDaims=OUI,0,IFERROR(IF(OR(AND(INDEX(Règles_daims[Specificite],MATCH(ChoixRationDaims&amp;DV36,Règles_daims[Ration]&amp;Règles_daims[Aliment],0))="s1",IF(DV36=Spécificité1Daims,1)),
AND(INDEX(Règles_daims[Specificite],MATCH(ChoixRationDaims&amp;DV36,Règles_daims[Ration]&amp;Règles_daims[Aliment],0))="s2",IF(DV36=Spécificité2Daims,1)),
INDEX(Règles_daims[Specificite],MATCH(ChoixRationDaims&amp;DV36,Règles_daims[Ration]&amp;Règles_daims[Aliment],0))="c"),
INDEX(Règles_daims[Valeur 6-12],MATCH(ChoixRationDaims&amp;DV36,Règles_daims[Ration]&amp;Règles_daims[Aliment],0)),0),0)*SUM(TotalDaims6_12)*SUM(NbreJoursNourrirBisonsDaims))</f>
        <v>0</v>
      </c>
      <c r="EB36" s="1279">
        <f t="array" ref="EB36">IF(ChoixRationComplèteDaims=OUI,0,IFERROR(IF(OR(AND(INDEX(Règles_daims[Specificite],MATCH(ChoixRationDaims&amp;DV36,Règles_daims[Ration]&amp;Règles_daims[Aliment],0))="s1",IF(DV36=Spécificité1Daims,1)),
AND(INDEX(Règles_daims[Specificite],MATCH(ChoixRationDaims&amp;DV36,Règles_daims[Ration]&amp;Règles_daims[Aliment],0))="s2",IF(DV36=Spécificité2Daims,1)),
INDEX(Règles_daims[Specificite],MATCH(ChoixRationDaims&amp;DV36,Règles_daims[Ration]&amp;Règles_daims[Aliment],0))="c"),
INDEX(Règles_daims[Valeur 3-6],MATCH(ChoixRationDaims&amp;DV36,Règles_daims[Ration]&amp;Règles_daims[Aliment],0)),0),0)*SUM(TotalDaims3_6)*SUM(NbreJoursNourrirBisonsDaims))</f>
        <v>0</v>
      </c>
      <c r="EC36" s="1279">
        <f t="array" ref="EC36">IF(ChoixRationComplèteDaims=OUI,0,IFERROR(IF(OR(AND(INDEX(Règles_daims[Specificite],MATCH(ChoixRationDaims&amp;DV36,Règles_daims[Ration]&amp;Règles_daims[Aliment],0))="s1",IF(DV36=Spécificité1Daims,1)),
AND(INDEX(Règles_daims[Specificite],MATCH(ChoixRationDaims&amp;DV36,Règles_daims[Ration]&amp;Règles_daims[Aliment],0))="s2",IF(DV36=Spécificité2Daims,1)),
INDEX(Règles_daims[Specificite],MATCH(ChoixRationDaims&amp;DV36,Règles_daims[Ration]&amp;Règles_daims[Aliment],0))="c"),
INDEX(Règles_daims[Valeur 0-3],MATCH(ChoixRationDaims&amp;DV36,Règles_daims[Ration]&amp;Règles_daims[Aliment],0)),0),0)*SUM(TotalDaims0_3)*SUM(NbreJoursNourrirBisonsDaims))</f>
        <v>0</v>
      </c>
      <c r="ED36" s="1279">
        <f t="shared" si="9"/>
        <v>0</v>
      </c>
      <c r="EE36" s="1345"/>
      <c r="EF36" s="1321"/>
      <c r="EG36" s="1217" t="s">
        <v>1477</v>
      </c>
      <c r="EH36" s="1177" t="s">
        <v>673</v>
      </c>
      <c r="EI36" s="1177" t="s">
        <v>1252</v>
      </c>
      <c r="EJ36" s="1177">
        <v>0.08</v>
      </c>
      <c r="EK36" s="1177">
        <v>0.06</v>
      </c>
      <c r="EL36" s="1178">
        <v>0.04</v>
      </c>
      <c r="EM36" s="1321"/>
      <c r="EN36" s="1217" t="s">
        <v>1302</v>
      </c>
      <c r="EO36" s="1177" t="s">
        <v>715</v>
      </c>
      <c r="EP36" s="1177" t="s">
        <v>1252</v>
      </c>
      <c r="EQ36" s="1177">
        <v>0.04</v>
      </c>
      <c r="ER36" s="1177">
        <v>0.03</v>
      </c>
      <c r="ES36" s="1178">
        <v>0.2</v>
      </c>
      <c r="ET36" s="1321"/>
      <c r="EU36" s="1321"/>
      <c r="EV36" s="1321"/>
      <c r="EW36" s="1321"/>
      <c r="EX36" s="1321"/>
      <c r="EY36" s="1321"/>
      <c r="EZ36" s="1345"/>
      <c r="FA36" s="1345"/>
      <c r="FB36" s="1345"/>
      <c r="FC36" s="1321"/>
      <c r="FD36" s="1217" t="s">
        <v>1481</v>
      </c>
      <c r="FE36" s="1177" t="s">
        <v>339</v>
      </c>
      <c r="FF36" s="1177" t="s">
        <v>1252</v>
      </c>
      <c r="FG36" s="1177">
        <v>6</v>
      </c>
      <c r="FH36" s="1177">
        <v>4</v>
      </c>
      <c r="FI36" s="1177">
        <v>2.5</v>
      </c>
      <c r="FJ36" s="1178">
        <v>1.5</v>
      </c>
      <c r="FK36" s="1345"/>
      <c r="FL36" s="1345"/>
      <c r="FM36" s="1321"/>
      <c r="FN36" s="1217" t="s">
        <v>1481</v>
      </c>
      <c r="FO36" s="1177" t="s">
        <v>219</v>
      </c>
      <c r="FP36" s="1177" t="s">
        <v>1252</v>
      </c>
      <c r="FQ36" s="1177">
        <v>12</v>
      </c>
      <c r="FR36" s="1177">
        <v>9</v>
      </c>
      <c r="FS36" s="1177">
        <v>6</v>
      </c>
      <c r="FT36" s="1178">
        <v>3</v>
      </c>
      <c r="FU36" s="1345"/>
      <c r="FV36" s="1345"/>
      <c r="FW36" s="1176"/>
      <c r="FX36" s="1177"/>
      <c r="FY36" s="1177"/>
      <c r="FZ36" s="1177"/>
      <c r="GA36" s="1177"/>
      <c r="GB36" s="1177"/>
      <c r="GC36" s="1178"/>
      <c r="GD36" s="1321"/>
      <c r="GE36" s="1143" t="s">
        <v>168</v>
      </c>
      <c r="GF36" s="1321"/>
      <c r="GG36" s="1143" t="s">
        <v>371</v>
      </c>
      <c r="GH36" s="1321" t="s">
        <v>1349</v>
      </c>
      <c r="GI36" s="1321" t="s">
        <v>1349</v>
      </c>
      <c r="GJ36" s="1321" t="s">
        <v>1349</v>
      </c>
      <c r="GK36" s="1321" t="s">
        <v>1349</v>
      </c>
      <c r="GL36" s="1321" t="s">
        <v>1349</v>
      </c>
      <c r="GM36" s="1321" t="s">
        <v>1349</v>
      </c>
      <c r="GN36" s="1321" t="s">
        <v>1349</v>
      </c>
      <c r="GO36" s="1321" t="s">
        <v>1349</v>
      </c>
      <c r="GP36" s="1321" t="s">
        <v>1349</v>
      </c>
      <c r="GQ36" s="1321" t="s">
        <v>1349</v>
      </c>
      <c r="GR36" s="1321" t="s">
        <v>1349</v>
      </c>
      <c r="GS36" s="1321" t="s">
        <v>1349</v>
      </c>
      <c r="GT36" s="1321" t="s">
        <v>1349</v>
      </c>
      <c r="GU36" s="1321" t="s">
        <v>1349</v>
      </c>
      <c r="GV36" s="1321" t="s">
        <v>1349</v>
      </c>
      <c r="GW36" s="1321"/>
      <c r="GX36" s="1321"/>
      <c r="GY36" s="1083" t="str">
        <f t="shared" ref="GY36:GY80" si="11">GG3</f>
        <v>semences d'avoine (G)</v>
      </c>
      <c r="GZ36" s="1083"/>
      <c r="HA36" s="1084"/>
      <c r="HB36" s="1084">
        <f>IF(COUNTIF(TypeArticleDansEntrepôt,GY36)=0,0,SUMIF(TypeArticleDansEntrepôt,GY36,QtéArticleDansEntrepôt)*VLOOKUP(GY36,place_necessaire_entrepots_aire_paille[],2,FALSE))</f>
        <v>0</v>
      </c>
      <c r="HC36" s="1321"/>
      <c r="HD36" s="1321"/>
      <c r="HE36" s="1321"/>
      <c r="HF36" s="1321"/>
      <c r="HG36" s="1321"/>
      <c r="HH36" s="1321"/>
      <c r="HI36" s="1321"/>
      <c r="HJ36" s="1321"/>
      <c r="HK36" s="1143" t="s">
        <v>1632</v>
      </c>
      <c r="HL36" s="1152">
        <f>AVERAGE(4,4.2)*1000</f>
        <v>4100</v>
      </c>
      <c r="HM36" s="1321"/>
      <c r="HN36" s="1162" t="s">
        <v>1447</v>
      </c>
      <c r="HO36" s="1160">
        <v>50</v>
      </c>
      <c r="HP36" s="1175" t="s">
        <v>1566</v>
      </c>
      <c r="HQ36" s="1175">
        <v>0.75</v>
      </c>
      <c r="HR36" s="1175">
        <v>0.75</v>
      </c>
      <c r="HS36" s="1175">
        <v>0.75</v>
      </c>
      <c r="HT36" s="1175">
        <v>0.33333333333333331</v>
      </c>
      <c r="HU36" s="1175">
        <v>0.33333333333333331</v>
      </c>
      <c r="HV36" s="1321"/>
      <c r="HW36" s="1321"/>
      <c r="HX36" s="1321"/>
      <c r="HY36" s="1321"/>
      <c r="HZ36" s="1321"/>
      <c r="IA36" s="1321"/>
      <c r="IB36" s="1321"/>
      <c r="IC36" s="1321"/>
      <c r="ID36" s="1321"/>
      <c r="IE36" s="1321"/>
      <c r="IF36" s="1321"/>
      <c r="IG36" s="1321"/>
      <c r="IH36" s="1321"/>
      <c r="II36" s="1321"/>
      <c r="IJ36" s="1321"/>
      <c r="IK36" s="1321"/>
      <c r="IL36" s="1321"/>
      <c r="IM36" s="1321"/>
      <c r="IN36" s="1368"/>
    </row>
    <row r="37" spans="1:248" ht="12.75" customHeight="1" x14ac:dyDescent="0.2">
      <c r="A37" s="1307" t="s">
        <v>1092</v>
      </c>
      <c r="B37" s="1177" t="s">
        <v>1102</v>
      </c>
      <c r="C37" s="1177">
        <v>2500</v>
      </c>
      <c r="D37" s="1178">
        <v>0.05</v>
      </c>
      <c r="E37" s="1321" t="s">
        <v>1107</v>
      </c>
      <c r="F37" s="1328" t="s">
        <v>839</v>
      </c>
      <c r="G37" s="1321"/>
      <c r="H37" s="1320"/>
      <c r="I37" s="1321"/>
      <c r="J37" s="1321"/>
      <c r="K37" s="1321"/>
      <c r="L37" s="1321"/>
      <c r="M37" s="1321"/>
      <c r="N37" s="1321"/>
      <c r="O37" s="1149" t="s">
        <v>1226</v>
      </c>
      <c r="P37" s="1149">
        <v>0.35</v>
      </c>
      <c r="Q37" s="1149">
        <v>0.35</v>
      </c>
      <c r="R37" s="1149">
        <v>0.35</v>
      </c>
      <c r="S37" s="1149">
        <v>0.35</v>
      </c>
      <c r="T37" s="1149">
        <v>0.35</v>
      </c>
      <c r="U37" s="1149">
        <v>0.35</v>
      </c>
      <c r="V37" s="1149"/>
      <c r="W37" s="1149"/>
      <c r="X37" s="1149"/>
      <c r="Y37" s="1149"/>
      <c r="Z37" s="1149"/>
      <c r="AA37" s="1149"/>
      <c r="AB37" s="1149">
        <v>0.35</v>
      </c>
      <c r="AC37" s="1149">
        <v>0.35</v>
      </c>
      <c r="AD37" s="1149"/>
      <c r="AE37" s="1149"/>
      <c r="AF37" s="1149"/>
      <c r="AG37" s="1736"/>
      <c r="AH37" s="1737"/>
      <c r="AI37" s="1149"/>
      <c r="AJ37" s="1149"/>
      <c r="AK37" s="1149"/>
      <c r="AL37" s="1149"/>
      <c r="AM37" s="1149"/>
      <c r="AN37" s="1149"/>
      <c r="AO37" s="1149"/>
      <c r="AP37" s="1149"/>
      <c r="AQ37" s="1149"/>
      <c r="AR37" s="1149"/>
      <c r="AS37" s="1149"/>
      <c r="AT37" s="1149"/>
      <c r="AU37" s="1149"/>
      <c r="AV37" s="1149"/>
      <c r="AW37" s="1149"/>
      <c r="AX37" s="1149"/>
      <c r="AY37" s="1149"/>
      <c r="AZ37" s="1321"/>
      <c r="BA37" s="1321"/>
      <c r="BB37" s="1321"/>
      <c r="BC37" s="1173" t="s">
        <v>735</v>
      </c>
      <c r="BD37" s="1174">
        <v>15</v>
      </c>
      <c r="BE37" s="1321"/>
      <c r="BF37" s="1173" t="s">
        <v>717</v>
      </c>
      <c r="BG37" s="1174">
        <v>88</v>
      </c>
      <c r="BH37" s="1321"/>
      <c r="BI37" s="1321"/>
      <c r="BJ37" s="1321"/>
      <c r="BK37" s="1345"/>
      <c r="BL37" s="1348"/>
      <c r="BM37" s="1075" t="s">
        <v>523</v>
      </c>
      <c r="BN37" s="1075">
        <f t="array" ref="BN37">IF(Ration_hivernale_complète_bisons[somme]&gt;0,0,IFERROR(IF(OR(AND(INDEX(Règles_bison[Specificite],MATCH(ChoixRationBisons&amp;$BM37,Règles_bison[Ration]&amp;Règles_bison[Aliment],0))="s1",IF($BM37=ChoixSpécificité1Bisons,1)),
AND(INDEX(Règles_bison[Specificite],MATCH(ChoixRationBisons&amp;$BM37,Règles_bison[Ration]&amp;Règles_bison[Aliment],0))="s2",IF($BM37=ChoixSpécificité2Bisons,1)),INDEX(Règles_bison[Specificite],MATCH(ChoixRationBisons&amp;$BM37,Règles_bison[Ration]&amp;Règles_bison[Aliment],0))="c"),
INDEX(Règles_bison[Valeur 36 et plus],MATCH(ChoixRationBisons&amp;$BM37,Règles_bison[Ration]&amp;Règles_bison[Aliment],0)),0),0)*TotalBisonsMalesAdultes*SUM(NbreJoursNourrirBisonsDaims))</f>
        <v>0</v>
      </c>
      <c r="BO37" s="1075">
        <f t="array" ref="BO37">IF(Ration_hivernale_complète_bisons[somme]&gt;0,0,IFERROR(IF(OR(AND(INDEX(Règles_bison[Specificite],MATCH(ChoixRationBisons&amp;$BM37,Règles_bison[Ration]&amp;Règles_bison[Aliment],0))="s1",IF($BM37=ChoixSpécificité1Bisons,1)),
AND(INDEX(Règles_bison[Specificite],MATCH(ChoixRationBisons&amp;$BM37,Règles_bison[Ration]&amp;Règles_bison[Aliment],0))="s2",IF($BM37=ChoixSpécificité2Bisons,1)),INDEX(Règles_bison[Specificite],MATCH(ChoixRationBisons&amp;$BM37,Règles_bison[Ration]&amp;Règles_bison[Aliment],0))="c"),
INDEX(Règles_bison[Valeur 24-36],MATCH(ChoixRationBisons&amp;$BM37,Règles_bison[Ration]&amp;Règles_bison[Aliment],0)),0),0)*TotalBisonsMales_24_36_mois*SUM(NbreJoursNourrirBisonsDaims))</f>
        <v>0</v>
      </c>
      <c r="BP37" s="1075">
        <f t="array" ref="BP37">IF(Ration_hivernale_complète_bisons[somme]&gt;0,0,IFERROR(IF(OR(AND(INDEX(Règles_bison[Specificite],MATCH(ChoixRationBisons&amp;$BM37,Règles_bison[Ration]&amp;Règles_bison[Aliment],0))="s1",IF($BM37=ChoixSpécificité1Bisons,1)),
AND(INDEX(Règles_bison[Specificite],MATCH(ChoixRationBisons&amp;$BM37,Règles_bison[Ration]&amp;Règles_bison[Aliment],0))="s2",IF($BM37=ChoixSpécificité2Bisons,1)),INDEX(Règles_bison[Specificite],MATCH(ChoixRationBisons&amp;$BM37,Règles_bison[Ration]&amp;Règles_bison[Aliment],0))="c"),
INDEX(Règles_bison[Valeur 18-24],MATCH(ChoixRationBisons&amp;$BM37,Règles_bison[Ration]&amp;Règles_bison[Aliment],0)),0),0)*TotalBisonsMales_18_24_mois*SUM(NbreJoursNourrirBisonsDaims))</f>
        <v>0</v>
      </c>
      <c r="BQ37" s="1075">
        <f t="array" ref="BQ37">IF(Ration_hivernale_complète_bisons[somme]&gt;0,0,IFERROR(IF(OR(AND(INDEX(Règles_bison[Specificite],MATCH(ChoixRationBisons&amp;$BM37,Règles_bison[Ration]&amp;Règles_bison[Aliment],0))="s1",IF($BM37=ChoixSpécificité1Bisons,1)),
AND(INDEX(Règles_bison[Specificite],MATCH(ChoixRationBisons&amp;$BM37,Règles_bison[Ration]&amp;Règles_bison[Aliment],0))="s2",IF($BM37=ChoixSpécificité2Bisons,1)),INDEX(Règles_bison[Specificite],MATCH(ChoixRationBisons&amp;$BM37,Règles_bison[Ration]&amp;Règles_bison[Aliment],0))="c"),
INDEX(Règles_bison[Valeur 12-18],MATCH(ChoixRationBisons&amp;$BM37,Règles_bison[Ration]&amp;Règles_bison[Aliment],0)),0),0)*TotalBisonsMales_12_18_mois*SUM(NbreJoursNourrirBisonsDaims))</f>
        <v>0</v>
      </c>
      <c r="BR37" s="1075">
        <f t="array" ref="BR37">IF(Ration_hivernale_complète_bisons[somme]&gt;0,0,IFERROR(IF(OR(AND(INDEX(Règles_bison[Specificite],MATCH(ChoixRationBisons&amp;$BM37,Règles_bison[Ration]&amp;Règles_bison[Aliment],0))="s1",IF($BM37=ChoixSpécificité1Bisons,1)),
AND(INDEX(Règles_bison[Specificite],MATCH(ChoixRationBisons&amp;$BM37,Règles_bison[Ration]&amp;Règles_bison[Aliment],0))="s2",IF($BM37=ChoixSpécificité2Bisons,1)),INDEX(Règles_bison[Specificite],MATCH(ChoixRationBisons&amp;$BM37,Règles_bison[Ration]&amp;Règles_bison[Aliment],0))="c"),
INDEX(Règles_bison[Valeur 6-12],MATCH(ChoixRationBisons&amp;$BM37,Règles_bison[Ration]&amp;Règles_bison[Aliment],0)),0),0)*TotalBisonsMales_6_12_mois*SUM(NbreJoursNourrirBisonsDaims))</f>
        <v>0</v>
      </c>
      <c r="BS37" s="1075">
        <f t="array" ref="BS37">IF(Ration_hivernale_complète_bisons[somme]&gt;0,0,IFERROR(IF(OR(AND(INDEX(Règles_bison[Specificite],MATCH(ChoixRationBisons&amp;$BM37,Règles_bison[Ration]&amp;Règles_bison[Aliment],0))="s1",IF($BM37=ChoixSpécificité1Bisons,1)),
AND(INDEX(Règles_bison[Specificite],MATCH(ChoixRationBisons&amp;$BM37,Règles_bison[Ration]&amp;Règles_bison[Aliment],0))="s2",IF($BM37=ChoixSpécificité2Bisons,1)),INDEX(Règles_bison[Specificite],MATCH(ChoixRationBisons&amp;$BM37,Règles_bison[Ration]&amp;Règles_bison[Aliment],0))="c"),
INDEX(Règles_bison[Valeur 3-6],MATCH(ChoixRationBisons&amp;$BM37,Règles_bison[Ration]&amp;Règles_bison[Aliment],0)),0),0)*TotalBisonsMales_3_6_mois*SUM(NbreJoursNourrirBisonsDaims))</f>
        <v>0</v>
      </c>
      <c r="BT37" s="1075">
        <f t="array" ref="BT37">IF(Ration_hivernale_complète_bisons[somme]&gt;0,0,IFERROR(IF(OR(AND(INDEX(Règles_bison[Specificite],MATCH(ChoixRationBisons&amp;$BM37,Règles_bison[Ration]&amp;Règles_bison[Aliment],0))="s1",IF($BM37=ChoixSpécificité1Bisons,1)),
AND(INDEX(Règles_bison[Specificite],MATCH(ChoixRationBisons&amp;$BM37,Règles_bison[Ration]&amp;Règles_bison[Aliment],0))="s2",IF($BM37=ChoixSpécificité2Bisons,1)),INDEX(Règles_bison[Specificite],MATCH(ChoixRationBisons&amp;$BM37,Règles_bison[Ration]&amp;Règles_bison[Aliment],0))="c"),
INDEX(Règles_bison[Valeur 0-3],MATCH(ChoixRationBisons&amp;$BM37,Règles_bison[Ration]&amp;Règles_bison[Aliment],0)),0),0)*TotalBisonsMales_0_3_mois*SUM(NbreJoursNourrirBisonsDaims))</f>
        <v>0</v>
      </c>
      <c r="BU37" s="1075">
        <f t="shared" si="10"/>
        <v>0</v>
      </c>
      <c r="BV37" s="1345"/>
      <c r="BW37" s="1345"/>
      <c r="BX37" s="1321"/>
      <c r="BY37" s="1143" t="s">
        <v>1046</v>
      </c>
      <c r="BZ37" s="1143">
        <v>570</v>
      </c>
      <c r="CA37" s="1321"/>
      <c r="CB37" s="1143" t="s">
        <v>1046</v>
      </c>
      <c r="CC37" s="1143">
        <v>684</v>
      </c>
      <c r="CD37" s="1345"/>
      <c r="CE37" s="1345"/>
      <c r="CF37" s="1345"/>
      <c r="CG37" s="1345"/>
      <c r="CH37" s="1345"/>
      <c r="CI37" s="1321"/>
      <c r="CJ37" s="1176"/>
      <c r="CK37" s="1177"/>
      <c r="CL37" s="1177"/>
      <c r="CM37" s="1177"/>
      <c r="CN37" s="1177"/>
      <c r="CO37" s="1177"/>
      <c r="CP37" s="1177"/>
      <c r="CQ37" s="1178"/>
      <c r="CR37" s="1321"/>
      <c r="CS37" s="1176" t="s">
        <v>1292</v>
      </c>
      <c r="CT37" s="1177" t="s">
        <v>723</v>
      </c>
      <c r="CU37" s="1177" t="s">
        <v>1277</v>
      </c>
      <c r="CV37" s="1177">
        <v>1.8</v>
      </c>
      <c r="CW37" s="1177">
        <v>1.2</v>
      </c>
      <c r="CX37" s="1178">
        <v>0</v>
      </c>
      <c r="CY37" s="1321"/>
      <c r="CZ37" s="1176" t="s">
        <v>1293</v>
      </c>
      <c r="DA37" s="1177" t="s">
        <v>285</v>
      </c>
      <c r="DB37" s="1177" t="s">
        <v>1253</v>
      </c>
      <c r="DC37" s="1177">
        <v>5.5E-2</v>
      </c>
      <c r="DD37" s="1177">
        <v>0.04</v>
      </c>
      <c r="DE37" s="1178">
        <v>0.03</v>
      </c>
      <c r="DF37" s="1321"/>
      <c r="DG37" s="1176"/>
      <c r="DH37" s="1177"/>
      <c r="DI37" s="1177"/>
      <c r="DJ37" s="1177"/>
      <c r="DK37" s="1177"/>
      <c r="DL37" s="1178"/>
      <c r="DM37" s="1321"/>
      <c r="DN37" s="1149" t="s">
        <v>832</v>
      </c>
      <c r="DO37" s="1149">
        <v>60</v>
      </c>
      <c r="DP37" s="1321"/>
      <c r="DQ37" s="1149" t="s">
        <v>832</v>
      </c>
      <c r="DR37" s="1149">
        <v>15</v>
      </c>
      <c r="DS37" s="1345"/>
      <c r="DT37" s="1346"/>
      <c r="DU37" s="1346"/>
      <c r="DV37" s="1075" t="s">
        <v>715</v>
      </c>
      <c r="DW37" s="1269">
        <f t="array" ref="DW37">IF(ChoixRationComplèteDaims=OUI,0,IFERROR(IF(OR(AND(INDEX(Règles_daims[Specificite],MATCH(ChoixRationDaims&amp;DV37,Règles_daims[Ration]&amp;Règles_daims[Aliment],0))="s1",IF(DV37=Spécificité1Daims,1)),
AND(INDEX(Règles_daims[Specificite],MATCH(ChoixRationDaims&amp;DV37,Règles_daims[Ration]&amp;Règles_daims[Aliment],0))="s2",IF(DV37=Spécificité2Daims,1)),
INDEX(Règles_daims[Specificite],MATCH(ChoixRationDaims&amp;DV37,Règles_daims[Ration]&amp;Règles_daims[Aliment],0))="c"),
INDEX(Règles_daims[Valeur 36 et plus],MATCH(ChoixRationDaims&amp;DV37,Règles_daims[Ration]&amp;Règles_daims[Aliment],0)),0),0)*SUM(TotalDaimsAdultes)*SUM(NbreJoursNourrirBisonsDaims))</f>
        <v>0</v>
      </c>
      <c r="DX37" s="1269">
        <f t="array" ref="DX37">IF(ChoixRationComplèteDaims=OUI,0,IFERROR(IF(OR(AND(INDEX(Règles_daims[Specificite],MATCH(ChoixRationDaims&amp;DV37,Règles_daims[Ration]&amp;Règles_daims[Aliment],0))="s1",IF(DV37=Spécificité1Daims,1)),
AND(INDEX(Règles_daims[Specificite],MATCH(ChoixRationDaims&amp;DV37,Règles_daims[Ration]&amp;Règles_daims[Aliment],0))="s2",IF(DV37=Spécificité2Daims,1)),
INDEX(Règles_daims[Specificite],MATCH(ChoixRationDaims&amp;DV37,Règles_daims[Ration]&amp;Règles_daims[Aliment],0))="c"),
INDEX(Règles_daims[Valeur 24-36],MATCH(ChoixRationDaims&amp;DV37,Règles_daims[Ration]&amp;Règles_daims[Aliment],0)),0),0)*SUM(TotalDaims24_36)*SUM(NbreJoursNourrirBisonsDaims))</f>
        <v>0</v>
      </c>
      <c r="DY37" s="1269">
        <f t="array" ref="DY37">IF(ChoixRationComplèteDaims=OUI,0,IFERROR(IF(OR(AND(INDEX(Règles_daims[Specificite],MATCH(ChoixRationDaims&amp;DV37,Règles_daims[Ration]&amp;Règles_daims[Aliment],0))="s1",IF(DV37=Spécificité1Daims,1)),
AND(INDEX(Règles_daims[Specificite],MATCH(ChoixRationDaims&amp;DV37,Règles_daims[Ration]&amp;Règles_daims[Aliment],0))="s2",IF(DV37=Spécificité2Daims,1)),
INDEX(Règles_daims[Specificite],MATCH(ChoixRationDaims&amp;DV37,Règles_daims[Ration]&amp;Règles_daims[Aliment],0))="c"),
INDEX(Règles_daims[Valeur 18-24],MATCH(ChoixRationDaims&amp;DV37,Règles_daims[Ration]&amp;Règles_daims[Aliment],0)),0),0)*SUM(TotalDaims18_24)*SUM(NbreJoursNourrirBisonsDaims))</f>
        <v>0</v>
      </c>
      <c r="DZ37" s="1280">
        <f t="array" ref="DZ37">IF(ChoixRationComplèteDaims=OUI,0,IFERROR(IF(OR(AND(INDEX(Règles_daims[Specificite],MATCH(ChoixRationDaims&amp;DV37,Règles_daims[Ration]&amp;Règles_daims[Aliment],0))="s1",IF(DV37=Spécificité1Daims,1)),
AND(INDEX(Règles_daims[Specificite],MATCH(ChoixRationDaims&amp;DV37,Règles_daims[Ration]&amp;Règles_daims[Aliment],0))="s2",IF(DV37=Spécificité2Daims,1)),
INDEX(Règles_daims[Specificite],MATCH(ChoixRationDaims&amp;DV37,Règles_daims[Ration]&amp;Règles_daims[Aliment],0))="c"),
INDEX(Règles_daims[Valeur 12-18],MATCH(ChoixRationDaims&amp;DV37,Règles_daims[Ration]&amp;Règles_daims[Aliment],0)),0),0)*SUM(TotalDaims12_18)*SUM(NbreJoursNourrirBisonsDaims))</f>
        <v>0</v>
      </c>
      <c r="EA37" s="1280">
        <f t="array" ref="EA37">IF(ChoixRationComplèteDaims=OUI,0,IFERROR(IF(OR(AND(INDEX(Règles_daims[Specificite],MATCH(ChoixRationDaims&amp;DV37,Règles_daims[Ration]&amp;Règles_daims[Aliment],0))="s1",IF(DV37=Spécificité1Daims,1)),
AND(INDEX(Règles_daims[Specificite],MATCH(ChoixRationDaims&amp;DV37,Règles_daims[Ration]&amp;Règles_daims[Aliment],0))="s2",IF(DV37=Spécificité2Daims,1)),
INDEX(Règles_daims[Specificite],MATCH(ChoixRationDaims&amp;DV37,Règles_daims[Ration]&amp;Règles_daims[Aliment],0))="c"),
INDEX(Règles_daims[Valeur 6-12],MATCH(ChoixRationDaims&amp;DV37,Règles_daims[Ration]&amp;Règles_daims[Aliment],0)),0),0)*SUM(TotalDaims6_12)*SUM(NbreJoursNourrirBisonsDaims))</f>
        <v>0</v>
      </c>
      <c r="EB37" s="1280">
        <f t="array" ref="EB37">IF(ChoixRationComplèteDaims=OUI,0,IFERROR(IF(OR(AND(INDEX(Règles_daims[Specificite],MATCH(ChoixRationDaims&amp;DV37,Règles_daims[Ration]&amp;Règles_daims[Aliment],0))="s1",IF(DV37=Spécificité1Daims,1)),
AND(INDEX(Règles_daims[Specificite],MATCH(ChoixRationDaims&amp;DV37,Règles_daims[Ration]&amp;Règles_daims[Aliment],0))="s2",IF(DV37=Spécificité2Daims,1)),
INDEX(Règles_daims[Specificite],MATCH(ChoixRationDaims&amp;DV37,Règles_daims[Ration]&amp;Règles_daims[Aliment],0))="c"),
INDEX(Règles_daims[Valeur 3-6],MATCH(ChoixRationDaims&amp;DV37,Règles_daims[Ration]&amp;Règles_daims[Aliment],0)),0),0)*SUM(TotalDaims3_6)*SUM(NbreJoursNourrirBisonsDaims))</f>
        <v>0</v>
      </c>
      <c r="EC37" s="1280">
        <f t="array" ref="EC37">IF(ChoixRationComplèteDaims=OUI,0,IFERROR(IF(OR(AND(INDEX(Règles_daims[Specificite],MATCH(ChoixRationDaims&amp;DV37,Règles_daims[Ration]&amp;Règles_daims[Aliment],0))="s1",IF(DV37=Spécificité1Daims,1)),
AND(INDEX(Règles_daims[Specificite],MATCH(ChoixRationDaims&amp;DV37,Règles_daims[Ration]&amp;Règles_daims[Aliment],0))="s2",IF(DV37=Spécificité2Daims,1)),
INDEX(Règles_daims[Specificite],MATCH(ChoixRationDaims&amp;DV37,Règles_daims[Ration]&amp;Règles_daims[Aliment],0))="c"),
INDEX(Règles_daims[Valeur 0-3],MATCH(ChoixRationDaims&amp;DV37,Règles_daims[Ration]&amp;Règles_daims[Aliment],0)),0),0)*SUM(TotalDaims0_3)*SUM(NbreJoursNourrirBisonsDaims))</f>
        <v>0</v>
      </c>
      <c r="ED37" s="1280">
        <f t="shared" si="9"/>
        <v>0</v>
      </c>
      <c r="EE37" s="1345"/>
      <c r="EF37" s="1321"/>
      <c r="EG37" s="1217" t="s">
        <v>1477</v>
      </c>
      <c r="EH37" s="1177" t="s">
        <v>1271</v>
      </c>
      <c r="EI37" s="1177" t="s">
        <v>1252</v>
      </c>
      <c r="EJ37" s="1177">
        <v>2E-3</v>
      </c>
      <c r="EK37" s="1177">
        <v>1.2E-2</v>
      </c>
      <c r="EL37" s="1178">
        <v>8.0000000000000002E-3</v>
      </c>
      <c r="EM37" s="1321"/>
      <c r="EN37" s="1217" t="s">
        <v>1302</v>
      </c>
      <c r="EO37" s="1177" t="s">
        <v>63</v>
      </c>
      <c r="EP37" s="1177" t="s">
        <v>1252</v>
      </c>
      <c r="EQ37" s="1177">
        <v>0.04</v>
      </c>
      <c r="ER37" s="1177">
        <v>0.03</v>
      </c>
      <c r="ES37" s="1178">
        <v>0.2</v>
      </c>
      <c r="ET37" s="1321"/>
      <c r="EU37" s="1328" t="s">
        <v>1032</v>
      </c>
      <c r="EV37" s="1321"/>
      <c r="EW37" s="1321"/>
      <c r="EX37" s="1321"/>
      <c r="EY37" s="1321"/>
      <c r="EZ37" s="1321"/>
      <c r="FA37" s="1345"/>
      <c r="FB37" s="1345"/>
      <c r="FC37" s="1321"/>
      <c r="FD37" s="1217" t="s">
        <v>1481</v>
      </c>
      <c r="FE37" s="1177" t="s">
        <v>219</v>
      </c>
      <c r="FF37" s="1177" t="s">
        <v>1252</v>
      </c>
      <c r="FG37" s="1177">
        <v>18</v>
      </c>
      <c r="FH37" s="1177">
        <v>12</v>
      </c>
      <c r="FI37" s="1177">
        <v>7</v>
      </c>
      <c r="FJ37" s="1178">
        <v>4</v>
      </c>
      <c r="FK37" s="1345"/>
      <c r="FL37" s="1345"/>
      <c r="FM37" s="1321"/>
      <c r="FN37" s="1217" t="s">
        <v>1481</v>
      </c>
      <c r="FO37" s="1177" t="s">
        <v>725</v>
      </c>
      <c r="FP37" s="1177" t="s">
        <v>1252</v>
      </c>
      <c r="FQ37" s="1177">
        <v>12</v>
      </c>
      <c r="FR37" s="1177">
        <v>9</v>
      </c>
      <c r="FS37" s="1177">
        <v>6</v>
      </c>
      <c r="FT37" s="1178">
        <v>3</v>
      </c>
      <c r="FU37" s="1345"/>
      <c r="FV37" s="1345"/>
      <c r="FW37" s="1176"/>
      <c r="FX37" s="1177"/>
      <c r="FY37" s="1177"/>
      <c r="FZ37" s="1177"/>
      <c r="GA37" s="1177"/>
      <c r="GB37" s="1177"/>
      <c r="GC37" s="1178"/>
      <c r="GD37" s="1321"/>
      <c r="GE37" s="1149" t="s">
        <v>311</v>
      </c>
      <c r="GF37" s="1321"/>
      <c r="GG37" s="1149" t="s">
        <v>372</v>
      </c>
      <c r="GH37" s="1321" t="s">
        <v>1349</v>
      </c>
      <c r="GI37" s="1321" t="s">
        <v>1349</v>
      </c>
      <c r="GJ37" s="1321" t="s">
        <v>1349</v>
      </c>
      <c r="GK37" s="1321" t="s">
        <v>1349</v>
      </c>
      <c r="GL37" s="1321" t="s">
        <v>1349</v>
      </c>
      <c r="GM37" s="1321" t="s">
        <v>1349</v>
      </c>
      <c r="GN37" s="1321" t="s">
        <v>1349</v>
      </c>
      <c r="GO37" s="1321" t="s">
        <v>1349</v>
      </c>
      <c r="GP37" s="1321" t="s">
        <v>1349</v>
      </c>
      <c r="GQ37" s="1321" t="s">
        <v>1349</v>
      </c>
      <c r="GR37" s="1321" t="s">
        <v>1349</v>
      </c>
      <c r="GS37" s="1321" t="s">
        <v>1349</v>
      </c>
      <c r="GT37" s="1321" t="s">
        <v>1349</v>
      </c>
      <c r="GU37" s="1321" t="s">
        <v>1349</v>
      </c>
      <c r="GV37" s="1321" t="s">
        <v>1349</v>
      </c>
      <c r="GW37" s="1321"/>
      <c r="GX37" s="1321"/>
      <c r="GY37" s="1082" t="str">
        <f t="shared" si="11"/>
        <v>semences d'avoine (GP)</v>
      </c>
      <c r="GZ37" s="1082"/>
      <c r="HA37" s="1085"/>
      <c r="HB37" s="1085">
        <f>IF(COUNTIF(TypeArticleDansEntrepôt,GY37)=0,0,SUMIF(TypeArticleDansEntrepôt,GY37,QtéArticleDansEntrepôt)*VLOOKUP(GY37,place_necessaire_entrepots_aire_paille[],2,FALSE))</f>
        <v>0</v>
      </c>
      <c r="HC37" s="1321"/>
      <c r="HD37" s="1321"/>
      <c r="HE37" s="1321"/>
      <c r="HF37" s="1321"/>
      <c r="HG37" s="1321"/>
      <c r="HH37" s="1321"/>
      <c r="HI37" s="1321"/>
      <c r="HJ37" s="1321"/>
      <c r="HK37" s="1149" t="s">
        <v>1628</v>
      </c>
      <c r="HL37" s="1159">
        <f>AVERAGE(3.8,4)*1000</f>
        <v>3900</v>
      </c>
      <c r="HM37" s="1321"/>
      <c r="HN37" s="1149" t="s">
        <v>191</v>
      </c>
      <c r="HO37" s="1165">
        <v>25</v>
      </c>
      <c r="HP37" s="1166">
        <v>0</v>
      </c>
      <c r="HQ37" s="1166">
        <v>0.7142857142857143</v>
      </c>
      <c r="HR37" s="1166">
        <v>0.81818181818181823</v>
      </c>
      <c r="HS37" s="1166">
        <v>0.81818181818181823</v>
      </c>
      <c r="HT37" s="1166">
        <v>0.5</v>
      </c>
      <c r="HU37" s="1166">
        <v>0.33333333333333331</v>
      </c>
      <c r="HV37" s="1321"/>
      <c r="HW37" s="1321"/>
      <c r="HX37" s="1321"/>
      <c r="HY37" s="1321"/>
      <c r="HZ37" s="1321"/>
      <c r="IA37" s="1321"/>
      <c r="IB37" s="1321"/>
      <c r="IC37" s="1321"/>
      <c r="ID37" s="1321"/>
      <c r="IE37" s="1321"/>
      <c r="IF37" s="1321"/>
      <c r="IG37" s="1321"/>
      <c r="IH37" s="1321"/>
      <c r="II37" s="1321"/>
      <c r="IJ37" s="1321"/>
      <c r="IK37" s="1321"/>
      <c r="IL37" s="1321"/>
      <c r="IM37" s="1321"/>
      <c r="IN37" s="1368"/>
    </row>
    <row r="38" spans="1:248" ht="12.75" customHeight="1" x14ac:dyDescent="0.2">
      <c r="A38" s="1307" t="s">
        <v>1093</v>
      </c>
      <c r="B38" s="1177" t="s">
        <v>1102</v>
      </c>
      <c r="C38" s="1177">
        <v>2500</v>
      </c>
      <c r="D38" s="1178">
        <v>0.05</v>
      </c>
      <c r="E38" s="1321" t="s">
        <v>1107</v>
      </c>
      <c r="F38" s="1139" t="s">
        <v>840</v>
      </c>
      <c r="G38" s="1291" t="s">
        <v>842</v>
      </c>
      <c r="H38" s="1139" t="s">
        <v>183</v>
      </c>
      <c r="I38" s="1139" t="s">
        <v>290</v>
      </c>
      <c r="J38" s="1321"/>
      <c r="K38" s="1321"/>
      <c r="L38" s="1321"/>
      <c r="M38" s="1321"/>
      <c r="N38" s="1321"/>
      <c r="O38" s="1143" t="s">
        <v>1222</v>
      </c>
      <c r="P38" s="1143">
        <v>100</v>
      </c>
      <c r="Q38" s="1143">
        <v>105</v>
      </c>
      <c r="R38" s="1143">
        <v>105</v>
      </c>
      <c r="S38" s="1143">
        <v>95</v>
      </c>
      <c r="T38" s="1143">
        <v>95</v>
      </c>
      <c r="U38" s="1143">
        <v>125</v>
      </c>
      <c r="V38" s="1143"/>
      <c r="W38" s="1143">
        <v>110</v>
      </c>
      <c r="X38" s="1143">
        <v>45</v>
      </c>
      <c r="Y38" s="1143">
        <v>120</v>
      </c>
      <c r="Z38" s="1143">
        <v>220</v>
      </c>
      <c r="AA38" s="1143">
        <v>230</v>
      </c>
      <c r="AB38" s="1143">
        <v>120</v>
      </c>
      <c r="AC38" s="1143">
        <v>145</v>
      </c>
      <c r="AD38" s="1143">
        <v>165</v>
      </c>
      <c r="AE38" s="1143">
        <v>1300</v>
      </c>
      <c r="AF38" s="1143">
        <v>80</v>
      </c>
      <c r="AG38" s="1734">
        <v>350</v>
      </c>
      <c r="AH38" s="1735"/>
      <c r="AI38" s="1143">
        <v>120</v>
      </c>
      <c r="AJ38" s="1143">
        <v>195</v>
      </c>
      <c r="AK38" s="1143">
        <v>1220</v>
      </c>
      <c r="AL38" s="1143">
        <v>50</v>
      </c>
      <c r="AM38" s="1143"/>
      <c r="AN38" s="1143">
        <v>4500</v>
      </c>
      <c r="AO38" s="1143">
        <f>AVERAGE(0.51,0.65)</f>
        <v>0.58000000000000007</v>
      </c>
      <c r="AP38" s="1143">
        <f>AVERAGE(0.55,0.95)</f>
        <v>0.75</v>
      </c>
      <c r="AQ38" s="1143">
        <f>AVERAGE(1.25,1.9)</f>
        <v>1.575</v>
      </c>
      <c r="AR38" s="1143">
        <f>AVERAGE(1.9,2.1)</f>
        <v>2</v>
      </c>
      <c r="AS38" s="1143">
        <f>AVERAGE(0.9,1.1)</f>
        <v>1</v>
      </c>
      <c r="AT38" s="1143">
        <f>AVERAGE(1.2,1.5)</f>
        <v>1.35</v>
      </c>
      <c r="AU38" s="1143">
        <f>AVERAGE(3.8,4)</f>
        <v>3.9</v>
      </c>
      <c r="AV38" s="1143">
        <f>AVERAGE(4,4.2)</f>
        <v>4.0999999999999996</v>
      </c>
      <c r="AW38" s="1143">
        <f>AVERAGE(6.3,6.5)</f>
        <v>6.4</v>
      </c>
      <c r="AX38" s="1143">
        <f>AVERAGE(3.8,4)</f>
        <v>3.9</v>
      </c>
      <c r="AY38" s="1143">
        <f>AVERAGE(4,4.2)</f>
        <v>4.0999999999999996</v>
      </c>
      <c r="AZ38" s="1321"/>
      <c r="BA38" s="1321"/>
      <c r="BB38" s="1321"/>
      <c r="BC38" s="1149" t="s">
        <v>736</v>
      </c>
      <c r="BD38" s="1155">
        <v>12</v>
      </c>
      <c r="BE38" s="1321"/>
      <c r="BF38" s="1149" t="s">
        <v>718</v>
      </c>
      <c r="BG38" s="1155">
        <v>80</v>
      </c>
      <c r="BH38" s="1321"/>
      <c r="BI38" s="1321"/>
      <c r="BJ38" s="1321"/>
      <c r="BK38" s="1345"/>
      <c r="BL38" s="1348"/>
      <c r="BM38" s="1076" t="s">
        <v>285</v>
      </c>
      <c r="BN38" s="1076">
        <f t="array" ref="BN38">IF(Ration_hivernale_complète_bisons[somme]&gt;0,0,IFERROR(IF(OR(AND(INDEX(Règles_bison[Specificite],MATCH(ChoixRationBisons&amp;$BM38,Règles_bison[Ration]&amp;Règles_bison[Aliment],0))="s1",IF($BM38=ChoixSpécificité1Bisons,1)),
AND(INDEX(Règles_bison[Specificite],MATCH(ChoixRationBisons&amp;$BM38,Règles_bison[Ration]&amp;Règles_bison[Aliment],0))="s2",IF($BM38=ChoixSpécificité2Bisons,1)),INDEX(Règles_bison[Specificite],MATCH(ChoixRationBisons&amp;$BM38,Règles_bison[Ration]&amp;Règles_bison[Aliment],0))="c"),
INDEX(Règles_bison[Valeur 36 et plus],MATCH(ChoixRationBisons&amp;$BM38,Règles_bison[Ration]&amp;Règles_bison[Aliment],0)),0),0)*TotalBisonsMalesAdultes*SUM(NbreJoursNourrirBisonsDaims))</f>
        <v>0</v>
      </c>
      <c r="BO38" s="1076">
        <f t="array" ref="BO38">IF(Ration_hivernale_complète_bisons[somme]&gt;0,0,IFERROR(IF(OR(AND(INDEX(Règles_bison[Specificite],MATCH(ChoixRationBisons&amp;$BM38,Règles_bison[Ration]&amp;Règles_bison[Aliment],0))="s1",IF($BM38=ChoixSpécificité1Bisons,1)),
AND(INDEX(Règles_bison[Specificite],MATCH(ChoixRationBisons&amp;$BM38,Règles_bison[Ration]&amp;Règles_bison[Aliment],0))="s2",IF($BM38=ChoixSpécificité2Bisons,1)),INDEX(Règles_bison[Specificite],MATCH(ChoixRationBisons&amp;$BM38,Règles_bison[Ration]&amp;Règles_bison[Aliment],0))="c"),
INDEX(Règles_bison[Valeur 24-36],MATCH(ChoixRationBisons&amp;$BM38,Règles_bison[Ration]&amp;Règles_bison[Aliment],0)),0),0)*TotalBisonsMales_24_36_mois*SUM(NbreJoursNourrirBisonsDaims))</f>
        <v>0</v>
      </c>
      <c r="BP38" s="1076">
        <f t="array" ref="BP38">IF(Ration_hivernale_complète_bisons[somme]&gt;0,0,IFERROR(IF(OR(AND(INDEX(Règles_bison[Specificite],MATCH(ChoixRationBisons&amp;$BM38,Règles_bison[Ration]&amp;Règles_bison[Aliment],0))="s1",IF($BM38=ChoixSpécificité1Bisons,1)),
AND(INDEX(Règles_bison[Specificite],MATCH(ChoixRationBisons&amp;$BM38,Règles_bison[Ration]&amp;Règles_bison[Aliment],0))="s2",IF($BM38=ChoixSpécificité2Bisons,1)),INDEX(Règles_bison[Specificite],MATCH(ChoixRationBisons&amp;$BM38,Règles_bison[Ration]&amp;Règles_bison[Aliment],0))="c"),
INDEX(Règles_bison[Valeur 18-24],MATCH(ChoixRationBisons&amp;$BM38,Règles_bison[Ration]&amp;Règles_bison[Aliment],0)),0),0)*TotalBisonsMales_18_24_mois*SUM(NbreJoursNourrirBisonsDaims))</f>
        <v>0</v>
      </c>
      <c r="BQ38" s="1076">
        <f t="array" ref="BQ38">IF(Ration_hivernale_complète_bisons[somme]&gt;0,0,IFERROR(IF(OR(AND(INDEX(Règles_bison[Specificite],MATCH(ChoixRationBisons&amp;$BM38,Règles_bison[Ration]&amp;Règles_bison[Aliment],0))="s1",IF($BM38=ChoixSpécificité1Bisons,1)),
AND(INDEX(Règles_bison[Specificite],MATCH(ChoixRationBisons&amp;$BM38,Règles_bison[Ration]&amp;Règles_bison[Aliment],0))="s2",IF($BM38=ChoixSpécificité2Bisons,1)),INDEX(Règles_bison[Specificite],MATCH(ChoixRationBisons&amp;$BM38,Règles_bison[Ration]&amp;Règles_bison[Aliment],0))="c"),
INDEX(Règles_bison[Valeur 12-18],MATCH(ChoixRationBisons&amp;$BM38,Règles_bison[Ration]&amp;Règles_bison[Aliment],0)),0),0)*TotalBisonsMales_12_18_mois*SUM(NbreJoursNourrirBisonsDaims))</f>
        <v>0</v>
      </c>
      <c r="BR38" s="1076">
        <f t="array" ref="BR38">IF(Ration_hivernale_complète_bisons[somme]&gt;0,0,IFERROR(IF(OR(AND(INDEX(Règles_bison[Specificite],MATCH(ChoixRationBisons&amp;$BM38,Règles_bison[Ration]&amp;Règles_bison[Aliment],0))="s1",IF($BM38=ChoixSpécificité1Bisons,1)),
AND(INDEX(Règles_bison[Specificite],MATCH(ChoixRationBisons&amp;$BM38,Règles_bison[Ration]&amp;Règles_bison[Aliment],0))="s2",IF($BM38=ChoixSpécificité2Bisons,1)),INDEX(Règles_bison[Specificite],MATCH(ChoixRationBisons&amp;$BM38,Règles_bison[Ration]&amp;Règles_bison[Aliment],0))="c"),
INDEX(Règles_bison[Valeur 6-12],MATCH(ChoixRationBisons&amp;$BM38,Règles_bison[Ration]&amp;Règles_bison[Aliment],0)),0),0)*TotalBisonsMales_6_12_mois*SUM(NbreJoursNourrirBisonsDaims))</f>
        <v>0</v>
      </c>
      <c r="BS38" s="1076">
        <f t="array" ref="BS38">IF(Ration_hivernale_complète_bisons[somme]&gt;0,0,IFERROR(IF(OR(AND(INDEX(Règles_bison[Specificite],MATCH(ChoixRationBisons&amp;$BM38,Règles_bison[Ration]&amp;Règles_bison[Aliment],0))="s1",IF($BM38=ChoixSpécificité1Bisons,1)),
AND(INDEX(Règles_bison[Specificite],MATCH(ChoixRationBisons&amp;$BM38,Règles_bison[Ration]&amp;Règles_bison[Aliment],0))="s2",IF($BM38=ChoixSpécificité2Bisons,1)),INDEX(Règles_bison[Specificite],MATCH(ChoixRationBisons&amp;$BM38,Règles_bison[Ration]&amp;Règles_bison[Aliment],0))="c"),
INDEX(Règles_bison[Valeur 3-6],MATCH(ChoixRationBisons&amp;$BM38,Règles_bison[Ration]&amp;Règles_bison[Aliment],0)),0),0)*TotalBisonsMales_3_6_mois*SUM(NbreJoursNourrirBisonsDaims))</f>
        <v>0</v>
      </c>
      <c r="BT38" s="1076">
        <f t="array" ref="BT38">IF(Ration_hivernale_complète_bisons[somme]&gt;0,0,IFERROR(IF(OR(AND(INDEX(Règles_bison[Specificite],MATCH(ChoixRationBisons&amp;$BM38,Règles_bison[Ration]&amp;Règles_bison[Aliment],0))="s1",IF($BM38=ChoixSpécificité1Bisons,1)),
AND(INDEX(Règles_bison[Specificite],MATCH(ChoixRationBisons&amp;$BM38,Règles_bison[Ration]&amp;Règles_bison[Aliment],0))="s2",IF($BM38=ChoixSpécificité2Bisons,1)),INDEX(Règles_bison[Specificite],MATCH(ChoixRationBisons&amp;$BM38,Règles_bison[Ration]&amp;Règles_bison[Aliment],0))="c"),
INDEX(Règles_bison[Valeur 0-3],MATCH(ChoixRationBisons&amp;$BM38,Règles_bison[Ration]&amp;Règles_bison[Aliment],0)),0),0)*TotalBisonsMales_0_3_mois*SUM(NbreJoursNourrirBisonsDaims))</f>
        <v>0</v>
      </c>
      <c r="BU38" s="1076">
        <f t="shared" si="10"/>
        <v>0</v>
      </c>
      <c r="BV38" s="1345"/>
      <c r="BW38" s="1345"/>
      <c r="BX38" s="1321"/>
      <c r="BY38" s="1149" t="s">
        <v>1047</v>
      </c>
      <c r="BZ38" s="1149">
        <v>580</v>
      </c>
      <c r="CA38" s="1321"/>
      <c r="CB38" s="1149" t="s">
        <v>1047</v>
      </c>
      <c r="CC38" s="1149">
        <v>696</v>
      </c>
      <c r="CD38" s="1345"/>
      <c r="CE38" s="1345"/>
      <c r="CF38" s="1345"/>
      <c r="CG38" s="1345"/>
      <c r="CH38" s="1345"/>
      <c r="CI38" s="1321"/>
      <c r="CJ38" s="1176"/>
      <c r="CK38" s="1177"/>
      <c r="CL38" s="1177"/>
      <c r="CM38" s="1177"/>
      <c r="CN38" s="1177"/>
      <c r="CO38" s="1177"/>
      <c r="CP38" s="1177"/>
      <c r="CQ38" s="1178"/>
      <c r="CR38" s="1321"/>
      <c r="CS38" s="1176" t="s">
        <v>1292</v>
      </c>
      <c r="CT38" s="1177" t="s">
        <v>219</v>
      </c>
      <c r="CU38" s="1177" t="s">
        <v>1252</v>
      </c>
      <c r="CV38" s="1177">
        <v>0.8</v>
      </c>
      <c r="CW38" s="1177">
        <v>0.54</v>
      </c>
      <c r="CX38" s="1178">
        <v>0</v>
      </c>
      <c r="CY38" s="1321"/>
      <c r="CZ38" s="1176" t="s">
        <v>1293</v>
      </c>
      <c r="DA38" s="1177" t="s">
        <v>76</v>
      </c>
      <c r="DB38" s="1177" t="s">
        <v>1253</v>
      </c>
      <c r="DC38" s="1177">
        <v>5.5E-2</v>
      </c>
      <c r="DD38" s="1177">
        <v>0.04</v>
      </c>
      <c r="DE38" s="1178">
        <v>0.03</v>
      </c>
      <c r="DF38" s="1321"/>
      <c r="DG38" s="1176"/>
      <c r="DH38" s="1177"/>
      <c r="DI38" s="1177"/>
      <c r="DJ38" s="1177"/>
      <c r="DK38" s="1177"/>
      <c r="DL38" s="1178"/>
      <c r="DM38" s="1321"/>
      <c r="DN38" s="1143" t="s">
        <v>833</v>
      </c>
      <c r="DO38" s="1143">
        <v>52</v>
      </c>
      <c r="DP38" s="1321"/>
      <c r="DQ38" s="1143" t="s">
        <v>833</v>
      </c>
      <c r="DR38" s="1143">
        <v>10</v>
      </c>
      <c r="DS38" s="1345"/>
      <c r="DT38" s="1346"/>
      <c r="DU38" s="1346"/>
      <c r="DV38" s="1076" t="s">
        <v>714</v>
      </c>
      <c r="DW38" s="1267">
        <f t="array" ref="DW38">IF(ChoixRationComplèteDaims=OUI,0,IFERROR(IF(OR(AND(INDEX(Règles_daims[Specificite],MATCH(ChoixRationDaims&amp;DV38,Règles_daims[Ration]&amp;Règles_daims[Aliment],0))="s1",IF(DV38=Spécificité1Daims,1)),
AND(INDEX(Règles_daims[Specificite],MATCH(ChoixRationDaims&amp;DV38,Règles_daims[Ration]&amp;Règles_daims[Aliment],0))="s2",IF(DV38=Spécificité2Daims,1)),
INDEX(Règles_daims[Specificite],MATCH(ChoixRationDaims&amp;DV38,Règles_daims[Ration]&amp;Règles_daims[Aliment],0))="c"),
INDEX(Règles_daims[Valeur 36 et plus],MATCH(ChoixRationDaims&amp;DV38,Règles_daims[Ration]&amp;Règles_daims[Aliment],0)),0),0)*SUM(TotalDaimsAdultes)*SUM(NbreJoursNourrirBisonsDaims))</f>
        <v>0</v>
      </c>
      <c r="DX38" s="1267">
        <f t="array" ref="DX38">IF(ChoixRationComplèteDaims=OUI,0,IFERROR(IF(OR(AND(INDEX(Règles_daims[Specificite],MATCH(ChoixRationDaims&amp;DV38,Règles_daims[Ration]&amp;Règles_daims[Aliment],0))="s1",IF(DV38=Spécificité1Daims,1)),
AND(INDEX(Règles_daims[Specificite],MATCH(ChoixRationDaims&amp;DV38,Règles_daims[Ration]&amp;Règles_daims[Aliment],0))="s2",IF(DV38=Spécificité2Daims,1)),
INDEX(Règles_daims[Specificite],MATCH(ChoixRationDaims&amp;DV38,Règles_daims[Ration]&amp;Règles_daims[Aliment],0))="c"),
INDEX(Règles_daims[Valeur 24-36],MATCH(ChoixRationDaims&amp;DV38,Règles_daims[Ration]&amp;Règles_daims[Aliment],0)),0),0)*SUM(TotalDaims24_36)*SUM(NbreJoursNourrirBisonsDaims))</f>
        <v>0</v>
      </c>
      <c r="DY38" s="1267">
        <f t="array" ref="DY38">IF(ChoixRationComplèteDaims=OUI,0,IFERROR(IF(OR(AND(INDEX(Règles_daims[Specificite],MATCH(ChoixRationDaims&amp;DV38,Règles_daims[Ration]&amp;Règles_daims[Aliment],0))="s1",IF(DV38=Spécificité1Daims,1)),
AND(INDEX(Règles_daims[Specificite],MATCH(ChoixRationDaims&amp;DV38,Règles_daims[Ration]&amp;Règles_daims[Aliment],0))="s2",IF(DV38=Spécificité2Daims,1)),
INDEX(Règles_daims[Specificite],MATCH(ChoixRationDaims&amp;DV38,Règles_daims[Ration]&amp;Règles_daims[Aliment],0))="c"),
INDEX(Règles_daims[Valeur 18-24],MATCH(ChoixRationDaims&amp;DV38,Règles_daims[Ration]&amp;Règles_daims[Aliment],0)),0),0)*SUM(TotalDaims18_24)*SUM(NbreJoursNourrirBisonsDaims))</f>
        <v>0</v>
      </c>
      <c r="DZ38" s="1279">
        <f t="array" ref="DZ38">IF(ChoixRationComplèteDaims=OUI,0,IFERROR(IF(OR(AND(INDEX(Règles_daims[Specificite],MATCH(ChoixRationDaims&amp;DV38,Règles_daims[Ration]&amp;Règles_daims[Aliment],0))="s1",IF(DV38=Spécificité1Daims,1)),
AND(INDEX(Règles_daims[Specificite],MATCH(ChoixRationDaims&amp;DV38,Règles_daims[Ration]&amp;Règles_daims[Aliment],0))="s2",IF(DV38=Spécificité2Daims,1)),
INDEX(Règles_daims[Specificite],MATCH(ChoixRationDaims&amp;DV38,Règles_daims[Ration]&amp;Règles_daims[Aliment],0))="c"),
INDEX(Règles_daims[Valeur 12-18],MATCH(ChoixRationDaims&amp;DV38,Règles_daims[Ration]&amp;Règles_daims[Aliment],0)),0),0)*SUM(TotalDaims12_18)*SUM(NbreJoursNourrirBisonsDaims))</f>
        <v>0</v>
      </c>
      <c r="EA38" s="1279">
        <f t="array" ref="EA38">IF(ChoixRationComplèteDaims=OUI,0,IFERROR(IF(OR(AND(INDEX(Règles_daims[Specificite],MATCH(ChoixRationDaims&amp;DV38,Règles_daims[Ration]&amp;Règles_daims[Aliment],0))="s1",IF(DV38=Spécificité1Daims,1)),
AND(INDEX(Règles_daims[Specificite],MATCH(ChoixRationDaims&amp;DV38,Règles_daims[Ration]&amp;Règles_daims[Aliment],0))="s2",IF(DV38=Spécificité2Daims,1)),
INDEX(Règles_daims[Specificite],MATCH(ChoixRationDaims&amp;DV38,Règles_daims[Ration]&amp;Règles_daims[Aliment],0))="c"),
INDEX(Règles_daims[Valeur 6-12],MATCH(ChoixRationDaims&amp;DV38,Règles_daims[Ration]&amp;Règles_daims[Aliment],0)),0),0)*SUM(TotalDaims6_12)*SUM(NbreJoursNourrirBisonsDaims))</f>
        <v>0</v>
      </c>
      <c r="EB38" s="1279">
        <f t="array" ref="EB38">IF(ChoixRationComplèteDaims=OUI,0,IFERROR(IF(OR(AND(INDEX(Règles_daims[Specificite],MATCH(ChoixRationDaims&amp;DV38,Règles_daims[Ration]&amp;Règles_daims[Aliment],0))="s1",IF(DV38=Spécificité1Daims,1)),
AND(INDEX(Règles_daims[Specificite],MATCH(ChoixRationDaims&amp;DV38,Règles_daims[Ration]&amp;Règles_daims[Aliment],0))="s2",IF(DV38=Spécificité2Daims,1)),
INDEX(Règles_daims[Specificite],MATCH(ChoixRationDaims&amp;DV38,Règles_daims[Ration]&amp;Règles_daims[Aliment],0))="c"),
INDEX(Règles_daims[Valeur 3-6],MATCH(ChoixRationDaims&amp;DV38,Règles_daims[Ration]&amp;Règles_daims[Aliment],0)),0),0)*SUM(TotalDaims3_6)*SUM(NbreJoursNourrirBisonsDaims))</f>
        <v>0</v>
      </c>
      <c r="EC38" s="1279">
        <f t="array" ref="EC38">IF(ChoixRationComplèteDaims=OUI,0,IFERROR(IF(OR(AND(INDEX(Règles_daims[Specificite],MATCH(ChoixRationDaims&amp;DV38,Règles_daims[Ration]&amp;Règles_daims[Aliment],0))="s1",IF(DV38=Spécificité1Daims,1)),
AND(INDEX(Règles_daims[Specificite],MATCH(ChoixRationDaims&amp;DV38,Règles_daims[Ration]&amp;Règles_daims[Aliment],0))="s2",IF(DV38=Spécificité2Daims,1)),
INDEX(Règles_daims[Specificite],MATCH(ChoixRationDaims&amp;DV38,Règles_daims[Ration]&amp;Règles_daims[Aliment],0))="c"),
INDEX(Règles_daims[Valeur 0-3],MATCH(ChoixRationDaims&amp;DV38,Règles_daims[Ration]&amp;Règles_daims[Aliment],0)),0),0)*SUM(TotalDaims0_3)*SUM(NbreJoursNourrirBisonsDaims))</f>
        <v>0</v>
      </c>
      <c r="ED38" s="1279">
        <f t="shared" si="9"/>
        <v>0</v>
      </c>
      <c r="EE38" s="1345"/>
      <c r="EF38" s="1321"/>
      <c r="EG38" s="1217" t="s">
        <v>1477</v>
      </c>
      <c r="EH38" s="1177" t="s">
        <v>733</v>
      </c>
      <c r="EI38" s="1177" t="s">
        <v>1252</v>
      </c>
      <c r="EJ38" s="1177">
        <v>4</v>
      </c>
      <c r="EK38" s="1177">
        <v>2.4</v>
      </c>
      <c r="EL38" s="1178">
        <v>0.8</v>
      </c>
      <c r="EM38" s="1321"/>
      <c r="EN38" s="1176" t="s">
        <v>1302</v>
      </c>
      <c r="EO38" s="1177" t="s">
        <v>1271</v>
      </c>
      <c r="EP38" s="1177" t="s">
        <v>1252</v>
      </c>
      <c r="EQ38" s="1177">
        <v>0.01</v>
      </c>
      <c r="ER38" s="1177">
        <v>6.0000000000000001E-3</v>
      </c>
      <c r="ES38" s="1178">
        <v>0.1</v>
      </c>
      <c r="ET38" s="1321"/>
      <c r="EU38" s="1187" t="s">
        <v>1232</v>
      </c>
      <c r="EV38" s="1171" t="s">
        <v>1250</v>
      </c>
      <c r="EW38" s="1168" t="s">
        <v>1251</v>
      </c>
      <c r="EX38" s="1171" t="s">
        <v>1261</v>
      </c>
      <c r="EY38" s="1171" t="s">
        <v>1260</v>
      </c>
      <c r="EZ38" s="1171" t="s">
        <v>1304</v>
      </c>
      <c r="FA38" s="1188" t="s">
        <v>1303</v>
      </c>
      <c r="FB38" s="1345"/>
      <c r="FC38" s="1321"/>
      <c r="FD38" s="1217" t="s">
        <v>1481</v>
      </c>
      <c r="FE38" s="1177" t="s">
        <v>725</v>
      </c>
      <c r="FF38" s="1177" t="s">
        <v>1252</v>
      </c>
      <c r="FG38" s="1177">
        <v>18</v>
      </c>
      <c r="FH38" s="1177">
        <v>12</v>
      </c>
      <c r="FI38" s="1177">
        <v>7</v>
      </c>
      <c r="FJ38" s="1178">
        <v>4</v>
      </c>
      <c r="FK38" s="1345"/>
      <c r="FL38" s="1345"/>
      <c r="FM38" s="1321"/>
      <c r="FN38" s="1217" t="s">
        <v>1481</v>
      </c>
      <c r="FO38" s="1177" t="s">
        <v>733</v>
      </c>
      <c r="FP38" s="1177" t="s">
        <v>1252</v>
      </c>
      <c r="FQ38" s="1177">
        <v>100</v>
      </c>
      <c r="FR38" s="1177">
        <v>75</v>
      </c>
      <c r="FS38" s="1177">
        <v>50</v>
      </c>
      <c r="FT38" s="1178">
        <v>25</v>
      </c>
      <c r="FU38" s="1345"/>
      <c r="FV38" s="1345"/>
      <c r="FW38" s="1200"/>
      <c r="FX38" s="1201"/>
      <c r="FY38" s="1201"/>
      <c r="FZ38" s="1201"/>
      <c r="GA38" s="1201"/>
      <c r="GB38" s="1201"/>
      <c r="GC38" s="1202"/>
      <c r="GD38" s="1321"/>
      <c r="GE38" s="1143" t="s">
        <v>92</v>
      </c>
      <c r="GF38" s="1321"/>
      <c r="GG38" s="1143" t="s">
        <v>373</v>
      </c>
      <c r="GH38" s="1321" t="s">
        <v>1349</v>
      </c>
      <c r="GI38" s="1321" t="s">
        <v>1349</v>
      </c>
      <c r="GJ38" s="1321" t="s">
        <v>1349</v>
      </c>
      <c r="GK38" s="1321" t="s">
        <v>1349</v>
      </c>
      <c r="GL38" s="1321" t="s">
        <v>1349</v>
      </c>
      <c r="GM38" s="1321" t="s">
        <v>1349</v>
      </c>
      <c r="GN38" s="1321" t="s">
        <v>1349</v>
      </c>
      <c r="GO38" s="1321" t="s">
        <v>1349</v>
      </c>
      <c r="GP38" s="1321" t="s">
        <v>1349</v>
      </c>
      <c r="GQ38" s="1321" t="s">
        <v>1349</v>
      </c>
      <c r="GR38" s="1321" t="s">
        <v>1349</v>
      </c>
      <c r="GS38" s="1321" t="s">
        <v>1349</v>
      </c>
      <c r="GT38" s="1321" t="s">
        <v>1349</v>
      </c>
      <c r="GU38" s="1321" t="s">
        <v>1349</v>
      </c>
      <c r="GV38" s="1321" t="s">
        <v>1349</v>
      </c>
      <c r="GW38" s="1321"/>
      <c r="GX38" s="1321"/>
      <c r="GY38" s="1083" t="str">
        <f t="shared" si="11"/>
        <v>semences d'avoine (P)</v>
      </c>
      <c r="GZ38" s="1083"/>
      <c r="HA38" s="1084"/>
      <c r="HB38" s="1084">
        <f>IF(COUNTIF(TypeArticleDansEntrepôt,GY38)=0,0,SUMIF(TypeArticleDansEntrepôt,GY38,QtéArticleDansEntrepôt)*VLOOKUP(GY38,place_necessaire_entrepots_aire_paille[],2,FALSE))</f>
        <v>0</v>
      </c>
      <c r="HC38" s="1321"/>
      <c r="HD38" s="1321"/>
      <c r="HE38" s="1321"/>
      <c r="HF38" s="1321"/>
      <c r="HG38" s="1321"/>
      <c r="HH38" s="1321"/>
      <c r="HI38" s="1321"/>
      <c r="HJ38" s="1321"/>
      <c r="HK38" s="1143" t="s">
        <v>1629</v>
      </c>
      <c r="HL38" s="1152">
        <f>AVERAGE(4,4.2)*1000</f>
        <v>4100</v>
      </c>
      <c r="HM38" s="1321"/>
      <c r="HN38" s="1162" t="s">
        <v>192</v>
      </c>
      <c r="HO38" s="1160">
        <v>20000</v>
      </c>
      <c r="HP38" s="1175">
        <f>6.5/7.5</f>
        <v>0.8666666666666667</v>
      </c>
      <c r="HQ38" s="1175">
        <f>0.5/1.1</f>
        <v>0.45454545454545453</v>
      </c>
      <c r="HR38" s="1175">
        <v>0.75</v>
      </c>
      <c r="HS38" s="1175">
        <f>0.6/1.2</f>
        <v>0.5</v>
      </c>
      <c r="HT38" s="1175">
        <v>0</v>
      </c>
      <c r="HU38" s="1175">
        <v>0</v>
      </c>
      <c r="HV38" s="1321"/>
      <c r="HW38" s="1321"/>
      <c r="HX38" s="1321"/>
      <c r="HY38" s="1321"/>
      <c r="HZ38" s="1321"/>
      <c r="IA38" s="1321"/>
      <c r="IB38" s="1321"/>
      <c r="IC38" s="1321"/>
      <c r="ID38" s="1321"/>
      <c r="IE38" s="1321"/>
      <c r="IF38" s="1321"/>
      <c r="IG38" s="1321"/>
      <c r="IH38" s="1321"/>
      <c r="II38" s="1321"/>
      <c r="IJ38" s="1321"/>
      <c r="IK38" s="1321"/>
      <c r="IL38" s="1321"/>
      <c r="IM38" s="1321"/>
      <c r="IN38" s="1368"/>
    </row>
    <row r="39" spans="1:248" ht="12.75" customHeight="1" x14ac:dyDescent="0.2">
      <c r="A39" s="1307" t="s">
        <v>1094</v>
      </c>
      <c r="B39" s="1177" t="s">
        <v>241</v>
      </c>
      <c r="C39" s="1177">
        <v>0.1</v>
      </c>
      <c r="D39" s="1178">
        <v>2.5000000000000001E-2</v>
      </c>
      <c r="E39" s="1321"/>
      <c r="F39" s="1143" t="s">
        <v>843</v>
      </c>
      <c r="G39" s="1143"/>
      <c r="H39" s="1143">
        <v>5</v>
      </c>
      <c r="I39" s="1143"/>
      <c r="J39" s="1321"/>
      <c r="K39" s="1321"/>
      <c r="L39" s="1321"/>
      <c r="M39" s="1321"/>
      <c r="N39" s="1321"/>
      <c r="O39" s="1149" t="s">
        <v>1223</v>
      </c>
      <c r="P39" s="1149">
        <v>70</v>
      </c>
      <c r="Q39" s="1149">
        <v>70</v>
      </c>
      <c r="R39" s="1149">
        <v>70</v>
      </c>
      <c r="S39" s="1149">
        <v>70</v>
      </c>
      <c r="T39" s="1149">
        <v>70</v>
      </c>
      <c r="U39" s="1149">
        <v>70</v>
      </c>
      <c r="V39" s="1149"/>
      <c r="W39" s="1149"/>
      <c r="X39" s="1149"/>
      <c r="Y39" s="1149"/>
      <c r="Z39" s="1149"/>
      <c r="AA39" s="1149"/>
      <c r="AB39" s="1149">
        <v>70</v>
      </c>
      <c r="AC39" s="1149">
        <v>70</v>
      </c>
      <c r="AD39" s="1149"/>
      <c r="AE39" s="1149"/>
      <c r="AF39" s="1149"/>
      <c r="AG39" s="1736">
        <v>120</v>
      </c>
      <c r="AH39" s="1737"/>
      <c r="AI39" s="1149"/>
      <c r="AJ39" s="1149"/>
      <c r="AK39" s="1149"/>
      <c r="AL39" s="1149"/>
      <c r="AM39" s="1149"/>
      <c r="AN39" s="1149"/>
      <c r="AO39" s="1149"/>
      <c r="AP39" s="1149"/>
      <c r="AQ39" s="1149"/>
      <c r="AR39" s="1149"/>
      <c r="AS39" s="1149"/>
      <c r="AT39" s="1149"/>
      <c r="AU39" s="1149"/>
      <c r="AV39" s="1149"/>
      <c r="AW39" s="1149"/>
      <c r="AX39" s="1149"/>
      <c r="AY39" s="1149"/>
      <c r="AZ39" s="1321"/>
      <c r="BA39" s="1321"/>
      <c r="BB39" s="1321"/>
      <c r="BC39" s="1173" t="s">
        <v>737</v>
      </c>
      <c r="BD39" s="1174">
        <v>8</v>
      </c>
      <c r="BE39" s="1321"/>
      <c r="BF39" s="1173" t="s">
        <v>719</v>
      </c>
      <c r="BG39" s="1174">
        <v>80</v>
      </c>
      <c r="BH39" s="1321"/>
      <c r="BI39" s="1321"/>
      <c r="BJ39" s="1321"/>
      <c r="BK39" s="1345"/>
      <c r="BL39" s="1348"/>
      <c r="BM39" s="1075" t="s">
        <v>730</v>
      </c>
      <c r="BN39" s="1075">
        <f t="array" ref="BN39">IF(Ration_hivernale_complète_bisons[somme]&gt;0,0,IFERROR(IF(OR(AND(INDEX(Règles_bison[Specificite],MATCH(ChoixRationBisons&amp;$BM39,Règles_bison[Ration]&amp;Règles_bison[Aliment],0))="s1",IF($BM39=ChoixSpécificité1Bisons,1)),
AND(INDEX(Règles_bison[Specificite],MATCH(ChoixRationBisons&amp;$BM39,Règles_bison[Ration]&amp;Règles_bison[Aliment],0))="s2",IF($BM39=ChoixSpécificité2Bisons,1)),INDEX(Règles_bison[Specificite],MATCH(ChoixRationBisons&amp;$BM39,Règles_bison[Ration]&amp;Règles_bison[Aliment],0))="c"),
INDEX(Règles_bison[Valeur 36 et plus],MATCH(ChoixRationBisons&amp;$BM39,Règles_bison[Ration]&amp;Règles_bison[Aliment],0)),0),0)*TotalBisonsMalesAdultes*SUM(NbreJoursNourrirBisonsDaims))</f>
        <v>0</v>
      </c>
      <c r="BO39" s="1075">
        <f t="array" ref="BO39">IF(Ration_hivernale_complète_bisons[somme]&gt;0,0,IFERROR(IF(OR(AND(INDEX(Règles_bison[Specificite],MATCH(ChoixRationBisons&amp;$BM39,Règles_bison[Ration]&amp;Règles_bison[Aliment],0))="s1",IF($BM39=ChoixSpécificité1Bisons,1)),
AND(INDEX(Règles_bison[Specificite],MATCH(ChoixRationBisons&amp;$BM39,Règles_bison[Ration]&amp;Règles_bison[Aliment],0))="s2",IF($BM39=ChoixSpécificité2Bisons,1)),INDEX(Règles_bison[Specificite],MATCH(ChoixRationBisons&amp;$BM39,Règles_bison[Ration]&amp;Règles_bison[Aliment],0))="c"),
INDEX(Règles_bison[Valeur 24-36],MATCH(ChoixRationBisons&amp;$BM39,Règles_bison[Ration]&amp;Règles_bison[Aliment],0)),0),0)*TotalBisonsMales_24_36_mois*SUM(NbreJoursNourrirBisonsDaims))</f>
        <v>0</v>
      </c>
      <c r="BP39" s="1075">
        <f t="array" ref="BP39">IF(Ration_hivernale_complète_bisons[somme]&gt;0,0,IFERROR(IF(OR(AND(INDEX(Règles_bison[Specificite],MATCH(ChoixRationBisons&amp;$BM39,Règles_bison[Ration]&amp;Règles_bison[Aliment],0))="s1",IF($BM39=ChoixSpécificité1Bisons,1)),
AND(INDEX(Règles_bison[Specificite],MATCH(ChoixRationBisons&amp;$BM39,Règles_bison[Ration]&amp;Règles_bison[Aliment],0))="s2",IF($BM39=ChoixSpécificité2Bisons,1)),INDEX(Règles_bison[Specificite],MATCH(ChoixRationBisons&amp;$BM39,Règles_bison[Ration]&amp;Règles_bison[Aliment],0))="c"),
INDEX(Règles_bison[Valeur 18-24],MATCH(ChoixRationBisons&amp;$BM39,Règles_bison[Ration]&amp;Règles_bison[Aliment],0)),0),0)*TotalBisonsMales_18_24_mois*SUM(NbreJoursNourrirBisonsDaims))</f>
        <v>0</v>
      </c>
      <c r="BQ39" s="1075">
        <f t="array" ref="BQ39">IF(Ration_hivernale_complète_bisons[somme]&gt;0,0,IFERROR(IF(OR(AND(INDEX(Règles_bison[Specificite],MATCH(ChoixRationBisons&amp;$BM39,Règles_bison[Ration]&amp;Règles_bison[Aliment],0))="s1",IF($BM39=ChoixSpécificité1Bisons,1)),
AND(INDEX(Règles_bison[Specificite],MATCH(ChoixRationBisons&amp;$BM39,Règles_bison[Ration]&amp;Règles_bison[Aliment],0))="s2",IF($BM39=ChoixSpécificité2Bisons,1)),INDEX(Règles_bison[Specificite],MATCH(ChoixRationBisons&amp;$BM39,Règles_bison[Ration]&amp;Règles_bison[Aliment],0))="c"),
INDEX(Règles_bison[Valeur 12-18],MATCH(ChoixRationBisons&amp;$BM39,Règles_bison[Ration]&amp;Règles_bison[Aliment],0)),0),0)*TotalBisonsMales_12_18_mois*SUM(NbreJoursNourrirBisonsDaims))</f>
        <v>0</v>
      </c>
      <c r="BR39" s="1075">
        <f t="array" ref="BR39">IF(Ration_hivernale_complète_bisons[somme]&gt;0,0,IFERROR(IF(OR(AND(INDEX(Règles_bison[Specificite],MATCH(ChoixRationBisons&amp;$BM39,Règles_bison[Ration]&amp;Règles_bison[Aliment],0))="s1",IF($BM39=ChoixSpécificité1Bisons,1)),
AND(INDEX(Règles_bison[Specificite],MATCH(ChoixRationBisons&amp;$BM39,Règles_bison[Ration]&amp;Règles_bison[Aliment],0))="s2",IF($BM39=ChoixSpécificité2Bisons,1)),INDEX(Règles_bison[Specificite],MATCH(ChoixRationBisons&amp;$BM39,Règles_bison[Ration]&amp;Règles_bison[Aliment],0))="c"),
INDEX(Règles_bison[Valeur 6-12],MATCH(ChoixRationBisons&amp;$BM39,Règles_bison[Ration]&amp;Règles_bison[Aliment],0)),0),0)*TotalBisonsMales_6_12_mois*SUM(NbreJoursNourrirBisonsDaims))</f>
        <v>0</v>
      </c>
      <c r="BS39" s="1075">
        <f t="array" ref="BS39">IF(Ration_hivernale_complète_bisons[somme]&gt;0,0,IFERROR(IF(OR(AND(INDEX(Règles_bison[Specificite],MATCH(ChoixRationBisons&amp;$BM39,Règles_bison[Ration]&amp;Règles_bison[Aliment],0))="s1",IF($BM39=ChoixSpécificité1Bisons,1)),
AND(INDEX(Règles_bison[Specificite],MATCH(ChoixRationBisons&amp;$BM39,Règles_bison[Ration]&amp;Règles_bison[Aliment],0))="s2",IF($BM39=ChoixSpécificité2Bisons,1)),INDEX(Règles_bison[Specificite],MATCH(ChoixRationBisons&amp;$BM39,Règles_bison[Ration]&amp;Règles_bison[Aliment],0))="c"),
INDEX(Règles_bison[Valeur 3-6],MATCH(ChoixRationBisons&amp;$BM39,Règles_bison[Ration]&amp;Règles_bison[Aliment],0)),0),0)*TotalBisonsMales_3_6_mois*SUM(NbreJoursNourrirBisonsDaims))</f>
        <v>0</v>
      </c>
      <c r="BT39" s="1075">
        <f t="array" ref="BT39">IF(Ration_hivernale_complète_bisons[somme]&gt;0,0,IFERROR(IF(OR(AND(INDEX(Règles_bison[Specificite],MATCH(ChoixRationBisons&amp;$BM39,Règles_bison[Ration]&amp;Règles_bison[Aliment],0))="s1",IF($BM39=ChoixSpécificité1Bisons,1)),
AND(INDEX(Règles_bison[Specificite],MATCH(ChoixRationBisons&amp;$BM39,Règles_bison[Ration]&amp;Règles_bison[Aliment],0))="s2",IF($BM39=ChoixSpécificité2Bisons,1)),INDEX(Règles_bison[Specificite],MATCH(ChoixRationBisons&amp;$BM39,Règles_bison[Ration]&amp;Règles_bison[Aliment],0))="c"),
INDEX(Règles_bison[Valeur 0-3],MATCH(ChoixRationBisons&amp;$BM39,Règles_bison[Ration]&amp;Règles_bison[Aliment],0)),0),0)*TotalBisonsMales_0_3_mois*SUM(NbreJoursNourrirBisonsDaims))</f>
        <v>0</v>
      </c>
      <c r="BU39" s="1075">
        <f t="shared" si="10"/>
        <v>0</v>
      </c>
      <c r="BV39" s="1345"/>
      <c r="BW39" s="1345"/>
      <c r="BX39" s="1321"/>
      <c r="BY39" s="1143" t="s">
        <v>1048</v>
      </c>
      <c r="BZ39" s="1143">
        <v>590</v>
      </c>
      <c r="CA39" s="1321"/>
      <c r="CB39" s="1143" t="s">
        <v>1048</v>
      </c>
      <c r="CC39" s="1143">
        <v>708</v>
      </c>
      <c r="CD39" s="1345"/>
      <c r="CE39" s="1345"/>
      <c r="CF39" s="1345"/>
      <c r="CG39" s="1345"/>
      <c r="CH39" s="1345"/>
      <c r="CI39" s="1321"/>
      <c r="CJ39" s="1176"/>
      <c r="CK39" s="1177"/>
      <c r="CL39" s="1177"/>
      <c r="CM39" s="1177"/>
      <c r="CN39" s="1177"/>
      <c r="CO39" s="1177"/>
      <c r="CP39" s="1177"/>
      <c r="CQ39" s="1178"/>
      <c r="CR39" s="1321"/>
      <c r="CS39" s="1176" t="s">
        <v>1292</v>
      </c>
      <c r="CT39" s="1177" t="s">
        <v>285</v>
      </c>
      <c r="CU39" s="1177" t="s">
        <v>1253</v>
      </c>
      <c r="CV39" s="1177">
        <v>0.16</v>
      </c>
      <c r="CW39" s="1177">
        <v>0.104</v>
      </c>
      <c r="CX39" s="1178">
        <v>0</v>
      </c>
      <c r="CY39" s="1321"/>
      <c r="CZ39" s="1176" t="s">
        <v>1293</v>
      </c>
      <c r="DA39" s="1177" t="s">
        <v>339</v>
      </c>
      <c r="DB39" s="1177" t="s">
        <v>1252</v>
      </c>
      <c r="DC39" s="1177">
        <v>0.02</v>
      </c>
      <c r="DD39" s="1177">
        <v>1.4999999999999999E-2</v>
      </c>
      <c r="DE39" s="1178">
        <v>0.01</v>
      </c>
      <c r="DF39" s="1321"/>
      <c r="DG39" s="1176"/>
      <c r="DH39" s="1177"/>
      <c r="DI39" s="1177"/>
      <c r="DJ39" s="1177"/>
      <c r="DK39" s="1177"/>
      <c r="DL39" s="1178"/>
      <c r="DM39" s="1321"/>
      <c r="DN39" s="1149" t="s">
        <v>834</v>
      </c>
      <c r="DO39" s="1149">
        <v>52</v>
      </c>
      <c r="DP39" s="1321"/>
      <c r="DQ39" s="1149" t="s">
        <v>834</v>
      </c>
      <c r="DR39" s="1149">
        <v>10</v>
      </c>
      <c r="DS39" s="1345"/>
      <c r="DT39" s="1346"/>
      <c r="DU39" s="1346"/>
      <c r="DV39" s="1075" t="s">
        <v>1718</v>
      </c>
      <c r="DW39" s="1269">
        <f t="array" ref="DW39">IF(ChoixRationComplèteDaims=OUI,0,IFERROR(IF(OR(AND(INDEX(Règles_daims[Specificite],MATCH(ChoixRationDaims&amp;DV39,Règles_daims[Ration]&amp;Règles_daims[Aliment],0))="s1",IF(DV39=Spécificité1Daims,1)),
AND(INDEX(Règles_daims[Specificite],MATCH(ChoixRationDaims&amp;DV39,Règles_daims[Ration]&amp;Règles_daims[Aliment],0))="s2",IF(DV39=Spécificité2Daims,1)),
INDEX(Règles_daims[Specificite],MATCH(ChoixRationDaims&amp;DV39,Règles_daims[Ration]&amp;Règles_daims[Aliment],0))="c"),
INDEX(Règles_daims[Valeur 36 et plus],MATCH(ChoixRationDaims&amp;DV39,Règles_daims[Ration]&amp;Règles_daims[Aliment],0)),0),0)*SUM(TotalDaimsAdultes)*SUM(NbreJoursNourrirBisonsDaims))</f>
        <v>0</v>
      </c>
      <c r="DX39" s="1269">
        <f t="array" ref="DX39">IF(ChoixRationComplèteDaims=OUI,0,IFERROR(IF(OR(AND(INDEX(Règles_daims[Specificite],MATCH(ChoixRationDaims&amp;DV39,Règles_daims[Ration]&amp;Règles_daims[Aliment],0))="s1",IF(DV39=Spécificité1Daims,1)),
AND(INDEX(Règles_daims[Specificite],MATCH(ChoixRationDaims&amp;DV39,Règles_daims[Ration]&amp;Règles_daims[Aliment],0))="s2",IF(DV39=Spécificité2Daims,1)),
INDEX(Règles_daims[Specificite],MATCH(ChoixRationDaims&amp;DV39,Règles_daims[Ration]&amp;Règles_daims[Aliment],0))="c"),
INDEX(Règles_daims[Valeur 24-36],MATCH(ChoixRationDaims&amp;DV39,Règles_daims[Ration]&amp;Règles_daims[Aliment],0)),0),0)*SUM(TotalDaims24_36)*SUM(NbreJoursNourrirBisonsDaims))</f>
        <v>0</v>
      </c>
      <c r="DY39" s="1269">
        <f t="array" ref="DY39">IF(ChoixRationComplèteDaims=OUI,0,IFERROR(IF(OR(AND(INDEX(Règles_daims[Specificite],MATCH(ChoixRationDaims&amp;DV39,Règles_daims[Ration]&amp;Règles_daims[Aliment],0))="s1",IF(DV39=Spécificité1Daims,1)),
AND(INDEX(Règles_daims[Specificite],MATCH(ChoixRationDaims&amp;DV39,Règles_daims[Ration]&amp;Règles_daims[Aliment],0))="s2",IF(DV39=Spécificité2Daims,1)),
INDEX(Règles_daims[Specificite],MATCH(ChoixRationDaims&amp;DV39,Règles_daims[Ration]&amp;Règles_daims[Aliment],0))="c"),
INDEX(Règles_daims[Valeur 18-24],MATCH(ChoixRationDaims&amp;DV39,Règles_daims[Ration]&amp;Règles_daims[Aliment],0)),0),0)*SUM(TotalDaims18_24)*SUM(NbreJoursNourrirBisonsDaims))</f>
        <v>0</v>
      </c>
      <c r="DZ39" s="1280">
        <f t="array" ref="DZ39">IF(ChoixRationComplèteDaims=OUI,0,IFERROR(IF(OR(AND(INDEX(Règles_daims[Specificite],MATCH(ChoixRationDaims&amp;DV39,Règles_daims[Ration]&amp;Règles_daims[Aliment],0))="s1",IF(DV39=Spécificité1Daims,1)),
AND(INDEX(Règles_daims[Specificite],MATCH(ChoixRationDaims&amp;DV39,Règles_daims[Ration]&amp;Règles_daims[Aliment],0))="s2",IF(DV39=Spécificité2Daims,1)),
INDEX(Règles_daims[Specificite],MATCH(ChoixRationDaims&amp;DV39,Règles_daims[Ration]&amp;Règles_daims[Aliment],0))="c"),
INDEX(Règles_daims[Valeur 12-18],MATCH(ChoixRationDaims&amp;DV39,Règles_daims[Ration]&amp;Règles_daims[Aliment],0)),0),0)*SUM(TotalDaims12_18)*SUM(NbreJoursNourrirBisonsDaims))</f>
        <v>0</v>
      </c>
      <c r="EA39" s="1280">
        <f t="array" ref="EA39">IF(ChoixRationComplèteDaims=OUI,0,IFERROR(IF(OR(AND(INDEX(Règles_daims[Specificite],MATCH(ChoixRationDaims&amp;DV39,Règles_daims[Ration]&amp;Règles_daims[Aliment],0))="s1",IF(DV39=Spécificité1Daims,1)),
AND(INDEX(Règles_daims[Specificite],MATCH(ChoixRationDaims&amp;DV39,Règles_daims[Ration]&amp;Règles_daims[Aliment],0))="s2",IF(DV39=Spécificité2Daims,1)),
INDEX(Règles_daims[Specificite],MATCH(ChoixRationDaims&amp;DV39,Règles_daims[Ration]&amp;Règles_daims[Aliment],0))="c"),
INDEX(Règles_daims[Valeur 6-12],MATCH(ChoixRationDaims&amp;DV39,Règles_daims[Ration]&amp;Règles_daims[Aliment],0)),0),0)*SUM(TotalDaims6_12)*SUM(NbreJoursNourrirBisonsDaims))</f>
        <v>0</v>
      </c>
      <c r="EB39" s="1280">
        <f t="array" ref="EB39">IF(ChoixRationComplèteDaims=OUI,0,IFERROR(IF(OR(AND(INDEX(Règles_daims[Specificite],MATCH(ChoixRationDaims&amp;DV39,Règles_daims[Ration]&amp;Règles_daims[Aliment],0))="s1",IF(DV39=Spécificité1Daims,1)),
AND(INDEX(Règles_daims[Specificite],MATCH(ChoixRationDaims&amp;DV39,Règles_daims[Ration]&amp;Règles_daims[Aliment],0))="s2",IF(DV39=Spécificité2Daims,1)),
INDEX(Règles_daims[Specificite],MATCH(ChoixRationDaims&amp;DV39,Règles_daims[Ration]&amp;Règles_daims[Aliment],0))="c"),
INDEX(Règles_daims[Valeur 3-6],MATCH(ChoixRationDaims&amp;DV39,Règles_daims[Ration]&amp;Règles_daims[Aliment],0)),0),0)*SUM(TotalDaims3_6)*SUM(NbreJoursNourrirBisonsDaims))</f>
        <v>0</v>
      </c>
      <c r="EC39" s="1280">
        <f t="array" ref="EC39">IF(ChoixRationComplèteDaims=OUI,0,IFERROR(IF(OR(AND(INDEX(Règles_daims[Specificite],MATCH(ChoixRationDaims&amp;DV39,Règles_daims[Ration]&amp;Règles_daims[Aliment],0))="s1",IF(DV39=Spécificité1Daims,1)),
AND(INDEX(Règles_daims[Specificite],MATCH(ChoixRationDaims&amp;DV39,Règles_daims[Ration]&amp;Règles_daims[Aliment],0))="s2",IF(DV39=Spécificité2Daims,1)),
INDEX(Règles_daims[Specificite],MATCH(ChoixRationDaims&amp;DV39,Règles_daims[Ration]&amp;Règles_daims[Aliment],0))="c"),
INDEX(Règles_daims[Valeur 0-3],MATCH(ChoixRationDaims&amp;DV39,Règles_daims[Ration]&amp;Règles_daims[Aliment],0)),0),0)*SUM(TotalDaims0_3)*SUM(NbreJoursNourrirBisonsDaims))</f>
        <v>0</v>
      </c>
      <c r="ED39" s="1280">
        <f t="shared" si="9"/>
        <v>0</v>
      </c>
      <c r="EE39" s="1345"/>
      <c r="EF39" s="1321"/>
      <c r="EG39" s="1176"/>
      <c r="EH39" s="1177"/>
      <c r="EI39" s="1177"/>
      <c r="EJ39" s="1177"/>
      <c r="EK39" s="1177"/>
      <c r="EL39" s="1178"/>
      <c r="EM39" s="1321"/>
      <c r="EN39" s="1176" t="s">
        <v>1302</v>
      </c>
      <c r="EO39" s="1177" t="s">
        <v>733</v>
      </c>
      <c r="EP39" s="1177" t="s">
        <v>1252</v>
      </c>
      <c r="EQ39" s="1177">
        <v>4</v>
      </c>
      <c r="ER39" s="1177">
        <v>3</v>
      </c>
      <c r="ES39" s="1178">
        <v>2</v>
      </c>
      <c r="ET39" s="1321"/>
      <c r="EU39" s="1217" t="s">
        <v>1481</v>
      </c>
      <c r="EV39" s="1177" t="s">
        <v>723</v>
      </c>
      <c r="EW39" s="1177" t="s">
        <v>1277</v>
      </c>
      <c r="EX39" s="1177"/>
      <c r="EY39" s="1177"/>
      <c r="EZ39" s="1177"/>
      <c r="FA39" s="1178"/>
      <c r="FB39" s="1345"/>
      <c r="FC39" s="1321"/>
      <c r="FD39" s="1217" t="s">
        <v>1481</v>
      </c>
      <c r="FE39" s="1177" t="s">
        <v>733</v>
      </c>
      <c r="FF39" s="1177" t="s">
        <v>1252</v>
      </c>
      <c r="FG39" s="1177">
        <v>150</v>
      </c>
      <c r="FH39" s="1177">
        <v>100</v>
      </c>
      <c r="FI39" s="1177">
        <v>60</v>
      </c>
      <c r="FJ39" s="1178">
        <v>30</v>
      </c>
      <c r="FK39" s="1345"/>
      <c r="FL39" s="1345"/>
      <c r="FM39" s="1321"/>
      <c r="FN39" s="1176" t="s">
        <v>1240</v>
      </c>
      <c r="FO39" s="1177" t="s">
        <v>723</v>
      </c>
      <c r="FP39" s="1177" t="s">
        <v>1277</v>
      </c>
      <c r="FQ39" s="1177">
        <v>16.149999999999999</v>
      </c>
      <c r="FR39" s="1177">
        <v>11.1</v>
      </c>
      <c r="FS39" s="1177">
        <v>7.57</v>
      </c>
      <c r="FT39" s="1178">
        <v>5.55</v>
      </c>
      <c r="FU39" s="1345"/>
      <c r="FV39" s="1345"/>
      <c r="FW39" s="1321"/>
      <c r="FX39" s="1321"/>
      <c r="FY39" s="1321"/>
      <c r="FZ39" s="1321"/>
      <c r="GA39" s="1321"/>
      <c r="GB39" s="1321"/>
      <c r="GC39" s="1321"/>
      <c r="GD39" s="1321"/>
      <c r="GE39" s="1149" t="s">
        <v>394</v>
      </c>
      <c r="GF39" s="1321"/>
      <c r="GG39" s="1149" t="s">
        <v>1493</v>
      </c>
      <c r="GH39" s="1321" t="s">
        <v>1349</v>
      </c>
      <c r="GI39" s="1321" t="s">
        <v>1349</v>
      </c>
      <c r="GJ39" s="1321" t="s">
        <v>1349</v>
      </c>
      <c r="GK39" s="1321" t="s">
        <v>1349</v>
      </c>
      <c r="GL39" s="1321" t="s">
        <v>1349</v>
      </c>
      <c r="GM39" s="1321" t="s">
        <v>1349</v>
      </c>
      <c r="GN39" s="1321" t="s">
        <v>1349</v>
      </c>
      <c r="GO39" s="1321" t="s">
        <v>1349</v>
      </c>
      <c r="GP39" s="1321" t="s">
        <v>1349</v>
      </c>
      <c r="GQ39" s="1321" t="s">
        <v>1349</v>
      </c>
      <c r="GR39" s="1321" t="s">
        <v>1349</v>
      </c>
      <c r="GS39" s="1321" t="s">
        <v>1349</v>
      </c>
      <c r="GT39" s="1321" t="s">
        <v>1349</v>
      </c>
      <c r="GU39" s="1321" t="s">
        <v>1349</v>
      </c>
      <c r="GV39" s="1321" t="s">
        <v>1349</v>
      </c>
      <c r="GW39" s="1321"/>
      <c r="GX39" s="1321"/>
      <c r="GY39" s="1082" t="str">
        <f t="shared" si="11"/>
        <v>semences d'épinards</v>
      </c>
      <c r="GZ39" s="1082"/>
      <c r="HA39" s="1085"/>
      <c r="HB39" s="1085">
        <f>IF(COUNTIF(TypeArticleDansEntrepôt,GY39)=0,0,SUMIF(TypeArticleDansEntrepôt,GY39,QtéArticleDansEntrepôt)*VLOOKUP(GY39,place_necessaire_entrepots_aire_paille[],2,FALSE))</f>
        <v>0</v>
      </c>
      <c r="HC39" s="1321"/>
      <c r="HD39" s="1321"/>
      <c r="HE39" s="1321"/>
      <c r="HF39" s="1321"/>
      <c r="HG39" s="1321"/>
      <c r="HH39" s="1321"/>
      <c r="HI39" s="1321"/>
      <c r="HJ39" s="1321"/>
      <c r="HK39" s="1149" t="s">
        <v>1569</v>
      </c>
      <c r="HL39" s="1159">
        <f>AVERAGE(1.25,1.9)*1000</f>
        <v>1575</v>
      </c>
      <c r="HM39" s="1321"/>
      <c r="HN39" s="1321"/>
      <c r="HO39" s="1321"/>
      <c r="HP39" s="1369"/>
      <c r="HQ39" s="1369"/>
      <c r="HR39" s="1369"/>
      <c r="HS39" s="1369"/>
      <c r="HT39" s="1369"/>
      <c r="HU39" s="1369"/>
      <c r="HV39" s="1321"/>
      <c r="HW39" s="1321"/>
      <c r="HX39" s="1321"/>
      <c r="HY39" s="1321"/>
      <c r="HZ39" s="1321"/>
      <c r="IA39" s="1321"/>
      <c r="IB39" s="1321"/>
      <c r="IC39" s="1321"/>
      <c r="ID39" s="1321"/>
      <c r="IE39" s="1321"/>
      <c r="IF39" s="1321"/>
      <c r="IG39" s="1321"/>
      <c r="IH39" s="1321"/>
      <c r="II39" s="1321"/>
      <c r="IJ39" s="1321"/>
      <c r="IK39" s="1321"/>
      <c r="IL39" s="1321"/>
      <c r="IM39" s="1321"/>
      <c r="IN39" s="1368"/>
    </row>
    <row r="40" spans="1:248" ht="12.75" customHeight="1" x14ac:dyDescent="0.2">
      <c r="A40" s="1307" t="s">
        <v>1095</v>
      </c>
      <c r="B40" s="1177" t="s">
        <v>241</v>
      </c>
      <c r="C40" s="1177">
        <v>0.1</v>
      </c>
      <c r="D40" s="1178">
        <v>0</v>
      </c>
      <c r="E40" s="1321"/>
      <c r="F40" s="1149" t="s">
        <v>844</v>
      </c>
      <c r="G40" s="1149"/>
      <c r="H40" s="1149"/>
      <c r="I40" s="1149">
        <v>3</v>
      </c>
      <c r="J40" s="1321"/>
      <c r="K40" s="1321"/>
      <c r="L40" s="1321"/>
      <c r="M40" s="1321"/>
      <c r="N40" s="1321"/>
      <c r="O40" s="1224" t="str">
        <f>UPPER("France")</f>
        <v>FRANCE</v>
      </c>
      <c r="P40" s="1197"/>
      <c r="Q40" s="1197"/>
      <c r="R40" s="1197"/>
      <c r="S40" s="1197"/>
      <c r="T40" s="1197"/>
      <c r="U40" s="1197"/>
      <c r="V40" s="1197"/>
      <c r="W40" s="1197"/>
      <c r="X40" s="1197"/>
      <c r="Y40" s="1197"/>
      <c r="Z40" s="1197"/>
      <c r="AA40" s="1197"/>
      <c r="AB40" s="1197"/>
      <c r="AC40" s="1197"/>
      <c r="AD40" s="1197"/>
      <c r="AE40" s="1197"/>
      <c r="AF40" s="1197"/>
      <c r="AG40" s="1197"/>
      <c r="AH40" s="1197"/>
      <c r="AI40" s="1197"/>
      <c r="AJ40" s="1197"/>
      <c r="AK40" s="1197"/>
      <c r="AL40" s="1197"/>
      <c r="AM40" s="1197"/>
      <c r="AN40" s="1197"/>
      <c r="AO40" s="1197"/>
      <c r="AP40" s="1197"/>
      <c r="AQ40" s="1197"/>
      <c r="AR40" s="1197"/>
      <c r="AS40" s="1197"/>
      <c r="AT40" s="1197"/>
      <c r="AU40" s="1197"/>
      <c r="AV40" s="1197"/>
      <c r="AW40" s="1197"/>
      <c r="AX40" s="1197"/>
      <c r="AY40" s="1197"/>
      <c r="AZ40" s="1321"/>
      <c r="BA40" s="1321"/>
      <c r="BB40" s="1321"/>
      <c r="BC40" s="1149" t="s">
        <v>738</v>
      </c>
      <c r="BD40" s="1155">
        <v>8</v>
      </c>
      <c r="BE40" s="1321"/>
      <c r="BF40" s="1149" t="s">
        <v>720</v>
      </c>
      <c r="BG40" s="1155">
        <v>72</v>
      </c>
      <c r="BH40" s="1321"/>
      <c r="BI40" s="1321"/>
      <c r="BJ40" s="1321"/>
      <c r="BK40" s="1345"/>
      <c r="BL40" s="1348"/>
      <c r="BM40" s="1076" t="s">
        <v>1270</v>
      </c>
      <c r="BN40" s="1076">
        <f t="array" ref="BN40">IF(Ration_hivernale_complète_bisons[somme]&gt;0,0,IFERROR(IF(OR(AND(INDEX(Règles_bison[Specificite],MATCH(ChoixRationBisons&amp;$BM40,Règles_bison[Ration]&amp;Règles_bison[Aliment],0))="s1",IF($BM40=ChoixSpécificité1Bisons,1)),
AND(INDEX(Règles_bison[Specificite],MATCH(ChoixRationBisons&amp;$BM40,Règles_bison[Ration]&amp;Règles_bison[Aliment],0))="s2",IF($BM40=ChoixSpécificité2Bisons,1)),INDEX(Règles_bison[Specificite],MATCH(ChoixRationBisons&amp;$BM40,Règles_bison[Ration]&amp;Règles_bison[Aliment],0))="c"),
INDEX(Règles_bison[Valeur 36 et plus],MATCH(ChoixRationBisons&amp;$BM40,Règles_bison[Ration]&amp;Règles_bison[Aliment],0)),0),0)*TotalBisonsMalesAdultes*SUM(NbreJoursNourrirBisonsDaims))</f>
        <v>0</v>
      </c>
      <c r="BO40" s="1076">
        <f t="array" ref="BO40">IF(Ration_hivernale_complète_bisons[somme]&gt;0,0,IFERROR(IF(OR(AND(INDEX(Règles_bison[Specificite],MATCH(ChoixRationBisons&amp;$BM40,Règles_bison[Ration]&amp;Règles_bison[Aliment],0))="s1",IF($BM40=ChoixSpécificité1Bisons,1)),
AND(INDEX(Règles_bison[Specificite],MATCH(ChoixRationBisons&amp;$BM40,Règles_bison[Ration]&amp;Règles_bison[Aliment],0))="s2",IF($BM40=ChoixSpécificité2Bisons,1)),INDEX(Règles_bison[Specificite],MATCH(ChoixRationBisons&amp;$BM40,Règles_bison[Ration]&amp;Règles_bison[Aliment],0))="c"),
INDEX(Règles_bison[Valeur 24-36],MATCH(ChoixRationBisons&amp;$BM40,Règles_bison[Ration]&amp;Règles_bison[Aliment],0)),0),0)*TotalBisonsMales_24_36_mois*SUM(NbreJoursNourrirBisonsDaims))</f>
        <v>0</v>
      </c>
      <c r="BP40" s="1076">
        <f t="array" ref="BP40">IF(Ration_hivernale_complète_bisons[somme]&gt;0,0,IFERROR(IF(OR(AND(INDEX(Règles_bison[Specificite],MATCH(ChoixRationBisons&amp;$BM40,Règles_bison[Ration]&amp;Règles_bison[Aliment],0))="s1",IF($BM40=ChoixSpécificité1Bisons,1)),
AND(INDEX(Règles_bison[Specificite],MATCH(ChoixRationBisons&amp;$BM40,Règles_bison[Ration]&amp;Règles_bison[Aliment],0))="s2",IF($BM40=ChoixSpécificité2Bisons,1)),INDEX(Règles_bison[Specificite],MATCH(ChoixRationBisons&amp;$BM40,Règles_bison[Ration]&amp;Règles_bison[Aliment],0))="c"),
INDEX(Règles_bison[Valeur 18-24],MATCH(ChoixRationBisons&amp;$BM40,Règles_bison[Ration]&amp;Règles_bison[Aliment],0)),0),0)*TotalBisonsMales_18_24_mois*SUM(NbreJoursNourrirBisonsDaims))</f>
        <v>0</v>
      </c>
      <c r="BQ40" s="1076">
        <f t="array" ref="BQ40">IF(Ration_hivernale_complète_bisons[somme]&gt;0,0,IFERROR(IF(OR(AND(INDEX(Règles_bison[Specificite],MATCH(ChoixRationBisons&amp;$BM40,Règles_bison[Ration]&amp;Règles_bison[Aliment],0))="s1",IF($BM40=ChoixSpécificité1Bisons,1)),
AND(INDEX(Règles_bison[Specificite],MATCH(ChoixRationBisons&amp;$BM40,Règles_bison[Ration]&amp;Règles_bison[Aliment],0))="s2",IF($BM40=ChoixSpécificité2Bisons,1)),INDEX(Règles_bison[Specificite],MATCH(ChoixRationBisons&amp;$BM40,Règles_bison[Ration]&amp;Règles_bison[Aliment],0))="c"),
INDEX(Règles_bison[Valeur 12-18],MATCH(ChoixRationBisons&amp;$BM40,Règles_bison[Ration]&amp;Règles_bison[Aliment],0)),0),0)*TotalBisonsMales_12_18_mois*SUM(NbreJoursNourrirBisonsDaims))</f>
        <v>0</v>
      </c>
      <c r="BR40" s="1076">
        <f t="array" ref="BR40">IF(Ration_hivernale_complète_bisons[somme]&gt;0,0,IFERROR(IF(OR(AND(INDEX(Règles_bison[Specificite],MATCH(ChoixRationBisons&amp;$BM40,Règles_bison[Ration]&amp;Règles_bison[Aliment],0))="s1",IF($BM40=ChoixSpécificité1Bisons,1)),
AND(INDEX(Règles_bison[Specificite],MATCH(ChoixRationBisons&amp;$BM40,Règles_bison[Ration]&amp;Règles_bison[Aliment],0))="s2",IF($BM40=ChoixSpécificité2Bisons,1)),INDEX(Règles_bison[Specificite],MATCH(ChoixRationBisons&amp;$BM40,Règles_bison[Ration]&amp;Règles_bison[Aliment],0))="c"),
INDEX(Règles_bison[Valeur 6-12],MATCH(ChoixRationBisons&amp;$BM40,Règles_bison[Ration]&amp;Règles_bison[Aliment],0)),0),0)*TotalBisonsMales_6_12_mois*SUM(NbreJoursNourrirBisonsDaims))</f>
        <v>0</v>
      </c>
      <c r="BS40" s="1076">
        <f t="array" ref="BS40">IF(Ration_hivernale_complète_bisons[somme]&gt;0,0,IFERROR(IF(OR(AND(INDEX(Règles_bison[Specificite],MATCH(ChoixRationBisons&amp;$BM40,Règles_bison[Ration]&amp;Règles_bison[Aliment],0))="s1",IF($BM40=ChoixSpécificité1Bisons,1)),
AND(INDEX(Règles_bison[Specificite],MATCH(ChoixRationBisons&amp;$BM40,Règles_bison[Ration]&amp;Règles_bison[Aliment],0))="s2",IF($BM40=ChoixSpécificité2Bisons,1)),INDEX(Règles_bison[Specificite],MATCH(ChoixRationBisons&amp;$BM40,Règles_bison[Ration]&amp;Règles_bison[Aliment],0))="c"),
INDEX(Règles_bison[Valeur 3-6],MATCH(ChoixRationBisons&amp;$BM40,Règles_bison[Ration]&amp;Règles_bison[Aliment],0)),0),0)*TotalBisonsMales_3_6_mois*SUM(NbreJoursNourrirBisonsDaims))</f>
        <v>0</v>
      </c>
      <c r="BT40" s="1076">
        <f t="array" ref="BT40">IF(Ration_hivernale_complète_bisons[somme]&gt;0,0,IFERROR(IF(OR(AND(INDEX(Règles_bison[Specificite],MATCH(ChoixRationBisons&amp;$BM40,Règles_bison[Ration]&amp;Règles_bison[Aliment],0))="s1",IF($BM40=ChoixSpécificité1Bisons,1)),
AND(INDEX(Règles_bison[Specificite],MATCH(ChoixRationBisons&amp;$BM40,Règles_bison[Ration]&amp;Règles_bison[Aliment],0))="s2",IF($BM40=ChoixSpécificité2Bisons,1)),INDEX(Règles_bison[Specificite],MATCH(ChoixRationBisons&amp;$BM40,Règles_bison[Ration]&amp;Règles_bison[Aliment],0))="c"),
INDEX(Règles_bison[Valeur 0-3],MATCH(ChoixRationBisons&amp;$BM40,Règles_bison[Ration]&amp;Règles_bison[Aliment],0)),0),0)*TotalBisonsMales_0_3_mois*SUM(NbreJoursNourrirBisonsDaims))</f>
        <v>0</v>
      </c>
      <c r="BU40" s="1076">
        <f t="shared" si="10"/>
        <v>0</v>
      </c>
      <c r="BV40" s="1345"/>
      <c r="BW40" s="1345"/>
      <c r="BX40" s="1321"/>
      <c r="BY40" s="1149" t="s">
        <v>1049</v>
      </c>
      <c r="BZ40" s="1149">
        <v>600</v>
      </c>
      <c r="CA40" s="1321"/>
      <c r="CB40" s="1149" t="s">
        <v>1049</v>
      </c>
      <c r="CC40" s="1149">
        <v>720</v>
      </c>
      <c r="CD40" s="1345"/>
      <c r="CE40" s="1345"/>
      <c r="CF40" s="1345"/>
      <c r="CG40" s="1345"/>
      <c r="CH40" s="1345"/>
      <c r="CI40" s="1321"/>
      <c r="CJ40" s="1176"/>
      <c r="CK40" s="1177"/>
      <c r="CL40" s="1177"/>
      <c r="CM40" s="1177"/>
      <c r="CN40" s="1177"/>
      <c r="CO40" s="1177"/>
      <c r="CP40" s="1177"/>
      <c r="CQ40" s="1178"/>
      <c r="CR40" s="1321"/>
      <c r="CS40" s="1176" t="s">
        <v>1292</v>
      </c>
      <c r="CT40" s="1177" t="s">
        <v>76</v>
      </c>
      <c r="CU40" s="1177" t="s">
        <v>1253</v>
      </c>
      <c r="CV40" s="1177">
        <v>0.16</v>
      </c>
      <c r="CW40" s="1177">
        <v>0.104</v>
      </c>
      <c r="CX40" s="1178">
        <v>0</v>
      </c>
      <c r="CY40" s="1321"/>
      <c r="CZ40" s="1176" t="s">
        <v>1293</v>
      </c>
      <c r="DA40" s="1177" t="s">
        <v>673</v>
      </c>
      <c r="DB40" s="1177" t="s">
        <v>1252</v>
      </c>
      <c r="DC40" s="1177">
        <v>0.02</v>
      </c>
      <c r="DD40" s="1177">
        <v>1.4999999999999999E-2</v>
      </c>
      <c r="DE40" s="1178">
        <v>0.01</v>
      </c>
      <c r="DF40" s="1321"/>
      <c r="DG40" s="1176"/>
      <c r="DH40" s="1177"/>
      <c r="DI40" s="1177"/>
      <c r="DJ40" s="1177"/>
      <c r="DK40" s="1177"/>
      <c r="DL40" s="1178"/>
      <c r="DM40" s="1321"/>
      <c r="DN40" s="1143" t="s">
        <v>835</v>
      </c>
      <c r="DO40" s="1143">
        <v>40</v>
      </c>
      <c r="DP40" s="1321"/>
      <c r="DQ40" s="1143" t="s">
        <v>835</v>
      </c>
      <c r="DR40" s="1143">
        <v>5</v>
      </c>
      <c r="DS40" s="1345"/>
      <c r="DT40" s="1346"/>
      <c r="DU40" s="1346"/>
      <c r="DV40" s="1076" t="s">
        <v>1719</v>
      </c>
      <c r="DW40" s="1267">
        <f t="array" ref="DW40">IF(ChoixRationComplèteDaims=OUI,0,IFERROR(IF(OR(AND(INDEX(Règles_daims[Specificite],MATCH(ChoixRationDaims&amp;DV40,Règles_daims[Ration]&amp;Règles_daims[Aliment],0))="s1",IF(DV40=Spécificité1Daims,1)),
AND(INDEX(Règles_daims[Specificite],MATCH(ChoixRationDaims&amp;DV40,Règles_daims[Ration]&amp;Règles_daims[Aliment],0))="s2",IF(DV40=Spécificité2Daims,1)),
INDEX(Règles_daims[Specificite],MATCH(ChoixRationDaims&amp;DV40,Règles_daims[Ration]&amp;Règles_daims[Aliment],0))="c"),
INDEX(Règles_daims[Valeur 36 et plus],MATCH(ChoixRationDaims&amp;DV40,Règles_daims[Ration]&amp;Règles_daims[Aliment],0)),0),0)*SUM(TotalDaimsAdultes)*SUM(NbreJoursNourrirBisonsDaims))</f>
        <v>0</v>
      </c>
      <c r="DX40" s="1267">
        <f t="array" ref="DX40">IF(ChoixRationComplèteDaims=OUI,0,IFERROR(IF(OR(AND(INDEX(Règles_daims[Specificite],MATCH(ChoixRationDaims&amp;DV40,Règles_daims[Ration]&amp;Règles_daims[Aliment],0))="s1",IF(DV40=Spécificité1Daims,1)),
AND(INDEX(Règles_daims[Specificite],MATCH(ChoixRationDaims&amp;DV40,Règles_daims[Ration]&amp;Règles_daims[Aliment],0))="s2",IF(DV40=Spécificité2Daims,1)),
INDEX(Règles_daims[Specificite],MATCH(ChoixRationDaims&amp;DV40,Règles_daims[Ration]&amp;Règles_daims[Aliment],0))="c"),
INDEX(Règles_daims[Valeur 24-36],MATCH(ChoixRationDaims&amp;DV40,Règles_daims[Ration]&amp;Règles_daims[Aliment],0)),0),0)*SUM(TotalDaims24_36)*SUM(NbreJoursNourrirBisonsDaims))</f>
        <v>0</v>
      </c>
      <c r="DY40" s="1267">
        <f t="array" ref="DY40">IF(ChoixRationComplèteDaims=OUI,0,IFERROR(IF(OR(AND(INDEX(Règles_daims[Specificite],MATCH(ChoixRationDaims&amp;DV40,Règles_daims[Ration]&amp;Règles_daims[Aliment],0))="s1",IF(DV40=Spécificité1Daims,1)),
AND(INDEX(Règles_daims[Specificite],MATCH(ChoixRationDaims&amp;DV40,Règles_daims[Ration]&amp;Règles_daims[Aliment],0))="s2",IF(DV40=Spécificité2Daims,1)),
INDEX(Règles_daims[Specificite],MATCH(ChoixRationDaims&amp;DV40,Règles_daims[Ration]&amp;Règles_daims[Aliment],0))="c"),
INDEX(Règles_daims[Valeur 18-24],MATCH(ChoixRationDaims&amp;DV40,Règles_daims[Ration]&amp;Règles_daims[Aliment],0)),0),0)*SUM(TotalDaims18_24)*SUM(NbreJoursNourrirBisonsDaims))</f>
        <v>0</v>
      </c>
      <c r="DZ40" s="1279">
        <f t="array" ref="DZ40">IF(ChoixRationComplèteDaims=OUI,0,IFERROR(IF(OR(AND(INDEX(Règles_daims[Specificite],MATCH(ChoixRationDaims&amp;DV40,Règles_daims[Ration]&amp;Règles_daims[Aliment],0))="s1",IF(DV40=Spécificité1Daims,1)),
AND(INDEX(Règles_daims[Specificite],MATCH(ChoixRationDaims&amp;DV40,Règles_daims[Ration]&amp;Règles_daims[Aliment],0))="s2",IF(DV40=Spécificité2Daims,1)),
INDEX(Règles_daims[Specificite],MATCH(ChoixRationDaims&amp;DV40,Règles_daims[Ration]&amp;Règles_daims[Aliment],0))="c"),
INDEX(Règles_daims[Valeur 12-18],MATCH(ChoixRationDaims&amp;DV40,Règles_daims[Ration]&amp;Règles_daims[Aliment],0)),0),0)*SUM(TotalDaims12_18)*SUM(NbreJoursNourrirBisonsDaims))</f>
        <v>0</v>
      </c>
      <c r="EA40" s="1279">
        <f t="array" ref="EA40">IF(ChoixRationComplèteDaims=OUI,0,IFERROR(IF(OR(AND(INDEX(Règles_daims[Specificite],MATCH(ChoixRationDaims&amp;DV40,Règles_daims[Ration]&amp;Règles_daims[Aliment],0))="s1",IF(DV40=Spécificité1Daims,1)),
AND(INDEX(Règles_daims[Specificite],MATCH(ChoixRationDaims&amp;DV40,Règles_daims[Ration]&amp;Règles_daims[Aliment],0))="s2",IF(DV40=Spécificité2Daims,1)),
INDEX(Règles_daims[Specificite],MATCH(ChoixRationDaims&amp;DV40,Règles_daims[Ration]&amp;Règles_daims[Aliment],0))="c"),
INDEX(Règles_daims[Valeur 6-12],MATCH(ChoixRationDaims&amp;DV40,Règles_daims[Ration]&amp;Règles_daims[Aliment],0)),0),0)*SUM(TotalDaims6_12)*SUM(NbreJoursNourrirBisonsDaims))</f>
        <v>0</v>
      </c>
      <c r="EB40" s="1279">
        <f t="array" ref="EB40">IF(ChoixRationComplèteDaims=OUI,0,IFERROR(IF(OR(AND(INDEX(Règles_daims[Specificite],MATCH(ChoixRationDaims&amp;DV40,Règles_daims[Ration]&amp;Règles_daims[Aliment],0))="s1",IF(DV40=Spécificité1Daims,1)),
AND(INDEX(Règles_daims[Specificite],MATCH(ChoixRationDaims&amp;DV40,Règles_daims[Ration]&amp;Règles_daims[Aliment],0))="s2",IF(DV40=Spécificité2Daims,1)),
INDEX(Règles_daims[Specificite],MATCH(ChoixRationDaims&amp;DV40,Règles_daims[Ration]&amp;Règles_daims[Aliment],0))="c"),
INDEX(Règles_daims[Valeur 3-6],MATCH(ChoixRationDaims&amp;DV40,Règles_daims[Ration]&amp;Règles_daims[Aliment],0)),0),0)*SUM(TotalDaims3_6)*SUM(NbreJoursNourrirBisonsDaims))</f>
        <v>0</v>
      </c>
      <c r="EC40" s="1279">
        <f t="array" ref="EC40">IF(ChoixRationComplèteDaims=OUI,0,IFERROR(IF(OR(AND(INDEX(Règles_daims[Specificite],MATCH(ChoixRationDaims&amp;DV40,Règles_daims[Ration]&amp;Règles_daims[Aliment],0))="s1",IF(DV40=Spécificité1Daims,1)),
AND(INDEX(Règles_daims[Specificite],MATCH(ChoixRationDaims&amp;DV40,Règles_daims[Ration]&amp;Règles_daims[Aliment],0))="s2",IF(DV40=Spécificité2Daims,1)),
INDEX(Règles_daims[Specificite],MATCH(ChoixRationDaims&amp;DV40,Règles_daims[Ration]&amp;Règles_daims[Aliment],0))="c"),
INDEX(Règles_daims[Valeur 0-3],MATCH(ChoixRationDaims&amp;DV40,Règles_daims[Ration]&amp;Règles_daims[Aliment],0)),0),0)*SUM(TotalDaims0_3)*SUM(NbreJoursNourrirBisonsDaims))</f>
        <v>0</v>
      </c>
      <c r="ED40" s="1279">
        <f t="shared" si="9"/>
        <v>0</v>
      </c>
      <c r="EE40" s="1345"/>
      <c r="EF40" s="1321"/>
      <c r="EG40" s="1176"/>
      <c r="EH40" s="1177"/>
      <c r="EI40" s="1177"/>
      <c r="EJ40" s="1177"/>
      <c r="EK40" s="1177"/>
      <c r="EL40" s="1178"/>
      <c r="EM40" s="1321"/>
      <c r="EN40" s="1176"/>
      <c r="EO40" s="1177"/>
      <c r="EP40" s="1177"/>
      <c r="EQ40" s="1177"/>
      <c r="ER40" s="1177"/>
      <c r="ES40" s="1178"/>
      <c r="ET40" s="1321"/>
      <c r="EU40" s="1217" t="s">
        <v>1481</v>
      </c>
      <c r="EV40" s="1177" t="s">
        <v>673</v>
      </c>
      <c r="EW40" s="1177" t="s">
        <v>1252</v>
      </c>
      <c r="EX40" s="1177">
        <v>6</v>
      </c>
      <c r="EY40" s="1177">
        <v>4</v>
      </c>
      <c r="EZ40" s="1177">
        <v>2.5</v>
      </c>
      <c r="FA40" s="1178">
        <v>1.5</v>
      </c>
      <c r="FB40" s="1345"/>
      <c r="FC40" s="1321"/>
      <c r="FD40" s="1176" t="s">
        <v>1240</v>
      </c>
      <c r="FE40" s="1177" t="s">
        <v>723</v>
      </c>
      <c r="FF40" s="1177" t="s">
        <v>1277</v>
      </c>
      <c r="FG40" s="1177">
        <v>3.03</v>
      </c>
      <c r="FH40" s="1177">
        <v>21.2</v>
      </c>
      <c r="FI40" s="1177">
        <v>15.15</v>
      </c>
      <c r="FJ40" s="1178">
        <v>10.6</v>
      </c>
      <c r="FK40" s="1345"/>
      <c r="FL40" s="1345"/>
      <c r="FM40" s="1321"/>
      <c r="FN40" s="1176" t="s">
        <v>1240</v>
      </c>
      <c r="FO40" s="1177" t="s">
        <v>1271</v>
      </c>
      <c r="FP40" s="1177" t="s">
        <v>1252</v>
      </c>
      <c r="FQ40" s="1177">
        <v>0.15</v>
      </c>
      <c r="FR40" s="1177">
        <v>0.11</v>
      </c>
      <c r="FS40" s="1177">
        <v>7.0000000000000007E-2</v>
      </c>
      <c r="FT40" s="1178">
        <v>0.05</v>
      </c>
      <c r="FU40" s="1345"/>
      <c r="FV40" s="1345"/>
      <c r="FW40" s="1321"/>
      <c r="FX40" s="1321"/>
      <c r="FY40" s="1321"/>
      <c r="FZ40" s="1321"/>
      <c r="GA40" s="1321"/>
      <c r="GB40" s="1321"/>
      <c r="GC40" s="1321"/>
      <c r="GD40" s="1321"/>
      <c r="GE40" s="1143" t="s">
        <v>249</v>
      </c>
      <c r="GF40" s="1321"/>
      <c r="GG40" s="1143" t="s">
        <v>1494</v>
      </c>
      <c r="GH40" s="1321" t="s">
        <v>1349</v>
      </c>
      <c r="GI40" s="1321" t="s">
        <v>1349</v>
      </c>
      <c r="GJ40" s="1321" t="s">
        <v>1349</v>
      </c>
      <c r="GK40" s="1321" t="s">
        <v>1349</v>
      </c>
      <c r="GL40" s="1321" t="s">
        <v>1349</v>
      </c>
      <c r="GM40" s="1321" t="s">
        <v>1349</v>
      </c>
      <c r="GN40" s="1321" t="s">
        <v>1349</v>
      </c>
      <c r="GO40" s="1321" t="s">
        <v>1349</v>
      </c>
      <c r="GP40" s="1321" t="s">
        <v>1349</v>
      </c>
      <c r="GQ40" s="1321" t="s">
        <v>1349</v>
      </c>
      <c r="GR40" s="1321" t="s">
        <v>1349</v>
      </c>
      <c r="GS40" s="1321" t="s">
        <v>1349</v>
      </c>
      <c r="GT40" s="1321" t="s">
        <v>1349</v>
      </c>
      <c r="GU40" s="1321" t="s">
        <v>1349</v>
      </c>
      <c r="GV40" s="1321" t="s">
        <v>1349</v>
      </c>
      <c r="GW40" s="1321"/>
      <c r="GX40" s="1321"/>
      <c r="GY40" s="1083" t="str">
        <f t="shared" si="11"/>
        <v>semences de ray-grass Italie</v>
      </c>
      <c r="GZ40" s="1083"/>
      <c r="HA40" s="1084"/>
      <c r="HB40" s="1084">
        <f>IF(COUNTIF(TypeArticleDansEntrepôt,GY40)=0,0,SUMIF(TypeArticleDansEntrepôt,GY40,QtéArticleDansEntrepôt)*VLOOKUP(GY40,place_necessaire_entrepots_aire_paille[],2,FALSE))</f>
        <v>0</v>
      </c>
      <c r="HC40" s="1321"/>
      <c r="HD40" s="1321"/>
      <c r="HE40" s="1321"/>
      <c r="HF40" s="1321"/>
      <c r="HG40" s="1321"/>
      <c r="HH40" s="1321"/>
      <c r="HI40" s="1321"/>
      <c r="HJ40" s="1321"/>
      <c r="HK40" s="1143" t="s">
        <v>1568</v>
      </c>
      <c r="HL40" s="1152">
        <f>AVERAGE(0.55,0.95)*1000</f>
        <v>750</v>
      </c>
      <c r="HM40" s="1321"/>
      <c r="HN40" s="1321"/>
      <c r="HO40" s="1321"/>
      <c r="HP40" s="1321"/>
      <c r="HQ40" s="1321"/>
      <c r="HR40" s="1321"/>
      <c r="HS40" s="1321"/>
      <c r="HT40" s="1321"/>
      <c r="HU40" s="1321"/>
      <c r="HV40" s="1321"/>
      <c r="HW40" s="1321"/>
      <c r="HX40" s="1321"/>
      <c r="HY40" s="1321"/>
      <c r="HZ40" s="1321"/>
      <c r="IA40" s="1321"/>
      <c r="IB40" s="1321"/>
      <c r="IC40" s="1321"/>
      <c r="ID40" s="1321"/>
      <c r="IE40" s="1321"/>
      <c r="IF40" s="1321"/>
      <c r="IG40" s="1321"/>
      <c r="IH40" s="1321"/>
      <c r="II40" s="1321"/>
      <c r="IJ40" s="1321"/>
      <c r="IK40" s="1321"/>
      <c r="IL40" s="1321"/>
      <c r="IM40" s="1321"/>
      <c r="IN40" s="1368"/>
    </row>
    <row r="41" spans="1:248" ht="12.75" customHeight="1" x14ac:dyDescent="0.2">
      <c r="A41" s="1307" t="s">
        <v>1077</v>
      </c>
      <c r="B41" s="1177" t="s">
        <v>354</v>
      </c>
      <c r="C41" s="1177">
        <v>0.3</v>
      </c>
      <c r="D41" s="1178">
        <v>0</v>
      </c>
      <c r="E41" s="1321"/>
      <c r="F41" s="1143" t="s">
        <v>845</v>
      </c>
      <c r="G41" s="1143"/>
      <c r="H41" s="1143"/>
      <c r="I41" s="1143">
        <v>3</v>
      </c>
      <c r="J41" s="1321"/>
      <c r="K41" s="1321"/>
      <c r="L41" s="1321"/>
      <c r="M41" s="1321"/>
      <c r="N41" s="1321"/>
      <c r="O41" s="1143" t="s">
        <v>525</v>
      </c>
      <c r="P41" s="1143">
        <v>7</v>
      </c>
      <c r="Q41" s="1143">
        <v>6</v>
      </c>
      <c r="R41" s="1143">
        <v>4.5999999999999996</v>
      </c>
      <c r="S41" s="1143">
        <v>4.2</v>
      </c>
      <c r="T41" s="1143">
        <v>4</v>
      </c>
      <c r="U41" s="1143">
        <v>6.2</v>
      </c>
      <c r="V41" s="1143"/>
      <c r="W41" s="1143">
        <v>10.8</v>
      </c>
      <c r="X41" s="1143">
        <v>13.1</v>
      </c>
      <c r="Y41" s="1143">
        <v>75</v>
      </c>
      <c r="Z41" s="1143">
        <v>3.7</v>
      </c>
      <c r="AA41" s="1143">
        <v>2.5</v>
      </c>
      <c r="AB41" s="1143">
        <v>3.3</v>
      </c>
      <c r="AC41" s="1143">
        <v>3</v>
      </c>
      <c r="AD41" s="1143">
        <v>3.4</v>
      </c>
      <c r="AE41" s="1143">
        <v>0</v>
      </c>
      <c r="AF41" s="1143">
        <v>41.2</v>
      </c>
      <c r="AG41" s="1143">
        <v>0</v>
      </c>
      <c r="AH41" s="1143">
        <v>0</v>
      </c>
      <c r="AI41" s="1143">
        <v>0</v>
      </c>
      <c r="AJ41" s="1143">
        <v>0</v>
      </c>
      <c r="AK41" s="1143">
        <v>0</v>
      </c>
      <c r="AL41" s="1143">
        <v>8.8000000000000007</v>
      </c>
      <c r="AM41" s="1143"/>
      <c r="AN41" s="1143">
        <v>2.7</v>
      </c>
      <c r="AO41" s="1143">
        <v>28</v>
      </c>
      <c r="AP41" s="1143">
        <v>0</v>
      </c>
      <c r="AQ41" s="1143">
        <v>0</v>
      </c>
      <c r="AR41" s="1143">
        <v>10</v>
      </c>
      <c r="AS41" s="1143">
        <v>0</v>
      </c>
      <c r="AT41" s="1143">
        <v>4</v>
      </c>
      <c r="AU41" s="1143">
        <v>0</v>
      </c>
      <c r="AV41" s="1143">
        <v>0</v>
      </c>
      <c r="AW41" s="1143">
        <v>8.5</v>
      </c>
      <c r="AX41" s="1143">
        <v>10</v>
      </c>
      <c r="AY41" s="1143">
        <v>10</v>
      </c>
      <c r="AZ41" s="1321"/>
      <c r="BA41" s="1321"/>
      <c r="BB41" s="1321"/>
      <c r="BC41" s="1173" t="s">
        <v>739</v>
      </c>
      <c r="BD41" s="1174">
        <v>5</v>
      </c>
      <c r="BE41" s="1321"/>
      <c r="BF41" s="1173" t="s">
        <v>721</v>
      </c>
      <c r="BG41" s="1174">
        <v>56</v>
      </c>
      <c r="BH41" s="1321"/>
      <c r="BI41" s="1321"/>
      <c r="BJ41" s="1321"/>
      <c r="BK41" s="1345"/>
      <c r="BL41" s="1348"/>
      <c r="BM41" s="1075" t="s">
        <v>715</v>
      </c>
      <c r="BN41" s="1075">
        <f t="array" ref="BN41">IF(Ration_hivernale_complète_bisons[somme]&gt;0,0,IFERROR(IF(OR(AND(INDEX(Règles_bison[Specificite],MATCH(ChoixRationBisons&amp;$BM41,Règles_bison[Ration]&amp;Règles_bison[Aliment],0))="s1",IF($BM41=ChoixSpécificité1Bisons,1)),
AND(INDEX(Règles_bison[Specificite],MATCH(ChoixRationBisons&amp;$BM41,Règles_bison[Ration]&amp;Règles_bison[Aliment],0))="s2",IF($BM41=ChoixSpécificité2Bisons,1)),INDEX(Règles_bison[Specificite],MATCH(ChoixRationBisons&amp;$BM41,Règles_bison[Ration]&amp;Règles_bison[Aliment],0))="c"),
INDEX(Règles_bison[Valeur 36 et plus],MATCH(ChoixRationBisons&amp;$BM41,Règles_bison[Ration]&amp;Règles_bison[Aliment],0)),0),0)*TotalBisonsMalesAdultes*SUM(NbreJoursNourrirBisonsDaims))</f>
        <v>0</v>
      </c>
      <c r="BO41" s="1075">
        <f t="array" ref="BO41">IF(Ration_hivernale_complète_bisons[somme]&gt;0,0,IFERROR(IF(OR(AND(INDEX(Règles_bison[Specificite],MATCH(ChoixRationBisons&amp;$BM41,Règles_bison[Ration]&amp;Règles_bison[Aliment],0))="s1",IF($BM41=ChoixSpécificité1Bisons,1)),
AND(INDEX(Règles_bison[Specificite],MATCH(ChoixRationBisons&amp;$BM41,Règles_bison[Ration]&amp;Règles_bison[Aliment],0))="s2",IF($BM41=ChoixSpécificité2Bisons,1)),INDEX(Règles_bison[Specificite],MATCH(ChoixRationBisons&amp;$BM41,Règles_bison[Ration]&amp;Règles_bison[Aliment],0))="c"),
INDEX(Règles_bison[Valeur 24-36],MATCH(ChoixRationBisons&amp;$BM41,Règles_bison[Ration]&amp;Règles_bison[Aliment],0)),0),0)*TotalBisonsMales_24_36_mois*SUM(NbreJoursNourrirBisonsDaims))</f>
        <v>0</v>
      </c>
      <c r="BP41" s="1075">
        <f t="array" ref="BP41">IF(Ration_hivernale_complète_bisons[somme]&gt;0,0,IFERROR(IF(OR(AND(INDEX(Règles_bison[Specificite],MATCH(ChoixRationBisons&amp;$BM41,Règles_bison[Ration]&amp;Règles_bison[Aliment],0))="s1",IF($BM41=ChoixSpécificité1Bisons,1)),
AND(INDEX(Règles_bison[Specificite],MATCH(ChoixRationBisons&amp;$BM41,Règles_bison[Ration]&amp;Règles_bison[Aliment],0))="s2",IF($BM41=ChoixSpécificité2Bisons,1)),INDEX(Règles_bison[Specificite],MATCH(ChoixRationBisons&amp;$BM41,Règles_bison[Ration]&amp;Règles_bison[Aliment],0))="c"),
INDEX(Règles_bison[Valeur 18-24],MATCH(ChoixRationBisons&amp;$BM41,Règles_bison[Ration]&amp;Règles_bison[Aliment],0)),0),0)*TotalBisonsMales_18_24_mois*SUM(NbreJoursNourrirBisonsDaims))</f>
        <v>0</v>
      </c>
      <c r="BQ41" s="1075">
        <f t="array" ref="BQ41">IF(Ration_hivernale_complète_bisons[somme]&gt;0,0,IFERROR(IF(OR(AND(INDEX(Règles_bison[Specificite],MATCH(ChoixRationBisons&amp;$BM41,Règles_bison[Ration]&amp;Règles_bison[Aliment],0))="s1",IF($BM41=ChoixSpécificité1Bisons,1)),
AND(INDEX(Règles_bison[Specificite],MATCH(ChoixRationBisons&amp;$BM41,Règles_bison[Ration]&amp;Règles_bison[Aliment],0))="s2",IF($BM41=ChoixSpécificité2Bisons,1)),INDEX(Règles_bison[Specificite],MATCH(ChoixRationBisons&amp;$BM41,Règles_bison[Ration]&amp;Règles_bison[Aliment],0))="c"),
INDEX(Règles_bison[Valeur 12-18],MATCH(ChoixRationBisons&amp;$BM41,Règles_bison[Ration]&amp;Règles_bison[Aliment],0)),0),0)*TotalBisonsMales_12_18_mois*SUM(NbreJoursNourrirBisonsDaims))</f>
        <v>0</v>
      </c>
      <c r="BR41" s="1075">
        <f t="array" ref="BR41">IF(Ration_hivernale_complète_bisons[somme]&gt;0,0,IFERROR(IF(OR(AND(INDEX(Règles_bison[Specificite],MATCH(ChoixRationBisons&amp;$BM41,Règles_bison[Ration]&amp;Règles_bison[Aliment],0))="s1",IF($BM41=ChoixSpécificité1Bisons,1)),
AND(INDEX(Règles_bison[Specificite],MATCH(ChoixRationBisons&amp;$BM41,Règles_bison[Ration]&amp;Règles_bison[Aliment],0))="s2",IF($BM41=ChoixSpécificité2Bisons,1)),INDEX(Règles_bison[Specificite],MATCH(ChoixRationBisons&amp;$BM41,Règles_bison[Ration]&amp;Règles_bison[Aliment],0))="c"),
INDEX(Règles_bison[Valeur 6-12],MATCH(ChoixRationBisons&amp;$BM41,Règles_bison[Ration]&amp;Règles_bison[Aliment],0)),0),0)*TotalBisonsMales_6_12_mois*SUM(NbreJoursNourrirBisonsDaims))</f>
        <v>0</v>
      </c>
      <c r="BS41" s="1075">
        <f t="array" ref="BS41">IF(Ration_hivernale_complète_bisons[somme]&gt;0,0,IFERROR(IF(OR(AND(INDEX(Règles_bison[Specificite],MATCH(ChoixRationBisons&amp;$BM41,Règles_bison[Ration]&amp;Règles_bison[Aliment],0))="s1",IF($BM41=ChoixSpécificité1Bisons,1)),
AND(INDEX(Règles_bison[Specificite],MATCH(ChoixRationBisons&amp;$BM41,Règles_bison[Ration]&amp;Règles_bison[Aliment],0))="s2",IF($BM41=ChoixSpécificité2Bisons,1)),INDEX(Règles_bison[Specificite],MATCH(ChoixRationBisons&amp;$BM41,Règles_bison[Ration]&amp;Règles_bison[Aliment],0))="c"),
INDEX(Règles_bison[Valeur 3-6],MATCH(ChoixRationBisons&amp;$BM41,Règles_bison[Ration]&amp;Règles_bison[Aliment],0)),0),0)*TotalBisonsMales_3_6_mois*SUM(NbreJoursNourrirBisonsDaims))</f>
        <v>0</v>
      </c>
      <c r="BT41" s="1075">
        <f t="array" ref="BT41">IF(Ration_hivernale_complète_bisons[somme]&gt;0,0,IFERROR(IF(OR(AND(INDEX(Règles_bison[Specificite],MATCH(ChoixRationBisons&amp;$BM41,Règles_bison[Ration]&amp;Règles_bison[Aliment],0))="s1",IF($BM41=ChoixSpécificité1Bisons,1)),
AND(INDEX(Règles_bison[Specificite],MATCH(ChoixRationBisons&amp;$BM41,Règles_bison[Ration]&amp;Règles_bison[Aliment],0))="s2",IF($BM41=ChoixSpécificité2Bisons,1)),INDEX(Règles_bison[Specificite],MATCH(ChoixRationBisons&amp;$BM41,Règles_bison[Ration]&amp;Règles_bison[Aliment],0))="c"),
INDEX(Règles_bison[Valeur 0-3],MATCH(ChoixRationBisons&amp;$BM41,Règles_bison[Ration]&amp;Règles_bison[Aliment],0)),0),0)*TotalBisonsMales_0_3_mois*SUM(NbreJoursNourrirBisonsDaims))</f>
        <v>0</v>
      </c>
      <c r="BU41" s="1075">
        <f t="shared" si="10"/>
        <v>0</v>
      </c>
      <c r="BV41" s="1345"/>
      <c r="BW41" s="1345"/>
      <c r="BX41" s="1321"/>
      <c r="BY41" s="1143" t="s">
        <v>1050</v>
      </c>
      <c r="BZ41" s="1143">
        <v>610</v>
      </c>
      <c r="CA41" s="1321"/>
      <c r="CB41" s="1143" t="s">
        <v>1050</v>
      </c>
      <c r="CC41" s="1143">
        <v>732</v>
      </c>
      <c r="CD41" s="1345"/>
      <c r="CE41" s="1345"/>
      <c r="CF41" s="1345"/>
      <c r="CG41" s="1345"/>
      <c r="CH41" s="1345"/>
      <c r="CI41" s="1321"/>
      <c r="CJ41" s="1176"/>
      <c r="CK41" s="1177"/>
      <c r="CL41" s="1177"/>
      <c r="CM41" s="1177"/>
      <c r="CN41" s="1177"/>
      <c r="CO41" s="1177"/>
      <c r="CP41" s="1177"/>
      <c r="CQ41" s="1178"/>
      <c r="CR41" s="1321"/>
      <c r="CS41" s="1176" t="s">
        <v>1292</v>
      </c>
      <c r="CT41" s="1177" t="s">
        <v>672</v>
      </c>
      <c r="CU41" s="1177" t="s">
        <v>1252</v>
      </c>
      <c r="CV41" s="1177">
        <v>0.16</v>
      </c>
      <c r="CW41" s="1177">
        <v>0.104</v>
      </c>
      <c r="CX41" s="1178">
        <v>0</v>
      </c>
      <c r="CY41" s="1321"/>
      <c r="CZ41" s="1176" t="s">
        <v>1293</v>
      </c>
      <c r="DA41" s="1177" t="s">
        <v>1271</v>
      </c>
      <c r="DB41" s="1177" t="s">
        <v>1252</v>
      </c>
      <c r="DC41" s="1177">
        <v>5.0000000000000001E-3</v>
      </c>
      <c r="DD41" s="1177">
        <v>3.0000000000000001E-3</v>
      </c>
      <c r="DE41" s="1178">
        <v>2E-3</v>
      </c>
      <c r="DF41" s="1321"/>
      <c r="DG41" s="1176"/>
      <c r="DH41" s="1177"/>
      <c r="DI41" s="1177"/>
      <c r="DJ41" s="1177"/>
      <c r="DK41" s="1177"/>
      <c r="DL41" s="1178"/>
      <c r="DM41" s="1321"/>
      <c r="DN41" s="1321"/>
      <c r="DO41" s="1321"/>
      <c r="DP41" s="1321"/>
      <c r="DQ41" s="1321"/>
      <c r="DR41" s="1321"/>
      <c r="DS41" s="1345"/>
      <c r="DT41" s="1346"/>
      <c r="DU41" s="1346"/>
      <c r="DV41" s="1075" t="s">
        <v>1717</v>
      </c>
      <c r="DW41" s="1269">
        <f t="array" ref="DW41">IF(ChoixRationComplèteDaims=OUI,0,IFERROR(IF(OR(AND(INDEX(Règles_daims[Specificite],MATCH(ChoixRationDaims&amp;DV41,Règles_daims[Ration]&amp;Règles_daims[Aliment],0))="s1",IF(DV41=Spécificité1Daims,1)),
AND(INDEX(Règles_daims[Specificite],MATCH(ChoixRationDaims&amp;DV41,Règles_daims[Ration]&amp;Règles_daims[Aliment],0))="s2",IF(DV41=Spécificité2Daims,1)),
INDEX(Règles_daims[Specificite],MATCH(ChoixRationDaims&amp;DV41,Règles_daims[Ration]&amp;Règles_daims[Aliment],0))="c"),
INDEX(Règles_daims[Valeur 36 et plus],MATCH(ChoixRationDaims&amp;DV41,Règles_daims[Ration]&amp;Règles_daims[Aliment],0)),0),0)*SUM(TotalDaimsAdultes)*SUM(NbreJoursNourrirBisonsDaims))</f>
        <v>0</v>
      </c>
      <c r="DX41" s="1269">
        <f t="array" ref="DX41">IF(ChoixRationComplèteDaims=OUI,0,IFERROR(IF(OR(AND(INDEX(Règles_daims[Specificite],MATCH(ChoixRationDaims&amp;DV41,Règles_daims[Ration]&amp;Règles_daims[Aliment],0))="s1",IF(DV41=Spécificité1Daims,1)),
AND(INDEX(Règles_daims[Specificite],MATCH(ChoixRationDaims&amp;DV41,Règles_daims[Ration]&amp;Règles_daims[Aliment],0))="s2",IF(DV41=Spécificité2Daims,1)),
INDEX(Règles_daims[Specificite],MATCH(ChoixRationDaims&amp;DV41,Règles_daims[Ration]&amp;Règles_daims[Aliment],0))="c"),
INDEX(Règles_daims[Valeur 24-36],MATCH(ChoixRationDaims&amp;DV41,Règles_daims[Ration]&amp;Règles_daims[Aliment],0)),0),0)*SUM(TotalDaims24_36)*SUM(NbreJoursNourrirBisonsDaims))</f>
        <v>0</v>
      </c>
      <c r="DY41" s="1269">
        <f t="array" ref="DY41">IF(ChoixRationComplèteDaims=OUI,0,IFERROR(IF(OR(AND(INDEX(Règles_daims[Specificite],MATCH(ChoixRationDaims&amp;DV41,Règles_daims[Ration]&amp;Règles_daims[Aliment],0))="s1",IF(DV41=Spécificité1Daims,1)),
AND(INDEX(Règles_daims[Specificite],MATCH(ChoixRationDaims&amp;DV41,Règles_daims[Ration]&amp;Règles_daims[Aliment],0))="s2",IF(DV41=Spécificité2Daims,1)),
INDEX(Règles_daims[Specificite],MATCH(ChoixRationDaims&amp;DV41,Règles_daims[Ration]&amp;Règles_daims[Aliment],0))="c"),
INDEX(Règles_daims[Valeur 18-24],MATCH(ChoixRationDaims&amp;DV41,Règles_daims[Ration]&amp;Règles_daims[Aliment],0)),0),0)*SUM(TotalDaims18_24)*SUM(NbreJoursNourrirBisonsDaims))</f>
        <v>0</v>
      </c>
      <c r="DZ41" s="1280">
        <f t="array" ref="DZ41">IF(ChoixRationComplèteDaims=OUI,0,IFERROR(IF(OR(AND(INDEX(Règles_daims[Specificite],MATCH(ChoixRationDaims&amp;DV41,Règles_daims[Ration]&amp;Règles_daims[Aliment],0))="s1",IF(DV41=Spécificité1Daims,1)),
AND(INDEX(Règles_daims[Specificite],MATCH(ChoixRationDaims&amp;DV41,Règles_daims[Ration]&amp;Règles_daims[Aliment],0))="s2",IF(DV41=Spécificité2Daims,1)),
INDEX(Règles_daims[Specificite],MATCH(ChoixRationDaims&amp;DV41,Règles_daims[Ration]&amp;Règles_daims[Aliment],0))="c"),
INDEX(Règles_daims[Valeur 12-18],MATCH(ChoixRationDaims&amp;DV41,Règles_daims[Ration]&amp;Règles_daims[Aliment],0)),0),0)*SUM(TotalDaims12_18)*SUM(NbreJoursNourrirBisonsDaims))</f>
        <v>0</v>
      </c>
      <c r="EA41" s="1280">
        <f t="array" ref="EA41">IF(ChoixRationComplèteDaims=OUI,0,IFERROR(IF(OR(AND(INDEX(Règles_daims[Specificite],MATCH(ChoixRationDaims&amp;DV41,Règles_daims[Ration]&amp;Règles_daims[Aliment],0))="s1",IF(DV41=Spécificité1Daims,1)),
AND(INDEX(Règles_daims[Specificite],MATCH(ChoixRationDaims&amp;DV41,Règles_daims[Ration]&amp;Règles_daims[Aliment],0))="s2",IF(DV41=Spécificité2Daims,1)),
INDEX(Règles_daims[Specificite],MATCH(ChoixRationDaims&amp;DV41,Règles_daims[Ration]&amp;Règles_daims[Aliment],0))="c"),
INDEX(Règles_daims[Valeur 6-12],MATCH(ChoixRationDaims&amp;DV41,Règles_daims[Ration]&amp;Règles_daims[Aliment],0)),0),0)*SUM(TotalDaims6_12)*SUM(NbreJoursNourrirBisonsDaims))</f>
        <v>0</v>
      </c>
      <c r="EB41" s="1280">
        <f t="array" ref="EB41">IF(ChoixRationComplèteDaims=OUI,0,IFERROR(IF(OR(AND(INDEX(Règles_daims[Specificite],MATCH(ChoixRationDaims&amp;DV41,Règles_daims[Ration]&amp;Règles_daims[Aliment],0))="s1",IF(DV41=Spécificité1Daims,1)),
AND(INDEX(Règles_daims[Specificite],MATCH(ChoixRationDaims&amp;DV41,Règles_daims[Ration]&amp;Règles_daims[Aliment],0))="s2",IF(DV41=Spécificité2Daims,1)),
INDEX(Règles_daims[Specificite],MATCH(ChoixRationDaims&amp;DV41,Règles_daims[Ration]&amp;Règles_daims[Aliment],0))="c"),
INDEX(Règles_daims[Valeur 3-6],MATCH(ChoixRationDaims&amp;DV41,Règles_daims[Ration]&amp;Règles_daims[Aliment],0)),0),0)*SUM(TotalDaims3_6)*SUM(NbreJoursNourrirBisonsDaims))</f>
        <v>0</v>
      </c>
      <c r="EC41" s="1280">
        <f t="array" ref="EC41">IF(ChoixRationComplèteDaims=OUI,0,IFERROR(IF(OR(AND(INDEX(Règles_daims[Specificite],MATCH(ChoixRationDaims&amp;DV41,Règles_daims[Ration]&amp;Règles_daims[Aliment],0))="s1",IF(DV41=Spécificité1Daims,1)),
AND(INDEX(Règles_daims[Specificite],MATCH(ChoixRationDaims&amp;DV41,Règles_daims[Ration]&amp;Règles_daims[Aliment],0))="s2",IF(DV41=Spécificité2Daims,1)),
INDEX(Règles_daims[Specificite],MATCH(ChoixRationDaims&amp;DV41,Règles_daims[Ration]&amp;Règles_daims[Aliment],0))="c"),
INDEX(Règles_daims[Valeur 0-3],MATCH(ChoixRationDaims&amp;DV41,Règles_daims[Ration]&amp;Règles_daims[Aliment],0)),0),0)*SUM(TotalDaims0_3)*SUM(NbreJoursNourrirBisonsDaims))</f>
        <v>0</v>
      </c>
      <c r="ED41" s="1280">
        <f t="shared" si="9"/>
        <v>0</v>
      </c>
      <c r="EE41" s="1345"/>
      <c r="EF41" s="1321"/>
      <c r="EG41" s="1176"/>
      <c r="EH41" s="1177"/>
      <c r="EI41" s="1177"/>
      <c r="EJ41" s="1177"/>
      <c r="EK41" s="1177"/>
      <c r="EL41" s="1178"/>
      <c r="EM41" s="1321"/>
      <c r="EN41" s="1176"/>
      <c r="EO41" s="1177"/>
      <c r="EP41" s="1177"/>
      <c r="EQ41" s="1177"/>
      <c r="ER41" s="1177"/>
      <c r="ES41" s="1178"/>
      <c r="ET41" s="1321"/>
      <c r="EU41" s="1217" t="s">
        <v>1481</v>
      </c>
      <c r="EV41" s="1177" t="s">
        <v>672</v>
      </c>
      <c r="EW41" s="1177" t="s">
        <v>1252</v>
      </c>
      <c r="EX41" s="1177">
        <v>6</v>
      </c>
      <c r="EY41" s="1177">
        <v>4</v>
      </c>
      <c r="EZ41" s="1177">
        <v>2.5</v>
      </c>
      <c r="FA41" s="1178">
        <v>1.5</v>
      </c>
      <c r="FB41" s="1345"/>
      <c r="FC41" s="1321"/>
      <c r="FD41" s="1176" t="s">
        <v>1240</v>
      </c>
      <c r="FE41" s="1177" t="s">
        <v>1271</v>
      </c>
      <c r="FF41" s="1177" t="s">
        <v>1252</v>
      </c>
      <c r="FG41" s="1177">
        <v>0.2</v>
      </c>
      <c r="FH41" s="1177">
        <v>0.15</v>
      </c>
      <c r="FI41" s="1177">
        <v>0.1</v>
      </c>
      <c r="FJ41" s="1178">
        <v>0.05</v>
      </c>
      <c r="FK41" s="1345"/>
      <c r="FL41" s="1345"/>
      <c r="FM41" s="1321"/>
      <c r="FN41" s="1176" t="s">
        <v>1240</v>
      </c>
      <c r="FO41" s="1177" t="s">
        <v>672</v>
      </c>
      <c r="FP41" s="1177" t="s">
        <v>1252</v>
      </c>
      <c r="FQ41" s="1177">
        <v>4</v>
      </c>
      <c r="FR41" s="1177">
        <v>3</v>
      </c>
      <c r="FS41" s="1177">
        <v>2</v>
      </c>
      <c r="FT41" s="1178">
        <v>1.5</v>
      </c>
      <c r="FU41" s="1345"/>
      <c r="FV41" s="1345"/>
      <c r="FW41" s="1336" t="s">
        <v>1307</v>
      </c>
      <c r="FX41" s="1336"/>
      <c r="FY41" s="1336"/>
      <c r="FZ41" s="1336"/>
      <c r="GA41" s="1336"/>
      <c r="GB41" s="1336"/>
      <c r="GC41" s="1321"/>
      <c r="GD41" s="1321"/>
      <c r="GE41" s="1149" t="s">
        <v>313</v>
      </c>
      <c r="GF41" s="1321"/>
      <c r="GG41" s="1149" t="s">
        <v>1495</v>
      </c>
      <c r="GH41" s="1321" t="s">
        <v>1349</v>
      </c>
      <c r="GI41" s="1321" t="s">
        <v>1349</v>
      </c>
      <c r="GJ41" s="1321" t="s">
        <v>1349</v>
      </c>
      <c r="GK41" s="1321" t="s">
        <v>1349</v>
      </c>
      <c r="GL41" s="1321" t="s">
        <v>1349</v>
      </c>
      <c r="GM41" s="1321" t="s">
        <v>1349</v>
      </c>
      <c r="GN41" s="1321" t="s">
        <v>1349</v>
      </c>
      <c r="GO41" s="1321" t="s">
        <v>1349</v>
      </c>
      <c r="GP41" s="1321" t="s">
        <v>1349</v>
      </c>
      <c r="GQ41" s="1321" t="s">
        <v>1349</v>
      </c>
      <c r="GR41" s="1321" t="s">
        <v>1349</v>
      </c>
      <c r="GS41" s="1321" t="s">
        <v>1349</v>
      </c>
      <c r="GT41" s="1321" t="s">
        <v>1349</v>
      </c>
      <c r="GU41" s="1321" t="s">
        <v>1349</v>
      </c>
      <c r="GV41" s="1321" t="s">
        <v>1349</v>
      </c>
      <c r="GW41" s="1321"/>
      <c r="GX41" s="1321"/>
      <c r="GY41" s="1082" t="str">
        <f t="shared" si="11"/>
        <v>semences de ray-grass anglais</v>
      </c>
      <c r="GZ41" s="1082"/>
      <c r="HA41" s="1085"/>
      <c r="HB41" s="1085">
        <f>IF(COUNTIF(TypeArticleDansEntrepôt,GY41)=0,0,SUMIF(TypeArticleDansEntrepôt,GY41,QtéArticleDansEntrepôt)*VLOOKUP(GY41,place_necessaire_entrepots_aire_paille[],2,FALSE))</f>
        <v>0</v>
      </c>
      <c r="HC41" s="1321"/>
      <c r="HD41" s="1321"/>
      <c r="HE41" s="1321"/>
      <c r="HF41" s="1321"/>
      <c r="HG41" s="1321"/>
      <c r="HH41" s="1321"/>
      <c r="HI41" s="1321"/>
      <c r="HJ41" s="1321"/>
      <c r="HK41" s="1149" t="s">
        <v>1567</v>
      </c>
      <c r="HL41" s="1159">
        <f>AVERAGE(0.51,0.65)*1000</f>
        <v>580.00000000000011</v>
      </c>
      <c r="HM41" s="1321"/>
      <c r="HN41" s="1336" t="s">
        <v>1623</v>
      </c>
      <c r="HO41" s="1336"/>
      <c r="HP41" s="1336"/>
      <c r="HQ41" s="1336"/>
      <c r="HR41" s="1336"/>
      <c r="HS41" s="1336"/>
      <c r="HT41" s="1336"/>
      <c r="HU41" s="1336"/>
      <c r="HV41" s="1336"/>
      <c r="HW41" s="1336"/>
      <c r="HX41" s="1336"/>
      <c r="HY41" s="1336"/>
      <c r="HZ41" s="1336"/>
      <c r="IA41" s="1336"/>
      <c r="IB41" s="1336"/>
      <c r="IC41" s="1336"/>
      <c r="ID41" s="1336"/>
      <c r="IE41" s="1336"/>
      <c r="IF41" s="1336"/>
      <c r="IG41" s="1336"/>
      <c r="IH41" s="1336"/>
      <c r="II41" s="1336"/>
      <c r="IJ41" s="1336"/>
      <c r="IK41" s="1336"/>
      <c r="IL41" s="1336"/>
      <c r="IM41" s="1336"/>
      <c r="IN41" s="1368"/>
    </row>
    <row r="42" spans="1:248" ht="12.75" customHeight="1" x14ac:dyDescent="0.2">
      <c r="A42" s="1307" t="s">
        <v>1079</v>
      </c>
      <c r="B42" s="1177" t="s">
        <v>354</v>
      </c>
      <c r="C42" s="1177">
        <v>0.3</v>
      </c>
      <c r="D42" s="1178">
        <v>0</v>
      </c>
      <c r="E42" s="1321"/>
      <c r="F42" s="1149" t="s">
        <v>846</v>
      </c>
      <c r="G42" s="1149"/>
      <c r="H42" s="1149"/>
      <c r="I42" s="1149">
        <v>3</v>
      </c>
      <c r="J42" s="1321"/>
      <c r="K42" s="1321"/>
      <c r="L42" s="1321"/>
      <c r="M42" s="1321"/>
      <c r="N42" s="1321"/>
      <c r="O42" s="1149" t="s">
        <v>526</v>
      </c>
      <c r="P42" s="1149">
        <v>5.7</v>
      </c>
      <c r="Q42" s="1149">
        <v>5.6</v>
      </c>
      <c r="R42" s="1149">
        <v>5</v>
      </c>
      <c r="S42" s="1149">
        <v>4.3</v>
      </c>
      <c r="T42" s="1149">
        <v>4.2</v>
      </c>
      <c r="U42" s="1149">
        <v>4.9000000000000004</v>
      </c>
      <c r="V42" s="1149"/>
      <c r="W42" s="1149">
        <v>9</v>
      </c>
      <c r="X42" s="1149">
        <v>13.2</v>
      </c>
      <c r="Y42" s="1149">
        <v>0</v>
      </c>
      <c r="Z42" s="1149">
        <v>2.7</v>
      </c>
      <c r="AA42" s="1149">
        <v>2.2999999999999998</v>
      </c>
      <c r="AB42" s="1149">
        <v>3.5</v>
      </c>
      <c r="AC42" s="1149">
        <v>2.2999999999999998</v>
      </c>
      <c r="AD42" s="1149">
        <v>2.6</v>
      </c>
      <c r="AE42" s="1149">
        <v>0</v>
      </c>
      <c r="AF42" s="1149">
        <v>33.9</v>
      </c>
      <c r="AG42" s="1149">
        <v>0.8</v>
      </c>
      <c r="AH42" s="1149">
        <v>7</v>
      </c>
      <c r="AI42" s="1149">
        <v>0</v>
      </c>
      <c r="AJ42" s="1149">
        <v>12</v>
      </c>
      <c r="AK42" s="1149">
        <v>0</v>
      </c>
      <c r="AL42" s="1149">
        <v>12.1</v>
      </c>
      <c r="AM42" s="1149"/>
      <c r="AN42" s="1149">
        <v>2.8</v>
      </c>
      <c r="AO42" s="1149">
        <v>42</v>
      </c>
      <c r="AP42" s="1149">
        <v>33</v>
      </c>
      <c r="AQ42" s="1149">
        <v>16</v>
      </c>
      <c r="AR42" s="1149">
        <v>10</v>
      </c>
      <c r="AS42" s="1149">
        <v>13</v>
      </c>
      <c r="AT42" s="1149">
        <v>0</v>
      </c>
      <c r="AU42" s="1149">
        <v>3</v>
      </c>
      <c r="AV42" s="1149">
        <v>0</v>
      </c>
      <c r="AW42" s="1149">
        <v>8.5</v>
      </c>
      <c r="AX42" s="1149">
        <v>10</v>
      </c>
      <c r="AY42" s="1149">
        <v>10</v>
      </c>
      <c r="AZ42" s="1321"/>
      <c r="BA42" s="1321"/>
      <c r="BB42" s="1321"/>
      <c r="BC42" s="1321"/>
      <c r="BD42" s="1321"/>
      <c r="BE42" s="1321"/>
      <c r="BF42" s="1321"/>
      <c r="BG42" s="1321"/>
      <c r="BH42" s="1321"/>
      <c r="BI42" s="1321"/>
      <c r="BJ42" s="1321"/>
      <c r="BK42" s="1345"/>
      <c r="BL42" s="1348"/>
      <c r="BM42" s="1076" t="s">
        <v>714</v>
      </c>
      <c r="BN42" s="1076">
        <f t="array" ref="BN42">IF(Ration_hivernale_complète_bisons[somme]&gt;0,0,IFERROR(IF(OR(AND(INDEX(Règles_bison[Specificite],MATCH(ChoixRationBisons&amp;$BM42,Règles_bison[Ration]&amp;Règles_bison[Aliment],0))="s1",IF($BM42=ChoixSpécificité1Bisons,1)),
AND(INDEX(Règles_bison[Specificite],MATCH(ChoixRationBisons&amp;$BM42,Règles_bison[Ration]&amp;Règles_bison[Aliment],0))="s2",IF($BM42=ChoixSpécificité2Bisons,1)),INDEX(Règles_bison[Specificite],MATCH(ChoixRationBisons&amp;$BM42,Règles_bison[Ration]&amp;Règles_bison[Aliment],0))="c"),
INDEX(Règles_bison[Valeur 36 et plus],MATCH(ChoixRationBisons&amp;$BM42,Règles_bison[Ration]&amp;Règles_bison[Aliment],0)),0),0)*TotalBisonsMalesAdultes*SUM(NbreJoursNourrirBisonsDaims))</f>
        <v>0</v>
      </c>
      <c r="BO42" s="1076">
        <f t="array" ref="BO42">IF(Ration_hivernale_complète_bisons[somme]&gt;0,0,IFERROR(IF(OR(AND(INDEX(Règles_bison[Specificite],MATCH(ChoixRationBisons&amp;$BM42,Règles_bison[Ration]&amp;Règles_bison[Aliment],0))="s1",IF($BM42=ChoixSpécificité1Bisons,1)),
AND(INDEX(Règles_bison[Specificite],MATCH(ChoixRationBisons&amp;$BM42,Règles_bison[Ration]&amp;Règles_bison[Aliment],0))="s2",IF($BM42=ChoixSpécificité2Bisons,1)),INDEX(Règles_bison[Specificite],MATCH(ChoixRationBisons&amp;$BM42,Règles_bison[Ration]&amp;Règles_bison[Aliment],0))="c"),
INDEX(Règles_bison[Valeur 24-36],MATCH(ChoixRationBisons&amp;$BM42,Règles_bison[Ration]&amp;Règles_bison[Aliment],0)),0),0)*TotalBisonsMales_24_36_mois*SUM(NbreJoursNourrirBisonsDaims))</f>
        <v>0</v>
      </c>
      <c r="BP42" s="1076">
        <f t="array" ref="BP42">IF(Ration_hivernale_complète_bisons[somme]&gt;0,0,IFERROR(IF(OR(AND(INDEX(Règles_bison[Specificite],MATCH(ChoixRationBisons&amp;$BM42,Règles_bison[Ration]&amp;Règles_bison[Aliment],0))="s1",IF($BM42=ChoixSpécificité1Bisons,1)),
AND(INDEX(Règles_bison[Specificite],MATCH(ChoixRationBisons&amp;$BM42,Règles_bison[Ration]&amp;Règles_bison[Aliment],0))="s2",IF($BM42=ChoixSpécificité2Bisons,1)),INDEX(Règles_bison[Specificite],MATCH(ChoixRationBisons&amp;$BM42,Règles_bison[Ration]&amp;Règles_bison[Aliment],0))="c"),
INDEX(Règles_bison[Valeur 18-24],MATCH(ChoixRationBisons&amp;$BM42,Règles_bison[Ration]&amp;Règles_bison[Aliment],0)),0),0)*TotalBisonsMales_18_24_mois*SUM(NbreJoursNourrirBisonsDaims))</f>
        <v>0</v>
      </c>
      <c r="BQ42" s="1076">
        <f t="array" ref="BQ42">IF(Ration_hivernale_complète_bisons[somme]&gt;0,0,IFERROR(IF(OR(AND(INDEX(Règles_bison[Specificite],MATCH(ChoixRationBisons&amp;$BM42,Règles_bison[Ration]&amp;Règles_bison[Aliment],0))="s1",IF($BM42=ChoixSpécificité1Bisons,1)),
AND(INDEX(Règles_bison[Specificite],MATCH(ChoixRationBisons&amp;$BM42,Règles_bison[Ration]&amp;Règles_bison[Aliment],0))="s2",IF($BM42=ChoixSpécificité2Bisons,1)),INDEX(Règles_bison[Specificite],MATCH(ChoixRationBisons&amp;$BM42,Règles_bison[Ration]&amp;Règles_bison[Aliment],0))="c"),
INDEX(Règles_bison[Valeur 12-18],MATCH(ChoixRationBisons&amp;$BM42,Règles_bison[Ration]&amp;Règles_bison[Aliment],0)),0),0)*TotalBisonsMales_12_18_mois*SUM(NbreJoursNourrirBisonsDaims))</f>
        <v>0</v>
      </c>
      <c r="BR42" s="1076">
        <f t="array" ref="BR42">IF(Ration_hivernale_complète_bisons[somme]&gt;0,0,IFERROR(IF(OR(AND(INDEX(Règles_bison[Specificite],MATCH(ChoixRationBisons&amp;$BM42,Règles_bison[Ration]&amp;Règles_bison[Aliment],0))="s1",IF($BM42=ChoixSpécificité1Bisons,1)),
AND(INDEX(Règles_bison[Specificite],MATCH(ChoixRationBisons&amp;$BM42,Règles_bison[Ration]&amp;Règles_bison[Aliment],0))="s2",IF($BM42=ChoixSpécificité2Bisons,1)),INDEX(Règles_bison[Specificite],MATCH(ChoixRationBisons&amp;$BM42,Règles_bison[Ration]&amp;Règles_bison[Aliment],0))="c"),
INDEX(Règles_bison[Valeur 6-12],MATCH(ChoixRationBisons&amp;$BM42,Règles_bison[Ration]&amp;Règles_bison[Aliment],0)),0),0)*TotalBisonsMales_6_12_mois*SUM(NbreJoursNourrirBisonsDaims))</f>
        <v>0</v>
      </c>
      <c r="BS42" s="1076">
        <f t="array" ref="BS42">IF(Ration_hivernale_complète_bisons[somme]&gt;0,0,IFERROR(IF(OR(AND(INDEX(Règles_bison[Specificite],MATCH(ChoixRationBisons&amp;$BM42,Règles_bison[Ration]&amp;Règles_bison[Aliment],0))="s1",IF($BM42=ChoixSpécificité1Bisons,1)),
AND(INDEX(Règles_bison[Specificite],MATCH(ChoixRationBisons&amp;$BM42,Règles_bison[Ration]&amp;Règles_bison[Aliment],0))="s2",IF($BM42=ChoixSpécificité2Bisons,1)),INDEX(Règles_bison[Specificite],MATCH(ChoixRationBisons&amp;$BM42,Règles_bison[Ration]&amp;Règles_bison[Aliment],0))="c"),
INDEX(Règles_bison[Valeur 3-6],MATCH(ChoixRationBisons&amp;$BM42,Règles_bison[Ration]&amp;Règles_bison[Aliment],0)),0),0)*TotalBisonsMales_3_6_mois*SUM(NbreJoursNourrirBisonsDaims))</f>
        <v>0</v>
      </c>
      <c r="BT42" s="1076">
        <f t="array" ref="BT42">IF(Ration_hivernale_complète_bisons[somme]&gt;0,0,IFERROR(IF(OR(AND(INDEX(Règles_bison[Specificite],MATCH(ChoixRationBisons&amp;$BM42,Règles_bison[Ration]&amp;Règles_bison[Aliment],0))="s1",IF($BM42=ChoixSpécificité1Bisons,1)),
AND(INDEX(Règles_bison[Specificite],MATCH(ChoixRationBisons&amp;$BM42,Règles_bison[Ration]&amp;Règles_bison[Aliment],0))="s2",IF($BM42=ChoixSpécificité2Bisons,1)),INDEX(Règles_bison[Specificite],MATCH(ChoixRationBisons&amp;$BM42,Règles_bison[Ration]&amp;Règles_bison[Aliment],0))="c"),
INDEX(Règles_bison[Valeur 0-3],MATCH(ChoixRationBisons&amp;$BM42,Règles_bison[Ration]&amp;Règles_bison[Aliment],0)),0),0)*TotalBisonsMales_0_3_mois*SUM(NbreJoursNourrirBisonsDaims))</f>
        <v>0</v>
      </c>
      <c r="BU42" s="1076">
        <f t="shared" si="10"/>
        <v>0</v>
      </c>
      <c r="BV42" s="1345"/>
      <c r="BW42" s="1345"/>
      <c r="BX42" s="1321"/>
      <c r="BY42" s="1149" t="s">
        <v>1051</v>
      </c>
      <c r="BZ42" s="1149">
        <v>620</v>
      </c>
      <c r="CA42" s="1321"/>
      <c r="CB42" s="1149" t="s">
        <v>1051</v>
      </c>
      <c r="CC42" s="1149">
        <v>744</v>
      </c>
      <c r="CD42" s="1345"/>
      <c r="CE42" s="1345"/>
      <c r="CF42" s="1345"/>
      <c r="CG42" s="1345"/>
      <c r="CH42" s="1345"/>
      <c r="CI42" s="1321"/>
      <c r="CJ42" s="1176"/>
      <c r="CK42" s="1177"/>
      <c r="CL42" s="1177"/>
      <c r="CM42" s="1177"/>
      <c r="CN42" s="1177"/>
      <c r="CO42" s="1177"/>
      <c r="CP42" s="1177"/>
      <c r="CQ42" s="1178"/>
      <c r="CR42" s="1321"/>
      <c r="CS42" s="1176" t="s">
        <v>1292</v>
      </c>
      <c r="CT42" s="1177" t="s">
        <v>297</v>
      </c>
      <c r="CU42" s="1177" t="s">
        <v>1254</v>
      </c>
      <c r="CV42" s="1177">
        <v>0.16</v>
      </c>
      <c r="CW42" s="1177">
        <v>0.104</v>
      </c>
      <c r="CX42" s="1178">
        <v>0</v>
      </c>
      <c r="CY42" s="1321"/>
      <c r="CZ42" s="1176" t="s">
        <v>1293</v>
      </c>
      <c r="DA42" s="1177" t="s">
        <v>733</v>
      </c>
      <c r="DB42" s="1177" t="s">
        <v>1252</v>
      </c>
      <c r="DC42" s="1177">
        <v>1</v>
      </c>
      <c r="DD42" s="1177">
        <v>0.6</v>
      </c>
      <c r="DE42" s="1178">
        <v>0.2</v>
      </c>
      <c r="DF42" s="1321"/>
      <c r="DG42" s="1176"/>
      <c r="DH42" s="1177"/>
      <c r="DI42" s="1177"/>
      <c r="DJ42" s="1177"/>
      <c r="DK42" s="1177"/>
      <c r="DL42" s="1178"/>
      <c r="DM42" s="1321"/>
      <c r="DN42" s="1328" t="s">
        <v>766</v>
      </c>
      <c r="DO42" s="1321"/>
      <c r="DP42" s="1321"/>
      <c r="DQ42" s="1321"/>
      <c r="DR42" s="1321"/>
      <c r="DS42" s="1345"/>
      <c r="DT42" s="1346"/>
      <c r="DU42" s="1346"/>
      <c r="DV42" s="1076" t="s">
        <v>728</v>
      </c>
      <c r="DW42" s="1267">
        <f t="array" ref="DW42">IF(ChoixRationComplèteDaims=OUI,0,IFERROR(IF(OR(AND(INDEX(Règles_daims[Specificite],MATCH(ChoixRationDaims&amp;DV42,Règles_daims[Ration]&amp;Règles_daims[Aliment],0))="s1",IF(DV42=Spécificité1Daims,1)),
AND(INDEX(Règles_daims[Specificite],MATCH(ChoixRationDaims&amp;DV42,Règles_daims[Ration]&amp;Règles_daims[Aliment],0))="s2",IF(DV42=Spécificité2Daims,1)),
INDEX(Règles_daims[Specificite],MATCH(ChoixRationDaims&amp;DV42,Règles_daims[Ration]&amp;Règles_daims[Aliment],0))="c"),
INDEX(Règles_daims[Valeur 36 et plus],MATCH(ChoixRationDaims&amp;DV42,Règles_daims[Ration]&amp;Règles_daims[Aliment],0)),0),0)*SUM(TotalDaimsAdultes)*SUM(NbreJoursNourrirBisonsDaims))</f>
        <v>0</v>
      </c>
      <c r="DX42" s="1267">
        <f t="array" ref="DX42">IF(ChoixRationComplèteDaims=OUI,0,IFERROR(IF(OR(AND(INDEX(Règles_daims[Specificite],MATCH(ChoixRationDaims&amp;DV42,Règles_daims[Ration]&amp;Règles_daims[Aliment],0))="s1",IF(DV42=Spécificité1Daims,1)),
AND(INDEX(Règles_daims[Specificite],MATCH(ChoixRationDaims&amp;DV42,Règles_daims[Ration]&amp;Règles_daims[Aliment],0))="s2",IF(DV42=Spécificité2Daims,1)),
INDEX(Règles_daims[Specificite],MATCH(ChoixRationDaims&amp;DV42,Règles_daims[Ration]&amp;Règles_daims[Aliment],0))="c"),
INDEX(Règles_daims[Valeur 24-36],MATCH(ChoixRationDaims&amp;DV42,Règles_daims[Ration]&amp;Règles_daims[Aliment],0)),0),0)*SUM(TotalDaims24_36)*SUM(NbreJoursNourrirBisonsDaims))</f>
        <v>0</v>
      </c>
      <c r="DY42" s="1267">
        <f t="array" ref="DY42">IF(ChoixRationComplèteDaims=OUI,0,IFERROR(IF(OR(AND(INDEX(Règles_daims[Specificite],MATCH(ChoixRationDaims&amp;DV42,Règles_daims[Ration]&amp;Règles_daims[Aliment],0))="s1",IF(DV42=Spécificité1Daims,1)),
AND(INDEX(Règles_daims[Specificite],MATCH(ChoixRationDaims&amp;DV42,Règles_daims[Ration]&amp;Règles_daims[Aliment],0))="s2",IF(DV42=Spécificité2Daims,1)),
INDEX(Règles_daims[Specificite],MATCH(ChoixRationDaims&amp;DV42,Règles_daims[Ration]&amp;Règles_daims[Aliment],0))="c"),
INDEX(Règles_daims[Valeur 18-24],MATCH(ChoixRationDaims&amp;DV42,Règles_daims[Ration]&amp;Règles_daims[Aliment],0)),0),0)*SUM(TotalDaims18_24)*SUM(NbreJoursNourrirBisonsDaims))</f>
        <v>0</v>
      </c>
      <c r="DZ42" s="1279">
        <f t="array" ref="DZ42">IF(ChoixRationComplèteDaims=OUI,0,IFERROR(IF(OR(AND(INDEX(Règles_daims[Specificite],MATCH(ChoixRationDaims&amp;DV42,Règles_daims[Ration]&amp;Règles_daims[Aliment],0))="s1",IF(DV42=Spécificité1Daims,1)),
AND(INDEX(Règles_daims[Specificite],MATCH(ChoixRationDaims&amp;DV42,Règles_daims[Ration]&amp;Règles_daims[Aliment],0))="s2",IF(DV42=Spécificité2Daims,1)),
INDEX(Règles_daims[Specificite],MATCH(ChoixRationDaims&amp;DV42,Règles_daims[Ration]&amp;Règles_daims[Aliment],0))="c"),
INDEX(Règles_daims[Valeur 12-18],MATCH(ChoixRationDaims&amp;DV42,Règles_daims[Ration]&amp;Règles_daims[Aliment],0)),0),0)*SUM(TotalDaims12_18)*SUM(NbreJoursNourrirBisonsDaims))</f>
        <v>0</v>
      </c>
      <c r="EA42" s="1279">
        <f t="array" ref="EA42">IF(ChoixRationComplèteDaims=OUI,0,IFERROR(IF(OR(AND(INDEX(Règles_daims[Specificite],MATCH(ChoixRationDaims&amp;DV42,Règles_daims[Ration]&amp;Règles_daims[Aliment],0))="s1",IF(DV42=Spécificité1Daims,1)),
AND(INDEX(Règles_daims[Specificite],MATCH(ChoixRationDaims&amp;DV42,Règles_daims[Ration]&amp;Règles_daims[Aliment],0))="s2",IF(DV42=Spécificité2Daims,1)),
INDEX(Règles_daims[Specificite],MATCH(ChoixRationDaims&amp;DV42,Règles_daims[Ration]&amp;Règles_daims[Aliment],0))="c"),
INDEX(Règles_daims[Valeur 6-12],MATCH(ChoixRationDaims&amp;DV42,Règles_daims[Ration]&amp;Règles_daims[Aliment],0)),0),0)*SUM(TotalDaims6_12)*SUM(NbreJoursNourrirBisonsDaims))</f>
        <v>0</v>
      </c>
      <c r="EB42" s="1279">
        <f t="array" ref="EB42">IF(ChoixRationComplèteDaims=OUI,0,IFERROR(IF(OR(AND(INDEX(Règles_daims[Specificite],MATCH(ChoixRationDaims&amp;DV42,Règles_daims[Ration]&amp;Règles_daims[Aliment],0))="s1",IF(DV42=Spécificité1Daims,1)),
AND(INDEX(Règles_daims[Specificite],MATCH(ChoixRationDaims&amp;DV42,Règles_daims[Ration]&amp;Règles_daims[Aliment],0))="s2",IF(DV42=Spécificité2Daims,1)),
INDEX(Règles_daims[Specificite],MATCH(ChoixRationDaims&amp;DV42,Règles_daims[Ration]&amp;Règles_daims[Aliment],0))="c"),
INDEX(Règles_daims[Valeur 3-6],MATCH(ChoixRationDaims&amp;DV42,Règles_daims[Ration]&amp;Règles_daims[Aliment],0)),0),0)*SUM(TotalDaims3_6)*SUM(NbreJoursNourrirBisonsDaims))</f>
        <v>0</v>
      </c>
      <c r="EC42" s="1279">
        <f t="array" ref="EC42">IF(ChoixRationComplèteDaims=OUI,0,IFERROR(IF(OR(AND(INDEX(Règles_daims[Specificite],MATCH(ChoixRationDaims&amp;DV42,Règles_daims[Ration]&amp;Règles_daims[Aliment],0))="s1",IF(DV42=Spécificité1Daims,1)),
AND(INDEX(Règles_daims[Specificite],MATCH(ChoixRationDaims&amp;DV42,Règles_daims[Ration]&amp;Règles_daims[Aliment],0))="s2",IF(DV42=Spécificité2Daims,1)),
INDEX(Règles_daims[Specificite],MATCH(ChoixRationDaims&amp;DV42,Règles_daims[Ration]&amp;Règles_daims[Aliment],0))="c"),
INDEX(Règles_daims[Valeur 0-3],MATCH(ChoixRationDaims&amp;DV42,Règles_daims[Ration]&amp;Règles_daims[Aliment],0)),0),0)*SUM(TotalDaims0_3)*SUM(NbreJoursNourrirBisonsDaims))</f>
        <v>0</v>
      </c>
      <c r="ED42" s="1279">
        <f t="shared" si="9"/>
        <v>0</v>
      </c>
      <c r="EE42" s="1345"/>
      <c r="EF42" s="1321"/>
      <c r="EG42" s="1176"/>
      <c r="EH42" s="1177"/>
      <c r="EI42" s="1177"/>
      <c r="EJ42" s="1177"/>
      <c r="EK42" s="1177"/>
      <c r="EL42" s="1178"/>
      <c r="EM42" s="1321"/>
      <c r="EN42" s="1176"/>
      <c r="EO42" s="1177"/>
      <c r="EP42" s="1177"/>
      <c r="EQ42" s="1177"/>
      <c r="ER42" s="1177"/>
      <c r="ES42" s="1178"/>
      <c r="ET42" s="1321"/>
      <c r="EU42" s="1217" t="s">
        <v>1481</v>
      </c>
      <c r="EV42" s="1177" t="s">
        <v>339</v>
      </c>
      <c r="EW42" s="1177" t="s">
        <v>1252</v>
      </c>
      <c r="EX42" s="1177">
        <v>6</v>
      </c>
      <c r="EY42" s="1177">
        <v>4</v>
      </c>
      <c r="EZ42" s="1177">
        <v>2.5</v>
      </c>
      <c r="FA42" s="1178">
        <v>1.5</v>
      </c>
      <c r="FB42" s="1345"/>
      <c r="FC42" s="1321"/>
      <c r="FD42" s="1176" t="s">
        <v>1240</v>
      </c>
      <c r="FE42" s="1177" t="s">
        <v>672</v>
      </c>
      <c r="FF42" s="1177" t="s">
        <v>1252</v>
      </c>
      <c r="FG42" s="1177">
        <v>6</v>
      </c>
      <c r="FH42" s="1177">
        <v>4</v>
      </c>
      <c r="FI42" s="1177">
        <v>3</v>
      </c>
      <c r="FJ42" s="1178">
        <v>1.5</v>
      </c>
      <c r="FK42" s="1345"/>
      <c r="FL42" s="1345"/>
      <c r="FM42" s="1321"/>
      <c r="FN42" s="1176" t="s">
        <v>1240</v>
      </c>
      <c r="FO42" s="1177" t="s">
        <v>219</v>
      </c>
      <c r="FP42" s="1177" t="s">
        <v>1252</v>
      </c>
      <c r="FQ42" s="1177">
        <v>3</v>
      </c>
      <c r="FR42" s="1177">
        <v>2</v>
      </c>
      <c r="FS42" s="1177">
        <v>1.5</v>
      </c>
      <c r="FT42" s="1178">
        <v>1</v>
      </c>
      <c r="FU42" s="1345"/>
      <c r="FV42" s="1345"/>
      <c r="FW42" s="789" t="s">
        <v>1276</v>
      </c>
      <c r="FX42" s="833" t="s">
        <v>1290</v>
      </c>
      <c r="FY42" s="790" t="s">
        <v>1312</v>
      </c>
      <c r="FZ42" s="790" t="s">
        <v>1311</v>
      </c>
      <c r="GA42" s="790" t="s">
        <v>1284</v>
      </c>
      <c r="GB42" s="791" t="s">
        <v>1269</v>
      </c>
      <c r="GC42" s="1321"/>
      <c r="GD42" s="1321"/>
      <c r="GE42" s="1143" t="s">
        <v>1</v>
      </c>
      <c r="GF42" s="1321"/>
      <c r="GG42" s="1143" t="s">
        <v>221</v>
      </c>
      <c r="GH42" s="1321" t="s">
        <v>1349</v>
      </c>
      <c r="GI42" s="1321" t="s">
        <v>1349</v>
      </c>
      <c r="GJ42" s="1321" t="s">
        <v>1349</v>
      </c>
      <c r="GK42" s="1321" t="s">
        <v>1349</v>
      </c>
      <c r="GL42" s="1321" t="s">
        <v>1349</v>
      </c>
      <c r="GM42" s="1321" t="s">
        <v>1349</v>
      </c>
      <c r="GN42" s="1321" t="s">
        <v>1349</v>
      </c>
      <c r="GO42" s="1321" t="s">
        <v>1349</v>
      </c>
      <c r="GP42" s="1321" t="s">
        <v>1349</v>
      </c>
      <c r="GQ42" s="1321" t="s">
        <v>1349</v>
      </c>
      <c r="GR42" s="1321" t="s">
        <v>1349</v>
      </c>
      <c r="GS42" s="1321" t="s">
        <v>1349</v>
      </c>
      <c r="GT42" s="1321" t="s">
        <v>1349</v>
      </c>
      <c r="GU42" s="1321" t="s">
        <v>1349</v>
      </c>
      <c r="GV42" s="1321" t="s">
        <v>1349</v>
      </c>
      <c r="GW42" s="1321"/>
      <c r="GX42" s="1321"/>
      <c r="GY42" s="1083" t="str">
        <f t="shared" si="11"/>
        <v>semences de dactyle</v>
      </c>
      <c r="GZ42" s="1083"/>
      <c r="HA42" s="1084"/>
      <c r="HB42" s="1084">
        <f>IF(COUNTIF(TypeArticleDansEntrepôt,GY42)=0,0,SUMIF(TypeArticleDansEntrepôt,GY42,QtéArticleDansEntrepôt)*VLOOKUP(GY42,place_necessaire_entrepots_aire_paille[],2,FALSE))</f>
        <v>0</v>
      </c>
      <c r="HC42" s="1321"/>
      <c r="HD42" s="1321"/>
      <c r="HE42" s="1321"/>
      <c r="HF42" s="1321"/>
      <c r="HG42" s="1321"/>
      <c r="HH42" s="1321"/>
      <c r="HI42" s="1321"/>
      <c r="HJ42" s="1321"/>
      <c r="HK42" s="1143" t="s">
        <v>1571</v>
      </c>
      <c r="HL42" s="1152">
        <f>AVERAGE(0.9,1.1)*1000</f>
        <v>1000</v>
      </c>
      <c r="HM42" s="1321"/>
      <c r="HN42" s="1289"/>
      <c r="HO42" s="1741" t="s">
        <v>1553</v>
      </c>
      <c r="HP42" s="1741"/>
      <c r="HQ42" s="1741"/>
      <c r="HR42" s="1741"/>
      <c r="HS42" s="1741"/>
      <c r="HT42" s="1741"/>
      <c r="HU42" s="1741" t="s">
        <v>1554</v>
      </c>
      <c r="HV42" s="1741"/>
      <c r="HW42" s="1741"/>
      <c r="HX42" s="1289"/>
      <c r="HY42" s="1289"/>
      <c r="HZ42" s="1289"/>
      <c r="IA42" s="1289"/>
      <c r="IB42" s="1741" t="s">
        <v>1553</v>
      </c>
      <c r="IC42" s="1741"/>
      <c r="ID42" s="1741"/>
      <c r="IE42" s="1741"/>
      <c r="IF42" s="1741"/>
      <c r="IG42" s="1741"/>
      <c r="IH42" s="1741" t="s">
        <v>1554</v>
      </c>
      <c r="II42" s="1741"/>
      <c r="IJ42" s="1741"/>
      <c r="IK42" s="1289"/>
      <c r="IL42" s="1289"/>
      <c r="IM42" s="1289"/>
      <c r="IN42" s="1368"/>
    </row>
    <row r="43" spans="1:248" ht="12.75" customHeight="1" x14ac:dyDescent="0.2">
      <c r="A43" s="1307" t="s">
        <v>1081</v>
      </c>
      <c r="B43" s="1177" t="s">
        <v>354</v>
      </c>
      <c r="C43" s="1177">
        <v>0.3</v>
      </c>
      <c r="D43" s="1178">
        <v>0</v>
      </c>
      <c r="E43" s="1321"/>
      <c r="F43" s="1143" t="s">
        <v>847</v>
      </c>
      <c r="G43" s="1143"/>
      <c r="H43" s="1143"/>
      <c r="I43" s="1143">
        <v>3</v>
      </c>
      <c r="J43" s="1321"/>
      <c r="K43" s="1321"/>
      <c r="L43" s="1321"/>
      <c r="M43" s="1321"/>
      <c r="N43" s="1321"/>
      <c r="O43" s="1143" t="s">
        <v>527</v>
      </c>
      <c r="P43" s="1143">
        <v>6.2</v>
      </c>
      <c r="Q43" s="1143">
        <v>5.5</v>
      </c>
      <c r="R43" s="1143">
        <v>4.5</v>
      </c>
      <c r="S43" s="1143">
        <v>3.5</v>
      </c>
      <c r="T43" s="1143">
        <v>3.2</v>
      </c>
      <c r="U43" s="1143">
        <v>5.0999999999999996</v>
      </c>
      <c r="V43" s="1143"/>
      <c r="W43" s="1143">
        <v>9.1</v>
      </c>
      <c r="X43" s="1143">
        <v>10.3</v>
      </c>
      <c r="Y43" s="1143">
        <v>60</v>
      </c>
      <c r="Z43" s="1143">
        <v>3</v>
      </c>
      <c r="AA43" s="1143">
        <v>2.5</v>
      </c>
      <c r="AB43" s="1143">
        <v>2.9</v>
      </c>
      <c r="AC43" s="1143">
        <v>2.5</v>
      </c>
      <c r="AD43" s="1143">
        <v>2.5</v>
      </c>
      <c r="AE43" s="1143">
        <v>0</v>
      </c>
      <c r="AF43" s="1143">
        <v>29.7</v>
      </c>
      <c r="AG43" s="1143">
        <v>0</v>
      </c>
      <c r="AH43" s="1143">
        <v>0</v>
      </c>
      <c r="AI43" s="1143">
        <v>0</v>
      </c>
      <c r="AJ43" s="1143">
        <v>0</v>
      </c>
      <c r="AK43" s="1143">
        <v>1.5</v>
      </c>
      <c r="AL43" s="1143">
        <v>11</v>
      </c>
      <c r="AM43" s="1143"/>
      <c r="AN43" s="1143">
        <v>2.6</v>
      </c>
      <c r="AO43" s="1143">
        <v>28</v>
      </c>
      <c r="AP43" s="1143">
        <v>0</v>
      </c>
      <c r="AQ43" s="1143">
        <v>0</v>
      </c>
      <c r="AR43" s="1143">
        <v>0</v>
      </c>
      <c r="AS43" s="1143">
        <v>0</v>
      </c>
      <c r="AT43" s="1143">
        <v>0</v>
      </c>
      <c r="AU43" s="1143">
        <v>0</v>
      </c>
      <c r="AV43" s="1143">
        <v>0</v>
      </c>
      <c r="AW43" s="1143">
        <v>8.5</v>
      </c>
      <c r="AX43" s="1143">
        <v>10</v>
      </c>
      <c r="AY43" s="1143">
        <v>10</v>
      </c>
      <c r="AZ43" s="1321"/>
      <c r="BA43" s="1321"/>
      <c r="BB43" s="1321"/>
      <c r="BC43" s="1328" t="s">
        <v>1040</v>
      </c>
      <c r="BD43" s="1320"/>
      <c r="BE43" s="1321"/>
      <c r="BF43" s="1321"/>
      <c r="BG43" s="1321"/>
      <c r="BH43" s="1321"/>
      <c r="BI43" s="1321"/>
      <c r="BJ43" s="1321"/>
      <c r="BK43" s="1345"/>
      <c r="BL43" s="1348"/>
      <c r="BM43" s="1075" t="s">
        <v>1718</v>
      </c>
      <c r="BN43" s="1075">
        <f t="array" ref="BN43">IF(Ration_hivernale_complète_bisons[somme]&gt;0,0,IFERROR(IF(OR(AND(INDEX(Règles_bison[Specificite],MATCH(ChoixRationBisons&amp;$BM43,Règles_bison[Ration]&amp;Règles_bison[Aliment],0))="s1",IF($BM43=ChoixSpécificité1Bisons,1)),
AND(INDEX(Règles_bison[Specificite],MATCH(ChoixRationBisons&amp;$BM43,Règles_bison[Ration]&amp;Règles_bison[Aliment],0))="s2",IF($BM43=ChoixSpécificité2Bisons,1)),INDEX(Règles_bison[Specificite],MATCH(ChoixRationBisons&amp;$BM43,Règles_bison[Ration]&amp;Règles_bison[Aliment],0))="c"),
INDEX(Règles_bison[Valeur 36 et plus],MATCH(ChoixRationBisons&amp;$BM43,Règles_bison[Ration]&amp;Règles_bison[Aliment],0)),0),0)*TotalBisonsMalesAdultes*SUM(NbreJoursNourrirBisonsDaims))</f>
        <v>0</v>
      </c>
      <c r="BO43" s="1075">
        <f t="array" ref="BO43">IF(Ration_hivernale_complète_bisons[somme]&gt;0,0,IFERROR(IF(OR(AND(INDEX(Règles_bison[Specificite],MATCH(ChoixRationBisons&amp;$BM43,Règles_bison[Ration]&amp;Règles_bison[Aliment],0))="s1",IF($BM43=ChoixSpécificité1Bisons,1)),
AND(INDEX(Règles_bison[Specificite],MATCH(ChoixRationBisons&amp;$BM43,Règles_bison[Ration]&amp;Règles_bison[Aliment],0))="s2",IF($BM43=ChoixSpécificité2Bisons,1)),INDEX(Règles_bison[Specificite],MATCH(ChoixRationBisons&amp;$BM43,Règles_bison[Ration]&amp;Règles_bison[Aliment],0))="c"),
INDEX(Règles_bison[Valeur 24-36],MATCH(ChoixRationBisons&amp;$BM43,Règles_bison[Ration]&amp;Règles_bison[Aliment],0)),0),0)*TotalBisonsMales_24_36_mois*SUM(NbreJoursNourrirBisonsDaims))</f>
        <v>0</v>
      </c>
      <c r="BP43" s="1075">
        <f t="array" ref="BP43">IF(Ration_hivernale_complète_bisons[somme]&gt;0,0,IFERROR(IF(OR(AND(INDEX(Règles_bison[Specificite],MATCH(ChoixRationBisons&amp;$BM43,Règles_bison[Ration]&amp;Règles_bison[Aliment],0))="s1",IF($BM43=ChoixSpécificité1Bisons,1)),
AND(INDEX(Règles_bison[Specificite],MATCH(ChoixRationBisons&amp;$BM43,Règles_bison[Ration]&amp;Règles_bison[Aliment],0))="s2",IF($BM43=ChoixSpécificité2Bisons,1)),INDEX(Règles_bison[Specificite],MATCH(ChoixRationBisons&amp;$BM43,Règles_bison[Ration]&amp;Règles_bison[Aliment],0))="c"),
INDEX(Règles_bison[Valeur 18-24],MATCH(ChoixRationBisons&amp;$BM43,Règles_bison[Ration]&amp;Règles_bison[Aliment],0)),0),0)*TotalBisonsMales_18_24_mois*SUM(NbreJoursNourrirBisonsDaims))</f>
        <v>0</v>
      </c>
      <c r="BQ43" s="1075">
        <f t="array" ref="BQ43">IF(Ration_hivernale_complète_bisons[somme]&gt;0,0,IFERROR(IF(OR(AND(INDEX(Règles_bison[Specificite],MATCH(ChoixRationBisons&amp;$BM43,Règles_bison[Ration]&amp;Règles_bison[Aliment],0))="s1",IF($BM43=ChoixSpécificité1Bisons,1)),
AND(INDEX(Règles_bison[Specificite],MATCH(ChoixRationBisons&amp;$BM43,Règles_bison[Ration]&amp;Règles_bison[Aliment],0))="s2",IF($BM43=ChoixSpécificité2Bisons,1)),INDEX(Règles_bison[Specificite],MATCH(ChoixRationBisons&amp;$BM43,Règles_bison[Ration]&amp;Règles_bison[Aliment],0))="c"),
INDEX(Règles_bison[Valeur 12-18],MATCH(ChoixRationBisons&amp;$BM43,Règles_bison[Ration]&amp;Règles_bison[Aliment],0)),0),0)*TotalBisonsMales_12_18_mois*SUM(NbreJoursNourrirBisonsDaims))</f>
        <v>0</v>
      </c>
      <c r="BR43" s="1075">
        <f t="array" ref="BR43">IF(Ration_hivernale_complète_bisons[somme]&gt;0,0,IFERROR(IF(OR(AND(INDEX(Règles_bison[Specificite],MATCH(ChoixRationBisons&amp;$BM43,Règles_bison[Ration]&amp;Règles_bison[Aliment],0))="s1",IF($BM43=ChoixSpécificité1Bisons,1)),
AND(INDEX(Règles_bison[Specificite],MATCH(ChoixRationBisons&amp;$BM43,Règles_bison[Ration]&amp;Règles_bison[Aliment],0))="s2",IF($BM43=ChoixSpécificité2Bisons,1)),INDEX(Règles_bison[Specificite],MATCH(ChoixRationBisons&amp;$BM43,Règles_bison[Ration]&amp;Règles_bison[Aliment],0))="c"),
INDEX(Règles_bison[Valeur 6-12],MATCH(ChoixRationBisons&amp;$BM43,Règles_bison[Ration]&amp;Règles_bison[Aliment],0)),0),0)*TotalBisonsMales_6_12_mois*SUM(NbreJoursNourrirBisonsDaims))</f>
        <v>0</v>
      </c>
      <c r="BS43" s="1075">
        <f t="array" ref="BS43">IF(Ration_hivernale_complète_bisons[somme]&gt;0,0,IFERROR(IF(OR(AND(INDEX(Règles_bison[Specificite],MATCH(ChoixRationBisons&amp;$BM43,Règles_bison[Ration]&amp;Règles_bison[Aliment],0))="s1",IF($BM43=ChoixSpécificité1Bisons,1)),
AND(INDEX(Règles_bison[Specificite],MATCH(ChoixRationBisons&amp;$BM43,Règles_bison[Ration]&amp;Règles_bison[Aliment],0))="s2",IF($BM43=ChoixSpécificité2Bisons,1)),INDEX(Règles_bison[Specificite],MATCH(ChoixRationBisons&amp;$BM43,Règles_bison[Ration]&amp;Règles_bison[Aliment],0))="c"),
INDEX(Règles_bison[Valeur 3-6],MATCH(ChoixRationBisons&amp;$BM43,Règles_bison[Ration]&amp;Règles_bison[Aliment],0)),0),0)*TotalBisonsMales_3_6_mois*SUM(NbreJoursNourrirBisonsDaims))</f>
        <v>0</v>
      </c>
      <c r="BT43" s="1075">
        <f t="array" ref="BT43">IF(Ration_hivernale_complète_bisons[somme]&gt;0,0,IFERROR(IF(OR(AND(INDEX(Règles_bison[Specificite],MATCH(ChoixRationBisons&amp;$BM43,Règles_bison[Ration]&amp;Règles_bison[Aliment],0))="s1",IF($BM43=ChoixSpécificité1Bisons,1)),
AND(INDEX(Règles_bison[Specificite],MATCH(ChoixRationBisons&amp;$BM43,Règles_bison[Ration]&amp;Règles_bison[Aliment],0))="s2",IF($BM43=ChoixSpécificité2Bisons,1)),INDEX(Règles_bison[Specificite],MATCH(ChoixRationBisons&amp;$BM43,Règles_bison[Ration]&amp;Règles_bison[Aliment],0))="c"),
INDEX(Règles_bison[Valeur 0-3],MATCH(ChoixRationBisons&amp;$BM43,Règles_bison[Ration]&amp;Règles_bison[Aliment],0)),0),0)*TotalBisonsMales_0_3_mois*SUM(NbreJoursNourrirBisonsDaims))</f>
        <v>0</v>
      </c>
      <c r="BU43" s="1075">
        <f t="shared" si="10"/>
        <v>0</v>
      </c>
      <c r="BV43" s="1345"/>
      <c r="BW43" s="1345"/>
      <c r="BX43" s="1321"/>
      <c r="BY43" s="1143" t="s">
        <v>1052</v>
      </c>
      <c r="BZ43" s="1143">
        <v>630</v>
      </c>
      <c r="CA43" s="1321"/>
      <c r="CB43" s="1143" t="s">
        <v>1052</v>
      </c>
      <c r="CC43" s="1143">
        <v>756</v>
      </c>
      <c r="CD43" s="1345"/>
      <c r="CE43" s="1345"/>
      <c r="CF43" s="1345"/>
      <c r="CG43" s="1345"/>
      <c r="CH43" s="1345"/>
      <c r="CI43" s="1321"/>
      <c r="CJ43" s="1176"/>
      <c r="CK43" s="1177"/>
      <c r="CL43" s="1177"/>
      <c r="CM43" s="1177"/>
      <c r="CN43" s="1177"/>
      <c r="CO43" s="1177"/>
      <c r="CP43" s="1177"/>
      <c r="CQ43" s="1178"/>
      <c r="CR43" s="1321"/>
      <c r="CS43" s="1176" t="s">
        <v>1292</v>
      </c>
      <c r="CT43" s="1177" t="s">
        <v>298</v>
      </c>
      <c r="CU43" s="1177" t="s">
        <v>1254</v>
      </c>
      <c r="CV43" s="1177">
        <v>0.16</v>
      </c>
      <c r="CW43" s="1177">
        <v>0.104</v>
      </c>
      <c r="CX43" s="1178">
        <v>0</v>
      </c>
      <c r="CY43" s="1321"/>
      <c r="CZ43" s="1176"/>
      <c r="DA43" s="1177"/>
      <c r="DB43" s="1177"/>
      <c r="DC43" s="1177"/>
      <c r="DD43" s="1177"/>
      <c r="DE43" s="1178"/>
      <c r="DF43" s="1321"/>
      <c r="DG43" s="1200"/>
      <c r="DH43" s="1201"/>
      <c r="DI43" s="1201"/>
      <c r="DJ43" s="1201"/>
      <c r="DK43" s="1201"/>
      <c r="DL43" s="1202"/>
      <c r="DM43" s="1321"/>
      <c r="DN43" s="1143" t="s">
        <v>831</v>
      </c>
      <c r="DO43" s="1143">
        <v>7</v>
      </c>
      <c r="DP43" s="1321"/>
      <c r="DQ43" s="1321"/>
      <c r="DR43" s="1321"/>
      <c r="DS43" s="1345"/>
      <c r="DT43" s="1346"/>
      <c r="DU43" s="1346"/>
      <c r="DV43" s="1075" t="s">
        <v>733</v>
      </c>
      <c r="DW43" s="1269">
        <f t="array" ref="DW43">IFERROR(IF(OR(AND(INDEX(Règles_daims[Specificite],MATCH(ChoixRationDaims&amp;DV43,Règles_daims[Ration]&amp;Règles_daims[Aliment],0))="s1",IF(DV43=Spécificité1Daims,1)),
AND(INDEX(Règles_daims[Specificite],MATCH(ChoixRationDaims&amp;DV43,Règles_daims[Ration]&amp;Règles_daims[Aliment],0))="s2",IF(DV43=Spécificité2Daims,1)),
INDEX(Règles_daims[Specificite],MATCH(ChoixRationDaims&amp;DV43,Règles_daims[Ration]&amp;Règles_daims[Aliment],0))="c"),
INDEX(Règles_daims[Valeur 36 et plus],MATCH(ChoixRationDaims&amp;DV43,Règles_daims[Ration]&amp;Règles_daims[Aliment],0)),0),0)*SUM(TotalDaimsAdultes)*SUM(NbreJoursNourrirBisonsDaims)</f>
        <v>0</v>
      </c>
      <c r="DX43" s="1269">
        <f t="array" ref="DX43">IFERROR(IF(OR(AND(INDEX(Règles_daims[Specificite],MATCH(ChoixRationDaims&amp;DV43,Règles_daims[Ration]&amp;Règles_daims[Aliment],0))="s1",IF(DV43=Spécificité1Daims,1)),
AND(INDEX(Règles_daims[Specificite],MATCH(ChoixRationDaims&amp;DV43,Règles_daims[Ration]&amp;Règles_daims[Aliment],0))="s2",IF(DV43=Spécificité2Daims,1)),
INDEX(Règles_daims[Specificite],MATCH(ChoixRationDaims&amp;DV43,Règles_daims[Ration]&amp;Règles_daims[Aliment],0))="c"),
INDEX(Règles_daims[Valeur 24-36],MATCH(ChoixRationDaims&amp;DV43,Règles_daims[Ration]&amp;Règles_daims[Aliment],0)),0),0)*SUM(TotalDaims24_36)*SUM(NbreJoursNourrirBisonsDaims)</f>
        <v>0</v>
      </c>
      <c r="DY43" s="1269">
        <f t="array" ref="DY43">IFERROR(IF(OR(AND(INDEX(Règles_daims[Specificite],MATCH(ChoixRationDaims&amp;DV43,Règles_daims[Ration]&amp;Règles_daims[Aliment],0))="s1",IF(DV43=Spécificité1Daims,1)),
AND(INDEX(Règles_daims[Specificite],MATCH(ChoixRationDaims&amp;DV43,Règles_daims[Ration]&amp;Règles_daims[Aliment],0))="s2",IF(DV43=Spécificité2Daims,1)),
INDEX(Règles_daims[Specificite],MATCH(ChoixRationDaims&amp;DV43,Règles_daims[Ration]&amp;Règles_daims[Aliment],0))="c"),
INDEX(Règles_daims[Valeur 18-24],MATCH(ChoixRationDaims&amp;DV43,Règles_daims[Ration]&amp;Règles_daims[Aliment],0)),0),0)*SUM(TotalDaims18_24)*SUM(NbreJoursNourrirBisonsDaims)</f>
        <v>0</v>
      </c>
      <c r="DZ43" s="1280">
        <f t="array" ref="DZ43">IFERROR(IF(OR(AND(INDEX(Règles_daims[Specificite],MATCH(ChoixRationDaims&amp;DV43,Règles_daims[Ration]&amp;Règles_daims[Aliment],0))="s1",IF(DV43=Spécificité1Daims,1)),
AND(INDEX(Règles_daims[Specificite],MATCH(ChoixRationDaims&amp;DV43,Règles_daims[Ration]&amp;Règles_daims[Aliment],0))="s2",IF(DV43=Spécificité2Daims,1)),
INDEX(Règles_daims[Specificite],MATCH(ChoixRationDaims&amp;DV43,Règles_daims[Ration]&amp;Règles_daims[Aliment],0))="c"),
INDEX(Règles_daims[Valeur 12-18],MATCH(ChoixRationDaims&amp;DV43,Règles_daims[Ration]&amp;Règles_daims[Aliment],0)),0),0)*SUM(TotalDaims12_18)*SUM(NbreJoursNourrirBisonsDaims)</f>
        <v>0</v>
      </c>
      <c r="EA43" s="1280">
        <f t="array" ref="EA43">IFERROR(IF(OR(AND(INDEX(Règles_daims[Specificite],MATCH(ChoixRationDaims&amp;DV43,Règles_daims[Ration]&amp;Règles_daims[Aliment],0))="s1",IF(DV43=Spécificité1Daims,1)),
AND(INDEX(Règles_daims[Specificite],MATCH(ChoixRationDaims&amp;DV43,Règles_daims[Ration]&amp;Règles_daims[Aliment],0))="s2",IF(DV43=Spécificité2Daims,1)),
INDEX(Règles_daims[Specificite],MATCH(ChoixRationDaims&amp;DV43,Règles_daims[Ration]&amp;Règles_daims[Aliment],0))="c"),
INDEX(Règles_daims[Valeur 6-12],MATCH(ChoixRationDaims&amp;DV43,Règles_daims[Ration]&amp;Règles_daims[Aliment],0)),0),0)*SUM(TotalDaims6_12)*SUM(NbreJoursNourrirBisonsDaims)</f>
        <v>0</v>
      </c>
      <c r="EB43" s="1280">
        <f t="array" ref="EB43">IFERROR(IF(OR(AND(INDEX(Règles_daims[Specificite],MATCH(ChoixRationDaims&amp;DV43,Règles_daims[Ration]&amp;Règles_daims[Aliment],0))="s1",IF(DV43=Spécificité1Daims,1)),
AND(INDEX(Règles_daims[Specificite],MATCH(ChoixRationDaims&amp;DV43,Règles_daims[Ration]&amp;Règles_daims[Aliment],0))="s2",IF(DV43=Spécificité2Daims,1)),
INDEX(Règles_daims[Specificite],MATCH(ChoixRationDaims&amp;DV43,Règles_daims[Ration]&amp;Règles_daims[Aliment],0))="c"),
INDEX(Règles_daims[Valeur 3-6],MATCH(ChoixRationDaims&amp;DV43,Règles_daims[Ration]&amp;Règles_daims[Aliment],0)),0),0)*SUM(TotalDaims3_6)*SUM(NbreJoursNourrirBisonsDaims)</f>
        <v>0</v>
      </c>
      <c r="EC43" s="1280">
        <f t="array" ref="EC43">IFERROR(IF(OR(AND(INDEX(Règles_daims[Specificite],MATCH(ChoixRationDaims&amp;DV43,Règles_daims[Ration]&amp;Règles_daims[Aliment],0))="s1",IF(DV43=Spécificité1Daims,1)),
AND(INDEX(Règles_daims[Specificite],MATCH(ChoixRationDaims&amp;DV43,Règles_daims[Ration]&amp;Règles_daims[Aliment],0))="s2",IF(DV43=Spécificité2Daims,1)),
INDEX(Règles_daims[Specificite],MATCH(ChoixRationDaims&amp;DV43,Règles_daims[Ration]&amp;Règles_daims[Aliment],0))="c"),
INDEX(Règles_daims[Valeur 0-3],MATCH(ChoixRationDaims&amp;DV43,Règles_daims[Ration]&amp;Règles_daims[Aliment],0)),0),0)*SUM(TotalDaims0_3)*SUM(NbreJoursNourrirBisonsDaims)</f>
        <v>0</v>
      </c>
      <c r="ED43" s="1280">
        <f t="shared" si="9"/>
        <v>0</v>
      </c>
      <c r="EE43" s="1345"/>
      <c r="EF43" s="1321"/>
      <c r="EG43" s="1176"/>
      <c r="EH43" s="1177"/>
      <c r="EI43" s="1177"/>
      <c r="EJ43" s="1177"/>
      <c r="EK43" s="1177"/>
      <c r="EL43" s="1178"/>
      <c r="EM43" s="1321"/>
      <c r="EN43" s="1176"/>
      <c r="EO43" s="1177"/>
      <c r="EP43" s="1177"/>
      <c r="EQ43" s="1177"/>
      <c r="ER43" s="1177"/>
      <c r="ES43" s="1178"/>
      <c r="ET43" s="1321"/>
      <c r="EU43" s="1217" t="s">
        <v>1481</v>
      </c>
      <c r="EV43" s="1177" t="s">
        <v>219</v>
      </c>
      <c r="EW43" s="1177" t="s">
        <v>1252</v>
      </c>
      <c r="EX43" s="1177">
        <v>18</v>
      </c>
      <c r="EY43" s="1177">
        <v>12</v>
      </c>
      <c r="EZ43" s="1177">
        <v>8</v>
      </c>
      <c r="FA43" s="1178">
        <v>4</v>
      </c>
      <c r="FB43" s="1345"/>
      <c r="FC43" s="1321"/>
      <c r="FD43" s="1176" t="s">
        <v>1240</v>
      </c>
      <c r="FE43" s="1177" t="s">
        <v>219</v>
      </c>
      <c r="FF43" s="1177" t="s">
        <v>1252</v>
      </c>
      <c r="FG43" s="1177">
        <v>4</v>
      </c>
      <c r="FH43" s="1177">
        <v>3</v>
      </c>
      <c r="FI43" s="1177">
        <v>2.5</v>
      </c>
      <c r="FJ43" s="1178">
        <v>1</v>
      </c>
      <c r="FK43" s="1345"/>
      <c r="FL43" s="1345"/>
      <c r="FM43" s="1346"/>
      <c r="FN43" s="1176" t="s">
        <v>1240</v>
      </c>
      <c r="FO43" s="1177" t="s">
        <v>725</v>
      </c>
      <c r="FP43" s="1177" t="s">
        <v>1252</v>
      </c>
      <c r="FQ43" s="1177">
        <v>9</v>
      </c>
      <c r="FR43" s="1177">
        <v>6</v>
      </c>
      <c r="FS43" s="1177">
        <v>4</v>
      </c>
      <c r="FT43" s="1178">
        <v>3</v>
      </c>
      <c r="FU43" s="1345"/>
      <c r="FV43" s="1345"/>
      <c r="FW43" s="823" t="s">
        <v>673</v>
      </c>
      <c r="FX43" s="828">
        <f t="array" ref="FX4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43" s="828">
        <f t="array" ref="FY4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43" s="828">
        <f t="array" ref="FZ4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43" s="828">
        <f t="array" ref="GA4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43" s="829">
        <f>SUM(AlimentsGavageOies[[#This Row],[Valeur 3 et plus]:[Valeur 0-1]])</f>
        <v>0</v>
      </c>
      <c r="GC43" s="1364"/>
      <c r="GD43" s="1321"/>
      <c r="GE43" s="1149" t="s">
        <v>397</v>
      </c>
      <c r="GF43" s="1321"/>
      <c r="GG43" s="1149" t="s">
        <v>51</v>
      </c>
      <c r="GH43" s="1321" t="s">
        <v>1349</v>
      </c>
      <c r="GI43" s="1321" t="s">
        <v>1349</v>
      </c>
      <c r="GJ43" s="1321" t="s">
        <v>1349</v>
      </c>
      <c r="GK43" s="1321" t="s">
        <v>1349</v>
      </c>
      <c r="GL43" s="1321" t="s">
        <v>1349</v>
      </c>
      <c r="GM43" s="1321" t="s">
        <v>1349</v>
      </c>
      <c r="GN43" s="1321" t="s">
        <v>1349</v>
      </c>
      <c r="GO43" s="1321" t="s">
        <v>1349</v>
      </c>
      <c r="GP43" s="1321" t="s">
        <v>1349</v>
      </c>
      <c r="GQ43" s="1321" t="s">
        <v>1349</v>
      </c>
      <c r="GR43" s="1321" t="s">
        <v>1349</v>
      </c>
      <c r="GS43" s="1321" t="s">
        <v>1349</v>
      </c>
      <c r="GT43" s="1321" t="s">
        <v>1349</v>
      </c>
      <c r="GU43" s="1321" t="s">
        <v>1349</v>
      </c>
      <c r="GV43" s="1321" t="s">
        <v>1349</v>
      </c>
      <c r="GW43" s="1321"/>
      <c r="GX43" s="1321"/>
      <c r="GY43" s="1082" t="str">
        <f t="shared" si="11"/>
        <v>semences de fétuque élevée</v>
      </c>
      <c r="GZ43" s="1082"/>
      <c r="HA43" s="1085"/>
      <c r="HB43" s="1085">
        <f>IF(COUNTIF(TypeArticleDansEntrepôt,GY43)=0,0,SUMIF(TypeArticleDansEntrepôt,GY43,QtéArticleDansEntrepôt)*VLOOKUP(GY43,place_necessaire_entrepots_aire_paille[],2,FALSE))</f>
        <v>0</v>
      </c>
      <c r="HC43" s="1321"/>
      <c r="HD43" s="1321"/>
      <c r="HE43" s="1321"/>
      <c r="HF43" s="1321"/>
      <c r="HG43" s="1321"/>
      <c r="HH43" s="1321"/>
      <c r="HI43" s="1321"/>
      <c r="HJ43" s="1321"/>
      <c r="HK43" s="1321"/>
      <c r="HL43" s="1321"/>
      <c r="HM43" s="1321"/>
      <c r="HN43" s="1085" t="s">
        <v>1558</v>
      </c>
      <c r="HO43" s="1085" t="s">
        <v>1559</v>
      </c>
      <c r="HP43" s="1085" t="s">
        <v>1560</v>
      </c>
      <c r="HQ43" s="1085" t="s">
        <v>1561</v>
      </c>
      <c r="HR43" s="1085" t="s">
        <v>1562</v>
      </c>
      <c r="HS43" s="1085" t="s">
        <v>1563</v>
      </c>
      <c r="HT43" s="1085" t="s">
        <v>1564</v>
      </c>
      <c r="HU43" s="1085" t="s">
        <v>502</v>
      </c>
      <c r="HV43" s="1085" t="s">
        <v>503</v>
      </c>
      <c r="HW43" s="1085" t="s">
        <v>504</v>
      </c>
      <c r="HX43" s="1085" t="s">
        <v>1891</v>
      </c>
      <c r="HY43" s="1085" t="s">
        <v>1892</v>
      </c>
      <c r="HZ43" s="1085" t="s">
        <v>1893</v>
      </c>
      <c r="IA43" s="1085" t="s">
        <v>1558</v>
      </c>
      <c r="IB43" s="1085" t="s">
        <v>1559</v>
      </c>
      <c r="IC43" s="1085" t="s">
        <v>1560</v>
      </c>
      <c r="ID43" s="1085" t="s">
        <v>1561</v>
      </c>
      <c r="IE43" s="1085" t="s">
        <v>1562</v>
      </c>
      <c r="IF43" s="1085" t="s">
        <v>1563</v>
      </c>
      <c r="IG43" s="1085" t="s">
        <v>1564</v>
      </c>
      <c r="IH43" s="1085" t="s">
        <v>502</v>
      </c>
      <c r="II43" s="1085" t="s">
        <v>503</v>
      </c>
      <c r="IJ43" s="1085" t="s">
        <v>504</v>
      </c>
      <c r="IK43" s="1085" t="s">
        <v>1891</v>
      </c>
      <c r="IL43" s="1085" t="s">
        <v>1892</v>
      </c>
      <c r="IM43" s="1085" t="s">
        <v>1893</v>
      </c>
      <c r="IN43" s="1368"/>
    </row>
    <row r="44" spans="1:248" ht="12.75" customHeight="1" thickBot="1" x14ac:dyDescent="0.25">
      <c r="A44" s="1307" t="s">
        <v>1086</v>
      </c>
      <c r="B44" s="1177" t="s">
        <v>354</v>
      </c>
      <c r="C44" s="1177">
        <v>0.3</v>
      </c>
      <c r="D44" s="1178">
        <v>0</v>
      </c>
      <c r="E44" s="1321"/>
      <c r="F44" s="1149" t="s">
        <v>848</v>
      </c>
      <c r="G44" s="1149"/>
      <c r="H44" s="1149"/>
      <c r="I44" s="1149">
        <v>3</v>
      </c>
      <c r="J44" s="1321"/>
      <c r="K44" s="1321"/>
      <c r="L44" s="1321"/>
      <c r="M44" s="1321"/>
      <c r="N44" s="1321"/>
      <c r="O44" s="1149" t="s">
        <v>528</v>
      </c>
      <c r="P44" s="1149">
        <v>8.1</v>
      </c>
      <c r="Q44" s="1149">
        <v>6.9</v>
      </c>
      <c r="R44" s="1149">
        <v>5.8</v>
      </c>
      <c r="S44" s="1149">
        <v>5.9</v>
      </c>
      <c r="T44" s="1149">
        <v>5.7</v>
      </c>
      <c r="U44" s="1149">
        <v>6.4</v>
      </c>
      <c r="V44" s="1149"/>
      <c r="W44" s="1149">
        <v>8.6</v>
      </c>
      <c r="X44" s="1149">
        <v>13.6</v>
      </c>
      <c r="Y44" s="1149">
        <v>80</v>
      </c>
      <c r="Z44" s="1149">
        <v>3.7</v>
      </c>
      <c r="AA44" s="1149">
        <v>2.5</v>
      </c>
      <c r="AB44" s="1149">
        <v>4.8</v>
      </c>
      <c r="AC44" s="1149">
        <v>4.3</v>
      </c>
      <c r="AD44" s="1149">
        <v>0</v>
      </c>
      <c r="AE44" s="1149">
        <v>3.5</v>
      </c>
      <c r="AF44" s="1149">
        <v>33.9</v>
      </c>
      <c r="AG44" s="1149">
        <v>0</v>
      </c>
      <c r="AH44" s="1149">
        <v>0</v>
      </c>
      <c r="AI44" s="1149">
        <v>0</v>
      </c>
      <c r="AJ44" s="1149">
        <v>0</v>
      </c>
      <c r="AK44" s="1149">
        <v>0</v>
      </c>
      <c r="AL44" s="1149">
        <v>0</v>
      </c>
      <c r="AM44" s="1149"/>
      <c r="AN44" s="1149">
        <v>0</v>
      </c>
      <c r="AO44" s="1149">
        <v>21</v>
      </c>
      <c r="AP44" s="1149">
        <v>0</v>
      </c>
      <c r="AQ44" s="1149">
        <v>0</v>
      </c>
      <c r="AR44" s="1149">
        <v>0</v>
      </c>
      <c r="AS44" s="1149">
        <v>0</v>
      </c>
      <c r="AT44" s="1149">
        <v>0</v>
      </c>
      <c r="AU44" s="1149">
        <v>0</v>
      </c>
      <c r="AV44" s="1149">
        <v>0</v>
      </c>
      <c r="AW44" s="1149">
        <v>8.5</v>
      </c>
      <c r="AX44" s="1149">
        <v>10</v>
      </c>
      <c r="AY44" s="1149">
        <v>10</v>
      </c>
      <c r="AZ44" s="1321"/>
      <c r="BA44" s="1321"/>
      <c r="BB44" s="1321"/>
      <c r="BC44" s="1328" t="s">
        <v>1041</v>
      </c>
      <c r="BD44" s="1321"/>
      <c r="BE44" s="1321"/>
      <c r="BF44" s="1328" t="s">
        <v>1055</v>
      </c>
      <c r="BG44" s="1320"/>
      <c r="BH44" s="1321"/>
      <c r="BI44" s="1321"/>
      <c r="BJ44" s="1321"/>
      <c r="BK44" s="1345"/>
      <c r="BL44" s="1348"/>
      <c r="BM44" s="1076" t="s">
        <v>1719</v>
      </c>
      <c r="BN44" s="1076">
        <f t="array" ref="BN44">IF(Ration_hivernale_complète_bisons[somme]&gt;0,0,IFERROR(IF(OR(AND(INDEX(Règles_bison[Specificite],MATCH(ChoixRationBisons&amp;$BM44,Règles_bison[Ration]&amp;Règles_bison[Aliment],0))="s1",IF($BM44=ChoixSpécificité1Bisons,1)),
AND(INDEX(Règles_bison[Specificite],MATCH(ChoixRationBisons&amp;$BM44,Règles_bison[Ration]&amp;Règles_bison[Aliment],0))="s2",IF($BM44=ChoixSpécificité2Bisons,1)),INDEX(Règles_bison[Specificite],MATCH(ChoixRationBisons&amp;$BM44,Règles_bison[Ration]&amp;Règles_bison[Aliment],0))="c"),
INDEX(Règles_bison[Valeur 36 et plus],MATCH(ChoixRationBisons&amp;$BM44,Règles_bison[Ration]&amp;Règles_bison[Aliment],0)),0),0)*TotalBisonsMalesAdultes*SUM(NbreJoursNourrirBisonsDaims))</f>
        <v>0</v>
      </c>
      <c r="BO44" s="1076">
        <f t="array" ref="BO44">IF(Ration_hivernale_complète_bisons[somme]&gt;0,0,IFERROR(IF(OR(AND(INDEX(Règles_bison[Specificite],MATCH(ChoixRationBisons&amp;$BM44,Règles_bison[Ration]&amp;Règles_bison[Aliment],0))="s1",IF($BM44=ChoixSpécificité1Bisons,1)),
AND(INDEX(Règles_bison[Specificite],MATCH(ChoixRationBisons&amp;$BM44,Règles_bison[Ration]&amp;Règles_bison[Aliment],0))="s2",IF($BM44=ChoixSpécificité2Bisons,1)),INDEX(Règles_bison[Specificite],MATCH(ChoixRationBisons&amp;$BM44,Règles_bison[Ration]&amp;Règles_bison[Aliment],0))="c"),
INDEX(Règles_bison[Valeur 24-36],MATCH(ChoixRationBisons&amp;$BM44,Règles_bison[Ration]&amp;Règles_bison[Aliment],0)),0),0)*TotalBisonsMales_24_36_mois*SUM(NbreJoursNourrirBisonsDaims))</f>
        <v>0</v>
      </c>
      <c r="BP44" s="1076">
        <f t="array" ref="BP44">IF(Ration_hivernale_complète_bisons[somme]&gt;0,0,IFERROR(IF(OR(AND(INDEX(Règles_bison[Specificite],MATCH(ChoixRationBisons&amp;$BM44,Règles_bison[Ration]&amp;Règles_bison[Aliment],0))="s1",IF($BM44=ChoixSpécificité1Bisons,1)),
AND(INDEX(Règles_bison[Specificite],MATCH(ChoixRationBisons&amp;$BM44,Règles_bison[Ration]&amp;Règles_bison[Aliment],0))="s2",IF($BM44=ChoixSpécificité2Bisons,1)),INDEX(Règles_bison[Specificite],MATCH(ChoixRationBisons&amp;$BM44,Règles_bison[Ration]&amp;Règles_bison[Aliment],0))="c"),
INDEX(Règles_bison[Valeur 18-24],MATCH(ChoixRationBisons&amp;$BM44,Règles_bison[Ration]&amp;Règles_bison[Aliment],0)),0),0)*TotalBisonsMales_18_24_mois*SUM(NbreJoursNourrirBisonsDaims))</f>
        <v>0</v>
      </c>
      <c r="BQ44" s="1076">
        <f t="array" ref="BQ44">IF(Ration_hivernale_complète_bisons[somme]&gt;0,0,IFERROR(IF(OR(AND(INDEX(Règles_bison[Specificite],MATCH(ChoixRationBisons&amp;$BM44,Règles_bison[Ration]&amp;Règles_bison[Aliment],0))="s1",IF($BM44=ChoixSpécificité1Bisons,1)),
AND(INDEX(Règles_bison[Specificite],MATCH(ChoixRationBisons&amp;$BM44,Règles_bison[Ration]&amp;Règles_bison[Aliment],0))="s2",IF($BM44=ChoixSpécificité2Bisons,1)),INDEX(Règles_bison[Specificite],MATCH(ChoixRationBisons&amp;$BM44,Règles_bison[Ration]&amp;Règles_bison[Aliment],0))="c"),
INDEX(Règles_bison[Valeur 12-18],MATCH(ChoixRationBisons&amp;$BM44,Règles_bison[Ration]&amp;Règles_bison[Aliment],0)),0),0)*TotalBisonsMales_12_18_mois*SUM(NbreJoursNourrirBisonsDaims))</f>
        <v>0</v>
      </c>
      <c r="BR44" s="1076">
        <f t="array" ref="BR44">IF(Ration_hivernale_complète_bisons[somme]&gt;0,0,IFERROR(IF(OR(AND(INDEX(Règles_bison[Specificite],MATCH(ChoixRationBisons&amp;$BM44,Règles_bison[Ration]&amp;Règles_bison[Aliment],0))="s1",IF($BM44=ChoixSpécificité1Bisons,1)),
AND(INDEX(Règles_bison[Specificite],MATCH(ChoixRationBisons&amp;$BM44,Règles_bison[Ration]&amp;Règles_bison[Aliment],0))="s2",IF($BM44=ChoixSpécificité2Bisons,1)),INDEX(Règles_bison[Specificite],MATCH(ChoixRationBisons&amp;$BM44,Règles_bison[Ration]&amp;Règles_bison[Aliment],0))="c"),
INDEX(Règles_bison[Valeur 6-12],MATCH(ChoixRationBisons&amp;$BM44,Règles_bison[Ration]&amp;Règles_bison[Aliment],0)),0),0)*TotalBisonsMales_6_12_mois*SUM(NbreJoursNourrirBisonsDaims))</f>
        <v>0</v>
      </c>
      <c r="BS44" s="1076">
        <f t="array" ref="BS44">IF(Ration_hivernale_complète_bisons[somme]&gt;0,0,IFERROR(IF(OR(AND(INDEX(Règles_bison[Specificite],MATCH(ChoixRationBisons&amp;$BM44,Règles_bison[Ration]&amp;Règles_bison[Aliment],0))="s1",IF($BM44=ChoixSpécificité1Bisons,1)),
AND(INDEX(Règles_bison[Specificite],MATCH(ChoixRationBisons&amp;$BM44,Règles_bison[Ration]&amp;Règles_bison[Aliment],0))="s2",IF($BM44=ChoixSpécificité2Bisons,1)),INDEX(Règles_bison[Specificite],MATCH(ChoixRationBisons&amp;$BM44,Règles_bison[Ration]&amp;Règles_bison[Aliment],0))="c"),
INDEX(Règles_bison[Valeur 3-6],MATCH(ChoixRationBisons&amp;$BM44,Règles_bison[Ration]&amp;Règles_bison[Aliment],0)),0),0)*TotalBisonsMales_3_6_mois*SUM(NbreJoursNourrirBisonsDaims))</f>
        <v>0</v>
      </c>
      <c r="BT44" s="1076">
        <f t="array" ref="BT44">IF(Ration_hivernale_complète_bisons[somme]&gt;0,0,IFERROR(IF(OR(AND(INDEX(Règles_bison[Specificite],MATCH(ChoixRationBisons&amp;$BM44,Règles_bison[Ration]&amp;Règles_bison[Aliment],0))="s1",IF($BM44=ChoixSpécificité1Bisons,1)),
AND(INDEX(Règles_bison[Specificite],MATCH(ChoixRationBisons&amp;$BM44,Règles_bison[Ration]&amp;Règles_bison[Aliment],0))="s2",IF($BM44=ChoixSpécificité2Bisons,1)),INDEX(Règles_bison[Specificite],MATCH(ChoixRationBisons&amp;$BM44,Règles_bison[Ration]&amp;Règles_bison[Aliment],0))="c"),
INDEX(Règles_bison[Valeur 0-3],MATCH(ChoixRationBisons&amp;$BM44,Règles_bison[Ration]&amp;Règles_bison[Aliment],0)),0),0)*TotalBisonsMales_0_3_mois*SUM(NbreJoursNourrirBisonsDaims))</f>
        <v>0</v>
      </c>
      <c r="BU44" s="1076">
        <f t="shared" si="10"/>
        <v>0</v>
      </c>
      <c r="BV44" s="1345"/>
      <c r="BW44" s="1345"/>
      <c r="BX44" s="1321"/>
      <c r="BY44" s="1149" t="s">
        <v>1053</v>
      </c>
      <c r="BZ44" s="1149">
        <v>640</v>
      </c>
      <c r="CA44" s="1321"/>
      <c r="CB44" s="1149" t="s">
        <v>1053</v>
      </c>
      <c r="CC44" s="1149">
        <v>768</v>
      </c>
      <c r="CD44" s="1345"/>
      <c r="CE44" s="1345"/>
      <c r="CF44" s="1345"/>
      <c r="CG44" s="1345"/>
      <c r="CH44" s="1345"/>
      <c r="CI44" s="1321"/>
      <c r="CJ44" s="1176"/>
      <c r="CK44" s="1177"/>
      <c r="CL44" s="1177"/>
      <c r="CM44" s="1177"/>
      <c r="CN44" s="1177"/>
      <c r="CO44" s="1177"/>
      <c r="CP44" s="1177"/>
      <c r="CQ44" s="1178"/>
      <c r="CR44" s="1321"/>
      <c r="CS44" s="1176" t="s">
        <v>1292</v>
      </c>
      <c r="CT44" s="1177" t="s">
        <v>673</v>
      </c>
      <c r="CU44" s="1177" t="s">
        <v>1252</v>
      </c>
      <c r="CV44" s="1177">
        <v>0.16</v>
      </c>
      <c r="CW44" s="1177">
        <v>0.104</v>
      </c>
      <c r="CX44" s="1178">
        <v>0</v>
      </c>
      <c r="CY44" s="1321"/>
      <c r="CZ44" s="1176"/>
      <c r="DA44" s="1177"/>
      <c r="DB44" s="1177"/>
      <c r="DC44" s="1177"/>
      <c r="DD44" s="1177"/>
      <c r="DE44" s="1178"/>
      <c r="DF44" s="1321"/>
      <c r="DG44" s="1321"/>
      <c r="DH44" s="1321"/>
      <c r="DI44" s="1321"/>
      <c r="DJ44" s="1321"/>
      <c r="DK44" s="1321"/>
      <c r="DL44" s="1321"/>
      <c r="DM44" s="1321"/>
      <c r="DN44" s="1149" t="s">
        <v>832</v>
      </c>
      <c r="DO44" s="1149">
        <v>5</v>
      </c>
      <c r="DP44" s="1321"/>
      <c r="DQ44" s="1321"/>
      <c r="DR44" s="1321"/>
      <c r="DS44" s="1345"/>
      <c r="DT44" s="1346"/>
      <c r="DU44" s="1346"/>
      <c r="DV44" s="1076" t="s">
        <v>331</v>
      </c>
      <c r="DW44" s="1267">
        <f t="array" ref="DW44">IF(ChoixRationComplèteDaims=OUI,0,IFERROR(IF(OR(AND(INDEX(Règles_daims[Specificite],MATCH(ChoixRationDaims&amp;DV44,Règles_daims[Ration]&amp;Règles_daims[Aliment],0))="s1",IF(DV44=Spécificité1Daims,1)),
AND(INDEX(Règles_daims[Specificite],MATCH(ChoixRationDaims&amp;DV44,Règles_daims[Ration]&amp;Règles_daims[Aliment],0))="s2",IF(DV44=Spécificité2Daims,1)),
INDEX(Règles_daims[Specificite],MATCH(ChoixRationDaims&amp;DV44,Règles_daims[Ration]&amp;Règles_daims[Aliment],0))="c"),
INDEX(Règles_daims[Valeur 36 et plus],MATCH(ChoixRationDaims&amp;DV44,Règles_daims[Ration]&amp;Règles_daims[Aliment],0)),0),0)*SUM(TotalDaimsAdultes)*SUM(NbreJoursNourrirBisonsDaims))</f>
        <v>0</v>
      </c>
      <c r="DX44" s="1267">
        <f t="array" ref="DX44">IF(ChoixRationComplèteDaims=OUI,0,IFERROR(IF(OR(AND(INDEX(Règles_daims[Specificite],MATCH(ChoixRationDaims&amp;DV44,Règles_daims[Ration]&amp;Règles_daims[Aliment],0))="s1",IF(DV44=Spécificité1Daims,1)),
AND(INDEX(Règles_daims[Specificite],MATCH(ChoixRationDaims&amp;DV44,Règles_daims[Ration]&amp;Règles_daims[Aliment],0))="s2",IF(DV44=Spécificité2Daims,1)),
INDEX(Règles_daims[Specificite],MATCH(ChoixRationDaims&amp;DV44,Règles_daims[Ration]&amp;Règles_daims[Aliment],0))="c"),
INDEX(Règles_daims[Valeur 24-36],MATCH(ChoixRationDaims&amp;DV44,Règles_daims[Ration]&amp;Règles_daims[Aliment],0)),0),0)*SUM(TotalDaims24_36)*SUM(NbreJoursNourrirBisonsDaims))</f>
        <v>0</v>
      </c>
      <c r="DY44" s="1267">
        <f t="array" ref="DY44">IF(ChoixRationComplèteDaims=OUI,0,IFERROR(IF(OR(AND(INDEX(Règles_daims[Specificite],MATCH(ChoixRationDaims&amp;DV44,Règles_daims[Ration]&amp;Règles_daims[Aliment],0))="s1",IF(DV44=Spécificité1Daims,1)),
AND(INDEX(Règles_daims[Specificite],MATCH(ChoixRationDaims&amp;DV44,Règles_daims[Ration]&amp;Règles_daims[Aliment],0))="s2",IF(DV44=Spécificité2Daims,1)),
INDEX(Règles_daims[Specificite],MATCH(ChoixRationDaims&amp;DV44,Règles_daims[Ration]&amp;Règles_daims[Aliment],0))="c"),
INDEX(Règles_daims[Valeur 18-24],MATCH(ChoixRationDaims&amp;DV44,Règles_daims[Ration]&amp;Règles_daims[Aliment],0)),0),0)*SUM(TotalDaims18_24)*SUM(NbreJoursNourrirBisonsDaims))</f>
        <v>0</v>
      </c>
      <c r="DZ44" s="1279">
        <f t="array" ref="DZ44">IF(ChoixRationComplèteDaims=OUI,0,IFERROR(IF(OR(AND(INDEX(Règles_daims[Specificite],MATCH(ChoixRationDaims&amp;DV44,Règles_daims[Ration]&amp;Règles_daims[Aliment],0))="s1",IF(DV44=Spécificité1Daims,1)),
AND(INDEX(Règles_daims[Specificite],MATCH(ChoixRationDaims&amp;DV44,Règles_daims[Ration]&amp;Règles_daims[Aliment],0))="s2",IF(DV44=Spécificité2Daims,1)),
INDEX(Règles_daims[Specificite],MATCH(ChoixRationDaims&amp;DV44,Règles_daims[Ration]&amp;Règles_daims[Aliment],0))="c"),
INDEX(Règles_daims[Valeur 12-18],MATCH(ChoixRationDaims&amp;DV44,Règles_daims[Ration]&amp;Règles_daims[Aliment],0)),0),0)*SUM(TotalDaims12_18)*SUM(NbreJoursNourrirBisonsDaims))</f>
        <v>0</v>
      </c>
      <c r="EA44" s="1279">
        <f t="array" ref="EA44">IF(ChoixRationComplèteDaims=OUI,0,IFERROR(IF(OR(AND(INDEX(Règles_daims[Specificite],MATCH(ChoixRationDaims&amp;DV44,Règles_daims[Ration]&amp;Règles_daims[Aliment],0))="s1",IF(DV44=Spécificité1Daims,1)),
AND(INDEX(Règles_daims[Specificite],MATCH(ChoixRationDaims&amp;DV44,Règles_daims[Ration]&amp;Règles_daims[Aliment],0))="s2",IF(DV44=Spécificité2Daims,1)),
INDEX(Règles_daims[Specificite],MATCH(ChoixRationDaims&amp;DV44,Règles_daims[Ration]&amp;Règles_daims[Aliment],0))="c"),
INDEX(Règles_daims[Valeur 6-12],MATCH(ChoixRationDaims&amp;DV44,Règles_daims[Ration]&amp;Règles_daims[Aliment],0)),0),0)*SUM(TotalDaims6_12)*SUM(NbreJoursNourrirBisonsDaims))</f>
        <v>0</v>
      </c>
      <c r="EB44" s="1279">
        <f t="array" ref="EB44">IF(ChoixRationComplèteDaims=OUI,0,IFERROR(IF(OR(AND(INDEX(Règles_daims[Specificite],MATCH(ChoixRationDaims&amp;DV44,Règles_daims[Ration]&amp;Règles_daims[Aliment],0))="s1",IF(DV44=Spécificité1Daims,1)),
AND(INDEX(Règles_daims[Specificite],MATCH(ChoixRationDaims&amp;DV44,Règles_daims[Ration]&amp;Règles_daims[Aliment],0))="s2",IF(DV44=Spécificité2Daims,1)),
INDEX(Règles_daims[Specificite],MATCH(ChoixRationDaims&amp;DV44,Règles_daims[Ration]&amp;Règles_daims[Aliment],0))="c"),
INDEX(Règles_daims[Valeur 3-6],MATCH(ChoixRationDaims&amp;DV44,Règles_daims[Ration]&amp;Règles_daims[Aliment],0)),0),0)*SUM(TotalDaims3_6)*SUM(NbreJoursNourrirBisonsDaims))</f>
        <v>0</v>
      </c>
      <c r="EC44" s="1279">
        <f t="array" ref="EC44">IF(ChoixRationComplèteDaims=OUI,0,IFERROR(IF(OR(AND(INDEX(Règles_daims[Specificite],MATCH(ChoixRationDaims&amp;DV44,Règles_daims[Ration]&amp;Règles_daims[Aliment],0))="s1",IF(DV44=Spécificité1Daims,1)),
AND(INDEX(Règles_daims[Specificite],MATCH(ChoixRationDaims&amp;DV44,Règles_daims[Ration]&amp;Règles_daims[Aliment],0))="s2",IF(DV44=Spécificité2Daims,1)),
INDEX(Règles_daims[Specificite],MATCH(ChoixRationDaims&amp;DV44,Règles_daims[Ration]&amp;Règles_daims[Aliment],0))="c"),
INDEX(Règles_daims[Valeur 0-3],MATCH(ChoixRationDaims&amp;DV44,Règles_daims[Ration]&amp;Règles_daims[Aliment],0)),0),0)*SUM(TotalDaims0_3)*SUM(NbreJoursNourrirBisonsDaims))</f>
        <v>0</v>
      </c>
      <c r="ED44" s="1279">
        <f t="shared" si="9"/>
        <v>0</v>
      </c>
      <c r="EE44" s="1345"/>
      <c r="EF44" s="1321"/>
      <c r="EG44" s="1176"/>
      <c r="EH44" s="1177"/>
      <c r="EI44" s="1177"/>
      <c r="EJ44" s="1177"/>
      <c r="EK44" s="1177"/>
      <c r="EL44" s="1178"/>
      <c r="EM44" s="1321"/>
      <c r="EN44" s="1176"/>
      <c r="EO44" s="1177"/>
      <c r="EP44" s="1177"/>
      <c r="EQ44" s="1177"/>
      <c r="ER44" s="1177"/>
      <c r="ES44" s="1178"/>
      <c r="ET44" s="1321"/>
      <c r="EU44" s="1217" t="s">
        <v>1481</v>
      </c>
      <c r="EV44" s="1177" t="s">
        <v>725</v>
      </c>
      <c r="EW44" s="1177" t="s">
        <v>1252</v>
      </c>
      <c r="EX44" s="1177">
        <v>18</v>
      </c>
      <c r="EY44" s="1177">
        <v>12</v>
      </c>
      <c r="EZ44" s="1177">
        <v>8</v>
      </c>
      <c r="FA44" s="1178">
        <v>4</v>
      </c>
      <c r="FB44" s="1345"/>
      <c r="FC44" s="1346"/>
      <c r="FD44" s="1176" t="s">
        <v>1240</v>
      </c>
      <c r="FE44" s="1177" t="s">
        <v>725</v>
      </c>
      <c r="FF44" s="1177" t="s">
        <v>1252</v>
      </c>
      <c r="FG44" s="1177">
        <v>11</v>
      </c>
      <c r="FH44" s="1177">
        <v>8</v>
      </c>
      <c r="FI44" s="1177">
        <v>5</v>
      </c>
      <c r="FJ44" s="1178">
        <v>3</v>
      </c>
      <c r="FK44" s="1345"/>
      <c r="FL44" s="1345"/>
      <c r="FM44" s="1346"/>
      <c r="FN44" s="1176" t="s">
        <v>1240</v>
      </c>
      <c r="FO44" s="1177" t="s">
        <v>733</v>
      </c>
      <c r="FP44" s="1177" t="s">
        <v>1252</v>
      </c>
      <c r="FQ44" s="1177">
        <v>100</v>
      </c>
      <c r="FR44" s="1177">
        <v>75</v>
      </c>
      <c r="FS44" s="1177">
        <v>50</v>
      </c>
      <c r="FT44" s="1178">
        <v>25</v>
      </c>
      <c r="FU44" s="1345"/>
      <c r="FV44" s="1345"/>
      <c r="FW44" s="823" t="s">
        <v>523</v>
      </c>
      <c r="FX44" s="828">
        <f t="array" ref="FX4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44" s="828">
        <f t="array" ref="FY4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44" s="828">
        <f t="array" ref="FZ4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44" s="828">
        <f t="array" ref="GA4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44" s="829">
        <f>SUM(AlimentsGavageOies[[#This Row],[Valeur 3 et plus]:[Valeur 0-1]])</f>
        <v>0</v>
      </c>
      <c r="GC44" s="1364"/>
      <c r="GD44" s="1321"/>
      <c r="GE44" s="1143" t="s">
        <v>423</v>
      </c>
      <c r="GF44" s="1321"/>
      <c r="GG44" s="1143" t="s">
        <v>224</v>
      </c>
      <c r="GH44" s="1321" t="s">
        <v>1349</v>
      </c>
      <c r="GI44" s="1321" t="s">
        <v>1349</v>
      </c>
      <c r="GJ44" s="1321" t="s">
        <v>1349</v>
      </c>
      <c r="GK44" s="1321" t="s">
        <v>1349</v>
      </c>
      <c r="GL44" s="1321" t="s">
        <v>1349</v>
      </c>
      <c r="GM44" s="1321" t="s">
        <v>1349</v>
      </c>
      <c r="GN44" s="1321" t="s">
        <v>1349</v>
      </c>
      <c r="GO44" s="1321" t="s">
        <v>1349</v>
      </c>
      <c r="GP44" s="1321" t="s">
        <v>1349</v>
      </c>
      <c r="GQ44" s="1321" t="s">
        <v>1349</v>
      </c>
      <c r="GR44" s="1321" t="s">
        <v>1349</v>
      </c>
      <c r="GS44" s="1321" t="s">
        <v>1349</v>
      </c>
      <c r="GT44" s="1321" t="s">
        <v>1349</v>
      </c>
      <c r="GU44" s="1321" t="s">
        <v>1349</v>
      </c>
      <c r="GV44" s="1321" t="s">
        <v>1349</v>
      </c>
      <c r="GW44" s="1321"/>
      <c r="GX44" s="1321"/>
      <c r="GY44" s="1083" t="str">
        <f t="shared" si="11"/>
        <v>semences de fléole</v>
      </c>
      <c r="GZ44" s="1083"/>
      <c r="HA44" s="1084"/>
      <c r="HB44" s="1084">
        <f>IF(COUNTIF(TypeArticleDansEntrepôt,GY44)=0,0,SUMIF(TypeArticleDansEntrepôt,GY44,QtéArticleDansEntrepôt)*VLOOKUP(GY44,place_necessaire_entrepots_aire_paille[],2,FALSE))</f>
        <v>0</v>
      </c>
      <c r="HC44" s="1321"/>
      <c r="HD44" s="1321"/>
      <c r="HE44" s="1321"/>
      <c r="HF44" s="1321"/>
      <c r="HG44" s="1321"/>
      <c r="HH44" s="1321"/>
      <c r="HI44" s="1321"/>
      <c r="HJ44" s="1321"/>
      <c r="HK44" s="1321"/>
      <c r="HL44" s="1321"/>
      <c r="HM44" s="1321"/>
      <c r="HN44" s="1084"/>
      <c r="HO44" s="1093"/>
      <c r="HP44" s="1093"/>
      <c r="HQ44" s="1093"/>
      <c r="HR44" s="1093"/>
      <c r="HS44" s="1093"/>
      <c r="HT44" s="1093"/>
      <c r="HU44" s="1093"/>
      <c r="HV44" s="1093"/>
      <c r="HW44" s="1093"/>
      <c r="HX44" s="1084"/>
      <c r="HY44" s="1084"/>
      <c r="HZ44" s="1084"/>
      <c r="IA44" s="1084"/>
      <c r="IB44" s="1093"/>
      <c r="IC44" s="1093"/>
      <c r="ID44" s="1093"/>
      <c r="IE44" s="1093"/>
      <c r="IF44" s="1093"/>
      <c r="IG44" s="1093"/>
      <c r="IH44" s="1093"/>
      <c r="II44" s="1093"/>
      <c r="IJ44" s="1093"/>
      <c r="IK44" s="1084"/>
      <c r="IL44" s="1084"/>
      <c r="IM44" s="1084"/>
      <c r="IN44" s="1368"/>
    </row>
    <row r="45" spans="1:248" ht="12.75" customHeight="1" thickBot="1" x14ac:dyDescent="0.25">
      <c r="A45" s="1307" t="s">
        <v>1109</v>
      </c>
      <c r="B45" s="1177" t="s">
        <v>1103</v>
      </c>
      <c r="C45" s="1177">
        <v>500</v>
      </c>
      <c r="D45" s="1178">
        <v>0</v>
      </c>
      <c r="E45" s="1321"/>
      <c r="F45" s="1143" t="s">
        <v>849</v>
      </c>
      <c r="G45" s="1143"/>
      <c r="H45" s="1143"/>
      <c r="I45" s="1143">
        <v>3</v>
      </c>
      <c r="J45" s="1321"/>
      <c r="K45" s="1321"/>
      <c r="L45" s="1321"/>
      <c r="M45" s="1321"/>
      <c r="N45" s="1321"/>
      <c r="O45" s="1143" t="s">
        <v>529</v>
      </c>
      <c r="P45" s="1143">
        <v>6.1</v>
      </c>
      <c r="Q45" s="1143">
        <v>5.8</v>
      </c>
      <c r="R45" s="1143">
        <v>4.8</v>
      </c>
      <c r="S45" s="1143">
        <v>3.8</v>
      </c>
      <c r="T45" s="1143">
        <v>3.6</v>
      </c>
      <c r="U45" s="1143">
        <v>5</v>
      </c>
      <c r="V45" s="1143"/>
      <c r="W45" s="1143">
        <v>8.4</v>
      </c>
      <c r="X45" s="1143">
        <v>9.8000000000000007</v>
      </c>
      <c r="Y45" s="1143">
        <v>70</v>
      </c>
      <c r="Z45" s="1143">
        <v>3</v>
      </c>
      <c r="AA45" s="1143">
        <v>2.4</v>
      </c>
      <c r="AB45" s="1143">
        <v>3</v>
      </c>
      <c r="AC45" s="1143">
        <v>3.2</v>
      </c>
      <c r="AD45" s="1143">
        <v>2.6</v>
      </c>
      <c r="AE45" s="1143">
        <v>0</v>
      </c>
      <c r="AF45" s="1143">
        <v>36.4</v>
      </c>
      <c r="AG45" s="1143">
        <v>0.8</v>
      </c>
      <c r="AH45" s="1143">
        <v>7</v>
      </c>
      <c r="AI45" s="1143">
        <v>0</v>
      </c>
      <c r="AJ45" s="1143">
        <v>13</v>
      </c>
      <c r="AK45" s="1143">
        <v>2.5</v>
      </c>
      <c r="AL45" s="1143">
        <v>9.3000000000000007</v>
      </c>
      <c r="AM45" s="1143"/>
      <c r="AN45" s="1143">
        <v>0</v>
      </c>
      <c r="AO45" s="1143">
        <v>30</v>
      </c>
      <c r="AP45" s="1143">
        <v>0</v>
      </c>
      <c r="AQ45" s="1143">
        <v>0</v>
      </c>
      <c r="AR45" s="1143">
        <v>10</v>
      </c>
      <c r="AS45" s="1143">
        <v>0</v>
      </c>
      <c r="AT45" s="1143">
        <v>0</v>
      </c>
      <c r="AU45" s="1143">
        <v>0</v>
      </c>
      <c r="AV45" s="1143">
        <v>0</v>
      </c>
      <c r="AW45" s="1143">
        <v>8.5</v>
      </c>
      <c r="AX45" s="1143">
        <v>10</v>
      </c>
      <c r="AY45" s="1143">
        <v>10</v>
      </c>
      <c r="AZ45" s="1321"/>
      <c r="BA45" s="1321"/>
      <c r="BB45" s="1321"/>
      <c r="BC45" s="1224" t="s">
        <v>1042</v>
      </c>
      <c r="BD45" s="1224" t="s">
        <v>1043</v>
      </c>
      <c r="BE45" s="1321"/>
      <c r="BF45" s="1224" t="s">
        <v>1042</v>
      </c>
      <c r="BG45" s="1310" t="s">
        <v>1043</v>
      </c>
      <c r="BH45" s="1321"/>
      <c r="BI45" s="1321"/>
      <c r="BJ45" s="1321"/>
      <c r="BK45" s="1345"/>
      <c r="BL45" s="1348"/>
      <c r="BM45" s="1075" t="s">
        <v>1717</v>
      </c>
      <c r="BN45" s="1075">
        <f t="array" ref="BN45">IF(Ration_hivernale_complète_bisons[somme]&gt;0,0,IFERROR(IF(OR(AND(INDEX(Règles_bison[Specificite],MATCH(ChoixRationBisons&amp;$BM45,Règles_bison[Ration]&amp;Règles_bison[Aliment],0))="s1",IF($BM45=ChoixSpécificité1Bisons,1)),
AND(INDEX(Règles_bison[Specificite],MATCH(ChoixRationBisons&amp;$BM45,Règles_bison[Ration]&amp;Règles_bison[Aliment],0))="s2",IF($BM45=ChoixSpécificité2Bisons,1)),INDEX(Règles_bison[Specificite],MATCH(ChoixRationBisons&amp;$BM45,Règles_bison[Ration]&amp;Règles_bison[Aliment],0))="c"),
INDEX(Règles_bison[Valeur 36 et plus],MATCH(ChoixRationBisons&amp;$BM45,Règles_bison[Ration]&amp;Règles_bison[Aliment],0)),0),0)*TotalBisonsMalesAdultes*SUM(NbreJoursNourrirBisonsDaims))</f>
        <v>0</v>
      </c>
      <c r="BO45" s="1075">
        <f t="array" ref="BO45">IF(Ration_hivernale_complète_bisons[somme]&gt;0,0,IFERROR(IF(OR(AND(INDEX(Règles_bison[Specificite],MATCH(ChoixRationBisons&amp;$BM45,Règles_bison[Ration]&amp;Règles_bison[Aliment],0))="s1",IF($BM45=ChoixSpécificité1Bisons,1)),
AND(INDEX(Règles_bison[Specificite],MATCH(ChoixRationBisons&amp;$BM45,Règles_bison[Ration]&amp;Règles_bison[Aliment],0))="s2",IF($BM45=ChoixSpécificité2Bisons,1)),INDEX(Règles_bison[Specificite],MATCH(ChoixRationBisons&amp;$BM45,Règles_bison[Ration]&amp;Règles_bison[Aliment],0))="c"),
INDEX(Règles_bison[Valeur 24-36],MATCH(ChoixRationBisons&amp;$BM45,Règles_bison[Ration]&amp;Règles_bison[Aliment],0)),0),0)*TotalBisonsMales_24_36_mois*SUM(NbreJoursNourrirBisonsDaims))</f>
        <v>0</v>
      </c>
      <c r="BP45" s="1075">
        <f t="array" ref="BP45">IF(Ration_hivernale_complète_bisons[somme]&gt;0,0,IFERROR(IF(OR(AND(INDEX(Règles_bison[Specificite],MATCH(ChoixRationBisons&amp;$BM45,Règles_bison[Ration]&amp;Règles_bison[Aliment],0))="s1",IF($BM45=ChoixSpécificité1Bisons,1)),
AND(INDEX(Règles_bison[Specificite],MATCH(ChoixRationBisons&amp;$BM45,Règles_bison[Ration]&amp;Règles_bison[Aliment],0))="s2",IF($BM45=ChoixSpécificité2Bisons,1)),INDEX(Règles_bison[Specificite],MATCH(ChoixRationBisons&amp;$BM45,Règles_bison[Ration]&amp;Règles_bison[Aliment],0))="c"),
INDEX(Règles_bison[Valeur 18-24],MATCH(ChoixRationBisons&amp;$BM45,Règles_bison[Ration]&amp;Règles_bison[Aliment],0)),0),0)*TotalBisonsMales_18_24_mois*SUM(NbreJoursNourrirBisonsDaims))</f>
        <v>0</v>
      </c>
      <c r="BQ45" s="1075">
        <f t="array" ref="BQ45">IF(Ration_hivernale_complète_bisons[somme]&gt;0,0,IFERROR(IF(OR(AND(INDEX(Règles_bison[Specificite],MATCH(ChoixRationBisons&amp;$BM45,Règles_bison[Ration]&amp;Règles_bison[Aliment],0))="s1",IF($BM45=ChoixSpécificité1Bisons,1)),
AND(INDEX(Règles_bison[Specificite],MATCH(ChoixRationBisons&amp;$BM45,Règles_bison[Ration]&amp;Règles_bison[Aliment],0))="s2",IF($BM45=ChoixSpécificité2Bisons,1)),INDEX(Règles_bison[Specificite],MATCH(ChoixRationBisons&amp;$BM45,Règles_bison[Ration]&amp;Règles_bison[Aliment],0))="c"),
INDEX(Règles_bison[Valeur 12-18],MATCH(ChoixRationBisons&amp;$BM45,Règles_bison[Ration]&amp;Règles_bison[Aliment],0)),0),0)*TotalBisonsMales_12_18_mois*SUM(NbreJoursNourrirBisonsDaims))</f>
        <v>0</v>
      </c>
      <c r="BR45" s="1075">
        <f t="array" ref="BR45">IF(Ration_hivernale_complète_bisons[somme]&gt;0,0,IFERROR(IF(OR(AND(INDEX(Règles_bison[Specificite],MATCH(ChoixRationBisons&amp;$BM45,Règles_bison[Ration]&amp;Règles_bison[Aliment],0))="s1",IF($BM45=ChoixSpécificité1Bisons,1)),
AND(INDEX(Règles_bison[Specificite],MATCH(ChoixRationBisons&amp;$BM45,Règles_bison[Ration]&amp;Règles_bison[Aliment],0))="s2",IF($BM45=ChoixSpécificité2Bisons,1)),INDEX(Règles_bison[Specificite],MATCH(ChoixRationBisons&amp;$BM45,Règles_bison[Ration]&amp;Règles_bison[Aliment],0))="c"),
INDEX(Règles_bison[Valeur 6-12],MATCH(ChoixRationBisons&amp;$BM45,Règles_bison[Ration]&amp;Règles_bison[Aliment],0)),0),0)*TotalBisonsMales_6_12_mois*SUM(NbreJoursNourrirBisonsDaims))</f>
        <v>0</v>
      </c>
      <c r="BS45" s="1075">
        <f t="array" ref="BS45">IF(Ration_hivernale_complète_bisons[somme]&gt;0,0,IFERROR(IF(OR(AND(INDEX(Règles_bison[Specificite],MATCH(ChoixRationBisons&amp;$BM45,Règles_bison[Ration]&amp;Règles_bison[Aliment],0))="s1",IF($BM45=ChoixSpécificité1Bisons,1)),
AND(INDEX(Règles_bison[Specificite],MATCH(ChoixRationBisons&amp;$BM45,Règles_bison[Ration]&amp;Règles_bison[Aliment],0))="s2",IF($BM45=ChoixSpécificité2Bisons,1)),INDEX(Règles_bison[Specificite],MATCH(ChoixRationBisons&amp;$BM45,Règles_bison[Ration]&amp;Règles_bison[Aliment],0))="c"),
INDEX(Règles_bison[Valeur 3-6],MATCH(ChoixRationBisons&amp;$BM45,Règles_bison[Ration]&amp;Règles_bison[Aliment],0)),0),0)*TotalBisonsMales_3_6_mois*SUM(NbreJoursNourrirBisonsDaims))</f>
        <v>0</v>
      </c>
      <c r="BT45" s="1075">
        <f t="array" ref="BT45">IF(Ration_hivernale_complète_bisons[somme]&gt;0,0,IFERROR(IF(OR(AND(INDEX(Règles_bison[Specificite],MATCH(ChoixRationBisons&amp;$BM45,Règles_bison[Ration]&amp;Règles_bison[Aliment],0))="s1",IF($BM45=ChoixSpécificité1Bisons,1)),
AND(INDEX(Règles_bison[Specificite],MATCH(ChoixRationBisons&amp;$BM45,Règles_bison[Ration]&amp;Règles_bison[Aliment],0))="s2",IF($BM45=ChoixSpécificité2Bisons,1)),INDEX(Règles_bison[Specificite],MATCH(ChoixRationBisons&amp;$BM45,Règles_bison[Ration]&amp;Règles_bison[Aliment],0))="c"),
INDEX(Règles_bison[Valeur 0-3],MATCH(ChoixRationBisons&amp;$BM45,Règles_bison[Ration]&amp;Règles_bison[Aliment],0)),0),0)*TotalBisonsMales_0_3_mois*SUM(NbreJoursNourrirBisonsDaims))</f>
        <v>0</v>
      </c>
      <c r="BU45" s="1075">
        <f t="shared" si="10"/>
        <v>0</v>
      </c>
      <c r="BV45" s="1345"/>
      <c r="BW45" s="1345"/>
      <c r="BX45" s="1321"/>
      <c r="BY45" s="1321"/>
      <c r="BZ45" s="1321"/>
      <c r="CA45" s="1321"/>
      <c r="CB45" s="1321"/>
      <c r="CC45" s="1321"/>
      <c r="CD45" s="1345"/>
      <c r="CE45" s="1345"/>
      <c r="CF45" s="1345"/>
      <c r="CG45" s="1345"/>
      <c r="CH45" s="1345"/>
      <c r="CI45" s="1321"/>
      <c r="CJ45" s="1200"/>
      <c r="CK45" s="1201"/>
      <c r="CL45" s="1201"/>
      <c r="CM45" s="1201"/>
      <c r="CN45" s="1201"/>
      <c r="CO45" s="1201"/>
      <c r="CP45" s="1201"/>
      <c r="CQ45" s="1202"/>
      <c r="CR45" s="1321"/>
      <c r="CS45" s="1176" t="s">
        <v>1292</v>
      </c>
      <c r="CT45" s="1177" t="s">
        <v>523</v>
      </c>
      <c r="CU45" s="1177" t="s">
        <v>1252</v>
      </c>
      <c r="CV45" s="1177">
        <v>0.18</v>
      </c>
      <c r="CW45" s="1177">
        <v>0.12</v>
      </c>
      <c r="CX45" s="1178">
        <v>0</v>
      </c>
      <c r="CY45" s="1321"/>
      <c r="CZ45" s="1176"/>
      <c r="DA45" s="1177"/>
      <c r="DB45" s="1177"/>
      <c r="DC45" s="1177"/>
      <c r="DD45" s="1177"/>
      <c r="DE45" s="1178"/>
      <c r="DF45" s="1321"/>
      <c r="DG45" s="1321"/>
      <c r="DH45" s="1321"/>
      <c r="DI45" s="1321"/>
      <c r="DJ45" s="1321"/>
      <c r="DK45" s="1321"/>
      <c r="DL45" s="1321"/>
      <c r="DM45" s="1321"/>
      <c r="DN45" s="1143" t="s">
        <v>833</v>
      </c>
      <c r="DO45" s="1143">
        <v>4</v>
      </c>
      <c r="DP45" s="1321"/>
      <c r="DQ45" s="1321"/>
      <c r="DR45" s="1321"/>
      <c r="DS45" s="1345"/>
      <c r="DT45" s="1346"/>
      <c r="DU45" s="1346"/>
      <c r="DV45" s="1075" t="s">
        <v>298</v>
      </c>
      <c r="DW45" s="1269">
        <f t="array" ref="DW45">IF(ChoixRationComplèteDaims=OUI,0,IFERROR(IF(OR(AND(INDEX(Règles_daims[Specificite],MATCH(ChoixRationDaims&amp;DV45,Règles_daims[Ration]&amp;Règles_daims[Aliment],0))="s1",IF(DV45=Spécificité1Daims,1)),
AND(INDEX(Règles_daims[Specificite],MATCH(ChoixRationDaims&amp;DV45,Règles_daims[Ration]&amp;Règles_daims[Aliment],0))="s2",IF(DV45=Spécificité2Daims,1)),
INDEX(Règles_daims[Specificite],MATCH(ChoixRationDaims&amp;DV45,Règles_daims[Ration]&amp;Règles_daims[Aliment],0))="c"),
INDEX(Règles_daims[Valeur 36 et plus],MATCH(ChoixRationDaims&amp;DV45,Règles_daims[Ration]&amp;Règles_daims[Aliment],0)),0),0)*SUM(TotalDaimsAdultes)*SUM(NbreJoursNourrirBisonsDaims))</f>
        <v>0</v>
      </c>
      <c r="DX45" s="1269">
        <f t="array" ref="DX45">IF(ChoixRationComplèteDaims=OUI,0,IFERROR(IF(OR(AND(INDEX(Règles_daims[Specificite],MATCH(ChoixRationDaims&amp;DV45,Règles_daims[Ration]&amp;Règles_daims[Aliment],0))="s1",IF(DV45=Spécificité1Daims,1)),
AND(INDEX(Règles_daims[Specificite],MATCH(ChoixRationDaims&amp;DV45,Règles_daims[Ration]&amp;Règles_daims[Aliment],0))="s2",IF(DV45=Spécificité2Daims,1)),
INDEX(Règles_daims[Specificite],MATCH(ChoixRationDaims&amp;DV45,Règles_daims[Ration]&amp;Règles_daims[Aliment],0))="c"),
INDEX(Règles_daims[Valeur 24-36],MATCH(ChoixRationDaims&amp;DV45,Règles_daims[Ration]&amp;Règles_daims[Aliment],0)),0),0)*SUM(TotalDaims24_36)*SUM(NbreJoursNourrirBisonsDaims))</f>
        <v>0</v>
      </c>
      <c r="DY45" s="1269">
        <f t="array" ref="DY45">IF(ChoixRationComplèteDaims=OUI,0,IFERROR(IF(OR(AND(INDEX(Règles_daims[Specificite],MATCH(ChoixRationDaims&amp;DV45,Règles_daims[Ration]&amp;Règles_daims[Aliment],0))="s1",IF(DV45=Spécificité1Daims,1)),
AND(INDEX(Règles_daims[Specificite],MATCH(ChoixRationDaims&amp;DV45,Règles_daims[Ration]&amp;Règles_daims[Aliment],0))="s2",IF(DV45=Spécificité2Daims,1)),
INDEX(Règles_daims[Specificite],MATCH(ChoixRationDaims&amp;DV45,Règles_daims[Ration]&amp;Règles_daims[Aliment],0))="c"),
INDEX(Règles_daims[Valeur 18-24],MATCH(ChoixRationDaims&amp;DV45,Règles_daims[Ration]&amp;Règles_daims[Aliment],0)),0),0)*SUM(TotalDaims18_24)*SUM(NbreJoursNourrirBisonsDaims))</f>
        <v>0</v>
      </c>
      <c r="DZ45" s="1280">
        <f t="array" ref="DZ45">IF(ChoixRationComplèteDaims=OUI,0,IFERROR(IF(OR(AND(INDEX(Règles_daims[Specificite],MATCH(ChoixRationDaims&amp;DV45,Règles_daims[Ration]&amp;Règles_daims[Aliment],0))="s1",IF(DV45=Spécificité1Daims,1)),
AND(INDEX(Règles_daims[Specificite],MATCH(ChoixRationDaims&amp;DV45,Règles_daims[Ration]&amp;Règles_daims[Aliment],0))="s2",IF(DV45=Spécificité2Daims,1)),
INDEX(Règles_daims[Specificite],MATCH(ChoixRationDaims&amp;DV45,Règles_daims[Ration]&amp;Règles_daims[Aliment],0))="c"),
INDEX(Règles_daims[Valeur 12-18],MATCH(ChoixRationDaims&amp;DV45,Règles_daims[Ration]&amp;Règles_daims[Aliment],0)),0),0)*SUM(TotalDaims12_18)*SUM(NbreJoursNourrirBisonsDaims))</f>
        <v>0</v>
      </c>
      <c r="EA45" s="1280">
        <f t="array" ref="EA45">IF(ChoixRationComplèteDaims=OUI,0,IFERROR(IF(OR(AND(INDEX(Règles_daims[Specificite],MATCH(ChoixRationDaims&amp;DV45,Règles_daims[Ration]&amp;Règles_daims[Aliment],0))="s1",IF(DV45=Spécificité1Daims,1)),
AND(INDEX(Règles_daims[Specificite],MATCH(ChoixRationDaims&amp;DV45,Règles_daims[Ration]&amp;Règles_daims[Aliment],0))="s2",IF(DV45=Spécificité2Daims,1)),
INDEX(Règles_daims[Specificite],MATCH(ChoixRationDaims&amp;DV45,Règles_daims[Ration]&amp;Règles_daims[Aliment],0))="c"),
INDEX(Règles_daims[Valeur 6-12],MATCH(ChoixRationDaims&amp;DV45,Règles_daims[Ration]&amp;Règles_daims[Aliment],0)),0),0)*SUM(TotalDaims6_12)*SUM(NbreJoursNourrirBisonsDaims))</f>
        <v>0</v>
      </c>
      <c r="EB45" s="1280">
        <f t="array" ref="EB45">IF(ChoixRationComplèteDaims=OUI,0,IFERROR(IF(OR(AND(INDEX(Règles_daims[Specificite],MATCH(ChoixRationDaims&amp;DV45,Règles_daims[Ration]&amp;Règles_daims[Aliment],0))="s1",IF(DV45=Spécificité1Daims,1)),
AND(INDEX(Règles_daims[Specificite],MATCH(ChoixRationDaims&amp;DV45,Règles_daims[Ration]&amp;Règles_daims[Aliment],0))="s2",IF(DV45=Spécificité2Daims,1)),
INDEX(Règles_daims[Specificite],MATCH(ChoixRationDaims&amp;DV45,Règles_daims[Ration]&amp;Règles_daims[Aliment],0))="c"),
INDEX(Règles_daims[Valeur 3-6],MATCH(ChoixRationDaims&amp;DV45,Règles_daims[Ration]&amp;Règles_daims[Aliment],0)),0),0)*SUM(TotalDaims3_6)*SUM(NbreJoursNourrirBisonsDaims))</f>
        <v>0</v>
      </c>
      <c r="EC45" s="1280">
        <f t="array" ref="EC45">IF(ChoixRationComplèteDaims=OUI,0,IFERROR(IF(OR(AND(INDEX(Règles_daims[Specificite],MATCH(ChoixRationDaims&amp;DV45,Règles_daims[Ration]&amp;Règles_daims[Aliment],0))="s1",IF(DV45=Spécificité1Daims,1)),
AND(INDEX(Règles_daims[Specificite],MATCH(ChoixRationDaims&amp;DV45,Règles_daims[Ration]&amp;Règles_daims[Aliment],0))="s2",IF(DV45=Spécificité2Daims,1)),
INDEX(Règles_daims[Specificite],MATCH(ChoixRationDaims&amp;DV45,Règles_daims[Ration]&amp;Règles_daims[Aliment],0))="c"),
INDEX(Règles_daims[Valeur 0-3],MATCH(ChoixRationDaims&amp;DV45,Règles_daims[Ration]&amp;Règles_daims[Aliment],0)),0),0)*SUM(TotalDaims0_3)*SUM(NbreJoursNourrirBisonsDaims))</f>
        <v>0</v>
      </c>
      <c r="ED45" s="1280">
        <f t="shared" si="9"/>
        <v>0</v>
      </c>
      <c r="EE45" s="1345"/>
      <c r="EF45" s="1321"/>
      <c r="EG45" s="1176"/>
      <c r="EH45" s="1177"/>
      <c r="EI45" s="1177"/>
      <c r="EJ45" s="1177"/>
      <c r="EK45" s="1177"/>
      <c r="EL45" s="1178"/>
      <c r="EM45" s="1321"/>
      <c r="EN45" s="1176"/>
      <c r="EO45" s="1177"/>
      <c r="EP45" s="1177"/>
      <c r="EQ45" s="1177"/>
      <c r="ER45" s="1177"/>
      <c r="ES45" s="1178"/>
      <c r="ET45" s="1321"/>
      <c r="EU45" s="1217" t="s">
        <v>1481</v>
      </c>
      <c r="EV45" s="1177" t="s">
        <v>733</v>
      </c>
      <c r="EW45" s="1177" t="s">
        <v>1252</v>
      </c>
      <c r="EX45" s="1177">
        <v>150</v>
      </c>
      <c r="EY45" s="1177">
        <v>100</v>
      </c>
      <c r="EZ45" s="1177">
        <v>70</v>
      </c>
      <c r="FA45" s="1178">
        <v>30</v>
      </c>
      <c r="FB45" s="1345"/>
      <c r="FC45" s="1346"/>
      <c r="FD45" s="1176" t="s">
        <v>1240</v>
      </c>
      <c r="FE45" s="1177" t="s">
        <v>733</v>
      </c>
      <c r="FF45" s="1177" t="s">
        <v>1252</v>
      </c>
      <c r="FG45" s="1177">
        <v>150</v>
      </c>
      <c r="FH45" s="1177">
        <v>100</v>
      </c>
      <c r="FI45" s="1177">
        <v>60</v>
      </c>
      <c r="FJ45" s="1178">
        <v>30</v>
      </c>
      <c r="FK45" s="1345"/>
      <c r="FL45" s="1345"/>
      <c r="FM45" s="1346"/>
      <c r="FN45" s="1176"/>
      <c r="FO45" s="1177"/>
      <c r="FP45" s="1177"/>
      <c r="FQ45" s="1177"/>
      <c r="FR45" s="1177"/>
      <c r="FS45" s="1177"/>
      <c r="FT45" s="1191"/>
      <c r="FU45" s="1345"/>
      <c r="FV45" s="1345"/>
      <c r="FW45" s="823" t="s">
        <v>285</v>
      </c>
      <c r="FX45" s="828">
        <f t="array" ref="FX4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45" s="828">
        <f t="array" ref="FY4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45" s="828">
        <f t="array" ref="FZ4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45" s="828">
        <f t="array" ref="GA4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45" s="829">
        <f>SUM(AlimentsGavageOies[[#This Row],[Valeur 3 et plus]:[Valeur 0-1]])</f>
        <v>0</v>
      </c>
      <c r="GC45" s="1364"/>
      <c r="GD45" s="1321"/>
      <c r="GE45" s="1149" t="s">
        <v>246</v>
      </c>
      <c r="GF45" s="1321"/>
      <c r="GG45" s="1149" t="s">
        <v>374</v>
      </c>
      <c r="GH45" s="1321" t="s">
        <v>1349</v>
      </c>
      <c r="GI45" s="1321" t="s">
        <v>1349</v>
      </c>
      <c r="GJ45" s="1321" t="s">
        <v>1349</v>
      </c>
      <c r="GK45" s="1321" t="s">
        <v>1349</v>
      </c>
      <c r="GL45" s="1321" t="s">
        <v>1349</v>
      </c>
      <c r="GM45" s="1321" t="s">
        <v>1349</v>
      </c>
      <c r="GN45" s="1321" t="s">
        <v>1349</v>
      </c>
      <c r="GO45" s="1321" t="s">
        <v>1349</v>
      </c>
      <c r="GP45" s="1321" t="s">
        <v>1349</v>
      </c>
      <c r="GQ45" s="1321" t="s">
        <v>1349</v>
      </c>
      <c r="GR45" s="1321" t="s">
        <v>1349</v>
      </c>
      <c r="GS45" s="1321" t="s">
        <v>1349</v>
      </c>
      <c r="GT45" s="1321" t="s">
        <v>1349</v>
      </c>
      <c r="GU45" s="1321" t="s">
        <v>1349</v>
      </c>
      <c r="GV45" s="1321" t="s">
        <v>1349</v>
      </c>
      <c r="GW45" s="1321"/>
      <c r="GX45" s="1321"/>
      <c r="GY45" s="1082" t="str">
        <f t="shared" si="11"/>
        <v>semences de brome</v>
      </c>
      <c r="GZ45" s="1082"/>
      <c r="HA45" s="1085"/>
      <c r="HB45" s="1085">
        <f>IF(COUNTIF(TypeArticleDansEntrepôt,GY45)=0,0,SUMIF(TypeArticleDansEntrepôt,GY45,QtéArticleDansEntrepôt)*VLOOKUP(GY45,place_necessaire_entrepots_aire_paille[],2,FALSE))</f>
        <v>0</v>
      </c>
      <c r="HC45" s="1321"/>
      <c r="HD45" s="1321"/>
      <c r="HE45" s="1321"/>
      <c r="HF45" s="1321"/>
      <c r="HG45" s="1321"/>
      <c r="HH45" s="1321"/>
      <c r="HI45" s="1321"/>
      <c r="HJ45" s="1321"/>
      <c r="HK45" s="1321"/>
      <c r="HL45" s="1321"/>
      <c r="HM45" s="1321"/>
      <c r="HN45" s="1097"/>
      <c r="HO45" s="1089">
        <f>ROUNDUP(SUM(HO46:HO93),0)</f>
        <v>0</v>
      </c>
      <c r="HP45" s="1090">
        <f t="shared" ref="HP45:HV45" si="12">ROUNDUP(SUM(HP46:HP93),0)</f>
        <v>0</v>
      </c>
      <c r="HQ45" s="1090">
        <f t="shared" si="12"/>
        <v>0</v>
      </c>
      <c r="HR45" s="1090">
        <f t="shared" si="12"/>
        <v>0</v>
      </c>
      <c r="HS45" s="1090">
        <f t="shared" si="12"/>
        <v>0</v>
      </c>
      <c r="HT45" s="1090">
        <f t="shared" si="12"/>
        <v>0</v>
      </c>
      <c r="HU45" s="1090">
        <f t="shared" si="12"/>
        <v>0</v>
      </c>
      <c r="HV45" s="1090">
        <f t="shared" si="12"/>
        <v>0</v>
      </c>
      <c r="HW45" s="1091">
        <f>ROUNDUP(SUM(HW46:HW93),0)</f>
        <v>0</v>
      </c>
      <c r="HX45" s="1311"/>
      <c r="HY45" s="1096"/>
      <c r="HZ45" s="1096"/>
      <c r="IA45" s="1097"/>
      <c r="IB45" s="1089">
        <f>ROUNDUP(SUM(IB46:IB93),0)</f>
        <v>0</v>
      </c>
      <c r="IC45" s="1090">
        <f>ROUNDUP(SUM(IC46:IC93),0)</f>
        <v>0</v>
      </c>
      <c r="ID45" s="1090">
        <f>ROUNDUP(SUM(ID46:ID93),0)</f>
        <v>0</v>
      </c>
      <c r="IE45" s="1090">
        <f t="shared" ref="IE45:IJ45" si="13">ROUNDUP(SUM(IE46:IE93),0)</f>
        <v>0</v>
      </c>
      <c r="IF45" s="1090">
        <f t="shared" si="13"/>
        <v>0</v>
      </c>
      <c r="IG45" s="1090">
        <f t="shared" si="13"/>
        <v>0</v>
      </c>
      <c r="IH45" s="1090">
        <f t="shared" si="13"/>
        <v>0</v>
      </c>
      <c r="II45" s="1090">
        <f t="shared" si="13"/>
        <v>0</v>
      </c>
      <c r="IJ45" s="1091">
        <f t="shared" si="13"/>
        <v>0</v>
      </c>
      <c r="IK45" s="1098"/>
      <c r="IL45" s="1096"/>
      <c r="IM45" s="1096"/>
      <c r="IN45" s="1368"/>
    </row>
    <row r="46" spans="1:248" ht="12.75" customHeight="1" x14ac:dyDescent="0.2">
      <c r="A46" s="1307" t="s">
        <v>1096</v>
      </c>
      <c r="B46" s="1177" t="s">
        <v>354</v>
      </c>
      <c r="C46" s="1177">
        <v>0.3</v>
      </c>
      <c r="D46" s="1178">
        <v>0</v>
      </c>
      <c r="E46" s="1321"/>
      <c r="F46" s="1149" t="s">
        <v>850</v>
      </c>
      <c r="G46" s="1149"/>
      <c r="H46" s="1149"/>
      <c r="I46" s="1149">
        <v>3</v>
      </c>
      <c r="J46" s="1321"/>
      <c r="K46" s="1321"/>
      <c r="L46" s="1321"/>
      <c r="M46" s="1321"/>
      <c r="N46" s="1321"/>
      <c r="O46" s="1149" t="s">
        <v>530</v>
      </c>
      <c r="P46" s="1149">
        <v>7.3</v>
      </c>
      <c r="Q46" s="1149">
        <v>7</v>
      </c>
      <c r="R46" s="1149">
        <v>6.5</v>
      </c>
      <c r="S46" s="1149">
        <v>5.2</v>
      </c>
      <c r="T46" s="1149">
        <v>5.0999999999999996</v>
      </c>
      <c r="U46" s="1149">
        <v>6.4</v>
      </c>
      <c r="V46" s="1149"/>
      <c r="W46" s="1149">
        <v>8.5</v>
      </c>
      <c r="X46" s="1149">
        <v>13.2</v>
      </c>
      <c r="Y46" s="1149">
        <v>0</v>
      </c>
      <c r="Z46" s="1149">
        <v>3.4</v>
      </c>
      <c r="AA46" s="1149">
        <v>2.5</v>
      </c>
      <c r="AB46" s="1149">
        <v>4.2</v>
      </c>
      <c r="AC46" s="1149">
        <v>4.2</v>
      </c>
      <c r="AD46" s="1149">
        <v>0</v>
      </c>
      <c r="AE46" s="1149">
        <v>0</v>
      </c>
      <c r="AF46" s="1149">
        <v>24.6</v>
      </c>
      <c r="AG46" s="1149">
        <v>0.8</v>
      </c>
      <c r="AH46" s="1149">
        <v>7</v>
      </c>
      <c r="AI46" s="1149">
        <v>23</v>
      </c>
      <c r="AJ46" s="1149">
        <v>13</v>
      </c>
      <c r="AK46" s="1149">
        <v>0</v>
      </c>
      <c r="AL46" s="1149">
        <v>0</v>
      </c>
      <c r="AM46" s="1149"/>
      <c r="AN46" s="1149">
        <v>3</v>
      </c>
      <c r="AO46" s="1149">
        <v>22</v>
      </c>
      <c r="AP46" s="1149">
        <v>0</v>
      </c>
      <c r="AQ46" s="1149">
        <v>0</v>
      </c>
      <c r="AR46" s="1149">
        <v>0</v>
      </c>
      <c r="AS46" s="1149">
        <v>0</v>
      </c>
      <c r="AT46" s="1149">
        <v>0</v>
      </c>
      <c r="AU46" s="1149">
        <v>0</v>
      </c>
      <c r="AV46" s="1149">
        <v>0</v>
      </c>
      <c r="AW46" s="1149">
        <v>8.5</v>
      </c>
      <c r="AX46" s="1149">
        <v>10</v>
      </c>
      <c r="AY46" s="1149">
        <v>10</v>
      </c>
      <c r="AZ46" s="1321"/>
      <c r="BA46" s="1321"/>
      <c r="BB46" s="1321"/>
      <c r="BC46" s="1143" t="s">
        <v>1044</v>
      </c>
      <c r="BD46" s="1210">
        <v>265</v>
      </c>
      <c r="BE46" s="1321"/>
      <c r="BF46" s="1143" t="s">
        <v>1044</v>
      </c>
      <c r="BG46" s="1210">
        <v>318</v>
      </c>
      <c r="BH46" s="1321"/>
      <c r="BI46" s="1321"/>
      <c r="BJ46" s="1321"/>
      <c r="BK46" s="1345"/>
      <c r="BL46" s="1348"/>
      <c r="BM46" s="1076" t="s">
        <v>728</v>
      </c>
      <c r="BN46" s="1076">
        <f t="array" ref="BN46">IF(Ration_hivernale_complète_bisons[somme]&gt;0,0,IFERROR(IF(OR(AND(INDEX(Règles_bison[Specificite],MATCH(ChoixRationBisons&amp;$BM46,Règles_bison[Ration]&amp;Règles_bison[Aliment],0))="s1",IF($BM46=ChoixSpécificité1Bisons,1)),
AND(INDEX(Règles_bison[Specificite],MATCH(ChoixRationBisons&amp;$BM46,Règles_bison[Ration]&amp;Règles_bison[Aliment],0))="s2",IF($BM46=ChoixSpécificité2Bisons,1)),INDEX(Règles_bison[Specificite],MATCH(ChoixRationBisons&amp;$BM46,Règles_bison[Ration]&amp;Règles_bison[Aliment],0))="c"),
INDEX(Règles_bison[Valeur 36 et plus],MATCH(ChoixRationBisons&amp;$BM46,Règles_bison[Ration]&amp;Règles_bison[Aliment],0)),0),0)*TotalBisonsMalesAdultes*SUM(NbreJoursNourrirBisonsDaims))</f>
        <v>0</v>
      </c>
      <c r="BO46" s="1076">
        <f t="array" ref="BO46">IF(Ration_hivernale_complète_bisons[somme]&gt;0,0,IFERROR(IF(OR(AND(INDEX(Règles_bison[Specificite],MATCH(ChoixRationBisons&amp;$BM46,Règles_bison[Ration]&amp;Règles_bison[Aliment],0))="s1",IF($BM46=ChoixSpécificité1Bisons,1)),
AND(INDEX(Règles_bison[Specificite],MATCH(ChoixRationBisons&amp;$BM46,Règles_bison[Ration]&amp;Règles_bison[Aliment],0))="s2",IF($BM46=ChoixSpécificité2Bisons,1)),INDEX(Règles_bison[Specificite],MATCH(ChoixRationBisons&amp;$BM46,Règles_bison[Ration]&amp;Règles_bison[Aliment],0))="c"),
INDEX(Règles_bison[Valeur 24-36],MATCH(ChoixRationBisons&amp;$BM46,Règles_bison[Ration]&amp;Règles_bison[Aliment],0)),0),0)*TotalBisonsMales_24_36_mois*SUM(NbreJoursNourrirBisonsDaims))</f>
        <v>0</v>
      </c>
      <c r="BP46" s="1076">
        <f t="array" ref="BP46">IF(Ration_hivernale_complète_bisons[somme]&gt;0,0,IFERROR(IF(OR(AND(INDEX(Règles_bison[Specificite],MATCH(ChoixRationBisons&amp;$BM46,Règles_bison[Ration]&amp;Règles_bison[Aliment],0))="s1",IF($BM46=ChoixSpécificité1Bisons,1)),
AND(INDEX(Règles_bison[Specificite],MATCH(ChoixRationBisons&amp;$BM46,Règles_bison[Ration]&amp;Règles_bison[Aliment],0))="s2",IF($BM46=ChoixSpécificité2Bisons,1)),INDEX(Règles_bison[Specificite],MATCH(ChoixRationBisons&amp;$BM46,Règles_bison[Ration]&amp;Règles_bison[Aliment],0))="c"),
INDEX(Règles_bison[Valeur 18-24],MATCH(ChoixRationBisons&amp;$BM46,Règles_bison[Ration]&amp;Règles_bison[Aliment],0)),0),0)*TotalBisonsMales_18_24_mois*SUM(NbreJoursNourrirBisonsDaims))</f>
        <v>0</v>
      </c>
      <c r="BQ46" s="1076">
        <f t="array" ref="BQ46">IF(Ration_hivernale_complète_bisons[somme]&gt;0,0,IFERROR(IF(OR(AND(INDEX(Règles_bison[Specificite],MATCH(ChoixRationBisons&amp;$BM46,Règles_bison[Ration]&amp;Règles_bison[Aliment],0))="s1",IF($BM46=ChoixSpécificité1Bisons,1)),
AND(INDEX(Règles_bison[Specificite],MATCH(ChoixRationBisons&amp;$BM46,Règles_bison[Ration]&amp;Règles_bison[Aliment],0))="s2",IF($BM46=ChoixSpécificité2Bisons,1)),INDEX(Règles_bison[Specificite],MATCH(ChoixRationBisons&amp;$BM46,Règles_bison[Ration]&amp;Règles_bison[Aliment],0))="c"),
INDEX(Règles_bison[Valeur 12-18],MATCH(ChoixRationBisons&amp;$BM46,Règles_bison[Ration]&amp;Règles_bison[Aliment],0)),0),0)*TotalBisonsMales_12_18_mois*SUM(NbreJoursNourrirBisonsDaims))</f>
        <v>0</v>
      </c>
      <c r="BR46" s="1076">
        <f t="array" ref="BR46">IF(Ration_hivernale_complète_bisons[somme]&gt;0,0,IFERROR(IF(OR(AND(INDEX(Règles_bison[Specificite],MATCH(ChoixRationBisons&amp;$BM46,Règles_bison[Ration]&amp;Règles_bison[Aliment],0))="s1",IF($BM46=ChoixSpécificité1Bisons,1)),
AND(INDEX(Règles_bison[Specificite],MATCH(ChoixRationBisons&amp;$BM46,Règles_bison[Ration]&amp;Règles_bison[Aliment],0))="s2",IF($BM46=ChoixSpécificité2Bisons,1)),INDEX(Règles_bison[Specificite],MATCH(ChoixRationBisons&amp;$BM46,Règles_bison[Ration]&amp;Règles_bison[Aliment],0))="c"),
INDEX(Règles_bison[Valeur 6-12],MATCH(ChoixRationBisons&amp;$BM46,Règles_bison[Ration]&amp;Règles_bison[Aliment],0)),0),0)*TotalBisonsMales_6_12_mois*SUM(NbreJoursNourrirBisonsDaims))</f>
        <v>0</v>
      </c>
      <c r="BS46" s="1076">
        <f t="array" ref="BS46">IF(Ration_hivernale_complète_bisons[somme]&gt;0,0,IFERROR(IF(OR(AND(INDEX(Règles_bison[Specificite],MATCH(ChoixRationBisons&amp;$BM46,Règles_bison[Ration]&amp;Règles_bison[Aliment],0))="s1",IF($BM46=ChoixSpécificité1Bisons,1)),
AND(INDEX(Règles_bison[Specificite],MATCH(ChoixRationBisons&amp;$BM46,Règles_bison[Ration]&amp;Règles_bison[Aliment],0))="s2",IF($BM46=ChoixSpécificité2Bisons,1)),INDEX(Règles_bison[Specificite],MATCH(ChoixRationBisons&amp;$BM46,Règles_bison[Ration]&amp;Règles_bison[Aliment],0))="c"),
INDEX(Règles_bison[Valeur 3-6],MATCH(ChoixRationBisons&amp;$BM46,Règles_bison[Ration]&amp;Règles_bison[Aliment],0)),0),0)*TotalBisonsMales_3_6_mois*SUM(NbreJoursNourrirBisonsDaims))</f>
        <v>0</v>
      </c>
      <c r="BT46" s="1076">
        <f t="array" ref="BT46">IF(Ration_hivernale_complète_bisons[somme]&gt;0,0,IFERROR(IF(OR(AND(INDEX(Règles_bison[Specificite],MATCH(ChoixRationBisons&amp;$BM46,Règles_bison[Ration]&amp;Règles_bison[Aliment],0))="s1",IF($BM46=ChoixSpécificité1Bisons,1)),
AND(INDEX(Règles_bison[Specificite],MATCH(ChoixRationBisons&amp;$BM46,Règles_bison[Ration]&amp;Règles_bison[Aliment],0))="s2",IF($BM46=ChoixSpécificité2Bisons,1)),INDEX(Règles_bison[Specificite],MATCH(ChoixRationBisons&amp;$BM46,Règles_bison[Ration]&amp;Règles_bison[Aliment],0))="c"),
INDEX(Règles_bison[Valeur 0-3],MATCH(ChoixRationBisons&amp;$BM46,Règles_bison[Ration]&amp;Règles_bison[Aliment],0)),0),0)*TotalBisonsMales_0_3_mois*SUM(NbreJoursNourrirBisonsDaims))</f>
        <v>0</v>
      </c>
      <c r="BU46" s="1076">
        <f t="shared" si="10"/>
        <v>0</v>
      </c>
      <c r="BV46" s="1345"/>
      <c r="BW46" s="1345"/>
      <c r="BX46" s="1321"/>
      <c r="BY46" s="1321"/>
      <c r="BZ46" s="1321"/>
      <c r="CA46" s="1321"/>
      <c r="CB46" s="1321"/>
      <c r="CC46" s="1321"/>
      <c r="CD46" s="1345"/>
      <c r="CE46" s="1345"/>
      <c r="CF46" s="1345"/>
      <c r="CG46" s="1345"/>
      <c r="CH46" s="1345"/>
      <c r="CI46" s="1321"/>
      <c r="CJ46" s="1321"/>
      <c r="CK46" s="1321"/>
      <c r="CL46" s="1321"/>
      <c r="CM46" s="1321"/>
      <c r="CN46" s="1321"/>
      <c r="CO46" s="1321"/>
      <c r="CP46" s="1321"/>
      <c r="CQ46" s="1321"/>
      <c r="CR46" s="1321"/>
      <c r="CS46" s="1176" t="s">
        <v>1292</v>
      </c>
      <c r="CT46" s="1177" t="s">
        <v>1719</v>
      </c>
      <c r="CU46" s="1177" t="s">
        <v>1252</v>
      </c>
      <c r="CV46" s="1177">
        <v>0</v>
      </c>
      <c r="CW46" s="1177">
        <v>0</v>
      </c>
      <c r="CX46" s="1178">
        <v>0.04</v>
      </c>
      <c r="CY46" s="1321"/>
      <c r="CZ46" s="1176"/>
      <c r="DA46" s="1177"/>
      <c r="DB46" s="1177"/>
      <c r="DC46" s="1177"/>
      <c r="DD46" s="1177"/>
      <c r="DE46" s="1178"/>
      <c r="DF46" s="1321"/>
      <c r="DG46" s="1336" t="s">
        <v>1709</v>
      </c>
      <c r="DH46" s="1336"/>
      <c r="DI46" s="1336"/>
      <c r="DJ46" s="1336"/>
      <c r="DK46" s="1336"/>
      <c r="DL46" s="1321"/>
      <c r="DM46" s="1364"/>
      <c r="DN46" s="1149" t="s">
        <v>834</v>
      </c>
      <c r="DO46" s="1149">
        <v>4</v>
      </c>
      <c r="DP46" s="1321"/>
      <c r="DQ46" s="1321"/>
      <c r="DR46" s="1321"/>
      <c r="DS46" s="1345"/>
      <c r="DT46" s="1346"/>
      <c r="DU46" s="1346"/>
      <c r="DV46" s="1076" t="s">
        <v>219</v>
      </c>
      <c r="DW46" s="1267">
        <f t="array" ref="DW46">IF(ChoixRationComplèteDaims=OUI,0,IFERROR(IF(OR(AND(INDEX(Règles_daims[Specificite],MATCH(ChoixRationDaims&amp;DV46,Règles_daims[Ration]&amp;Règles_daims[Aliment],0))="s1",IF(DV46=Spécificité1Daims,1)),
AND(INDEX(Règles_daims[Specificite],MATCH(ChoixRationDaims&amp;DV46,Règles_daims[Ration]&amp;Règles_daims[Aliment],0))="s2",IF(DV46=Spécificité2Daims,1)),
INDEX(Règles_daims[Specificite],MATCH(ChoixRationDaims&amp;DV46,Règles_daims[Ration]&amp;Règles_daims[Aliment],0))="c"),
INDEX(Règles_daims[Valeur 36 et plus],MATCH(ChoixRationDaims&amp;DV46,Règles_daims[Ration]&amp;Règles_daims[Aliment],0)),0),0)*SUM(TotalDaimsAdultes)*SUM(NbreJoursNourrirBisonsDaims))</f>
        <v>0</v>
      </c>
      <c r="DX46" s="1267">
        <f t="array" ref="DX46">IF(ChoixRationComplèteDaims=OUI,0,IFERROR(IF(OR(AND(INDEX(Règles_daims[Specificite],MATCH(ChoixRationDaims&amp;DV46,Règles_daims[Ration]&amp;Règles_daims[Aliment],0))="s1",IF(DV46=Spécificité1Daims,1)),
AND(INDEX(Règles_daims[Specificite],MATCH(ChoixRationDaims&amp;DV46,Règles_daims[Ration]&amp;Règles_daims[Aliment],0))="s2",IF(DV46=Spécificité2Daims,1)),
INDEX(Règles_daims[Specificite],MATCH(ChoixRationDaims&amp;DV46,Règles_daims[Ration]&amp;Règles_daims[Aliment],0))="c"),
INDEX(Règles_daims[Valeur 24-36],MATCH(ChoixRationDaims&amp;DV46,Règles_daims[Ration]&amp;Règles_daims[Aliment],0)),0),0)*SUM(TotalDaims24_36)*SUM(NbreJoursNourrirBisonsDaims))</f>
        <v>0</v>
      </c>
      <c r="DY46" s="1267">
        <f t="array" ref="DY46">IF(ChoixRationComplèteDaims=OUI,0,IFERROR(IF(OR(AND(INDEX(Règles_daims[Specificite],MATCH(ChoixRationDaims&amp;DV46,Règles_daims[Ration]&amp;Règles_daims[Aliment],0))="s1",IF(DV46=Spécificité1Daims,1)),
AND(INDEX(Règles_daims[Specificite],MATCH(ChoixRationDaims&amp;DV46,Règles_daims[Ration]&amp;Règles_daims[Aliment],0))="s2",IF(DV46=Spécificité2Daims,1)),
INDEX(Règles_daims[Specificite],MATCH(ChoixRationDaims&amp;DV46,Règles_daims[Ration]&amp;Règles_daims[Aliment],0))="c"),
INDEX(Règles_daims[Valeur 18-24],MATCH(ChoixRationDaims&amp;DV46,Règles_daims[Ration]&amp;Règles_daims[Aliment],0)),0),0)*SUM(TotalDaims18_24)*SUM(NbreJoursNourrirBisonsDaims))</f>
        <v>0</v>
      </c>
      <c r="DZ46" s="1279">
        <f t="array" ref="DZ46">IF(ChoixRationComplèteDaims=OUI,0,IFERROR(IF(OR(AND(INDEX(Règles_daims[Specificite],MATCH(ChoixRationDaims&amp;DV46,Règles_daims[Ration]&amp;Règles_daims[Aliment],0))="s1",IF(DV46=Spécificité1Daims,1)),
AND(INDEX(Règles_daims[Specificite],MATCH(ChoixRationDaims&amp;DV46,Règles_daims[Ration]&amp;Règles_daims[Aliment],0))="s2",IF(DV46=Spécificité2Daims,1)),
INDEX(Règles_daims[Specificite],MATCH(ChoixRationDaims&amp;DV46,Règles_daims[Ration]&amp;Règles_daims[Aliment],0))="c"),
INDEX(Règles_daims[Valeur 12-18],MATCH(ChoixRationDaims&amp;DV46,Règles_daims[Ration]&amp;Règles_daims[Aliment],0)),0),0)*SUM(TotalDaims12_18)*SUM(NbreJoursNourrirBisonsDaims))</f>
        <v>0</v>
      </c>
      <c r="EA46" s="1279">
        <f t="array" ref="EA46">IF(ChoixRationComplèteDaims=OUI,0,IFERROR(IF(OR(AND(INDEX(Règles_daims[Specificite],MATCH(ChoixRationDaims&amp;DV46,Règles_daims[Ration]&amp;Règles_daims[Aliment],0))="s1",IF(DV46=Spécificité1Daims,1)),
AND(INDEX(Règles_daims[Specificite],MATCH(ChoixRationDaims&amp;DV46,Règles_daims[Ration]&amp;Règles_daims[Aliment],0))="s2",IF(DV46=Spécificité2Daims,1)),
INDEX(Règles_daims[Specificite],MATCH(ChoixRationDaims&amp;DV46,Règles_daims[Ration]&amp;Règles_daims[Aliment],0))="c"),
INDEX(Règles_daims[Valeur 6-12],MATCH(ChoixRationDaims&amp;DV46,Règles_daims[Ration]&amp;Règles_daims[Aliment],0)),0),0)*SUM(TotalDaims6_12)*SUM(NbreJoursNourrirBisonsDaims))</f>
        <v>0</v>
      </c>
      <c r="EB46" s="1279">
        <f t="array" ref="EB46">IF(ChoixRationComplèteDaims=OUI,0,IFERROR(IF(OR(AND(INDEX(Règles_daims[Specificite],MATCH(ChoixRationDaims&amp;DV46,Règles_daims[Ration]&amp;Règles_daims[Aliment],0))="s1",IF(DV46=Spécificité1Daims,1)),
AND(INDEX(Règles_daims[Specificite],MATCH(ChoixRationDaims&amp;DV46,Règles_daims[Ration]&amp;Règles_daims[Aliment],0))="s2",IF(DV46=Spécificité2Daims,1)),
INDEX(Règles_daims[Specificite],MATCH(ChoixRationDaims&amp;DV46,Règles_daims[Ration]&amp;Règles_daims[Aliment],0))="c"),
INDEX(Règles_daims[Valeur 3-6],MATCH(ChoixRationDaims&amp;DV46,Règles_daims[Ration]&amp;Règles_daims[Aliment],0)),0),0)*SUM(TotalDaims3_6)*SUM(NbreJoursNourrirBisonsDaims))</f>
        <v>0</v>
      </c>
      <c r="EC46" s="1279">
        <f t="array" ref="EC46">IF(ChoixRationComplèteDaims=OUI,0,IFERROR(IF(OR(AND(INDEX(Règles_daims[Specificite],MATCH(ChoixRationDaims&amp;DV46,Règles_daims[Ration]&amp;Règles_daims[Aliment],0))="s1",IF(DV46=Spécificité1Daims,1)),
AND(INDEX(Règles_daims[Specificite],MATCH(ChoixRationDaims&amp;DV46,Règles_daims[Ration]&amp;Règles_daims[Aliment],0))="s2",IF(DV46=Spécificité2Daims,1)),
INDEX(Règles_daims[Specificite],MATCH(ChoixRationDaims&amp;DV46,Règles_daims[Ration]&amp;Règles_daims[Aliment],0))="c"),
INDEX(Règles_daims[Valeur 0-3],MATCH(ChoixRationDaims&amp;DV46,Règles_daims[Ration]&amp;Règles_daims[Aliment],0)),0),0)*SUM(TotalDaims0_3)*SUM(NbreJoursNourrirBisonsDaims))</f>
        <v>0</v>
      </c>
      <c r="ED46" s="1279">
        <f t="shared" si="9"/>
        <v>0</v>
      </c>
      <c r="EE46" s="1345"/>
      <c r="EF46" s="1321"/>
      <c r="EG46" s="1176"/>
      <c r="EH46" s="1177"/>
      <c r="EI46" s="1177"/>
      <c r="EJ46" s="1177"/>
      <c r="EK46" s="1177"/>
      <c r="EL46" s="1178"/>
      <c r="EM46" s="1321"/>
      <c r="EN46" s="1176"/>
      <c r="EO46" s="1177"/>
      <c r="EP46" s="1177"/>
      <c r="EQ46" s="1177"/>
      <c r="ER46" s="1177"/>
      <c r="ES46" s="1178"/>
      <c r="ET46" s="1321"/>
      <c r="EU46" s="1176" t="s">
        <v>1240</v>
      </c>
      <c r="EV46" s="1177" t="s">
        <v>723</v>
      </c>
      <c r="EW46" s="1177" t="s">
        <v>1277</v>
      </c>
      <c r="EX46" s="1177">
        <v>22.2</v>
      </c>
      <c r="EY46" s="1177">
        <v>16.649999999999999</v>
      </c>
      <c r="EZ46" s="1177">
        <v>11.1</v>
      </c>
      <c r="FA46" s="1178">
        <v>5.55</v>
      </c>
      <c r="FB46" s="1345"/>
      <c r="FC46" s="1346"/>
      <c r="FD46" s="1176"/>
      <c r="FE46" s="1177"/>
      <c r="FF46" s="1177"/>
      <c r="FG46" s="1177"/>
      <c r="FH46" s="1177"/>
      <c r="FI46" s="1177"/>
      <c r="FJ46" s="1191"/>
      <c r="FK46" s="1345"/>
      <c r="FL46" s="1345"/>
      <c r="FM46" s="1346"/>
      <c r="FN46" s="1176"/>
      <c r="FO46" s="1177"/>
      <c r="FP46" s="1177"/>
      <c r="FQ46" s="1177"/>
      <c r="FR46" s="1177"/>
      <c r="FS46" s="1177"/>
      <c r="FT46" s="1191"/>
      <c r="FU46" s="1345"/>
      <c r="FV46" s="1345"/>
      <c r="FW46" s="823" t="s">
        <v>730</v>
      </c>
      <c r="FX46" s="828">
        <f t="array" ref="FX4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46" s="828">
        <f t="array" ref="FY4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46" s="828">
        <f t="array" ref="FZ4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46" s="828">
        <f t="array" ref="GA4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46" s="829">
        <f>SUM(AlimentsGavageOies[[#This Row],[Valeur 3 et plus]:[Valeur 0-1]])</f>
        <v>0</v>
      </c>
      <c r="GC46" s="1364"/>
      <c r="GD46" s="1321"/>
      <c r="GE46" s="1143" t="s">
        <v>418</v>
      </c>
      <c r="GF46" s="1321"/>
      <c r="GG46" s="1143" t="s">
        <v>375</v>
      </c>
      <c r="GH46" s="1321" t="s">
        <v>1349</v>
      </c>
      <c r="GI46" s="1321" t="s">
        <v>1349</v>
      </c>
      <c r="GJ46" s="1321" t="s">
        <v>1349</v>
      </c>
      <c r="GK46" s="1321" t="s">
        <v>1349</v>
      </c>
      <c r="GL46" s="1321" t="s">
        <v>1349</v>
      </c>
      <c r="GM46" s="1321" t="s">
        <v>1349</v>
      </c>
      <c r="GN46" s="1321" t="s">
        <v>1349</v>
      </c>
      <c r="GO46" s="1321" t="s">
        <v>1349</v>
      </c>
      <c r="GP46" s="1321" t="s">
        <v>1349</v>
      </c>
      <c r="GQ46" s="1321" t="s">
        <v>1349</v>
      </c>
      <c r="GR46" s="1321" t="s">
        <v>1349</v>
      </c>
      <c r="GS46" s="1321" t="s">
        <v>1349</v>
      </c>
      <c r="GT46" s="1321" t="s">
        <v>1349</v>
      </c>
      <c r="GU46" s="1321" t="s">
        <v>1349</v>
      </c>
      <c r="GV46" s="1321" t="s">
        <v>1349</v>
      </c>
      <c r="GW46" s="1321"/>
      <c r="GX46" s="1321"/>
      <c r="GY46" s="1083" t="str">
        <f t="shared" si="11"/>
        <v>semences d'orge (G)</v>
      </c>
      <c r="GZ46" s="1083"/>
      <c r="HA46" s="1084"/>
      <c r="HB46" s="1084">
        <f>IF(COUNTIF(TypeArticleDansEntrepôt,GY46)=0,0,SUMIF(TypeArticleDansEntrepôt,GY46,QtéArticleDansEntrepôt)*VLOOKUP(GY46,place_necessaire_entrepots_aire_paille[],2,FALSE))</f>
        <v>0</v>
      </c>
      <c r="HC46" s="1321"/>
      <c r="HD46" s="1321"/>
      <c r="HE46" s="1321"/>
      <c r="HF46" s="1321"/>
      <c r="HG46" s="1321"/>
      <c r="HH46" s="1321"/>
      <c r="HI46" s="1321"/>
      <c r="HJ46" s="1321"/>
      <c r="HK46" s="1321"/>
      <c r="HL46" s="1321"/>
      <c r="HM46" s="1321"/>
      <c r="HN46" s="1084" t="str">
        <f>IF(parcelles!B94="","",(VLOOKUP(parcelles!C94,BDD!$HN$5:$HU$38,2,FALSE))*parcelles!E94)</f>
        <v/>
      </c>
      <c r="HO46" s="1094" t="str">
        <f>IF(parcelles!B94="","",IF(OR(parcelles!C94=Moutarde,parcelles!C94=Phacélie),0,IF(parcelles!C94=Luzerne,10*parcelles!E94*VLOOKUP(parcelles!C94,BDD!$HN$5:$HU$38,3,FALSE),IF(parcelles!C94=Miscanthus,10.5*parcelles!E94*VLOOKUP(parcelles!C94,BDD!$HN$5:$HU$38,3,FALSE),INDEX(parcelles!$C$56:'parcelles'!$Y$77,MATCH(parcelles!B94,parcelles!$B$56:'parcelles'!$B$77,0),MATCH(parcelles!C94,parcelles!$C$53:'parcelles'!$Y$53,0))*parcelles!E94*VLOOKUP(parcelles!C94,BDD!$HN$5:$HU$38,3,FALSE)))))</f>
        <v/>
      </c>
      <c r="HP46" s="1094" t="str">
        <f>IF(parcelles!B94="","",IF(OR(parcelles!C94=Moutarde,parcelles!C94=Phacélie),0,IF(parcelles!C94=Luzerne,10*parcelles!E94*VLOOKUP(parcelles!C94,BDD!$HN$5:$HU$38,4,FALSE),IF(parcelles!C94=Miscanthus,10.5*parcelles!E94*VLOOKUP(parcelles!C94,BDD!$HN$5:$HU$38,4,FALSE),INDEX(parcelles!$C$56:'parcelles'!$Y$77,MATCH(parcelles!B94,parcelles!$B$56:'parcelles'!$B$77,0),MATCH(parcelles!C94,parcelles!$C$53:'parcelles'!$Y$53,0))*parcelles!E94*VLOOKUP(parcelles!C94,BDD!$HN$5:$HU$38,4,FALSE)))))</f>
        <v/>
      </c>
      <c r="HQ46" s="1094" t="str">
        <f>IF(parcelles!B94="","",IF(OR(parcelles!C94=Moutarde,parcelles!C94=Phacélie),0,IF(parcelles!C94=Luzerne,10*parcelles!E94*VLOOKUP(parcelles!C94,BDD!$HN$5:$HU$38,5,FALSE),IF(parcelles!C94=Miscanthus,10.5*parcelles!E94*VLOOKUP(parcelles!C94,BDD!$HN$5:$HU$38,5,FALSE),INDEX(parcelles!$C$56:'parcelles'!$Y$77,MATCH(parcelles!B94,parcelles!$B$56:'parcelles'!$B$77,0),MATCH(parcelles!C94,parcelles!$C$53:'parcelles'!$Y$53,0))*parcelles!E94*VLOOKUP(parcelles!C94,BDD!$HN$5:$HU$38,5,FALSE)))))</f>
        <v/>
      </c>
      <c r="HR46" s="1094" t="str">
        <f>IF(parcelles!B94="","",IF(OR(parcelles!C94=Moutarde,parcelles!C94=Phacélie),0,IF(parcelles!C94=Luzerne,10*parcelles!E94*VLOOKUP(parcelles!C94,BDD!$HN$5:$HU$38,6,FALSE),IF(parcelles!C94=Miscanthus,10.5*parcelles!E94*VLOOKUP(parcelles!C94,BDD!$HN$5:$HU$38,6,FALSE),INDEX(parcelles!$C$56:'parcelles'!$Y$77,MATCH(parcelles!B94,parcelles!$B$56:'parcelles'!$B$77,0),MATCH(parcelles!C94,parcelles!$C$53:'parcelles'!$Y$53,0))*parcelles!E94*VLOOKUP(parcelles!C94,BDD!$HN$5:$HU$38,6,FALSE)))))</f>
        <v/>
      </c>
      <c r="HS46" s="1094" t="str">
        <f>IF(parcelles!B94="","",IF(OR(parcelles!C94=Moutarde,parcelles!C94=Phacélie),0,IF(parcelles!C94=Luzerne,10*parcelles!E94*VLOOKUP(parcelles!C94,BDD!$HN$5:$HU$38,7,FALSE),IF(parcelles!C94=Miscanthus,10.5*parcelles!E94*VLOOKUP(parcelles!C94,BDD!$HN$5:$HU$38,7,FALSE),INDEX(parcelles!$C$56:'parcelles'!$Y$77,MATCH(parcelles!B94,parcelles!$B$56:'parcelles'!$B$77,0),MATCH(parcelles!C94,parcelles!$C$53:'parcelles'!$Y$53,0))*parcelles!E94*VLOOKUP(parcelles!C94,BDD!$HN$5:$HU$38,7,FALSE)))))</f>
        <v/>
      </c>
      <c r="HT46" s="1094" t="str">
        <f>IF(parcelles!B94="","",IF(OR(parcelles!C94=Moutarde,parcelles!C94=Phacélie),0,IF(parcelles!C94=Luzerne,10*parcelles!E94*VLOOKUP(parcelles!C94,BDD!$HN$5:$HU$38,8,FALSE),IF(parcelles!C94=Miscanthus,10.5*parcelles!E94*VLOOKUP(parcelles!C94,BDD!$HN$5:$HU$38,8,FALSE),INDEX(parcelles!$C$56:'parcelles'!$Y$77,MATCH(parcelles!B94,parcelles!$B$56:'parcelles'!$B$77,0),MATCH(parcelles!C94,parcelles!$C$53:'parcelles'!$Y$53,0))*parcelles!E94*VLOOKUP(parcelles!C94,BDD!$HN$5:$HU$38,8,FALSE)))))</f>
        <v/>
      </c>
      <c r="HU46" s="1094" t="str">
        <f>IF(parcelles!B94="","",IF(OR(parcelles!C94=Moutarde,parcelles!C94=Phacélie),0,1.6*parcelles!E94))</f>
        <v/>
      </c>
      <c r="HV46" s="1094" t="str">
        <f>IF(parcelles!B94="","",IF(OR(parcelles!C94=Moutarde,parcelles!C94=Phacélie),0,1.6*parcelles!E94))</f>
        <v/>
      </c>
      <c r="HW46" s="1094" t="str">
        <f>IF(parcelles!B94="","",IF(OR(parcelles!C94=Moutarde,parcelles!C94=Phacélie),0,1.6*parcelles!E94))</f>
        <v/>
      </c>
      <c r="HX46" s="1095" t="str">
        <f>IF(parcelles!D94="","",IF(parcelles!C94=ChanvreIndustriel,INDEX(parcelles!$C$56:$Y$77,MATCH(parcelles!B94,parcelles!$B$56:$B$77,0),MATCH(parcelles!C94,parcelles!$C$53:$Y$53,0))*parcelles!E94*SUMIF(ListeCulturesBDD,parcelles!C94,PrixVenteCulturesConventionnel)+RIGHT(BDD!$HM$7,3)*7*parcelles!E94,IF(parcelles!C94=Luzerne,parcelles!E94*10*VLOOKUP(parcelles!C94,TarifsCoopCultures,2,FALSE),IF(parcelles!C94=Miscanthus,parcelles!E94*10.5*VLOOKUP(Luzerne,TarifsCoopCultures,2,FALSE),INDEX(parcelles!$C$56:$Y$77,MATCH(parcelles!B94,parcelles!$B$56:$B$77,0),MATCH(parcelles!C94,parcelles!$C$53:$Y$53,0))*parcelles!E94*SUMIF(ListeCulturesBDD,parcelles!C94,PrixVenteCulturesConventionnel)))))</f>
        <v/>
      </c>
      <c r="HY46" s="1084" t="str">
        <f>IF(parcelles!D94="","",IF(parcelles!F94=0,"",IF(parcelles!C94=ChanvreIndustriel,"soit "&amp;parcelles!E94*0.8&amp;"t de grain et "&amp;parcelles!E94*7&amp;"t de paille",IF(parcelles!C94=Luzerne,"soit "&amp;10*parcelles!E94&amp;"t/an",IF(parcelles!C94=Miscanthus,"soit "&amp;10.5*parcelles!E94&amp;"t/an","soit "&amp;INDEX(parcelles!$C$56:$Y$77,MATCH(parcelles!B94,parcelles!$B$56:$B$77,0),MATCH(parcelles!C94,parcelles!$C$53:$Y$53,0))*parcelles!E94&amp;"t")))))</f>
        <v/>
      </c>
      <c r="HZ46" s="1084" t="str">
        <f>IF(parcelles!D94="","",IF(parcelles!F94=0,"",IF(parcelles!C94=ChanvreIndustriel,"soit "&amp;parcelles!E94*0.8*0.8&amp;"t de grain et "&amp;parcelles!E94*7*0.8&amp;"t de paille",IF(parcelles!C94=Luzerne,"soit "&amp;10*0.8*parcelles!E94&amp;"t/an",IF(parcelles!C94=Miscanthus,"soit "&amp;10.5*0.8*parcelles!E94&amp;"t/an","soit "&amp;INDEX(parcelles!$C$56:$Y$77,MATCH(parcelles!B94,parcelles!$B$56:$B$77,0),MATCH(parcelles!C94,parcelles!$C$53:$Y$53,0))*0.8*parcelles!E94&amp;"t")))))</f>
        <v/>
      </c>
      <c r="IA46" s="1084" t="str">
        <f>IF(parcelles!L94="","",(VLOOKUP(parcelles!M94,BDD!$HN$5:$HU$38,2,FALSE))*parcelles!O94)</f>
        <v/>
      </c>
      <c r="IB46" s="1094" t="str">
        <f>IF(parcelles!L94="","",IF(OR(parcelles!M94=Moutarde,parcelles!M94=Phacélie),0,IF(parcelles!M94=Luzerne,10*parcelles!O94*VLOOKUP(parcelles!M94,BDD!$HN$5:$HU$38,3,FALSE),IF(parcelles!M94=Miscanthus,10.5*parcelles!O94*VLOOKUP(parcelles!M94,BDD!$HN$5:$HU$38,3,FALSE),INDEX(parcelles!$C$56:'parcelles'!$Y$77,MATCH(parcelles!L94,parcelles!$B$56:'parcelles'!$B$77,0),MATCH(parcelles!M94,parcelles!$C$53:'parcelles'!$Y$53,0))*parcelles!O94*VLOOKUP(parcelles!M94,BDD!$HN$5:$HU$38,3,FALSE)))))</f>
        <v/>
      </c>
      <c r="IC46" s="1094" t="str">
        <f>IF(parcelles!L94="","",IF(OR(parcelles!M94=Moutarde,parcelles!M94=Phacélie),0,IF(parcelles!M94=Luzerne,10*parcelles!O94*VLOOKUP(parcelles!M94,BDD!$HN$5:$HU$38,4,FALSE),IF(parcelles!M94=Miscanthus,10.5*parcelles!O94*VLOOKUP(parcelles!M94,BDD!$HN$5:$HU$38,4,FALSE),INDEX(parcelles!$C$56:'parcelles'!$Y$77,MATCH(parcelles!L94,parcelles!$B$56:'parcelles'!$B$77,0),MATCH(parcelles!M94,parcelles!$C$53:'parcelles'!$Y$53,0))*parcelles!O94*VLOOKUP(parcelles!M94,BDD!$HN$5:$HU$38,4,FALSE)))))</f>
        <v/>
      </c>
      <c r="ID46" s="1094" t="str">
        <f>IF(parcelles!L94="","",IF(OR(parcelles!M94=Moutarde,parcelles!M94=Phacélie),0,IF(parcelles!M94=Luzerne,10*parcelles!O94*VLOOKUP(parcelles!M94,BDD!$HN$5:$HU$38,5,FALSE),IF(parcelles!M94=Miscanthus,10.5*parcelles!O94*VLOOKUP(parcelles!M94,BDD!$HN$5:$HU$38,5,FALSE),INDEX(parcelles!$C$56:'parcelles'!$Y$77,MATCH(parcelles!L94,parcelles!$B$56:'parcelles'!$B$77,0),MATCH(parcelles!M94,parcelles!$C$53:'parcelles'!$Y$53,0))*parcelles!O94*VLOOKUP(parcelles!M94,BDD!$HN$5:$HU$38,5,FALSE)))))</f>
        <v/>
      </c>
      <c r="IE46" s="1094" t="str">
        <f>IF(parcelles!L94="","",IF(OR(parcelles!M94=Moutarde,parcelles!M94=Phacélie),0,IF(parcelles!M94=Luzerne,10*parcelles!O94*VLOOKUP(parcelles!M94,BDD!$HN$5:$HU$38,6,FALSE),IF(parcelles!M94=Miscanthus,10.5*parcelles!O94*VLOOKUP(parcelles!M94,BDD!$HN$5:$HU$38,6,FALSE),INDEX(parcelles!$C$56:'parcelles'!$Y$77,MATCH(parcelles!L94,parcelles!$B$56:'parcelles'!$B$77,0),MATCH(parcelles!M94,parcelles!$C$53:'parcelles'!$Y$53,0))*parcelles!O94*VLOOKUP(parcelles!M94,BDD!$HN$5:$HU$38,6,FALSE)))))</f>
        <v/>
      </c>
      <c r="IF46" s="1094" t="str">
        <f>IF(parcelles!L94="","",IF(OR(parcelles!M94=Moutarde,parcelles!M94=Phacélie),0,IF(parcelles!M94=Luzerne,10*parcelles!O94*VLOOKUP(parcelles!M94,BDD!$HN$5:$HU$38,7,FALSE),IF(parcelles!M94=Miscanthus,10.5*parcelles!O94*VLOOKUP(parcelles!M94,BDD!$HN$5:$HU$38,7,FALSE),INDEX(parcelles!$C$56:'parcelles'!$Y$77,MATCH(parcelles!L94,parcelles!$B$56:'parcelles'!$B$77,0),MATCH(parcelles!M94,parcelles!$C$53:'parcelles'!$Y$53,0))*parcelles!O94*VLOOKUP(parcelles!M94,BDD!$HN$5:$HU$38,7,FALSE)))))</f>
        <v/>
      </c>
      <c r="IG46" s="1094" t="str">
        <f>IF(parcelles!L94="","",IF(OR(parcelles!M94=Moutarde,parcelles!M94=Phacélie),0,IF(parcelles!M94=Luzerne,10*parcelles!O94*VLOOKUP(parcelles!M94,BDD!$HN$5:$HU$38,8,FALSE),IF(parcelles!M94=Miscanthus,10.5*parcelles!O94*VLOOKUP(parcelles!M94,BDD!$HN$5:$HU$38,8,FALSE),INDEX(parcelles!$C$56:'parcelles'!$Y$77,MATCH(parcelles!L94,parcelles!$B$56:'parcelles'!$B$77,0),MATCH(parcelles!M94,parcelles!$C$53:'parcelles'!$Y$53,0))*parcelles!O94*VLOOKUP(parcelles!M94,BDD!$HN$5:$HU$38,8,FALSE)))))</f>
        <v/>
      </c>
      <c r="IH46" s="1094" t="str">
        <f>IF(parcelles!L94="","",IF(OR(parcelles!L94=Moutarde,parcelles!L94=Phacélie),0,1.6*parcelles!O94))</f>
        <v/>
      </c>
      <c r="II46" s="1094" t="str">
        <f>IF(parcelles!L94="","",IF(OR(parcelles!L94=Moutarde,parcelles!L94=Phacélie),0,1.6*parcelles!O94))</f>
        <v/>
      </c>
      <c r="IJ46" s="1094" t="str">
        <f>IF(parcelles!L94="","",IF(OR(parcelles!L94=Moutarde,parcelles!L94=Phacélie),0,1.6*parcelles!O94))</f>
        <v/>
      </c>
      <c r="IK46" s="1084" t="str">
        <f>IF(parcelles!P94="","",IF(parcelles!R94=0,"",IF(parcelles!O94=ChanvreIndustriel,"soit "&amp;parcelles!Q94*0.8&amp;"t de grain et "&amp;parcelles!Q94*7&amp;"t de paille",IF(parcelles!O94=Luzerne,"soit "&amp;10*parcelles!Q94&amp;"t/an",IF(parcelles!O94=Miscanthus,"soit "&amp;10.5*parcelles!Q94&amp;"t/an","soit "&amp;INDEX(parcelles!$C$56:$Y$77,MATCH(parcelles!N94,parcelles!$B$56:$B$77,0),MATCH(parcelles!O94,parcelles!$C$53:$Y$53,0))*parcelles!Q94&amp;"t")))))</f>
        <v/>
      </c>
      <c r="IL46" s="1084" t="str">
        <f>IF(parcelles!P94="","",IF(parcelles!R94=0,"",IF(parcelles!O94=ChanvreIndustriel,"soit "&amp;parcelles!Q94*0.8*0.8&amp;"t de grain et "&amp;parcelles!Q94*7*0.8&amp;"t de paille",IF(parcelles!O94=Luzerne,"soit "&amp;10*0.8*parcelles!Q94&amp;"t/an",IF(parcelles!O94=Miscanthus,"soit "&amp;10.5*0.8*parcelles!Q94&amp;"t/an","soit "&amp;INDEX(parcelles!$C$56:$Y$77,MATCH(parcelles!N94,parcelles!$B$56:$B$77,0),MATCH(parcelles!O94,parcelles!$C$53:$Y$53,0))*0.8*parcelles!Q94&amp;"t")))))</f>
        <v/>
      </c>
      <c r="IM46" s="1084" t="str">
        <f>IF(parcelles!S94="","",IF(parcelles!U94=0,"",IF(parcelles!R94=ChanvreIndustriel,parcelles!T94*0.8*0.8+parcelles!T94*7*0.8,IF(parcelles!R94=Luzerne,10*0.8*parcelles!T94,IF(parcelles!R94=Miscanthus,10.5*0.8*parcelles!T94,INDEX(parcelles!$C$56:$Y$77,MATCH(parcelles!Q94,parcelles!$B$56:$B$77,0),MATCH(parcelles!R94,parcelles!$C$53:$Y$53,0))*0.8*parcelles!T94)))))</f>
        <v/>
      </c>
      <c r="IN46" s="1368"/>
    </row>
    <row r="47" spans="1:248" ht="12.75" customHeight="1" x14ac:dyDescent="0.2">
      <c r="A47" s="1307" t="s">
        <v>1097</v>
      </c>
      <c r="B47" s="1177" t="s">
        <v>1104</v>
      </c>
      <c r="C47" s="1177">
        <v>1000</v>
      </c>
      <c r="D47" s="1178">
        <v>0.01</v>
      </c>
      <c r="E47" s="1328" t="s">
        <v>1108</v>
      </c>
      <c r="F47" s="1143" t="s">
        <v>851</v>
      </c>
      <c r="G47" s="1143"/>
      <c r="H47" s="1143"/>
      <c r="I47" s="1143">
        <v>3</v>
      </c>
      <c r="J47" s="1321"/>
      <c r="K47" s="1321"/>
      <c r="L47" s="1321"/>
      <c r="M47" s="1321"/>
      <c r="N47" s="1321"/>
      <c r="O47" s="1143" t="s">
        <v>531</v>
      </c>
      <c r="P47" s="1143">
        <v>6.8</v>
      </c>
      <c r="Q47" s="1143">
        <v>6.6</v>
      </c>
      <c r="R47" s="1143">
        <v>6.1</v>
      </c>
      <c r="S47" s="1143">
        <v>4.5</v>
      </c>
      <c r="T47" s="1143">
        <v>4.4000000000000004</v>
      </c>
      <c r="U47" s="1143">
        <v>5.3</v>
      </c>
      <c r="V47" s="1143"/>
      <c r="W47" s="1143">
        <v>9.1</v>
      </c>
      <c r="X47" s="1143">
        <v>12.4</v>
      </c>
      <c r="Y47" s="1143">
        <v>82</v>
      </c>
      <c r="Z47" s="1143">
        <v>3.3</v>
      </c>
      <c r="AA47" s="1143">
        <v>2.6</v>
      </c>
      <c r="AB47" s="1143">
        <v>4.5999999999999996</v>
      </c>
      <c r="AC47" s="1143">
        <v>3.5</v>
      </c>
      <c r="AD47" s="1143">
        <v>2.2000000000000002</v>
      </c>
      <c r="AE47" s="1143">
        <v>0</v>
      </c>
      <c r="AF47" s="1143">
        <v>48.2</v>
      </c>
      <c r="AG47" s="1143">
        <v>0.8</v>
      </c>
      <c r="AH47" s="1143">
        <v>7</v>
      </c>
      <c r="AI47" s="1143">
        <v>20</v>
      </c>
      <c r="AJ47" s="1143">
        <v>11</v>
      </c>
      <c r="AK47" s="1143">
        <v>2.5</v>
      </c>
      <c r="AL47" s="1143">
        <v>9.3000000000000007</v>
      </c>
      <c r="AM47" s="1143"/>
      <c r="AN47" s="1143">
        <v>2.7</v>
      </c>
      <c r="AO47" s="1143">
        <v>40</v>
      </c>
      <c r="AP47" s="1143">
        <v>29</v>
      </c>
      <c r="AQ47" s="1143">
        <v>0</v>
      </c>
      <c r="AR47" s="1143">
        <v>10</v>
      </c>
      <c r="AS47" s="1143">
        <v>0</v>
      </c>
      <c r="AT47" s="1143">
        <v>0</v>
      </c>
      <c r="AU47" s="1143">
        <v>0</v>
      </c>
      <c r="AV47" s="1143">
        <v>0</v>
      </c>
      <c r="AW47" s="1143">
        <v>8.5</v>
      </c>
      <c r="AX47" s="1143">
        <v>10</v>
      </c>
      <c r="AY47" s="1143">
        <v>10</v>
      </c>
      <c r="AZ47" s="1321"/>
      <c r="BA47" s="1321"/>
      <c r="BB47" s="1321"/>
      <c r="BC47" s="1149" t="s">
        <v>1045</v>
      </c>
      <c r="BD47" s="1214">
        <v>275</v>
      </c>
      <c r="BE47" s="1321"/>
      <c r="BF47" s="1149" t="s">
        <v>1045</v>
      </c>
      <c r="BG47" s="1214">
        <v>330</v>
      </c>
      <c r="BH47" s="1321"/>
      <c r="BI47" s="1321"/>
      <c r="BJ47" s="1321"/>
      <c r="BK47" s="1345"/>
      <c r="BL47" s="1348"/>
      <c r="BM47" s="1075" t="s">
        <v>733</v>
      </c>
      <c r="BN47" s="1075">
        <f t="array" ref="BN47">IF(Ration_hivernale_complète_bisons[somme]&gt;0,0,IFERROR(IF(OR(AND(INDEX(Règles_bison[Specificite],MATCH(ChoixRationBisons&amp;$BM47,Règles_bison[Ration]&amp;Règles_bison[Aliment],0))="s1",IF($BM47=ChoixSpécificité1Bisons,1)),
AND(INDEX(Règles_bison[Specificite],MATCH(ChoixRationBisons&amp;$BM47,Règles_bison[Ration]&amp;Règles_bison[Aliment],0))="s2",IF($BM47=ChoixSpécificité2Bisons,1)),INDEX(Règles_bison[Specificite],MATCH(ChoixRationBisons&amp;$BM47,Règles_bison[Ration]&amp;Règles_bison[Aliment],0))="c"),
INDEX(Règles_bison[Valeur 36 et plus],MATCH(ChoixRationBisons&amp;$BM47,Règles_bison[Ration]&amp;Règles_bison[Aliment],0)),0),0)*TotalBisonsMalesAdultes*SUM(NbreJoursNourrirBisonsDaims))</f>
        <v>0</v>
      </c>
      <c r="BO47" s="1075">
        <f t="array" ref="BO47">IF(Ration_hivernale_complète_bisons[somme]&gt;0,0,IFERROR(IF(OR(AND(INDEX(Règles_bison[Specificite],MATCH(ChoixRationBisons&amp;$BM47,Règles_bison[Ration]&amp;Règles_bison[Aliment],0))="s1",IF($BM47=ChoixSpécificité1Bisons,1)),
AND(INDEX(Règles_bison[Specificite],MATCH(ChoixRationBisons&amp;$BM47,Règles_bison[Ration]&amp;Règles_bison[Aliment],0))="s2",IF($BM47=ChoixSpécificité2Bisons,1)),INDEX(Règles_bison[Specificite],MATCH(ChoixRationBisons&amp;$BM47,Règles_bison[Ration]&amp;Règles_bison[Aliment],0))="c"),
INDEX(Règles_bison[Valeur 24-36],MATCH(ChoixRationBisons&amp;$BM47,Règles_bison[Ration]&amp;Règles_bison[Aliment],0)),0),0)*TotalBisonsMales_24_36_mois*SUM(NbreJoursNourrirBisonsDaims))</f>
        <v>0</v>
      </c>
      <c r="BP47" s="1075">
        <f t="array" ref="BP47">IF(Ration_hivernale_complète_bisons[somme]&gt;0,0,IFERROR(IF(OR(AND(INDEX(Règles_bison[Specificite],MATCH(ChoixRationBisons&amp;$BM47,Règles_bison[Ration]&amp;Règles_bison[Aliment],0))="s1",IF($BM47=ChoixSpécificité1Bisons,1)),
AND(INDEX(Règles_bison[Specificite],MATCH(ChoixRationBisons&amp;$BM47,Règles_bison[Ration]&amp;Règles_bison[Aliment],0))="s2",IF($BM47=ChoixSpécificité2Bisons,1)),INDEX(Règles_bison[Specificite],MATCH(ChoixRationBisons&amp;$BM47,Règles_bison[Ration]&amp;Règles_bison[Aliment],0))="c"),
INDEX(Règles_bison[Valeur 18-24],MATCH(ChoixRationBisons&amp;$BM47,Règles_bison[Ration]&amp;Règles_bison[Aliment],0)),0),0)*TotalBisonsMales_18_24_mois*SUM(NbreJoursNourrirBisonsDaims))</f>
        <v>0</v>
      </c>
      <c r="BQ47" s="1075">
        <f t="array" ref="BQ47">IF(Ration_hivernale_complète_bisons[somme]&gt;0,0,IFERROR(IF(OR(AND(INDEX(Règles_bison[Specificite],MATCH(ChoixRationBisons&amp;$BM47,Règles_bison[Ration]&amp;Règles_bison[Aliment],0))="s1",IF($BM47=ChoixSpécificité1Bisons,1)),
AND(INDEX(Règles_bison[Specificite],MATCH(ChoixRationBisons&amp;$BM47,Règles_bison[Ration]&amp;Règles_bison[Aliment],0))="s2",IF($BM47=ChoixSpécificité2Bisons,1)),INDEX(Règles_bison[Specificite],MATCH(ChoixRationBisons&amp;$BM47,Règles_bison[Ration]&amp;Règles_bison[Aliment],0))="c"),
INDEX(Règles_bison[Valeur 12-18],MATCH(ChoixRationBisons&amp;$BM47,Règles_bison[Ration]&amp;Règles_bison[Aliment],0)),0),0)*TotalBisonsMales_12_18_mois*SUM(NbreJoursNourrirBisonsDaims))</f>
        <v>0</v>
      </c>
      <c r="BR47" s="1075">
        <f t="array" ref="BR47">IF(Ration_hivernale_complète_bisons[somme]&gt;0,0,IFERROR(IF(OR(AND(INDEX(Règles_bison[Specificite],MATCH(ChoixRationBisons&amp;$BM47,Règles_bison[Ration]&amp;Règles_bison[Aliment],0))="s1",IF($BM47=ChoixSpécificité1Bisons,1)),
AND(INDEX(Règles_bison[Specificite],MATCH(ChoixRationBisons&amp;$BM47,Règles_bison[Ration]&amp;Règles_bison[Aliment],0))="s2",IF($BM47=ChoixSpécificité2Bisons,1)),INDEX(Règles_bison[Specificite],MATCH(ChoixRationBisons&amp;$BM47,Règles_bison[Ration]&amp;Règles_bison[Aliment],0))="c"),
INDEX(Règles_bison[Valeur 6-12],MATCH(ChoixRationBisons&amp;$BM47,Règles_bison[Ration]&amp;Règles_bison[Aliment],0)),0),0)*TotalBisonsMales_6_12_mois*SUM(NbreJoursNourrirBisonsDaims))</f>
        <v>0</v>
      </c>
      <c r="BS47" s="1075">
        <f t="array" ref="BS47">IF(Ration_hivernale_complète_bisons[somme]&gt;0,0,IFERROR(IF(OR(AND(INDEX(Règles_bison[Specificite],MATCH(ChoixRationBisons&amp;$BM47,Règles_bison[Ration]&amp;Règles_bison[Aliment],0))="s1",IF($BM47=ChoixSpécificité1Bisons,1)),
AND(INDEX(Règles_bison[Specificite],MATCH(ChoixRationBisons&amp;$BM47,Règles_bison[Ration]&amp;Règles_bison[Aliment],0))="s2",IF($BM47=ChoixSpécificité2Bisons,1)),INDEX(Règles_bison[Specificite],MATCH(ChoixRationBisons&amp;$BM47,Règles_bison[Ration]&amp;Règles_bison[Aliment],0))="c"),
INDEX(Règles_bison[Valeur 3-6],MATCH(ChoixRationBisons&amp;$BM47,Règles_bison[Ration]&amp;Règles_bison[Aliment],0)),0),0)*TotalBisonsMales_3_6_mois*SUM(NbreJoursNourrirBisonsDaims))</f>
        <v>0</v>
      </c>
      <c r="BT47" s="1075">
        <f t="array" ref="BT47">IF(Ration_hivernale_complète_bisons[somme]&gt;0,0,IFERROR(IF(OR(AND(INDEX(Règles_bison[Specificite],MATCH(ChoixRationBisons&amp;$BM47,Règles_bison[Ration]&amp;Règles_bison[Aliment],0))="s1",IF($BM47=ChoixSpécificité1Bisons,1)),
AND(INDEX(Règles_bison[Specificite],MATCH(ChoixRationBisons&amp;$BM47,Règles_bison[Ration]&amp;Règles_bison[Aliment],0))="s2",IF($BM47=ChoixSpécificité2Bisons,1)),INDEX(Règles_bison[Specificite],MATCH(ChoixRationBisons&amp;$BM47,Règles_bison[Ration]&amp;Règles_bison[Aliment],0))="c"),
INDEX(Règles_bison[Valeur 0-3],MATCH(ChoixRationBisons&amp;$BM47,Règles_bison[Ration]&amp;Règles_bison[Aliment],0)),0),0)*TotalBisonsMales_0_3_mois*SUM(NbreJoursNourrirBisonsDaims))</f>
        <v>0</v>
      </c>
      <c r="BU47" s="1075">
        <f t="shared" si="10"/>
        <v>0</v>
      </c>
      <c r="BV47" s="1345"/>
      <c r="BW47" s="1345"/>
      <c r="BX47" s="1328" t="s">
        <v>1282</v>
      </c>
      <c r="BY47" s="1321"/>
      <c r="BZ47" s="1321"/>
      <c r="CA47" s="1321"/>
      <c r="CB47" s="1321"/>
      <c r="CC47" s="1321"/>
      <c r="CD47" s="1345"/>
      <c r="CE47" s="1345"/>
      <c r="CF47" s="1345"/>
      <c r="CG47" s="1345"/>
      <c r="CH47" s="1345"/>
      <c r="CI47" s="1321"/>
      <c r="CJ47" s="1321"/>
      <c r="CK47" s="1321"/>
      <c r="CL47" s="1321"/>
      <c r="CM47" s="1321"/>
      <c r="CN47" s="1321"/>
      <c r="CO47" s="1321"/>
      <c r="CP47" s="1321"/>
      <c r="CQ47" s="1321"/>
      <c r="CR47" s="1321"/>
      <c r="CS47" s="1176" t="s">
        <v>1292</v>
      </c>
      <c r="CT47" s="1177" t="s">
        <v>1274</v>
      </c>
      <c r="CU47" s="1177" t="s">
        <v>1252</v>
      </c>
      <c r="CV47" s="1177">
        <v>0.18</v>
      </c>
      <c r="CW47" s="1177">
        <v>0.12</v>
      </c>
      <c r="CX47" s="1178">
        <v>0</v>
      </c>
      <c r="CY47" s="1321"/>
      <c r="CZ47" s="1176"/>
      <c r="DA47" s="1177"/>
      <c r="DB47" s="1177"/>
      <c r="DC47" s="1177"/>
      <c r="DD47" s="1177"/>
      <c r="DE47" s="1178"/>
      <c r="DF47" s="1321"/>
      <c r="DG47" s="789" t="s">
        <v>1276</v>
      </c>
      <c r="DH47" s="790" t="s">
        <v>1712</v>
      </c>
      <c r="DI47" s="790" t="s">
        <v>1711</v>
      </c>
      <c r="DJ47" s="790" t="s">
        <v>1284</v>
      </c>
      <c r="DK47" s="791" t="s">
        <v>1269</v>
      </c>
      <c r="DL47" s="1321"/>
      <c r="DM47" s="1364"/>
      <c r="DN47" s="1143" t="s">
        <v>835</v>
      </c>
      <c r="DO47" s="1143">
        <v>2</v>
      </c>
      <c r="DP47" s="1321"/>
      <c r="DQ47" s="1321"/>
      <c r="DR47" s="1321"/>
      <c r="DS47" s="1345"/>
      <c r="DT47" s="1346"/>
      <c r="DU47" s="1346"/>
      <c r="DV47" s="1075" t="s">
        <v>332</v>
      </c>
      <c r="DW47" s="1269">
        <f t="array" ref="DW47">IF(ChoixRationComplèteDaims=OUI,0,IFERROR(IF(OR(AND(INDEX(Règles_daims[Specificite],MATCH(ChoixRationDaims&amp;DV47,Règles_daims[Ration]&amp;Règles_daims[Aliment],0))="s1",IF(DV47=Spécificité1Daims,1)),
AND(INDEX(Règles_daims[Specificite],MATCH(ChoixRationDaims&amp;DV47,Règles_daims[Ration]&amp;Règles_daims[Aliment],0))="s2",IF(DV47=Spécificité2Daims,1)),
INDEX(Règles_daims[Specificite],MATCH(ChoixRationDaims&amp;DV47,Règles_daims[Ration]&amp;Règles_daims[Aliment],0))="c"),
INDEX(Règles_daims[Valeur 36 et plus],MATCH(ChoixRationDaims&amp;DV47,Règles_daims[Ration]&amp;Règles_daims[Aliment],0)),0),0)*SUM(TotalDaimsAdultes)*SUM(NbreJoursNourrirBisonsDaims))</f>
        <v>0</v>
      </c>
      <c r="DX47" s="1269">
        <f t="array" ref="DX47">IF(ChoixRationComplèteDaims=OUI,0,IFERROR(IF(OR(AND(INDEX(Règles_daims[Specificite],MATCH(ChoixRationDaims&amp;DV47,Règles_daims[Ration]&amp;Règles_daims[Aliment],0))="s1",IF(DV47=Spécificité1Daims,1)),
AND(INDEX(Règles_daims[Specificite],MATCH(ChoixRationDaims&amp;DV47,Règles_daims[Ration]&amp;Règles_daims[Aliment],0))="s2",IF(DV47=Spécificité2Daims,1)),
INDEX(Règles_daims[Specificite],MATCH(ChoixRationDaims&amp;DV47,Règles_daims[Ration]&amp;Règles_daims[Aliment],0))="c"),
INDEX(Règles_daims[Valeur 24-36],MATCH(ChoixRationDaims&amp;DV47,Règles_daims[Ration]&amp;Règles_daims[Aliment],0)),0),0)*SUM(TotalDaims24_36)*SUM(NbreJoursNourrirBisonsDaims))</f>
        <v>0</v>
      </c>
      <c r="DY47" s="1269">
        <f t="array" ref="DY47">IF(ChoixRationComplèteDaims=OUI,0,IFERROR(IF(OR(AND(INDEX(Règles_daims[Specificite],MATCH(ChoixRationDaims&amp;DV47,Règles_daims[Ration]&amp;Règles_daims[Aliment],0))="s1",IF(DV47=Spécificité1Daims,1)),
AND(INDEX(Règles_daims[Specificite],MATCH(ChoixRationDaims&amp;DV47,Règles_daims[Ration]&amp;Règles_daims[Aliment],0))="s2",IF(DV47=Spécificité2Daims,1)),
INDEX(Règles_daims[Specificite],MATCH(ChoixRationDaims&amp;DV47,Règles_daims[Ration]&amp;Règles_daims[Aliment],0))="c"),
INDEX(Règles_daims[Valeur 18-24],MATCH(ChoixRationDaims&amp;DV47,Règles_daims[Ration]&amp;Règles_daims[Aliment],0)),0),0)*SUM(TotalDaims18_24)*SUM(NbreJoursNourrirBisonsDaims))</f>
        <v>0</v>
      </c>
      <c r="DZ47" s="1280">
        <f t="array" ref="DZ47">IF(ChoixRationComplèteDaims=OUI,0,IFERROR(IF(OR(AND(INDEX(Règles_daims[Specificite],MATCH(ChoixRationDaims&amp;DV47,Règles_daims[Ration]&amp;Règles_daims[Aliment],0))="s1",IF(DV47=Spécificité1Daims,1)),
AND(INDEX(Règles_daims[Specificite],MATCH(ChoixRationDaims&amp;DV47,Règles_daims[Ration]&amp;Règles_daims[Aliment],0))="s2",IF(DV47=Spécificité2Daims,1)),
INDEX(Règles_daims[Specificite],MATCH(ChoixRationDaims&amp;DV47,Règles_daims[Ration]&amp;Règles_daims[Aliment],0))="c"),
INDEX(Règles_daims[Valeur 12-18],MATCH(ChoixRationDaims&amp;DV47,Règles_daims[Ration]&amp;Règles_daims[Aliment],0)),0),0)*SUM(TotalDaims12_18)*SUM(NbreJoursNourrirBisonsDaims))</f>
        <v>0</v>
      </c>
      <c r="EA47" s="1280">
        <f t="array" ref="EA47">IF(ChoixRationComplèteDaims=OUI,0,IFERROR(IF(OR(AND(INDEX(Règles_daims[Specificite],MATCH(ChoixRationDaims&amp;DV47,Règles_daims[Ration]&amp;Règles_daims[Aliment],0))="s1",IF(DV47=Spécificité1Daims,1)),
AND(INDEX(Règles_daims[Specificite],MATCH(ChoixRationDaims&amp;DV47,Règles_daims[Ration]&amp;Règles_daims[Aliment],0))="s2",IF(DV47=Spécificité2Daims,1)),
INDEX(Règles_daims[Specificite],MATCH(ChoixRationDaims&amp;DV47,Règles_daims[Ration]&amp;Règles_daims[Aliment],0))="c"),
INDEX(Règles_daims[Valeur 6-12],MATCH(ChoixRationDaims&amp;DV47,Règles_daims[Ration]&amp;Règles_daims[Aliment],0)),0),0)*SUM(TotalDaims6_12)*SUM(NbreJoursNourrirBisonsDaims))</f>
        <v>0</v>
      </c>
      <c r="EB47" s="1280">
        <f t="array" ref="EB47">IF(ChoixRationComplèteDaims=OUI,0,IFERROR(IF(OR(AND(INDEX(Règles_daims[Specificite],MATCH(ChoixRationDaims&amp;DV47,Règles_daims[Ration]&amp;Règles_daims[Aliment],0))="s1",IF(DV47=Spécificité1Daims,1)),
AND(INDEX(Règles_daims[Specificite],MATCH(ChoixRationDaims&amp;DV47,Règles_daims[Ration]&amp;Règles_daims[Aliment],0))="s2",IF(DV47=Spécificité2Daims,1)),
INDEX(Règles_daims[Specificite],MATCH(ChoixRationDaims&amp;DV47,Règles_daims[Ration]&amp;Règles_daims[Aliment],0))="c"),
INDEX(Règles_daims[Valeur 3-6],MATCH(ChoixRationDaims&amp;DV47,Règles_daims[Ration]&amp;Règles_daims[Aliment],0)),0),0)*SUM(TotalDaims3_6)*SUM(NbreJoursNourrirBisonsDaims))</f>
        <v>0</v>
      </c>
      <c r="EC47" s="1280">
        <f t="array" ref="EC47">IF(ChoixRationComplèteDaims=OUI,0,IFERROR(IF(OR(AND(INDEX(Règles_daims[Specificite],MATCH(ChoixRationDaims&amp;DV47,Règles_daims[Ration]&amp;Règles_daims[Aliment],0))="s1",IF(DV47=Spécificité1Daims,1)),
AND(INDEX(Règles_daims[Specificite],MATCH(ChoixRationDaims&amp;DV47,Règles_daims[Ration]&amp;Règles_daims[Aliment],0))="s2",IF(DV47=Spécificité2Daims,1)),
INDEX(Règles_daims[Specificite],MATCH(ChoixRationDaims&amp;DV47,Règles_daims[Ration]&amp;Règles_daims[Aliment],0))="c"),
INDEX(Règles_daims[Valeur 0-3],MATCH(ChoixRationDaims&amp;DV47,Règles_daims[Ration]&amp;Règles_daims[Aliment],0)),0),0)*SUM(TotalDaims0_3)*SUM(NbreJoursNourrirBisonsDaims))</f>
        <v>0</v>
      </c>
      <c r="ED47" s="1280">
        <f t="shared" si="9"/>
        <v>0</v>
      </c>
      <c r="EE47" s="1345"/>
      <c r="EF47" s="1321"/>
      <c r="EG47" s="1176"/>
      <c r="EH47" s="1177"/>
      <c r="EI47" s="1177"/>
      <c r="EJ47" s="1177"/>
      <c r="EK47" s="1177"/>
      <c r="EL47" s="1178"/>
      <c r="EM47" s="1321"/>
      <c r="EN47" s="1200"/>
      <c r="EO47" s="1201"/>
      <c r="EP47" s="1201"/>
      <c r="EQ47" s="1201"/>
      <c r="ER47" s="1201"/>
      <c r="ES47" s="1202"/>
      <c r="ET47" s="1321"/>
      <c r="EU47" s="1176" t="s">
        <v>1240</v>
      </c>
      <c r="EV47" s="1177" t="s">
        <v>1271</v>
      </c>
      <c r="EW47" s="1177" t="s">
        <v>1252</v>
      </c>
      <c r="EX47" s="1177">
        <v>0.2</v>
      </c>
      <c r="EY47" s="1177">
        <v>0.15</v>
      </c>
      <c r="EZ47" s="1177">
        <v>0.1</v>
      </c>
      <c r="FA47" s="1178">
        <v>0.05</v>
      </c>
      <c r="FB47" s="1345"/>
      <c r="FC47" s="1346"/>
      <c r="FD47" s="1176"/>
      <c r="FE47" s="1177"/>
      <c r="FF47" s="1177"/>
      <c r="FG47" s="1177"/>
      <c r="FH47" s="1177"/>
      <c r="FI47" s="1177"/>
      <c r="FJ47" s="1191"/>
      <c r="FK47" s="1345"/>
      <c r="FL47" s="1345"/>
      <c r="FM47" s="1346"/>
      <c r="FN47" s="1176"/>
      <c r="FO47" s="1177"/>
      <c r="FP47" s="1177"/>
      <c r="FQ47" s="1177"/>
      <c r="FR47" s="1177"/>
      <c r="FS47" s="1177"/>
      <c r="FT47" s="1191"/>
      <c r="FU47" s="1345"/>
      <c r="FV47" s="1345"/>
      <c r="FW47" s="823" t="s">
        <v>1270</v>
      </c>
      <c r="FX47" s="828">
        <f t="array" ref="FX4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47" s="828">
        <f t="array" ref="FY4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47" s="828">
        <f t="array" ref="FZ4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47" s="828">
        <f t="array" ref="GA4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47" s="829">
        <f>SUM(AlimentsGavageOies[[#This Row],[Valeur 3 et plus]:[Valeur 0-1]])</f>
        <v>0</v>
      </c>
      <c r="GC47" s="1364"/>
      <c r="GD47" s="1321"/>
      <c r="GE47" s="1149" t="s">
        <v>169</v>
      </c>
      <c r="GF47" s="1321"/>
      <c r="GG47" s="1149" t="s">
        <v>376</v>
      </c>
      <c r="GH47" s="1321" t="s">
        <v>1349</v>
      </c>
      <c r="GI47" s="1321" t="s">
        <v>1349</v>
      </c>
      <c r="GJ47" s="1321" t="s">
        <v>1349</v>
      </c>
      <c r="GK47" s="1321" t="s">
        <v>1349</v>
      </c>
      <c r="GL47" s="1321" t="s">
        <v>1349</v>
      </c>
      <c r="GM47" s="1321" t="s">
        <v>1349</v>
      </c>
      <c r="GN47" s="1321" t="s">
        <v>1349</v>
      </c>
      <c r="GO47" s="1321" t="s">
        <v>1349</v>
      </c>
      <c r="GP47" s="1321" t="s">
        <v>1349</v>
      </c>
      <c r="GQ47" s="1321" t="s">
        <v>1349</v>
      </c>
      <c r="GR47" s="1321" t="s">
        <v>1349</v>
      </c>
      <c r="GS47" s="1321" t="s">
        <v>1349</v>
      </c>
      <c r="GT47" s="1321" t="s">
        <v>1349</v>
      </c>
      <c r="GU47" s="1321" t="s">
        <v>1349</v>
      </c>
      <c r="GV47" s="1321" t="s">
        <v>1349</v>
      </c>
      <c r="GW47" s="1321"/>
      <c r="GX47" s="1321"/>
      <c r="GY47" s="1082" t="str">
        <f t="shared" si="11"/>
        <v>semences d'orge (GP)</v>
      </c>
      <c r="GZ47" s="1082"/>
      <c r="HA47" s="1085"/>
      <c r="HB47" s="1085">
        <f>IF(COUNTIF(TypeArticleDansEntrepôt,GY47)=0,0,SUMIF(TypeArticleDansEntrepôt,GY47,QtéArticleDansEntrepôt)*VLOOKUP(GY47,place_necessaire_entrepots_aire_paille[],2,FALSE))</f>
        <v>0</v>
      </c>
      <c r="HC47" s="1321"/>
      <c r="HD47" s="1321"/>
      <c r="HE47" s="1321"/>
      <c r="HF47" s="1321"/>
      <c r="HG47" s="1321"/>
      <c r="HH47" s="1321"/>
      <c r="HI47" s="1321"/>
      <c r="HJ47" s="1321"/>
      <c r="HK47" s="1321"/>
      <c r="HL47" s="1321"/>
      <c r="HM47" s="1321"/>
      <c r="HN47" s="1085" t="str">
        <f>IF(parcelles!B95="","",(VLOOKUP(parcelles!C95,BDD!$HN$5:$HU$38,2,FALSE))*parcelles!E95)</f>
        <v/>
      </c>
      <c r="HO47" s="1085" t="str">
        <f>IF(parcelles!B95="","",IF(OR(parcelles!C95=Moutarde,parcelles!C95=Phacélie),0,IF(parcelles!C95=Luzerne,10*parcelles!E95*VLOOKUP(parcelles!C95,BDD!$HN$5:$HU$38,3,FALSE),IF(parcelles!C95=Miscanthus,10.5*parcelles!E95*VLOOKUP(parcelles!C95,BDD!$HN$5:$HU$38,3,FALSE),INDEX(parcelles!$C$56:'parcelles'!$Y$77,MATCH(parcelles!B95,parcelles!$B$56:'parcelles'!$B$77,0),MATCH(parcelles!C95,parcelles!$C$53:'parcelles'!$Y$53,0))*parcelles!E95*VLOOKUP(parcelles!C95,BDD!$HN$5:$HU$38,3,FALSE)))))</f>
        <v/>
      </c>
      <c r="HP47" s="1085" t="str">
        <f>IF(parcelles!B95="","",IF(OR(parcelles!C95=Moutarde,parcelles!C95=Phacélie),0,IF(parcelles!C95=Luzerne,10*parcelles!E95*VLOOKUP(parcelles!C95,BDD!$HN$5:$HU$38,4,FALSE),IF(parcelles!C95=Miscanthus,10.5*parcelles!E95*VLOOKUP(parcelles!C95,BDD!$HN$5:$HU$38,4,FALSE),INDEX(parcelles!$C$56:'parcelles'!$Y$77,MATCH(parcelles!B95,parcelles!$B$56:'parcelles'!$B$77,0),MATCH(parcelles!C95,parcelles!$C$53:'parcelles'!$Y$53,0))*parcelles!E95*VLOOKUP(parcelles!C95,BDD!$HN$5:$HU$38,4,FALSE)))))</f>
        <v/>
      </c>
      <c r="HQ47" s="1085" t="str">
        <f>IF(parcelles!B95="","",IF(OR(parcelles!C95=Moutarde,parcelles!C95=Phacélie),0,IF(parcelles!C95=Luzerne,10*parcelles!E95*VLOOKUP(parcelles!C95,BDD!$HN$5:$HU$38,5,FALSE),IF(parcelles!C95=Miscanthus,10.5*parcelles!E95*VLOOKUP(parcelles!C95,BDD!$HN$5:$HU$38,5,FALSE),INDEX(parcelles!$C$56:'parcelles'!$Y$77,MATCH(parcelles!B95,parcelles!$B$56:'parcelles'!$B$77,0),MATCH(parcelles!C95,parcelles!$C$53:'parcelles'!$Y$53,0))*parcelles!E95*VLOOKUP(parcelles!C95,BDD!$HN$5:$HU$38,5,FALSE)))))</f>
        <v/>
      </c>
      <c r="HR47" s="1085" t="str">
        <f>IF(parcelles!B95="","",IF(OR(parcelles!C95=Moutarde,parcelles!C95=Phacélie),0,IF(parcelles!C95=Luzerne,10*parcelles!E95*VLOOKUP(parcelles!C95,BDD!$HN$5:$HU$38,6,FALSE),IF(parcelles!C95=Miscanthus,10.5*parcelles!E95*VLOOKUP(parcelles!C95,BDD!$HN$5:$HU$38,6,FALSE),INDEX(parcelles!$C$56:'parcelles'!$Y$77,MATCH(parcelles!B95,parcelles!$B$56:'parcelles'!$B$77,0),MATCH(parcelles!C95,parcelles!$C$53:'parcelles'!$Y$53,0))*parcelles!E95*VLOOKUP(parcelles!C95,BDD!$HN$5:$HU$38,6,FALSE)))))</f>
        <v/>
      </c>
      <c r="HS47" s="1085" t="str">
        <f>IF(parcelles!B95="","",IF(OR(parcelles!C95=Moutarde,parcelles!C95=Phacélie),0,IF(parcelles!C95=Luzerne,10*parcelles!E95*VLOOKUP(parcelles!C95,BDD!$HN$5:$HU$38,7,FALSE),IF(parcelles!C95=Miscanthus,10.5*parcelles!E95*VLOOKUP(parcelles!C95,BDD!$HN$5:$HU$38,7,FALSE),INDEX(parcelles!$C$56:'parcelles'!$Y$77,MATCH(parcelles!B95,parcelles!$B$56:'parcelles'!$B$77,0),MATCH(parcelles!C95,parcelles!$C$53:'parcelles'!$Y$53,0))*parcelles!E95*VLOOKUP(parcelles!C95,BDD!$HN$5:$HU$38,7,FALSE)))))</f>
        <v/>
      </c>
      <c r="HT47" s="1085" t="str">
        <f>IF(parcelles!B95="","",IF(OR(parcelles!C95=Moutarde,parcelles!C95=Phacélie),0,IF(parcelles!C95=Luzerne,10*parcelles!E95*VLOOKUP(parcelles!C95,BDD!$HN$5:$HU$38,8,FALSE),IF(parcelles!C95=Miscanthus,10.5*parcelles!E95*VLOOKUP(parcelles!C95,BDD!$HN$5:$HU$38,8,FALSE),INDEX(parcelles!$C$56:'parcelles'!$Y$77,MATCH(parcelles!B95,parcelles!$B$56:'parcelles'!$B$77,0),MATCH(parcelles!C95,parcelles!$C$53:'parcelles'!$Y$53,0))*parcelles!E95*VLOOKUP(parcelles!C95,BDD!$HN$5:$HU$38,8,FALSE)))))</f>
        <v/>
      </c>
      <c r="HU47" s="1085" t="str">
        <f>IF(parcelles!B95="","",IF(OR(parcelles!C95=Moutarde,parcelles!C95=Phacélie),0,1.6*parcelles!E95))</f>
        <v/>
      </c>
      <c r="HV47" s="1085" t="str">
        <f>IF(parcelles!B95="","",IF(OR(parcelles!C95=Moutarde,parcelles!C95=Phacélie),0,1.6*parcelles!E95))</f>
        <v/>
      </c>
      <c r="HW47" s="1085" t="str">
        <f>IF(parcelles!B95="","",IF(OR(parcelles!C95=Moutarde,parcelles!C95=Phacélie),0,1.6*parcelles!E95))</f>
        <v/>
      </c>
      <c r="HX47" s="1092" t="str">
        <f>IF(parcelles!D95="","",IF(parcelles!C95=ChanvreIndustriel,INDEX(parcelles!$C$56:$Y$77,MATCH(parcelles!B95,parcelles!$B$56:$B$77,0),MATCH(parcelles!C95,parcelles!$C$53:$Y$53,0))*parcelles!E95*SUMIF(ListeCulturesBDD,parcelles!C95,PrixVenteCulturesConventionnel)+RIGHT(BDD!$HM$7,3)*7*parcelles!E95,IF(parcelles!C95=Luzerne,parcelles!E95*10*VLOOKUP(parcelles!C95,TarifsCoopCultures,2,FALSE),IF(parcelles!C95=Miscanthus,parcelles!E95*10.5*VLOOKUP(Luzerne,TarifsCoopCultures,2,FALSE),INDEX(parcelles!$C$56:$Y$77,MATCH(parcelles!B95,parcelles!$B$56:$B$77,0),MATCH(parcelles!C95,parcelles!$C$53:$Y$53,0))*parcelles!E95*SUMIF(ListeCulturesBDD,parcelles!C95,PrixVenteCulturesConventionnel)))))</f>
        <v/>
      </c>
      <c r="HY47" s="1085" t="str">
        <f>IF(parcelles!D95="","",IF(parcelles!F95=0,"",IF(parcelles!C95=ChanvreIndustriel,"soit "&amp;parcelles!E95*0.8&amp;"t de grain et "&amp;parcelles!E95*7&amp;"t de paille",IF(parcelles!C95=Luzerne,"soit "&amp;10*parcelles!E95&amp;"t/an",IF(parcelles!C95=Miscanthus,"soit "&amp;10.5*parcelles!E95&amp;"t/an","soit "&amp;INDEX(parcelles!$C$56:$Y$77,MATCH(parcelles!B95,parcelles!$B$56:$B$77,0),MATCH(parcelles!C95,parcelles!$C$53:$Y$53,0))*parcelles!E95&amp;"t")))))</f>
        <v/>
      </c>
      <c r="HZ47" s="1085" t="str">
        <f>IF(parcelles!D95="","",IF(parcelles!F95=0,"",IF(parcelles!C95=ChanvreIndustriel,"soit "&amp;parcelles!E95*0.8*0.8&amp;"t de grain et "&amp;parcelles!E95*7*0.8&amp;"t de paille",IF(parcelles!C95=Luzerne,"soit "&amp;10*0.8*parcelles!E95&amp;"t/an",IF(parcelles!C95=Miscanthus,"soit "&amp;10.5*0.8*parcelles!E95&amp;"t/an","soit "&amp;INDEX(parcelles!$C$56:$Y$77,MATCH(parcelles!B95,parcelles!$B$56:$B$77,0),MATCH(parcelles!C95,parcelles!$C$53:$Y$53,0))*0.8*parcelles!E95&amp;"t")))))</f>
        <v/>
      </c>
      <c r="IA47" s="1085" t="str">
        <f>IF(parcelles!L95="","",(VLOOKUP(parcelles!M95,BDD!$HN$5:$HU$38,2,FALSE))*parcelles!O95)</f>
        <v/>
      </c>
      <c r="IB47" s="1085" t="str">
        <f>IF(parcelles!L95="","",IF(OR(parcelles!M95=Moutarde,parcelles!M95=Phacélie),0,IF(parcelles!M95=Luzerne,10*parcelles!O95*VLOOKUP(parcelles!M95,BDD!$HN$5:$HU$38,3,FALSE),IF(parcelles!M95=Miscanthus,10.5*parcelles!O95*VLOOKUP(parcelles!M95,BDD!$HN$5:$HU$38,3,FALSE),INDEX(parcelles!$C$56:'parcelles'!$Y$77,MATCH(parcelles!L95,parcelles!$B$56:'parcelles'!$B$77,0),MATCH(parcelles!M95,parcelles!$C$53:'parcelles'!$Y$53,0))*parcelles!O95*VLOOKUP(parcelles!M95,BDD!$HN$5:$HU$38,3,FALSE)))))</f>
        <v/>
      </c>
      <c r="IC47" s="1085" t="str">
        <f>IF(parcelles!L95="","",IF(OR(parcelles!M95=Moutarde,parcelles!M95=Phacélie),0,IF(parcelles!M95=Luzerne,10*parcelles!O95*VLOOKUP(parcelles!M95,BDD!$HN$5:$HU$38,4,FALSE),IF(parcelles!M95=Miscanthus,10.5*parcelles!O95*VLOOKUP(parcelles!M95,BDD!$HN$5:$HU$38,4,FALSE),INDEX(parcelles!$C$56:'parcelles'!$Y$77,MATCH(parcelles!L95,parcelles!$B$56:'parcelles'!$B$77,0),MATCH(parcelles!M95,parcelles!$C$53:'parcelles'!$Y$53,0))*parcelles!O95*VLOOKUP(parcelles!M95,BDD!$HN$5:$HU$38,4,FALSE)))))</f>
        <v/>
      </c>
      <c r="ID47" s="1085" t="str">
        <f>IF(parcelles!L95="","",IF(OR(parcelles!M95=Moutarde,parcelles!M95=Phacélie),0,IF(parcelles!M95=Luzerne,10*parcelles!O95*VLOOKUP(parcelles!M95,BDD!$HN$5:$HU$38,5,FALSE),IF(parcelles!M95=Miscanthus,10.5*parcelles!O95*VLOOKUP(parcelles!M95,BDD!$HN$5:$HU$38,5,FALSE),INDEX(parcelles!$C$56:'parcelles'!$Y$77,MATCH(parcelles!L95,parcelles!$B$56:'parcelles'!$B$77,0),MATCH(parcelles!M95,parcelles!$C$53:'parcelles'!$Y$53,0))*parcelles!O95*VLOOKUP(parcelles!M95,BDD!$HN$5:$HU$38,5,FALSE)))))</f>
        <v/>
      </c>
      <c r="IE47" s="1085" t="str">
        <f>IF(parcelles!L95="","",IF(OR(parcelles!M95=Moutarde,parcelles!M95=Phacélie),0,IF(parcelles!M95=Luzerne,10*parcelles!O95*VLOOKUP(parcelles!M95,BDD!$HN$5:$HU$38,6,FALSE),IF(parcelles!M95=Miscanthus,10.5*parcelles!O95*VLOOKUP(parcelles!M95,BDD!$HN$5:$HU$38,6,FALSE),INDEX(parcelles!$C$56:'parcelles'!$Y$77,MATCH(parcelles!L95,parcelles!$B$56:'parcelles'!$B$77,0),MATCH(parcelles!M95,parcelles!$C$53:'parcelles'!$Y$53,0))*parcelles!O95*VLOOKUP(parcelles!M95,BDD!$HN$5:$HU$38,6,FALSE)))))</f>
        <v/>
      </c>
      <c r="IF47" s="1085" t="str">
        <f>IF(parcelles!L95="","",IF(OR(parcelles!M95=Moutarde,parcelles!M95=Phacélie),0,IF(parcelles!M95=Luzerne,10*parcelles!O95*VLOOKUP(parcelles!M95,BDD!$HN$5:$HU$38,7,FALSE),IF(parcelles!M95=Miscanthus,10.5*parcelles!O95*VLOOKUP(parcelles!M95,BDD!$HN$5:$HU$38,7,FALSE),INDEX(parcelles!$C$56:'parcelles'!$Y$77,MATCH(parcelles!L95,parcelles!$B$56:'parcelles'!$B$77,0),MATCH(parcelles!M95,parcelles!$C$53:'parcelles'!$Y$53,0))*parcelles!O95*VLOOKUP(parcelles!M95,BDD!$HN$5:$HU$38,7,FALSE)))))</f>
        <v/>
      </c>
      <c r="IG47" s="1085" t="str">
        <f>IF(parcelles!L95="","",IF(OR(parcelles!M95=Moutarde,parcelles!M95=Phacélie),0,IF(parcelles!M95=Luzerne,10*parcelles!O95*VLOOKUP(parcelles!M95,BDD!$HN$5:$HU$38,8,FALSE),IF(parcelles!M95=Miscanthus,10.5*parcelles!O95*VLOOKUP(parcelles!M95,BDD!$HN$5:$HU$38,8,FALSE),INDEX(parcelles!$C$56:'parcelles'!$Y$77,MATCH(parcelles!L95,parcelles!$B$56:'parcelles'!$B$77,0),MATCH(parcelles!M95,parcelles!$C$53:'parcelles'!$Y$53,0))*parcelles!O95*VLOOKUP(parcelles!M95,BDD!$HN$5:$HU$38,8,FALSE)))))</f>
        <v/>
      </c>
      <c r="IH47" s="1085" t="str">
        <f>IF(parcelles!L95="","",IF(OR(parcelles!L95=Moutarde,parcelles!L95=Phacélie),0,1.6*parcelles!O95))</f>
        <v/>
      </c>
      <c r="II47" s="1085" t="str">
        <f>IF(parcelles!L95="","",IF(OR(parcelles!L95=Moutarde,parcelles!L95=Phacélie),0,1.6*parcelles!O95))</f>
        <v/>
      </c>
      <c r="IJ47" s="1085" t="str">
        <f>IF(parcelles!L95="","",IF(OR(parcelles!L95=Moutarde,parcelles!L95=Phacélie),0,1.6*parcelles!O95))</f>
        <v/>
      </c>
      <c r="IK47" s="1085" t="str">
        <f>IF(parcelles!P95="","",IF(parcelles!R95=0,"",IF(parcelles!O95=ChanvreIndustriel,"soit "&amp;parcelles!Q95*0.8&amp;"t de grain et "&amp;parcelles!Q95*7&amp;"t de paille",IF(parcelles!O95=Luzerne,"soit "&amp;10*parcelles!Q95&amp;"t/an",IF(parcelles!O95=Miscanthus,"soit "&amp;10.5*parcelles!Q95&amp;"t/an","soit "&amp;INDEX(parcelles!$C$56:$Y$77,MATCH(parcelles!N95,parcelles!$B$56:$B$77,0),MATCH(parcelles!O95,parcelles!$C$53:$Y$53,0))*parcelles!Q95&amp;"t")))))</f>
        <v/>
      </c>
      <c r="IL47" s="1085" t="str">
        <f>IF(parcelles!P95="","",IF(parcelles!R95=0,"",IF(parcelles!O95=ChanvreIndustriel,"soit "&amp;parcelles!Q95*0.8*0.8&amp;"t de grain et "&amp;parcelles!Q95*7*0.8&amp;"t de paille",IF(parcelles!O95=Luzerne,"soit "&amp;10*0.8*parcelles!Q95&amp;"t/an",IF(parcelles!O95=Miscanthus,"soit "&amp;10.5*0.8*parcelles!Q95&amp;"t/an","soit "&amp;INDEX(parcelles!$C$56:$Y$77,MATCH(parcelles!N95,parcelles!$B$56:$B$77,0),MATCH(parcelles!O95,parcelles!$C$53:$Y$53,0))*0.8*parcelles!Q95&amp;"t")))))</f>
        <v/>
      </c>
      <c r="IM47" s="1085" t="str">
        <f>IF(parcelles!S95="","",IF(parcelles!U95=0,"",IF(parcelles!R95=ChanvreIndustriel,parcelles!T95*0.8*0.8+parcelles!T95*7*0.8,IF(parcelles!R95=Luzerne,10*0.8*parcelles!T95,IF(parcelles!R95=Miscanthus,10.5*0.8*parcelles!T95,INDEX(parcelles!$C$56:$Y$77,MATCH(parcelles!Q95,parcelles!$B$56:$B$77,0),MATCH(parcelles!R95,parcelles!$C$53:$Y$53,0))*0.8*parcelles!T95)))))</f>
        <v/>
      </c>
      <c r="IN47" s="1368"/>
    </row>
    <row r="48" spans="1:248" ht="12.75" customHeight="1" x14ac:dyDescent="0.2">
      <c r="A48" s="1307" t="s">
        <v>1098</v>
      </c>
      <c r="B48" s="1177" t="s">
        <v>1105</v>
      </c>
      <c r="C48" s="1177">
        <v>0.5</v>
      </c>
      <c r="D48" s="1178">
        <v>0.01</v>
      </c>
      <c r="E48" s="1321"/>
      <c r="F48" s="1149" t="s">
        <v>852</v>
      </c>
      <c r="G48" s="1149">
        <v>2</v>
      </c>
      <c r="H48" s="1149"/>
      <c r="I48" s="1149"/>
      <c r="J48" s="1321"/>
      <c r="K48" s="1321"/>
      <c r="L48" s="1321"/>
      <c r="M48" s="1321"/>
      <c r="N48" s="1321"/>
      <c r="O48" s="1149" t="s">
        <v>532</v>
      </c>
      <c r="P48" s="1149">
        <v>7.6</v>
      </c>
      <c r="Q48" s="1149">
        <v>6.4</v>
      </c>
      <c r="R48" s="1149">
        <v>6.7</v>
      </c>
      <c r="S48" s="1149">
        <v>5.5</v>
      </c>
      <c r="T48" s="1149">
        <v>5.2</v>
      </c>
      <c r="U48" s="1149">
        <v>6.5</v>
      </c>
      <c r="V48" s="1149"/>
      <c r="W48" s="1149">
        <v>8.3000000000000007</v>
      </c>
      <c r="X48" s="1149">
        <v>10.8</v>
      </c>
      <c r="Y48" s="1149">
        <v>76</v>
      </c>
      <c r="Z48" s="1149">
        <v>3.4</v>
      </c>
      <c r="AA48" s="1149">
        <v>3.5</v>
      </c>
      <c r="AB48" s="1149">
        <v>4.5999999999999996</v>
      </c>
      <c r="AC48" s="1149">
        <v>4</v>
      </c>
      <c r="AD48" s="1149">
        <v>2.2000000000000002</v>
      </c>
      <c r="AE48" s="1149">
        <v>3.3</v>
      </c>
      <c r="AF48" s="1149">
        <v>50.5</v>
      </c>
      <c r="AG48" s="1149">
        <v>0.8</v>
      </c>
      <c r="AH48" s="1149">
        <v>7</v>
      </c>
      <c r="AI48" s="1149">
        <v>16</v>
      </c>
      <c r="AJ48" s="1149">
        <v>11</v>
      </c>
      <c r="AK48" s="1149">
        <v>3.1</v>
      </c>
      <c r="AL48" s="1149">
        <v>0</v>
      </c>
      <c r="AM48" s="1149"/>
      <c r="AN48" s="1149">
        <v>2.7</v>
      </c>
      <c r="AO48" s="1149">
        <v>28</v>
      </c>
      <c r="AP48" s="1149">
        <v>0</v>
      </c>
      <c r="AQ48" s="1149">
        <v>0</v>
      </c>
      <c r="AR48" s="1149">
        <v>0</v>
      </c>
      <c r="AS48" s="1149">
        <v>0</v>
      </c>
      <c r="AT48" s="1149">
        <v>0</v>
      </c>
      <c r="AU48" s="1149">
        <v>0</v>
      </c>
      <c r="AV48" s="1149">
        <v>0</v>
      </c>
      <c r="AW48" s="1149">
        <v>8.5</v>
      </c>
      <c r="AX48" s="1149">
        <v>10</v>
      </c>
      <c r="AY48" s="1149">
        <v>10</v>
      </c>
      <c r="AZ48" s="1321"/>
      <c r="BA48" s="1321"/>
      <c r="BB48" s="1321"/>
      <c r="BC48" s="1143" t="s">
        <v>1046</v>
      </c>
      <c r="BD48" s="1210">
        <v>285</v>
      </c>
      <c r="BE48" s="1321"/>
      <c r="BF48" s="1143" t="s">
        <v>1046</v>
      </c>
      <c r="BG48" s="1210">
        <v>342</v>
      </c>
      <c r="BH48" s="1321"/>
      <c r="BI48" s="1321"/>
      <c r="BJ48" s="1321"/>
      <c r="BK48" s="1345"/>
      <c r="BL48" s="1348"/>
      <c r="BM48" s="1076" t="s">
        <v>331</v>
      </c>
      <c r="BN48" s="1076">
        <f t="array" ref="BN48">IF(Ration_hivernale_complète_bisons[somme]&gt;0,0,IFERROR(IF(OR(AND(INDEX(Règles_bison[Specificite],MATCH(ChoixRationBisons&amp;$BM48,Règles_bison[Ration]&amp;Règles_bison[Aliment],0))="s1",IF($BM48=ChoixSpécificité1Bisons,1)),
AND(INDEX(Règles_bison[Specificite],MATCH(ChoixRationBisons&amp;$BM48,Règles_bison[Ration]&amp;Règles_bison[Aliment],0))="s2",IF($BM48=ChoixSpécificité2Bisons,1)),INDEX(Règles_bison[Specificite],MATCH(ChoixRationBisons&amp;$BM48,Règles_bison[Ration]&amp;Règles_bison[Aliment],0))="c"),
INDEX(Règles_bison[Valeur 36 et plus],MATCH(ChoixRationBisons&amp;$BM48,Règles_bison[Ration]&amp;Règles_bison[Aliment],0)),0),0)*TotalBisonsMalesAdultes*SUM(NbreJoursNourrirBisonsDaims))</f>
        <v>0</v>
      </c>
      <c r="BO48" s="1076">
        <f t="array" ref="BO48">IF(Ration_hivernale_complète_bisons[somme]&gt;0,0,IFERROR(IF(OR(AND(INDEX(Règles_bison[Specificite],MATCH(ChoixRationBisons&amp;$BM48,Règles_bison[Ration]&amp;Règles_bison[Aliment],0))="s1",IF($BM48=ChoixSpécificité1Bisons,1)),
AND(INDEX(Règles_bison[Specificite],MATCH(ChoixRationBisons&amp;$BM48,Règles_bison[Ration]&amp;Règles_bison[Aliment],0))="s2",IF($BM48=ChoixSpécificité2Bisons,1)),INDEX(Règles_bison[Specificite],MATCH(ChoixRationBisons&amp;$BM48,Règles_bison[Ration]&amp;Règles_bison[Aliment],0))="c"),
INDEX(Règles_bison[Valeur 24-36],MATCH(ChoixRationBisons&amp;$BM48,Règles_bison[Ration]&amp;Règles_bison[Aliment],0)),0),0)*TotalBisonsMales_24_36_mois*SUM(NbreJoursNourrirBisonsDaims))</f>
        <v>0</v>
      </c>
      <c r="BP48" s="1076">
        <f t="array" ref="BP48">IF(Ration_hivernale_complète_bisons[somme]&gt;0,0,IFERROR(IF(OR(AND(INDEX(Règles_bison[Specificite],MATCH(ChoixRationBisons&amp;$BM48,Règles_bison[Ration]&amp;Règles_bison[Aliment],0))="s1",IF($BM48=ChoixSpécificité1Bisons,1)),
AND(INDEX(Règles_bison[Specificite],MATCH(ChoixRationBisons&amp;$BM48,Règles_bison[Ration]&amp;Règles_bison[Aliment],0))="s2",IF($BM48=ChoixSpécificité2Bisons,1)),INDEX(Règles_bison[Specificite],MATCH(ChoixRationBisons&amp;$BM48,Règles_bison[Ration]&amp;Règles_bison[Aliment],0))="c"),
INDEX(Règles_bison[Valeur 18-24],MATCH(ChoixRationBisons&amp;$BM48,Règles_bison[Ration]&amp;Règles_bison[Aliment],0)),0),0)*TotalBisonsMales_18_24_mois*SUM(NbreJoursNourrirBisonsDaims))</f>
        <v>0</v>
      </c>
      <c r="BQ48" s="1076">
        <f t="array" ref="BQ48">IF(Ration_hivernale_complète_bisons[somme]&gt;0,0,IFERROR(IF(OR(AND(INDEX(Règles_bison[Specificite],MATCH(ChoixRationBisons&amp;$BM48,Règles_bison[Ration]&amp;Règles_bison[Aliment],0))="s1",IF($BM48=ChoixSpécificité1Bisons,1)),
AND(INDEX(Règles_bison[Specificite],MATCH(ChoixRationBisons&amp;$BM48,Règles_bison[Ration]&amp;Règles_bison[Aliment],0))="s2",IF($BM48=ChoixSpécificité2Bisons,1)),INDEX(Règles_bison[Specificite],MATCH(ChoixRationBisons&amp;$BM48,Règles_bison[Ration]&amp;Règles_bison[Aliment],0))="c"),
INDEX(Règles_bison[Valeur 12-18],MATCH(ChoixRationBisons&amp;$BM48,Règles_bison[Ration]&amp;Règles_bison[Aliment],0)),0),0)*TotalBisonsMales_12_18_mois*SUM(NbreJoursNourrirBisonsDaims))</f>
        <v>0</v>
      </c>
      <c r="BR48" s="1076">
        <f t="array" ref="BR48">IF(Ration_hivernale_complète_bisons[somme]&gt;0,0,IFERROR(IF(OR(AND(INDEX(Règles_bison[Specificite],MATCH(ChoixRationBisons&amp;$BM48,Règles_bison[Ration]&amp;Règles_bison[Aliment],0))="s1",IF($BM48=ChoixSpécificité1Bisons,1)),
AND(INDEX(Règles_bison[Specificite],MATCH(ChoixRationBisons&amp;$BM48,Règles_bison[Ration]&amp;Règles_bison[Aliment],0))="s2",IF($BM48=ChoixSpécificité2Bisons,1)),INDEX(Règles_bison[Specificite],MATCH(ChoixRationBisons&amp;$BM48,Règles_bison[Ration]&amp;Règles_bison[Aliment],0))="c"),
INDEX(Règles_bison[Valeur 6-12],MATCH(ChoixRationBisons&amp;$BM48,Règles_bison[Ration]&amp;Règles_bison[Aliment],0)),0),0)*TotalBisonsMales_6_12_mois*SUM(NbreJoursNourrirBisonsDaims))</f>
        <v>0</v>
      </c>
      <c r="BS48" s="1076">
        <f t="array" ref="BS48">IF(Ration_hivernale_complète_bisons[somme]&gt;0,0,IFERROR(IF(OR(AND(INDEX(Règles_bison[Specificite],MATCH(ChoixRationBisons&amp;$BM48,Règles_bison[Ration]&amp;Règles_bison[Aliment],0))="s1",IF($BM48=ChoixSpécificité1Bisons,1)),
AND(INDEX(Règles_bison[Specificite],MATCH(ChoixRationBisons&amp;$BM48,Règles_bison[Ration]&amp;Règles_bison[Aliment],0))="s2",IF($BM48=ChoixSpécificité2Bisons,1)),INDEX(Règles_bison[Specificite],MATCH(ChoixRationBisons&amp;$BM48,Règles_bison[Ration]&amp;Règles_bison[Aliment],0))="c"),
INDEX(Règles_bison[Valeur 3-6],MATCH(ChoixRationBisons&amp;$BM48,Règles_bison[Ration]&amp;Règles_bison[Aliment],0)),0),0)*TotalBisonsMales_3_6_mois*SUM(NbreJoursNourrirBisonsDaims))</f>
        <v>0</v>
      </c>
      <c r="BT48" s="1076">
        <f t="array" ref="BT48">IF(Ration_hivernale_complète_bisons[somme]&gt;0,0,IFERROR(IF(OR(AND(INDEX(Règles_bison[Specificite],MATCH(ChoixRationBisons&amp;$BM48,Règles_bison[Ration]&amp;Règles_bison[Aliment],0))="s1",IF($BM48=ChoixSpécificité1Bisons,1)),
AND(INDEX(Règles_bison[Specificite],MATCH(ChoixRationBisons&amp;$BM48,Règles_bison[Ration]&amp;Règles_bison[Aliment],0))="s2",IF($BM48=ChoixSpécificité2Bisons,1)),INDEX(Règles_bison[Specificite],MATCH(ChoixRationBisons&amp;$BM48,Règles_bison[Ration]&amp;Règles_bison[Aliment],0))="c"),
INDEX(Règles_bison[Valeur 0-3],MATCH(ChoixRationBisons&amp;$BM48,Règles_bison[Ration]&amp;Règles_bison[Aliment],0)),0),0)*TotalBisonsMales_0_3_mois*SUM(NbreJoursNourrirBisonsDaims))</f>
        <v>0</v>
      </c>
      <c r="BU48" s="1076">
        <f t="shared" si="10"/>
        <v>0</v>
      </c>
      <c r="BV48" s="1345"/>
      <c r="BW48" s="1345"/>
      <c r="BX48" s="1187" t="s">
        <v>1232</v>
      </c>
      <c r="BY48" s="1171" t="s">
        <v>1250</v>
      </c>
      <c r="BZ48" s="1168" t="s">
        <v>1251</v>
      </c>
      <c r="CA48" s="1171" t="s">
        <v>1280</v>
      </c>
      <c r="CB48" s="1171" t="s">
        <v>1257</v>
      </c>
      <c r="CC48" s="1171" t="s">
        <v>1256</v>
      </c>
      <c r="CD48" s="1172" t="s">
        <v>1255</v>
      </c>
      <c r="CE48" s="1321"/>
      <c r="CF48" s="1321"/>
      <c r="CG48" s="1321"/>
      <c r="CH48" s="1321"/>
      <c r="CI48" s="1321"/>
      <c r="CJ48" s="1347" t="s">
        <v>1706</v>
      </c>
      <c r="CK48" s="1336"/>
      <c r="CL48" s="1336"/>
      <c r="CM48" s="1336"/>
      <c r="CN48" s="1336"/>
      <c r="CO48" s="1336"/>
      <c r="CP48" s="1336"/>
      <c r="CQ48" s="1321"/>
      <c r="CR48" s="1321"/>
      <c r="CS48" s="1176" t="s">
        <v>1292</v>
      </c>
      <c r="CT48" s="1177" t="s">
        <v>733</v>
      </c>
      <c r="CU48" s="1177" t="s">
        <v>1252</v>
      </c>
      <c r="CV48" s="1177">
        <v>1.2</v>
      </c>
      <c r="CW48" s="1177">
        <v>1.2</v>
      </c>
      <c r="CX48" s="1178">
        <v>0.4</v>
      </c>
      <c r="CY48" s="1321"/>
      <c r="CZ48" s="1176"/>
      <c r="DA48" s="1177"/>
      <c r="DB48" s="1177"/>
      <c r="DC48" s="1177"/>
      <c r="DD48" s="1177"/>
      <c r="DE48" s="1178"/>
      <c r="DF48" s="1321"/>
      <c r="DG48" s="808" t="s">
        <v>673</v>
      </c>
      <c r="DH48" s="817">
        <f t="array" ref="DH4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48" s="817">
        <f t="array" ref="DI4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48" s="817">
        <f t="array" ref="DJ4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48" s="818">
        <f>SUM(AlimentsRationPintadesMâles[[#This Row],[Valeur 9 et plus]:[Valeur 0-1]])</f>
        <v>0</v>
      </c>
      <c r="DL48" s="1364"/>
      <c r="DM48" s="1364"/>
      <c r="DN48" s="1321"/>
      <c r="DO48" s="1321"/>
      <c r="DP48" s="1321"/>
      <c r="DQ48" s="1321"/>
      <c r="DR48" s="1321"/>
      <c r="DS48" s="1345"/>
      <c r="DT48" s="1346"/>
      <c r="DU48" s="1346"/>
      <c r="DV48" s="1076" t="s">
        <v>333</v>
      </c>
      <c r="DW48" s="1267">
        <f t="array" ref="DW48">IF(ChoixRationComplèteDaims=OUI,0,IFERROR(IF(OR(AND(INDEX(Règles_daims[Specificite],MATCH(ChoixRationDaims&amp;DV48,Règles_daims[Ration]&amp;Règles_daims[Aliment],0))="s1",IF(DV48=Spécificité1Daims,1)),
AND(INDEX(Règles_daims[Specificite],MATCH(ChoixRationDaims&amp;DV48,Règles_daims[Ration]&amp;Règles_daims[Aliment],0))="s2",IF(DV48=Spécificité2Daims,1)),
INDEX(Règles_daims[Specificite],MATCH(ChoixRationDaims&amp;DV48,Règles_daims[Ration]&amp;Règles_daims[Aliment],0))="c"),
INDEX(Règles_daims[Valeur 36 et plus],MATCH(ChoixRationDaims&amp;DV48,Règles_daims[Ration]&amp;Règles_daims[Aliment],0)),0),0)*SUM(TotalDaimsAdultes)*SUM(NbreJoursNourrirBisonsDaims))</f>
        <v>0</v>
      </c>
      <c r="DX48" s="1267">
        <f t="array" ref="DX48">IF(ChoixRationComplèteDaims=OUI,0,IFERROR(IF(OR(AND(INDEX(Règles_daims[Specificite],MATCH(ChoixRationDaims&amp;DV48,Règles_daims[Ration]&amp;Règles_daims[Aliment],0))="s1",IF(DV48=Spécificité1Daims,1)),
AND(INDEX(Règles_daims[Specificite],MATCH(ChoixRationDaims&amp;DV48,Règles_daims[Ration]&amp;Règles_daims[Aliment],0))="s2",IF(DV48=Spécificité2Daims,1)),
INDEX(Règles_daims[Specificite],MATCH(ChoixRationDaims&amp;DV48,Règles_daims[Ration]&amp;Règles_daims[Aliment],0))="c"),
INDEX(Règles_daims[Valeur 24-36],MATCH(ChoixRationDaims&amp;DV48,Règles_daims[Ration]&amp;Règles_daims[Aliment],0)),0),0)*SUM(TotalDaims24_36)*SUM(NbreJoursNourrirBisonsDaims))</f>
        <v>0</v>
      </c>
      <c r="DY48" s="1267">
        <f t="array" ref="DY48">IF(ChoixRationComplèteDaims=OUI,0,IFERROR(IF(OR(AND(INDEX(Règles_daims[Specificite],MATCH(ChoixRationDaims&amp;DV48,Règles_daims[Ration]&amp;Règles_daims[Aliment],0))="s1",IF(DV48=Spécificité1Daims,1)),
AND(INDEX(Règles_daims[Specificite],MATCH(ChoixRationDaims&amp;DV48,Règles_daims[Ration]&amp;Règles_daims[Aliment],0))="s2",IF(DV48=Spécificité2Daims,1)),
INDEX(Règles_daims[Specificite],MATCH(ChoixRationDaims&amp;DV48,Règles_daims[Ration]&amp;Règles_daims[Aliment],0))="c"),
INDEX(Règles_daims[Valeur 18-24],MATCH(ChoixRationDaims&amp;DV48,Règles_daims[Ration]&amp;Règles_daims[Aliment],0)),0),0)*SUM(TotalDaims18_24)*SUM(NbreJoursNourrirBisonsDaims))</f>
        <v>0</v>
      </c>
      <c r="DZ48" s="1279">
        <f t="array" ref="DZ48">IF(ChoixRationComplèteDaims=OUI,0,IFERROR(IF(OR(AND(INDEX(Règles_daims[Specificite],MATCH(ChoixRationDaims&amp;DV48,Règles_daims[Ration]&amp;Règles_daims[Aliment],0))="s1",IF(DV48=Spécificité1Daims,1)),
AND(INDEX(Règles_daims[Specificite],MATCH(ChoixRationDaims&amp;DV48,Règles_daims[Ration]&amp;Règles_daims[Aliment],0))="s2",IF(DV48=Spécificité2Daims,1)),
INDEX(Règles_daims[Specificite],MATCH(ChoixRationDaims&amp;DV48,Règles_daims[Ration]&amp;Règles_daims[Aliment],0))="c"),
INDEX(Règles_daims[Valeur 12-18],MATCH(ChoixRationDaims&amp;DV48,Règles_daims[Ration]&amp;Règles_daims[Aliment],0)),0),0)*SUM(TotalDaims12_18)*SUM(NbreJoursNourrirBisonsDaims))</f>
        <v>0</v>
      </c>
      <c r="EA48" s="1279">
        <f t="array" ref="EA48">IF(ChoixRationComplèteDaims=OUI,0,IFERROR(IF(OR(AND(INDEX(Règles_daims[Specificite],MATCH(ChoixRationDaims&amp;DV48,Règles_daims[Ration]&amp;Règles_daims[Aliment],0))="s1",IF(DV48=Spécificité1Daims,1)),
AND(INDEX(Règles_daims[Specificite],MATCH(ChoixRationDaims&amp;DV48,Règles_daims[Ration]&amp;Règles_daims[Aliment],0))="s2",IF(DV48=Spécificité2Daims,1)),
INDEX(Règles_daims[Specificite],MATCH(ChoixRationDaims&amp;DV48,Règles_daims[Ration]&amp;Règles_daims[Aliment],0))="c"),
INDEX(Règles_daims[Valeur 6-12],MATCH(ChoixRationDaims&amp;DV48,Règles_daims[Ration]&amp;Règles_daims[Aliment],0)),0),0)*SUM(TotalDaims6_12)*SUM(NbreJoursNourrirBisonsDaims))</f>
        <v>0</v>
      </c>
      <c r="EB48" s="1279">
        <f t="array" ref="EB48">IF(ChoixRationComplèteDaims=OUI,0,IFERROR(IF(OR(AND(INDEX(Règles_daims[Specificite],MATCH(ChoixRationDaims&amp;DV48,Règles_daims[Ration]&amp;Règles_daims[Aliment],0))="s1",IF(DV48=Spécificité1Daims,1)),
AND(INDEX(Règles_daims[Specificite],MATCH(ChoixRationDaims&amp;DV48,Règles_daims[Ration]&amp;Règles_daims[Aliment],0))="s2",IF(DV48=Spécificité2Daims,1)),
INDEX(Règles_daims[Specificite],MATCH(ChoixRationDaims&amp;DV48,Règles_daims[Ration]&amp;Règles_daims[Aliment],0))="c"),
INDEX(Règles_daims[Valeur 3-6],MATCH(ChoixRationDaims&amp;DV48,Règles_daims[Ration]&amp;Règles_daims[Aliment],0)),0),0)*SUM(TotalDaims3_6)*SUM(NbreJoursNourrirBisonsDaims))</f>
        <v>0</v>
      </c>
      <c r="EC48" s="1279">
        <f t="array" ref="EC48">IF(ChoixRationComplèteDaims=OUI,0,IFERROR(IF(OR(AND(INDEX(Règles_daims[Specificite],MATCH(ChoixRationDaims&amp;DV48,Règles_daims[Ration]&amp;Règles_daims[Aliment],0))="s1",IF(DV48=Spécificité1Daims,1)),
AND(INDEX(Règles_daims[Specificite],MATCH(ChoixRationDaims&amp;DV48,Règles_daims[Ration]&amp;Règles_daims[Aliment],0))="s2",IF(DV48=Spécificité2Daims,1)),
INDEX(Règles_daims[Specificite],MATCH(ChoixRationDaims&amp;DV48,Règles_daims[Ration]&amp;Règles_daims[Aliment],0))="c"),
INDEX(Règles_daims[Valeur 0-3],MATCH(ChoixRationDaims&amp;DV48,Règles_daims[Ration]&amp;Règles_daims[Aliment],0)),0),0)*SUM(TotalDaims0_3)*SUM(NbreJoursNourrirBisonsDaims))</f>
        <v>0</v>
      </c>
      <c r="ED48" s="1279">
        <f t="shared" si="9"/>
        <v>0</v>
      </c>
      <c r="EE48" s="1345"/>
      <c r="EF48" s="1321"/>
      <c r="EG48" s="1200"/>
      <c r="EH48" s="1201"/>
      <c r="EI48" s="1201"/>
      <c r="EJ48" s="1201"/>
      <c r="EK48" s="1201"/>
      <c r="EL48" s="1202"/>
      <c r="EM48" s="1321"/>
      <c r="EN48" s="1321"/>
      <c r="EO48" s="1321"/>
      <c r="EP48" s="1321"/>
      <c r="EQ48" s="1321"/>
      <c r="ER48" s="1321"/>
      <c r="ES48" s="1321"/>
      <c r="ET48" s="1321"/>
      <c r="EU48" s="1176" t="s">
        <v>1240</v>
      </c>
      <c r="EV48" s="1177" t="s">
        <v>672</v>
      </c>
      <c r="EW48" s="1177" t="s">
        <v>1252</v>
      </c>
      <c r="EX48" s="1177">
        <v>6</v>
      </c>
      <c r="EY48" s="1177">
        <v>4.5</v>
      </c>
      <c r="EZ48" s="1177">
        <v>3</v>
      </c>
      <c r="FA48" s="1178">
        <v>1.5</v>
      </c>
      <c r="FB48" s="1345"/>
      <c r="FC48" s="1346"/>
      <c r="FD48" s="1176"/>
      <c r="FE48" s="1177"/>
      <c r="FF48" s="1177"/>
      <c r="FG48" s="1177"/>
      <c r="FH48" s="1177"/>
      <c r="FI48" s="1177"/>
      <c r="FJ48" s="1191"/>
      <c r="FK48" s="1345"/>
      <c r="FL48" s="1345"/>
      <c r="FM48" s="1346"/>
      <c r="FN48" s="1200"/>
      <c r="FO48" s="1201"/>
      <c r="FP48" s="1201"/>
      <c r="FQ48" s="1201"/>
      <c r="FR48" s="1201"/>
      <c r="FS48" s="1201"/>
      <c r="FT48" s="1227"/>
      <c r="FU48" s="1345"/>
      <c r="FV48" s="1345"/>
      <c r="FW48" s="823" t="s">
        <v>715</v>
      </c>
      <c r="FX48" s="828">
        <f t="array" ref="FX4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48" s="828">
        <f t="array" ref="FY4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48" s="828">
        <f t="array" ref="FZ4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48" s="828">
        <f t="array" ref="GA4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48" s="829">
        <f>SUM(AlimentsGavageOies[[#This Row],[Valeur 3 et plus]:[Valeur 0-1]])</f>
        <v>0</v>
      </c>
      <c r="GC48" s="1364"/>
      <c r="GD48" s="1321"/>
      <c r="GE48" s="1143" t="s">
        <v>170</v>
      </c>
      <c r="GF48" s="1321"/>
      <c r="GG48" s="1321" t="s">
        <v>1349</v>
      </c>
      <c r="GH48" s="1321" t="s">
        <v>1349</v>
      </c>
      <c r="GI48" s="1321" t="s">
        <v>1349</v>
      </c>
      <c r="GJ48" s="1321" t="s">
        <v>1349</v>
      </c>
      <c r="GK48" s="1321" t="s">
        <v>1349</v>
      </c>
      <c r="GL48" s="1321" t="s">
        <v>1349</v>
      </c>
      <c r="GM48" s="1321" t="s">
        <v>1349</v>
      </c>
      <c r="GN48" s="1321" t="s">
        <v>1349</v>
      </c>
      <c r="GO48" s="1321" t="s">
        <v>1349</v>
      </c>
      <c r="GP48" s="1321" t="s">
        <v>1349</v>
      </c>
      <c r="GQ48" s="1321" t="s">
        <v>1349</v>
      </c>
      <c r="GR48" s="1321" t="s">
        <v>1349</v>
      </c>
      <c r="GS48" s="1321" t="s">
        <v>1349</v>
      </c>
      <c r="GT48" s="1321" t="s">
        <v>1349</v>
      </c>
      <c r="GU48" s="1321" t="s">
        <v>1349</v>
      </c>
      <c r="GV48" s="1321" t="s">
        <v>1349</v>
      </c>
      <c r="GW48" s="1321"/>
      <c r="GX48" s="1321"/>
      <c r="GY48" s="1083" t="str">
        <f t="shared" si="11"/>
        <v>semences d'orge (P)</v>
      </c>
      <c r="GZ48" s="1083"/>
      <c r="HA48" s="1084"/>
      <c r="HB48" s="1084">
        <f>IF(COUNTIF(TypeArticleDansEntrepôt,GY48)=0,0,SUMIF(TypeArticleDansEntrepôt,GY48,QtéArticleDansEntrepôt)*VLOOKUP(GY48,place_necessaire_entrepots_aire_paille[],2,FALSE))</f>
        <v>0</v>
      </c>
      <c r="HC48" s="1321"/>
      <c r="HD48" s="1321"/>
      <c r="HE48" s="1321"/>
      <c r="HF48" s="1321"/>
      <c r="HG48" s="1321"/>
      <c r="HH48" s="1321"/>
      <c r="HI48" s="1321"/>
      <c r="HJ48" s="1321"/>
      <c r="HK48" s="1321"/>
      <c r="HL48" s="1321"/>
      <c r="HM48" s="1321"/>
      <c r="HN48" s="1084" t="str">
        <f>IF(parcelles!B96="","",(VLOOKUP(parcelles!C96,BDD!$HN$5:$HU$38,2,FALSE))*parcelles!E96)</f>
        <v/>
      </c>
      <c r="HO48" s="1084" t="str">
        <f>IF(parcelles!B96="","",IF(OR(parcelles!C96=Moutarde,parcelles!C96=Phacélie),0,IF(parcelles!C96=Luzerne,10*parcelles!E96*VLOOKUP(parcelles!C96,BDD!$HN$5:$HU$38,3,FALSE),IF(parcelles!C96=Miscanthus,10.5*parcelles!E96*VLOOKUP(parcelles!C96,BDD!$HN$5:$HU$38,3,FALSE),INDEX(parcelles!$C$56:'parcelles'!$Y$77,MATCH(parcelles!B96,parcelles!$B$56:'parcelles'!$B$77,0),MATCH(parcelles!C96,parcelles!$C$53:'parcelles'!$Y$53,0))*parcelles!E96*VLOOKUP(parcelles!C96,BDD!$HN$5:$HU$38,3,FALSE)))))</f>
        <v/>
      </c>
      <c r="HP48" s="1084" t="str">
        <f>IF(parcelles!B96="","",IF(OR(parcelles!C96=Moutarde,parcelles!C96=Phacélie),0,IF(parcelles!C96=Luzerne,10*parcelles!E96*VLOOKUP(parcelles!C96,BDD!$HN$5:$HU$38,4,FALSE),IF(parcelles!C96=Miscanthus,10.5*parcelles!E96*VLOOKUP(parcelles!C96,BDD!$HN$5:$HU$38,4,FALSE),INDEX(parcelles!$C$56:'parcelles'!$Y$77,MATCH(parcelles!B96,parcelles!$B$56:'parcelles'!$B$77,0),MATCH(parcelles!C96,parcelles!$C$53:'parcelles'!$Y$53,0))*parcelles!E96*VLOOKUP(parcelles!C96,BDD!$HN$5:$HU$38,4,FALSE)))))</f>
        <v/>
      </c>
      <c r="HQ48" s="1084" t="str">
        <f>IF(parcelles!B96="","",IF(OR(parcelles!C96=Moutarde,parcelles!C96=Phacélie),0,IF(parcelles!C96=Luzerne,10*parcelles!E96*VLOOKUP(parcelles!C96,BDD!$HN$5:$HU$38,5,FALSE),IF(parcelles!C96=Miscanthus,10.5*parcelles!E96*VLOOKUP(parcelles!C96,BDD!$HN$5:$HU$38,5,FALSE),INDEX(parcelles!$C$56:'parcelles'!$Y$77,MATCH(parcelles!B96,parcelles!$B$56:'parcelles'!$B$77,0),MATCH(parcelles!C96,parcelles!$C$53:'parcelles'!$Y$53,0))*parcelles!E96*VLOOKUP(parcelles!C96,BDD!$HN$5:$HU$38,5,FALSE)))))</f>
        <v/>
      </c>
      <c r="HR48" s="1084" t="str">
        <f>IF(parcelles!B96="","",IF(OR(parcelles!C96=Moutarde,parcelles!C96=Phacélie),0,IF(parcelles!C96=Luzerne,10*parcelles!E96*VLOOKUP(parcelles!C96,BDD!$HN$5:$HU$38,6,FALSE),IF(parcelles!C96=Miscanthus,10.5*parcelles!E96*VLOOKUP(parcelles!C96,BDD!$HN$5:$HU$38,6,FALSE),INDEX(parcelles!$C$56:'parcelles'!$Y$77,MATCH(parcelles!B96,parcelles!$B$56:'parcelles'!$B$77,0),MATCH(parcelles!C96,parcelles!$C$53:'parcelles'!$Y$53,0))*parcelles!E96*VLOOKUP(parcelles!C96,BDD!$HN$5:$HU$38,6,FALSE)))))</f>
        <v/>
      </c>
      <c r="HS48" s="1084" t="str">
        <f>IF(parcelles!B96="","",IF(OR(parcelles!C96=Moutarde,parcelles!C96=Phacélie),0,IF(parcelles!C96=Luzerne,10*parcelles!E96*VLOOKUP(parcelles!C96,BDD!$HN$5:$HU$38,7,FALSE),IF(parcelles!C96=Miscanthus,10.5*parcelles!E96*VLOOKUP(parcelles!C96,BDD!$HN$5:$HU$38,7,FALSE),INDEX(parcelles!$C$56:'parcelles'!$Y$77,MATCH(parcelles!B96,parcelles!$B$56:'parcelles'!$B$77,0),MATCH(parcelles!C96,parcelles!$C$53:'parcelles'!$Y$53,0))*parcelles!E96*VLOOKUP(parcelles!C96,BDD!$HN$5:$HU$38,7,FALSE)))))</f>
        <v/>
      </c>
      <c r="HT48" s="1084" t="str">
        <f>IF(parcelles!B96="","",IF(OR(parcelles!C96=Moutarde,parcelles!C96=Phacélie),0,IF(parcelles!C96=Luzerne,10*parcelles!E96*VLOOKUP(parcelles!C96,BDD!$HN$5:$HU$38,8,FALSE),IF(parcelles!C96=Miscanthus,10.5*parcelles!E96*VLOOKUP(parcelles!C96,BDD!$HN$5:$HU$38,8,FALSE),INDEX(parcelles!$C$56:'parcelles'!$Y$77,MATCH(parcelles!B96,parcelles!$B$56:'parcelles'!$B$77,0),MATCH(parcelles!C96,parcelles!$C$53:'parcelles'!$Y$53,0))*parcelles!E96*VLOOKUP(parcelles!C96,BDD!$HN$5:$HU$38,8,FALSE)))))</f>
        <v/>
      </c>
      <c r="HU48" s="1084" t="str">
        <f>IF(parcelles!B96="","",IF(OR(parcelles!C96=Moutarde,parcelles!C96=Phacélie),0,1.6*parcelles!E96))</f>
        <v/>
      </c>
      <c r="HV48" s="1084" t="str">
        <f>IF(parcelles!B96="","",IF(OR(parcelles!C96=Moutarde,parcelles!C96=Phacélie),0,1.6*parcelles!E96))</f>
        <v/>
      </c>
      <c r="HW48" s="1084" t="str">
        <f>IF(parcelles!B96="","",IF(OR(parcelles!C96=Moutarde,parcelles!C96=Phacélie),0,1.6*parcelles!E96))</f>
        <v/>
      </c>
      <c r="HX48" s="1095" t="str">
        <f>IF(parcelles!D96="","",IF(parcelles!C96=ChanvreIndustriel,INDEX(parcelles!$C$56:$Y$77,MATCH(parcelles!B96,parcelles!$B$56:$B$77,0),MATCH(parcelles!C96,parcelles!$C$53:$Y$53,0))*parcelles!E96*SUMIF(ListeCulturesBDD,parcelles!C96,PrixVenteCulturesConventionnel)+RIGHT(BDD!$HM$7,3)*7*parcelles!E96,IF(parcelles!C96=Luzerne,parcelles!E96*10*VLOOKUP(parcelles!C96,TarifsCoopCultures,2,FALSE),IF(parcelles!C96=Miscanthus,parcelles!E96*10.5*VLOOKUP(Luzerne,TarifsCoopCultures,2,FALSE),INDEX(parcelles!$C$56:$Y$77,MATCH(parcelles!B96,parcelles!$B$56:$B$77,0),MATCH(parcelles!C96,parcelles!$C$53:$Y$53,0))*parcelles!E96*SUMIF(ListeCulturesBDD,parcelles!C96,PrixVenteCulturesConventionnel)))))</f>
        <v/>
      </c>
      <c r="HY48" s="1084" t="str">
        <f>IF(parcelles!D96="","",IF(parcelles!F96=0,"",IF(parcelles!C96=ChanvreIndustriel,"soit "&amp;parcelles!E96*0.8&amp;"t de grain et "&amp;parcelles!E96*7&amp;"t de paille",IF(parcelles!C96=Luzerne,"soit "&amp;10*parcelles!E96&amp;"t/an",IF(parcelles!C96=Miscanthus,"soit "&amp;10.5*parcelles!E96&amp;"t/an","soit "&amp;INDEX(parcelles!$C$56:$Y$77,MATCH(parcelles!B96,parcelles!$B$56:$B$77,0),MATCH(parcelles!C96,parcelles!$C$53:$Y$53,0))*parcelles!E96&amp;"t")))))</f>
        <v/>
      </c>
      <c r="HZ48" s="1084" t="str">
        <f>IF(parcelles!D96="","",IF(parcelles!F96=0,"",IF(parcelles!C96=ChanvreIndustriel,"soit "&amp;parcelles!E96*0.8*0.8&amp;"t de grain et "&amp;parcelles!E96*7*0.8&amp;"t de paille",IF(parcelles!C96=Luzerne,"soit "&amp;10*0.8*parcelles!E96&amp;"t/an",IF(parcelles!C96=Miscanthus,"soit "&amp;10.5*0.8*parcelles!E96&amp;"t/an","soit "&amp;INDEX(parcelles!$C$56:$Y$77,MATCH(parcelles!B96,parcelles!$B$56:$B$77,0),MATCH(parcelles!C96,parcelles!$C$53:$Y$53,0))*0.8*parcelles!E96&amp;"t")))))</f>
        <v/>
      </c>
      <c r="IA48" s="1084" t="str">
        <f>IF(parcelles!L96="","",(VLOOKUP(parcelles!M96,BDD!$HN$5:$HU$38,2,FALSE))*parcelles!O96)</f>
        <v/>
      </c>
      <c r="IB48" s="1084" t="str">
        <f>IF(parcelles!L96="","",IF(OR(parcelles!M96=Moutarde,parcelles!M96=Phacélie),0,IF(parcelles!M96=Luzerne,10*parcelles!O96*VLOOKUP(parcelles!M96,BDD!$HN$5:$HU$38,3,FALSE),IF(parcelles!M96=Miscanthus,10.5*parcelles!O96*VLOOKUP(parcelles!M96,BDD!$HN$5:$HU$38,3,FALSE),INDEX(parcelles!$C$56:'parcelles'!$Y$77,MATCH(parcelles!L96,parcelles!$B$56:'parcelles'!$B$77,0),MATCH(parcelles!M96,parcelles!$C$53:'parcelles'!$Y$53,0))*parcelles!O96*VLOOKUP(parcelles!M96,BDD!$HN$5:$HU$38,3,FALSE)))))</f>
        <v/>
      </c>
      <c r="IC48" s="1084" t="str">
        <f>IF(parcelles!L96="","",IF(OR(parcelles!M96=Moutarde,parcelles!M96=Phacélie),0,IF(parcelles!M96=Luzerne,10*parcelles!O96*VLOOKUP(parcelles!M96,BDD!$HN$5:$HU$38,4,FALSE),IF(parcelles!M96=Miscanthus,10.5*parcelles!O96*VLOOKUP(parcelles!M96,BDD!$HN$5:$HU$38,4,FALSE),INDEX(parcelles!$C$56:'parcelles'!$Y$77,MATCH(parcelles!L96,parcelles!$B$56:'parcelles'!$B$77,0),MATCH(parcelles!M96,parcelles!$C$53:'parcelles'!$Y$53,0))*parcelles!O96*VLOOKUP(parcelles!M96,BDD!$HN$5:$HU$38,4,FALSE)))))</f>
        <v/>
      </c>
      <c r="ID48" s="1084" t="str">
        <f>IF(parcelles!L96="","",IF(OR(parcelles!M96=Moutarde,parcelles!M96=Phacélie),0,IF(parcelles!M96=Luzerne,10*parcelles!O96*VLOOKUP(parcelles!M96,BDD!$HN$5:$HU$38,5,FALSE),IF(parcelles!M96=Miscanthus,10.5*parcelles!O96*VLOOKUP(parcelles!M96,BDD!$HN$5:$HU$38,5,FALSE),INDEX(parcelles!$C$56:'parcelles'!$Y$77,MATCH(parcelles!L96,parcelles!$B$56:'parcelles'!$B$77,0),MATCH(parcelles!M96,parcelles!$C$53:'parcelles'!$Y$53,0))*parcelles!O96*VLOOKUP(parcelles!M96,BDD!$HN$5:$HU$38,5,FALSE)))))</f>
        <v/>
      </c>
      <c r="IE48" s="1084" t="str">
        <f>IF(parcelles!L96="","",IF(OR(parcelles!M96=Moutarde,parcelles!M96=Phacélie),0,IF(parcelles!M96=Luzerne,10*parcelles!O96*VLOOKUP(parcelles!M96,BDD!$HN$5:$HU$38,6,FALSE),IF(parcelles!M96=Miscanthus,10.5*parcelles!O96*VLOOKUP(parcelles!M96,BDD!$HN$5:$HU$38,6,FALSE),INDEX(parcelles!$C$56:'parcelles'!$Y$77,MATCH(parcelles!L96,parcelles!$B$56:'parcelles'!$B$77,0),MATCH(parcelles!M96,parcelles!$C$53:'parcelles'!$Y$53,0))*parcelles!O96*VLOOKUP(parcelles!M96,BDD!$HN$5:$HU$38,6,FALSE)))))</f>
        <v/>
      </c>
      <c r="IF48" s="1084" t="str">
        <f>IF(parcelles!L96="","",IF(OR(parcelles!M96=Moutarde,parcelles!M96=Phacélie),0,IF(parcelles!M96=Luzerne,10*parcelles!O96*VLOOKUP(parcelles!M96,BDD!$HN$5:$HU$38,7,FALSE),IF(parcelles!M96=Miscanthus,10.5*parcelles!O96*VLOOKUP(parcelles!M96,BDD!$HN$5:$HU$38,7,FALSE),INDEX(parcelles!$C$56:'parcelles'!$Y$77,MATCH(parcelles!L96,parcelles!$B$56:'parcelles'!$B$77,0),MATCH(parcelles!M96,parcelles!$C$53:'parcelles'!$Y$53,0))*parcelles!O96*VLOOKUP(parcelles!M96,BDD!$HN$5:$HU$38,7,FALSE)))))</f>
        <v/>
      </c>
      <c r="IG48" s="1084" t="str">
        <f>IF(parcelles!L96="","",IF(OR(parcelles!M96=Moutarde,parcelles!M96=Phacélie),0,IF(parcelles!M96=Luzerne,10*parcelles!O96*VLOOKUP(parcelles!M96,BDD!$HN$5:$HU$38,8,FALSE),IF(parcelles!M96=Miscanthus,10.5*parcelles!O96*VLOOKUP(parcelles!M96,BDD!$HN$5:$HU$38,8,FALSE),INDEX(parcelles!$C$56:'parcelles'!$Y$77,MATCH(parcelles!L96,parcelles!$B$56:'parcelles'!$B$77,0),MATCH(parcelles!M96,parcelles!$C$53:'parcelles'!$Y$53,0))*parcelles!O96*VLOOKUP(parcelles!M96,BDD!$HN$5:$HU$38,8,FALSE)))))</f>
        <v/>
      </c>
      <c r="IH48" s="1084" t="str">
        <f>IF(parcelles!L96="","",IF(OR(parcelles!L96=Moutarde,parcelles!L96=Phacélie),0,1.6*parcelles!O96))</f>
        <v/>
      </c>
      <c r="II48" s="1084" t="str">
        <f>IF(parcelles!L96="","",IF(OR(parcelles!L96=Moutarde,parcelles!L96=Phacélie),0,1.6*parcelles!O96))</f>
        <v/>
      </c>
      <c r="IJ48" s="1084" t="str">
        <f>IF(parcelles!L96="","",IF(OR(parcelles!L96=Moutarde,parcelles!L96=Phacélie),0,1.6*parcelles!O96))</f>
        <v/>
      </c>
      <c r="IK48" s="1084" t="str">
        <f>IF(parcelles!P96="","",IF(parcelles!R96=0,"",IF(parcelles!O96=ChanvreIndustriel,"soit "&amp;parcelles!Q96*0.8&amp;"t de grain et "&amp;parcelles!Q96*7&amp;"t de paille",IF(parcelles!O96=Luzerne,"soit "&amp;10*parcelles!Q96&amp;"t/an",IF(parcelles!O96=Miscanthus,"soit "&amp;10.5*parcelles!Q96&amp;"t/an","soit "&amp;INDEX(parcelles!$C$56:$Y$77,MATCH(parcelles!N96,parcelles!$B$56:$B$77,0),MATCH(parcelles!O96,parcelles!$C$53:$Y$53,0))*parcelles!Q96&amp;"t")))))</f>
        <v/>
      </c>
      <c r="IL48" s="1084" t="str">
        <f>IF(parcelles!P96="","",IF(parcelles!R96=0,"",IF(parcelles!O96=ChanvreIndustriel,"soit "&amp;parcelles!Q96*0.8*0.8&amp;"t de grain et "&amp;parcelles!Q96*7*0.8&amp;"t de paille",IF(parcelles!O96=Luzerne,"soit "&amp;10*0.8*parcelles!Q96&amp;"t/an",IF(parcelles!O96=Miscanthus,"soit "&amp;10.5*0.8*parcelles!Q96&amp;"t/an","soit "&amp;INDEX(parcelles!$C$56:$Y$77,MATCH(parcelles!N96,parcelles!$B$56:$B$77,0),MATCH(parcelles!O96,parcelles!$C$53:$Y$53,0))*0.8*parcelles!Q96&amp;"t")))))</f>
        <v/>
      </c>
      <c r="IM48" s="1084" t="str">
        <f>IF(parcelles!S96="","",IF(parcelles!U96=0,"",IF(parcelles!R96=ChanvreIndustriel,parcelles!T96*0.8*0.8+parcelles!T96*7*0.8,IF(parcelles!R96=Luzerne,10*0.8*parcelles!T96,IF(parcelles!R96=Miscanthus,10.5*0.8*parcelles!T96,INDEX(parcelles!$C$56:$Y$77,MATCH(parcelles!Q96,parcelles!$B$56:$B$77,0),MATCH(parcelles!R96,parcelles!$C$53:$Y$53,0))*0.8*parcelles!T96)))))</f>
        <v/>
      </c>
      <c r="IN48" s="1368"/>
    </row>
    <row r="49" spans="1:248" ht="12.75" customHeight="1" x14ac:dyDescent="0.2">
      <c r="A49" s="1307" t="s">
        <v>1099</v>
      </c>
      <c r="B49" s="1177" t="s">
        <v>640</v>
      </c>
      <c r="C49" s="1177">
        <v>0.5</v>
      </c>
      <c r="D49" s="1178">
        <v>0.01</v>
      </c>
      <c r="E49" s="1321"/>
      <c r="F49" s="1143" t="s">
        <v>853</v>
      </c>
      <c r="G49" s="1143">
        <v>2</v>
      </c>
      <c r="H49" s="1143"/>
      <c r="I49" s="1143"/>
      <c r="J49" s="1321"/>
      <c r="K49" s="1321"/>
      <c r="L49" s="1321"/>
      <c r="M49" s="1321"/>
      <c r="N49" s="1321"/>
      <c r="O49" s="1143" t="s">
        <v>363</v>
      </c>
      <c r="P49" s="1143">
        <v>3.4</v>
      </c>
      <c r="Q49" s="1143">
        <v>3</v>
      </c>
      <c r="R49" s="1143">
        <v>2.7</v>
      </c>
      <c r="S49" s="1143">
        <v>2.6</v>
      </c>
      <c r="T49" s="1143">
        <v>2.6</v>
      </c>
      <c r="U49" s="1143">
        <v>3.5</v>
      </c>
      <c r="V49" s="1143"/>
      <c r="W49" s="1143">
        <v>11.2</v>
      </c>
      <c r="X49" s="1143">
        <v>10</v>
      </c>
      <c r="Y49" s="1143">
        <v>0</v>
      </c>
      <c r="Z49" s="1143">
        <v>0</v>
      </c>
      <c r="AA49" s="1143">
        <v>1.5</v>
      </c>
      <c r="AB49" s="1143">
        <v>2.5</v>
      </c>
      <c r="AC49" s="1143">
        <v>2.5</v>
      </c>
      <c r="AD49" s="1143">
        <v>1.3</v>
      </c>
      <c r="AE49" s="1143">
        <v>0</v>
      </c>
      <c r="AF49" s="1143">
        <v>9.1999999999999993</v>
      </c>
      <c r="AG49" s="1143">
        <v>0</v>
      </c>
      <c r="AH49" s="1143">
        <v>0</v>
      </c>
      <c r="AI49" s="1143">
        <v>0</v>
      </c>
      <c r="AJ49" s="1143">
        <v>0</v>
      </c>
      <c r="AK49" s="1143">
        <v>0</v>
      </c>
      <c r="AL49" s="1143">
        <v>0</v>
      </c>
      <c r="AM49" s="1143"/>
      <c r="AN49" s="1143">
        <v>0</v>
      </c>
      <c r="AO49" s="1143">
        <v>19</v>
      </c>
      <c r="AP49" s="1143">
        <v>0</v>
      </c>
      <c r="AQ49" s="1143">
        <v>0</v>
      </c>
      <c r="AR49" s="1143">
        <v>0</v>
      </c>
      <c r="AS49" s="1143">
        <v>10</v>
      </c>
      <c r="AT49" s="1143">
        <v>0</v>
      </c>
      <c r="AU49" s="1143">
        <v>0</v>
      </c>
      <c r="AV49" s="1143">
        <v>4</v>
      </c>
      <c r="AW49" s="1143">
        <v>8.5</v>
      </c>
      <c r="AX49" s="1143">
        <v>10</v>
      </c>
      <c r="AY49" s="1143">
        <v>10</v>
      </c>
      <c r="AZ49" s="1321"/>
      <c r="BA49" s="1321"/>
      <c r="BB49" s="1321"/>
      <c r="BC49" s="1149" t="s">
        <v>1047</v>
      </c>
      <c r="BD49" s="1214">
        <v>295</v>
      </c>
      <c r="BE49" s="1321"/>
      <c r="BF49" s="1149" t="s">
        <v>1047</v>
      </c>
      <c r="BG49" s="1214">
        <v>354</v>
      </c>
      <c r="BH49" s="1321"/>
      <c r="BI49" s="1321"/>
      <c r="BJ49" s="1321"/>
      <c r="BK49" s="1345"/>
      <c r="BL49" s="1348"/>
      <c r="BM49" s="1075" t="s">
        <v>298</v>
      </c>
      <c r="BN49" s="1075">
        <f t="array" ref="BN49">IF(Ration_hivernale_complète_bisons[somme]&gt;0,0,IFERROR(IF(OR(AND(INDEX(Règles_bison[Specificite],MATCH(ChoixRationBisons&amp;$BM49,Règles_bison[Ration]&amp;Règles_bison[Aliment],0))="s1",IF($BM49=ChoixSpécificité1Bisons,1)),
AND(INDEX(Règles_bison[Specificite],MATCH(ChoixRationBisons&amp;$BM49,Règles_bison[Ration]&amp;Règles_bison[Aliment],0))="s2",IF($BM49=ChoixSpécificité2Bisons,1)),INDEX(Règles_bison[Specificite],MATCH(ChoixRationBisons&amp;$BM49,Règles_bison[Ration]&amp;Règles_bison[Aliment],0))="c"),
INDEX(Règles_bison[Valeur 36 et plus],MATCH(ChoixRationBisons&amp;$BM49,Règles_bison[Ration]&amp;Règles_bison[Aliment],0)),0),0)*TotalBisonsMalesAdultes*SUM(NbreJoursNourrirBisonsDaims))</f>
        <v>0</v>
      </c>
      <c r="BO49" s="1075">
        <f t="array" ref="BO49">IF(Ration_hivernale_complète_bisons[somme]&gt;0,0,IFERROR(IF(OR(AND(INDEX(Règles_bison[Specificite],MATCH(ChoixRationBisons&amp;$BM49,Règles_bison[Ration]&amp;Règles_bison[Aliment],0))="s1",IF($BM49=ChoixSpécificité1Bisons,1)),
AND(INDEX(Règles_bison[Specificite],MATCH(ChoixRationBisons&amp;$BM49,Règles_bison[Ration]&amp;Règles_bison[Aliment],0))="s2",IF($BM49=ChoixSpécificité2Bisons,1)),INDEX(Règles_bison[Specificite],MATCH(ChoixRationBisons&amp;$BM49,Règles_bison[Ration]&amp;Règles_bison[Aliment],0))="c"),
INDEX(Règles_bison[Valeur 24-36],MATCH(ChoixRationBisons&amp;$BM49,Règles_bison[Ration]&amp;Règles_bison[Aliment],0)),0),0)*TotalBisonsMales_24_36_mois*SUM(NbreJoursNourrirBisonsDaims))</f>
        <v>0</v>
      </c>
      <c r="BP49" s="1075">
        <f t="array" ref="BP49">IF(Ration_hivernale_complète_bisons[somme]&gt;0,0,IFERROR(IF(OR(AND(INDEX(Règles_bison[Specificite],MATCH(ChoixRationBisons&amp;$BM49,Règles_bison[Ration]&amp;Règles_bison[Aliment],0))="s1",IF($BM49=ChoixSpécificité1Bisons,1)),
AND(INDEX(Règles_bison[Specificite],MATCH(ChoixRationBisons&amp;$BM49,Règles_bison[Ration]&amp;Règles_bison[Aliment],0))="s2",IF($BM49=ChoixSpécificité2Bisons,1)),INDEX(Règles_bison[Specificite],MATCH(ChoixRationBisons&amp;$BM49,Règles_bison[Ration]&amp;Règles_bison[Aliment],0))="c"),
INDEX(Règles_bison[Valeur 18-24],MATCH(ChoixRationBisons&amp;$BM49,Règles_bison[Ration]&amp;Règles_bison[Aliment],0)),0),0)*TotalBisonsMales_18_24_mois*SUM(NbreJoursNourrirBisonsDaims))</f>
        <v>0</v>
      </c>
      <c r="BQ49" s="1075">
        <f t="array" ref="BQ49">IF(Ration_hivernale_complète_bisons[somme]&gt;0,0,IFERROR(IF(OR(AND(INDEX(Règles_bison[Specificite],MATCH(ChoixRationBisons&amp;$BM49,Règles_bison[Ration]&amp;Règles_bison[Aliment],0))="s1",IF($BM49=ChoixSpécificité1Bisons,1)),
AND(INDEX(Règles_bison[Specificite],MATCH(ChoixRationBisons&amp;$BM49,Règles_bison[Ration]&amp;Règles_bison[Aliment],0))="s2",IF($BM49=ChoixSpécificité2Bisons,1)),INDEX(Règles_bison[Specificite],MATCH(ChoixRationBisons&amp;$BM49,Règles_bison[Ration]&amp;Règles_bison[Aliment],0))="c"),
INDEX(Règles_bison[Valeur 12-18],MATCH(ChoixRationBisons&amp;$BM49,Règles_bison[Ration]&amp;Règles_bison[Aliment],0)),0),0)*TotalBisonsMales_12_18_mois*SUM(NbreJoursNourrirBisonsDaims))</f>
        <v>0</v>
      </c>
      <c r="BR49" s="1075">
        <f t="array" ref="BR49">IF(Ration_hivernale_complète_bisons[somme]&gt;0,0,IFERROR(IF(OR(AND(INDEX(Règles_bison[Specificite],MATCH(ChoixRationBisons&amp;$BM49,Règles_bison[Ration]&amp;Règles_bison[Aliment],0))="s1",IF($BM49=ChoixSpécificité1Bisons,1)),
AND(INDEX(Règles_bison[Specificite],MATCH(ChoixRationBisons&amp;$BM49,Règles_bison[Ration]&amp;Règles_bison[Aliment],0))="s2",IF($BM49=ChoixSpécificité2Bisons,1)),INDEX(Règles_bison[Specificite],MATCH(ChoixRationBisons&amp;$BM49,Règles_bison[Ration]&amp;Règles_bison[Aliment],0))="c"),
INDEX(Règles_bison[Valeur 6-12],MATCH(ChoixRationBisons&amp;$BM49,Règles_bison[Ration]&amp;Règles_bison[Aliment],0)),0),0)*TotalBisonsMales_6_12_mois*SUM(NbreJoursNourrirBisonsDaims))</f>
        <v>0</v>
      </c>
      <c r="BS49" s="1075">
        <f t="array" ref="BS49">IF(Ration_hivernale_complète_bisons[somme]&gt;0,0,IFERROR(IF(OR(AND(INDEX(Règles_bison[Specificite],MATCH(ChoixRationBisons&amp;$BM49,Règles_bison[Ration]&amp;Règles_bison[Aliment],0))="s1",IF($BM49=ChoixSpécificité1Bisons,1)),
AND(INDEX(Règles_bison[Specificite],MATCH(ChoixRationBisons&amp;$BM49,Règles_bison[Ration]&amp;Règles_bison[Aliment],0))="s2",IF($BM49=ChoixSpécificité2Bisons,1)),INDEX(Règles_bison[Specificite],MATCH(ChoixRationBisons&amp;$BM49,Règles_bison[Ration]&amp;Règles_bison[Aliment],0))="c"),
INDEX(Règles_bison[Valeur 3-6],MATCH(ChoixRationBisons&amp;$BM49,Règles_bison[Ration]&amp;Règles_bison[Aliment],0)),0),0)*TotalBisonsMales_3_6_mois*SUM(NbreJoursNourrirBisonsDaims))</f>
        <v>0</v>
      </c>
      <c r="BT49" s="1075">
        <f t="array" ref="BT49">IF(Ration_hivernale_complète_bisons[somme]&gt;0,0,IFERROR(IF(OR(AND(INDEX(Règles_bison[Specificite],MATCH(ChoixRationBisons&amp;$BM49,Règles_bison[Ration]&amp;Règles_bison[Aliment],0))="s1",IF($BM49=ChoixSpécificité1Bisons,1)),
AND(INDEX(Règles_bison[Specificite],MATCH(ChoixRationBisons&amp;$BM49,Règles_bison[Ration]&amp;Règles_bison[Aliment],0))="s2",IF($BM49=ChoixSpécificité2Bisons,1)),INDEX(Règles_bison[Specificite],MATCH(ChoixRationBisons&amp;$BM49,Règles_bison[Ration]&amp;Règles_bison[Aliment],0))="c"),
INDEX(Règles_bison[Valeur 0-3],MATCH(ChoixRationBisons&amp;$BM49,Règles_bison[Ration]&amp;Règles_bison[Aliment],0)),0),0)*TotalBisonsMales_0_3_mois*SUM(NbreJoursNourrirBisonsDaims))</f>
        <v>0</v>
      </c>
      <c r="BU49" s="1075">
        <f t="shared" si="10"/>
        <v>0</v>
      </c>
      <c r="BV49" s="1345"/>
      <c r="BW49" s="1345"/>
      <c r="BX49" s="1176" t="s">
        <v>761</v>
      </c>
      <c r="BY49" s="1177" t="s">
        <v>723</v>
      </c>
      <c r="BZ49" s="1177" t="s">
        <v>1277</v>
      </c>
      <c r="CA49" s="1177">
        <v>21</v>
      </c>
      <c r="CB49" s="1177">
        <v>16</v>
      </c>
      <c r="CC49" s="1177">
        <v>11</v>
      </c>
      <c r="CD49" s="1199">
        <v>0</v>
      </c>
      <c r="CE49" s="1350"/>
      <c r="CF49" s="1350"/>
      <c r="CG49" s="1350"/>
      <c r="CH49" s="1350"/>
      <c r="CI49" s="1321"/>
      <c r="CJ49" s="811" t="s">
        <v>1276</v>
      </c>
      <c r="CK49" s="790" t="s">
        <v>1280</v>
      </c>
      <c r="CL49" s="790" t="s">
        <v>1257</v>
      </c>
      <c r="CM49" s="790" t="s">
        <v>1256</v>
      </c>
      <c r="CN49" s="790" t="s">
        <v>1283</v>
      </c>
      <c r="CO49" s="790" t="s">
        <v>1284</v>
      </c>
      <c r="CP49" s="791" t="s">
        <v>1287</v>
      </c>
      <c r="CQ49" s="1321"/>
      <c r="CR49" s="1321"/>
      <c r="CS49" s="1176"/>
      <c r="CT49" s="1177"/>
      <c r="CU49" s="1177"/>
      <c r="CV49" s="1177"/>
      <c r="CW49" s="1177"/>
      <c r="CX49" s="1178"/>
      <c r="CY49" s="1321"/>
      <c r="CZ49" s="1176"/>
      <c r="DA49" s="1177"/>
      <c r="DB49" s="1177"/>
      <c r="DC49" s="1177"/>
      <c r="DD49" s="1177"/>
      <c r="DE49" s="1178"/>
      <c r="DF49" s="1321"/>
      <c r="DG49" s="808" t="s">
        <v>523</v>
      </c>
      <c r="DH49" s="817">
        <f t="array" ref="DH49">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49" s="817">
        <f t="array" ref="DI49">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49" s="817">
        <f t="array" ref="DJ49">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49" s="818">
        <f>SUM(AlimentsRationPintadesMâles[[#This Row],[Valeur 9 et plus]:[Valeur 0-1]])</f>
        <v>0</v>
      </c>
      <c r="DL49" s="1364"/>
      <c r="DM49" s="1364"/>
      <c r="DN49" s="1321"/>
      <c r="DO49" s="1320"/>
      <c r="DP49" s="1321"/>
      <c r="DQ49" s="1321"/>
      <c r="DR49" s="1321"/>
      <c r="DS49" s="1345"/>
      <c r="DT49" s="1346"/>
      <c r="DU49" s="1346"/>
      <c r="DV49" s="1075" t="s">
        <v>340</v>
      </c>
      <c r="DW49" s="1269">
        <f t="array" ref="DW49">IF(ChoixRationComplèteDaims=OUI,0,IFERROR(IF(OR(AND(INDEX(Règles_daims[Specificite],MATCH(ChoixRationDaims&amp;DV49,Règles_daims[Ration]&amp;Règles_daims[Aliment],0))="s1",IF(DV49=Spécificité1Daims,1)),
AND(INDEX(Règles_daims[Specificite],MATCH(ChoixRationDaims&amp;DV49,Règles_daims[Ration]&amp;Règles_daims[Aliment],0))="s2",IF(DV49=Spécificité2Daims,1)),
INDEX(Règles_daims[Specificite],MATCH(ChoixRationDaims&amp;DV49,Règles_daims[Ration]&amp;Règles_daims[Aliment],0))="c"),
INDEX(Règles_daims[Valeur 36 et plus],MATCH(ChoixRationDaims&amp;DV49,Règles_daims[Ration]&amp;Règles_daims[Aliment],0)),0),0)*SUM(TotalDaimsAdultes)*SUM(NbreJoursNourrirBisonsDaims))</f>
        <v>0</v>
      </c>
      <c r="DX49" s="1269">
        <f t="array" ref="DX49">IF(ChoixRationComplèteDaims=OUI,0,IFERROR(IF(OR(AND(INDEX(Règles_daims[Specificite],MATCH(ChoixRationDaims&amp;DV49,Règles_daims[Ration]&amp;Règles_daims[Aliment],0))="s1",IF(DV49=Spécificité1Daims,1)),
AND(INDEX(Règles_daims[Specificite],MATCH(ChoixRationDaims&amp;DV49,Règles_daims[Ration]&amp;Règles_daims[Aliment],0))="s2",IF(DV49=Spécificité2Daims,1)),
INDEX(Règles_daims[Specificite],MATCH(ChoixRationDaims&amp;DV49,Règles_daims[Ration]&amp;Règles_daims[Aliment],0))="c"),
INDEX(Règles_daims[Valeur 24-36],MATCH(ChoixRationDaims&amp;DV49,Règles_daims[Ration]&amp;Règles_daims[Aliment],0)),0),0)*SUM(TotalDaims24_36)*SUM(NbreJoursNourrirBisonsDaims))</f>
        <v>0</v>
      </c>
      <c r="DY49" s="1269">
        <f t="array" ref="DY49">IF(ChoixRationComplèteDaims=OUI,0,IFERROR(IF(OR(AND(INDEX(Règles_daims[Specificite],MATCH(ChoixRationDaims&amp;DV49,Règles_daims[Ration]&amp;Règles_daims[Aliment],0))="s1",IF(DV49=Spécificité1Daims,1)),
AND(INDEX(Règles_daims[Specificite],MATCH(ChoixRationDaims&amp;DV49,Règles_daims[Ration]&amp;Règles_daims[Aliment],0))="s2",IF(DV49=Spécificité2Daims,1)),
INDEX(Règles_daims[Specificite],MATCH(ChoixRationDaims&amp;DV49,Règles_daims[Ration]&amp;Règles_daims[Aliment],0))="c"),
INDEX(Règles_daims[Valeur 18-24],MATCH(ChoixRationDaims&amp;DV49,Règles_daims[Ration]&amp;Règles_daims[Aliment],0)),0),0)*SUM(TotalDaims18_24)*SUM(NbreJoursNourrirBisonsDaims))</f>
        <v>0</v>
      </c>
      <c r="DZ49" s="1280">
        <f t="array" ref="DZ49">IF(ChoixRationComplèteDaims=OUI,0,IFERROR(IF(OR(AND(INDEX(Règles_daims[Specificite],MATCH(ChoixRationDaims&amp;DV49,Règles_daims[Ration]&amp;Règles_daims[Aliment],0))="s1",IF(DV49=Spécificité1Daims,1)),
AND(INDEX(Règles_daims[Specificite],MATCH(ChoixRationDaims&amp;DV49,Règles_daims[Ration]&amp;Règles_daims[Aliment],0))="s2",IF(DV49=Spécificité2Daims,1)),
INDEX(Règles_daims[Specificite],MATCH(ChoixRationDaims&amp;DV49,Règles_daims[Ration]&amp;Règles_daims[Aliment],0))="c"),
INDEX(Règles_daims[Valeur 12-18],MATCH(ChoixRationDaims&amp;DV49,Règles_daims[Ration]&amp;Règles_daims[Aliment],0)),0),0)*SUM(TotalDaims12_18)*SUM(NbreJoursNourrirBisonsDaims))</f>
        <v>0</v>
      </c>
      <c r="EA49" s="1280">
        <f t="array" ref="EA49">IF(ChoixRationComplèteDaims=OUI,0,IFERROR(IF(OR(AND(INDEX(Règles_daims[Specificite],MATCH(ChoixRationDaims&amp;DV49,Règles_daims[Ration]&amp;Règles_daims[Aliment],0))="s1",IF(DV49=Spécificité1Daims,1)),
AND(INDEX(Règles_daims[Specificite],MATCH(ChoixRationDaims&amp;DV49,Règles_daims[Ration]&amp;Règles_daims[Aliment],0))="s2",IF(DV49=Spécificité2Daims,1)),
INDEX(Règles_daims[Specificite],MATCH(ChoixRationDaims&amp;DV49,Règles_daims[Ration]&amp;Règles_daims[Aliment],0))="c"),
INDEX(Règles_daims[Valeur 6-12],MATCH(ChoixRationDaims&amp;DV49,Règles_daims[Ration]&amp;Règles_daims[Aliment],0)),0),0)*SUM(TotalDaims6_12)*SUM(NbreJoursNourrirBisonsDaims))</f>
        <v>0</v>
      </c>
      <c r="EB49" s="1280">
        <f t="array" ref="EB49">IF(ChoixRationComplèteDaims=OUI,0,IFERROR(IF(OR(AND(INDEX(Règles_daims[Specificite],MATCH(ChoixRationDaims&amp;DV49,Règles_daims[Ration]&amp;Règles_daims[Aliment],0))="s1",IF(DV49=Spécificité1Daims,1)),
AND(INDEX(Règles_daims[Specificite],MATCH(ChoixRationDaims&amp;DV49,Règles_daims[Ration]&amp;Règles_daims[Aliment],0))="s2",IF(DV49=Spécificité2Daims,1)),
INDEX(Règles_daims[Specificite],MATCH(ChoixRationDaims&amp;DV49,Règles_daims[Ration]&amp;Règles_daims[Aliment],0))="c"),
INDEX(Règles_daims[Valeur 3-6],MATCH(ChoixRationDaims&amp;DV49,Règles_daims[Ration]&amp;Règles_daims[Aliment],0)),0),0)*SUM(TotalDaims3_6)*SUM(NbreJoursNourrirBisonsDaims))</f>
        <v>0</v>
      </c>
      <c r="EC49" s="1280">
        <f t="array" ref="EC49">IF(ChoixRationComplèteDaims=OUI,0,IFERROR(IF(OR(AND(INDEX(Règles_daims[Specificite],MATCH(ChoixRationDaims&amp;DV49,Règles_daims[Ration]&amp;Règles_daims[Aliment],0))="s1",IF(DV49=Spécificité1Daims,1)),
AND(INDEX(Règles_daims[Specificite],MATCH(ChoixRationDaims&amp;DV49,Règles_daims[Ration]&amp;Règles_daims[Aliment],0))="s2",IF(DV49=Spécificité2Daims,1)),
INDEX(Règles_daims[Specificite],MATCH(ChoixRationDaims&amp;DV49,Règles_daims[Ration]&amp;Règles_daims[Aliment],0))="c"),
INDEX(Règles_daims[Valeur 0-3],MATCH(ChoixRationDaims&amp;DV49,Règles_daims[Ration]&amp;Règles_daims[Aliment],0)),0),0)*SUM(TotalDaims0_3)*SUM(NbreJoursNourrirBisonsDaims))</f>
        <v>0</v>
      </c>
      <c r="ED49" s="1280">
        <f t="shared" si="9"/>
        <v>0</v>
      </c>
      <c r="EE49" s="1345"/>
      <c r="EF49" s="1321"/>
      <c r="EG49" s="1321"/>
      <c r="EH49" s="1321"/>
      <c r="EI49" s="1321"/>
      <c r="EJ49" s="1321"/>
      <c r="EK49" s="1321"/>
      <c r="EL49" s="1321"/>
      <c r="EM49" s="1321"/>
      <c r="EN49" s="1321"/>
      <c r="EO49" s="1321"/>
      <c r="EP49" s="1321"/>
      <c r="EQ49" s="1321"/>
      <c r="ER49" s="1321"/>
      <c r="ES49" s="1321"/>
      <c r="ET49" s="1321"/>
      <c r="EU49" s="1176" t="s">
        <v>1240</v>
      </c>
      <c r="EV49" s="1177" t="s">
        <v>219</v>
      </c>
      <c r="EW49" s="1177" t="s">
        <v>1252</v>
      </c>
      <c r="EX49" s="1177">
        <v>4</v>
      </c>
      <c r="EY49" s="1177">
        <v>3</v>
      </c>
      <c r="EZ49" s="1177">
        <v>2</v>
      </c>
      <c r="FA49" s="1178">
        <v>1</v>
      </c>
      <c r="FB49" s="1345"/>
      <c r="FC49" s="1346"/>
      <c r="FD49" s="1200"/>
      <c r="FE49" s="1201"/>
      <c r="FF49" s="1201"/>
      <c r="FG49" s="1201"/>
      <c r="FH49" s="1201"/>
      <c r="FI49" s="1201"/>
      <c r="FJ49" s="1227"/>
      <c r="FK49" s="1345"/>
      <c r="FL49" s="1345"/>
      <c r="FM49" s="1346"/>
      <c r="FN49" s="1321"/>
      <c r="FO49" s="1321"/>
      <c r="FP49" s="1321"/>
      <c r="FQ49" s="1321"/>
      <c r="FR49" s="1321"/>
      <c r="FS49" s="1321"/>
      <c r="FT49" s="1345"/>
      <c r="FU49" s="1345"/>
      <c r="FV49" s="1345"/>
      <c r="FW49" s="823" t="s">
        <v>714</v>
      </c>
      <c r="FX49" s="828">
        <f t="array" ref="FX4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49" s="828">
        <f t="array" ref="FY4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49" s="828">
        <f t="array" ref="FZ4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49" s="828">
        <f t="array" ref="GA4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49" s="829">
        <f>SUM(AlimentsGavageOies[[#This Row],[Valeur 3 et plus]:[Valeur 0-1]])</f>
        <v>0</v>
      </c>
      <c r="GC49" s="1364"/>
      <c r="GD49" s="1321"/>
      <c r="GE49" s="1149" t="s">
        <v>171</v>
      </c>
      <c r="GF49" s="1321"/>
      <c r="GG49" s="1321" t="s">
        <v>1349</v>
      </c>
      <c r="GH49" s="1321" t="s">
        <v>1349</v>
      </c>
      <c r="GI49" s="1321" t="s">
        <v>1349</v>
      </c>
      <c r="GJ49" s="1321" t="s">
        <v>1349</v>
      </c>
      <c r="GK49" s="1321" t="s">
        <v>1349</v>
      </c>
      <c r="GL49" s="1321" t="s">
        <v>1349</v>
      </c>
      <c r="GM49" s="1321" t="s">
        <v>1349</v>
      </c>
      <c r="GN49" s="1321" t="s">
        <v>1349</v>
      </c>
      <c r="GO49" s="1321" t="s">
        <v>1349</v>
      </c>
      <c r="GP49" s="1321" t="s">
        <v>1349</v>
      </c>
      <c r="GQ49" s="1321" t="s">
        <v>1349</v>
      </c>
      <c r="GR49" s="1321" t="s">
        <v>1349</v>
      </c>
      <c r="GS49" s="1321" t="s">
        <v>1349</v>
      </c>
      <c r="GT49" s="1321" t="s">
        <v>1349</v>
      </c>
      <c r="GU49" s="1321" t="s">
        <v>1349</v>
      </c>
      <c r="GV49" s="1321" t="s">
        <v>1349</v>
      </c>
      <c r="GW49" s="1321"/>
      <c r="GX49" s="1321"/>
      <c r="GY49" s="1082" t="str">
        <f t="shared" si="11"/>
        <v>semences de betterave</v>
      </c>
      <c r="GZ49" s="1082"/>
      <c r="HA49" s="1085"/>
      <c r="HB49" s="1085">
        <f>IF(COUNTIF(TypeArticleDansEntrepôt,GY49)=0,0,SUMIF(TypeArticleDansEntrepôt,GY49,QtéArticleDansEntrepôt)*VLOOKUP(GY49,place_necessaire_entrepots_aire_paille[],2,FALSE))</f>
        <v>0</v>
      </c>
      <c r="HC49" s="1321"/>
      <c r="HD49" s="1321"/>
      <c r="HE49" s="1321"/>
      <c r="HF49" s="1321"/>
      <c r="HG49" s="1321"/>
      <c r="HH49" s="1321"/>
      <c r="HI49" s="1321"/>
      <c r="HJ49" s="1321"/>
      <c r="HK49" s="1321"/>
      <c r="HL49" s="1321"/>
      <c r="HM49" s="1321"/>
      <c r="HN49" s="1085" t="str">
        <f>IF(parcelles!B97="","",(VLOOKUP(parcelles!C97,BDD!$HN$5:$HU$38,2,FALSE))*parcelles!E97)</f>
        <v/>
      </c>
      <c r="HO49" s="1085" t="str">
        <f>IF(parcelles!B97="","",IF(OR(parcelles!C97=Moutarde,parcelles!C97=Phacélie),0,IF(parcelles!C97=Luzerne,10*parcelles!E97*VLOOKUP(parcelles!C97,BDD!$HN$5:$HU$38,3,FALSE),IF(parcelles!C97=Miscanthus,10.5*parcelles!E97*VLOOKUP(parcelles!C97,BDD!$HN$5:$HU$38,3,FALSE),INDEX(parcelles!$C$56:'parcelles'!$Y$77,MATCH(parcelles!B97,parcelles!$B$56:'parcelles'!$B$77,0),MATCH(parcelles!C97,parcelles!$C$53:'parcelles'!$Y$53,0))*parcelles!E97*VLOOKUP(parcelles!C97,BDD!$HN$5:$HU$38,3,FALSE)))))</f>
        <v/>
      </c>
      <c r="HP49" s="1085" t="str">
        <f>IF(parcelles!B97="","",IF(OR(parcelles!C97=Moutarde,parcelles!C97=Phacélie),0,IF(parcelles!C97=Luzerne,10*parcelles!E97*VLOOKUP(parcelles!C97,BDD!$HN$5:$HU$38,4,FALSE),IF(parcelles!C97=Miscanthus,10.5*parcelles!E97*VLOOKUP(parcelles!C97,BDD!$HN$5:$HU$38,4,FALSE),INDEX(parcelles!$C$56:'parcelles'!$Y$77,MATCH(parcelles!B97,parcelles!$B$56:'parcelles'!$B$77,0),MATCH(parcelles!C97,parcelles!$C$53:'parcelles'!$Y$53,0))*parcelles!E97*VLOOKUP(parcelles!C97,BDD!$HN$5:$HU$38,4,FALSE)))))</f>
        <v/>
      </c>
      <c r="HQ49" s="1085" t="str">
        <f>IF(parcelles!B97="","",IF(OR(parcelles!C97=Moutarde,parcelles!C97=Phacélie),0,IF(parcelles!C97=Luzerne,10*parcelles!E97*VLOOKUP(parcelles!C97,BDD!$HN$5:$HU$38,5,FALSE),IF(parcelles!C97=Miscanthus,10.5*parcelles!E97*VLOOKUP(parcelles!C97,BDD!$HN$5:$HU$38,5,FALSE),INDEX(parcelles!$C$56:'parcelles'!$Y$77,MATCH(parcelles!B97,parcelles!$B$56:'parcelles'!$B$77,0),MATCH(parcelles!C97,parcelles!$C$53:'parcelles'!$Y$53,0))*parcelles!E97*VLOOKUP(parcelles!C97,BDD!$HN$5:$HU$38,5,FALSE)))))</f>
        <v/>
      </c>
      <c r="HR49" s="1085" t="str">
        <f>IF(parcelles!B97="","",IF(OR(parcelles!C97=Moutarde,parcelles!C97=Phacélie),0,IF(parcelles!C97=Luzerne,10*parcelles!E97*VLOOKUP(parcelles!C97,BDD!$HN$5:$HU$38,6,FALSE),IF(parcelles!C97=Miscanthus,10.5*parcelles!E97*VLOOKUP(parcelles!C97,BDD!$HN$5:$HU$38,6,FALSE),INDEX(parcelles!$C$56:'parcelles'!$Y$77,MATCH(parcelles!B97,parcelles!$B$56:'parcelles'!$B$77,0),MATCH(parcelles!C97,parcelles!$C$53:'parcelles'!$Y$53,0))*parcelles!E97*VLOOKUP(parcelles!C97,BDD!$HN$5:$HU$38,6,FALSE)))))</f>
        <v/>
      </c>
      <c r="HS49" s="1085" t="str">
        <f>IF(parcelles!B97="","",IF(OR(parcelles!C97=Moutarde,parcelles!C97=Phacélie),0,IF(parcelles!C97=Luzerne,10*parcelles!E97*VLOOKUP(parcelles!C97,BDD!$HN$5:$HU$38,7,FALSE),IF(parcelles!C97=Miscanthus,10.5*parcelles!E97*VLOOKUP(parcelles!C97,BDD!$HN$5:$HU$38,7,FALSE),INDEX(parcelles!$C$56:'parcelles'!$Y$77,MATCH(parcelles!B97,parcelles!$B$56:'parcelles'!$B$77,0),MATCH(parcelles!C97,parcelles!$C$53:'parcelles'!$Y$53,0))*parcelles!E97*VLOOKUP(parcelles!C97,BDD!$HN$5:$HU$38,7,FALSE)))))</f>
        <v/>
      </c>
      <c r="HT49" s="1085" t="str">
        <f>IF(parcelles!B97="","",IF(OR(parcelles!C97=Moutarde,parcelles!C97=Phacélie),0,IF(parcelles!C97=Luzerne,10*parcelles!E97*VLOOKUP(parcelles!C97,BDD!$HN$5:$HU$38,8,FALSE),IF(parcelles!C97=Miscanthus,10.5*parcelles!E97*VLOOKUP(parcelles!C97,BDD!$HN$5:$HU$38,8,FALSE),INDEX(parcelles!$C$56:'parcelles'!$Y$77,MATCH(parcelles!B97,parcelles!$B$56:'parcelles'!$B$77,0),MATCH(parcelles!C97,parcelles!$C$53:'parcelles'!$Y$53,0))*parcelles!E97*VLOOKUP(parcelles!C97,BDD!$HN$5:$HU$38,8,FALSE)))))</f>
        <v/>
      </c>
      <c r="HU49" s="1085" t="str">
        <f>IF(parcelles!B97="","",IF(OR(parcelles!C97=Moutarde,parcelles!C97=Phacélie),0,1.6*parcelles!E97))</f>
        <v/>
      </c>
      <c r="HV49" s="1085" t="str">
        <f>IF(parcelles!B97="","",IF(OR(parcelles!C97=Moutarde,parcelles!C97=Phacélie),0,1.6*parcelles!E97))</f>
        <v/>
      </c>
      <c r="HW49" s="1085" t="str">
        <f>IF(parcelles!B97="","",IF(OR(parcelles!C97=Moutarde,parcelles!C97=Phacélie),0,1.6*parcelles!E97))</f>
        <v/>
      </c>
      <c r="HX49" s="1092" t="str">
        <f>IF(parcelles!D97="","",IF(parcelles!C97=ChanvreIndustriel,INDEX(parcelles!$C$56:$Y$77,MATCH(parcelles!B97,parcelles!$B$56:$B$77,0),MATCH(parcelles!C97,parcelles!$C$53:$Y$53,0))*parcelles!E97*SUMIF(ListeCulturesBDD,parcelles!C97,PrixVenteCulturesConventionnel)+RIGHT(BDD!$HM$7,3)*7*parcelles!E97,IF(parcelles!C97=Luzerne,parcelles!E97*10*VLOOKUP(parcelles!C97,TarifsCoopCultures,2,FALSE),IF(parcelles!C97=Miscanthus,parcelles!E97*10.5*VLOOKUP(Luzerne,TarifsCoopCultures,2,FALSE),INDEX(parcelles!$C$56:$Y$77,MATCH(parcelles!B97,parcelles!$B$56:$B$77,0),MATCH(parcelles!C97,parcelles!$C$53:$Y$53,0))*parcelles!E97*SUMIF(ListeCulturesBDD,parcelles!C97,PrixVenteCulturesConventionnel)))))</f>
        <v/>
      </c>
      <c r="HY49" s="1085" t="str">
        <f>IF(parcelles!D97="","",IF(parcelles!F97=0,"",IF(parcelles!C97=ChanvreIndustriel,"soit "&amp;parcelles!E97*0.8&amp;"t de grain et "&amp;parcelles!E97*7&amp;"t de paille",IF(parcelles!C97=Luzerne,"soit "&amp;10*parcelles!E97&amp;"t/an",IF(parcelles!C97=Miscanthus,"soit "&amp;10.5*parcelles!E97&amp;"t/an","soit "&amp;INDEX(parcelles!$C$56:$Y$77,MATCH(parcelles!B97,parcelles!$B$56:$B$77,0),MATCH(parcelles!C97,parcelles!$C$53:$Y$53,0))*parcelles!E97&amp;"t")))))</f>
        <v/>
      </c>
      <c r="HZ49" s="1085" t="str">
        <f>IF(parcelles!D97="","",IF(parcelles!F97=0,"",IF(parcelles!C97=ChanvreIndustriel,"soit "&amp;parcelles!E97*0.8*0.8&amp;"t de grain et "&amp;parcelles!E97*7*0.8&amp;"t de paille",IF(parcelles!C97=Luzerne,"soit "&amp;10*0.8*parcelles!E97&amp;"t/an",IF(parcelles!C97=Miscanthus,"soit "&amp;10.5*0.8*parcelles!E97&amp;"t/an","soit "&amp;INDEX(parcelles!$C$56:$Y$77,MATCH(parcelles!B97,parcelles!$B$56:$B$77,0),MATCH(parcelles!C97,parcelles!$C$53:$Y$53,0))*0.8*parcelles!E97&amp;"t")))))</f>
        <v/>
      </c>
      <c r="IA49" s="1085" t="str">
        <f>IF(parcelles!L97="","",(VLOOKUP(parcelles!M97,BDD!$HN$5:$HU$38,2,FALSE))*parcelles!O97)</f>
        <v/>
      </c>
      <c r="IB49" s="1085" t="str">
        <f>IF(parcelles!L97="","",IF(OR(parcelles!M97=Moutarde,parcelles!M97=Phacélie),0,IF(parcelles!M97=Luzerne,10*parcelles!O97*VLOOKUP(parcelles!M97,BDD!$HN$5:$HU$38,3,FALSE),IF(parcelles!M97=Miscanthus,10.5*parcelles!O97*VLOOKUP(parcelles!M97,BDD!$HN$5:$HU$38,3,FALSE),INDEX(parcelles!$C$56:'parcelles'!$Y$77,MATCH(parcelles!L97,parcelles!$B$56:'parcelles'!$B$77,0),MATCH(parcelles!M97,parcelles!$C$53:'parcelles'!$Y$53,0))*parcelles!O97*VLOOKUP(parcelles!M97,BDD!$HN$5:$HU$38,3,FALSE)))))</f>
        <v/>
      </c>
      <c r="IC49" s="1085" t="str">
        <f>IF(parcelles!L97="","",IF(OR(parcelles!M97=Moutarde,parcelles!M97=Phacélie),0,IF(parcelles!M97=Luzerne,10*parcelles!O97*VLOOKUP(parcelles!M97,BDD!$HN$5:$HU$38,4,FALSE),IF(parcelles!M97=Miscanthus,10.5*parcelles!O97*VLOOKUP(parcelles!M97,BDD!$HN$5:$HU$38,4,FALSE),INDEX(parcelles!$C$56:'parcelles'!$Y$77,MATCH(parcelles!L97,parcelles!$B$56:'parcelles'!$B$77,0),MATCH(parcelles!M97,parcelles!$C$53:'parcelles'!$Y$53,0))*parcelles!O97*VLOOKUP(parcelles!M97,BDD!$HN$5:$HU$38,4,FALSE)))))</f>
        <v/>
      </c>
      <c r="ID49" s="1085" t="str">
        <f>IF(parcelles!L97="","",IF(OR(parcelles!M97=Moutarde,parcelles!M97=Phacélie),0,IF(parcelles!M97=Luzerne,10*parcelles!O97*VLOOKUP(parcelles!M97,BDD!$HN$5:$HU$38,5,FALSE),IF(parcelles!M97=Miscanthus,10.5*parcelles!O97*VLOOKUP(parcelles!M97,BDD!$HN$5:$HU$38,5,FALSE),INDEX(parcelles!$C$56:'parcelles'!$Y$77,MATCH(parcelles!L97,parcelles!$B$56:'parcelles'!$B$77,0),MATCH(parcelles!M97,parcelles!$C$53:'parcelles'!$Y$53,0))*parcelles!O97*VLOOKUP(parcelles!M97,BDD!$HN$5:$HU$38,5,FALSE)))))</f>
        <v/>
      </c>
      <c r="IE49" s="1085" t="str">
        <f>IF(parcelles!L97="","",IF(OR(parcelles!M97=Moutarde,parcelles!M97=Phacélie),0,IF(parcelles!M97=Luzerne,10*parcelles!O97*VLOOKUP(parcelles!M97,BDD!$HN$5:$HU$38,6,FALSE),IF(parcelles!M97=Miscanthus,10.5*parcelles!O97*VLOOKUP(parcelles!M97,BDD!$HN$5:$HU$38,6,FALSE),INDEX(parcelles!$C$56:'parcelles'!$Y$77,MATCH(parcelles!L97,parcelles!$B$56:'parcelles'!$B$77,0),MATCH(parcelles!M97,parcelles!$C$53:'parcelles'!$Y$53,0))*parcelles!O97*VLOOKUP(parcelles!M97,BDD!$HN$5:$HU$38,6,FALSE)))))</f>
        <v/>
      </c>
      <c r="IF49" s="1085" t="str">
        <f>IF(parcelles!L97="","",IF(OR(parcelles!M97=Moutarde,parcelles!M97=Phacélie),0,IF(parcelles!M97=Luzerne,10*parcelles!O97*VLOOKUP(parcelles!M97,BDD!$HN$5:$HU$38,7,FALSE),IF(parcelles!M97=Miscanthus,10.5*parcelles!O97*VLOOKUP(parcelles!M97,BDD!$HN$5:$HU$38,7,FALSE),INDEX(parcelles!$C$56:'parcelles'!$Y$77,MATCH(parcelles!L97,parcelles!$B$56:'parcelles'!$B$77,0),MATCH(parcelles!M97,parcelles!$C$53:'parcelles'!$Y$53,0))*parcelles!O97*VLOOKUP(parcelles!M97,BDD!$HN$5:$HU$38,7,FALSE)))))</f>
        <v/>
      </c>
      <c r="IG49" s="1085" t="str">
        <f>IF(parcelles!L97="","",IF(OR(parcelles!M97=Moutarde,parcelles!M97=Phacélie),0,IF(parcelles!M97=Luzerne,10*parcelles!O97*VLOOKUP(parcelles!M97,BDD!$HN$5:$HU$38,8,FALSE),IF(parcelles!M97=Miscanthus,10.5*parcelles!O97*VLOOKUP(parcelles!M97,BDD!$HN$5:$HU$38,8,FALSE),INDEX(parcelles!$C$56:'parcelles'!$Y$77,MATCH(parcelles!L97,parcelles!$B$56:'parcelles'!$B$77,0),MATCH(parcelles!M97,parcelles!$C$53:'parcelles'!$Y$53,0))*parcelles!O97*VLOOKUP(parcelles!M97,BDD!$HN$5:$HU$38,8,FALSE)))))</f>
        <v/>
      </c>
      <c r="IH49" s="1085" t="str">
        <f>IF(parcelles!L97="","",IF(OR(parcelles!L97=Moutarde,parcelles!L97=Phacélie),0,1.6*parcelles!O97))</f>
        <v/>
      </c>
      <c r="II49" s="1085" t="str">
        <f>IF(parcelles!L97="","",IF(OR(parcelles!L97=Moutarde,parcelles!L97=Phacélie),0,1.6*parcelles!O97))</f>
        <v/>
      </c>
      <c r="IJ49" s="1085" t="str">
        <f>IF(parcelles!L97="","",IF(OR(parcelles!L97=Moutarde,parcelles!L97=Phacélie),0,1.6*parcelles!O97))</f>
        <v/>
      </c>
      <c r="IK49" s="1085" t="str">
        <f>IF(parcelles!P97="","",IF(parcelles!R97=0,"",IF(parcelles!O97=ChanvreIndustriel,"soit "&amp;parcelles!Q97*0.8&amp;"t de grain et "&amp;parcelles!Q97*7&amp;"t de paille",IF(parcelles!O97=Luzerne,"soit "&amp;10*parcelles!Q97&amp;"t/an",IF(parcelles!O97=Miscanthus,"soit "&amp;10.5*parcelles!Q97&amp;"t/an","soit "&amp;INDEX(parcelles!$C$56:$Y$77,MATCH(parcelles!N97,parcelles!$B$56:$B$77,0),MATCH(parcelles!O97,parcelles!$C$53:$Y$53,0))*parcelles!Q97&amp;"t")))))</f>
        <v/>
      </c>
      <c r="IL49" s="1085" t="str">
        <f>IF(parcelles!P97="","",IF(parcelles!R97=0,"",IF(parcelles!O97=ChanvreIndustriel,"soit "&amp;parcelles!Q97*0.8*0.8&amp;"t de grain et "&amp;parcelles!Q97*7*0.8&amp;"t de paille",IF(parcelles!O97=Luzerne,"soit "&amp;10*0.8*parcelles!Q97&amp;"t/an",IF(parcelles!O97=Miscanthus,"soit "&amp;10.5*0.8*parcelles!Q97&amp;"t/an","soit "&amp;INDEX(parcelles!$C$56:$Y$77,MATCH(parcelles!N97,parcelles!$B$56:$B$77,0),MATCH(parcelles!O97,parcelles!$C$53:$Y$53,0))*0.8*parcelles!Q97&amp;"t")))))</f>
        <v/>
      </c>
      <c r="IM49" s="1085" t="str">
        <f>IF(parcelles!S97="","",IF(parcelles!U97=0,"",IF(parcelles!R97=ChanvreIndustriel,parcelles!T97*0.8*0.8+parcelles!T97*7*0.8,IF(parcelles!R97=Luzerne,10*0.8*parcelles!T97,IF(parcelles!R97=Miscanthus,10.5*0.8*parcelles!T97,INDEX(parcelles!$C$56:$Y$77,MATCH(parcelles!Q97,parcelles!$B$56:$B$77,0),MATCH(parcelles!R97,parcelles!$C$53:$Y$53,0))*0.8*parcelles!T97)))))</f>
        <v/>
      </c>
      <c r="IN49" s="1368"/>
    </row>
    <row r="50" spans="1:248" ht="12.75" customHeight="1" x14ac:dyDescent="0.2">
      <c r="A50" s="1307" t="s">
        <v>1100</v>
      </c>
      <c r="B50" s="1177" t="s">
        <v>241</v>
      </c>
      <c r="C50" s="1177">
        <v>0.28000000000000003</v>
      </c>
      <c r="D50" s="1178">
        <v>0</v>
      </c>
      <c r="E50" s="1321"/>
      <c r="F50" s="1149" t="s">
        <v>854</v>
      </c>
      <c r="G50" s="1149">
        <v>2</v>
      </c>
      <c r="H50" s="1149"/>
      <c r="I50" s="1149"/>
      <c r="J50" s="1321"/>
      <c r="K50" s="1321"/>
      <c r="L50" s="1321"/>
      <c r="M50" s="1321"/>
      <c r="N50" s="1321"/>
      <c r="O50" s="1149" t="s">
        <v>533</v>
      </c>
      <c r="P50" s="1149">
        <v>6</v>
      </c>
      <c r="Q50" s="1149">
        <v>5.8</v>
      </c>
      <c r="R50" s="1149">
        <v>5</v>
      </c>
      <c r="S50" s="1149">
        <v>3.9</v>
      </c>
      <c r="T50" s="1149">
        <v>3.8</v>
      </c>
      <c r="U50" s="1149">
        <v>5.4</v>
      </c>
      <c r="V50" s="1149"/>
      <c r="W50" s="1149">
        <v>8.4</v>
      </c>
      <c r="X50" s="1149">
        <v>11</v>
      </c>
      <c r="Y50" s="1149">
        <v>0</v>
      </c>
      <c r="Z50" s="1149">
        <v>3.4</v>
      </c>
      <c r="AA50" s="1149">
        <v>2.5</v>
      </c>
      <c r="AB50" s="1149">
        <v>2.8</v>
      </c>
      <c r="AC50" s="1149">
        <v>2.9</v>
      </c>
      <c r="AD50" s="1149">
        <v>2.5</v>
      </c>
      <c r="AE50" s="1149">
        <v>0</v>
      </c>
      <c r="AF50" s="1149">
        <v>27.2</v>
      </c>
      <c r="AG50" s="1149">
        <v>0.8</v>
      </c>
      <c r="AH50" s="1149">
        <v>7</v>
      </c>
      <c r="AI50" s="1149">
        <v>0</v>
      </c>
      <c r="AJ50" s="1149">
        <v>14</v>
      </c>
      <c r="AK50" s="1149">
        <v>0</v>
      </c>
      <c r="AL50" s="1149">
        <v>9.3000000000000007</v>
      </c>
      <c r="AM50" s="1149"/>
      <c r="AN50" s="1149">
        <v>2.9</v>
      </c>
      <c r="AO50" s="1149">
        <v>12</v>
      </c>
      <c r="AP50" s="1149">
        <v>0</v>
      </c>
      <c r="AQ50" s="1149">
        <v>0</v>
      </c>
      <c r="AR50" s="1149">
        <v>0</v>
      </c>
      <c r="AS50" s="1149">
        <v>0</v>
      </c>
      <c r="AT50" s="1149">
        <v>0</v>
      </c>
      <c r="AU50" s="1149">
        <v>0</v>
      </c>
      <c r="AV50" s="1149">
        <v>0</v>
      </c>
      <c r="AW50" s="1149">
        <v>8.5</v>
      </c>
      <c r="AX50" s="1149">
        <v>10</v>
      </c>
      <c r="AY50" s="1149">
        <v>10</v>
      </c>
      <c r="AZ50" s="1321"/>
      <c r="BA50" s="1321"/>
      <c r="BB50" s="1321"/>
      <c r="BC50" s="1143" t="s">
        <v>1048</v>
      </c>
      <c r="BD50" s="1210">
        <v>305</v>
      </c>
      <c r="BE50" s="1321"/>
      <c r="BF50" s="1143" t="s">
        <v>1048</v>
      </c>
      <c r="BG50" s="1210">
        <v>366</v>
      </c>
      <c r="BH50" s="1321"/>
      <c r="BI50" s="1321"/>
      <c r="BJ50" s="1321"/>
      <c r="BK50" s="1345"/>
      <c r="BL50" s="1348"/>
      <c r="BM50" s="1076" t="s">
        <v>219</v>
      </c>
      <c r="BN50" s="1076">
        <f t="array" ref="BN50">IF(Ration_hivernale_complète_bisons[somme]&gt;0,0,IFERROR(IF(OR(AND(INDEX(Règles_bison[Specificite],MATCH(ChoixRationBisons&amp;$BM50,Règles_bison[Ration]&amp;Règles_bison[Aliment],0))="s1",IF($BM50=ChoixSpécificité1Bisons,1)),
AND(INDEX(Règles_bison[Specificite],MATCH(ChoixRationBisons&amp;$BM50,Règles_bison[Ration]&amp;Règles_bison[Aliment],0))="s2",IF($BM50=ChoixSpécificité2Bisons,1)),INDEX(Règles_bison[Specificite],MATCH(ChoixRationBisons&amp;$BM50,Règles_bison[Ration]&amp;Règles_bison[Aliment],0))="c"),
INDEX(Règles_bison[Valeur 36 et plus],MATCH(ChoixRationBisons&amp;$BM50,Règles_bison[Ration]&amp;Règles_bison[Aliment],0)),0),0)*TotalBisonsMalesAdultes*SUM(NbreJoursNourrirBisonsDaims))</f>
        <v>0</v>
      </c>
      <c r="BO50" s="1076">
        <f t="array" ref="BO50">IF(Ration_hivernale_complète_bisons[somme]&gt;0,0,IFERROR(IF(OR(AND(INDEX(Règles_bison[Specificite],MATCH(ChoixRationBisons&amp;$BM50,Règles_bison[Ration]&amp;Règles_bison[Aliment],0))="s1",IF($BM50=ChoixSpécificité1Bisons,1)),
AND(INDEX(Règles_bison[Specificite],MATCH(ChoixRationBisons&amp;$BM50,Règles_bison[Ration]&amp;Règles_bison[Aliment],0))="s2",IF($BM50=ChoixSpécificité2Bisons,1)),INDEX(Règles_bison[Specificite],MATCH(ChoixRationBisons&amp;$BM50,Règles_bison[Ration]&amp;Règles_bison[Aliment],0))="c"),
INDEX(Règles_bison[Valeur 24-36],MATCH(ChoixRationBisons&amp;$BM50,Règles_bison[Ration]&amp;Règles_bison[Aliment],0)),0),0)*TotalBisonsMales_24_36_mois*SUM(NbreJoursNourrirBisonsDaims))</f>
        <v>0</v>
      </c>
      <c r="BP50" s="1076">
        <f t="array" ref="BP50">IF(Ration_hivernale_complète_bisons[somme]&gt;0,0,IFERROR(IF(OR(AND(INDEX(Règles_bison[Specificite],MATCH(ChoixRationBisons&amp;$BM50,Règles_bison[Ration]&amp;Règles_bison[Aliment],0))="s1",IF($BM50=ChoixSpécificité1Bisons,1)),
AND(INDEX(Règles_bison[Specificite],MATCH(ChoixRationBisons&amp;$BM50,Règles_bison[Ration]&amp;Règles_bison[Aliment],0))="s2",IF($BM50=ChoixSpécificité2Bisons,1)),INDEX(Règles_bison[Specificite],MATCH(ChoixRationBisons&amp;$BM50,Règles_bison[Ration]&amp;Règles_bison[Aliment],0))="c"),
INDEX(Règles_bison[Valeur 18-24],MATCH(ChoixRationBisons&amp;$BM50,Règles_bison[Ration]&amp;Règles_bison[Aliment],0)),0),0)*TotalBisonsMales_18_24_mois*SUM(NbreJoursNourrirBisonsDaims))</f>
        <v>0</v>
      </c>
      <c r="BQ50" s="1076">
        <f t="array" ref="BQ50">IF(Ration_hivernale_complète_bisons[somme]&gt;0,0,IFERROR(IF(OR(AND(INDEX(Règles_bison[Specificite],MATCH(ChoixRationBisons&amp;$BM50,Règles_bison[Ration]&amp;Règles_bison[Aliment],0))="s1",IF($BM50=ChoixSpécificité1Bisons,1)),
AND(INDEX(Règles_bison[Specificite],MATCH(ChoixRationBisons&amp;$BM50,Règles_bison[Ration]&amp;Règles_bison[Aliment],0))="s2",IF($BM50=ChoixSpécificité2Bisons,1)),INDEX(Règles_bison[Specificite],MATCH(ChoixRationBisons&amp;$BM50,Règles_bison[Ration]&amp;Règles_bison[Aliment],0))="c"),
INDEX(Règles_bison[Valeur 12-18],MATCH(ChoixRationBisons&amp;$BM50,Règles_bison[Ration]&amp;Règles_bison[Aliment],0)),0),0)*TotalBisonsMales_12_18_mois*SUM(NbreJoursNourrirBisonsDaims))</f>
        <v>0</v>
      </c>
      <c r="BR50" s="1076">
        <f t="array" ref="BR50">IF(Ration_hivernale_complète_bisons[somme]&gt;0,0,IFERROR(IF(OR(AND(INDEX(Règles_bison[Specificite],MATCH(ChoixRationBisons&amp;$BM50,Règles_bison[Ration]&amp;Règles_bison[Aliment],0))="s1",IF($BM50=ChoixSpécificité1Bisons,1)),
AND(INDEX(Règles_bison[Specificite],MATCH(ChoixRationBisons&amp;$BM50,Règles_bison[Ration]&amp;Règles_bison[Aliment],0))="s2",IF($BM50=ChoixSpécificité2Bisons,1)),INDEX(Règles_bison[Specificite],MATCH(ChoixRationBisons&amp;$BM50,Règles_bison[Ration]&amp;Règles_bison[Aliment],0))="c"),
INDEX(Règles_bison[Valeur 6-12],MATCH(ChoixRationBisons&amp;$BM50,Règles_bison[Ration]&amp;Règles_bison[Aliment],0)),0),0)*TotalBisonsMales_6_12_mois*SUM(NbreJoursNourrirBisonsDaims))</f>
        <v>0</v>
      </c>
      <c r="BS50" s="1076">
        <f t="array" ref="BS50">IF(Ration_hivernale_complète_bisons[somme]&gt;0,0,IFERROR(IF(OR(AND(INDEX(Règles_bison[Specificite],MATCH(ChoixRationBisons&amp;$BM50,Règles_bison[Ration]&amp;Règles_bison[Aliment],0))="s1",IF($BM50=ChoixSpécificité1Bisons,1)),
AND(INDEX(Règles_bison[Specificite],MATCH(ChoixRationBisons&amp;$BM50,Règles_bison[Ration]&amp;Règles_bison[Aliment],0))="s2",IF($BM50=ChoixSpécificité2Bisons,1)),INDEX(Règles_bison[Specificite],MATCH(ChoixRationBisons&amp;$BM50,Règles_bison[Ration]&amp;Règles_bison[Aliment],0))="c"),
INDEX(Règles_bison[Valeur 3-6],MATCH(ChoixRationBisons&amp;$BM50,Règles_bison[Ration]&amp;Règles_bison[Aliment],0)),0),0)*TotalBisonsMales_3_6_mois*SUM(NbreJoursNourrirBisonsDaims))</f>
        <v>0</v>
      </c>
      <c r="BT50" s="1076">
        <f t="array" ref="BT50">IF(Ration_hivernale_complète_bisons[somme]&gt;0,0,IFERROR(IF(OR(AND(INDEX(Règles_bison[Specificite],MATCH(ChoixRationBisons&amp;$BM50,Règles_bison[Ration]&amp;Règles_bison[Aliment],0))="s1",IF($BM50=ChoixSpécificité1Bisons,1)),
AND(INDEX(Règles_bison[Specificite],MATCH(ChoixRationBisons&amp;$BM50,Règles_bison[Ration]&amp;Règles_bison[Aliment],0))="s2",IF($BM50=ChoixSpécificité2Bisons,1)),INDEX(Règles_bison[Specificite],MATCH(ChoixRationBisons&amp;$BM50,Règles_bison[Ration]&amp;Règles_bison[Aliment],0))="c"),
INDEX(Règles_bison[Valeur 0-3],MATCH(ChoixRationBisons&amp;$BM50,Règles_bison[Ration]&amp;Règles_bison[Aliment],0)),0),0)*TotalBisonsMales_0_3_mois*SUM(NbreJoursNourrirBisonsDaims))</f>
        <v>0</v>
      </c>
      <c r="BU50" s="1076">
        <f t="shared" si="10"/>
        <v>0</v>
      </c>
      <c r="BV50" s="1345"/>
      <c r="BW50" s="1345"/>
      <c r="BX50" s="1176" t="s">
        <v>761</v>
      </c>
      <c r="BY50" s="1177" t="s">
        <v>340</v>
      </c>
      <c r="BZ50" s="1177" t="s">
        <v>1252</v>
      </c>
      <c r="CA50" s="1177">
        <v>16</v>
      </c>
      <c r="CB50" s="1177">
        <v>12</v>
      </c>
      <c r="CC50" s="1177">
        <v>8</v>
      </c>
      <c r="CD50" s="1199">
        <v>0</v>
      </c>
      <c r="CE50" s="1350"/>
      <c r="CF50" s="1350"/>
      <c r="CG50" s="1350"/>
      <c r="CH50" s="1350"/>
      <c r="CI50" s="1321"/>
      <c r="CJ50" s="808" t="s">
        <v>673</v>
      </c>
      <c r="CK50" s="788">
        <f t="array" ref="CK5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50" s="788">
        <f t="array" ref="CL5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50" s="788">
        <f t="array" ref="CM5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50" s="788">
        <f t="array" ref="CN5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50" s="788">
        <f t="array" ref="CO5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50" s="812">
        <f>SUM(AlimentsRationPorcinsMâles[[#This Row],[Valeur 12 et plus]:[Valeur 0-1]])</f>
        <v>0</v>
      </c>
      <c r="CQ50" s="1321"/>
      <c r="CR50" s="1321"/>
      <c r="CS50" s="1176"/>
      <c r="CT50" s="1177"/>
      <c r="CU50" s="1177"/>
      <c r="CV50" s="1177"/>
      <c r="CW50" s="1177"/>
      <c r="CX50" s="1178"/>
      <c r="CY50" s="1321"/>
      <c r="CZ50" s="1176"/>
      <c r="DA50" s="1177"/>
      <c r="DB50" s="1177"/>
      <c r="DC50" s="1177"/>
      <c r="DD50" s="1177"/>
      <c r="DE50" s="1178"/>
      <c r="DF50" s="1321"/>
      <c r="DG50" s="808" t="s">
        <v>285</v>
      </c>
      <c r="DH50" s="817">
        <f t="array" ref="DH5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50" s="817">
        <f t="array" ref="DI5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50" s="817">
        <f t="array" ref="DJ5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50" s="818">
        <f>SUM(AlimentsRationPintadesMâles[[#This Row],[Valeur 9 et plus]:[Valeur 0-1]])</f>
        <v>0</v>
      </c>
      <c r="DL50" s="1364"/>
      <c r="DM50" s="1364"/>
      <c r="DN50" s="1333" t="s">
        <v>1040</v>
      </c>
      <c r="DO50" s="1321"/>
      <c r="DP50" s="1321"/>
      <c r="DQ50" s="1321"/>
      <c r="DR50" s="1321"/>
      <c r="DS50" s="1345"/>
      <c r="DT50" s="1346"/>
      <c r="DU50" s="1346"/>
      <c r="DV50" s="1076" t="s">
        <v>339</v>
      </c>
      <c r="DW50" s="1267">
        <f t="array" ref="DW50">IF(ChoixRationComplèteDaims=OUI,0,IFERROR(IF(OR(AND(INDEX(Règles_daims[Specificite],MATCH(ChoixRationDaims&amp;DV50,Règles_daims[Ration]&amp;Règles_daims[Aliment],0))="s1",IF(DV50=Spécificité1Daims,1)),
AND(INDEX(Règles_daims[Specificite],MATCH(ChoixRationDaims&amp;DV50,Règles_daims[Ration]&amp;Règles_daims[Aliment],0))="s2",IF(DV50=Spécificité2Daims,1)),
INDEX(Règles_daims[Specificite],MATCH(ChoixRationDaims&amp;DV50,Règles_daims[Ration]&amp;Règles_daims[Aliment],0))="c"),
INDEX(Règles_daims[Valeur 36 et plus],MATCH(ChoixRationDaims&amp;DV50,Règles_daims[Ration]&amp;Règles_daims[Aliment],0)),0),0)*SUM(TotalDaimsAdultes)*SUM(NbreJoursNourrirBisonsDaims))</f>
        <v>0</v>
      </c>
      <c r="DX50" s="1267">
        <f t="array" ref="DX50">IF(ChoixRationComplèteDaims=OUI,0,IFERROR(IF(OR(AND(INDEX(Règles_daims[Specificite],MATCH(ChoixRationDaims&amp;DV50,Règles_daims[Ration]&amp;Règles_daims[Aliment],0))="s1",IF(DV50=Spécificité1Daims,1)),
AND(INDEX(Règles_daims[Specificite],MATCH(ChoixRationDaims&amp;DV50,Règles_daims[Ration]&amp;Règles_daims[Aliment],0))="s2",IF(DV50=Spécificité2Daims,1)),
INDEX(Règles_daims[Specificite],MATCH(ChoixRationDaims&amp;DV50,Règles_daims[Ration]&amp;Règles_daims[Aliment],0))="c"),
INDEX(Règles_daims[Valeur 24-36],MATCH(ChoixRationDaims&amp;DV50,Règles_daims[Ration]&amp;Règles_daims[Aliment],0)),0),0)*SUM(TotalDaims24_36)*SUM(NbreJoursNourrirBisonsDaims))</f>
        <v>0</v>
      </c>
      <c r="DY50" s="1267">
        <f t="array" ref="DY50">IF(ChoixRationComplèteDaims=OUI,0,IFERROR(IF(OR(AND(INDEX(Règles_daims[Specificite],MATCH(ChoixRationDaims&amp;DV50,Règles_daims[Ration]&amp;Règles_daims[Aliment],0))="s1",IF(DV50=Spécificité1Daims,1)),
AND(INDEX(Règles_daims[Specificite],MATCH(ChoixRationDaims&amp;DV50,Règles_daims[Ration]&amp;Règles_daims[Aliment],0))="s2",IF(DV50=Spécificité2Daims,1)),
INDEX(Règles_daims[Specificite],MATCH(ChoixRationDaims&amp;DV50,Règles_daims[Ration]&amp;Règles_daims[Aliment],0))="c"),
INDEX(Règles_daims[Valeur 18-24],MATCH(ChoixRationDaims&amp;DV50,Règles_daims[Ration]&amp;Règles_daims[Aliment],0)),0),0)*SUM(TotalDaims18_24)*SUM(NbreJoursNourrirBisonsDaims))</f>
        <v>0</v>
      </c>
      <c r="DZ50" s="1279">
        <f t="array" ref="DZ50">IF(ChoixRationComplèteDaims=OUI,0,IFERROR(IF(OR(AND(INDEX(Règles_daims[Specificite],MATCH(ChoixRationDaims&amp;DV50,Règles_daims[Ration]&amp;Règles_daims[Aliment],0))="s1",IF(DV50=Spécificité1Daims,1)),
AND(INDEX(Règles_daims[Specificite],MATCH(ChoixRationDaims&amp;DV50,Règles_daims[Ration]&amp;Règles_daims[Aliment],0))="s2",IF(DV50=Spécificité2Daims,1)),
INDEX(Règles_daims[Specificite],MATCH(ChoixRationDaims&amp;DV50,Règles_daims[Ration]&amp;Règles_daims[Aliment],0))="c"),
INDEX(Règles_daims[Valeur 12-18],MATCH(ChoixRationDaims&amp;DV50,Règles_daims[Ration]&amp;Règles_daims[Aliment],0)),0),0)*SUM(TotalDaims12_18)*SUM(NbreJoursNourrirBisonsDaims))</f>
        <v>0</v>
      </c>
      <c r="EA50" s="1279">
        <f t="array" ref="EA50">IF(ChoixRationComplèteDaims=OUI,0,IFERROR(IF(OR(AND(INDEX(Règles_daims[Specificite],MATCH(ChoixRationDaims&amp;DV50,Règles_daims[Ration]&amp;Règles_daims[Aliment],0))="s1",IF(DV50=Spécificité1Daims,1)),
AND(INDEX(Règles_daims[Specificite],MATCH(ChoixRationDaims&amp;DV50,Règles_daims[Ration]&amp;Règles_daims[Aliment],0))="s2",IF(DV50=Spécificité2Daims,1)),
INDEX(Règles_daims[Specificite],MATCH(ChoixRationDaims&amp;DV50,Règles_daims[Ration]&amp;Règles_daims[Aliment],0))="c"),
INDEX(Règles_daims[Valeur 6-12],MATCH(ChoixRationDaims&amp;DV50,Règles_daims[Ration]&amp;Règles_daims[Aliment],0)),0),0)*SUM(TotalDaims6_12)*SUM(NbreJoursNourrirBisonsDaims))</f>
        <v>0</v>
      </c>
      <c r="EB50" s="1279">
        <f t="array" ref="EB50">IF(ChoixRationComplèteDaims=OUI,0,IFERROR(IF(OR(AND(INDEX(Règles_daims[Specificite],MATCH(ChoixRationDaims&amp;DV50,Règles_daims[Ration]&amp;Règles_daims[Aliment],0))="s1",IF(DV50=Spécificité1Daims,1)),
AND(INDEX(Règles_daims[Specificite],MATCH(ChoixRationDaims&amp;DV50,Règles_daims[Ration]&amp;Règles_daims[Aliment],0))="s2",IF(DV50=Spécificité2Daims,1)),
INDEX(Règles_daims[Specificite],MATCH(ChoixRationDaims&amp;DV50,Règles_daims[Ration]&amp;Règles_daims[Aliment],0))="c"),
INDEX(Règles_daims[Valeur 3-6],MATCH(ChoixRationDaims&amp;DV50,Règles_daims[Ration]&amp;Règles_daims[Aliment],0)),0),0)*SUM(TotalDaims3_6)*SUM(NbreJoursNourrirBisonsDaims))</f>
        <v>0</v>
      </c>
      <c r="EC50" s="1279">
        <f t="array" ref="EC50">IF(ChoixRationComplèteDaims=OUI,0,IFERROR(IF(OR(AND(INDEX(Règles_daims[Specificite],MATCH(ChoixRationDaims&amp;DV50,Règles_daims[Ration]&amp;Règles_daims[Aliment],0))="s1",IF(DV50=Spécificité1Daims,1)),
AND(INDEX(Règles_daims[Specificite],MATCH(ChoixRationDaims&amp;DV50,Règles_daims[Ration]&amp;Règles_daims[Aliment],0))="s2",IF(DV50=Spécificité2Daims,1)),
INDEX(Règles_daims[Specificite],MATCH(ChoixRationDaims&amp;DV50,Règles_daims[Ration]&amp;Règles_daims[Aliment],0))="c"),
INDEX(Règles_daims[Valeur 0-3],MATCH(ChoixRationDaims&amp;DV50,Règles_daims[Ration]&amp;Règles_daims[Aliment],0)),0),0)*SUM(TotalDaims0_3)*SUM(NbreJoursNourrirBisonsDaims))</f>
        <v>0</v>
      </c>
      <c r="ED50" s="1279">
        <f t="shared" si="9"/>
        <v>0</v>
      </c>
      <c r="EE50" s="1345"/>
      <c r="EF50" s="1321"/>
      <c r="EG50" s="1321"/>
      <c r="EH50" s="1321"/>
      <c r="EI50" s="1321"/>
      <c r="EJ50" s="1321"/>
      <c r="EK50" s="1321"/>
      <c r="EL50" s="1321"/>
      <c r="EM50" s="1321"/>
      <c r="EN50" s="1336" t="s">
        <v>1713</v>
      </c>
      <c r="EO50" s="1336"/>
      <c r="EP50" s="1336"/>
      <c r="EQ50" s="1336"/>
      <c r="ER50" s="1336"/>
      <c r="ES50" s="1321"/>
      <c r="ET50" s="1346"/>
      <c r="EU50" s="1176" t="s">
        <v>1240</v>
      </c>
      <c r="EV50" s="1177" t="s">
        <v>725</v>
      </c>
      <c r="EW50" s="1177" t="s">
        <v>1252</v>
      </c>
      <c r="EX50" s="1177">
        <v>12</v>
      </c>
      <c r="EY50" s="1177">
        <v>9</v>
      </c>
      <c r="EZ50" s="1177">
        <v>6</v>
      </c>
      <c r="FA50" s="1178">
        <v>3</v>
      </c>
      <c r="FB50" s="1345"/>
      <c r="FC50" s="1346"/>
      <c r="FD50" s="1321"/>
      <c r="FE50" s="1321"/>
      <c r="FF50" s="1321"/>
      <c r="FG50" s="1321"/>
      <c r="FH50" s="1321"/>
      <c r="FI50" s="1321"/>
      <c r="FJ50" s="1345"/>
      <c r="FK50" s="1345"/>
      <c r="FL50" s="1345"/>
      <c r="FM50" s="1346"/>
      <c r="FN50" s="1321"/>
      <c r="FO50" s="1321"/>
      <c r="FP50" s="1321"/>
      <c r="FQ50" s="1321"/>
      <c r="FR50" s="1321"/>
      <c r="FS50" s="1321"/>
      <c r="FT50" s="1345"/>
      <c r="FU50" s="1345"/>
      <c r="FV50" s="1345"/>
      <c r="FW50" s="823" t="s">
        <v>1718</v>
      </c>
      <c r="FX50" s="828">
        <f t="array" ref="FX5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50" s="828">
        <f t="array" ref="FY5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50" s="828">
        <f t="array" ref="FZ5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50" s="828">
        <f t="array" ref="GA5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50" s="829">
        <f>SUM(AlimentsGavageOies[[#This Row],[Valeur 3 et plus]:[Valeur 0-1]])</f>
        <v>0</v>
      </c>
      <c r="GC50" s="1364"/>
      <c r="GD50" s="1321"/>
      <c r="GE50" s="1143" t="s">
        <v>172</v>
      </c>
      <c r="GF50" s="1321"/>
      <c r="GG50" s="1321" t="s">
        <v>1349</v>
      </c>
      <c r="GH50" s="1321" t="s">
        <v>1349</v>
      </c>
      <c r="GI50" s="1321" t="s">
        <v>1349</v>
      </c>
      <c r="GJ50" s="1321" t="s">
        <v>1349</v>
      </c>
      <c r="GK50" s="1321" t="s">
        <v>1349</v>
      </c>
      <c r="GL50" s="1321" t="s">
        <v>1349</v>
      </c>
      <c r="GM50" s="1321" t="s">
        <v>1349</v>
      </c>
      <c r="GN50" s="1321" t="s">
        <v>1349</v>
      </c>
      <c r="GO50" s="1321" t="s">
        <v>1349</v>
      </c>
      <c r="GP50" s="1321" t="s">
        <v>1349</v>
      </c>
      <c r="GQ50" s="1321" t="s">
        <v>1349</v>
      </c>
      <c r="GR50" s="1321" t="s">
        <v>1349</v>
      </c>
      <c r="GS50" s="1321" t="s">
        <v>1349</v>
      </c>
      <c r="GT50" s="1321" t="s">
        <v>1349</v>
      </c>
      <c r="GU50" s="1321" t="s">
        <v>1349</v>
      </c>
      <c r="GV50" s="1321" t="s">
        <v>1349</v>
      </c>
      <c r="GW50" s="1321"/>
      <c r="GX50" s="1321"/>
      <c r="GY50" s="1083" t="str">
        <f t="shared" si="11"/>
        <v>semences de blé (G)</v>
      </c>
      <c r="GZ50" s="1083"/>
      <c r="HA50" s="1084"/>
      <c r="HB50" s="1084">
        <f>IF(COUNTIF(TypeArticleDansEntrepôt,GY50)=0,0,SUMIF(TypeArticleDansEntrepôt,GY50,QtéArticleDansEntrepôt)*VLOOKUP(GY50,place_necessaire_entrepots_aire_paille[],2,FALSE))</f>
        <v>0</v>
      </c>
      <c r="HC50" s="1321"/>
      <c r="HD50" s="1321"/>
      <c r="HE50" s="1321"/>
      <c r="HF50" s="1321"/>
      <c r="HG50" s="1321"/>
      <c r="HH50" s="1321"/>
      <c r="HI50" s="1321"/>
      <c r="HJ50" s="1321"/>
      <c r="HK50" s="1321"/>
      <c r="HL50" s="1321"/>
      <c r="HM50" s="1321"/>
      <c r="HN50" s="1084" t="str">
        <f>IF(parcelles!B98="","",(VLOOKUP(parcelles!C98,BDD!$HN$5:$HU$38,2,FALSE))*parcelles!E98)</f>
        <v/>
      </c>
      <c r="HO50" s="1084" t="str">
        <f>IF(parcelles!B98="","",IF(OR(parcelles!C98=Moutarde,parcelles!C98=Phacélie),0,IF(parcelles!C98=Luzerne,10*parcelles!E98*VLOOKUP(parcelles!C98,BDD!$HN$5:$HU$38,3,FALSE),IF(parcelles!C98=Miscanthus,10.5*parcelles!E98*VLOOKUP(parcelles!C98,BDD!$HN$5:$HU$38,3,FALSE),INDEX(parcelles!$C$56:'parcelles'!$Y$77,MATCH(parcelles!B98,parcelles!$B$56:'parcelles'!$B$77,0),MATCH(parcelles!C98,parcelles!$C$53:'parcelles'!$Y$53,0))*parcelles!E98*VLOOKUP(parcelles!C98,BDD!$HN$5:$HU$38,3,FALSE)))))</f>
        <v/>
      </c>
      <c r="HP50" s="1084" t="str">
        <f>IF(parcelles!B98="","",IF(OR(parcelles!C98=Moutarde,parcelles!C98=Phacélie),0,IF(parcelles!C98=Luzerne,10*parcelles!E98*VLOOKUP(parcelles!C98,BDD!$HN$5:$HU$38,4,FALSE),IF(parcelles!C98=Miscanthus,10.5*parcelles!E98*VLOOKUP(parcelles!C98,BDD!$HN$5:$HU$38,4,FALSE),INDEX(parcelles!$C$56:'parcelles'!$Y$77,MATCH(parcelles!B98,parcelles!$B$56:'parcelles'!$B$77,0),MATCH(parcelles!C98,parcelles!$C$53:'parcelles'!$Y$53,0))*parcelles!E98*VLOOKUP(parcelles!C98,BDD!$HN$5:$HU$38,4,FALSE)))))</f>
        <v/>
      </c>
      <c r="HQ50" s="1084" t="str">
        <f>IF(parcelles!B98="","",IF(OR(parcelles!C98=Moutarde,parcelles!C98=Phacélie),0,IF(parcelles!C98=Luzerne,10*parcelles!E98*VLOOKUP(parcelles!C98,BDD!$HN$5:$HU$38,5,FALSE),IF(parcelles!C98=Miscanthus,10.5*parcelles!E98*VLOOKUP(parcelles!C98,BDD!$HN$5:$HU$38,5,FALSE),INDEX(parcelles!$C$56:'parcelles'!$Y$77,MATCH(parcelles!B98,parcelles!$B$56:'parcelles'!$B$77,0),MATCH(parcelles!C98,parcelles!$C$53:'parcelles'!$Y$53,0))*parcelles!E98*VLOOKUP(parcelles!C98,BDD!$HN$5:$HU$38,5,FALSE)))))</f>
        <v/>
      </c>
      <c r="HR50" s="1084" t="str">
        <f>IF(parcelles!B98="","",IF(OR(parcelles!C98=Moutarde,parcelles!C98=Phacélie),0,IF(parcelles!C98=Luzerne,10*parcelles!E98*VLOOKUP(parcelles!C98,BDD!$HN$5:$HU$38,6,FALSE),IF(parcelles!C98=Miscanthus,10.5*parcelles!E98*VLOOKUP(parcelles!C98,BDD!$HN$5:$HU$38,6,FALSE),INDEX(parcelles!$C$56:'parcelles'!$Y$77,MATCH(parcelles!B98,parcelles!$B$56:'parcelles'!$B$77,0),MATCH(parcelles!C98,parcelles!$C$53:'parcelles'!$Y$53,0))*parcelles!E98*VLOOKUP(parcelles!C98,BDD!$HN$5:$HU$38,6,FALSE)))))</f>
        <v/>
      </c>
      <c r="HS50" s="1084" t="str">
        <f>IF(parcelles!B98="","",IF(OR(parcelles!C98=Moutarde,parcelles!C98=Phacélie),0,IF(parcelles!C98=Luzerne,10*parcelles!E98*VLOOKUP(parcelles!C98,BDD!$HN$5:$HU$38,7,FALSE),IF(parcelles!C98=Miscanthus,10.5*parcelles!E98*VLOOKUP(parcelles!C98,BDD!$HN$5:$HU$38,7,FALSE),INDEX(parcelles!$C$56:'parcelles'!$Y$77,MATCH(parcelles!B98,parcelles!$B$56:'parcelles'!$B$77,0),MATCH(parcelles!C98,parcelles!$C$53:'parcelles'!$Y$53,0))*parcelles!E98*VLOOKUP(parcelles!C98,BDD!$HN$5:$HU$38,7,FALSE)))))</f>
        <v/>
      </c>
      <c r="HT50" s="1084" t="str">
        <f>IF(parcelles!B98="","",IF(OR(parcelles!C98=Moutarde,parcelles!C98=Phacélie),0,IF(parcelles!C98=Luzerne,10*parcelles!E98*VLOOKUP(parcelles!C98,BDD!$HN$5:$HU$38,8,FALSE),IF(parcelles!C98=Miscanthus,10.5*parcelles!E98*VLOOKUP(parcelles!C98,BDD!$HN$5:$HU$38,8,FALSE),INDEX(parcelles!$C$56:'parcelles'!$Y$77,MATCH(parcelles!B98,parcelles!$B$56:'parcelles'!$B$77,0),MATCH(parcelles!C98,parcelles!$C$53:'parcelles'!$Y$53,0))*parcelles!E98*VLOOKUP(parcelles!C98,BDD!$HN$5:$HU$38,8,FALSE)))))</f>
        <v/>
      </c>
      <c r="HU50" s="1084" t="str">
        <f>IF(parcelles!B98="","",IF(OR(parcelles!C98=Moutarde,parcelles!C98=Phacélie),0,1.6*parcelles!E98))</f>
        <v/>
      </c>
      <c r="HV50" s="1084" t="str">
        <f>IF(parcelles!B98="","",IF(OR(parcelles!C98=Moutarde,parcelles!C98=Phacélie),0,1.6*parcelles!E98))</f>
        <v/>
      </c>
      <c r="HW50" s="1084" t="str">
        <f>IF(parcelles!B98="","",IF(OR(parcelles!C98=Moutarde,parcelles!C98=Phacélie),0,1.6*parcelles!E98))</f>
        <v/>
      </c>
      <c r="HX50" s="1095" t="str">
        <f>IF(parcelles!D98="","",IF(parcelles!C98=ChanvreIndustriel,INDEX(parcelles!$C$56:$Y$77,MATCH(parcelles!B98,parcelles!$B$56:$B$77,0),MATCH(parcelles!C98,parcelles!$C$53:$Y$53,0))*parcelles!E98*SUMIF(ListeCulturesBDD,parcelles!C98,PrixVenteCulturesConventionnel)+RIGHT(BDD!$HM$7,3)*7*parcelles!E98,IF(parcelles!C98=Luzerne,parcelles!E98*10*VLOOKUP(parcelles!C98,TarifsCoopCultures,2,FALSE),IF(parcelles!C98=Miscanthus,parcelles!E98*10.5*VLOOKUP(Luzerne,TarifsCoopCultures,2,FALSE),INDEX(parcelles!$C$56:$Y$77,MATCH(parcelles!B98,parcelles!$B$56:$B$77,0),MATCH(parcelles!C98,parcelles!$C$53:$Y$53,0))*parcelles!E98*SUMIF(ListeCulturesBDD,parcelles!C98,PrixVenteCulturesConventionnel)))))</f>
        <v/>
      </c>
      <c r="HY50" s="1084" t="str">
        <f>IF(parcelles!D98="","",IF(parcelles!F98=0,"",IF(parcelles!C98=ChanvreIndustriel,"soit "&amp;parcelles!E98*0.8&amp;"t de grain et "&amp;parcelles!E98*7&amp;"t de paille",IF(parcelles!C98=Luzerne,"soit "&amp;10*parcelles!E98&amp;"t/an",IF(parcelles!C98=Miscanthus,"soit "&amp;10.5*parcelles!E98&amp;"t/an","soit "&amp;INDEX(parcelles!$C$56:$Y$77,MATCH(parcelles!B98,parcelles!$B$56:$B$77,0),MATCH(parcelles!C98,parcelles!$C$53:$Y$53,0))*parcelles!E98&amp;"t")))))</f>
        <v/>
      </c>
      <c r="HZ50" s="1084" t="str">
        <f>IF(parcelles!D98="","",IF(parcelles!F98=0,"",IF(parcelles!C98=ChanvreIndustriel,"soit "&amp;parcelles!E98*0.8*0.8&amp;"t de grain et "&amp;parcelles!E98*7*0.8&amp;"t de paille",IF(parcelles!C98=Luzerne,"soit "&amp;10*0.8*parcelles!E98&amp;"t/an",IF(parcelles!C98=Miscanthus,"soit "&amp;10.5*0.8*parcelles!E98&amp;"t/an","soit "&amp;INDEX(parcelles!$C$56:$Y$77,MATCH(parcelles!B98,parcelles!$B$56:$B$77,0),MATCH(parcelles!C98,parcelles!$C$53:$Y$53,0))*0.8*parcelles!E98&amp;"t")))))</f>
        <v/>
      </c>
      <c r="IA50" s="1084" t="str">
        <f>IF(parcelles!L98="","",(VLOOKUP(parcelles!M98,BDD!$HN$5:$HU$38,2,FALSE))*parcelles!O98)</f>
        <v/>
      </c>
      <c r="IB50" s="1084" t="str">
        <f>IF(parcelles!L98="","",IF(OR(parcelles!M98=Moutarde,parcelles!M98=Phacélie),0,IF(parcelles!M98=Luzerne,10*parcelles!O98*VLOOKUP(parcelles!M98,BDD!$HN$5:$HU$38,3,FALSE),IF(parcelles!M98=Miscanthus,10.5*parcelles!O98*VLOOKUP(parcelles!M98,BDD!$HN$5:$HU$38,3,FALSE),INDEX(parcelles!$C$56:'parcelles'!$Y$77,MATCH(parcelles!L98,parcelles!$B$56:'parcelles'!$B$77,0),MATCH(parcelles!M98,parcelles!$C$53:'parcelles'!$Y$53,0))*parcelles!O98*VLOOKUP(parcelles!M98,BDD!$HN$5:$HU$38,3,FALSE)))))</f>
        <v/>
      </c>
      <c r="IC50" s="1084" t="str">
        <f>IF(parcelles!L98="","",IF(OR(parcelles!M98=Moutarde,parcelles!M98=Phacélie),0,IF(parcelles!M98=Luzerne,10*parcelles!O98*VLOOKUP(parcelles!M98,BDD!$HN$5:$HU$38,4,FALSE),IF(parcelles!M98=Miscanthus,10.5*parcelles!O98*VLOOKUP(parcelles!M98,BDD!$HN$5:$HU$38,4,FALSE),INDEX(parcelles!$C$56:'parcelles'!$Y$77,MATCH(parcelles!L98,parcelles!$B$56:'parcelles'!$B$77,0),MATCH(parcelles!M98,parcelles!$C$53:'parcelles'!$Y$53,0))*parcelles!O98*VLOOKUP(parcelles!M98,BDD!$HN$5:$HU$38,4,FALSE)))))</f>
        <v/>
      </c>
      <c r="ID50" s="1084" t="str">
        <f>IF(parcelles!L98="","",IF(OR(parcelles!M98=Moutarde,parcelles!M98=Phacélie),0,IF(parcelles!M98=Luzerne,10*parcelles!O98*VLOOKUP(parcelles!M98,BDD!$HN$5:$HU$38,5,FALSE),IF(parcelles!M98=Miscanthus,10.5*parcelles!O98*VLOOKUP(parcelles!M98,BDD!$HN$5:$HU$38,5,FALSE),INDEX(parcelles!$C$56:'parcelles'!$Y$77,MATCH(parcelles!L98,parcelles!$B$56:'parcelles'!$B$77,0),MATCH(parcelles!M98,parcelles!$C$53:'parcelles'!$Y$53,0))*parcelles!O98*VLOOKUP(parcelles!M98,BDD!$HN$5:$HU$38,5,FALSE)))))</f>
        <v/>
      </c>
      <c r="IE50" s="1084" t="str">
        <f>IF(parcelles!L98="","",IF(OR(parcelles!M98=Moutarde,parcelles!M98=Phacélie),0,IF(parcelles!M98=Luzerne,10*parcelles!O98*VLOOKUP(parcelles!M98,BDD!$HN$5:$HU$38,6,FALSE),IF(parcelles!M98=Miscanthus,10.5*parcelles!O98*VLOOKUP(parcelles!M98,BDD!$HN$5:$HU$38,6,FALSE),INDEX(parcelles!$C$56:'parcelles'!$Y$77,MATCH(parcelles!L98,parcelles!$B$56:'parcelles'!$B$77,0),MATCH(parcelles!M98,parcelles!$C$53:'parcelles'!$Y$53,0))*parcelles!O98*VLOOKUP(parcelles!M98,BDD!$HN$5:$HU$38,6,FALSE)))))</f>
        <v/>
      </c>
      <c r="IF50" s="1084" t="str">
        <f>IF(parcelles!L98="","",IF(OR(parcelles!M98=Moutarde,parcelles!M98=Phacélie),0,IF(parcelles!M98=Luzerne,10*parcelles!O98*VLOOKUP(parcelles!M98,BDD!$HN$5:$HU$38,7,FALSE),IF(parcelles!M98=Miscanthus,10.5*parcelles!O98*VLOOKUP(parcelles!M98,BDD!$HN$5:$HU$38,7,FALSE),INDEX(parcelles!$C$56:'parcelles'!$Y$77,MATCH(parcelles!L98,parcelles!$B$56:'parcelles'!$B$77,0),MATCH(parcelles!M98,parcelles!$C$53:'parcelles'!$Y$53,0))*parcelles!O98*VLOOKUP(parcelles!M98,BDD!$HN$5:$HU$38,7,FALSE)))))</f>
        <v/>
      </c>
      <c r="IG50" s="1084" t="str">
        <f>IF(parcelles!L98="","",IF(OR(parcelles!M98=Moutarde,parcelles!M98=Phacélie),0,IF(parcelles!M98=Luzerne,10*parcelles!O98*VLOOKUP(parcelles!M98,BDD!$HN$5:$HU$38,8,FALSE),IF(parcelles!M98=Miscanthus,10.5*parcelles!O98*VLOOKUP(parcelles!M98,BDD!$HN$5:$HU$38,8,FALSE),INDEX(parcelles!$C$56:'parcelles'!$Y$77,MATCH(parcelles!L98,parcelles!$B$56:'parcelles'!$B$77,0),MATCH(parcelles!M98,parcelles!$C$53:'parcelles'!$Y$53,0))*parcelles!O98*VLOOKUP(parcelles!M98,BDD!$HN$5:$HU$38,8,FALSE)))))</f>
        <v/>
      </c>
      <c r="IH50" s="1084" t="str">
        <f>IF(parcelles!L98="","",IF(OR(parcelles!L98=Moutarde,parcelles!L98=Phacélie),0,1.6*parcelles!O98))</f>
        <v/>
      </c>
      <c r="II50" s="1084" t="str">
        <f>IF(parcelles!L98="","",IF(OR(parcelles!L98=Moutarde,parcelles!L98=Phacélie),0,1.6*parcelles!O98))</f>
        <v/>
      </c>
      <c r="IJ50" s="1084" t="str">
        <f>IF(parcelles!L98="","",IF(OR(parcelles!L98=Moutarde,parcelles!L98=Phacélie),0,1.6*parcelles!O98))</f>
        <v/>
      </c>
      <c r="IK50" s="1084" t="str">
        <f>IF(parcelles!P98="","",IF(parcelles!R98=0,"",IF(parcelles!O98=ChanvreIndustriel,"soit "&amp;parcelles!Q98*0.8&amp;"t de grain et "&amp;parcelles!Q98*7&amp;"t de paille",IF(parcelles!O98=Luzerne,"soit "&amp;10*parcelles!Q98&amp;"t/an",IF(parcelles!O98=Miscanthus,"soit "&amp;10.5*parcelles!Q98&amp;"t/an","soit "&amp;INDEX(parcelles!$C$56:$Y$77,MATCH(parcelles!N98,parcelles!$B$56:$B$77,0),MATCH(parcelles!O98,parcelles!$C$53:$Y$53,0))*parcelles!Q98&amp;"t")))))</f>
        <v/>
      </c>
      <c r="IL50" s="1084" t="str">
        <f>IF(parcelles!P98="","",IF(parcelles!R98=0,"",IF(parcelles!O98=ChanvreIndustriel,"soit "&amp;parcelles!Q98*0.8*0.8&amp;"t de grain et "&amp;parcelles!Q98*7*0.8&amp;"t de paille",IF(parcelles!O98=Luzerne,"soit "&amp;10*0.8*parcelles!Q98&amp;"t/an",IF(parcelles!O98=Miscanthus,"soit "&amp;10.5*0.8*parcelles!Q98&amp;"t/an","soit "&amp;INDEX(parcelles!$C$56:$Y$77,MATCH(parcelles!N98,parcelles!$B$56:$B$77,0),MATCH(parcelles!O98,parcelles!$C$53:$Y$53,0))*0.8*parcelles!Q98&amp;"t")))))</f>
        <v/>
      </c>
      <c r="IM50" s="1084" t="str">
        <f>IF(parcelles!S98="","",IF(parcelles!U98=0,"",IF(parcelles!R98=ChanvreIndustriel,parcelles!T98*0.8*0.8+parcelles!T98*7*0.8,IF(parcelles!R98=Luzerne,10*0.8*parcelles!T98,IF(parcelles!R98=Miscanthus,10.5*0.8*parcelles!T98,INDEX(parcelles!$C$56:$Y$77,MATCH(parcelles!Q98,parcelles!$B$56:$B$77,0),MATCH(parcelles!R98,parcelles!$C$53:$Y$53,0))*0.8*parcelles!T98)))))</f>
        <v/>
      </c>
      <c r="IN50" s="1368"/>
    </row>
    <row r="51" spans="1:248" ht="12.75" customHeight="1" x14ac:dyDescent="0.2">
      <c r="A51" s="1312" t="s">
        <v>1101</v>
      </c>
      <c r="B51" s="1201" t="s">
        <v>1106</v>
      </c>
      <c r="C51" s="1201">
        <v>100000</v>
      </c>
      <c r="D51" s="1202">
        <v>10</v>
      </c>
      <c r="E51" s="1328" t="s">
        <v>505</v>
      </c>
      <c r="F51" s="1143" t="s">
        <v>855</v>
      </c>
      <c r="G51" s="1143">
        <v>2</v>
      </c>
      <c r="H51" s="1143"/>
      <c r="I51" s="1143">
        <v>3</v>
      </c>
      <c r="J51" s="1321"/>
      <c r="K51" s="1321"/>
      <c r="L51" s="1321"/>
      <c r="M51" s="1321"/>
      <c r="N51" s="1321"/>
      <c r="O51" s="1143" t="s">
        <v>534</v>
      </c>
      <c r="P51" s="1143">
        <v>8.4</v>
      </c>
      <c r="Q51" s="1143">
        <v>7.7</v>
      </c>
      <c r="R51" s="1143">
        <v>7.3</v>
      </c>
      <c r="S51" s="1143">
        <v>6.3</v>
      </c>
      <c r="T51" s="1143">
        <v>6</v>
      </c>
      <c r="U51" s="1143">
        <v>7.1</v>
      </c>
      <c r="V51" s="1143"/>
      <c r="W51" s="1143">
        <v>9</v>
      </c>
      <c r="X51" s="1143">
        <v>14.7</v>
      </c>
      <c r="Y51" s="1143">
        <v>90</v>
      </c>
      <c r="Z51" s="1143">
        <v>3.9</v>
      </c>
      <c r="AA51" s="1143">
        <v>2.8</v>
      </c>
      <c r="AB51" s="1143">
        <v>5</v>
      </c>
      <c r="AC51" s="1143">
        <v>5</v>
      </c>
      <c r="AD51" s="1143">
        <v>0</v>
      </c>
      <c r="AE51" s="1143">
        <v>3.6</v>
      </c>
      <c r="AF51" s="1143">
        <v>45.2</v>
      </c>
      <c r="AG51" s="1143">
        <v>0</v>
      </c>
      <c r="AH51" s="1143">
        <v>0</v>
      </c>
      <c r="AI51" s="1143">
        <v>0</v>
      </c>
      <c r="AJ51" s="1143">
        <v>0</v>
      </c>
      <c r="AK51" s="1143">
        <v>0</v>
      </c>
      <c r="AL51" s="1143">
        <v>0</v>
      </c>
      <c r="AM51" s="1143"/>
      <c r="AN51" s="1143">
        <v>0</v>
      </c>
      <c r="AO51" s="1143">
        <v>18</v>
      </c>
      <c r="AP51" s="1143">
        <v>0</v>
      </c>
      <c r="AQ51" s="1143">
        <v>0</v>
      </c>
      <c r="AR51" s="1143">
        <v>0</v>
      </c>
      <c r="AS51" s="1143">
        <v>0</v>
      </c>
      <c r="AT51" s="1143">
        <v>0</v>
      </c>
      <c r="AU51" s="1143">
        <v>0</v>
      </c>
      <c r="AV51" s="1143">
        <v>0</v>
      </c>
      <c r="AW51" s="1143">
        <v>8.5</v>
      </c>
      <c r="AX51" s="1143">
        <v>10</v>
      </c>
      <c r="AY51" s="1143">
        <v>10</v>
      </c>
      <c r="AZ51" s="1321"/>
      <c r="BA51" s="1321"/>
      <c r="BB51" s="1321"/>
      <c r="BC51" s="1149" t="s">
        <v>1049</v>
      </c>
      <c r="BD51" s="1214">
        <v>320</v>
      </c>
      <c r="BE51" s="1321"/>
      <c r="BF51" s="1149" t="s">
        <v>1049</v>
      </c>
      <c r="BG51" s="1214">
        <v>384</v>
      </c>
      <c r="BH51" s="1321"/>
      <c r="BI51" s="1321"/>
      <c r="BJ51" s="1321"/>
      <c r="BK51" s="1345"/>
      <c r="BL51" s="1348"/>
      <c r="BM51" s="1075" t="s">
        <v>332</v>
      </c>
      <c r="BN51" s="1075">
        <f t="array" ref="BN51">IF(Ration_hivernale_complète_bisons[somme]&gt;0,0,IFERROR(IF(OR(AND(INDEX(Règles_bison[Specificite],MATCH(ChoixRationBisons&amp;$BM51,Règles_bison[Ration]&amp;Règles_bison[Aliment],0))="s1",IF($BM51=ChoixSpécificité1Bisons,1)),
AND(INDEX(Règles_bison[Specificite],MATCH(ChoixRationBisons&amp;$BM51,Règles_bison[Ration]&amp;Règles_bison[Aliment],0))="s2",IF($BM51=ChoixSpécificité2Bisons,1)),INDEX(Règles_bison[Specificite],MATCH(ChoixRationBisons&amp;$BM51,Règles_bison[Ration]&amp;Règles_bison[Aliment],0))="c"),
INDEX(Règles_bison[Valeur 36 et plus],MATCH(ChoixRationBisons&amp;$BM51,Règles_bison[Ration]&amp;Règles_bison[Aliment],0)),0),0)*TotalBisonsMalesAdultes*SUM(NbreJoursNourrirBisonsDaims))</f>
        <v>0</v>
      </c>
      <c r="BO51" s="1075">
        <f t="array" ref="BO51">IF(Ration_hivernale_complète_bisons[somme]&gt;0,0,IFERROR(IF(OR(AND(INDEX(Règles_bison[Specificite],MATCH(ChoixRationBisons&amp;$BM51,Règles_bison[Ration]&amp;Règles_bison[Aliment],0))="s1",IF($BM51=ChoixSpécificité1Bisons,1)),
AND(INDEX(Règles_bison[Specificite],MATCH(ChoixRationBisons&amp;$BM51,Règles_bison[Ration]&amp;Règles_bison[Aliment],0))="s2",IF($BM51=ChoixSpécificité2Bisons,1)),INDEX(Règles_bison[Specificite],MATCH(ChoixRationBisons&amp;$BM51,Règles_bison[Ration]&amp;Règles_bison[Aliment],0))="c"),
INDEX(Règles_bison[Valeur 24-36],MATCH(ChoixRationBisons&amp;$BM51,Règles_bison[Ration]&amp;Règles_bison[Aliment],0)),0),0)*TotalBisonsMales_24_36_mois*SUM(NbreJoursNourrirBisonsDaims))</f>
        <v>0</v>
      </c>
      <c r="BP51" s="1075">
        <f t="array" ref="BP51">IF(Ration_hivernale_complète_bisons[somme]&gt;0,0,IFERROR(IF(OR(AND(INDEX(Règles_bison[Specificite],MATCH(ChoixRationBisons&amp;$BM51,Règles_bison[Ration]&amp;Règles_bison[Aliment],0))="s1",IF($BM51=ChoixSpécificité1Bisons,1)),
AND(INDEX(Règles_bison[Specificite],MATCH(ChoixRationBisons&amp;$BM51,Règles_bison[Ration]&amp;Règles_bison[Aliment],0))="s2",IF($BM51=ChoixSpécificité2Bisons,1)),INDEX(Règles_bison[Specificite],MATCH(ChoixRationBisons&amp;$BM51,Règles_bison[Ration]&amp;Règles_bison[Aliment],0))="c"),
INDEX(Règles_bison[Valeur 18-24],MATCH(ChoixRationBisons&amp;$BM51,Règles_bison[Ration]&amp;Règles_bison[Aliment],0)),0),0)*TotalBisonsMales_18_24_mois*SUM(NbreJoursNourrirBisonsDaims))</f>
        <v>0</v>
      </c>
      <c r="BQ51" s="1075">
        <f t="array" ref="BQ51">IF(Ration_hivernale_complète_bisons[somme]&gt;0,0,IFERROR(IF(OR(AND(INDEX(Règles_bison[Specificite],MATCH(ChoixRationBisons&amp;$BM51,Règles_bison[Ration]&amp;Règles_bison[Aliment],0))="s1",IF($BM51=ChoixSpécificité1Bisons,1)),
AND(INDEX(Règles_bison[Specificite],MATCH(ChoixRationBisons&amp;$BM51,Règles_bison[Ration]&amp;Règles_bison[Aliment],0))="s2",IF($BM51=ChoixSpécificité2Bisons,1)),INDEX(Règles_bison[Specificite],MATCH(ChoixRationBisons&amp;$BM51,Règles_bison[Ration]&amp;Règles_bison[Aliment],0))="c"),
INDEX(Règles_bison[Valeur 12-18],MATCH(ChoixRationBisons&amp;$BM51,Règles_bison[Ration]&amp;Règles_bison[Aliment],0)),0),0)*TotalBisonsMales_12_18_mois*SUM(NbreJoursNourrirBisonsDaims))</f>
        <v>0</v>
      </c>
      <c r="BR51" s="1075">
        <f t="array" ref="BR51">IF(Ration_hivernale_complète_bisons[somme]&gt;0,0,IFERROR(IF(OR(AND(INDEX(Règles_bison[Specificite],MATCH(ChoixRationBisons&amp;$BM51,Règles_bison[Ration]&amp;Règles_bison[Aliment],0))="s1",IF($BM51=ChoixSpécificité1Bisons,1)),
AND(INDEX(Règles_bison[Specificite],MATCH(ChoixRationBisons&amp;$BM51,Règles_bison[Ration]&amp;Règles_bison[Aliment],0))="s2",IF($BM51=ChoixSpécificité2Bisons,1)),INDEX(Règles_bison[Specificite],MATCH(ChoixRationBisons&amp;$BM51,Règles_bison[Ration]&amp;Règles_bison[Aliment],0))="c"),
INDEX(Règles_bison[Valeur 6-12],MATCH(ChoixRationBisons&amp;$BM51,Règles_bison[Ration]&amp;Règles_bison[Aliment],0)),0),0)*TotalBisonsMales_6_12_mois*SUM(NbreJoursNourrirBisonsDaims))</f>
        <v>0</v>
      </c>
      <c r="BS51" s="1075">
        <f t="array" ref="BS51">IF(Ration_hivernale_complète_bisons[somme]&gt;0,0,IFERROR(IF(OR(AND(INDEX(Règles_bison[Specificite],MATCH(ChoixRationBisons&amp;$BM51,Règles_bison[Ration]&amp;Règles_bison[Aliment],0))="s1",IF($BM51=ChoixSpécificité1Bisons,1)),
AND(INDEX(Règles_bison[Specificite],MATCH(ChoixRationBisons&amp;$BM51,Règles_bison[Ration]&amp;Règles_bison[Aliment],0))="s2",IF($BM51=ChoixSpécificité2Bisons,1)),INDEX(Règles_bison[Specificite],MATCH(ChoixRationBisons&amp;$BM51,Règles_bison[Ration]&amp;Règles_bison[Aliment],0))="c"),
INDEX(Règles_bison[Valeur 3-6],MATCH(ChoixRationBisons&amp;$BM51,Règles_bison[Ration]&amp;Règles_bison[Aliment],0)),0),0)*TotalBisonsMales_3_6_mois*SUM(NbreJoursNourrirBisonsDaims))</f>
        <v>0</v>
      </c>
      <c r="BT51" s="1075">
        <f t="array" ref="BT51">IF(Ration_hivernale_complète_bisons[somme]&gt;0,0,IFERROR(IF(OR(AND(INDEX(Règles_bison[Specificite],MATCH(ChoixRationBisons&amp;$BM51,Règles_bison[Ration]&amp;Règles_bison[Aliment],0))="s1",IF($BM51=ChoixSpécificité1Bisons,1)),
AND(INDEX(Règles_bison[Specificite],MATCH(ChoixRationBisons&amp;$BM51,Règles_bison[Ration]&amp;Règles_bison[Aliment],0))="s2",IF($BM51=ChoixSpécificité2Bisons,1)),INDEX(Règles_bison[Specificite],MATCH(ChoixRationBisons&amp;$BM51,Règles_bison[Ration]&amp;Règles_bison[Aliment],0))="c"),
INDEX(Règles_bison[Valeur 0-3],MATCH(ChoixRationBisons&amp;$BM51,Règles_bison[Ration]&amp;Règles_bison[Aliment],0)),0),0)*TotalBisonsMales_0_3_mois*SUM(NbreJoursNourrirBisonsDaims))</f>
        <v>0</v>
      </c>
      <c r="BU51" s="1075">
        <f t="shared" si="10"/>
        <v>0</v>
      </c>
      <c r="BV51" s="1345"/>
      <c r="BW51" s="1345"/>
      <c r="BX51" s="1176" t="s">
        <v>761</v>
      </c>
      <c r="BY51" s="1177" t="s">
        <v>219</v>
      </c>
      <c r="BZ51" s="1177" t="s">
        <v>1252</v>
      </c>
      <c r="CA51" s="1177">
        <v>1.2</v>
      </c>
      <c r="CB51" s="1177">
        <v>1.2</v>
      </c>
      <c r="CC51" s="1177">
        <v>0.8</v>
      </c>
      <c r="CD51" s="1199">
        <v>2.8</v>
      </c>
      <c r="CE51" s="1350"/>
      <c r="CF51" s="1350"/>
      <c r="CG51" s="1350"/>
      <c r="CH51" s="1350"/>
      <c r="CI51" s="1321"/>
      <c r="CJ51" s="808" t="s">
        <v>523</v>
      </c>
      <c r="CK51" s="788">
        <f t="array" ref="CK5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51" s="788">
        <f t="array" ref="CL5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51" s="788">
        <f t="array" ref="CM5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51" s="788">
        <f t="array" ref="CN5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51" s="788">
        <f t="array" ref="CO5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51" s="812">
        <f>SUM(AlimentsRationPorcinsMâles[[#This Row],[Valeur 12 et plus]:[Valeur 0-1]])</f>
        <v>0</v>
      </c>
      <c r="CQ51" s="1321"/>
      <c r="CR51" s="1321"/>
      <c r="CS51" s="1176"/>
      <c r="CT51" s="1177"/>
      <c r="CU51" s="1177"/>
      <c r="CV51" s="1177"/>
      <c r="CW51" s="1177"/>
      <c r="CX51" s="1178"/>
      <c r="CY51" s="1321"/>
      <c r="CZ51" s="1176"/>
      <c r="DA51" s="1177"/>
      <c r="DB51" s="1177"/>
      <c r="DC51" s="1177"/>
      <c r="DD51" s="1177"/>
      <c r="DE51" s="1178"/>
      <c r="DF51" s="1321"/>
      <c r="DG51" s="808" t="s">
        <v>730</v>
      </c>
      <c r="DH51" s="817">
        <f t="array" ref="DH5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51" s="817">
        <f t="array" ref="DI5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51" s="817">
        <f t="array" ref="DJ5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51" s="818">
        <f>SUM(AlimentsRationPintadesMâles[[#This Row],[Valeur 9 et plus]:[Valeur 0-1]])</f>
        <v>0</v>
      </c>
      <c r="DL51" s="1364"/>
      <c r="DM51" s="1364"/>
      <c r="DN51" s="1328" t="s">
        <v>1041</v>
      </c>
      <c r="DO51" s="1321"/>
      <c r="DP51" s="1321"/>
      <c r="DQ51" s="1333" t="s">
        <v>1055</v>
      </c>
      <c r="DR51" s="1320"/>
      <c r="DS51" s="1345"/>
      <c r="DT51" s="1346"/>
      <c r="DU51" s="1346"/>
      <c r="DV51" s="1075" t="s">
        <v>1271</v>
      </c>
      <c r="DW51" s="1269">
        <f t="array" ref="DW51">IF(ChoixRationComplèteDaims=OUI,0,IFERROR(IF(OR(AND(INDEX(Règles_daims[Specificite],MATCH(ChoixRationDaims&amp;DV51,Règles_daims[Ration]&amp;Règles_daims[Aliment],0))="s1",IF(DV51=Spécificité1Daims,1)),
AND(INDEX(Règles_daims[Specificite],MATCH(ChoixRationDaims&amp;DV51,Règles_daims[Ration]&amp;Règles_daims[Aliment],0))="s2",IF(DV51=Spécificité2Daims,1)),
INDEX(Règles_daims[Specificite],MATCH(ChoixRationDaims&amp;DV51,Règles_daims[Ration]&amp;Règles_daims[Aliment],0))="c"),
INDEX(Règles_daims[Valeur 36 et plus],MATCH(ChoixRationDaims&amp;DV51,Règles_daims[Ration]&amp;Règles_daims[Aliment],0)),0),0)*SUM(TotalDaimsAdultes)*SUM(NbreJoursNourrirBisonsDaims))</f>
        <v>0</v>
      </c>
      <c r="DX51" s="1269">
        <f t="array" ref="DX51">IF(ChoixRationComplèteDaims=OUI,0,IFERROR(IF(OR(AND(INDEX(Règles_daims[Specificite],MATCH(ChoixRationDaims&amp;DV51,Règles_daims[Ration]&amp;Règles_daims[Aliment],0))="s1",IF(DV51=Spécificité1Daims,1)),
AND(INDEX(Règles_daims[Specificite],MATCH(ChoixRationDaims&amp;DV51,Règles_daims[Ration]&amp;Règles_daims[Aliment],0))="s2",IF(DV51=Spécificité2Daims,1)),
INDEX(Règles_daims[Specificite],MATCH(ChoixRationDaims&amp;DV51,Règles_daims[Ration]&amp;Règles_daims[Aliment],0))="c"),
INDEX(Règles_daims[Valeur 24-36],MATCH(ChoixRationDaims&amp;DV51,Règles_daims[Ration]&amp;Règles_daims[Aliment],0)),0),0)*SUM(TotalDaims24_36)*SUM(NbreJoursNourrirBisonsDaims))</f>
        <v>0</v>
      </c>
      <c r="DY51" s="1269">
        <f t="array" ref="DY51">IF(ChoixRationComplèteDaims=OUI,0,IFERROR(IF(OR(AND(INDEX(Règles_daims[Specificite],MATCH(ChoixRationDaims&amp;DV51,Règles_daims[Ration]&amp;Règles_daims[Aliment],0))="s1",IF(DV51=Spécificité1Daims,1)),
AND(INDEX(Règles_daims[Specificite],MATCH(ChoixRationDaims&amp;DV51,Règles_daims[Ration]&amp;Règles_daims[Aliment],0))="s2",IF(DV51=Spécificité2Daims,1)),
INDEX(Règles_daims[Specificite],MATCH(ChoixRationDaims&amp;DV51,Règles_daims[Ration]&amp;Règles_daims[Aliment],0))="c"),
INDEX(Règles_daims[Valeur 18-24],MATCH(ChoixRationDaims&amp;DV51,Règles_daims[Ration]&amp;Règles_daims[Aliment],0)),0),0)*SUM(TotalDaims18_24)*SUM(NbreJoursNourrirBisonsDaims))</f>
        <v>0</v>
      </c>
      <c r="DZ51" s="1280">
        <f t="array" ref="DZ51">IF(ChoixRationComplèteDaims=OUI,0,IFERROR(IF(OR(AND(INDEX(Règles_daims[Specificite],MATCH(ChoixRationDaims&amp;DV51,Règles_daims[Ration]&amp;Règles_daims[Aliment],0))="s1",IF(DV51=Spécificité1Daims,1)),
AND(INDEX(Règles_daims[Specificite],MATCH(ChoixRationDaims&amp;DV51,Règles_daims[Ration]&amp;Règles_daims[Aliment],0))="s2",IF(DV51=Spécificité2Daims,1)),
INDEX(Règles_daims[Specificite],MATCH(ChoixRationDaims&amp;DV51,Règles_daims[Ration]&amp;Règles_daims[Aliment],0))="c"),
INDEX(Règles_daims[Valeur 12-18],MATCH(ChoixRationDaims&amp;DV51,Règles_daims[Ration]&amp;Règles_daims[Aliment],0)),0),0)*SUM(TotalDaims12_18)*SUM(NbreJoursNourrirBisonsDaims))</f>
        <v>0</v>
      </c>
      <c r="EA51" s="1280">
        <f t="array" ref="EA51">IF(ChoixRationComplèteDaims=OUI,0,IFERROR(IF(OR(AND(INDEX(Règles_daims[Specificite],MATCH(ChoixRationDaims&amp;DV51,Règles_daims[Ration]&amp;Règles_daims[Aliment],0))="s1",IF(DV51=Spécificité1Daims,1)),
AND(INDEX(Règles_daims[Specificite],MATCH(ChoixRationDaims&amp;DV51,Règles_daims[Ration]&amp;Règles_daims[Aliment],0))="s2",IF(DV51=Spécificité2Daims,1)),
INDEX(Règles_daims[Specificite],MATCH(ChoixRationDaims&amp;DV51,Règles_daims[Ration]&amp;Règles_daims[Aliment],0))="c"),
INDEX(Règles_daims[Valeur 6-12],MATCH(ChoixRationDaims&amp;DV51,Règles_daims[Ration]&amp;Règles_daims[Aliment],0)),0),0)*SUM(TotalDaims6_12)*SUM(NbreJoursNourrirBisonsDaims))</f>
        <v>0</v>
      </c>
      <c r="EB51" s="1280">
        <f t="array" ref="EB51">IF(ChoixRationComplèteDaims=OUI,0,IFERROR(IF(OR(AND(INDEX(Règles_daims[Specificite],MATCH(ChoixRationDaims&amp;DV51,Règles_daims[Ration]&amp;Règles_daims[Aliment],0))="s1",IF(DV51=Spécificité1Daims,1)),
AND(INDEX(Règles_daims[Specificite],MATCH(ChoixRationDaims&amp;DV51,Règles_daims[Ration]&amp;Règles_daims[Aliment],0))="s2",IF(DV51=Spécificité2Daims,1)),
INDEX(Règles_daims[Specificite],MATCH(ChoixRationDaims&amp;DV51,Règles_daims[Ration]&amp;Règles_daims[Aliment],0))="c"),
INDEX(Règles_daims[Valeur 3-6],MATCH(ChoixRationDaims&amp;DV51,Règles_daims[Ration]&amp;Règles_daims[Aliment],0)),0),0)*SUM(TotalDaims3_6)*SUM(NbreJoursNourrirBisonsDaims))</f>
        <v>0</v>
      </c>
      <c r="EC51" s="1280">
        <f t="array" ref="EC51">IF(ChoixRationComplèteDaims=OUI,0,IFERROR(IF(OR(AND(INDEX(Règles_daims[Specificite],MATCH(ChoixRationDaims&amp;DV51,Règles_daims[Ration]&amp;Règles_daims[Aliment],0))="s1",IF(DV51=Spécificité1Daims,1)),
AND(INDEX(Règles_daims[Specificite],MATCH(ChoixRationDaims&amp;DV51,Règles_daims[Ration]&amp;Règles_daims[Aliment],0))="s2",IF(DV51=Spécificité2Daims,1)),
INDEX(Règles_daims[Specificite],MATCH(ChoixRationDaims&amp;DV51,Règles_daims[Ration]&amp;Règles_daims[Aliment],0))="c"),
INDEX(Règles_daims[Valeur 0-3],MATCH(ChoixRationDaims&amp;DV51,Règles_daims[Ration]&amp;Règles_daims[Aliment],0)),0),0)*SUM(TotalDaims0_3)*SUM(NbreJoursNourrirBisonsDaims))</f>
        <v>0</v>
      </c>
      <c r="ED51" s="1280">
        <f t="shared" si="9"/>
        <v>0</v>
      </c>
      <c r="EE51" s="1345"/>
      <c r="EF51" s="1321"/>
      <c r="EG51" s="1336" t="s">
        <v>1709</v>
      </c>
      <c r="EH51" s="1336"/>
      <c r="EI51" s="1336"/>
      <c r="EJ51" s="1336"/>
      <c r="EK51" s="1336"/>
      <c r="EL51" s="1321"/>
      <c r="EM51" s="1321"/>
      <c r="EN51" s="789" t="s">
        <v>1276</v>
      </c>
      <c r="EO51" s="790" t="s">
        <v>1295</v>
      </c>
      <c r="EP51" s="790" t="s">
        <v>1256</v>
      </c>
      <c r="EQ51" s="790" t="s">
        <v>1255</v>
      </c>
      <c r="ER51" s="791" t="s">
        <v>1269</v>
      </c>
      <c r="ES51" s="1321"/>
      <c r="ET51" s="1346"/>
      <c r="EU51" s="1176" t="s">
        <v>1240</v>
      </c>
      <c r="EV51" s="1177" t="s">
        <v>733</v>
      </c>
      <c r="EW51" s="1177" t="s">
        <v>1252</v>
      </c>
      <c r="EX51" s="1177">
        <v>150</v>
      </c>
      <c r="EY51" s="1177">
        <v>100</v>
      </c>
      <c r="EZ51" s="1177">
        <v>70</v>
      </c>
      <c r="FA51" s="1178">
        <v>30</v>
      </c>
      <c r="FB51" s="1345"/>
      <c r="FC51" s="1346"/>
      <c r="FD51" s="1321"/>
      <c r="FE51" s="1321"/>
      <c r="FF51" s="1321"/>
      <c r="FG51" s="1321"/>
      <c r="FH51" s="1321"/>
      <c r="FI51" s="1321"/>
      <c r="FJ51" s="1345"/>
      <c r="FK51" s="1345"/>
      <c r="FL51" s="1345"/>
      <c r="FM51" s="1346"/>
      <c r="FN51" s="1336" t="s">
        <v>1713</v>
      </c>
      <c r="FO51" s="1336"/>
      <c r="FP51" s="1336"/>
      <c r="FQ51" s="1336"/>
      <c r="FR51" s="1336"/>
      <c r="FS51" s="1336"/>
      <c r="FT51" s="1345"/>
      <c r="FU51" s="1345"/>
      <c r="FV51" s="1345"/>
      <c r="FW51" s="823" t="s">
        <v>1719</v>
      </c>
      <c r="FX51" s="828">
        <f t="array" ref="FX5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51" s="828">
        <f t="array" ref="FY5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51" s="828">
        <f t="array" ref="FZ5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51" s="828">
        <f t="array" ref="GA5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51" s="829">
        <f>SUM(AlimentsGavageOies[[#This Row],[Valeur 3 et plus]:[Valeur 0-1]])</f>
        <v>0</v>
      </c>
      <c r="GC51" s="1364"/>
      <c r="GD51" s="1321"/>
      <c r="GE51" s="1149" t="s">
        <v>308</v>
      </c>
      <c r="GF51" s="1321"/>
      <c r="GG51" s="1321" t="s">
        <v>1349</v>
      </c>
      <c r="GH51" s="1321" t="s">
        <v>1349</v>
      </c>
      <c r="GI51" s="1321" t="s">
        <v>1349</v>
      </c>
      <c r="GJ51" s="1321" t="s">
        <v>1349</v>
      </c>
      <c r="GK51" s="1321" t="s">
        <v>1349</v>
      </c>
      <c r="GL51" s="1321" t="s">
        <v>1349</v>
      </c>
      <c r="GM51" s="1321" t="s">
        <v>1349</v>
      </c>
      <c r="GN51" s="1321" t="s">
        <v>1349</v>
      </c>
      <c r="GO51" s="1321" t="s">
        <v>1349</v>
      </c>
      <c r="GP51" s="1321" t="s">
        <v>1349</v>
      </c>
      <c r="GQ51" s="1321" t="s">
        <v>1349</v>
      </c>
      <c r="GR51" s="1321" t="s">
        <v>1349</v>
      </c>
      <c r="GS51" s="1321" t="s">
        <v>1349</v>
      </c>
      <c r="GT51" s="1321" t="s">
        <v>1349</v>
      </c>
      <c r="GU51" s="1321" t="s">
        <v>1349</v>
      </c>
      <c r="GV51" s="1321" t="s">
        <v>1349</v>
      </c>
      <c r="GW51" s="1321"/>
      <c r="GX51" s="1321"/>
      <c r="GY51" s="1082" t="str">
        <f t="shared" si="11"/>
        <v>semences de blé (GP)</v>
      </c>
      <c r="GZ51" s="1082"/>
      <c r="HA51" s="1085"/>
      <c r="HB51" s="1085">
        <f>IF(COUNTIF(TypeArticleDansEntrepôt,GY51)=0,0,SUMIF(TypeArticleDansEntrepôt,GY51,QtéArticleDansEntrepôt)*VLOOKUP(GY51,place_necessaire_entrepots_aire_paille[],2,FALSE))</f>
        <v>0</v>
      </c>
      <c r="HC51" s="1321"/>
      <c r="HD51" s="1321"/>
      <c r="HE51" s="1321"/>
      <c r="HF51" s="1321"/>
      <c r="HG51" s="1321"/>
      <c r="HH51" s="1321"/>
      <c r="HI51" s="1321"/>
      <c r="HJ51" s="1321"/>
      <c r="HK51" s="1321"/>
      <c r="HL51" s="1321"/>
      <c r="HM51" s="1321"/>
      <c r="HN51" s="1085" t="str">
        <f>IF(parcelles!B99="","",(VLOOKUP(parcelles!C99,BDD!$HN$5:$HU$38,2,FALSE))*parcelles!E99)</f>
        <v/>
      </c>
      <c r="HO51" s="1085" t="str">
        <f>IF(parcelles!B99="","",IF(OR(parcelles!C99=Moutarde,parcelles!C99=Phacélie),0,IF(parcelles!C99=Luzerne,10*parcelles!E99*VLOOKUP(parcelles!C99,BDD!$HN$5:$HU$38,3,FALSE),IF(parcelles!C99=Miscanthus,10.5*parcelles!E99*VLOOKUP(parcelles!C99,BDD!$HN$5:$HU$38,3,FALSE),INDEX(parcelles!$C$56:'parcelles'!$Y$77,MATCH(parcelles!B99,parcelles!$B$56:'parcelles'!$B$77,0),MATCH(parcelles!C99,parcelles!$C$53:'parcelles'!$Y$53,0))*parcelles!E99*VLOOKUP(parcelles!C99,BDD!$HN$5:$HU$38,3,FALSE)))))</f>
        <v/>
      </c>
      <c r="HP51" s="1085" t="str">
        <f>IF(parcelles!B99="","",IF(OR(parcelles!C99=Moutarde,parcelles!C99=Phacélie),0,IF(parcelles!C99=Luzerne,10*parcelles!E99*VLOOKUP(parcelles!C99,BDD!$HN$5:$HU$38,4,FALSE),IF(parcelles!C99=Miscanthus,10.5*parcelles!E99*VLOOKUP(parcelles!C99,BDD!$HN$5:$HU$38,4,FALSE),INDEX(parcelles!$C$56:'parcelles'!$Y$77,MATCH(parcelles!B99,parcelles!$B$56:'parcelles'!$B$77,0),MATCH(parcelles!C99,parcelles!$C$53:'parcelles'!$Y$53,0))*parcelles!E99*VLOOKUP(parcelles!C99,BDD!$HN$5:$HU$38,4,FALSE)))))</f>
        <v/>
      </c>
      <c r="HQ51" s="1085" t="str">
        <f>IF(parcelles!B99="","",IF(OR(parcelles!C99=Moutarde,parcelles!C99=Phacélie),0,IF(parcelles!C99=Luzerne,10*parcelles!E99*VLOOKUP(parcelles!C99,BDD!$HN$5:$HU$38,5,FALSE),IF(parcelles!C99=Miscanthus,10.5*parcelles!E99*VLOOKUP(parcelles!C99,BDD!$HN$5:$HU$38,5,FALSE),INDEX(parcelles!$C$56:'parcelles'!$Y$77,MATCH(parcelles!B99,parcelles!$B$56:'parcelles'!$B$77,0),MATCH(parcelles!C99,parcelles!$C$53:'parcelles'!$Y$53,0))*parcelles!E99*VLOOKUP(parcelles!C99,BDD!$HN$5:$HU$38,5,FALSE)))))</f>
        <v/>
      </c>
      <c r="HR51" s="1085" t="str">
        <f>IF(parcelles!B99="","",IF(OR(parcelles!C99=Moutarde,parcelles!C99=Phacélie),0,IF(parcelles!C99=Luzerne,10*parcelles!E99*VLOOKUP(parcelles!C99,BDD!$HN$5:$HU$38,6,FALSE),IF(parcelles!C99=Miscanthus,10.5*parcelles!E99*VLOOKUP(parcelles!C99,BDD!$HN$5:$HU$38,6,FALSE),INDEX(parcelles!$C$56:'parcelles'!$Y$77,MATCH(parcelles!B99,parcelles!$B$56:'parcelles'!$B$77,0),MATCH(parcelles!C99,parcelles!$C$53:'parcelles'!$Y$53,0))*parcelles!E99*VLOOKUP(parcelles!C99,BDD!$HN$5:$HU$38,6,FALSE)))))</f>
        <v/>
      </c>
      <c r="HS51" s="1085" t="str">
        <f>IF(parcelles!B99="","",IF(OR(parcelles!C99=Moutarde,parcelles!C99=Phacélie),0,IF(parcelles!C99=Luzerne,10*parcelles!E99*VLOOKUP(parcelles!C99,BDD!$HN$5:$HU$38,7,FALSE),IF(parcelles!C99=Miscanthus,10.5*parcelles!E99*VLOOKUP(parcelles!C99,BDD!$HN$5:$HU$38,7,FALSE),INDEX(parcelles!$C$56:'parcelles'!$Y$77,MATCH(parcelles!B99,parcelles!$B$56:'parcelles'!$B$77,0),MATCH(parcelles!C99,parcelles!$C$53:'parcelles'!$Y$53,0))*parcelles!E99*VLOOKUP(parcelles!C99,BDD!$HN$5:$HU$38,7,FALSE)))))</f>
        <v/>
      </c>
      <c r="HT51" s="1085" t="str">
        <f>IF(parcelles!B99="","",IF(OR(parcelles!C99=Moutarde,parcelles!C99=Phacélie),0,IF(parcelles!C99=Luzerne,10*parcelles!E99*VLOOKUP(parcelles!C99,BDD!$HN$5:$HU$38,8,FALSE),IF(parcelles!C99=Miscanthus,10.5*parcelles!E99*VLOOKUP(parcelles!C99,BDD!$HN$5:$HU$38,8,FALSE),INDEX(parcelles!$C$56:'parcelles'!$Y$77,MATCH(parcelles!B99,parcelles!$B$56:'parcelles'!$B$77,0),MATCH(parcelles!C99,parcelles!$C$53:'parcelles'!$Y$53,0))*parcelles!E99*VLOOKUP(parcelles!C99,BDD!$HN$5:$HU$38,8,FALSE)))))</f>
        <v/>
      </c>
      <c r="HU51" s="1085" t="str">
        <f>IF(parcelles!B99="","",IF(OR(parcelles!C99=Moutarde,parcelles!C99=Phacélie),0,1.6*parcelles!E99))</f>
        <v/>
      </c>
      <c r="HV51" s="1085" t="str">
        <f>IF(parcelles!B99="","",IF(OR(parcelles!C99=Moutarde,parcelles!C99=Phacélie),0,1.6*parcelles!E99))</f>
        <v/>
      </c>
      <c r="HW51" s="1085" t="str">
        <f>IF(parcelles!B99="","",IF(OR(parcelles!C99=Moutarde,parcelles!C99=Phacélie),0,1.6*parcelles!E99))</f>
        <v/>
      </c>
      <c r="HX51" s="1092" t="str">
        <f>IF(parcelles!D99="","",IF(parcelles!C99=ChanvreIndustriel,INDEX(parcelles!$C$56:$Y$77,MATCH(parcelles!B99,parcelles!$B$56:$B$77,0),MATCH(parcelles!C99,parcelles!$C$53:$Y$53,0))*parcelles!E99*SUMIF(ListeCulturesBDD,parcelles!C99,PrixVenteCulturesConventionnel)+RIGHT(BDD!$HM$7,3)*7*parcelles!E99,IF(parcelles!C99=Luzerne,parcelles!E99*10*VLOOKUP(parcelles!C99,TarifsCoopCultures,2,FALSE),IF(parcelles!C99=Miscanthus,parcelles!E99*10.5*VLOOKUP(Luzerne,TarifsCoopCultures,2,FALSE),INDEX(parcelles!$C$56:$Y$77,MATCH(parcelles!B99,parcelles!$B$56:$B$77,0),MATCH(parcelles!C99,parcelles!$C$53:$Y$53,0))*parcelles!E99*SUMIF(ListeCulturesBDD,parcelles!C99,PrixVenteCulturesConventionnel)))))</f>
        <v/>
      </c>
      <c r="HY51" s="1085" t="str">
        <f>IF(parcelles!D99="","",IF(parcelles!F99=0,"",IF(parcelles!C99=ChanvreIndustriel,"soit "&amp;parcelles!E99*0.8&amp;"t de grain et "&amp;parcelles!E99*7&amp;"t de paille",IF(parcelles!C99=Luzerne,"soit "&amp;10*parcelles!E99&amp;"t/an",IF(parcelles!C99=Miscanthus,"soit "&amp;10.5*parcelles!E99&amp;"t/an","soit "&amp;INDEX(parcelles!$C$56:$Y$77,MATCH(parcelles!B99,parcelles!$B$56:$B$77,0),MATCH(parcelles!C99,parcelles!$C$53:$Y$53,0))*parcelles!E99&amp;"t")))))</f>
        <v/>
      </c>
      <c r="HZ51" s="1085" t="str">
        <f>IF(parcelles!D99="","",IF(parcelles!F99=0,"",IF(parcelles!C99=ChanvreIndustriel,"soit "&amp;parcelles!E99*0.8*0.8&amp;"t de grain et "&amp;parcelles!E99*7*0.8&amp;"t de paille",IF(parcelles!C99=Luzerne,"soit "&amp;10*0.8*parcelles!E99&amp;"t/an",IF(parcelles!C99=Miscanthus,"soit "&amp;10.5*0.8*parcelles!E99&amp;"t/an","soit "&amp;INDEX(parcelles!$C$56:$Y$77,MATCH(parcelles!B99,parcelles!$B$56:$B$77,0),MATCH(parcelles!C99,parcelles!$C$53:$Y$53,0))*0.8*parcelles!E99&amp;"t")))))</f>
        <v/>
      </c>
      <c r="IA51" s="1085" t="str">
        <f>IF(parcelles!L99="","",(VLOOKUP(parcelles!M99,BDD!$HN$5:$HU$38,2,FALSE))*parcelles!O99)</f>
        <v/>
      </c>
      <c r="IB51" s="1085" t="str">
        <f>IF(parcelles!L99="","",IF(OR(parcelles!M99=Moutarde,parcelles!M99=Phacélie),0,IF(parcelles!M99=Luzerne,10*parcelles!O99*VLOOKUP(parcelles!M99,BDD!$HN$5:$HU$38,3,FALSE),IF(parcelles!M99=Miscanthus,10.5*parcelles!O99*VLOOKUP(parcelles!M99,BDD!$HN$5:$HU$38,3,FALSE),INDEX(parcelles!$C$56:'parcelles'!$Y$77,MATCH(parcelles!L99,parcelles!$B$56:'parcelles'!$B$77,0),MATCH(parcelles!M99,parcelles!$C$53:'parcelles'!$Y$53,0))*parcelles!O99*VLOOKUP(parcelles!M99,BDD!$HN$5:$HU$38,3,FALSE)))))</f>
        <v/>
      </c>
      <c r="IC51" s="1085" t="str">
        <f>IF(parcelles!L99="","",IF(OR(parcelles!M99=Moutarde,parcelles!M99=Phacélie),0,IF(parcelles!M99=Luzerne,10*parcelles!O99*VLOOKUP(parcelles!M99,BDD!$HN$5:$HU$38,4,FALSE),IF(parcelles!M99=Miscanthus,10.5*parcelles!O99*VLOOKUP(parcelles!M99,BDD!$HN$5:$HU$38,4,FALSE),INDEX(parcelles!$C$56:'parcelles'!$Y$77,MATCH(parcelles!L99,parcelles!$B$56:'parcelles'!$B$77,0),MATCH(parcelles!M99,parcelles!$C$53:'parcelles'!$Y$53,0))*parcelles!O99*VLOOKUP(parcelles!M99,BDD!$HN$5:$HU$38,4,FALSE)))))</f>
        <v/>
      </c>
      <c r="ID51" s="1085" t="str">
        <f>IF(parcelles!L99="","",IF(OR(parcelles!M99=Moutarde,parcelles!M99=Phacélie),0,IF(parcelles!M99=Luzerne,10*parcelles!O99*VLOOKUP(parcelles!M99,BDD!$HN$5:$HU$38,5,FALSE),IF(parcelles!M99=Miscanthus,10.5*parcelles!O99*VLOOKUP(parcelles!M99,BDD!$HN$5:$HU$38,5,FALSE),INDEX(parcelles!$C$56:'parcelles'!$Y$77,MATCH(parcelles!L99,parcelles!$B$56:'parcelles'!$B$77,0),MATCH(parcelles!M99,parcelles!$C$53:'parcelles'!$Y$53,0))*parcelles!O99*VLOOKUP(parcelles!M99,BDD!$HN$5:$HU$38,5,FALSE)))))</f>
        <v/>
      </c>
      <c r="IE51" s="1085" t="str">
        <f>IF(parcelles!L99="","",IF(OR(parcelles!M99=Moutarde,parcelles!M99=Phacélie),0,IF(parcelles!M99=Luzerne,10*parcelles!O99*VLOOKUP(parcelles!M99,BDD!$HN$5:$HU$38,6,FALSE),IF(parcelles!M99=Miscanthus,10.5*parcelles!O99*VLOOKUP(parcelles!M99,BDD!$HN$5:$HU$38,6,FALSE),INDEX(parcelles!$C$56:'parcelles'!$Y$77,MATCH(parcelles!L99,parcelles!$B$56:'parcelles'!$B$77,0),MATCH(parcelles!M99,parcelles!$C$53:'parcelles'!$Y$53,0))*parcelles!O99*VLOOKUP(parcelles!M99,BDD!$HN$5:$HU$38,6,FALSE)))))</f>
        <v/>
      </c>
      <c r="IF51" s="1085" t="str">
        <f>IF(parcelles!L99="","",IF(OR(parcelles!M99=Moutarde,parcelles!M99=Phacélie),0,IF(parcelles!M99=Luzerne,10*parcelles!O99*VLOOKUP(parcelles!M99,BDD!$HN$5:$HU$38,7,FALSE),IF(parcelles!M99=Miscanthus,10.5*parcelles!O99*VLOOKUP(parcelles!M99,BDD!$HN$5:$HU$38,7,FALSE),INDEX(parcelles!$C$56:'parcelles'!$Y$77,MATCH(parcelles!L99,parcelles!$B$56:'parcelles'!$B$77,0),MATCH(parcelles!M99,parcelles!$C$53:'parcelles'!$Y$53,0))*parcelles!O99*VLOOKUP(parcelles!M99,BDD!$HN$5:$HU$38,7,FALSE)))))</f>
        <v/>
      </c>
      <c r="IG51" s="1085" t="str">
        <f>IF(parcelles!L99="","",IF(OR(parcelles!M99=Moutarde,parcelles!M99=Phacélie),0,IF(parcelles!M99=Luzerne,10*parcelles!O99*VLOOKUP(parcelles!M99,BDD!$HN$5:$HU$38,8,FALSE),IF(parcelles!M99=Miscanthus,10.5*parcelles!O99*VLOOKUP(parcelles!M99,BDD!$HN$5:$HU$38,8,FALSE),INDEX(parcelles!$C$56:'parcelles'!$Y$77,MATCH(parcelles!L99,parcelles!$B$56:'parcelles'!$B$77,0),MATCH(parcelles!M99,parcelles!$C$53:'parcelles'!$Y$53,0))*parcelles!O99*VLOOKUP(parcelles!M99,BDD!$HN$5:$HU$38,8,FALSE)))))</f>
        <v/>
      </c>
      <c r="IH51" s="1085" t="str">
        <f>IF(parcelles!L99="","",IF(OR(parcelles!L99=Moutarde,parcelles!L99=Phacélie),0,1.6*parcelles!O99))</f>
        <v/>
      </c>
      <c r="II51" s="1085" t="str">
        <f>IF(parcelles!L99="","",IF(OR(parcelles!L99=Moutarde,parcelles!L99=Phacélie),0,1.6*parcelles!O99))</f>
        <v/>
      </c>
      <c r="IJ51" s="1085" t="str">
        <f>IF(parcelles!L99="","",IF(OR(parcelles!L99=Moutarde,parcelles!L99=Phacélie),0,1.6*parcelles!O99))</f>
        <v/>
      </c>
      <c r="IK51" s="1085" t="str">
        <f>IF(parcelles!P99="","",IF(parcelles!R99=0,"",IF(parcelles!O99=ChanvreIndustriel,"soit "&amp;parcelles!Q99*0.8&amp;"t de grain et "&amp;parcelles!Q99*7&amp;"t de paille",IF(parcelles!O99=Luzerne,"soit "&amp;10*parcelles!Q99&amp;"t/an",IF(parcelles!O99=Miscanthus,"soit "&amp;10.5*parcelles!Q99&amp;"t/an","soit "&amp;INDEX(parcelles!$C$56:$Y$77,MATCH(parcelles!N99,parcelles!$B$56:$B$77,0),MATCH(parcelles!O99,parcelles!$C$53:$Y$53,0))*parcelles!Q99&amp;"t")))))</f>
        <v/>
      </c>
      <c r="IL51" s="1085" t="str">
        <f>IF(parcelles!P99="","",IF(parcelles!R99=0,"",IF(parcelles!O99=ChanvreIndustriel,"soit "&amp;parcelles!Q99*0.8*0.8&amp;"t de grain et "&amp;parcelles!Q99*7*0.8&amp;"t de paille",IF(parcelles!O99=Luzerne,"soit "&amp;10*0.8*parcelles!Q99&amp;"t/an",IF(parcelles!O99=Miscanthus,"soit "&amp;10.5*0.8*parcelles!Q99&amp;"t/an","soit "&amp;INDEX(parcelles!$C$56:$Y$77,MATCH(parcelles!N99,parcelles!$B$56:$B$77,0),MATCH(parcelles!O99,parcelles!$C$53:$Y$53,0))*0.8*parcelles!Q99&amp;"t")))))</f>
        <v/>
      </c>
      <c r="IM51" s="1085" t="str">
        <f>IF(parcelles!S99="","",IF(parcelles!U99=0,"",IF(parcelles!R99=ChanvreIndustriel,parcelles!T99*0.8*0.8+parcelles!T99*7*0.8,IF(parcelles!R99=Luzerne,10*0.8*parcelles!T99,IF(parcelles!R99=Miscanthus,10.5*0.8*parcelles!T99,INDEX(parcelles!$C$56:$Y$77,MATCH(parcelles!Q99,parcelles!$B$56:$B$77,0),MATCH(parcelles!R99,parcelles!$C$53:$Y$53,0))*0.8*parcelles!T99)))))</f>
        <v/>
      </c>
      <c r="IN51" s="1368"/>
    </row>
    <row r="52" spans="1:248" ht="12.75" customHeight="1" x14ac:dyDescent="0.2">
      <c r="A52" s="1322"/>
      <c r="B52" s="1327"/>
      <c r="C52" s="1327"/>
      <c r="D52" s="1327"/>
      <c r="E52" s="1321"/>
      <c r="F52" s="1149" t="s">
        <v>856</v>
      </c>
      <c r="G52" s="1149"/>
      <c r="H52" s="1149">
        <v>5</v>
      </c>
      <c r="I52" s="1149">
        <v>3</v>
      </c>
      <c r="J52" s="1321"/>
      <c r="K52" s="1321"/>
      <c r="L52" s="1321"/>
      <c r="M52" s="1321"/>
      <c r="N52" s="1321"/>
      <c r="O52" s="1149" t="s">
        <v>535</v>
      </c>
      <c r="P52" s="1149">
        <v>7.7</v>
      </c>
      <c r="Q52" s="1149">
        <v>7.1</v>
      </c>
      <c r="R52" s="1149">
        <v>6.5</v>
      </c>
      <c r="S52" s="1149">
        <v>5.9</v>
      </c>
      <c r="T52" s="1149">
        <v>5.6</v>
      </c>
      <c r="U52" s="1149">
        <v>6.2</v>
      </c>
      <c r="V52" s="1149"/>
      <c r="W52" s="1149">
        <v>9.1999999999999993</v>
      </c>
      <c r="X52" s="1149">
        <v>10.9</v>
      </c>
      <c r="Y52" s="1149">
        <v>75</v>
      </c>
      <c r="Z52" s="1149">
        <v>3.6</v>
      </c>
      <c r="AA52" s="1149">
        <v>2.8</v>
      </c>
      <c r="AB52" s="1149">
        <v>4.8</v>
      </c>
      <c r="AC52" s="1149">
        <v>4</v>
      </c>
      <c r="AD52" s="1149">
        <v>2.8</v>
      </c>
      <c r="AE52" s="1149">
        <v>3.5</v>
      </c>
      <c r="AF52" s="1149">
        <v>48</v>
      </c>
      <c r="AG52" s="1149">
        <v>0.8</v>
      </c>
      <c r="AH52" s="1149">
        <v>7</v>
      </c>
      <c r="AI52" s="1149">
        <v>15</v>
      </c>
      <c r="AJ52" s="1149">
        <v>13</v>
      </c>
      <c r="AK52" s="1149">
        <v>0</v>
      </c>
      <c r="AL52" s="1149">
        <v>0</v>
      </c>
      <c r="AM52" s="1149"/>
      <c r="AN52" s="1149">
        <v>0</v>
      </c>
      <c r="AO52" s="1149">
        <v>20</v>
      </c>
      <c r="AP52" s="1149">
        <v>15</v>
      </c>
      <c r="AQ52" s="1149">
        <v>0</v>
      </c>
      <c r="AR52" s="1149">
        <v>0</v>
      </c>
      <c r="AS52" s="1149">
        <v>0</v>
      </c>
      <c r="AT52" s="1149">
        <v>0</v>
      </c>
      <c r="AU52" s="1149">
        <v>0</v>
      </c>
      <c r="AV52" s="1149">
        <v>0</v>
      </c>
      <c r="AW52" s="1149">
        <v>8.5</v>
      </c>
      <c r="AX52" s="1149">
        <v>10</v>
      </c>
      <c r="AY52" s="1149">
        <v>10</v>
      </c>
      <c r="AZ52" s="1321"/>
      <c r="BA52" s="1321"/>
      <c r="BB52" s="1321"/>
      <c r="BC52" s="1143" t="s">
        <v>1050</v>
      </c>
      <c r="BD52" s="1210">
        <v>340</v>
      </c>
      <c r="BE52" s="1321"/>
      <c r="BF52" s="1143" t="s">
        <v>1050</v>
      </c>
      <c r="BG52" s="1210">
        <v>408</v>
      </c>
      <c r="BH52" s="1321"/>
      <c r="BI52" s="1321"/>
      <c r="BJ52" s="1321"/>
      <c r="BK52" s="1345"/>
      <c r="BL52" s="1348"/>
      <c r="BM52" s="1076" t="s">
        <v>333</v>
      </c>
      <c r="BN52" s="1076">
        <f t="array" ref="BN52">IF(Ration_hivernale_complète_bisons[somme]&gt;0,0,IFERROR(IF(OR(AND(INDEX(Règles_bison[Specificite],MATCH(ChoixRationBisons&amp;$BM52,Règles_bison[Ration]&amp;Règles_bison[Aliment],0))="s1",IF($BM52=ChoixSpécificité1Bisons,1)),
AND(INDEX(Règles_bison[Specificite],MATCH(ChoixRationBisons&amp;$BM52,Règles_bison[Ration]&amp;Règles_bison[Aliment],0))="s2",IF($BM52=ChoixSpécificité2Bisons,1)),INDEX(Règles_bison[Specificite],MATCH(ChoixRationBisons&amp;$BM52,Règles_bison[Ration]&amp;Règles_bison[Aliment],0))="c"),
INDEX(Règles_bison[Valeur 36 et plus],MATCH(ChoixRationBisons&amp;$BM52,Règles_bison[Ration]&amp;Règles_bison[Aliment],0)),0),0)*TotalBisonsMalesAdultes*SUM(NbreJoursNourrirBisonsDaims))</f>
        <v>0</v>
      </c>
      <c r="BO52" s="1076">
        <f t="array" ref="BO52">IF(Ration_hivernale_complète_bisons[somme]&gt;0,0,IFERROR(IF(OR(AND(INDEX(Règles_bison[Specificite],MATCH(ChoixRationBisons&amp;$BM52,Règles_bison[Ration]&amp;Règles_bison[Aliment],0))="s1",IF($BM52=ChoixSpécificité1Bisons,1)),
AND(INDEX(Règles_bison[Specificite],MATCH(ChoixRationBisons&amp;$BM52,Règles_bison[Ration]&amp;Règles_bison[Aliment],0))="s2",IF($BM52=ChoixSpécificité2Bisons,1)),INDEX(Règles_bison[Specificite],MATCH(ChoixRationBisons&amp;$BM52,Règles_bison[Ration]&amp;Règles_bison[Aliment],0))="c"),
INDEX(Règles_bison[Valeur 24-36],MATCH(ChoixRationBisons&amp;$BM52,Règles_bison[Ration]&amp;Règles_bison[Aliment],0)),0),0)*TotalBisonsMales_24_36_mois*SUM(NbreJoursNourrirBisonsDaims))</f>
        <v>0</v>
      </c>
      <c r="BP52" s="1076">
        <f t="array" ref="BP52">IF(Ration_hivernale_complète_bisons[somme]&gt;0,0,IFERROR(IF(OR(AND(INDEX(Règles_bison[Specificite],MATCH(ChoixRationBisons&amp;$BM52,Règles_bison[Ration]&amp;Règles_bison[Aliment],0))="s1",IF($BM52=ChoixSpécificité1Bisons,1)),
AND(INDEX(Règles_bison[Specificite],MATCH(ChoixRationBisons&amp;$BM52,Règles_bison[Ration]&amp;Règles_bison[Aliment],0))="s2",IF($BM52=ChoixSpécificité2Bisons,1)),INDEX(Règles_bison[Specificite],MATCH(ChoixRationBisons&amp;$BM52,Règles_bison[Ration]&amp;Règles_bison[Aliment],0))="c"),
INDEX(Règles_bison[Valeur 18-24],MATCH(ChoixRationBisons&amp;$BM52,Règles_bison[Ration]&amp;Règles_bison[Aliment],0)),0),0)*TotalBisonsMales_18_24_mois*SUM(NbreJoursNourrirBisonsDaims))</f>
        <v>0</v>
      </c>
      <c r="BQ52" s="1076">
        <f t="array" ref="BQ52">IF(Ration_hivernale_complète_bisons[somme]&gt;0,0,IFERROR(IF(OR(AND(INDEX(Règles_bison[Specificite],MATCH(ChoixRationBisons&amp;$BM52,Règles_bison[Ration]&amp;Règles_bison[Aliment],0))="s1",IF($BM52=ChoixSpécificité1Bisons,1)),
AND(INDEX(Règles_bison[Specificite],MATCH(ChoixRationBisons&amp;$BM52,Règles_bison[Ration]&amp;Règles_bison[Aliment],0))="s2",IF($BM52=ChoixSpécificité2Bisons,1)),INDEX(Règles_bison[Specificite],MATCH(ChoixRationBisons&amp;$BM52,Règles_bison[Ration]&amp;Règles_bison[Aliment],0))="c"),
INDEX(Règles_bison[Valeur 12-18],MATCH(ChoixRationBisons&amp;$BM52,Règles_bison[Ration]&amp;Règles_bison[Aliment],0)),0),0)*TotalBisonsMales_12_18_mois*SUM(NbreJoursNourrirBisonsDaims))</f>
        <v>0</v>
      </c>
      <c r="BR52" s="1076">
        <f t="array" ref="BR52">IF(Ration_hivernale_complète_bisons[somme]&gt;0,0,IFERROR(IF(OR(AND(INDEX(Règles_bison[Specificite],MATCH(ChoixRationBisons&amp;$BM52,Règles_bison[Ration]&amp;Règles_bison[Aliment],0))="s1",IF($BM52=ChoixSpécificité1Bisons,1)),
AND(INDEX(Règles_bison[Specificite],MATCH(ChoixRationBisons&amp;$BM52,Règles_bison[Ration]&amp;Règles_bison[Aliment],0))="s2",IF($BM52=ChoixSpécificité2Bisons,1)),INDEX(Règles_bison[Specificite],MATCH(ChoixRationBisons&amp;$BM52,Règles_bison[Ration]&amp;Règles_bison[Aliment],0))="c"),
INDEX(Règles_bison[Valeur 6-12],MATCH(ChoixRationBisons&amp;$BM52,Règles_bison[Ration]&amp;Règles_bison[Aliment],0)),0),0)*TotalBisonsMales_6_12_mois*SUM(NbreJoursNourrirBisonsDaims))</f>
        <v>0</v>
      </c>
      <c r="BS52" s="1076">
        <f t="array" ref="BS52">IF(Ration_hivernale_complète_bisons[somme]&gt;0,0,IFERROR(IF(OR(AND(INDEX(Règles_bison[Specificite],MATCH(ChoixRationBisons&amp;$BM52,Règles_bison[Ration]&amp;Règles_bison[Aliment],0))="s1",IF($BM52=ChoixSpécificité1Bisons,1)),
AND(INDEX(Règles_bison[Specificite],MATCH(ChoixRationBisons&amp;$BM52,Règles_bison[Ration]&amp;Règles_bison[Aliment],0))="s2",IF($BM52=ChoixSpécificité2Bisons,1)),INDEX(Règles_bison[Specificite],MATCH(ChoixRationBisons&amp;$BM52,Règles_bison[Ration]&amp;Règles_bison[Aliment],0))="c"),
INDEX(Règles_bison[Valeur 3-6],MATCH(ChoixRationBisons&amp;$BM52,Règles_bison[Ration]&amp;Règles_bison[Aliment],0)),0),0)*TotalBisonsMales_3_6_mois*SUM(NbreJoursNourrirBisonsDaims))</f>
        <v>0</v>
      </c>
      <c r="BT52" s="1076">
        <f t="array" ref="BT52">IF(Ration_hivernale_complète_bisons[somme]&gt;0,0,IFERROR(IF(OR(AND(INDEX(Règles_bison[Specificite],MATCH(ChoixRationBisons&amp;$BM52,Règles_bison[Ration]&amp;Règles_bison[Aliment],0))="s1",IF($BM52=ChoixSpécificité1Bisons,1)),
AND(INDEX(Règles_bison[Specificite],MATCH(ChoixRationBisons&amp;$BM52,Règles_bison[Ration]&amp;Règles_bison[Aliment],0))="s2",IF($BM52=ChoixSpécificité2Bisons,1)),INDEX(Règles_bison[Specificite],MATCH(ChoixRationBisons&amp;$BM52,Règles_bison[Ration]&amp;Règles_bison[Aliment],0))="c"),
INDEX(Règles_bison[Valeur 0-3],MATCH(ChoixRationBisons&amp;$BM52,Règles_bison[Ration]&amp;Règles_bison[Aliment],0)),0),0)*TotalBisonsMales_0_3_mois*SUM(NbreJoursNourrirBisonsDaims))</f>
        <v>0</v>
      </c>
      <c r="BU52" s="1076">
        <f t="shared" si="10"/>
        <v>0</v>
      </c>
      <c r="BV52" s="1345"/>
      <c r="BW52" s="1345"/>
      <c r="BX52" s="1176" t="s">
        <v>761</v>
      </c>
      <c r="BY52" s="1177" t="s">
        <v>672</v>
      </c>
      <c r="BZ52" s="1177" t="s">
        <v>1252</v>
      </c>
      <c r="CA52" s="1177">
        <v>1.6</v>
      </c>
      <c r="CB52" s="1177">
        <v>1.4</v>
      </c>
      <c r="CC52" s="1177">
        <v>1.2</v>
      </c>
      <c r="CD52" s="1199">
        <v>1</v>
      </c>
      <c r="CE52" s="1350"/>
      <c r="CF52" s="1350"/>
      <c r="CG52" s="1350"/>
      <c r="CH52" s="1350"/>
      <c r="CI52" s="1321"/>
      <c r="CJ52" s="808" t="s">
        <v>285</v>
      </c>
      <c r="CK52" s="788">
        <f t="array" ref="CK5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52" s="788">
        <f t="array" ref="CL5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52" s="788">
        <f t="array" ref="CM5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52" s="788">
        <f t="array" ref="CN5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52" s="788">
        <f t="array" ref="CO5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52" s="812">
        <f>SUM(AlimentsRationPorcinsMâles[[#This Row],[Valeur 12 et plus]:[Valeur 0-1]])</f>
        <v>0</v>
      </c>
      <c r="CQ52" s="1321"/>
      <c r="CR52" s="1321"/>
      <c r="CS52" s="1176"/>
      <c r="CT52" s="1177"/>
      <c r="CU52" s="1177"/>
      <c r="CV52" s="1177"/>
      <c r="CW52" s="1177"/>
      <c r="CX52" s="1178"/>
      <c r="CY52" s="1321"/>
      <c r="CZ52" s="1200"/>
      <c r="DA52" s="1201"/>
      <c r="DB52" s="1201"/>
      <c r="DC52" s="1201"/>
      <c r="DD52" s="1201"/>
      <c r="DE52" s="1202"/>
      <c r="DF52" s="1321"/>
      <c r="DG52" s="808" t="s">
        <v>1270</v>
      </c>
      <c r="DH52" s="817">
        <f t="array" ref="DH5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52" s="817">
        <f t="array" ref="DI5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52" s="817">
        <f t="array" ref="DJ5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52" s="818">
        <f>SUM(AlimentsRationPintadesMâles[[#This Row],[Valeur 9 et plus]:[Valeur 0-1]])</f>
        <v>0</v>
      </c>
      <c r="DL52" s="1364"/>
      <c r="DM52" s="1364"/>
      <c r="DN52" s="1224" t="s">
        <v>1042</v>
      </c>
      <c r="DO52" s="1224" t="s">
        <v>1043</v>
      </c>
      <c r="DP52" s="1321"/>
      <c r="DQ52" s="1224" t="s">
        <v>1042</v>
      </c>
      <c r="DR52" s="1224" t="s">
        <v>1043</v>
      </c>
      <c r="DS52" s="1345"/>
      <c r="DT52" s="1346"/>
      <c r="DU52" s="1346"/>
      <c r="DV52" s="1076" t="s">
        <v>672</v>
      </c>
      <c r="DW52" s="1267">
        <f t="array" ref="DW52">IF(ChoixRationComplèteDaims=OUI,0,IFERROR(IF(OR(AND(INDEX(Règles_daims[Specificite],MATCH(ChoixRationDaims&amp;DV52,Règles_daims[Ration]&amp;Règles_daims[Aliment],0))="s1",IF(DV52=Spécificité1Daims,1)),
AND(INDEX(Règles_daims[Specificite],MATCH(ChoixRationDaims&amp;DV52,Règles_daims[Ration]&amp;Règles_daims[Aliment],0))="s2",IF(DV52=Spécificité2Daims,1)),
INDEX(Règles_daims[Specificite],MATCH(ChoixRationDaims&amp;DV52,Règles_daims[Ration]&amp;Règles_daims[Aliment],0))="c"),
INDEX(Règles_daims[Valeur 36 et plus],MATCH(ChoixRationDaims&amp;DV52,Règles_daims[Ration]&amp;Règles_daims[Aliment],0)),0),0)*SUM(TotalDaimsAdultes)*SUM(NbreJoursNourrirBisonsDaims))</f>
        <v>0</v>
      </c>
      <c r="DX52" s="1267">
        <f t="array" ref="DX52">IF(ChoixRationComplèteDaims=OUI,0,IFERROR(IF(OR(AND(INDEX(Règles_daims[Specificite],MATCH(ChoixRationDaims&amp;DV52,Règles_daims[Ration]&amp;Règles_daims[Aliment],0))="s1",IF(DV52=Spécificité1Daims,1)),
AND(INDEX(Règles_daims[Specificite],MATCH(ChoixRationDaims&amp;DV52,Règles_daims[Ration]&amp;Règles_daims[Aliment],0))="s2",IF(DV52=Spécificité2Daims,1)),
INDEX(Règles_daims[Specificite],MATCH(ChoixRationDaims&amp;DV52,Règles_daims[Ration]&amp;Règles_daims[Aliment],0))="c"),
INDEX(Règles_daims[Valeur 24-36],MATCH(ChoixRationDaims&amp;DV52,Règles_daims[Ration]&amp;Règles_daims[Aliment],0)),0),0)*SUM(TotalDaims24_36)*SUM(NbreJoursNourrirBisonsDaims))</f>
        <v>0</v>
      </c>
      <c r="DY52" s="1267">
        <f t="array" ref="DY52">IF(ChoixRationComplèteDaims=OUI,0,IFERROR(IF(OR(AND(INDEX(Règles_daims[Specificite],MATCH(ChoixRationDaims&amp;DV52,Règles_daims[Ration]&amp;Règles_daims[Aliment],0))="s1",IF(DV52=Spécificité1Daims,1)),
AND(INDEX(Règles_daims[Specificite],MATCH(ChoixRationDaims&amp;DV52,Règles_daims[Ration]&amp;Règles_daims[Aliment],0))="s2",IF(DV52=Spécificité2Daims,1)),
INDEX(Règles_daims[Specificite],MATCH(ChoixRationDaims&amp;DV52,Règles_daims[Ration]&amp;Règles_daims[Aliment],0))="c"),
INDEX(Règles_daims[Valeur 18-24],MATCH(ChoixRationDaims&amp;DV52,Règles_daims[Ration]&amp;Règles_daims[Aliment],0)),0),0)*SUM(TotalDaims18_24)*SUM(NbreJoursNourrirBisonsDaims))</f>
        <v>0</v>
      </c>
      <c r="DZ52" s="1279">
        <f t="array" ref="DZ52">IF(ChoixRationComplèteDaims=OUI,0,IFERROR(IF(OR(AND(INDEX(Règles_daims[Specificite],MATCH(ChoixRationDaims&amp;DV52,Règles_daims[Ration]&amp;Règles_daims[Aliment],0))="s1",IF(DV52=Spécificité1Daims,1)),
AND(INDEX(Règles_daims[Specificite],MATCH(ChoixRationDaims&amp;DV52,Règles_daims[Ration]&amp;Règles_daims[Aliment],0))="s2",IF(DV52=Spécificité2Daims,1)),
INDEX(Règles_daims[Specificite],MATCH(ChoixRationDaims&amp;DV52,Règles_daims[Ration]&amp;Règles_daims[Aliment],0))="c"),
INDEX(Règles_daims[Valeur 12-18],MATCH(ChoixRationDaims&amp;DV52,Règles_daims[Ration]&amp;Règles_daims[Aliment],0)),0),0)*SUM(TotalDaims12_18)*SUM(NbreJoursNourrirBisonsDaims))</f>
        <v>0</v>
      </c>
      <c r="EA52" s="1279">
        <f t="array" ref="EA52">IF(ChoixRationComplèteDaims=OUI,0,IFERROR(IF(OR(AND(INDEX(Règles_daims[Specificite],MATCH(ChoixRationDaims&amp;DV52,Règles_daims[Ration]&amp;Règles_daims[Aliment],0))="s1",IF(DV52=Spécificité1Daims,1)),
AND(INDEX(Règles_daims[Specificite],MATCH(ChoixRationDaims&amp;DV52,Règles_daims[Ration]&amp;Règles_daims[Aliment],0))="s2",IF(DV52=Spécificité2Daims,1)),
INDEX(Règles_daims[Specificite],MATCH(ChoixRationDaims&amp;DV52,Règles_daims[Ration]&amp;Règles_daims[Aliment],0))="c"),
INDEX(Règles_daims[Valeur 6-12],MATCH(ChoixRationDaims&amp;DV52,Règles_daims[Ration]&amp;Règles_daims[Aliment],0)),0),0)*SUM(TotalDaims6_12)*SUM(NbreJoursNourrirBisonsDaims))</f>
        <v>0</v>
      </c>
      <c r="EB52" s="1279">
        <f t="array" ref="EB52">IF(ChoixRationComplèteDaims=OUI,0,IFERROR(IF(OR(AND(INDEX(Règles_daims[Specificite],MATCH(ChoixRationDaims&amp;DV52,Règles_daims[Ration]&amp;Règles_daims[Aliment],0))="s1",IF(DV52=Spécificité1Daims,1)),
AND(INDEX(Règles_daims[Specificite],MATCH(ChoixRationDaims&amp;DV52,Règles_daims[Ration]&amp;Règles_daims[Aliment],0))="s2",IF(DV52=Spécificité2Daims,1)),
INDEX(Règles_daims[Specificite],MATCH(ChoixRationDaims&amp;DV52,Règles_daims[Ration]&amp;Règles_daims[Aliment],0))="c"),
INDEX(Règles_daims[Valeur 3-6],MATCH(ChoixRationDaims&amp;DV52,Règles_daims[Ration]&amp;Règles_daims[Aliment],0)),0),0)*SUM(TotalDaims3_6)*SUM(NbreJoursNourrirBisonsDaims))</f>
        <v>0</v>
      </c>
      <c r="EC52" s="1279">
        <f t="array" ref="EC52">IF(ChoixRationComplèteDaims=OUI,0,IFERROR(IF(OR(AND(INDEX(Règles_daims[Specificite],MATCH(ChoixRationDaims&amp;DV52,Règles_daims[Ration]&amp;Règles_daims[Aliment],0))="s1",IF(DV52=Spécificité1Daims,1)),
AND(INDEX(Règles_daims[Specificite],MATCH(ChoixRationDaims&amp;DV52,Règles_daims[Ration]&amp;Règles_daims[Aliment],0))="s2",IF(DV52=Spécificité2Daims,1)),
INDEX(Règles_daims[Specificite],MATCH(ChoixRationDaims&amp;DV52,Règles_daims[Ration]&amp;Règles_daims[Aliment],0))="c"),
INDEX(Règles_daims[Valeur 0-3],MATCH(ChoixRationDaims&amp;DV52,Règles_daims[Ration]&amp;Règles_daims[Aliment],0)),0),0)*SUM(TotalDaims0_3)*SUM(NbreJoursNourrirBisonsDaims))</f>
        <v>0</v>
      </c>
      <c r="ED52" s="1279">
        <f t="shared" si="9"/>
        <v>0</v>
      </c>
      <c r="EE52" s="1345"/>
      <c r="EF52" s="1321"/>
      <c r="EG52" s="789" t="s">
        <v>1276</v>
      </c>
      <c r="EH52" s="790" t="s">
        <v>1295</v>
      </c>
      <c r="EI52" s="790" t="s">
        <v>1256</v>
      </c>
      <c r="EJ52" s="790" t="s">
        <v>1255</v>
      </c>
      <c r="EK52" s="791" t="s">
        <v>1269</v>
      </c>
      <c r="EL52" s="1321"/>
      <c r="EM52" s="1321"/>
      <c r="EN52" s="808" t="s">
        <v>673</v>
      </c>
      <c r="EO52" s="817">
        <f t="array" ref="EO52">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52" s="817">
        <f t="array" ref="EP52">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52" s="817">
        <f t="array" ref="EQ52">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52" s="818">
        <f>SUM(Ration_canards_Mâles[[#This Row],[Valeur 6 et plus]:[Valeur 0-3]])</f>
        <v>0</v>
      </c>
      <c r="ES52" s="1364"/>
      <c r="ET52" s="1346"/>
      <c r="EU52" s="1176"/>
      <c r="EV52" s="1177"/>
      <c r="EW52" s="1177"/>
      <c r="EX52" s="1177"/>
      <c r="EY52" s="1177"/>
      <c r="EZ52" s="1177"/>
      <c r="FA52" s="1191"/>
      <c r="FB52" s="1345"/>
      <c r="FC52" s="1346"/>
      <c r="FD52" s="1336" t="s">
        <v>1709</v>
      </c>
      <c r="FE52" s="1336"/>
      <c r="FF52" s="1336"/>
      <c r="FG52" s="1336"/>
      <c r="FH52" s="1336"/>
      <c r="FI52" s="1336"/>
      <c r="FJ52" s="1345"/>
      <c r="FK52" s="1345"/>
      <c r="FL52" s="1345"/>
      <c r="FM52" s="1321"/>
      <c r="FN52" s="1281" t="s">
        <v>1276</v>
      </c>
      <c r="FO52" s="1281" t="s">
        <v>1261</v>
      </c>
      <c r="FP52" s="1281" t="s">
        <v>1260</v>
      </c>
      <c r="FQ52" s="1281" t="s">
        <v>1304</v>
      </c>
      <c r="FR52" s="1284" t="s">
        <v>1303</v>
      </c>
      <c r="FS52" s="1281" t="s">
        <v>1269</v>
      </c>
      <c r="FT52" s="1345"/>
      <c r="FU52" s="1345"/>
      <c r="FV52" s="1345"/>
      <c r="FW52" s="823" t="s">
        <v>1717</v>
      </c>
      <c r="FX52" s="828">
        <f t="array" ref="FX5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52" s="828">
        <f t="array" ref="FY5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52" s="828">
        <f t="array" ref="FZ5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52" s="828">
        <f t="array" ref="GA5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52" s="829">
        <f>SUM(AlimentsGavageOies[[#This Row],[Valeur 3 et plus]:[Valeur 0-1]])</f>
        <v>0</v>
      </c>
      <c r="GC52" s="1364"/>
      <c r="GD52" s="1321"/>
      <c r="GE52" s="1143" t="s">
        <v>83</v>
      </c>
      <c r="GF52" s="1321"/>
      <c r="GG52" s="1321" t="s">
        <v>1349</v>
      </c>
      <c r="GH52" s="1321" t="s">
        <v>1349</v>
      </c>
      <c r="GI52" s="1321" t="s">
        <v>1349</v>
      </c>
      <c r="GJ52" s="1321" t="s">
        <v>1349</v>
      </c>
      <c r="GK52" s="1321" t="s">
        <v>1349</v>
      </c>
      <c r="GL52" s="1321" t="s">
        <v>1349</v>
      </c>
      <c r="GM52" s="1321" t="s">
        <v>1349</v>
      </c>
      <c r="GN52" s="1321" t="s">
        <v>1349</v>
      </c>
      <c r="GO52" s="1321" t="s">
        <v>1349</v>
      </c>
      <c r="GP52" s="1321" t="s">
        <v>1349</v>
      </c>
      <c r="GQ52" s="1321" t="s">
        <v>1349</v>
      </c>
      <c r="GR52" s="1321" t="s">
        <v>1349</v>
      </c>
      <c r="GS52" s="1321" t="s">
        <v>1349</v>
      </c>
      <c r="GT52" s="1321" t="s">
        <v>1349</v>
      </c>
      <c r="GU52" s="1321" t="s">
        <v>1349</v>
      </c>
      <c r="GV52" s="1321" t="s">
        <v>1349</v>
      </c>
      <c r="GW52" s="1321"/>
      <c r="GX52" s="1321"/>
      <c r="GY52" s="1083" t="str">
        <f t="shared" si="11"/>
        <v>semences de blé (P)</v>
      </c>
      <c r="GZ52" s="1083"/>
      <c r="HA52" s="1084"/>
      <c r="HB52" s="1084">
        <f>IF(COUNTIF(TypeArticleDansEntrepôt,GY52)=0,0,SUMIF(TypeArticleDansEntrepôt,GY52,QtéArticleDansEntrepôt)*VLOOKUP(GY52,place_necessaire_entrepots_aire_paille[],2,FALSE))</f>
        <v>0</v>
      </c>
      <c r="HC52" s="1321"/>
      <c r="HD52" s="1321"/>
      <c r="HE52" s="1321"/>
      <c r="HF52" s="1321"/>
      <c r="HG52" s="1321"/>
      <c r="HH52" s="1321"/>
      <c r="HI52" s="1321"/>
      <c r="HJ52" s="1321"/>
      <c r="HK52" s="1321"/>
      <c r="HL52" s="1321"/>
      <c r="HM52" s="1321"/>
      <c r="HN52" s="1084" t="str">
        <f>IF(parcelles!B100="","",(VLOOKUP(parcelles!C100,BDD!$HN$5:$HU$38,2,FALSE))*parcelles!E100)</f>
        <v/>
      </c>
      <c r="HO52" s="1084" t="str">
        <f>IF(parcelles!B100="","",IF(OR(parcelles!C100=Moutarde,parcelles!C100=Phacélie),0,IF(parcelles!C100=Luzerne,10*parcelles!E100*VLOOKUP(parcelles!C100,BDD!$HN$5:$HU$38,3,FALSE),IF(parcelles!C100=Miscanthus,10.5*parcelles!E100*VLOOKUP(parcelles!C100,BDD!$HN$5:$HU$38,3,FALSE),INDEX(parcelles!$C$56:'parcelles'!$Y$77,MATCH(parcelles!B100,parcelles!$B$56:'parcelles'!$B$77,0),MATCH(parcelles!C100,parcelles!$C$53:'parcelles'!$Y$53,0))*parcelles!E100*VLOOKUP(parcelles!C100,BDD!$HN$5:$HU$38,3,FALSE)))))</f>
        <v/>
      </c>
      <c r="HP52" s="1084" t="str">
        <f>IF(parcelles!B100="","",IF(OR(parcelles!C100=Moutarde,parcelles!C100=Phacélie),0,IF(parcelles!C100=Luzerne,10*parcelles!E100*VLOOKUP(parcelles!C100,BDD!$HN$5:$HU$38,4,FALSE),IF(parcelles!C100=Miscanthus,10.5*parcelles!E100*VLOOKUP(parcelles!C100,BDD!$HN$5:$HU$38,4,FALSE),INDEX(parcelles!$C$56:'parcelles'!$Y$77,MATCH(parcelles!B100,parcelles!$B$56:'parcelles'!$B$77,0),MATCH(parcelles!C100,parcelles!$C$53:'parcelles'!$Y$53,0))*parcelles!E100*VLOOKUP(parcelles!C100,BDD!$HN$5:$HU$38,4,FALSE)))))</f>
        <v/>
      </c>
      <c r="HQ52" s="1084" t="str">
        <f>IF(parcelles!B100="","",IF(OR(parcelles!C100=Moutarde,parcelles!C100=Phacélie),0,IF(parcelles!C100=Luzerne,10*parcelles!E100*VLOOKUP(parcelles!C100,BDD!$HN$5:$HU$38,5,FALSE),IF(parcelles!C100=Miscanthus,10.5*parcelles!E100*VLOOKUP(parcelles!C100,BDD!$HN$5:$HU$38,5,FALSE),INDEX(parcelles!$C$56:'parcelles'!$Y$77,MATCH(parcelles!B100,parcelles!$B$56:'parcelles'!$B$77,0),MATCH(parcelles!C100,parcelles!$C$53:'parcelles'!$Y$53,0))*parcelles!E100*VLOOKUP(parcelles!C100,BDD!$HN$5:$HU$38,5,FALSE)))))</f>
        <v/>
      </c>
      <c r="HR52" s="1084" t="str">
        <f>IF(parcelles!B100="","",IF(OR(parcelles!C100=Moutarde,parcelles!C100=Phacélie),0,IF(parcelles!C100=Luzerne,10*parcelles!E100*VLOOKUP(parcelles!C100,BDD!$HN$5:$HU$38,6,FALSE),IF(parcelles!C100=Miscanthus,10.5*parcelles!E100*VLOOKUP(parcelles!C100,BDD!$HN$5:$HU$38,6,FALSE),INDEX(parcelles!$C$56:'parcelles'!$Y$77,MATCH(parcelles!B100,parcelles!$B$56:'parcelles'!$B$77,0),MATCH(parcelles!C100,parcelles!$C$53:'parcelles'!$Y$53,0))*parcelles!E100*VLOOKUP(parcelles!C100,BDD!$HN$5:$HU$38,6,FALSE)))))</f>
        <v/>
      </c>
      <c r="HS52" s="1084" t="str">
        <f>IF(parcelles!B100="","",IF(OR(parcelles!C100=Moutarde,parcelles!C100=Phacélie),0,IF(parcelles!C100=Luzerne,10*parcelles!E100*VLOOKUP(parcelles!C100,BDD!$HN$5:$HU$38,7,FALSE),IF(parcelles!C100=Miscanthus,10.5*parcelles!E100*VLOOKUP(parcelles!C100,BDD!$HN$5:$HU$38,7,FALSE),INDEX(parcelles!$C$56:'parcelles'!$Y$77,MATCH(parcelles!B100,parcelles!$B$56:'parcelles'!$B$77,0),MATCH(parcelles!C100,parcelles!$C$53:'parcelles'!$Y$53,0))*parcelles!E100*VLOOKUP(parcelles!C100,BDD!$HN$5:$HU$38,7,FALSE)))))</f>
        <v/>
      </c>
      <c r="HT52" s="1084" t="str">
        <f>IF(parcelles!B100="","",IF(OR(parcelles!C100=Moutarde,parcelles!C100=Phacélie),0,IF(parcelles!C100=Luzerne,10*parcelles!E100*VLOOKUP(parcelles!C100,BDD!$HN$5:$HU$38,8,FALSE),IF(parcelles!C100=Miscanthus,10.5*parcelles!E100*VLOOKUP(parcelles!C100,BDD!$HN$5:$HU$38,8,FALSE),INDEX(parcelles!$C$56:'parcelles'!$Y$77,MATCH(parcelles!B100,parcelles!$B$56:'parcelles'!$B$77,0),MATCH(parcelles!C100,parcelles!$C$53:'parcelles'!$Y$53,0))*parcelles!E100*VLOOKUP(parcelles!C100,BDD!$HN$5:$HU$38,8,FALSE)))))</f>
        <v/>
      </c>
      <c r="HU52" s="1084" t="str">
        <f>IF(parcelles!B100="","",IF(OR(parcelles!C100=Moutarde,parcelles!C100=Phacélie),0,1.6*parcelles!E100))</f>
        <v/>
      </c>
      <c r="HV52" s="1084" t="str">
        <f>IF(parcelles!B100="","",IF(OR(parcelles!C100=Moutarde,parcelles!C100=Phacélie),0,1.6*parcelles!E100))</f>
        <v/>
      </c>
      <c r="HW52" s="1084" t="str">
        <f>IF(parcelles!B100="","",IF(OR(parcelles!C100=Moutarde,parcelles!C100=Phacélie),0,1.6*parcelles!E100))</f>
        <v/>
      </c>
      <c r="HX52" s="1095" t="str">
        <f>IF(parcelles!D100="","",IF(parcelles!C100=ChanvreIndustriel,INDEX(parcelles!$C$56:$Y$77,MATCH(parcelles!B100,parcelles!$B$56:$B$77,0),MATCH(parcelles!C100,parcelles!$C$53:$Y$53,0))*parcelles!E100*SUMIF(ListeCulturesBDD,parcelles!C100,PrixVenteCulturesConventionnel)+RIGHT(BDD!$HM$7,3)*7*parcelles!E100,IF(parcelles!C100=Luzerne,parcelles!E100*10*VLOOKUP(parcelles!C100,TarifsCoopCultures,2,FALSE),IF(parcelles!C100=Miscanthus,parcelles!E100*10.5*VLOOKUP(Luzerne,TarifsCoopCultures,2,FALSE),INDEX(parcelles!$C$56:$Y$77,MATCH(parcelles!B100,parcelles!$B$56:$B$77,0),MATCH(parcelles!C100,parcelles!$C$53:$Y$53,0))*parcelles!E100*SUMIF(ListeCulturesBDD,parcelles!C100,PrixVenteCulturesConventionnel)))))</f>
        <v/>
      </c>
      <c r="HY52" s="1084" t="str">
        <f>IF(parcelles!D100="","",IF(parcelles!F100=0,"",IF(parcelles!C100=ChanvreIndustriel,"soit "&amp;parcelles!E100*0.8&amp;"t de grain et "&amp;parcelles!E100*7&amp;"t de paille",IF(parcelles!C100=Luzerne,"soit "&amp;10*parcelles!E100&amp;"t/an",IF(parcelles!C100=Miscanthus,"soit "&amp;10.5*parcelles!E100&amp;"t/an","soit "&amp;INDEX(parcelles!$C$56:$Y$77,MATCH(parcelles!B100,parcelles!$B$56:$B$77,0),MATCH(parcelles!C100,parcelles!$C$53:$Y$53,0))*parcelles!E100&amp;"t")))))</f>
        <v/>
      </c>
      <c r="HZ52" s="1084" t="str">
        <f>IF(parcelles!D100="","",IF(parcelles!F100=0,"",IF(parcelles!C100=ChanvreIndustriel,"soit "&amp;parcelles!E100*0.8*0.8&amp;"t de grain et "&amp;parcelles!E100*7*0.8&amp;"t de paille",IF(parcelles!C100=Luzerne,"soit "&amp;10*0.8*parcelles!E100&amp;"t/an",IF(parcelles!C100=Miscanthus,"soit "&amp;10.5*0.8*parcelles!E100&amp;"t/an","soit "&amp;INDEX(parcelles!$C$56:$Y$77,MATCH(parcelles!B100,parcelles!$B$56:$B$77,0),MATCH(parcelles!C100,parcelles!$C$53:$Y$53,0))*0.8*parcelles!E100&amp;"t")))))</f>
        <v/>
      </c>
      <c r="IA52" s="1084" t="str">
        <f>IF(parcelles!L100="","",(VLOOKUP(parcelles!M100,BDD!$HN$5:$HU$38,2,FALSE))*parcelles!O100)</f>
        <v/>
      </c>
      <c r="IB52" s="1084" t="str">
        <f>IF(parcelles!L100="","",IF(OR(parcelles!M100=Moutarde,parcelles!M100=Phacélie),0,IF(parcelles!M100=Luzerne,10*parcelles!O100*VLOOKUP(parcelles!M100,BDD!$HN$5:$HU$38,3,FALSE),IF(parcelles!M100=Miscanthus,10.5*parcelles!O100*VLOOKUP(parcelles!M100,BDD!$HN$5:$HU$38,3,FALSE),INDEX(parcelles!$C$56:'parcelles'!$Y$77,MATCH(parcelles!L100,parcelles!$B$56:'parcelles'!$B$77,0),MATCH(parcelles!M100,parcelles!$C$53:'parcelles'!$Y$53,0))*parcelles!O100*VLOOKUP(parcelles!M100,BDD!$HN$5:$HU$38,3,FALSE)))))</f>
        <v/>
      </c>
      <c r="IC52" s="1084" t="str">
        <f>IF(parcelles!L100="","",IF(OR(parcelles!M100=Moutarde,parcelles!M100=Phacélie),0,IF(parcelles!M100=Luzerne,10*parcelles!O100*VLOOKUP(parcelles!M100,BDD!$HN$5:$HU$38,4,FALSE),IF(parcelles!M100=Miscanthus,10.5*parcelles!O100*VLOOKUP(parcelles!M100,BDD!$HN$5:$HU$38,4,FALSE),INDEX(parcelles!$C$56:'parcelles'!$Y$77,MATCH(parcelles!L100,parcelles!$B$56:'parcelles'!$B$77,0),MATCH(parcelles!M100,parcelles!$C$53:'parcelles'!$Y$53,0))*parcelles!O100*VLOOKUP(parcelles!M100,BDD!$HN$5:$HU$38,4,FALSE)))))</f>
        <v/>
      </c>
      <c r="ID52" s="1084" t="str">
        <f>IF(parcelles!L100="","",IF(OR(parcelles!M100=Moutarde,parcelles!M100=Phacélie),0,IF(parcelles!M100=Luzerne,10*parcelles!O100*VLOOKUP(parcelles!M100,BDD!$HN$5:$HU$38,5,FALSE),IF(parcelles!M100=Miscanthus,10.5*parcelles!O100*VLOOKUP(parcelles!M100,BDD!$HN$5:$HU$38,5,FALSE),INDEX(parcelles!$C$56:'parcelles'!$Y$77,MATCH(parcelles!L100,parcelles!$B$56:'parcelles'!$B$77,0),MATCH(parcelles!M100,parcelles!$C$53:'parcelles'!$Y$53,0))*parcelles!O100*VLOOKUP(parcelles!M100,BDD!$HN$5:$HU$38,5,FALSE)))))</f>
        <v/>
      </c>
      <c r="IE52" s="1084" t="str">
        <f>IF(parcelles!L100="","",IF(OR(parcelles!M100=Moutarde,parcelles!M100=Phacélie),0,IF(parcelles!M100=Luzerne,10*parcelles!O100*VLOOKUP(parcelles!M100,BDD!$HN$5:$HU$38,6,FALSE),IF(parcelles!M100=Miscanthus,10.5*parcelles!O100*VLOOKUP(parcelles!M100,BDD!$HN$5:$HU$38,6,FALSE),INDEX(parcelles!$C$56:'parcelles'!$Y$77,MATCH(parcelles!L100,parcelles!$B$56:'parcelles'!$B$77,0),MATCH(parcelles!M100,parcelles!$C$53:'parcelles'!$Y$53,0))*parcelles!O100*VLOOKUP(parcelles!M100,BDD!$HN$5:$HU$38,6,FALSE)))))</f>
        <v/>
      </c>
      <c r="IF52" s="1084" t="str">
        <f>IF(parcelles!L100="","",IF(OR(parcelles!M100=Moutarde,parcelles!M100=Phacélie),0,IF(parcelles!M100=Luzerne,10*parcelles!O100*VLOOKUP(parcelles!M100,BDD!$HN$5:$HU$38,7,FALSE),IF(parcelles!M100=Miscanthus,10.5*parcelles!O100*VLOOKUP(parcelles!M100,BDD!$HN$5:$HU$38,7,FALSE),INDEX(parcelles!$C$56:'parcelles'!$Y$77,MATCH(parcelles!L100,parcelles!$B$56:'parcelles'!$B$77,0),MATCH(parcelles!M100,parcelles!$C$53:'parcelles'!$Y$53,0))*parcelles!O100*VLOOKUP(parcelles!M100,BDD!$HN$5:$HU$38,7,FALSE)))))</f>
        <v/>
      </c>
      <c r="IG52" s="1084" t="str">
        <f>IF(parcelles!L100="","",IF(OR(parcelles!M100=Moutarde,parcelles!M100=Phacélie),0,IF(parcelles!M100=Luzerne,10*parcelles!O100*VLOOKUP(parcelles!M100,BDD!$HN$5:$HU$38,8,FALSE),IF(parcelles!M100=Miscanthus,10.5*parcelles!O100*VLOOKUP(parcelles!M100,BDD!$HN$5:$HU$38,8,FALSE),INDEX(parcelles!$C$56:'parcelles'!$Y$77,MATCH(parcelles!L100,parcelles!$B$56:'parcelles'!$B$77,0),MATCH(parcelles!M100,parcelles!$C$53:'parcelles'!$Y$53,0))*parcelles!O100*VLOOKUP(parcelles!M100,BDD!$HN$5:$HU$38,8,FALSE)))))</f>
        <v/>
      </c>
      <c r="IH52" s="1084" t="str">
        <f>IF(parcelles!L100="","",IF(OR(parcelles!L100=Moutarde,parcelles!L100=Phacélie),0,1.6*parcelles!O100))</f>
        <v/>
      </c>
      <c r="II52" s="1084" t="str">
        <f>IF(parcelles!L100="","",IF(OR(parcelles!L100=Moutarde,parcelles!L100=Phacélie),0,1.6*parcelles!O100))</f>
        <v/>
      </c>
      <c r="IJ52" s="1084" t="str">
        <f>IF(parcelles!L100="","",IF(OR(parcelles!L100=Moutarde,parcelles!L100=Phacélie),0,1.6*parcelles!O100))</f>
        <v/>
      </c>
      <c r="IK52" s="1084" t="str">
        <f>IF(parcelles!P100="","",IF(parcelles!R100=0,"",IF(parcelles!O100=ChanvreIndustriel,"soit "&amp;parcelles!Q100*0.8&amp;"t de grain et "&amp;parcelles!Q100*7&amp;"t de paille",IF(parcelles!O100=Luzerne,"soit "&amp;10*parcelles!Q100&amp;"t/an",IF(parcelles!O100=Miscanthus,"soit "&amp;10.5*parcelles!Q100&amp;"t/an","soit "&amp;INDEX(parcelles!$C$56:$Y$77,MATCH(parcelles!N100,parcelles!$B$56:$B$77,0),MATCH(parcelles!O100,parcelles!$C$53:$Y$53,0))*parcelles!Q100&amp;"t")))))</f>
        <v/>
      </c>
      <c r="IL52" s="1084" t="str">
        <f>IF(parcelles!P100="","",IF(parcelles!R100=0,"",IF(parcelles!O100=ChanvreIndustriel,"soit "&amp;parcelles!Q100*0.8*0.8&amp;"t de grain et "&amp;parcelles!Q100*7*0.8&amp;"t de paille",IF(parcelles!O100=Luzerne,"soit "&amp;10*0.8*parcelles!Q100&amp;"t/an",IF(parcelles!O100=Miscanthus,"soit "&amp;10.5*0.8*parcelles!Q100&amp;"t/an","soit "&amp;INDEX(parcelles!$C$56:$Y$77,MATCH(parcelles!N100,parcelles!$B$56:$B$77,0),MATCH(parcelles!O100,parcelles!$C$53:$Y$53,0))*0.8*parcelles!Q100&amp;"t")))))</f>
        <v/>
      </c>
      <c r="IM52" s="1084" t="str">
        <f>IF(parcelles!S100="","",IF(parcelles!U100=0,"",IF(parcelles!R100=ChanvreIndustriel,parcelles!T100*0.8*0.8+parcelles!T100*7*0.8,IF(parcelles!R100=Luzerne,10*0.8*parcelles!T100,IF(parcelles!R100=Miscanthus,10.5*0.8*parcelles!T100,INDEX(parcelles!$C$56:$Y$77,MATCH(parcelles!Q100,parcelles!$B$56:$B$77,0),MATCH(parcelles!R100,parcelles!$C$53:$Y$53,0))*0.8*parcelles!T100)))))</f>
        <v/>
      </c>
      <c r="IN52" s="1368"/>
    </row>
    <row r="53" spans="1:248" ht="12.75" customHeight="1" x14ac:dyDescent="0.2">
      <c r="A53" s="1322"/>
      <c r="B53" s="1320"/>
      <c r="C53" s="1321"/>
      <c r="D53" s="1321"/>
      <c r="E53" s="1321"/>
      <c r="F53" s="1321"/>
      <c r="G53" s="1321"/>
      <c r="H53" s="1321"/>
      <c r="I53" s="1321"/>
      <c r="J53" s="1321"/>
      <c r="K53" s="1321"/>
      <c r="L53" s="1321"/>
      <c r="M53" s="1321"/>
      <c r="N53" s="1321"/>
      <c r="O53" s="1143" t="s">
        <v>536</v>
      </c>
      <c r="P53" s="1143">
        <v>4.8</v>
      </c>
      <c r="Q53" s="1143">
        <v>4.5999999999999996</v>
      </c>
      <c r="R53" s="1143">
        <v>3.5</v>
      </c>
      <c r="S53" s="1143">
        <v>3.3</v>
      </c>
      <c r="T53" s="1143">
        <v>3.2</v>
      </c>
      <c r="U53" s="1143">
        <v>3.9</v>
      </c>
      <c r="V53" s="1143"/>
      <c r="W53" s="1143">
        <v>9.4</v>
      </c>
      <c r="X53" s="1143">
        <v>8.6</v>
      </c>
      <c r="Y53" s="1143">
        <v>0</v>
      </c>
      <c r="Z53" s="1143">
        <v>2.8</v>
      </c>
      <c r="AA53" s="1143">
        <v>2</v>
      </c>
      <c r="AB53" s="1143">
        <v>2.7</v>
      </c>
      <c r="AC53" s="1143">
        <v>2.2999999999999998</v>
      </c>
      <c r="AD53" s="1143">
        <v>2.8</v>
      </c>
      <c r="AE53" s="1143">
        <v>0</v>
      </c>
      <c r="AF53" s="1143">
        <v>24.9</v>
      </c>
      <c r="AG53" s="1143">
        <v>0</v>
      </c>
      <c r="AH53" s="1143">
        <v>0</v>
      </c>
      <c r="AI53" s="1143">
        <v>15</v>
      </c>
      <c r="AJ53" s="1143">
        <v>13</v>
      </c>
      <c r="AK53" s="1143">
        <v>1.6</v>
      </c>
      <c r="AL53" s="1143">
        <v>11</v>
      </c>
      <c r="AM53" s="1143"/>
      <c r="AN53" s="1143">
        <v>0</v>
      </c>
      <c r="AO53" s="1143">
        <v>39</v>
      </c>
      <c r="AP53" s="1143">
        <v>29</v>
      </c>
      <c r="AQ53" s="1143">
        <v>24</v>
      </c>
      <c r="AR53" s="1143">
        <v>10</v>
      </c>
      <c r="AS53" s="1143">
        <v>12</v>
      </c>
      <c r="AT53" s="1143">
        <v>0</v>
      </c>
      <c r="AU53" s="1143">
        <v>3</v>
      </c>
      <c r="AV53" s="1143">
        <v>4</v>
      </c>
      <c r="AW53" s="1143">
        <v>8.5</v>
      </c>
      <c r="AX53" s="1143">
        <v>10</v>
      </c>
      <c r="AY53" s="1143">
        <v>10</v>
      </c>
      <c r="AZ53" s="1321"/>
      <c r="BA53" s="1321"/>
      <c r="BB53" s="1321"/>
      <c r="BC53" s="1149" t="s">
        <v>1051</v>
      </c>
      <c r="BD53" s="1214">
        <v>360</v>
      </c>
      <c r="BE53" s="1321"/>
      <c r="BF53" s="1149" t="s">
        <v>1051</v>
      </c>
      <c r="BG53" s="1214">
        <v>432</v>
      </c>
      <c r="BH53" s="1321"/>
      <c r="BI53" s="1321"/>
      <c r="BJ53" s="1321"/>
      <c r="BK53" s="1345"/>
      <c r="BL53" s="1348"/>
      <c r="BM53" s="1075" t="s">
        <v>340</v>
      </c>
      <c r="BN53" s="1075">
        <f t="array" ref="BN53">IF(Ration_hivernale_complète_bisons[somme]&gt;0,0,IFERROR(IF(OR(AND(INDEX(Règles_bison[Specificite],MATCH(ChoixRationBisons&amp;$BM53,Règles_bison[Ration]&amp;Règles_bison[Aliment],0))="s1",IF($BM53=ChoixSpécificité1Bisons,1)),
AND(INDEX(Règles_bison[Specificite],MATCH(ChoixRationBisons&amp;$BM53,Règles_bison[Ration]&amp;Règles_bison[Aliment],0))="s2",IF($BM53=ChoixSpécificité2Bisons,1)),INDEX(Règles_bison[Specificite],MATCH(ChoixRationBisons&amp;$BM53,Règles_bison[Ration]&amp;Règles_bison[Aliment],0))="c"),
INDEX(Règles_bison[Valeur 36 et plus],MATCH(ChoixRationBisons&amp;$BM53,Règles_bison[Ration]&amp;Règles_bison[Aliment],0)),0),0)*TotalBisonsMalesAdultes*SUM(NbreJoursNourrirBisonsDaims))</f>
        <v>0</v>
      </c>
      <c r="BO53" s="1075">
        <f t="array" ref="BO53">IF(Ration_hivernale_complète_bisons[somme]&gt;0,0,IFERROR(IF(OR(AND(INDEX(Règles_bison[Specificite],MATCH(ChoixRationBisons&amp;$BM53,Règles_bison[Ration]&amp;Règles_bison[Aliment],0))="s1",IF($BM53=ChoixSpécificité1Bisons,1)),
AND(INDEX(Règles_bison[Specificite],MATCH(ChoixRationBisons&amp;$BM53,Règles_bison[Ration]&amp;Règles_bison[Aliment],0))="s2",IF($BM53=ChoixSpécificité2Bisons,1)),INDEX(Règles_bison[Specificite],MATCH(ChoixRationBisons&amp;$BM53,Règles_bison[Ration]&amp;Règles_bison[Aliment],0))="c"),
INDEX(Règles_bison[Valeur 24-36],MATCH(ChoixRationBisons&amp;$BM53,Règles_bison[Ration]&amp;Règles_bison[Aliment],0)),0),0)*TotalBisonsMales_24_36_mois*SUM(NbreJoursNourrirBisonsDaims))</f>
        <v>0</v>
      </c>
      <c r="BP53" s="1075">
        <f t="array" ref="BP53">IF(Ration_hivernale_complète_bisons[somme]&gt;0,0,IFERROR(IF(OR(AND(INDEX(Règles_bison[Specificite],MATCH(ChoixRationBisons&amp;$BM53,Règles_bison[Ration]&amp;Règles_bison[Aliment],0))="s1",IF($BM53=ChoixSpécificité1Bisons,1)),
AND(INDEX(Règles_bison[Specificite],MATCH(ChoixRationBisons&amp;$BM53,Règles_bison[Ration]&amp;Règles_bison[Aliment],0))="s2",IF($BM53=ChoixSpécificité2Bisons,1)),INDEX(Règles_bison[Specificite],MATCH(ChoixRationBisons&amp;$BM53,Règles_bison[Ration]&amp;Règles_bison[Aliment],0))="c"),
INDEX(Règles_bison[Valeur 18-24],MATCH(ChoixRationBisons&amp;$BM53,Règles_bison[Ration]&amp;Règles_bison[Aliment],0)),0),0)*TotalBisonsMales_18_24_mois*SUM(NbreJoursNourrirBisonsDaims))</f>
        <v>0</v>
      </c>
      <c r="BQ53" s="1075">
        <f t="array" ref="BQ53">IF(Ration_hivernale_complète_bisons[somme]&gt;0,0,IFERROR(IF(OR(AND(INDEX(Règles_bison[Specificite],MATCH(ChoixRationBisons&amp;$BM53,Règles_bison[Ration]&amp;Règles_bison[Aliment],0))="s1",IF($BM53=ChoixSpécificité1Bisons,1)),
AND(INDEX(Règles_bison[Specificite],MATCH(ChoixRationBisons&amp;$BM53,Règles_bison[Ration]&amp;Règles_bison[Aliment],0))="s2",IF($BM53=ChoixSpécificité2Bisons,1)),INDEX(Règles_bison[Specificite],MATCH(ChoixRationBisons&amp;$BM53,Règles_bison[Ration]&amp;Règles_bison[Aliment],0))="c"),
INDEX(Règles_bison[Valeur 12-18],MATCH(ChoixRationBisons&amp;$BM53,Règles_bison[Ration]&amp;Règles_bison[Aliment],0)),0),0)*TotalBisonsMales_12_18_mois*SUM(NbreJoursNourrirBisonsDaims))</f>
        <v>0</v>
      </c>
      <c r="BR53" s="1075">
        <f t="array" ref="BR53">IF(Ration_hivernale_complète_bisons[somme]&gt;0,0,IFERROR(IF(OR(AND(INDEX(Règles_bison[Specificite],MATCH(ChoixRationBisons&amp;$BM53,Règles_bison[Ration]&amp;Règles_bison[Aliment],0))="s1",IF($BM53=ChoixSpécificité1Bisons,1)),
AND(INDEX(Règles_bison[Specificite],MATCH(ChoixRationBisons&amp;$BM53,Règles_bison[Ration]&amp;Règles_bison[Aliment],0))="s2",IF($BM53=ChoixSpécificité2Bisons,1)),INDEX(Règles_bison[Specificite],MATCH(ChoixRationBisons&amp;$BM53,Règles_bison[Ration]&amp;Règles_bison[Aliment],0))="c"),
INDEX(Règles_bison[Valeur 6-12],MATCH(ChoixRationBisons&amp;$BM53,Règles_bison[Ration]&amp;Règles_bison[Aliment],0)),0),0)*TotalBisonsMales_6_12_mois*SUM(NbreJoursNourrirBisonsDaims))</f>
        <v>0</v>
      </c>
      <c r="BS53" s="1075">
        <f t="array" ref="BS53">IF(Ration_hivernale_complète_bisons[somme]&gt;0,0,IFERROR(IF(OR(AND(INDEX(Règles_bison[Specificite],MATCH(ChoixRationBisons&amp;$BM53,Règles_bison[Ration]&amp;Règles_bison[Aliment],0))="s1",IF($BM53=ChoixSpécificité1Bisons,1)),
AND(INDEX(Règles_bison[Specificite],MATCH(ChoixRationBisons&amp;$BM53,Règles_bison[Ration]&amp;Règles_bison[Aliment],0))="s2",IF($BM53=ChoixSpécificité2Bisons,1)),INDEX(Règles_bison[Specificite],MATCH(ChoixRationBisons&amp;$BM53,Règles_bison[Ration]&amp;Règles_bison[Aliment],0))="c"),
INDEX(Règles_bison[Valeur 3-6],MATCH(ChoixRationBisons&amp;$BM53,Règles_bison[Ration]&amp;Règles_bison[Aliment],0)),0),0)*TotalBisonsMales_3_6_mois*SUM(NbreJoursNourrirBisonsDaims))</f>
        <v>0</v>
      </c>
      <c r="BT53" s="1075">
        <f t="array" ref="BT53">IF(Ration_hivernale_complète_bisons[somme]&gt;0,0,IFERROR(IF(OR(AND(INDEX(Règles_bison[Specificite],MATCH(ChoixRationBisons&amp;$BM53,Règles_bison[Ration]&amp;Règles_bison[Aliment],0))="s1",IF($BM53=ChoixSpécificité1Bisons,1)),
AND(INDEX(Règles_bison[Specificite],MATCH(ChoixRationBisons&amp;$BM53,Règles_bison[Ration]&amp;Règles_bison[Aliment],0))="s2",IF($BM53=ChoixSpécificité2Bisons,1)),INDEX(Règles_bison[Specificite],MATCH(ChoixRationBisons&amp;$BM53,Règles_bison[Ration]&amp;Règles_bison[Aliment],0))="c"),
INDEX(Règles_bison[Valeur 0-3],MATCH(ChoixRationBisons&amp;$BM53,Règles_bison[Ration]&amp;Règles_bison[Aliment],0)),0),0)*TotalBisonsMales_0_3_mois*SUM(NbreJoursNourrirBisonsDaims))</f>
        <v>0</v>
      </c>
      <c r="BU53" s="1075">
        <f t="shared" si="10"/>
        <v>0</v>
      </c>
      <c r="BV53" s="1345"/>
      <c r="BW53" s="1345"/>
      <c r="BX53" s="1176" t="s">
        <v>761</v>
      </c>
      <c r="BY53" s="1177" t="s">
        <v>285</v>
      </c>
      <c r="BZ53" s="1177" t="s">
        <v>1253</v>
      </c>
      <c r="CA53" s="1177">
        <v>1.6</v>
      </c>
      <c r="CB53" s="1177">
        <v>1.4</v>
      </c>
      <c r="CC53" s="1177">
        <v>1.2</v>
      </c>
      <c r="CD53" s="1199">
        <v>1</v>
      </c>
      <c r="CE53" s="1350"/>
      <c r="CF53" s="1350"/>
      <c r="CG53" s="1350"/>
      <c r="CH53" s="1350"/>
      <c r="CI53" s="1321"/>
      <c r="CJ53" s="808" t="s">
        <v>730</v>
      </c>
      <c r="CK53" s="788">
        <f t="array" ref="CK5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53" s="788">
        <f t="array" ref="CL5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53" s="788">
        <f t="array" ref="CM5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53" s="788">
        <f t="array" ref="CN5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53" s="788">
        <f t="array" ref="CO5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53" s="812">
        <f>SUM(AlimentsRationPorcinsMâles[[#This Row],[Valeur 12 et plus]:[Valeur 0-1]])</f>
        <v>0</v>
      </c>
      <c r="CQ53" s="1321"/>
      <c r="CR53" s="1321"/>
      <c r="CS53" s="1200"/>
      <c r="CT53" s="1201"/>
      <c r="CU53" s="1201"/>
      <c r="CV53" s="1201"/>
      <c r="CW53" s="1201"/>
      <c r="CX53" s="1202"/>
      <c r="CY53" s="1321"/>
      <c r="CZ53" s="1321"/>
      <c r="DA53" s="1321"/>
      <c r="DB53" s="1321"/>
      <c r="DC53" s="1321"/>
      <c r="DD53" s="1321"/>
      <c r="DE53" s="1321"/>
      <c r="DF53" s="1321"/>
      <c r="DG53" s="808" t="s">
        <v>715</v>
      </c>
      <c r="DH53" s="817">
        <f t="array" ref="DH5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53" s="817">
        <f t="array" ref="DI5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53" s="817">
        <f t="array" ref="DJ5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53" s="818">
        <f>SUM(AlimentsRationPintadesMâles[[#This Row],[Valeur 9 et plus]:[Valeur 0-1]])</f>
        <v>0</v>
      </c>
      <c r="DL53" s="1364"/>
      <c r="DM53" s="1364"/>
      <c r="DN53" s="1143" t="s">
        <v>1044</v>
      </c>
      <c r="DO53" s="1143">
        <v>850</v>
      </c>
      <c r="DP53" s="1321"/>
      <c r="DQ53" s="1143" t="s">
        <v>1044</v>
      </c>
      <c r="DR53" s="1143">
        <v>1020</v>
      </c>
      <c r="DS53" s="1345"/>
      <c r="DT53" s="1346"/>
      <c r="DU53" s="1346"/>
      <c r="DV53" s="1075" t="s">
        <v>725</v>
      </c>
      <c r="DW53" s="1269">
        <f t="array" ref="DW53">IF(ChoixRationComplèteDaims=OUI,0,IFERROR(IF(OR(AND(INDEX(Règles_daims[Specificite],MATCH(ChoixRationDaims&amp;DV53,Règles_daims[Ration]&amp;Règles_daims[Aliment],0))="s1",IF(DV53=Spécificité1Daims,1)),
AND(INDEX(Règles_daims[Specificite],MATCH(ChoixRationDaims&amp;DV53,Règles_daims[Ration]&amp;Règles_daims[Aliment],0))="s2",IF(DV53=Spécificité2Daims,1)),
INDEX(Règles_daims[Specificite],MATCH(ChoixRationDaims&amp;DV53,Règles_daims[Ration]&amp;Règles_daims[Aliment],0))="c"),
INDEX(Règles_daims[Valeur 36 et plus],MATCH(ChoixRationDaims&amp;DV53,Règles_daims[Ration]&amp;Règles_daims[Aliment],0)),0),0)*SUM(TotalDaimsAdultes)*SUM(NbreJoursNourrirBisonsDaims))</f>
        <v>0</v>
      </c>
      <c r="DX53" s="1269">
        <f t="array" ref="DX53">IF(ChoixRationComplèteDaims=OUI,0,IFERROR(IF(OR(AND(INDEX(Règles_daims[Specificite],MATCH(ChoixRationDaims&amp;DV53,Règles_daims[Ration]&amp;Règles_daims[Aliment],0))="s1",IF(DV53=Spécificité1Daims,1)),
AND(INDEX(Règles_daims[Specificite],MATCH(ChoixRationDaims&amp;DV53,Règles_daims[Ration]&amp;Règles_daims[Aliment],0))="s2",IF(DV53=Spécificité2Daims,1)),
INDEX(Règles_daims[Specificite],MATCH(ChoixRationDaims&amp;DV53,Règles_daims[Ration]&amp;Règles_daims[Aliment],0))="c"),
INDEX(Règles_daims[Valeur 24-36],MATCH(ChoixRationDaims&amp;DV53,Règles_daims[Ration]&amp;Règles_daims[Aliment],0)),0),0)*SUM(TotalDaims24_36)*SUM(NbreJoursNourrirBisonsDaims))</f>
        <v>0</v>
      </c>
      <c r="DY53" s="1269">
        <f t="array" ref="DY53">IF(ChoixRationComplèteDaims=OUI,0,IFERROR(IF(OR(AND(INDEX(Règles_daims[Specificite],MATCH(ChoixRationDaims&amp;DV53,Règles_daims[Ration]&amp;Règles_daims[Aliment],0))="s1",IF(DV53=Spécificité1Daims,1)),
AND(INDEX(Règles_daims[Specificite],MATCH(ChoixRationDaims&amp;DV53,Règles_daims[Ration]&amp;Règles_daims[Aliment],0))="s2",IF(DV53=Spécificité2Daims,1)),
INDEX(Règles_daims[Specificite],MATCH(ChoixRationDaims&amp;DV53,Règles_daims[Ration]&amp;Règles_daims[Aliment],0))="c"),
INDEX(Règles_daims[Valeur 18-24],MATCH(ChoixRationDaims&amp;DV53,Règles_daims[Ration]&amp;Règles_daims[Aliment],0)),0),0)*SUM(TotalDaims18_24)*SUM(NbreJoursNourrirBisonsDaims))</f>
        <v>0</v>
      </c>
      <c r="DZ53" s="1280">
        <f t="array" ref="DZ53">IF(ChoixRationComplèteDaims=OUI,0,IFERROR(IF(OR(AND(INDEX(Règles_daims[Specificite],MATCH(ChoixRationDaims&amp;DV53,Règles_daims[Ration]&amp;Règles_daims[Aliment],0))="s1",IF(DV53=Spécificité1Daims,1)),
AND(INDEX(Règles_daims[Specificite],MATCH(ChoixRationDaims&amp;DV53,Règles_daims[Ration]&amp;Règles_daims[Aliment],0))="s2",IF(DV53=Spécificité2Daims,1)),
INDEX(Règles_daims[Specificite],MATCH(ChoixRationDaims&amp;DV53,Règles_daims[Ration]&amp;Règles_daims[Aliment],0))="c"),
INDEX(Règles_daims[Valeur 12-18],MATCH(ChoixRationDaims&amp;DV53,Règles_daims[Ration]&amp;Règles_daims[Aliment],0)),0),0)*SUM(TotalDaims12_18)*SUM(NbreJoursNourrirBisonsDaims))</f>
        <v>0</v>
      </c>
      <c r="EA53" s="1280">
        <f t="array" ref="EA53">IF(ChoixRationComplèteDaims=OUI,0,IFERROR(IF(OR(AND(INDEX(Règles_daims[Specificite],MATCH(ChoixRationDaims&amp;DV53,Règles_daims[Ration]&amp;Règles_daims[Aliment],0))="s1",IF(DV53=Spécificité1Daims,1)),
AND(INDEX(Règles_daims[Specificite],MATCH(ChoixRationDaims&amp;DV53,Règles_daims[Ration]&amp;Règles_daims[Aliment],0))="s2",IF(DV53=Spécificité2Daims,1)),
INDEX(Règles_daims[Specificite],MATCH(ChoixRationDaims&amp;DV53,Règles_daims[Ration]&amp;Règles_daims[Aliment],0))="c"),
INDEX(Règles_daims[Valeur 6-12],MATCH(ChoixRationDaims&amp;DV53,Règles_daims[Ration]&amp;Règles_daims[Aliment],0)),0),0)*SUM(TotalDaims6_12)*SUM(NbreJoursNourrirBisonsDaims))</f>
        <v>0</v>
      </c>
      <c r="EB53" s="1280">
        <f t="array" ref="EB53">IF(ChoixRationComplèteDaims=OUI,0,IFERROR(IF(OR(AND(INDEX(Règles_daims[Specificite],MATCH(ChoixRationDaims&amp;DV53,Règles_daims[Ration]&amp;Règles_daims[Aliment],0))="s1",IF(DV53=Spécificité1Daims,1)),
AND(INDEX(Règles_daims[Specificite],MATCH(ChoixRationDaims&amp;DV53,Règles_daims[Ration]&amp;Règles_daims[Aliment],0))="s2",IF(DV53=Spécificité2Daims,1)),
INDEX(Règles_daims[Specificite],MATCH(ChoixRationDaims&amp;DV53,Règles_daims[Ration]&amp;Règles_daims[Aliment],0))="c"),
INDEX(Règles_daims[Valeur 3-6],MATCH(ChoixRationDaims&amp;DV53,Règles_daims[Ration]&amp;Règles_daims[Aliment],0)),0),0)*SUM(TotalDaims3_6)*SUM(NbreJoursNourrirBisonsDaims))</f>
        <v>0</v>
      </c>
      <c r="EC53" s="1280">
        <f t="array" ref="EC53">IF(ChoixRationComplèteDaims=OUI,0,IFERROR(IF(OR(AND(INDEX(Règles_daims[Specificite],MATCH(ChoixRationDaims&amp;DV53,Règles_daims[Ration]&amp;Règles_daims[Aliment],0))="s1",IF(DV53=Spécificité1Daims,1)),
AND(INDEX(Règles_daims[Specificite],MATCH(ChoixRationDaims&amp;DV53,Règles_daims[Ration]&amp;Règles_daims[Aliment],0))="s2",IF(DV53=Spécificité2Daims,1)),
INDEX(Règles_daims[Specificite],MATCH(ChoixRationDaims&amp;DV53,Règles_daims[Ration]&amp;Règles_daims[Aliment],0))="c"),
INDEX(Règles_daims[Valeur 0-3],MATCH(ChoixRationDaims&amp;DV53,Règles_daims[Ration]&amp;Règles_daims[Aliment],0)),0),0)*SUM(TotalDaims0_3)*SUM(NbreJoursNourrirBisonsDaims))</f>
        <v>0</v>
      </c>
      <c r="ED53" s="1280">
        <f t="shared" si="9"/>
        <v>0</v>
      </c>
      <c r="EE53" s="1345"/>
      <c r="EF53" s="1321"/>
      <c r="EG53" s="808" t="s">
        <v>673</v>
      </c>
      <c r="EH53" s="817">
        <f t="array" ref="EH5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53" s="817">
        <f t="array" ref="EI5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53" s="817">
        <f t="array" ref="EJ5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53" s="818">
        <f>SUM(AlimentsRationOiesMâles[[#This Row],[Valeur 6 et plus]:[Valeur 0-3]])</f>
        <v>0</v>
      </c>
      <c r="EL53" s="1364"/>
      <c r="EM53" s="1321"/>
      <c r="EN53" s="808" t="s">
        <v>523</v>
      </c>
      <c r="EO53" s="817">
        <f t="array" ref="EO53">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53" s="817">
        <f t="array" ref="EP53">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53" s="817">
        <f t="array" ref="EQ53">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53" s="818">
        <f>SUM(Ration_canards_Mâles[[#This Row],[Valeur 6 et plus]:[Valeur 0-3]])</f>
        <v>0</v>
      </c>
      <c r="ES53" s="1364"/>
      <c r="ET53" s="1346"/>
      <c r="EU53" s="1176"/>
      <c r="EV53" s="1177"/>
      <c r="EW53" s="1177"/>
      <c r="EX53" s="1177"/>
      <c r="EY53" s="1177"/>
      <c r="EZ53" s="1177"/>
      <c r="FA53" s="1191"/>
      <c r="FB53" s="1345"/>
      <c r="FC53" s="1321"/>
      <c r="FD53" s="1281" t="s">
        <v>1276</v>
      </c>
      <c r="FE53" s="1281" t="s">
        <v>1261</v>
      </c>
      <c r="FF53" s="1281" t="s">
        <v>1260</v>
      </c>
      <c r="FG53" s="1281" t="s">
        <v>1304</v>
      </c>
      <c r="FH53" s="1284" t="s">
        <v>1303</v>
      </c>
      <c r="FI53" s="1281" t="s">
        <v>1269</v>
      </c>
      <c r="FJ53" s="1345"/>
      <c r="FK53" s="1345"/>
      <c r="FL53" s="1345"/>
      <c r="FM53" s="1321"/>
      <c r="FN53" s="1082" t="s">
        <v>673</v>
      </c>
      <c r="FO53" s="1282">
        <f t="array" ref="FO53">IF(OR(ChoixRationComplèteEtéPoneys=OUI,ChoixRationComplèteEtéPoneys="",AND(ChoixPoneysPréHiver=OUI,ChoixPoneysPréEté=OUI)),0,IFERROR(IF(OR(AND(INDEX(Règles_poneys[Specificite],MATCH(RationEtéPoneys&amp;$FN53,Règles_poneys[Ration]&amp;Règles_poneys[Aliment],0))="s1",IF($FN53=Spécificité1Poneys,1)),
AND(INDEX(Règles_poneys[Specificite],MATCH(RationEtéPoneys&amp;$FN53,Règles_poneys[Ration]&amp;Règles_poneys[Aliment],0))="s2",IF($FN53=Spécificité2Poneys,1)),
INDEX(Règles_poneys[Specificite],MATCH(RationEtéPoneys&amp;$FN53,Règles_poneys[Ration]&amp;Règles_poneys[Aliment],0))="c"),
INDEX(Règles_poneys[Valeur 36 et plus],MATCH(RationEtéPoneys&amp;$FN53,Règles_poneys[Ration]&amp;Règles_poneys[Aliment],0)),0),0)*TotalEtalonPoney*SUM(NbreJoursNourrirPoneys))</f>
        <v>0</v>
      </c>
      <c r="FP53" s="1282">
        <f t="array" ref="FP53">IF(OR(ChoixRationComplèteEtéPoneys=OUI,ChoixRationComplèteEtéPoneys="",AND(ChoixPoneysPréHiver=OUI,ChoixPoneysPréEté=OUI)),0,IFERROR(IF(OR(AND(INDEX(Règles_poneys[Specificite],MATCH(RationEtéPoneys&amp;$FN53,Règles_poneys[Ration]&amp;Règles_poneys[Aliment],0))="s1",IF($FN53=Spécificité1Poneys,1)),
AND(INDEX(Règles_poneys[Specificite],MATCH(RationEtéPoneys&amp;$FN53,Règles_poneys[Ration]&amp;Règles_poneys[Aliment],0))="s2",IF($FN53=Spécificité2Poneys,1)),
INDEX(Règles_poneys[Specificite],MATCH(RationEtéPoneys&amp;$FN53,Règles_poneys[Ration]&amp;Règles_poneys[Aliment],0))="c"),
INDEX(Règles_poneys[Valeur 36 et plus],MATCH(RationEtéPoneys&amp;$FN53,Règles_poneys[Ration]&amp;Règles_poneys[Aliment],0)),0),0)*TotalJeuneEtalonPoney_24_36_mois*SUM(NbreJoursNourrirPoneys))</f>
        <v>0</v>
      </c>
      <c r="FQ53" s="1282">
        <f t="array" ref="FQ53">IF(OR(ChoixRationComplèteEtéPoneys=OUI,ChoixRationComplèteEtéPoneys="",AND(ChoixPoneysPréHiver=OUI,ChoixPoneysPréEté=OUI)),0,IFERROR(IF(OR(AND(INDEX(Règles_poneys[Specificite],MATCH(RationEtéPoneys&amp;$FN53,Règles_poneys[Ration]&amp;Règles_poneys[Aliment],0))="s1",IF($FN53=Spécificité1Poneys,1)),
AND(INDEX(Règles_poneys[Specificite],MATCH(RationEtéPoneys&amp;$FN53,Règles_poneys[Ration]&amp;Règles_poneys[Aliment],0))="s2",IF($FN53=Spécificité2Poneys,1)),
INDEX(Règles_poneys[Specificite],MATCH(RationEtéPoneys&amp;$FN53,Règles_poneys[Ration]&amp;Règles_poneys[Aliment],0))="c"),
INDEX(Règles_poneys[Valeur 36 et plus],MATCH(RationEtéPoneys&amp;$FN53,Règles_poneys[Ration]&amp;Règles_poneys[Aliment],0)),0),0)*TotalJeuneEtalonPoney_12_24_mois*SUM(NbreJoursNourrirPoneys))</f>
        <v>0</v>
      </c>
      <c r="FR53" s="1282">
        <f t="array" ref="FR53">IF(OR(ChoixRationComplèteEtéPoneys=OUI,ChoixRationComplèteEtéPoneys="",AND(ChoixPoneysPréHiver=OUI,ChoixPoneysPréEté=OUI)),0,IFERROR(IF(OR(AND(INDEX(Règles_poneys[Specificite],MATCH(RationEtéPoneys&amp;$FN53,Règles_poneys[Ration]&amp;Règles_poneys[Aliment],0))="s1",IF($FN53=Spécificité1Poneys,1)),
AND(INDEX(Règles_poneys[Specificite],MATCH(RationEtéPoneys&amp;$FN53,Règles_poneys[Ration]&amp;Règles_poneys[Aliment],0))="s2",IF($FN53=Spécificité2Poneys,1)),
INDEX(Règles_poneys[Specificite],MATCH(RationEtéPoneys&amp;$FN53,Règles_poneys[Ration]&amp;Règles_poneys[Aliment],0))="c"),
INDEX(Règles_poneys[Valeur 36 et plus],MATCH(RationEtéPoneys&amp;$FN53,Règles_poneys[Ration]&amp;Règles_poneys[Aliment],0)),0),0)*TotalPoulainPoney_0_12_mois*SUM(NbreJoursNourrirPoneys))</f>
        <v>0</v>
      </c>
      <c r="FS53" s="1285">
        <f t="shared" ref="FS53:FS91" si="14">SUM($FO53:$FQ53)</f>
        <v>0</v>
      </c>
      <c r="FT53" s="1345"/>
      <c r="FU53" s="1345"/>
      <c r="FV53" s="1345"/>
      <c r="FW53" s="823" t="s">
        <v>728</v>
      </c>
      <c r="FX53" s="828">
        <f t="array" ref="FX5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53" s="828">
        <f t="array" ref="FY5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53" s="828">
        <f t="array" ref="FZ5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53" s="828">
        <f t="array" ref="GA5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53" s="829">
        <f>SUM(AlimentsGavageOies[[#This Row],[Valeur 3 et plus]:[Valeur 0-1]])</f>
        <v>0</v>
      </c>
      <c r="GC53" s="1364"/>
      <c r="GD53" s="1321"/>
      <c r="GE53" s="1149" t="s">
        <v>84</v>
      </c>
      <c r="GF53" s="1321"/>
      <c r="GG53" s="1321" t="s">
        <v>1349</v>
      </c>
      <c r="GH53" s="1321" t="s">
        <v>1349</v>
      </c>
      <c r="GI53" s="1321" t="s">
        <v>1349</v>
      </c>
      <c r="GJ53" s="1321" t="s">
        <v>1349</v>
      </c>
      <c r="GK53" s="1321" t="s">
        <v>1349</v>
      </c>
      <c r="GL53" s="1321" t="s">
        <v>1349</v>
      </c>
      <c r="GM53" s="1321" t="s">
        <v>1349</v>
      </c>
      <c r="GN53" s="1321" t="s">
        <v>1349</v>
      </c>
      <c r="GO53" s="1321" t="s">
        <v>1349</v>
      </c>
      <c r="GP53" s="1321" t="s">
        <v>1349</v>
      </c>
      <c r="GQ53" s="1321" t="s">
        <v>1349</v>
      </c>
      <c r="GR53" s="1321" t="s">
        <v>1349</v>
      </c>
      <c r="GS53" s="1321" t="s">
        <v>1349</v>
      </c>
      <c r="GT53" s="1321" t="s">
        <v>1349</v>
      </c>
      <c r="GU53" s="1321" t="s">
        <v>1349</v>
      </c>
      <c r="GV53" s="1321" t="s">
        <v>1349</v>
      </c>
      <c r="GW53" s="1321"/>
      <c r="GX53" s="1321"/>
      <c r="GY53" s="1082" t="str">
        <f t="shared" si="11"/>
        <v>semences de chanvre (G)</v>
      </c>
      <c r="GZ53" s="1082"/>
      <c r="HA53" s="1085"/>
      <c r="HB53" s="1085">
        <f>IF(COUNTIF(TypeArticleDansEntrepôt,GY53)=0,0,SUMIF(TypeArticleDansEntrepôt,GY53,QtéArticleDansEntrepôt)*VLOOKUP(GY53,place_necessaire_entrepots_aire_paille[],2,FALSE))</f>
        <v>0</v>
      </c>
      <c r="HC53" s="1321"/>
      <c r="HD53" s="1321"/>
      <c r="HE53" s="1321"/>
      <c r="HF53" s="1321"/>
      <c r="HG53" s="1321"/>
      <c r="HH53" s="1321"/>
      <c r="HI53" s="1321"/>
      <c r="HJ53" s="1321"/>
      <c r="HK53" s="1321"/>
      <c r="HL53" s="1321"/>
      <c r="HM53" s="1321"/>
      <c r="HN53" s="1085" t="str">
        <f>IF(parcelles!B101="","",(VLOOKUP(parcelles!C101,BDD!$HN$5:$HU$38,2,FALSE))*parcelles!E101)</f>
        <v/>
      </c>
      <c r="HO53" s="1085" t="str">
        <f>IF(parcelles!B101="","",IF(OR(parcelles!C101=Moutarde,parcelles!C101=Phacélie),0,IF(parcelles!C101=Luzerne,10*parcelles!E101*VLOOKUP(parcelles!C101,BDD!$HN$5:$HU$38,3,FALSE),IF(parcelles!C101=Miscanthus,10.5*parcelles!E101*VLOOKUP(parcelles!C101,BDD!$HN$5:$HU$38,3,FALSE),INDEX(parcelles!$C$56:'parcelles'!$Y$77,MATCH(parcelles!B101,parcelles!$B$56:'parcelles'!$B$77,0),MATCH(parcelles!C101,parcelles!$C$53:'parcelles'!$Y$53,0))*parcelles!E101*VLOOKUP(parcelles!C101,BDD!$HN$5:$HU$38,3,FALSE)))))</f>
        <v/>
      </c>
      <c r="HP53" s="1085" t="str">
        <f>IF(parcelles!B101="","",IF(OR(parcelles!C101=Moutarde,parcelles!C101=Phacélie),0,IF(parcelles!C101=Luzerne,10*parcelles!E101*VLOOKUP(parcelles!C101,BDD!$HN$5:$HU$38,4,FALSE),IF(parcelles!C101=Miscanthus,10.5*parcelles!E101*VLOOKUP(parcelles!C101,BDD!$HN$5:$HU$38,4,FALSE),INDEX(parcelles!$C$56:'parcelles'!$Y$77,MATCH(parcelles!B101,parcelles!$B$56:'parcelles'!$B$77,0),MATCH(parcelles!C101,parcelles!$C$53:'parcelles'!$Y$53,0))*parcelles!E101*VLOOKUP(parcelles!C101,BDD!$HN$5:$HU$38,4,FALSE)))))</f>
        <v/>
      </c>
      <c r="HQ53" s="1085" t="str">
        <f>IF(parcelles!B101="","",IF(OR(parcelles!C101=Moutarde,parcelles!C101=Phacélie),0,IF(parcelles!C101=Luzerne,10*parcelles!E101*VLOOKUP(parcelles!C101,BDD!$HN$5:$HU$38,5,FALSE),IF(parcelles!C101=Miscanthus,10.5*parcelles!E101*VLOOKUP(parcelles!C101,BDD!$HN$5:$HU$38,5,FALSE),INDEX(parcelles!$C$56:'parcelles'!$Y$77,MATCH(parcelles!B101,parcelles!$B$56:'parcelles'!$B$77,0),MATCH(parcelles!C101,parcelles!$C$53:'parcelles'!$Y$53,0))*parcelles!E101*VLOOKUP(parcelles!C101,BDD!$HN$5:$HU$38,5,FALSE)))))</f>
        <v/>
      </c>
      <c r="HR53" s="1085" t="str">
        <f>IF(parcelles!B101="","",IF(OR(parcelles!C101=Moutarde,parcelles!C101=Phacélie),0,IF(parcelles!C101=Luzerne,10*parcelles!E101*VLOOKUP(parcelles!C101,BDD!$HN$5:$HU$38,6,FALSE),IF(parcelles!C101=Miscanthus,10.5*parcelles!E101*VLOOKUP(parcelles!C101,BDD!$HN$5:$HU$38,6,FALSE),INDEX(parcelles!$C$56:'parcelles'!$Y$77,MATCH(parcelles!B101,parcelles!$B$56:'parcelles'!$B$77,0),MATCH(parcelles!C101,parcelles!$C$53:'parcelles'!$Y$53,0))*parcelles!E101*VLOOKUP(parcelles!C101,BDD!$HN$5:$HU$38,6,FALSE)))))</f>
        <v/>
      </c>
      <c r="HS53" s="1085" t="str">
        <f>IF(parcelles!B101="","",IF(OR(parcelles!C101=Moutarde,parcelles!C101=Phacélie),0,IF(parcelles!C101=Luzerne,10*parcelles!E101*VLOOKUP(parcelles!C101,BDD!$HN$5:$HU$38,7,FALSE),IF(parcelles!C101=Miscanthus,10.5*parcelles!E101*VLOOKUP(parcelles!C101,BDD!$HN$5:$HU$38,7,FALSE),INDEX(parcelles!$C$56:'parcelles'!$Y$77,MATCH(parcelles!B101,parcelles!$B$56:'parcelles'!$B$77,0),MATCH(parcelles!C101,parcelles!$C$53:'parcelles'!$Y$53,0))*parcelles!E101*VLOOKUP(parcelles!C101,BDD!$HN$5:$HU$38,7,FALSE)))))</f>
        <v/>
      </c>
      <c r="HT53" s="1085" t="str">
        <f>IF(parcelles!B101="","",IF(OR(parcelles!C101=Moutarde,parcelles!C101=Phacélie),0,IF(parcelles!C101=Luzerne,10*parcelles!E101*VLOOKUP(parcelles!C101,BDD!$HN$5:$HU$38,8,FALSE),IF(parcelles!C101=Miscanthus,10.5*parcelles!E101*VLOOKUP(parcelles!C101,BDD!$HN$5:$HU$38,8,FALSE),INDEX(parcelles!$C$56:'parcelles'!$Y$77,MATCH(parcelles!B101,parcelles!$B$56:'parcelles'!$B$77,0),MATCH(parcelles!C101,parcelles!$C$53:'parcelles'!$Y$53,0))*parcelles!E101*VLOOKUP(parcelles!C101,BDD!$HN$5:$HU$38,8,FALSE)))))</f>
        <v/>
      </c>
      <c r="HU53" s="1085" t="str">
        <f>IF(parcelles!B101="","",IF(OR(parcelles!C101=Moutarde,parcelles!C101=Phacélie),0,1.6*parcelles!E101))</f>
        <v/>
      </c>
      <c r="HV53" s="1085" t="str">
        <f>IF(parcelles!B101="","",IF(OR(parcelles!C101=Moutarde,parcelles!C101=Phacélie),0,1.6*parcelles!E101))</f>
        <v/>
      </c>
      <c r="HW53" s="1085" t="str">
        <f>IF(parcelles!B101="","",IF(OR(parcelles!C101=Moutarde,parcelles!C101=Phacélie),0,1.6*parcelles!E101))</f>
        <v/>
      </c>
      <c r="HX53" s="1092" t="str">
        <f>IF(parcelles!D101="","",IF(parcelles!C101=ChanvreIndustriel,INDEX(parcelles!$C$56:$Y$77,MATCH(parcelles!B101,parcelles!$B$56:$B$77,0),MATCH(parcelles!C101,parcelles!$C$53:$Y$53,0))*parcelles!E101*SUMIF(ListeCulturesBDD,parcelles!C101,PrixVenteCulturesConventionnel)+RIGHT(BDD!$HM$7,3)*7*parcelles!E101,IF(parcelles!C101=Luzerne,parcelles!E101*10*VLOOKUP(parcelles!C101,TarifsCoopCultures,2,FALSE),IF(parcelles!C101=Miscanthus,parcelles!E101*10.5*VLOOKUP(Luzerne,TarifsCoopCultures,2,FALSE),INDEX(parcelles!$C$56:$Y$77,MATCH(parcelles!B101,parcelles!$B$56:$B$77,0),MATCH(parcelles!C101,parcelles!$C$53:$Y$53,0))*parcelles!E101*SUMIF(ListeCulturesBDD,parcelles!C101,PrixVenteCulturesConventionnel)))))</f>
        <v/>
      </c>
      <c r="HY53" s="1085" t="str">
        <f>IF(parcelles!D101="","",IF(parcelles!F101=0,"",IF(parcelles!C101=ChanvreIndustriel,"soit "&amp;parcelles!E101*0.8&amp;"t de grain et "&amp;parcelles!E101*7&amp;"t de paille",IF(parcelles!C101=Luzerne,"soit "&amp;10*parcelles!E101&amp;"t/an",IF(parcelles!C101=Miscanthus,"soit "&amp;10.5*parcelles!E101&amp;"t/an","soit "&amp;INDEX(parcelles!$C$56:$Y$77,MATCH(parcelles!B101,parcelles!$B$56:$B$77,0),MATCH(parcelles!C101,parcelles!$C$53:$Y$53,0))*parcelles!E101&amp;"t")))))</f>
        <v/>
      </c>
      <c r="HZ53" s="1085" t="str">
        <f>IF(parcelles!D101="","",IF(parcelles!F101=0,"",IF(parcelles!C101=ChanvreIndustriel,"soit "&amp;parcelles!E101*0.8*0.8&amp;"t de grain et "&amp;parcelles!E101*7*0.8&amp;"t de paille",IF(parcelles!C101=Luzerne,"soit "&amp;10*0.8*parcelles!E101&amp;"t/an",IF(parcelles!C101=Miscanthus,"soit "&amp;10.5*0.8*parcelles!E101&amp;"t/an","soit "&amp;INDEX(parcelles!$C$56:$Y$77,MATCH(parcelles!B101,parcelles!$B$56:$B$77,0),MATCH(parcelles!C101,parcelles!$C$53:$Y$53,0))*0.8*parcelles!E101&amp;"t")))))</f>
        <v/>
      </c>
      <c r="IA53" s="1085" t="str">
        <f>IF(parcelles!L101="","",(VLOOKUP(parcelles!M101,BDD!$HN$5:$HU$38,2,FALSE))*parcelles!O101)</f>
        <v/>
      </c>
      <c r="IB53" s="1085" t="str">
        <f>IF(parcelles!L101="","",IF(OR(parcelles!M101=Moutarde,parcelles!M101=Phacélie),0,IF(parcelles!M101=Luzerne,10*parcelles!O101*VLOOKUP(parcelles!M101,BDD!$HN$5:$HU$38,3,FALSE),IF(parcelles!M101=Miscanthus,10.5*parcelles!O101*VLOOKUP(parcelles!M101,BDD!$HN$5:$HU$38,3,FALSE),INDEX(parcelles!$C$56:'parcelles'!$Y$77,MATCH(parcelles!L101,parcelles!$B$56:'parcelles'!$B$77,0),MATCH(parcelles!M101,parcelles!$C$53:'parcelles'!$Y$53,0))*parcelles!O101*VLOOKUP(parcelles!M101,BDD!$HN$5:$HU$38,3,FALSE)))))</f>
        <v/>
      </c>
      <c r="IC53" s="1085" t="str">
        <f>IF(parcelles!L101="","",IF(OR(parcelles!M101=Moutarde,parcelles!M101=Phacélie),0,IF(parcelles!M101=Luzerne,10*parcelles!O101*VLOOKUP(parcelles!M101,BDD!$HN$5:$HU$38,4,FALSE),IF(parcelles!M101=Miscanthus,10.5*parcelles!O101*VLOOKUP(parcelles!M101,BDD!$HN$5:$HU$38,4,FALSE),INDEX(parcelles!$C$56:'parcelles'!$Y$77,MATCH(parcelles!L101,parcelles!$B$56:'parcelles'!$B$77,0),MATCH(parcelles!M101,parcelles!$C$53:'parcelles'!$Y$53,0))*parcelles!O101*VLOOKUP(parcelles!M101,BDD!$HN$5:$HU$38,4,FALSE)))))</f>
        <v/>
      </c>
      <c r="ID53" s="1085" t="str">
        <f>IF(parcelles!L101="","",IF(OR(parcelles!M101=Moutarde,parcelles!M101=Phacélie),0,IF(parcelles!M101=Luzerne,10*parcelles!O101*VLOOKUP(parcelles!M101,BDD!$HN$5:$HU$38,5,FALSE),IF(parcelles!M101=Miscanthus,10.5*parcelles!O101*VLOOKUP(parcelles!M101,BDD!$HN$5:$HU$38,5,FALSE),INDEX(parcelles!$C$56:'parcelles'!$Y$77,MATCH(parcelles!L101,parcelles!$B$56:'parcelles'!$B$77,0),MATCH(parcelles!M101,parcelles!$C$53:'parcelles'!$Y$53,0))*parcelles!O101*VLOOKUP(parcelles!M101,BDD!$HN$5:$HU$38,5,FALSE)))))</f>
        <v/>
      </c>
      <c r="IE53" s="1085" t="str">
        <f>IF(parcelles!L101="","",IF(OR(parcelles!M101=Moutarde,parcelles!M101=Phacélie),0,IF(parcelles!M101=Luzerne,10*parcelles!O101*VLOOKUP(parcelles!M101,BDD!$HN$5:$HU$38,6,FALSE),IF(parcelles!M101=Miscanthus,10.5*parcelles!O101*VLOOKUP(parcelles!M101,BDD!$HN$5:$HU$38,6,FALSE),INDEX(parcelles!$C$56:'parcelles'!$Y$77,MATCH(parcelles!L101,parcelles!$B$56:'parcelles'!$B$77,0),MATCH(parcelles!M101,parcelles!$C$53:'parcelles'!$Y$53,0))*parcelles!O101*VLOOKUP(parcelles!M101,BDD!$HN$5:$HU$38,6,FALSE)))))</f>
        <v/>
      </c>
      <c r="IF53" s="1085" t="str">
        <f>IF(parcelles!L101="","",IF(OR(parcelles!M101=Moutarde,parcelles!M101=Phacélie),0,IF(parcelles!M101=Luzerne,10*parcelles!O101*VLOOKUP(parcelles!M101,BDD!$HN$5:$HU$38,7,FALSE),IF(parcelles!M101=Miscanthus,10.5*parcelles!O101*VLOOKUP(parcelles!M101,BDD!$HN$5:$HU$38,7,FALSE),INDEX(parcelles!$C$56:'parcelles'!$Y$77,MATCH(parcelles!L101,parcelles!$B$56:'parcelles'!$B$77,0),MATCH(parcelles!M101,parcelles!$C$53:'parcelles'!$Y$53,0))*parcelles!O101*VLOOKUP(parcelles!M101,BDD!$HN$5:$HU$38,7,FALSE)))))</f>
        <v/>
      </c>
      <c r="IG53" s="1085" t="str">
        <f>IF(parcelles!L101="","",IF(OR(parcelles!M101=Moutarde,parcelles!M101=Phacélie),0,IF(parcelles!M101=Luzerne,10*parcelles!O101*VLOOKUP(parcelles!M101,BDD!$HN$5:$HU$38,8,FALSE),IF(parcelles!M101=Miscanthus,10.5*parcelles!O101*VLOOKUP(parcelles!M101,BDD!$HN$5:$HU$38,8,FALSE),INDEX(parcelles!$C$56:'parcelles'!$Y$77,MATCH(parcelles!L101,parcelles!$B$56:'parcelles'!$B$77,0),MATCH(parcelles!M101,parcelles!$C$53:'parcelles'!$Y$53,0))*parcelles!O101*VLOOKUP(parcelles!M101,BDD!$HN$5:$HU$38,8,FALSE)))))</f>
        <v/>
      </c>
      <c r="IH53" s="1085" t="str">
        <f>IF(parcelles!L101="","",IF(OR(parcelles!L101=Moutarde,parcelles!L101=Phacélie),0,1.6*parcelles!O101))</f>
        <v/>
      </c>
      <c r="II53" s="1085" t="str">
        <f>IF(parcelles!L101="","",IF(OR(parcelles!L101=Moutarde,parcelles!L101=Phacélie),0,1.6*parcelles!O101))</f>
        <v/>
      </c>
      <c r="IJ53" s="1085" t="str">
        <f>IF(parcelles!L101="","",IF(OR(parcelles!L101=Moutarde,parcelles!L101=Phacélie),0,1.6*parcelles!O101))</f>
        <v/>
      </c>
      <c r="IK53" s="1085" t="str">
        <f>IF(parcelles!P101="","",IF(parcelles!R101=0,"",IF(parcelles!O101=ChanvreIndustriel,"soit "&amp;parcelles!Q101*0.8&amp;"t de grain et "&amp;parcelles!Q101*7&amp;"t de paille",IF(parcelles!O101=Luzerne,"soit "&amp;10*parcelles!Q101&amp;"t/an",IF(parcelles!O101=Miscanthus,"soit "&amp;10.5*parcelles!Q101&amp;"t/an","soit "&amp;INDEX(parcelles!$C$56:$Y$77,MATCH(parcelles!N101,parcelles!$B$56:$B$77,0),MATCH(parcelles!O101,parcelles!$C$53:$Y$53,0))*parcelles!Q101&amp;"t")))))</f>
        <v/>
      </c>
      <c r="IL53" s="1085" t="str">
        <f>IF(parcelles!P101="","",IF(parcelles!R101=0,"",IF(parcelles!O101=ChanvreIndustriel,"soit "&amp;parcelles!Q101*0.8*0.8&amp;"t de grain et "&amp;parcelles!Q101*7*0.8&amp;"t de paille",IF(parcelles!O101=Luzerne,"soit "&amp;10*0.8*parcelles!Q101&amp;"t/an",IF(parcelles!O101=Miscanthus,"soit "&amp;10.5*0.8*parcelles!Q101&amp;"t/an","soit "&amp;INDEX(parcelles!$C$56:$Y$77,MATCH(parcelles!N101,parcelles!$B$56:$B$77,0),MATCH(parcelles!O101,parcelles!$C$53:$Y$53,0))*0.8*parcelles!Q101&amp;"t")))))</f>
        <v/>
      </c>
      <c r="IM53" s="1085" t="str">
        <f>IF(parcelles!S101="","",IF(parcelles!U101=0,"",IF(parcelles!R101=ChanvreIndustriel,parcelles!T101*0.8*0.8+parcelles!T101*7*0.8,IF(parcelles!R101=Luzerne,10*0.8*parcelles!T101,IF(parcelles!R101=Miscanthus,10.5*0.8*parcelles!T101,INDEX(parcelles!$C$56:$Y$77,MATCH(parcelles!Q101,parcelles!$B$56:$B$77,0),MATCH(parcelles!R101,parcelles!$C$53:$Y$53,0))*0.8*parcelles!T101)))))</f>
        <v/>
      </c>
      <c r="IN53" s="1368"/>
    </row>
    <row r="54" spans="1:248" ht="12.75" customHeight="1" x14ac:dyDescent="0.2">
      <c r="A54" s="1313" t="s">
        <v>1083</v>
      </c>
      <c r="B54" s="1170" t="s">
        <v>1084</v>
      </c>
      <c r="C54" s="1172" t="s">
        <v>1085</v>
      </c>
      <c r="D54" s="1321"/>
      <c r="E54" s="1321"/>
      <c r="F54" s="1139" t="s">
        <v>841</v>
      </c>
      <c r="G54" s="1291" t="s">
        <v>842</v>
      </c>
      <c r="H54" s="1139" t="s">
        <v>183</v>
      </c>
      <c r="I54" s="1139" t="s">
        <v>290</v>
      </c>
      <c r="J54" s="1321"/>
      <c r="K54" s="1321"/>
      <c r="L54" s="1321"/>
      <c r="M54" s="1321"/>
      <c r="N54" s="1321"/>
      <c r="O54" s="1149" t="s">
        <v>140</v>
      </c>
      <c r="P54" s="1149">
        <v>5.2</v>
      </c>
      <c r="Q54" s="1149">
        <v>5.2</v>
      </c>
      <c r="R54" s="1149">
        <v>3.6</v>
      </c>
      <c r="S54" s="1149">
        <v>3.7</v>
      </c>
      <c r="T54" s="1149">
        <v>3.6</v>
      </c>
      <c r="U54" s="1149">
        <v>5.0999999999999996</v>
      </c>
      <c r="V54" s="1149"/>
      <c r="W54" s="1149">
        <v>6.9</v>
      </c>
      <c r="X54" s="1149">
        <v>11.7</v>
      </c>
      <c r="Y54" s="1149">
        <v>0</v>
      </c>
      <c r="Z54" s="1149">
        <v>3.1</v>
      </c>
      <c r="AA54" s="1149">
        <v>1.9</v>
      </c>
      <c r="AB54" s="1149">
        <v>2.8</v>
      </c>
      <c r="AC54" s="1149">
        <v>3.1</v>
      </c>
      <c r="AD54" s="1149">
        <v>0</v>
      </c>
      <c r="AE54" s="1149">
        <v>0</v>
      </c>
      <c r="AF54" s="1149">
        <v>28.2</v>
      </c>
      <c r="AG54" s="1149">
        <v>0</v>
      </c>
      <c r="AH54" s="1149">
        <v>0</v>
      </c>
      <c r="AI54" s="1149">
        <v>0</v>
      </c>
      <c r="AJ54" s="1149">
        <v>0</v>
      </c>
      <c r="AK54" s="1149">
        <v>0</v>
      </c>
      <c r="AL54" s="1149">
        <v>9.3000000000000007</v>
      </c>
      <c r="AM54" s="1149"/>
      <c r="AN54" s="1149">
        <v>2.6</v>
      </c>
      <c r="AO54" s="1149">
        <v>35</v>
      </c>
      <c r="AP54" s="1149">
        <v>0</v>
      </c>
      <c r="AQ54" s="1149">
        <v>0</v>
      </c>
      <c r="AR54" s="1149">
        <v>0</v>
      </c>
      <c r="AS54" s="1149">
        <v>0</v>
      </c>
      <c r="AT54" s="1149">
        <v>0</v>
      </c>
      <c r="AU54" s="1149">
        <v>3</v>
      </c>
      <c r="AV54" s="1149">
        <v>0</v>
      </c>
      <c r="AW54" s="1149">
        <v>8.5</v>
      </c>
      <c r="AX54" s="1149">
        <v>10</v>
      </c>
      <c r="AY54" s="1149">
        <v>10</v>
      </c>
      <c r="AZ54" s="1321"/>
      <c r="BA54" s="1321"/>
      <c r="BB54" s="1321"/>
      <c r="BC54" s="1143" t="s">
        <v>1052</v>
      </c>
      <c r="BD54" s="1210">
        <v>380</v>
      </c>
      <c r="BE54" s="1321"/>
      <c r="BF54" s="1143" t="s">
        <v>1052</v>
      </c>
      <c r="BG54" s="1210">
        <v>456</v>
      </c>
      <c r="BH54" s="1321"/>
      <c r="BI54" s="1321"/>
      <c r="BJ54" s="1321"/>
      <c r="BK54" s="1345"/>
      <c r="BL54" s="1348"/>
      <c r="BM54" s="1076" t="s">
        <v>339</v>
      </c>
      <c r="BN54" s="1076">
        <f t="array" ref="BN54">IF(Ration_hivernale_complète_bisons[somme]&gt;0,0,IFERROR(IF(OR(AND(INDEX(Règles_bison[Specificite],MATCH(ChoixRationBisons&amp;$BM54,Règles_bison[Ration]&amp;Règles_bison[Aliment],0))="s1",IF($BM54=ChoixSpécificité1Bisons,1)),
AND(INDEX(Règles_bison[Specificite],MATCH(ChoixRationBisons&amp;$BM54,Règles_bison[Ration]&amp;Règles_bison[Aliment],0))="s2",IF($BM54=ChoixSpécificité2Bisons,1)),INDEX(Règles_bison[Specificite],MATCH(ChoixRationBisons&amp;$BM54,Règles_bison[Ration]&amp;Règles_bison[Aliment],0))="c"),
INDEX(Règles_bison[Valeur 36 et plus],MATCH(ChoixRationBisons&amp;$BM54,Règles_bison[Ration]&amp;Règles_bison[Aliment],0)),0),0)*TotalBisonsMalesAdultes*SUM(NbreJoursNourrirBisonsDaims))</f>
        <v>0</v>
      </c>
      <c r="BO54" s="1076">
        <f t="array" ref="BO54">IF(Ration_hivernale_complète_bisons[somme]&gt;0,0,IFERROR(IF(OR(AND(INDEX(Règles_bison[Specificite],MATCH(ChoixRationBisons&amp;$BM54,Règles_bison[Ration]&amp;Règles_bison[Aliment],0))="s1",IF($BM54=ChoixSpécificité1Bisons,1)),
AND(INDEX(Règles_bison[Specificite],MATCH(ChoixRationBisons&amp;$BM54,Règles_bison[Ration]&amp;Règles_bison[Aliment],0))="s2",IF($BM54=ChoixSpécificité2Bisons,1)),INDEX(Règles_bison[Specificite],MATCH(ChoixRationBisons&amp;$BM54,Règles_bison[Ration]&amp;Règles_bison[Aliment],0))="c"),
INDEX(Règles_bison[Valeur 24-36],MATCH(ChoixRationBisons&amp;$BM54,Règles_bison[Ration]&amp;Règles_bison[Aliment],0)),0),0)*TotalBisonsMales_24_36_mois*SUM(NbreJoursNourrirBisonsDaims))</f>
        <v>0</v>
      </c>
      <c r="BP54" s="1076">
        <f t="array" ref="BP54">IF(Ration_hivernale_complète_bisons[somme]&gt;0,0,IFERROR(IF(OR(AND(INDEX(Règles_bison[Specificite],MATCH(ChoixRationBisons&amp;$BM54,Règles_bison[Ration]&amp;Règles_bison[Aliment],0))="s1",IF($BM54=ChoixSpécificité1Bisons,1)),
AND(INDEX(Règles_bison[Specificite],MATCH(ChoixRationBisons&amp;$BM54,Règles_bison[Ration]&amp;Règles_bison[Aliment],0))="s2",IF($BM54=ChoixSpécificité2Bisons,1)),INDEX(Règles_bison[Specificite],MATCH(ChoixRationBisons&amp;$BM54,Règles_bison[Ration]&amp;Règles_bison[Aliment],0))="c"),
INDEX(Règles_bison[Valeur 18-24],MATCH(ChoixRationBisons&amp;$BM54,Règles_bison[Ration]&amp;Règles_bison[Aliment],0)),0),0)*TotalBisonsMales_18_24_mois*SUM(NbreJoursNourrirBisonsDaims))</f>
        <v>0</v>
      </c>
      <c r="BQ54" s="1076">
        <f t="array" ref="BQ54">IF(Ration_hivernale_complète_bisons[somme]&gt;0,0,IFERROR(IF(OR(AND(INDEX(Règles_bison[Specificite],MATCH(ChoixRationBisons&amp;$BM54,Règles_bison[Ration]&amp;Règles_bison[Aliment],0))="s1",IF($BM54=ChoixSpécificité1Bisons,1)),
AND(INDEX(Règles_bison[Specificite],MATCH(ChoixRationBisons&amp;$BM54,Règles_bison[Ration]&amp;Règles_bison[Aliment],0))="s2",IF($BM54=ChoixSpécificité2Bisons,1)),INDEX(Règles_bison[Specificite],MATCH(ChoixRationBisons&amp;$BM54,Règles_bison[Ration]&amp;Règles_bison[Aliment],0))="c"),
INDEX(Règles_bison[Valeur 12-18],MATCH(ChoixRationBisons&amp;$BM54,Règles_bison[Ration]&amp;Règles_bison[Aliment],0)),0),0)*TotalBisonsMales_12_18_mois*SUM(NbreJoursNourrirBisonsDaims))</f>
        <v>0</v>
      </c>
      <c r="BR54" s="1076">
        <f t="array" ref="BR54">IF(Ration_hivernale_complète_bisons[somme]&gt;0,0,IFERROR(IF(OR(AND(INDEX(Règles_bison[Specificite],MATCH(ChoixRationBisons&amp;$BM54,Règles_bison[Ration]&amp;Règles_bison[Aliment],0))="s1",IF($BM54=ChoixSpécificité1Bisons,1)),
AND(INDEX(Règles_bison[Specificite],MATCH(ChoixRationBisons&amp;$BM54,Règles_bison[Ration]&amp;Règles_bison[Aliment],0))="s2",IF($BM54=ChoixSpécificité2Bisons,1)),INDEX(Règles_bison[Specificite],MATCH(ChoixRationBisons&amp;$BM54,Règles_bison[Ration]&amp;Règles_bison[Aliment],0))="c"),
INDEX(Règles_bison[Valeur 6-12],MATCH(ChoixRationBisons&amp;$BM54,Règles_bison[Ration]&amp;Règles_bison[Aliment],0)),0),0)*TotalBisonsMales_6_12_mois*SUM(NbreJoursNourrirBisonsDaims))</f>
        <v>0</v>
      </c>
      <c r="BS54" s="1076">
        <f t="array" ref="BS54">IF(Ration_hivernale_complète_bisons[somme]&gt;0,0,IFERROR(IF(OR(AND(INDEX(Règles_bison[Specificite],MATCH(ChoixRationBisons&amp;$BM54,Règles_bison[Ration]&amp;Règles_bison[Aliment],0))="s1",IF($BM54=ChoixSpécificité1Bisons,1)),
AND(INDEX(Règles_bison[Specificite],MATCH(ChoixRationBisons&amp;$BM54,Règles_bison[Ration]&amp;Règles_bison[Aliment],0))="s2",IF($BM54=ChoixSpécificité2Bisons,1)),INDEX(Règles_bison[Specificite],MATCH(ChoixRationBisons&amp;$BM54,Règles_bison[Ration]&amp;Règles_bison[Aliment],0))="c"),
INDEX(Règles_bison[Valeur 3-6],MATCH(ChoixRationBisons&amp;$BM54,Règles_bison[Ration]&amp;Règles_bison[Aliment],0)),0),0)*TotalBisonsMales_3_6_mois*SUM(NbreJoursNourrirBisonsDaims))</f>
        <v>0</v>
      </c>
      <c r="BT54" s="1076">
        <f t="array" ref="BT54">IF(Ration_hivernale_complète_bisons[somme]&gt;0,0,IFERROR(IF(OR(AND(INDEX(Règles_bison[Specificite],MATCH(ChoixRationBisons&amp;$BM54,Règles_bison[Ration]&amp;Règles_bison[Aliment],0))="s1",IF($BM54=ChoixSpécificité1Bisons,1)),
AND(INDEX(Règles_bison[Specificite],MATCH(ChoixRationBisons&amp;$BM54,Règles_bison[Ration]&amp;Règles_bison[Aliment],0))="s2",IF($BM54=ChoixSpécificité2Bisons,1)),INDEX(Règles_bison[Specificite],MATCH(ChoixRationBisons&amp;$BM54,Règles_bison[Ration]&amp;Règles_bison[Aliment],0))="c"),
INDEX(Règles_bison[Valeur 0-3],MATCH(ChoixRationBisons&amp;$BM54,Règles_bison[Ration]&amp;Règles_bison[Aliment],0)),0),0)*TotalBisonsMales_0_3_mois*SUM(NbreJoursNourrirBisonsDaims))</f>
        <v>0</v>
      </c>
      <c r="BU54" s="1076">
        <f t="shared" si="10"/>
        <v>0</v>
      </c>
      <c r="BV54" s="1345"/>
      <c r="BW54" s="1345"/>
      <c r="BX54" s="1176" t="s">
        <v>761</v>
      </c>
      <c r="BY54" s="1177" t="s">
        <v>76</v>
      </c>
      <c r="BZ54" s="1177" t="s">
        <v>1253</v>
      </c>
      <c r="CA54" s="1177">
        <v>1.6</v>
      </c>
      <c r="CB54" s="1177">
        <v>1.4</v>
      </c>
      <c r="CC54" s="1177">
        <v>1.2</v>
      </c>
      <c r="CD54" s="1199">
        <v>1</v>
      </c>
      <c r="CE54" s="1350"/>
      <c r="CF54" s="1350"/>
      <c r="CG54" s="1350"/>
      <c r="CH54" s="1350"/>
      <c r="CI54" s="1321"/>
      <c r="CJ54" s="808" t="s">
        <v>1270</v>
      </c>
      <c r="CK54" s="788">
        <f t="array" ref="CK5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54" s="788">
        <f t="array" ref="CL5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54" s="788">
        <f t="array" ref="CM5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54" s="788">
        <f t="array" ref="CN5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54" s="788">
        <f t="array" ref="CO5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54" s="812">
        <f>SUM(AlimentsRationPorcinsMâles[[#This Row],[Valeur 12 et plus]:[Valeur 0-1]])</f>
        <v>0</v>
      </c>
      <c r="CQ54" s="1321"/>
      <c r="CR54" s="1321"/>
      <c r="CS54" s="1321"/>
      <c r="CT54" s="1321"/>
      <c r="CU54" s="1321"/>
      <c r="CV54" s="1321"/>
      <c r="CW54" s="1321"/>
      <c r="CX54" s="1321"/>
      <c r="CY54" s="1321"/>
      <c r="CZ54" s="1321"/>
      <c r="DA54" s="1321"/>
      <c r="DB54" s="1321"/>
      <c r="DC54" s="1321"/>
      <c r="DD54" s="1321"/>
      <c r="DE54" s="1321"/>
      <c r="DF54" s="1321"/>
      <c r="DG54" s="808" t="s">
        <v>714</v>
      </c>
      <c r="DH54" s="817">
        <f t="array" ref="DH5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54" s="817">
        <f t="array" ref="DI5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54" s="817">
        <f t="array" ref="DJ5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54" s="818">
        <f>SUM(AlimentsRationPintadesMâles[[#This Row],[Valeur 9 et plus]:[Valeur 0-1]])</f>
        <v>0</v>
      </c>
      <c r="DL54" s="1364"/>
      <c r="DM54" s="1364"/>
      <c r="DN54" s="1149" t="s">
        <v>1045</v>
      </c>
      <c r="DO54" s="1149">
        <v>860</v>
      </c>
      <c r="DP54" s="1321"/>
      <c r="DQ54" s="1149" t="s">
        <v>1045</v>
      </c>
      <c r="DR54" s="1149">
        <v>1032</v>
      </c>
      <c r="DS54" s="1345"/>
      <c r="DT54" s="1346"/>
      <c r="DU54" s="1346"/>
      <c r="DV54" s="1076" t="s">
        <v>297</v>
      </c>
      <c r="DW54" s="1267">
        <f t="array" ref="DW54">IF(ChoixRationComplèteDaims=OUI,0,IFERROR(IF(OR(AND(INDEX(Règles_daims[Specificite],MATCH(ChoixRationDaims&amp;DV54,Règles_daims[Ration]&amp;Règles_daims[Aliment],0))="s1",IF(DV54=Spécificité1Daims,1)),
AND(INDEX(Règles_daims[Specificite],MATCH(ChoixRationDaims&amp;DV54,Règles_daims[Ration]&amp;Règles_daims[Aliment],0))="s2",IF(DV54=Spécificité2Daims,1)),
INDEX(Règles_daims[Specificite],MATCH(ChoixRationDaims&amp;DV54,Règles_daims[Ration]&amp;Règles_daims[Aliment],0))="c"),
INDEX(Règles_daims[Valeur 36 et plus],MATCH(ChoixRationDaims&amp;DV54,Règles_daims[Ration]&amp;Règles_daims[Aliment],0)),0),0)*SUM(TotalDaimsAdultes)*SUM(NbreJoursNourrirBisonsDaims))</f>
        <v>0</v>
      </c>
      <c r="DX54" s="1267">
        <f t="array" ref="DX54">IF(ChoixRationComplèteDaims=OUI,0,IFERROR(IF(OR(AND(INDEX(Règles_daims[Specificite],MATCH(ChoixRationDaims&amp;DV54,Règles_daims[Ration]&amp;Règles_daims[Aliment],0))="s1",IF(DV54=Spécificité1Daims,1)),
AND(INDEX(Règles_daims[Specificite],MATCH(ChoixRationDaims&amp;DV54,Règles_daims[Ration]&amp;Règles_daims[Aliment],0))="s2",IF(DV54=Spécificité2Daims,1)),
INDEX(Règles_daims[Specificite],MATCH(ChoixRationDaims&amp;DV54,Règles_daims[Ration]&amp;Règles_daims[Aliment],0))="c"),
INDEX(Règles_daims[Valeur 24-36],MATCH(ChoixRationDaims&amp;DV54,Règles_daims[Ration]&amp;Règles_daims[Aliment],0)),0),0)*SUM(TotalDaims24_36)*SUM(NbreJoursNourrirBisonsDaims))</f>
        <v>0</v>
      </c>
      <c r="DY54" s="1267">
        <f t="array" ref="DY54">IF(ChoixRationComplèteDaims=OUI,0,IFERROR(IF(OR(AND(INDEX(Règles_daims[Specificite],MATCH(ChoixRationDaims&amp;DV54,Règles_daims[Ration]&amp;Règles_daims[Aliment],0))="s1",IF(DV54=Spécificité1Daims,1)),
AND(INDEX(Règles_daims[Specificite],MATCH(ChoixRationDaims&amp;DV54,Règles_daims[Ration]&amp;Règles_daims[Aliment],0))="s2",IF(DV54=Spécificité2Daims,1)),
INDEX(Règles_daims[Specificite],MATCH(ChoixRationDaims&amp;DV54,Règles_daims[Ration]&amp;Règles_daims[Aliment],0))="c"),
INDEX(Règles_daims[Valeur 18-24],MATCH(ChoixRationDaims&amp;DV54,Règles_daims[Ration]&amp;Règles_daims[Aliment],0)),0),0)*SUM(TotalDaims18_24)*SUM(NbreJoursNourrirBisonsDaims))</f>
        <v>0</v>
      </c>
      <c r="DZ54" s="1279">
        <f t="array" ref="DZ54">IF(ChoixRationComplèteDaims=OUI,0,IFERROR(IF(OR(AND(INDEX(Règles_daims[Specificite],MATCH(ChoixRationDaims&amp;DV54,Règles_daims[Ration]&amp;Règles_daims[Aliment],0))="s1",IF(DV54=Spécificité1Daims,1)),
AND(INDEX(Règles_daims[Specificite],MATCH(ChoixRationDaims&amp;DV54,Règles_daims[Ration]&amp;Règles_daims[Aliment],0))="s2",IF(DV54=Spécificité2Daims,1)),
INDEX(Règles_daims[Specificite],MATCH(ChoixRationDaims&amp;DV54,Règles_daims[Ration]&amp;Règles_daims[Aliment],0))="c"),
INDEX(Règles_daims[Valeur 12-18],MATCH(ChoixRationDaims&amp;DV54,Règles_daims[Ration]&amp;Règles_daims[Aliment],0)),0),0)*SUM(TotalDaims12_18)*SUM(NbreJoursNourrirBisonsDaims))</f>
        <v>0</v>
      </c>
      <c r="EA54" s="1279">
        <f t="array" ref="EA54">IF(ChoixRationComplèteDaims=OUI,0,IFERROR(IF(OR(AND(INDEX(Règles_daims[Specificite],MATCH(ChoixRationDaims&amp;DV54,Règles_daims[Ration]&amp;Règles_daims[Aliment],0))="s1",IF(DV54=Spécificité1Daims,1)),
AND(INDEX(Règles_daims[Specificite],MATCH(ChoixRationDaims&amp;DV54,Règles_daims[Ration]&amp;Règles_daims[Aliment],0))="s2",IF(DV54=Spécificité2Daims,1)),
INDEX(Règles_daims[Specificite],MATCH(ChoixRationDaims&amp;DV54,Règles_daims[Ration]&amp;Règles_daims[Aliment],0))="c"),
INDEX(Règles_daims[Valeur 6-12],MATCH(ChoixRationDaims&amp;DV54,Règles_daims[Ration]&amp;Règles_daims[Aliment],0)),0),0)*SUM(TotalDaims6_12)*SUM(NbreJoursNourrirBisonsDaims))</f>
        <v>0</v>
      </c>
      <c r="EB54" s="1279">
        <f t="array" ref="EB54">IF(ChoixRationComplèteDaims=OUI,0,IFERROR(IF(OR(AND(INDEX(Règles_daims[Specificite],MATCH(ChoixRationDaims&amp;DV54,Règles_daims[Ration]&amp;Règles_daims[Aliment],0))="s1",IF(DV54=Spécificité1Daims,1)),
AND(INDEX(Règles_daims[Specificite],MATCH(ChoixRationDaims&amp;DV54,Règles_daims[Ration]&amp;Règles_daims[Aliment],0))="s2",IF(DV54=Spécificité2Daims,1)),
INDEX(Règles_daims[Specificite],MATCH(ChoixRationDaims&amp;DV54,Règles_daims[Ration]&amp;Règles_daims[Aliment],0))="c"),
INDEX(Règles_daims[Valeur 3-6],MATCH(ChoixRationDaims&amp;DV54,Règles_daims[Ration]&amp;Règles_daims[Aliment],0)),0),0)*SUM(TotalDaims3_6)*SUM(NbreJoursNourrirBisonsDaims))</f>
        <v>0</v>
      </c>
      <c r="EC54" s="1279">
        <f t="array" ref="EC54">IF(ChoixRationComplèteDaims=OUI,0,IFERROR(IF(OR(AND(INDEX(Règles_daims[Specificite],MATCH(ChoixRationDaims&amp;DV54,Règles_daims[Ration]&amp;Règles_daims[Aliment],0))="s1",IF(DV54=Spécificité1Daims,1)),
AND(INDEX(Règles_daims[Specificite],MATCH(ChoixRationDaims&amp;DV54,Règles_daims[Ration]&amp;Règles_daims[Aliment],0))="s2",IF(DV54=Spécificité2Daims,1)),
INDEX(Règles_daims[Specificite],MATCH(ChoixRationDaims&amp;DV54,Règles_daims[Ration]&amp;Règles_daims[Aliment],0))="c"),
INDEX(Règles_daims[Valeur 0-3],MATCH(ChoixRationDaims&amp;DV54,Règles_daims[Ration]&amp;Règles_daims[Aliment],0)),0),0)*SUM(TotalDaims0_3)*SUM(NbreJoursNourrirBisonsDaims))</f>
        <v>0</v>
      </c>
      <c r="ED54" s="1279">
        <f t="shared" si="9"/>
        <v>0</v>
      </c>
      <c r="EE54" s="1345"/>
      <c r="EF54" s="1321"/>
      <c r="EG54" s="808" t="s">
        <v>523</v>
      </c>
      <c r="EH54" s="817">
        <f t="array" ref="EH54">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54" s="817">
        <f t="array" ref="EI54">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54" s="817">
        <f t="array" ref="EJ54">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54" s="818">
        <f>SUM(AlimentsRationOiesMâles[[#This Row],[Valeur 6 et plus]:[Valeur 0-3]])</f>
        <v>0</v>
      </c>
      <c r="EL54" s="1364"/>
      <c r="EM54" s="1321"/>
      <c r="EN54" s="808" t="s">
        <v>285</v>
      </c>
      <c r="EO54" s="817">
        <f t="array" ref="EO5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54" s="817">
        <f t="array" ref="EP5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54" s="817">
        <f t="array" ref="EQ5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54" s="818">
        <f>SUM(Ration_canards_Mâles[[#This Row],[Valeur 6 et plus]:[Valeur 0-3]])</f>
        <v>0</v>
      </c>
      <c r="ES54" s="1364"/>
      <c r="ET54" s="1346"/>
      <c r="EU54" s="1176"/>
      <c r="EV54" s="1177"/>
      <c r="EW54" s="1177"/>
      <c r="EX54" s="1177"/>
      <c r="EY54" s="1177"/>
      <c r="EZ54" s="1177"/>
      <c r="FA54" s="1191"/>
      <c r="FB54" s="1345"/>
      <c r="FC54" s="1321"/>
      <c r="FD54" s="1082" t="s">
        <v>673</v>
      </c>
      <c r="FE54" s="1282">
        <f t="array" ref="FE54">IF(OR(ChoixRationComplèteEtéChevauxTrait=OUI,ChoixRationComplèteEtéChevauxTrait="",AND(ChoixChevauxTraitPréHiver=OUI,ChoixChevauxTraitPréEté=OUI)),0,IFERROR(IF(OR(AND(INDEX(Règles_chevaux_trait[Specificite],MATCH(RationEtéChevauxTrait&amp;$FD54,Règles_chevaux_trait[Ration]&amp;Règles_chevaux_trait[Aliment],0))="s1",IF($FD54=Spécificité1ChevauxTrait,1)),
AND(INDEX(Règles_chevaux_trait[Specificite],MATCH(RationEtéChevauxTrait&amp;$FD54,Règles_chevaux_trait[Ration]&amp;Règles_chevaux_trait[Aliment],0))="s2",IF($FD54=Spécificité2ChevauxTrait,1)),
INDEX(Règles_chevaux_trait[Specificite],MATCH(RationEtéChevauxTrait&amp;$FD54,Règles_chevaux_trait[Ration]&amp;Règles_chevaux_trait[Aliment],0))="c"),
INDEX(Règles_chevaux_trait[Valeur 36 et plus],MATCH(RationEtéChevauxTrait&amp;$FD54,Règles_chevaux_trait[Ration]&amp;Règles_chevaux_trait[Aliment],0)),0),0)*TotalEtalonTrait*SUM(NbreJoursNourrirChevauxTrait))</f>
        <v>0</v>
      </c>
      <c r="FF54" s="1282">
        <f t="array" ref="FF54">IF(OR(ChoixRationComplèteEtéChevauxTrait=OUI,ChoixRationComplèteEtéChevauxTrait="",AND(ChoixChevauxTraitPréHiver=OUI,ChoixChevauxTraitPréEté=OUI)),0,IFERROR(IF(OR(AND(INDEX(Règles_chevaux_trait[Specificite],MATCH(RationEtéChevauxTrait&amp;$FD54,Règles_chevaux_trait[Ration]&amp;Règles_chevaux_trait[Aliment],0))="s1",IF($FD54=Spécificité1ChevauxTrait,1)),
AND(INDEX(Règles_chevaux_trait[Specificite],MATCH(RationEtéChevauxTrait&amp;$FD54,Règles_chevaux_trait[Ration]&amp;Règles_chevaux_trait[Aliment],0))="s2",IF($FD54=Spécificité2ChevauxTrait,1)),
INDEX(Règles_chevaux_trait[Specificite],MATCH(RationEtéChevauxTrait&amp;$FD54,Règles_chevaux_trait[Ration]&amp;Règles_chevaux_trait[Aliment],0))="c"),
INDEX(Règles_chevaux_trait[Valeur 24-36],MATCH(RationEtéChevauxTrait&amp;$FD54,Règles_chevaux_trait[Ration]&amp;Règles_chevaux_trait[Aliment],0)),0),0)*TotalJeuneEtalonTrait_24_36_mois*SUM(NbreJoursNourrirChevauxTrait))</f>
        <v>0</v>
      </c>
      <c r="FG54" s="1282">
        <f t="array" ref="FG54">IF(OR(ChoixRationComplèteEtéChevauxTrait=OUI,ChoixRationComplèteEtéChevauxTrait="",AND(ChoixChevauxTraitPréHiver=OUI,ChoixChevauxTraitPréEté=OUI)),0,IFERROR(IF(OR(AND(INDEX(Règles_chevaux_trait[Specificite],MATCH(RationEtéChevauxTrait&amp;$FD54,Règles_chevaux_trait[Ration]&amp;Règles_chevaux_trait[Aliment],0))="s1",IF($FD54=Spécificité1ChevauxTrait,1)),
AND(INDEX(Règles_chevaux_trait[Specificite],MATCH(RationEtéChevauxTrait&amp;$FD54,Règles_chevaux_trait[Ration]&amp;Règles_chevaux_trait[Aliment],0))="s2",IF($FD54=Spécificité2ChevauxTrait,1)),
INDEX(Règles_chevaux_trait[Specificite],MATCH(RationEtéChevauxTrait&amp;$FD54,Règles_chevaux_trait[Ration]&amp;Règles_chevaux_trait[Aliment],0))="c"),
INDEX(Règles_chevaux_trait[Valeur 12-24],MATCH(RationEtéChevauxTrait&amp;$FD54,Règles_chevaux_trait[Ration]&amp;Règles_chevaux_trait[Aliment],0)),0),0)*TotalJeuneEtalonTrait_12_24_mois*SUM(NbreJoursNourrirChevauxTrait))</f>
        <v>0</v>
      </c>
      <c r="FH54" s="1282">
        <f t="array" ref="FH54">IF(OR(ChoixRationComplèteEtéChevauxTrait=OUI,ChoixRationComplèteEtéChevauxTrait="",AND(ChoixChevauxTraitPréHiver=OUI,ChoixChevauxTraitPréEté=OUI)),0,IFERROR(IF(OR(AND(INDEX(Règles_chevaux_trait[Specificite],MATCH(RationEtéChevauxTrait&amp;$FD54,Règles_chevaux_trait[Ration]&amp;Règles_chevaux_trait[Aliment],0))="s1",IF($FD54=Spécificité1ChevauxTrait,1)),
AND(INDEX(Règles_chevaux_trait[Specificite],MATCH(RationEtéChevauxTrait&amp;$FD54,Règles_chevaux_trait[Ration]&amp;Règles_chevaux_trait[Aliment],0))="s2",IF($FD54=Spécificité2ChevauxTrait,1)),
INDEX(Règles_chevaux_trait[Specificite],MATCH(RationEtéChevauxTrait&amp;$FD54,Règles_chevaux_trait[Ration]&amp;Règles_chevaux_trait[Aliment],0))="c"),
INDEX(Règles_chevaux_trait[Valeur 0-12],MATCH(RationEtéChevauxTrait&amp;$FD54,Règles_chevaux_trait[Ration]&amp;Règles_chevaux_trait[Aliment],0)),0),0)*TotalPoulainTrait_0_12_mois*SUM(NbreJoursNourrirChevauxTrait))</f>
        <v>0</v>
      </c>
      <c r="FI54" s="1285">
        <f t="shared" ref="FI54:FI92" si="15">SUM($FE54:$FH54)</f>
        <v>0</v>
      </c>
      <c r="FJ54" s="1345"/>
      <c r="FK54" s="1345"/>
      <c r="FL54" s="1345"/>
      <c r="FM54" s="1321"/>
      <c r="FN54" s="1083" t="s">
        <v>523</v>
      </c>
      <c r="FO54" s="1283">
        <f t="array" ref="FO54">IF(OR(ChoixRationComplèteEtéPoneys=OUI,ChoixRationComplèteEtéPoneys="",AND(ChoixPoneysPréHiver=OUI,ChoixPoneysPréEté=OUI)),0,IFERROR(IF(OR(AND(INDEX(Règles_poneys[Specificite],MATCH(RationEtéPoneys&amp;$FN54,Règles_poneys[Ration]&amp;Règles_poneys[Aliment],0))="s1",IF($FN54=Spécificité1Poneys,1)),
AND(INDEX(Règles_poneys[Specificite],MATCH(RationEtéPoneys&amp;$FN54,Règles_poneys[Ration]&amp;Règles_poneys[Aliment],0))="s2",IF($FN54=Spécificité2Poneys,1)),
INDEX(Règles_poneys[Specificite],MATCH(RationEtéPoneys&amp;$FN54,Règles_poneys[Ration]&amp;Règles_poneys[Aliment],0))="c"),
INDEX(Règles_poneys[Valeur 36 et plus],MATCH(RationEtéPoneys&amp;$FN54,Règles_poneys[Ration]&amp;Règles_poneys[Aliment],0)),0),0)*TotalEtalonPoney*SUM(NbreJoursNourrirPoneys))</f>
        <v>0</v>
      </c>
      <c r="FP54" s="1283">
        <f t="array" ref="FP54">IF(OR(ChoixRationComplèteEtéPoneys=OUI,ChoixRationComplèteEtéPoneys="",AND(ChoixPoneysPréHiver=OUI,ChoixPoneysPréEté=OUI)),0,IFERROR(IF(OR(AND(INDEX(Règles_poneys[Specificite],MATCH(RationEtéPoneys&amp;$FN54,Règles_poneys[Ration]&amp;Règles_poneys[Aliment],0))="s1",IF($FN54=Spécificité1Poneys,1)),
AND(INDEX(Règles_poneys[Specificite],MATCH(RationEtéPoneys&amp;$FN54,Règles_poneys[Ration]&amp;Règles_poneys[Aliment],0))="s2",IF($FN54=Spécificité2Poneys,1)),
INDEX(Règles_poneys[Specificite],MATCH(RationEtéPoneys&amp;$FN54,Règles_poneys[Ration]&amp;Règles_poneys[Aliment],0))="c"),
INDEX(Règles_poneys[Valeur 36 et plus],MATCH(RationEtéPoneys&amp;$FN54,Règles_poneys[Ration]&amp;Règles_poneys[Aliment],0)),0),0)*TotalJeuneEtalonPoney_24_36_mois*SUM(NbreJoursNourrirPoneys))</f>
        <v>0</v>
      </c>
      <c r="FQ54" s="1283">
        <f t="array" ref="FQ54">IF(OR(ChoixRationComplèteEtéPoneys=OUI,ChoixRationComplèteEtéPoneys="",AND(ChoixPoneysPréHiver=OUI,ChoixPoneysPréEté=OUI)),0,IFERROR(IF(OR(AND(INDEX(Règles_poneys[Specificite],MATCH(RationEtéPoneys&amp;$FN54,Règles_poneys[Ration]&amp;Règles_poneys[Aliment],0))="s1",IF($FN54=Spécificité1Poneys,1)),
AND(INDEX(Règles_poneys[Specificite],MATCH(RationEtéPoneys&amp;$FN54,Règles_poneys[Ration]&amp;Règles_poneys[Aliment],0))="s2",IF($FN54=Spécificité2Poneys,1)),
INDEX(Règles_poneys[Specificite],MATCH(RationEtéPoneys&amp;$FN54,Règles_poneys[Ration]&amp;Règles_poneys[Aliment],0))="c"),
INDEX(Règles_poneys[Valeur 36 et plus],MATCH(RationEtéPoneys&amp;$FN54,Règles_poneys[Ration]&amp;Règles_poneys[Aliment],0)),0),0)*TotalJeuneEtalonPoney_12_24_mois*SUM(NbreJoursNourrirPoneys))</f>
        <v>0</v>
      </c>
      <c r="FR54" s="1286">
        <f t="array" ref="FR54">IF(OR(ChoixRationComplèteEtéPoneys=OUI,ChoixRationComplèteEtéPoneys="",AND(ChoixPoneysPréHiver=OUI,ChoixPoneysPréEté=OUI)),0,IFERROR(IF(OR(AND(INDEX(Règles_poneys[Specificite],MATCH(RationEtéPoneys&amp;$FN54,Règles_poneys[Ration]&amp;Règles_poneys[Aliment],0))="s1",IF($FN54=Spécificité1Poneys,1)),
AND(INDEX(Règles_poneys[Specificite],MATCH(RationEtéPoneys&amp;$FN54,Règles_poneys[Ration]&amp;Règles_poneys[Aliment],0))="s2",IF($FN54=Spécificité2Poneys,1)),
INDEX(Règles_poneys[Specificite],MATCH(RationEtéPoneys&amp;$FN54,Règles_poneys[Ration]&amp;Règles_poneys[Aliment],0))="c"),
INDEX(Règles_poneys[Valeur 36 et plus],MATCH(RationEtéPoneys&amp;$FN54,Règles_poneys[Ration]&amp;Règles_poneys[Aliment],0)),0),0)*TotalPoulainPoney_0_12_mois*SUM(NbreJoursNourrirPoneys))</f>
        <v>0</v>
      </c>
      <c r="FS54" s="1286">
        <f t="shared" si="14"/>
        <v>0</v>
      </c>
      <c r="FT54" s="1345"/>
      <c r="FU54" s="1345"/>
      <c r="FV54" s="1345"/>
      <c r="FW54" s="823" t="s">
        <v>733</v>
      </c>
      <c r="FX54" s="828">
        <f t="array" ref="FX54">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54" s="828">
        <f t="array" ref="FY54">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54" s="828">
        <f t="array" ref="FZ54">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54" s="828">
        <f t="array" ref="GA54">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54" s="829">
        <f>SUM(AlimentsGavageOies[[#This Row],[Valeur 3 et plus]:[Valeur 0-1]])</f>
        <v>0</v>
      </c>
      <c r="GC54" s="1364"/>
      <c r="GD54" s="1321"/>
      <c r="GE54" s="1143" t="s">
        <v>0</v>
      </c>
      <c r="GF54" s="1321"/>
      <c r="GG54" s="1321" t="s">
        <v>1349</v>
      </c>
      <c r="GH54" s="1321" t="s">
        <v>1349</v>
      </c>
      <c r="GI54" s="1321" t="s">
        <v>1349</v>
      </c>
      <c r="GJ54" s="1321" t="s">
        <v>1349</v>
      </c>
      <c r="GK54" s="1321" t="s">
        <v>1349</v>
      </c>
      <c r="GL54" s="1321" t="s">
        <v>1349</v>
      </c>
      <c r="GM54" s="1321" t="s">
        <v>1349</v>
      </c>
      <c r="GN54" s="1321" t="s">
        <v>1349</v>
      </c>
      <c r="GO54" s="1321" t="s">
        <v>1349</v>
      </c>
      <c r="GP54" s="1321" t="s">
        <v>1349</v>
      </c>
      <c r="GQ54" s="1321" t="s">
        <v>1349</v>
      </c>
      <c r="GR54" s="1321" t="s">
        <v>1349</v>
      </c>
      <c r="GS54" s="1321" t="s">
        <v>1349</v>
      </c>
      <c r="GT54" s="1321" t="s">
        <v>1349</v>
      </c>
      <c r="GU54" s="1321" t="s">
        <v>1349</v>
      </c>
      <c r="GV54" s="1321" t="s">
        <v>1349</v>
      </c>
      <c r="GW54" s="1321"/>
      <c r="GX54" s="1321"/>
      <c r="GY54" s="1083" t="str">
        <f t="shared" si="11"/>
        <v>semences de chanvre (GP)</v>
      </c>
      <c r="GZ54" s="1083"/>
      <c r="HA54" s="1084"/>
      <c r="HB54" s="1084">
        <f>IF(COUNTIF(TypeArticleDansEntrepôt,GY54)=0,0,SUMIF(TypeArticleDansEntrepôt,GY54,QtéArticleDansEntrepôt)*VLOOKUP(GY54,place_necessaire_entrepots_aire_paille[],2,FALSE))</f>
        <v>0</v>
      </c>
      <c r="HC54" s="1321"/>
      <c r="HD54" s="1321"/>
      <c r="HE54" s="1321"/>
      <c r="HF54" s="1321"/>
      <c r="HG54" s="1321"/>
      <c r="HH54" s="1321"/>
      <c r="HI54" s="1321"/>
      <c r="HJ54" s="1321"/>
      <c r="HK54" s="1321"/>
      <c r="HL54" s="1321"/>
      <c r="HM54" s="1321"/>
      <c r="HN54" s="1084" t="str">
        <f>IF(parcelles!B102="","",(VLOOKUP(parcelles!C102,BDD!$HN$5:$HU$38,2,FALSE))*parcelles!E102)</f>
        <v/>
      </c>
      <c r="HO54" s="1084" t="str">
        <f>IF(parcelles!B102="","",IF(OR(parcelles!C102=Moutarde,parcelles!C102=Phacélie),0,IF(parcelles!C102=Luzerne,10*parcelles!E102*VLOOKUP(parcelles!C102,BDD!$HN$5:$HU$38,3,FALSE),IF(parcelles!C102=Miscanthus,10.5*parcelles!E102*VLOOKUP(parcelles!C102,BDD!$HN$5:$HU$38,3,FALSE),INDEX(parcelles!$C$56:'parcelles'!$Y$77,MATCH(parcelles!B102,parcelles!$B$56:'parcelles'!$B$77,0),MATCH(parcelles!C102,parcelles!$C$53:'parcelles'!$Y$53,0))*parcelles!E102*VLOOKUP(parcelles!C102,BDD!$HN$5:$HU$38,3,FALSE)))))</f>
        <v/>
      </c>
      <c r="HP54" s="1084" t="str">
        <f>IF(parcelles!B102="","",IF(OR(parcelles!C102=Moutarde,parcelles!C102=Phacélie),0,IF(parcelles!C102=Luzerne,10*parcelles!E102*VLOOKUP(parcelles!C102,BDD!$HN$5:$HU$38,4,FALSE),IF(parcelles!C102=Miscanthus,10.5*parcelles!E102*VLOOKUP(parcelles!C102,BDD!$HN$5:$HU$38,4,FALSE),INDEX(parcelles!$C$56:'parcelles'!$Y$77,MATCH(parcelles!B102,parcelles!$B$56:'parcelles'!$B$77,0),MATCH(parcelles!C102,parcelles!$C$53:'parcelles'!$Y$53,0))*parcelles!E102*VLOOKUP(parcelles!C102,BDD!$HN$5:$HU$38,4,FALSE)))))</f>
        <v/>
      </c>
      <c r="HQ54" s="1084" t="str">
        <f>IF(parcelles!B102="","",IF(OR(parcelles!C102=Moutarde,parcelles!C102=Phacélie),0,IF(parcelles!C102=Luzerne,10*parcelles!E102*VLOOKUP(parcelles!C102,BDD!$HN$5:$HU$38,5,FALSE),IF(parcelles!C102=Miscanthus,10.5*parcelles!E102*VLOOKUP(parcelles!C102,BDD!$HN$5:$HU$38,5,FALSE),INDEX(parcelles!$C$56:'parcelles'!$Y$77,MATCH(parcelles!B102,parcelles!$B$56:'parcelles'!$B$77,0),MATCH(parcelles!C102,parcelles!$C$53:'parcelles'!$Y$53,0))*parcelles!E102*VLOOKUP(parcelles!C102,BDD!$HN$5:$HU$38,5,FALSE)))))</f>
        <v/>
      </c>
      <c r="HR54" s="1084" t="str">
        <f>IF(parcelles!B102="","",IF(OR(parcelles!C102=Moutarde,parcelles!C102=Phacélie),0,IF(parcelles!C102=Luzerne,10*parcelles!E102*VLOOKUP(parcelles!C102,BDD!$HN$5:$HU$38,6,FALSE),IF(parcelles!C102=Miscanthus,10.5*parcelles!E102*VLOOKUP(parcelles!C102,BDD!$HN$5:$HU$38,6,FALSE),INDEX(parcelles!$C$56:'parcelles'!$Y$77,MATCH(parcelles!B102,parcelles!$B$56:'parcelles'!$B$77,0),MATCH(parcelles!C102,parcelles!$C$53:'parcelles'!$Y$53,0))*parcelles!E102*VLOOKUP(parcelles!C102,BDD!$HN$5:$HU$38,6,FALSE)))))</f>
        <v/>
      </c>
      <c r="HS54" s="1084" t="str">
        <f>IF(parcelles!B102="","",IF(OR(parcelles!C102=Moutarde,parcelles!C102=Phacélie),0,IF(parcelles!C102=Luzerne,10*parcelles!E102*VLOOKUP(parcelles!C102,BDD!$HN$5:$HU$38,7,FALSE),IF(parcelles!C102=Miscanthus,10.5*parcelles!E102*VLOOKUP(parcelles!C102,BDD!$HN$5:$HU$38,7,FALSE),INDEX(parcelles!$C$56:'parcelles'!$Y$77,MATCH(parcelles!B102,parcelles!$B$56:'parcelles'!$B$77,0),MATCH(parcelles!C102,parcelles!$C$53:'parcelles'!$Y$53,0))*parcelles!E102*VLOOKUP(parcelles!C102,BDD!$HN$5:$HU$38,7,FALSE)))))</f>
        <v/>
      </c>
      <c r="HT54" s="1084" t="str">
        <f>IF(parcelles!B102="","",IF(OR(parcelles!C102=Moutarde,parcelles!C102=Phacélie),0,IF(parcelles!C102=Luzerne,10*parcelles!E102*VLOOKUP(parcelles!C102,BDD!$HN$5:$HU$38,8,FALSE),IF(parcelles!C102=Miscanthus,10.5*parcelles!E102*VLOOKUP(parcelles!C102,BDD!$HN$5:$HU$38,8,FALSE),INDEX(parcelles!$C$56:'parcelles'!$Y$77,MATCH(parcelles!B102,parcelles!$B$56:'parcelles'!$B$77,0),MATCH(parcelles!C102,parcelles!$C$53:'parcelles'!$Y$53,0))*parcelles!E102*VLOOKUP(parcelles!C102,BDD!$HN$5:$HU$38,8,FALSE)))))</f>
        <v/>
      </c>
      <c r="HU54" s="1084" t="str">
        <f>IF(parcelles!B102="","",IF(OR(parcelles!C102=Moutarde,parcelles!C102=Phacélie),0,1.6*parcelles!E102))</f>
        <v/>
      </c>
      <c r="HV54" s="1084" t="str">
        <f>IF(parcelles!B102="","",IF(OR(parcelles!C102=Moutarde,parcelles!C102=Phacélie),0,1.6*parcelles!E102))</f>
        <v/>
      </c>
      <c r="HW54" s="1084" t="str">
        <f>IF(parcelles!B102="","",IF(OR(parcelles!C102=Moutarde,parcelles!C102=Phacélie),0,1.6*parcelles!E102))</f>
        <v/>
      </c>
      <c r="HX54" s="1095" t="str">
        <f>IF(parcelles!D102="","",IF(parcelles!C102=ChanvreIndustriel,INDEX(parcelles!$C$56:$Y$77,MATCH(parcelles!B102,parcelles!$B$56:$B$77,0),MATCH(parcelles!C102,parcelles!$C$53:$Y$53,0))*parcelles!E102*SUMIF(ListeCulturesBDD,parcelles!C102,PrixVenteCulturesConventionnel)+RIGHT(BDD!$HM$7,3)*7*parcelles!E102,IF(parcelles!C102=Luzerne,parcelles!E102*10*VLOOKUP(parcelles!C102,TarifsCoopCultures,2,FALSE),IF(parcelles!C102=Miscanthus,parcelles!E102*10.5*VLOOKUP(Luzerne,TarifsCoopCultures,2,FALSE),INDEX(parcelles!$C$56:$Y$77,MATCH(parcelles!B102,parcelles!$B$56:$B$77,0),MATCH(parcelles!C102,parcelles!$C$53:$Y$53,0))*parcelles!E102*SUMIF(ListeCulturesBDD,parcelles!C102,PrixVenteCulturesConventionnel)))))</f>
        <v/>
      </c>
      <c r="HY54" s="1084" t="str">
        <f>IF(parcelles!D102="","",IF(parcelles!F102=0,"",IF(parcelles!C102=ChanvreIndustriel,"soit "&amp;parcelles!E102*0.8&amp;"t de grain et "&amp;parcelles!E102*7&amp;"t de paille",IF(parcelles!C102=Luzerne,"soit "&amp;10*parcelles!E102&amp;"t/an",IF(parcelles!C102=Miscanthus,"soit "&amp;10.5*parcelles!E102&amp;"t/an","soit "&amp;INDEX(parcelles!$C$56:$Y$77,MATCH(parcelles!B102,parcelles!$B$56:$B$77,0),MATCH(parcelles!C102,parcelles!$C$53:$Y$53,0))*parcelles!E102&amp;"t")))))</f>
        <v/>
      </c>
      <c r="HZ54" s="1084" t="str">
        <f>IF(parcelles!D102="","",IF(parcelles!F102=0,"",IF(parcelles!C102=ChanvreIndustriel,"soit "&amp;parcelles!E102*0.8*0.8&amp;"t de grain et "&amp;parcelles!E102*7*0.8&amp;"t de paille",IF(parcelles!C102=Luzerne,"soit "&amp;10*0.8*parcelles!E102&amp;"t/an",IF(parcelles!C102=Miscanthus,"soit "&amp;10.5*0.8*parcelles!E102&amp;"t/an","soit "&amp;INDEX(parcelles!$C$56:$Y$77,MATCH(parcelles!B102,parcelles!$B$56:$B$77,0),MATCH(parcelles!C102,parcelles!$C$53:$Y$53,0))*0.8*parcelles!E102&amp;"t")))))</f>
        <v/>
      </c>
      <c r="IA54" s="1084" t="str">
        <f>IF(parcelles!L102="","",(VLOOKUP(parcelles!M102,BDD!$HN$5:$HU$38,2,FALSE))*parcelles!O102)</f>
        <v/>
      </c>
      <c r="IB54" s="1084" t="str">
        <f>IF(parcelles!L102="","",IF(OR(parcelles!M102=Moutarde,parcelles!M102=Phacélie),0,IF(parcelles!M102=Luzerne,10*parcelles!O102*VLOOKUP(parcelles!M102,BDD!$HN$5:$HU$38,3,FALSE),IF(parcelles!M102=Miscanthus,10.5*parcelles!O102*VLOOKUP(parcelles!M102,BDD!$HN$5:$HU$38,3,FALSE),INDEX(parcelles!$C$56:'parcelles'!$Y$77,MATCH(parcelles!L102,parcelles!$B$56:'parcelles'!$B$77,0),MATCH(parcelles!M102,parcelles!$C$53:'parcelles'!$Y$53,0))*parcelles!O102*VLOOKUP(parcelles!M102,BDD!$HN$5:$HU$38,3,FALSE)))))</f>
        <v/>
      </c>
      <c r="IC54" s="1084" t="str">
        <f>IF(parcelles!L102="","",IF(OR(parcelles!M102=Moutarde,parcelles!M102=Phacélie),0,IF(parcelles!M102=Luzerne,10*parcelles!O102*VLOOKUP(parcelles!M102,BDD!$HN$5:$HU$38,4,FALSE),IF(parcelles!M102=Miscanthus,10.5*parcelles!O102*VLOOKUP(parcelles!M102,BDD!$HN$5:$HU$38,4,FALSE),INDEX(parcelles!$C$56:'parcelles'!$Y$77,MATCH(parcelles!L102,parcelles!$B$56:'parcelles'!$B$77,0),MATCH(parcelles!M102,parcelles!$C$53:'parcelles'!$Y$53,0))*parcelles!O102*VLOOKUP(parcelles!M102,BDD!$HN$5:$HU$38,4,FALSE)))))</f>
        <v/>
      </c>
      <c r="ID54" s="1084" t="str">
        <f>IF(parcelles!L102="","",IF(OR(parcelles!M102=Moutarde,parcelles!M102=Phacélie),0,IF(parcelles!M102=Luzerne,10*parcelles!O102*VLOOKUP(parcelles!M102,BDD!$HN$5:$HU$38,5,FALSE),IF(parcelles!M102=Miscanthus,10.5*parcelles!O102*VLOOKUP(parcelles!M102,BDD!$HN$5:$HU$38,5,FALSE),INDEX(parcelles!$C$56:'parcelles'!$Y$77,MATCH(parcelles!L102,parcelles!$B$56:'parcelles'!$B$77,0),MATCH(parcelles!M102,parcelles!$C$53:'parcelles'!$Y$53,0))*parcelles!O102*VLOOKUP(parcelles!M102,BDD!$HN$5:$HU$38,5,FALSE)))))</f>
        <v/>
      </c>
      <c r="IE54" s="1084" t="str">
        <f>IF(parcelles!L102="","",IF(OR(parcelles!M102=Moutarde,parcelles!M102=Phacélie),0,IF(parcelles!M102=Luzerne,10*parcelles!O102*VLOOKUP(parcelles!M102,BDD!$HN$5:$HU$38,6,FALSE),IF(parcelles!M102=Miscanthus,10.5*parcelles!O102*VLOOKUP(parcelles!M102,BDD!$HN$5:$HU$38,6,FALSE),INDEX(parcelles!$C$56:'parcelles'!$Y$77,MATCH(parcelles!L102,parcelles!$B$56:'parcelles'!$B$77,0),MATCH(parcelles!M102,parcelles!$C$53:'parcelles'!$Y$53,0))*parcelles!O102*VLOOKUP(parcelles!M102,BDD!$HN$5:$HU$38,6,FALSE)))))</f>
        <v/>
      </c>
      <c r="IF54" s="1084" t="str">
        <f>IF(parcelles!L102="","",IF(OR(parcelles!M102=Moutarde,parcelles!M102=Phacélie),0,IF(parcelles!M102=Luzerne,10*parcelles!O102*VLOOKUP(parcelles!M102,BDD!$HN$5:$HU$38,7,FALSE),IF(parcelles!M102=Miscanthus,10.5*parcelles!O102*VLOOKUP(parcelles!M102,BDD!$HN$5:$HU$38,7,FALSE),INDEX(parcelles!$C$56:'parcelles'!$Y$77,MATCH(parcelles!L102,parcelles!$B$56:'parcelles'!$B$77,0),MATCH(parcelles!M102,parcelles!$C$53:'parcelles'!$Y$53,0))*parcelles!O102*VLOOKUP(parcelles!M102,BDD!$HN$5:$HU$38,7,FALSE)))))</f>
        <v/>
      </c>
      <c r="IG54" s="1084" t="str">
        <f>IF(parcelles!L102="","",IF(OR(parcelles!M102=Moutarde,parcelles!M102=Phacélie),0,IF(parcelles!M102=Luzerne,10*parcelles!O102*VLOOKUP(parcelles!M102,BDD!$HN$5:$HU$38,8,FALSE),IF(parcelles!M102=Miscanthus,10.5*parcelles!O102*VLOOKUP(parcelles!M102,BDD!$HN$5:$HU$38,8,FALSE),INDEX(parcelles!$C$56:'parcelles'!$Y$77,MATCH(parcelles!L102,parcelles!$B$56:'parcelles'!$B$77,0),MATCH(parcelles!M102,parcelles!$C$53:'parcelles'!$Y$53,0))*parcelles!O102*VLOOKUP(parcelles!M102,BDD!$HN$5:$HU$38,8,FALSE)))))</f>
        <v/>
      </c>
      <c r="IH54" s="1084" t="str">
        <f>IF(parcelles!L102="","",IF(OR(parcelles!L102=Moutarde,parcelles!L102=Phacélie),0,1.6*parcelles!O102))</f>
        <v/>
      </c>
      <c r="II54" s="1084" t="str">
        <f>IF(parcelles!L102="","",IF(OR(parcelles!L102=Moutarde,parcelles!L102=Phacélie),0,1.6*parcelles!O102))</f>
        <v/>
      </c>
      <c r="IJ54" s="1084" t="str">
        <f>IF(parcelles!L102="","",IF(OR(parcelles!L102=Moutarde,parcelles!L102=Phacélie),0,1.6*parcelles!O102))</f>
        <v/>
      </c>
      <c r="IK54" s="1084" t="str">
        <f>IF(parcelles!P102="","",IF(parcelles!R102=0,"",IF(parcelles!O102=ChanvreIndustriel,"soit "&amp;parcelles!Q102*0.8&amp;"t de grain et "&amp;parcelles!Q102*7&amp;"t de paille",IF(parcelles!O102=Luzerne,"soit "&amp;10*parcelles!Q102&amp;"t/an",IF(parcelles!O102=Miscanthus,"soit "&amp;10.5*parcelles!Q102&amp;"t/an","soit "&amp;INDEX(parcelles!$C$56:$Y$77,MATCH(parcelles!N102,parcelles!$B$56:$B$77,0),MATCH(parcelles!O102,parcelles!$C$53:$Y$53,0))*parcelles!Q102&amp;"t")))))</f>
        <v/>
      </c>
      <c r="IL54" s="1084" t="str">
        <f>IF(parcelles!P102="","",IF(parcelles!R102=0,"",IF(parcelles!O102=ChanvreIndustriel,"soit "&amp;parcelles!Q102*0.8*0.8&amp;"t de grain et "&amp;parcelles!Q102*7*0.8&amp;"t de paille",IF(parcelles!O102=Luzerne,"soit "&amp;10*0.8*parcelles!Q102&amp;"t/an",IF(parcelles!O102=Miscanthus,"soit "&amp;10.5*0.8*parcelles!Q102&amp;"t/an","soit "&amp;INDEX(parcelles!$C$56:$Y$77,MATCH(parcelles!N102,parcelles!$B$56:$B$77,0),MATCH(parcelles!O102,parcelles!$C$53:$Y$53,0))*0.8*parcelles!Q102&amp;"t")))))</f>
        <v/>
      </c>
      <c r="IM54" s="1084" t="str">
        <f>IF(parcelles!S102="","",IF(parcelles!U102=0,"",IF(parcelles!R102=ChanvreIndustriel,parcelles!T102*0.8*0.8+parcelles!T102*7*0.8,IF(parcelles!R102=Luzerne,10*0.8*parcelles!T102,IF(parcelles!R102=Miscanthus,10.5*0.8*parcelles!T102,INDEX(parcelles!$C$56:$Y$77,MATCH(parcelles!Q102,parcelles!$B$56:$B$77,0),MATCH(parcelles!R102,parcelles!$C$53:$Y$53,0))*0.8*parcelles!T102)))))</f>
        <v/>
      </c>
      <c r="IN54" s="1368"/>
    </row>
    <row r="55" spans="1:248" ht="12.75" customHeight="1" x14ac:dyDescent="0.2">
      <c r="A55" s="1307">
        <v>1</v>
      </c>
      <c r="B55" s="1232">
        <v>0</v>
      </c>
      <c r="C55" s="1233">
        <v>0</v>
      </c>
      <c r="D55" s="1321"/>
      <c r="E55" s="1321"/>
      <c r="F55" s="1143" t="s">
        <v>843</v>
      </c>
      <c r="G55" s="1143"/>
      <c r="H55" s="1143">
        <v>5</v>
      </c>
      <c r="I55" s="1143"/>
      <c r="J55" s="1321"/>
      <c r="K55" s="1321"/>
      <c r="L55" s="1321"/>
      <c r="M55" s="1321"/>
      <c r="N55" s="1321"/>
      <c r="O55" s="1143" t="s">
        <v>519</v>
      </c>
      <c r="P55" s="1143">
        <v>6.4</v>
      </c>
      <c r="Q55" s="1143">
        <v>6</v>
      </c>
      <c r="R55" s="1143">
        <v>5.5</v>
      </c>
      <c r="S55" s="1143">
        <v>3.9</v>
      </c>
      <c r="T55" s="1143">
        <v>3.8</v>
      </c>
      <c r="U55" s="1143">
        <v>6.2</v>
      </c>
      <c r="V55" s="1143"/>
      <c r="W55" s="1143">
        <v>7.5</v>
      </c>
      <c r="X55" s="1143">
        <v>10.4</v>
      </c>
      <c r="Y55" s="1143">
        <v>60</v>
      </c>
      <c r="Z55" s="1143">
        <v>3</v>
      </c>
      <c r="AA55" s="1143">
        <v>2.8</v>
      </c>
      <c r="AB55" s="1143">
        <v>4.0999999999999996</v>
      </c>
      <c r="AC55" s="1143">
        <v>3.1</v>
      </c>
      <c r="AD55" s="1143">
        <v>2.2999999999999998</v>
      </c>
      <c r="AE55" s="1143">
        <v>0</v>
      </c>
      <c r="AF55" s="1143">
        <v>38.1</v>
      </c>
      <c r="AG55" s="1143">
        <v>0</v>
      </c>
      <c r="AH55" s="1143">
        <v>0</v>
      </c>
      <c r="AI55" s="1143">
        <v>0</v>
      </c>
      <c r="AJ55" s="1143">
        <v>0</v>
      </c>
      <c r="AK55" s="1143">
        <v>0</v>
      </c>
      <c r="AL55" s="1143">
        <v>8.8000000000000007</v>
      </c>
      <c r="AM55" s="1143"/>
      <c r="AN55" s="1143">
        <v>0</v>
      </c>
      <c r="AO55" s="1143">
        <v>21</v>
      </c>
      <c r="AP55" s="1143">
        <v>0</v>
      </c>
      <c r="AQ55" s="1143">
        <v>0</v>
      </c>
      <c r="AR55" s="1143">
        <v>10</v>
      </c>
      <c r="AS55" s="1143">
        <v>0</v>
      </c>
      <c r="AT55" s="1143">
        <v>7</v>
      </c>
      <c r="AU55" s="1143">
        <v>0</v>
      </c>
      <c r="AV55" s="1143">
        <v>0</v>
      </c>
      <c r="AW55" s="1143">
        <v>8.5</v>
      </c>
      <c r="AX55" s="1143">
        <v>10</v>
      </c>
      <c r="AY55" s="1143">
        <v>10</v>
      </c>
      <c r="AZ55" s="1321"/>
      <c r="BA55" s="1321"/>
      <c r="BB55" s="1321"/>
      <c r="BC55" s="1149" t="s">
        <v>1053</v>
      </c>
      <c r="BD55" s="1214">
        <v>400</v>
      </c>
      <c r="BE55" s="1321"/>
      <c r="BF55" s="1149" t="s">
        <v>1053</v>
      </c>
      <c r="BG55" s="1214">
        <v>480</v>
      </c>
      <c r="BH55" s="1321"/>
      <c r="BI55" s="1321"/>
      <c r="BJ55" s="1321"/>
      <c r="BK55" s="1345"/>
      <c r="BL55" s="1348"/>
      <c r="BM55" s="1075" t="s">
        <v>1271</v>
      </c>
      <c r="BN55" s="1075">
        <f t="array" ref="BN55">IF(Ration_hivernale_complète_bisons[somme]&gt;0,0,IFERROR(IF(OR(AND(INDEX(Règles_bison[Specificite],MATCH(ChoixRationBisons&amp;$BM55,Règles_bison[Ration]&amp;Règles_bison[Aliment],0))="s1",IF($BM55=ChoixSpécificité1Bisons,1)),
AND(INDEX(Règles_bison[Specificite],MATCH(ChoixRationBisons&amp;$BM55,Règles_bison[Ration]&amp;Règles_bison[Aliment],0))="s2",IF($BM55=ChoixSpécificité2Bisons,1)),INDEX(Règles_bison[Specificite],MATCH(ChoixRationBisons&amp;$BM55,Règles_bison[Ration]&amp;Règles_bison[Aliment],0))="c"),
INDEX(Règles_bison[Valeur 36 et plus],MATCH(ChoixRationBisons&amp;$BM55,Règles_bison[Ration]&amp;Règles_bison[Aliment],0)),0),0)*TotalBisonsMalesAdultes*SUM(NbreJoursNourrirBisonsDaims))</f>
        <v>0</v>
      </c>
      <c r="BO55" s="1075">
        <f t="array" ref="BO55">IF(Ration_hivernale_complète_bisons[somme]&gt;0,0,IFERROR(IF(OR(AND(INDEX(Règles_bison[Specificite],MATCH(ChoixRationBisons&amp;$BM55,Règles_bison[Ration]&amp;Règles_bison[Aliment],0))="s1",IF($BM55=ChoixSpécificité1Bisons,1)),
AND(INDEX(Règles_bison[Specificite],MATCH(ChoixRationBisons&amp;$BM55,Règles_bison[Ration]&amp;Règles_bison[Aliment],0))="s2",IF($BM55=ChoixSpécificité2Bisons,1)),INDEX(Règles_bison[Specificite],MATCH(ChoixRationBisons&amp;$BM55,Règles_bison[Ration]&amp;Règles_bison[Aliment],0))="c"),
INDEX(Règles_bison[Valeur 24-36],MATCH(ChoixRationBisons&amp;$BM55,Règles_bison[Ration]&amp;Règles_bison[Aliment],0)),0),0)*TotalBisonsMales_24_36_mois*SUM(NbreJoursNourrirBisonsDaims))</f>
        <v>0</v>
      </c>
      <c r="BP55" s="1075">
        <f t="array" ref="BP55">IF(Ration_hivernale_complète_bisons[somme]&gt;0,0,IFERROR(IF(OR(AND(INDEX(Règles_bison[Specificite],MATCH(ChoixRationBisons&amp;$BM55,Règles_bison[Ration]&amp;Règles_bison[Aliment],0))="s1",IF($BM55=ChoixSpécificité1Bisons,1)),
AND(INDEX(Règles_bison[Specificite],MATCH(ChoixRationBisons&amp;$BM55,Règles_bison[Ration]&amp;Règles_bison[Aliment],0))="s2",IF($BM55=ChoixSpécificité2Bisons,1)),INDEX(Règles_bison[Specificite],MATCH(ChoixRationBisons&amp;$BM55,Règles_bison[Ration]&amp;Règles_bison[Aliment],0))="c"),
INDEX(Règles_bison[Valeur 18-24],MATCH(ChoixRationBisons&amp;$BM55,Règles_bison[Ration]&amp;Règles_bison[Aliment],0)),0),0)*TotalBisonsMales_18_24_mois*SUM(NbreJoursNourrirBisonsDaims))</f>
        <v>0</v>
      </c>
      <c r="BQ55" s="1075">
        <f t="array" ref="BQ55">IF(Ration_hivernale_complète_bisons[somme]&gt;0,0,IFERROR(IF(OR(AND(INDEX(Règles_bison[Specificite],MATCH(ChoixRationBisons&amp;$BM55,Règles_bison[Ration]&amp;Règles_bison[Aliment],0))="s1",IF($BM55=ChoixSpécificité1Bisons,1)),
AND(INDEX(Règles_bison[Specificite],MATCH(ChoixRationBisons&amp;$BM55,Règles_bison[Ration]&amp;Règles_bison[Aliment],0))="s2",IF($BM55=ChoixSpécificité2Bisons,1)),INDEX(Règles_bison[Specificite],MATCH(ChoixRationBisons&amp;$BM55,Règles_bison[Ration]&amp;Règles_bison[Aliment],0))="c"),
INDEX(Règles_bison[Valeur 12-18],MATCH(ChoixRationBisons&amp;$BM55,Règles_bison[Ration]&amp;Règles_bison[Aliment],0)),0),0)*TotalBisonsMales_12_18_mois*SUM(NbreJoursNourrirBisonsDaims))</f>
        <v>0</v>
      </c>
      <c r="BR55" s="1075">
        <f t="array" ref="BR55">IF(Ration_hivernale_complète_bisons[somme]&gt;0,0,IFERROR(IF(OR(AND(INDEX(Règles_bison[Specificite],MATCH(ChoixRationBisons&amp;$BM55,Règles_bison[Ration]&amp;Règles_bison[Aliment],0))="s1",IF($BM55=ChoixSpécificité1Bisons,1)),
AND(INDEX(Règles_bison[Specificite],MATCH(ChoixRationBisons&amp;$BM55,Règles_bison[Ration]&amp;Règles_bison[Aliment],0))="s2",IF($BM55=ChoixSpécificité2Bisons,1)),INDEX(Règles_bison[Specificite],MATCH(ChoixRationBisons&amp;$BM55,Règles_bison[Ration]&amp;Règles_bison[Aliment],0))="c"),
INDEX(Règles_bison[Valeur 6-12],MATCH(ChoixRationBisons&amp;$BM55,Règles_bison[Ration]&amp;Règles_bison[Aliment],0)),0),0)*TotalBisonsMales_6_12_mois*SUM(NbreJoursNourrirBisonsDaims))</f>
        <v>0</v>
      </c>
      <c r="BS55" s="1075">
        <f t="array" ref="BS55">IF(Ration_hivernale_complète_bisons[somme]&gt;0,0,IFERROR(IF(OR(AND(INDEX(Règles_bison[Specificite],MATCH(ChoixRationBisons&amp;$BM55,Règles_bison[Ration]&amp;Règles_bison[Aliment],0))="s1",IF($BM55=ChoixSpécificité1Bisons,1)),
AND(INDEX(Règles_bison[Specificite],MATCH(ChoixRationBisons&amp;$BM55,Règles_bison[Ration]&amp;Règles_bison[Aliment],0))="s2",IF($BM55=ChoixSpécificité2Bisons,1)),INDEX(Règles_bison[Specificite],MATCH(ChoixRationBisons&amp;$BM55,Règles_bison[Ration]&amp;Règles_bison[Aliment],0))="c"),
INDEX(Règles_bison[Valeur 3-6],MATCH(ChoixRationBisons&amp;$BM55,Règles_bison[Ration]&amp;Règles_bison[Aliment],0)),0),0)*TotalBisonsMales_3_6_mois*SUM(NbreJoursNourrirBisonsDaims))</f>
        <v>0</v>
      </c>
      <c r="BT55" s="1075">
        <f t="array" ref="BT55">IF(Ration_hivernale_complète_bisons[somme]&gt;0,0,IFERROR(IF(OR(AND(INDEX(Règles_bison[Specificite],MATCH(ChoixRationBisons&amp;$BM55,Règles_bison[Ration]&amp;Règles_bison[Aliment],0))="s1",IF($BM55=ChoixSpécificité1Bisons,1)),
AND(INDEX(Règles_bison[Specificite],MATCH(ChoixRationBisons&amp;$BM55,Règles_bison[Ration]&amp;Règles_bison[Aliment],0))="s2",IF($BM55=ChoixSpécificité2Bisons,1)),INDEX(Règles_bison[Specificite],MATCH(ChoixRationBisons&amp;$BM55,Règles_bison[Ration]&amp;Règles_bison[Aliment],0))="c"),
INDEX(Règles_bison[Valeur 0-3],MATCH(ChoixRationBisons&amp;$BM55,Règles_bison[Ration]&amp;Règles_bison[Aliment],0)),0),0)*TotalBisonsMales_0_3_mois*SUM(NbreJoursNourrirBisonsDaims))</f>
        <v>0</v>
      </c>
      <c r="BU55" s="1075">
        <f t="shared" si="10"/>
        <v>0</v>
      </c>
      <c r="BV55" s="1345"/>
      <c r="BW55" s="1345"/>
      <c r="BX55" s="1176" t="s">
        <v>761</v>
      </c>
      <c r="BY55" s="1177" t="s">
        <v>1271</v>
      </c>
      <c r="BZ55" s="1177" t="s">
        <v>1252</v>
      </c>
      <c r="CA55" s="1177">
        <v>0.08</v>
      </c>
      <c r="CB55" s="1177">
        <v>0.04</v>
      </c>
      <c r="CC55" s="1177">
        <v>0.04</v>
      </c>
      <c r="CD55" s="1199">
        <v>0.04</v>
      </c>
      <c r="CE55" s="1350"/>
      <c r="CF55" s="1350"/>
      <c r="CG55" s="1350"/>
      <c r="CH55" s="1350"/>
      <c r="CI55" s="1321"/>
      <c r="CJ55" s="808" t="s">
        <v>715</v>
      </c>
      <c r="CK55" s="788">
        <f t="array" ref="CK5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55" s="788">
        <f t="array" ref="CL5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55" s="788">
        <f t="array" ref="CM5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55" s="788">
        <f t="array" ref="CN5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55" s="788">
        <f t="array" ref="CO5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55" s="812">
        <f>SUM(AlimentsRationPorcinsMâles[[#This Row],[Valeur 12 et plus]:[Valeur 0-1]])</f>
        <v>0</v>
      </c>
      <c r="CQ55" s="1321"/>
      <c r="CR55" s="1321"/>
      <c r="CS55" s="1336" t="s">
        <v>1706</v>
      </c>
      <c r="CT55" s="1336"/>
      <c r="CU55" s="1336"/>
      <c r="CV55" s="1336"/>
      <c r="CW55" s="1336"/>
      <c r="CX55" s="1321"/>
      <c r="CY55" s="1321"/>
      <c r="CZ55" s="1336" t="s">
        <v>1709</v>
      </c>
      <c r="DA55" s="1336"/>
      <c r="DB55" s="1336"/>
      <c r="DC55" s="1336"/>
      <c r="DD55" s="1336"/>
      <c r="DE55" s="1321"/>
      <c r="DF55" s="1321"/>
      <c r="DG55" s="808" t="s">
        <v>1718</v>
      </c>
      <c r="DH55" s="817">
        <f t="array" ref="DH5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55" s="817">
        <f t="array" ref="DI5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55" s="817">
        <f t="array" ref="DJ5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55" s="818">
        <f>SUM(AlimentsRationPintadesMâles[[#This Row],[Valeur 9 et plus]:[Valeur 0-1]])</f>
        <v>0</v>
      </c>
      <c r="DL55" s="1364"/>
      <c r="DM55" s="1364"/>
      <c r="DN55" s="1143" t="s">
        <v>1046</v>
      </c>
      <c r="DO55" s="1143">
        <v>870</v>
      </c>
      <c r="DP55" s="1321"/>
      <c r="DQ55" s="1143" t="s">
        <v>1046</v>
      </c>
      <c r="DR55" s="1143">
        <v>1044</v>
      </c>
      <c r="DS55" s="1345"/>
      <c r="DT55" s="1346"/>
      <c r="DU55" s="1346"/>
      <c r="DV55" s="1075" t="s">
        <v>65</v>
      </c>
      <c r="DW55" s="1269">
        <f t="array" ref="DW55">IF(ChoixRationComplèteDaims=OUI,0,IFERROR(IF(OR(AND(INDEX(Règles_daims[Specificite],MATCH(ChoixRationDaims&amp;DV55,Règles_daims[Ration]&amp;Règles_daims[Aliment],0))="s1",IF(DV55=Spécificité1Daims,1)),
AND(INDEX(Règles_daims[Specificite],MATCH(ChoixRationDaims&amp;DV55,Règles_daims[Ration]&amp;Règles_daims[Aliment],0))="s2",IF(DV55=Spécificité2Daims,1)),
INDEX(Règles_daims[Specificite],MATCH(ChoixRationDaims&amp;DV55,Règles_daims[Ration]&amp;Règles_daims[Aliment],0))="c"),
INDEX(Règles_daims[Valeur 36 et plus],MATCH(ChoixRationDaims&amp;DV55,Règles_daims[Ration]&amp;Règles_daims[Aliment],0)),0),0)*SUM(TotalDaimsAdultes)*SUM(NbreJoursNourrirBisonsDaims))</f>
        <v>0</v>
      </c>
      <c r="DX55" s="1269">
        <f t="array" ref="DX55">IF(ChoixRationComplèteDaims=OUI,0,IFERROR(IF(OR(AND(INDEX(Règles_daims[Specificite],MATCH(ChoixRationDaims&amp;DV55,Règles_daims[Ration]&amp;Règles_daims[Aliment],0))="s1",IF(DV55=Spécificité1Daims,1)),
AND(INDEX(Règles_daims[Specificite],MATCH(ChoixRationDaims&amp;DV55,Règles_daims[Ration]&amp;Règles_daims[Aliment],0))="s2",IF(DV55=Spécificité2Daims,1)),
INDEX(Règles_daims[Specificite],MATCH(ChoixRationDaims&amp;DV55,Règles_daims[Ration]&amp;Règles_daims[Aliment],0))="c"),
INDEX(Règles_daims[Valeur 24-36],MATCH(ChoixRationDaims&amp;DV55,Règles_daims[Ration]&amp;Règles_daims[Aliment],0)),0),0)*SUM(TotalDaims24_36)*SUM(NbreJoursNourrirBisonsDaims))</f>
        <v>0</v>
      </c>
      <c r="DY55" s="1269">
        <f t="array" ref="DY55">IF(ChoixRationComplèteDaims=OUI,0,IFERROR(IF(OR(AND(INDEX(Règles_daims[Specificite],MATCH(ChoixRationDaims&amp;DV55,Règles_daims[Ration]&amp;Règles_daims[Aliment],0))="s1",IF(DV55=Spécificité1Daims,1)),
AND(INDEX(Règles_daims[Specificite],MATCH(ChoixRationDaims&amp;DV55,Règles_daims[Ration]&amp;Règles_daims[Aliment],0))="s2",IF(DV55=Spécificité2Daims,1)),
INDEX(Règles_daims[Specificite],MATCH(ChoixRationDaims&amp;DV55,Règles_daims[Ration]&amp;Règles_daims[Aliment],0))="c"),
INDEX(Règles_daims[Valeur 18-24],MATCH(ChoixRationDaims&amp;DV55,Règles_daims[Ration]&amp;Règles_daims[Aliment],0)),0),0)*SUM(TotalDaims18_24)*SUM(NbreJoursNourrirBisonsDaims))</f>
        <v>0</v>
      </c>
      <c r="DZ55" s="1280">
        <f t="array" ref="DZ55">IF(ChoixRationComplèteDaims=OUI,0,IFERROR(IF(OR(AND(INDEX(Règles_daims[Specificite],MATCH(ChoixRationDaims&amp;DV55,Règles_daims[Ration]&amp;Règles_daims[Aliment],0))="s1",IF(DV55=Spécificité1Daims,1)),
AND(INDEX(Règles_daims[Specificite],MATCH(ChoixRationDaims&amp;DV55,Règles_daims[Ration]&amp;Règles_daims[Aliment],0))="s2",IF(DV55=Spécificité2Daims,1)),
INDEX(Règles_daims[Specificite],MATCH(ChoixRationDaims&amp;DV55,Règles_daims[Ration]&amp;Règles_daims[Aliment],0))="c"),
INDEX(Règles_daims[Valeur 12-18],MATCH(ChoixRationDaims&amp;DV55,Règles_daims[Ration]&amp;Règles_daims[Aliment],0)),0),0)*SUM(TotalDaims12_18)*SUM(NbreJoursNourrirBisonsDaims))</f>
        <v>0</v>
      </c>
      <c r="EA55" s="1280">
        <f t="array" ref="EA55">IF(ChoixRationComplèteDaims=OUI,0,IFERROR(IF(OR(AND(INDEX(Règles_daims[Specificite],MATCH(ChoixRationDaims&amp;DV55,Règles_daims[Ration]&amp;Règles_daims[Aliment],0))="s1",IF(DV55=Spécificité1Daims,1)),
AND(INDEX(Règles_daims[Specificite],MATCH(ChoixRationDaims&amp;DV55,Règles_daims[Ration]&amp;Règles_daims[Aliment],0))="s2",IF(DV55=Spécificité2Daims,1)),
INDEX(Règles_daims[Specificite],MATCH(ChoixRationDaims&amp;DV55,Règles_daims[Ration]&amp;Règles_daims[Aliment],0))="c"),
INDEX(Règles_daims[Valeur 6-12],MATCH(ChoixRationDaims&amp;DV55,Règles_daims[Ration]&amp;Règles_daims[Aliment],0)),0),0)*SUM(TotalDaims6_12)*SUM(NbreJoursNourrirBisonsDaims))</f>
        <v>0</v>
      </c>
      <c r="EB55" s="1280">
        <f t="array" ref="EB55">IF(ChoixRationComplèteDaims=OUI,0,IFERROR(IF(OR(AND(INDEX(Règles_daims[Specificite],MATCH(ChoixRationDaims&amp;DV55,Règles_daims[Ration]&amp;Règles_daims[Aliment],0))="s1",IF(DV55=Spécificité1Daims,1)),
AND(INDEX(Règles_daims[Specificite],MATCH(ChoixRationDaims&amp;DV55,Règles_daims[Ration]&amp;Règles_daims[Aliment],0))="s2",IF(DV55=Spécificité2Daims,1)),
INDEX(Règles_daims[Specificite],MATCH(ChoixRationDaims&amp;DV55,Règles_daims[Ration]&amp;Règles_daims[Aliment],0))="c"),
INDEX(Règles_daims[Valeur 3-6],MATCH(ChoixRationDaims&amp;DV55,Règles_daims[Ration]&amp;Règles_daims[Aliment],0)),0),0)*SUM(TotalDaims3_6)*SUM(NbreJoursNourrirBisonsDaims))</f>
        <v>0</v>
      </c>
      <c r="EC55" s="1280">
        <f t="array" ref="EC55">IF(ChoixRationComplèteDaims=OUI,0,IFERROR(IF(OR(AND(INDEX(Règles_daims[Specificite],MATCH(ChoixRationDaims&amp;DV55,Règles_daims[Ration]&amp;Règles_daims[Aliment],0))="s1",IF(DV55=Spécificité1Daims,1)),
AND(INDEX(Règles_daims[Specificite],MATCH(ChoixRationDaims&amp;DV55,Règles_daims[Ration]&amp;Règles_daims[Aliment],0))="s2",IF(DV55=Spécificité2Daims,1)),
INDEX(Règles_daims[Specificite],MATCH(ChoixRationDaims&amp;DV55,Règles_daims[Ration]&amp;Règles_daims[Aliment],0))="c"),
INDEX(Règles_daims[Valeur 0-3],MATCH(ChoixRationDaims&amp;DV55,Règles_daims[Ration]&amp;Règles_daims[Aliment],0)),0),0)*SUM(TotalDaims0_3)*SUM(NbreJoursNourrirBisonsDaims))</f>
        <v>0</v>
      </c>
      <c r="ED55" s="1280">
        <f t="shared" si="9"/>
        <v>0</v>
      </c>
      <c r="EE55" s="1345"/>
      <c r="EF55" s="1321"/>
      <c r="EG55" s="808" t="s">
        <v>285</v>
      </c>
      <c r="EH55" s="817">
        <f t="array" ref="EH5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55" s="817">
        <f t="array" ref="EI5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55" s="817">
        <f t="array" ref="EJ5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55" s="818">
        <f>SUM(AlimentsRationOiesMâles[[#This Row],[Valeur 6 et plus]:[Valeur 0-3]])</f>
        <v>0</v>
      </c>
      <c r="EL55" s="1364"/>
      <c r="EM55" s="1321"/>
      <c r="EN55" s="808" t="s">
        <v>730</v>
      </c>
      <c r="EO55" s="817">
        <f t="array" ref="EO5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55" s="817">
        <f t="array" ref="EP5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55" s="817">
        <f t="array" ref="EQ5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55" s="818">
        <f>SUM(Ration_canards_Mâles[[#This Row],[Valeur 6 et plus]:[Valeur 0-3]])</f>
        <v>0</v>
      </c>
      <c r="ES55" s="1364"/>
      <c r="ET55" s="1346"/>
      <c r="EU55" s="1200"/>
      <c r="EV55" s="1201"/>
      <c r="EW55" s="1201"/>
      <c r="EX55" s="1201"/>
      <c r="EY55" s="1201"/>
      <c r="EZ55" s="1201"/>
      <c r="FA55" s="1227"/>
      <c r="FB55" s="1345"/>
      <c r="FC55" s="1321"/>
      <c r="FD55" s="1083" t="s">
        <v>523</v>
      </c>
      <c r="FE55" s="1283">
        <f t="array" ref="FE55">IF(OR(ChoixRationComplèteEtéChevauxTrait=OUI,ChoixRationComplèteEtéChevauxTrait="",AND(ChoixChevauxTraitPréHiver=OUI,ChoixChevauxTraitPréEté=OUI)),0,IFERROR(IF(OR(AND(INDEX(Règles_chevaux_trait[Specificite],MATCH(RationEtéChevauxTrait&amp;$FD55,Règles_chevaux_trait[Ration]&amp;Règles_chevaux_trait[Aliment],0))="s1",IF($FD55=Spécificité1ChevauxTrait,1)),
AND(INDEX(Règles_chevaux_trait[Specificite],MATCH(RationEtéChevauxTrait&amp;$FD55,Règles_chevaux_trait[Ration]&amp;Règles_chevaux_trait[Aliment],0))="s2",IF($FD55=Spécificité2ChevauxTrait,1)),
INDEX(Règles_chevaux_trait[Specificite],MATCH(RationEtéChevauxTrait&amp;$FD55,Règles_chevaux_trait[Ration]&amp;Règles_chevaux_trait[Aliment],0))="c"),
INDEX(Règles_chevaux_trait[Valeur 36 et plus],MATCH(RationEtéChevauxTrait&amp;$FD55,Règles_chevaux_trait[Ration]&amp;Règles_chevaux_trait[Aliment],0)),0),0)*TotalEtalonTrait*SUM(NbreJoursNourrirChevauxTrait))</f>
        <v>0</v>
      </c>
      <c r="FF55" s="1283">
        <f t="array" ref="FF55">IF(OR(ChoixRationComplèteEtéChevauxTrait=OUI,ChoixRationComplèteEtéChevauxTrait="",AND(ChoixChevauxTraitPréHiver=OUI,ChoixChevauxTraitPréEté=OUI)),0,IFERROR(IF(OR(AND(INDEX(Règles_chevaux_trait[Specificite],MATCH(RationEtéChevauxTrait&amp;$FD55,Règles_chevaux_trait[Ration]&amp;Règles_chevaux_trait[Aliment],0))="s1",IF($FD55=Spécificité1ChevauxTrait,1)),
AND(INDEX(Règles_chevaux_trait[Specificite],MATCH(RationEtéChevauxTrait&amp;$FD55,Règles_chevaux_trait[Ration]&amp;Règles_chevaux_trait[Aliment],0))="s2",IF($FD55=Spécificité2ChevauxTrait,1)),
INDEX(Règles_chevaux_trait[Specificite],MATCH(RationEtéChevauxTrait&amp;$FD55,Règles_chevaux_trait[Ration]&amp;Règles_chevaux_trait[Aliment],0))="c"),
INDEX(Règles_chevaux_trait[Valeur 24-36],MATCH(RationEtéChevauxTrait&amp;$FD55,Règles_chevaux_trait[Ration]&amp;Règles_chevaux_trait[Aliment],0)),0),0)*TotalJeuneEtalonTrait_24_36_mois*SUM(NbreJoursNourrirChevauxTrait))</f>
        <v>0</v>
      </c>
      <c r="FG55" s="1283">
        <f t="array" ref="FG55">IF(OR(ChoixRationComplèteEtéChevauxTrait=OUI,ChoixRationComplèteEtéChevauxTrait="",AND(ChoixChevauxTraitPréHiver=OUI,ChoixChevauxTraitPréEté=OUI)),0,IFERROR(IF(OR(AND(INDEX(Règles_chevaux_trait[Specificite],MATCH(RationEtéChevauxTrait&amp;$FD55,Règles_chevaux_trait[Ration]&amp;Règles_chevaux_trait[Aliment],0))="s1",IF($FD55=Spécificité1ChevauxTrait,1)),
AND(INDEX(Règles_chevaux_trait[Specificite],MATCH(RationEtéChevauxTrait&amp;$FD55,Règles_chevaux_trait[Ration]&amp;Règles_chevaux_trait[Aliment],0))="s2",IF($FD55=Spécificité2ChevauxTrait,1)),
INDEX(Règles_chevaux_trait[Specificite],MATCH(RationEtéChevauxTrait&amp;$FD55,Règles_chevaux_trait[Ration]&amp;Règles_chevaux_trait[Aliment],0))="c"),
INDEX(Règles_chevaux_trait[Valeur 12-24],MATCH(RationEtéChevauxTrait&amp;$FD55,Règles_chevaux_trait[Ration]&amp;Règles_chevaux_trait[Aliment],0)),0),0)*TotalJeuneEtalonTrait_12_24_mois*SUM(NbreJoursNourrirChevauxTrait))</f>
        <v>0</v>
      </c>
      <c r="FH55" s="1286">
        <f t="array" ref="FH55">IF(OR(ChoixRationComplèteEtéChevauxTrait=OUI,ChoixRationComplèteEtéChevauxTrait="",AND(ChoixChevauxTraitPréHiver=OUI,ChoixChevauxTraitPréEté=OUI)),0,IFERROR(IF(OR(AND(INDEX(Règles_chevaux_trait[Specificite],MATCH(RationEtéChevauxTrait&amp;$FD55,Règles_chevaux_trait[Ration]&amp;Règles_chevaux_trait[Aliment],0))="s1",IF($FD55=Spécificité1ChevauxTrait,1)),
AND(INDEX(Règles_chevaux_trait[Specificite],MATCH(RationEtéChevauxTrait&amp;$FD55,Règles_chevaux_trait[Ration]&amp;Règles_chevaux_trait[Aliment],0))="s2",IF($FD55=Spécificité2ChevauxTrait,1)),
INDEX(Règles_chevaux_trait[Specificite],MATCH(RationEtéChevauxTrait&amp;$FD55,Règles_chevaux_trait[Ration]&amp;Règles_chevaux_trait[Aliment],0))="c"),
INDEX(Règles_chevaux_trait[Valeur 0-12],MATCH(RationEtéChevauxTrait&amp;$FD55,Règles_chevaux_trait[Ration]&amp;Règles_chevaux_trait[Aliment],0)),0),0)*TotalPoulainTrait_0_12_mois*SUM(NbreJoursNourrirChevauxTrait))</f>
        <v>0</v>
      </c>
      <c r="FI55" s="1286">
        <f t="shared" si="15"/>
        <v>0</v>
      </c>
      <c r="FJ55" s="1345"/>
      <c r="FK55" s="1345"/>
      <c r="FL55" s="1345"/>
      <c r="FM55" s="1321"/>
      <c r="FN55" s="1082" t="s">
        <v>285</v>
      </c>
      <c r="FO55" s="1282">
        <f t="array" ref="FO55">IF(OR(ChoixRationComplèteEtéPoneys=OUI,ChoixRationComplèteEtéPoneys="",AND(ChoixPoneysPréHiver=OUI,ChoixPoneysPréEté=OUI)),0,IFERROR(IF(OR(AND(INDEX(Règles_poneys[Specificite],MATCH(RationEtéPoneys&amp;$FN55,Règles_poneys[Ration]&amp;Règles_poneys[Aliment],0))="s1",IF($FN55=Spécificité1Poneys,1)),
AND(INDEX(Règles_poneys[Specificite],MATCH(RationEtéPoneys&amp;$FN55,Règles_poneys[Ration]&amp;Règles_poneys[Aliment],0))="s2",IF($FN55=Spécificité2Poneys,1)),
INDEX(Règles_poneys[Specificite],MATCH(RationEtéPoneys&amp;$FN55,Règles_poneys[Ration]&amp;Règles_poneys[Aliment],0))="c"),
INDEX(Règles_poneys[Valeur 36 et plus],MATCH(RationEtéPoneys&amp;$FN55,Règles_poneys[Ration]&amp;Règles_poneys[Aliment],0)),0),0)*TotalEtalonPoney*SUM(NbreJoursNourrirPoneys))</f>
        <v>0</v>
      </c>
      <c r="FP55" s="1282">
        <f t="array" ref="FP55">IF(OR(ChoixRationComplèteEtéPoneys=OUI,ChoixRationComplèteEtéPoneys="",AND(ChoixPoneysPréHiver=OUI,ChoixPoneysPréEté=OUI)),0,IFERROR(IF(OR(AND(INDEX(Règles_poneys[Specificite],MATCH(RationEtéPoneys&amp;$FN55,Règles_poneys[Ration]&amp;Règles_poneys[Aliment],0))="s1",IF($FN55=Spécificité1Poneys,1)),
AND(INDEX(Règles_poneys[Specificite],MATCH(RationEtéPoneys&amp;$FN55,Règles_poneys[Ration]&amp;Règles_poneys[Aliment],0))="s2",IF($FN55=Spécificité2Poneys,1)),
INDEX(Règles_poneys[Specificite],MATCH(RationEtéPoneys&amp;$FN55,Règles_poneys[Ration]&amp;Règles_poneys[Aliment],0))="c"),
INDEX(Règles_poneys[Valeur 36 et plus],MATCH(RationEtéPoneys&amp;$FN55,Règles_poneys[Ration]&amp;Règles_poneys[Aliment],0)),0),0)*TotalJeuneEtalonPoney_24_36_mois*SUM(NbreJoursNourrirPoneys))</f>
        <v>0</v>
      </c>
      <c r="FQ55" s="1282">
        <f t="array" ref="FQ55">IF(OR(ChoixRationComplèteEtéPoneys=OUI,ChoixRationComplèteEtéPoneys="",AND(ChoixPoneysPréHiver=OUI,ChoixPoneysPréEté=OUI)),0,IFERROR(IF(OR(AND(INDEX(Règles_poneys[Specificite],MATCH(RationEtéPoneys&amp;$FN55,Règles_poneys[Ration]&amp;Règles_poneys[Aliment],0))="s1",IF($FN55=Spécificité1Poneys,1)),
AND(INDEX(Règles_poneys[Specificite],MATCH(RationEtéPoneys&amp;$FN55,Règles_poneys[Ration]&amp;Règles_poneys[Aliment],0))="s2",IF($FN55=Spécificité2Poneys,1)),
INDEX(Règles_poneys[Specificite],MATCH(RationEtéPoneys&amp;$FN55,Règles_poneys[Ration]&amp;Règles_poneys[Aliment],0))="c"),
INDEX(Règles_poneys[Valeur 36 et plus],MATCH(RationEtéPoneys&amp;$FN55,Règles_poneys[Ration]&amp;Règles_poneys[Aliment],0)),0),0)*TotalJeuneEtalonPoney_12_24_mois*SUM(NbreJoursNourrirPoneys))</f>
        <v>0</v>
      </c>
      <c r="FR55" s="1285">
        <f t="array" ref="FR55">IF(OR(ChoixRationComplèteEtéPoneys=OUI,ChoixRationComplèteEtéPoneys="",AND(ChoixPoneysPréHiver=OUI,ChoixPoneysPréEté=OUI)),0,IFERROR(IF(OR(AND(INDEX(Règles_poneys[Specificite],MATCH(RationEtéPoneys&amp;$FN55,Règles_poneys[Ration]&amp;Règles_poneys[Aliment],0))="s1",IF($FN55=Spécificité1Poneys,1)),
AND(INDEX(Règles_poneys[Specificite],MATCH(RationEtéPoneys&amp;$FN55,Règles_poneys[Ration]&amp;Règles_poneys[Aliment],0))="s2",IF($FN55=Spécificité2Poneys,1)),
INDEX(Règles_poneys[Specificite],MATCH(RationEtéPoneys&amp;$FN55,Règles_poneys[Ration]&amp;Règles_poneys[Aliment],0))="c"),
INDEX(Règles_poneys[Valeur 36 et plus],MATCH(RationEtéPoneys&amp;$FN55,Règles_poneys[Ration]&amp;Règles_poneys[Aliment],0)),0),0)*TotalPoulainPoney_0_12_mois*SUM(NbreJoursNourrirPoneys))</f>
        <v>0</v>
      </c>
      <c r="FS55" s="1285">
        <f t="shared" si="14"/>
        <v>0</v>
      </c>
      <c r="FT55" s="1345"/>
      <c r="FU55" s="1345"/>
      <c r="FV55" s="1345"/>
      <c r="FW55" s="823" t="s">
        <v>331</v>
      </c>
      <c r="FX55" s="828">
        <f t="array" ref="FX5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55" s="828">
        <f t="array" ref="FY5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55" s="828">
        <f t="array" ref="FZ5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55" s="828">
        <f t="array" ref="GA5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55" s="829">
        <f>SUM(AlimentsGavageOies[[#This Row],[Valeur 3 et plus]:[Valeur 0-1]])</f>
        <v>0</v>
      </c>
      <c r="GC55" s="1364"/>
      <c r="GD55" s="1321"/>
      <c r="GE55" s="1149" t="s">
        <v>3</v>
      </c>
      <c r="GF55" s="1321"/>
      <c r="GG55" s="1321" t="s">
        <v>1349</v>
      </c>
      <c r="GH55" s="1321" t="s">
        <v>1349</v>
      </c>
      <c r="GI55" s="1321" t="s">
        <v>1349</v>
      </c>
      <c r="GJ55" s="1321" t="s">
        <v>1349</v>
      </c>
      <c r="GK55" s="1321" t="s">
        <v>1349</v>
      </c>
      <c r="GL55" s="1321" t="s">
        <v>1349</v>
      </c>
      <c r="GM55" s="1321" t="s">
        <v>1349</v>
      </c>
      <c r="GN55" s="1321" t="s">
        <v>1349</v>
      </c>
      <c r="GO55" s="1321" t="s">
        <v>1349</v>
      </c>
      <c r="GP55" s="1321" t="s">
        <v>1349</v>
      </c>
      <c r="GQ55" s="1321" t="s">
        <v>1349</v>
      </c>
      <c r="GR55" s="1321" t="s">
        <v>1349</v>
      </c>
      <c r="GS55" s="1321" t="s">
        <v>1349</v>
      </c>
      <c r="GT55" s="1321" t="s">
        <v>1349</v>
      </c>
      <c r="GU55" s="1321" t="s">
        <v>1349</v>
      </c>
      <c r="GV55" s="1321" t="s">
        <v>1349</v>
      </c>
      <c r="GW55" s="1321"/>
      <c r="GX55" s="1321"/>
      <c r="GY55" s="1082" t="str">
        <f t="shared" si="11"/>
        <v>semences de chanvre (P)</v>
      </c>
      <c r="GZ55" s="1082"/>
      <c r="HA55" s="1085"/>
      <c r="HB55" s="1085">
        <f>IF(COUNTIF(TypeArticleDansEntrepôt,GY55)=0,0,SUMIF(TypeArticleDansEntrepôt,GY55,QtéArticleDansEntrepôt)*VLOOKUP(GY55,place_necessaire_entrepots_aire_paille[],2,FALSE))</f>
        <v>0</v>
      </c>
      <c r="HC55" s="1321"/>
      <c r="HD55" s="1321"/>
      <c r="HE55" s="1321"/>
      <c r="HF55" s="1321"/>
      <c r="HG55" s="1321"/>
      <c r="HH55" s="1321"/>
      <c r="HI55" s="1321"/>
      <c r="HJ55" s="1321"/>
      <c r="HK55" s="1321"/>
      <c r="HL55" s="1321"/>
      <c r="HM55" s="1321"/>
      <c r="HN55" s="1085" t="str">
        <f>IF(parcelles!B103="","",(VLOOKUP(parcelles!C103,BDD!$HN$5:$HU$38,2,FALSE))*parcelles!E103)</f>
        <v/>
      </c>
      <c r="HO55" s="1085" t="str">
        <f>IF(parcelles!B103="","",IF(OR(parcelles!C103=Moutarde,parcelles!C103=Phacélie),0,IF(parcelles!C103=Luzerne,10*parcelles!E103*VLOOKUP(parcelles!C103,BDD!$HN$5:$HU$38,3,FALSE),IF(parcelles!C103=Miscanthus,10.5*parcelles!E103*VLOOKUP(parcelles!C103,BDD!$HN$5:$HU$38,3,FALSE),INDEX(parcelles!$C$56:'parcelles'!$Y$77,MATCH(parcelles!B103,parcelles!$B$56:'parcelles'!$B$77,0),MATCH(parcelles!C103,parcelles!$C$53:'parcelles'!$Y$53,0))*parcelles!E103*VLOOKUP(parcelles!C103,BDD!$HN$5:$HU$38,3,FALSE)))))</f>
        <v/>
      </c>
      <c r="HP55" s="1085" t="str">
        <f>IF(parcelles!B103="","",IF(OR(parcelles!C103=Moutarde,parcelles!C103=Phacélie),0,IF(parcelles!C103=Luzerne,10*parcelles!E103*VLOOKUP(parcelles!C103,BDD!$HN$5:$HU$38,4,FALSE),IF(parcelles!C103=Miscanthus,10.5*parcelles!E103*VLOOKUP(parcelles!C103,BDD!$HN$5:$HU$38,4,FALSE),INDEX(parcelles!$C$56:'parcelles'!$Y$77,MATCH(parcelles!B103,parcelles!$B$56:'parcelles'!$B$77,0),MATCH(parcelles!C103,parcelles!$C$53:'parcelles'!$Y$53,0))*parcelles!E103*VLOOKUP(parcelles!C103,BDD!$HN$5:$HU$38,4,FALSE)))))</f>
        <v/>
      </c>
      <c r="HQ55" s="1085" t="str">
        <f>IF(parcelles!B103="","",IF(OR(parcelles!C103=Moutarde,parcelles!C103=Phacélie),0,IF(parcelles!C103=Luzerne,10*parcelles!E103*VLOOKUP(parcelles!C103,BDD!$HN$5:$HU$38,5,FALSE),IF(parcelles!C103=Miscanthus,10.5*parcelles!E103*VLOOKUP(parcelles!C103,BDD!$HN$5:$HU$38,5,FALSE),INDEX(parcelles!$C$56:'parcelles'!$Y$77,MATCH(parcelles!B103,parcelles!$B$56:'parcelles'!$B$77,0),MATCH(parcelles!C103,parcelles!$C$53:'parcelles'!$Y$53,0))*parcelles!E103*VLOOKUP(parcelles!C103,BDD!$HN$5:$HU$38,5,FALSE)))))</f>
        <v/>
      </c>
      <c r="HR55" s="1085" t="str">
        <f>IF(parcelles!B103="","",IF(OR(parcelles!C103=Moutarde,parcelles!C103=Phacélie),0,IF(parcelles!C103=Luzerne,10*parcelles!E103*VLOOKUP(parcelles!C103,BDD!$HN$5:$HU$38,6,FALSE),IF(parcelles!C103=Miscanthus,10.5*parcelles!E103*VLOOKUP(parcelles!C103,BDD!$HN$5:$HU$38,6,FALSE),INDEX(parcelles!$C$56:'parcelles'!$Y$77,MATCH(parcelles!B103,parcelles!$B$56:'parcelles'!$B$77,0),MATCH(parcelles!C103,parcelles!$C$53:'parcelles'!$Y$53,0))*parcelles!E103*VLOOKUP(parcelles!C103,BDD!$HN$5:$HU$38,6,FALSE)))))</f>
        <v/>
      </c>
      <c r="HS55" s="1085" t="str">
        <f>IF(parcelles!B103="","",IF(OR(parcelles!C103=Moutarde,parcelles!C103=Phacélie),0,IF(parcelles!C103=Luzerne,10*parcelles!E103*VLOOKUP(parcelles!C103,BDD!$HN$5:$HU$38,7,FALSE),IF(parcelles!C103=Miscanthus,10.5*parcelles!E103*VLOOKUP(parcelles!C103,BDD!$HN$5:$HU$38,7,FALSE),INDEX(parcelles!$C$56:'parcelles'!$Y$77,MATCH(parcelles!B103,parcelles!$B$56:'parcelles'!$B$77,0),MATCH(parcelles!C103,parcelles!$C$53:'parcelles'!$Y$53,0))*parcelles!E103*VLOOKUP(parcelles!C103,BDD!$HN$5:$HU$38,7,FALSE)))))</f>
        <v/>
      </c>
      <c r="HT55" s="1085" t="str">
        <f>IF(parcelles!B103="","",IF(OR(parcelles!C103=Moutarde,parcelles!C103=Phacélie),0,IF(parcelles!C103=Luzerne,10*parcelles!E103*VLOOKUP(parcelles!C103,BDD!$HN$5:$HU$38,8,FALSE),IF(parcelles!C103=Miscanthus,10.5*parcelles!E103*VLOOKUP(parcelles!C103,BDD!$HN$5:$HU$38,8,FALSE),INDEX(parcelles!$C$56:'parcelles'!$Y$77,MATCH(parcelles!B103,parcelles!$B$56:'parcelles'!$B$77,0),MATCH(parcelles!C103,parcelles!$C$53:'parcelles'!$Y$53,0))*parcelles!E103*VLOOKUP(parcelles!C103,BDD!$HN$5:$HU$38,8,FALSE)))))</f>
        <v/>
      </c>
      <c r="HU55" s="1085" t="str">
        <f>IF(parcelles!B103="","",IF(OR(parcelles!C103=Moutarde,parcelles!C103=Phacélie),0,1.6*parcelles!E103))</f>
        <v/>
      </c>
      <c r="HV55" s="1085" t="str">
        <f>IF(parcelles!B103="","",IF(OR(parcelles!C103=Moutarde,parcelles!C103=Phacélie),0,1.6*parcelles!E103))</f>
        <v/>
      </c>
      <c r="HW55" s="1085" t="str">
        <f>IF(parcelles!B103="","",IF(OR(parcelles!C103=Moutarde,parcelles!C103=Phacélie),0,1.6*parcelles!E103))</f>
        <v/>
      </c>
      <c r="HX55" s="1092" t="str">
        <f>IF(parcelles!D103="","",IF(parcelles!C103=ChanvreIndustriel,INDEX(parcelles!$C$56:$Y$77,MATCH(parcelles!B103,parcelles!$B$56:$B$77,0),MATCH(parcelles!C103,parcelles!$C$53:$Y$53,0))*parcelles!E103*SUMIF(ListeCulturesBDD,parcelles!C103,PrixVenteCulturesConventionnel)+RIGHT(BDD!$HM$7,3)*7*parcelles!E103,IF(parcelles!C103=Luzerne,parcelles!E103*10*VLOOKUP(parcelles!C103,TarifsCoopCultures,2,FALSE),IF(parcelles!C103=Miscanthus,parcelles!E103*10.5*VLOOKUP(Luzerne,TarifsCoopCultures,2,FALSE),INDEX(parcelles!$C$56:$Y$77,MATCH(parcelles!B103,parcelles!$B$56:$B$77,0),MATCH(parcelles!C103,parcelles!$C$53:$Y$53,0))*parcelles!E103*SUMIF(ListeCulturesBDD,parcelles!C103,PrixVenteCulturesConventionnel)))))</f>
        <v/>
      </c>
      <c r="HY55" s="1085" t="str">
        <f>IF(parcelles!D103="","",IF(parcelles!F103=0,"",IF(parcelles!C103=ChanvreIndustriel,"soit "&amp;parcelles!E103*0.8&amp;"t de grain et "&amp;parcelles!E103*7&amp;"t de paille",IF(parcelles!C103=Luzerne,"soit "&amp;10*parcelles!E103&amp;"t/an",IF(parcelles!C103=Miscanthus,"soit "&amp;10.5*parcelles!E103&amp;"t/an","soit "&amp;INDEX(parcelles!$C$56:$Y$77,MATCH(parcelles!B103,parcelles!$B$56:$B$77,0),MATCH(parcelles!C103,parcelles!$C$53:$Y$53,0))*parcelles!E103&amp;"t")))))</f>
        <v/>
      </c>
      <c r="HZ55" s="1085" t="str">
        <f>IF(parcelles!D103="","",IF(parcelles!F103=0,"",IF(parcelles!C103=ChanvreIndustriel,"soit "&amp;parcelles!E103*0.8*0.8&amp;"t de grain et "&amp;parcelles!E103*7*0.8&amp;"t de paille",IF(parcelles!C103=Luzerne,"soit "&amp;10*0.8*parcelles!E103&amp;"t/an",IF(parcelles!C103=Miscanthus,"soit "&amp;10.5*0.8*parcelles!E103&amp;"t/an","soit "&amp;INDEX(parcelles!$C$56:$Y$77,MATCH(parcelles!B103,parcelles!$B$56:$B$77,0),MATCH(parcelles!C103,parcelles!$C$53:$Y$53,0))*0.8*parcelles!E103&amp;"t")))))</f>
        <v/>
      </c>
      <c r="IA55" s="1085" t="str">
        <f>IF(parcelles!L103="","",(VLOOKUP(parcelles!M103,BDD!$HN$5:$HU$38,2,FALSE))*parcelles!O103)</f>
        <v/>
      </c>
      <c r="IB55" s="1085" t="str">
        <f>IF(parcelles!L103="","",IF(OR(parcelles!M103=Moutarde,parcelles!M103=Phacélie),0,IF(parcelles!M103=Luzerne,10*parcelles!O103*VLOOKUP(parcelles!M103,BDD!$HN$5:$HU$38,3,FALSE),IF(parcelles!M103=Miscanthus,10.5*parcelles!O103*VLOOKUP(parcelles!M103,BDD!$HN$5:$HU$38,3,FALSE),INDEX(parcelles!$C$56:'parcelles'!$Y$77,MATCH(parcelles!L103,parcelles!$B$56:'parcelles'!$B$77,0),MATCH(parcelles!M103,parcelles!$C$53:'parcelles'!$Y$53,0))*parcelles!O103*VLOOKUP(parcelles!M103,BDD!$HN$5:$HU$38,3,FALSE)))))</f>
        <v/>
      </c>
      <c r="IC55" s="1085" t="str">
        <f>IF(parcelles!L103="","",IF(OR(parcelles!M103=Moutarde,parcelles!M103=Phacélie),0,IF(parcelles!M103=Luzerne,10*parcelles!O103*VLOOKUP(parcelles!M103,BDD!$HN$5:$HU$38,4,FALSE),IF(parcelles!M103=Miscanthus,10.5*parcelles!O103*VLOOKUP(parcelles!M103,BDD!$HN$5:$HU$38,4,FALSE),INDEX(parcelles!$C$56:'parcelles'!$Y$77,MATCH(parcelles!L103,parcelles!$B$56:'parcelles'!$B$77,0),MATCH(parcelles!M103,parcelles!$C$53:'parcelles'!$Y$53,0))*parcelles!O103*VLOOKUP(parcelles!M103,BDD!$HN$5:$HU$38,4,FALSE)))))</f>
        <v/>
      </c>
      <c r="ID55" s="1085" t="str">
        <f>IF(parcelles!L103="","",IF(OR(parcelles!M103=Moutarde,parcelles!M103=Phacélie),0,IF(parcelles!M103=Luzerne,10*parcelles!O103*VLOOKUP(parcelles!M103,BDD!$HN$5:$HU$38,5,FALSE),IF(parcelles!M103=Miscanthus,10.5*parcelles!O103*VLOOKUP(parcelles!M103,BDD!$HN$5:$HU$38,5,FALSE),INDEX(parcelles!$C$56:'parcelles'!$Y$77,MATCH(parcelles!L103,parcelles!$B$56:'parcelles'!$B$77,0),MATCH(parcelles!M103,parcelles!$C$53:'parcelles'!$Y$53,0))*parcelles!O103*VLOOKUP(parcelles!M103,BDD!$HN$5:$HU$38,5,FALSE)))))</f>
        <v/>
      </c>
      <c r="IE55" s="1085" t="str">
        <f>IF(parcelles!L103="","",IF(OR(parcelles!M103=Moutarde,parcelles!M103=Phacélie),0,IF(parcelles!M103=Luzerne,10*parcelles!O103*VLOOKUP(parcelles!M103,BDD!$HN$5:$HU$38,6,FALSE),IF(parcelles!M103=Miscanthus,10.5*parcelles!O103*VLOOKUP(parcelles!M103,BDD!$HN$5:$HU$38,6,FALSE),INDEX(parcelles!$C$56:'parcelles'!$Y$77,MATCH(parcelles!L103,parcelles!$B$56:'parcelles'!$B$77,0),MATCH(parcelles!M103,parcelles!$C$53:'parcelles'!$Y$53,0))*parcelles!O103*VLOOKUP(parcelles!M103,BDD!$HN$5:$HU$38,6,FALSE)))))</f>
        <v/>
      </c>
      <c r="IF55" s="1085" t="str">
        <f>IF(parcelles!L103="","",IF(OR(parcelles!M103=Moutarde,parcelles!M103=Phacélie),0,IF(parcelles!M103=Luzerne,10*parcelles!O103*VLOOKUP(parcelles!M103,BDD!$HN$5:$HU$38,7,FALSE),IF(parcelles!M103=Miscanthus,10.5*parcelles!O103*VLOOKUP(parcelles!M103,BDD!$HN$5:$HU$38,7,FALSE),INDEX(parcelles!$C$56:'parcelles'!$Y$77,MATCH(parcelles!L103,parcelles!$B$56:'parcelles'!$B$77,0),MATCH(parcelles!M103,parcelles!$C$53:'parcelles'!$Y$53,0))*parcelles!O103*VLOOKUP(parcelles!M103,BDD!$HN$5:$HU$38,7,FALSE)))))</f>
        <v/>
      </c>
      <c r="IG55" s="1085" t="str">
        <f>IF(parcelles!L103="","",IF(OR(parcelles!M103=Moutarde,parcelles!M103=Phacélie),0,IF(parcelles!M103=Luzerne,10*parcelles!O103*VLOOKUP(parcelles!M103,BDD!$HN$5:$HU$38,8,FALSE),IF(parcelles!M103=Miscanthus,10.5*parcelles!O103*VLOOKUP(parcelles!M103,BDD!$HN$5:$HU$38,8,FALSE),INDEX(parcelles!$C$56:'parcelles'!$Y$77,MATCH(parcelles!L103,parcelles!$B$56:'parcelles'!$B$77,0),MATCH(parcelles!M103,parcelles!$C$53:'parcelles'!$Y$53,0))*parcelles!O103*VLOOKUP(parcelles!M103,BDD!$HN$5:$HU$38,8,FALSE)))))</f>
        <v/>
      </c>
      <c r="IH55" s="1085" t="str">
        <f>IF(parcelles!L103="","",IF(OR(parcelles!L103=Moutarde,parcelles!L103=Phacélie),0,1.6*parcelles!O103))</f>
        <v/>
      </c>
      <c r="II55" s="1085" t="str">
        <f>IF(parcelles!L103="","",IF(OR(parcelles!L103=Moutarde,parcelles!L103=Phacélie),0,1.6*parcelles!O103))</f>
        <v/>
      </c>
      <c r="IJ55" s="1085" t="str">
        <f>IF(parcelles!L103="","",IF(OR(parcelles!L103=Moutarde,parcelles!L103=Phacélie),0,1.6*parcelles!O103))</f>
        <v/>
      </c>
      <c r="IK55" s="1085" t="str">
        <f>IF(parcelles!P103="","",IF(parcelles!R103=0,"",IF(parcelles!O103=ChanvreIndustriel,"soit "&amp;parcelles!Q103*0.8&amp;"t de grain et "&amp;parcelles!Q103*7&amp;"t de paille",IF(parcelles!O103=Luzerne,"soit "&amp;10*parcelles!Q103&amp;"t/an",IF(parcelles!O103=Miscanthus,"soit "&amp;10.5*parcelles!Q103&amp;"t/an","soit "&amp;INDEX(parcelles!$C$56:$Y$77,MATCH(parcelles!N103,parcelles!$B$56:$B$77,0),MATCH(parcelles!O103,parcelles!$C$53:$Y$53,0))*parcelles!Q103&amp;"t")))))</f>
        <v/>
      </c>
      <c r="IL55" s="1085" t="str">
        <f>IF(parcelles!P103="","",IF(parcelles!R103=0,"",IF(parcelles!O103=ChanvreIndustriel,"soit "&amp;parcelles!Q103*0.8*0.8&amp;"t de grain et "&amp;parcelles!Q103*7*0.8&amp;"t de paille",IF(parcelles!O103=Luzerne,"soit "&amp;10*0.8*parcelles!Q103&amp;"t/an",IF(parcelles!O103=Miscanthus,"soit "&amp;10.5*0.8*parcelles!Q103&amp;"t/an","soit "&amp;INDEX(parcelles!$C$56:$Y$77,MATCH(parcelles!N103,parcelles!$B$56:$B$77,0),MATCH(parcelles!O103,parcelles!$C$53:$Y$53,0))*0.8*parcelles!Q103&amp;"t")))))</f>
        <v/>
      </c>
      <c r="IM55" s="1085" t="str">
        <f>IF(parcelles!S103="","",IF(parcelles!U103=0,"",IF(parcelles!R103=ChanvreIndustriel,parcelles!T103*0.8*0.8+parcelles!T103*7*0.8,IF(parcelles!R103=Luzerne,10*0.8*parcelles!T103,IF(parcelles!R103=Miscanthus,10.5*0.8*parcelles!T103,INDEX(parcelles!$C$56:$Y$77,MATCH(parcelles!Q103,parcelles!$B$56:$B$77,0),MATCH(parcelles!R103,parcelles!$C$53:$Y$53,0))*0.8*parcelles!T103)))))</f>
        <v/>
      </c>
      <c r="IN55" s="1368"/>
    </row>
    <row r="56" spans="1:248" ht="12.75" customHeight="1" x14ac:dyDescent="0.2">
      <c r="A56" s="1307">
        <v>2</v>
      </c>
      <c r="B56" s="1232">
        <v>0.05</v>
      </c>
      <c r="C56" s="1233">
        <v>0.15</v>
      </c>
      <c r="D56" s="1321"/>
      <c r="E56" s="1321"/>
      <c r="F56" s="1149" t="s">
        <v>856</v>
      </c>
      <c r="G56" s="1149"/>
      <c r="H56" s="1149">
        <v>5</v>
      </c>
      <c r="I56" s="1149"/>
      <c r="J56" s="1321"/>
      <c r="K56" s="1321"/>
      <c r="L56" s="1321"/>
      <c r="M56" s="1321"/>
      <c r="N56" s="1321"/>
      <c r="O56" s="1149" t="s">
        <v>184</v>
      </c>
      <c r="P56" s="1149">
        <v>5.6</v>
      </c>
      <c r="Q56" s="1149">
        <v>5.0999999999999996</v>
      </c>
      <c r="R56" s="1149">
        <v>4.0999999999999996</v>
      </c>
      <c r="S56" s="1149">
        <v>3.3</v>
      </c>
      <c r="T56" s="1149">
        <v>3.2</v>
      </c>
      <c r="U56" s="1149">
        <v>4.5999999999999996</v>
      </c>
      <c r="V56" s="1149"/>
      <c r="W56" s="1149">
        <v>9.6999999999999993</v>
      </c>
      <c r="X56" s="1149">
        <v>11.6</v>
      </c>
      <c r="Y56" s="1149">
        <v>0</v>
      </c>
      <c r="Z56" s="1149">
        <v>2.9</v>
      </c>
      <c r="AA56" s="1149">
        <v>2.1</v>
      </c>
      <c r="AB56" s="1149">
        <v>3.2</v>
      </c>
      <c r="AC56" s="1149">
        <v>2</v>
      </c>
      <c r="AD56" s="1149">
        <v>2.7</v>
      </c>
      <c r="AE56" s="1149">
        <v>0</v>
      </c>
      <c r="AF56" s="1149">
        <v>30.7</v>
      </c>
      <c r="AG56" s="1149">
        <v>0.8</v>
      </c>
      <c r="AH56" s="1149">
        <v>7</v>
      </c>
      <c r="AI56" s="1149">
        <v>12</v>
      </c>
      <c r="AJ56" s="1149">
        <v>11</v>
      </c>
      <c r="AK56" s="1149">
        <v>1.5</v>
      </c>
      <c r="AL56" s="1149">
        <v>10</v>
      </c>
      <c r="AM56" s="1149"/>
      <c r="AN56" s="1149">
        <v>2.6</v>
      </c>
      <c r="AO56" s="1149">
        <v>43</v>
      </c>
      <c r="AP56" s="1149">
        <v>17</v>
      </c>
      <c r="AQ56" s="1149">
        <v>11</v>
      </c>
      <c r="AR56" s="1149">
        <v>10</v>
      </c>
      <c r="AS56" s="1149">
        <v>12</v>
      </c>
      <c r="AT56" s="1149">
        <v>0</v>
      </c>
      <c r="AU56" s="1149">
        <v>3</v>
      </c>
      <c r="AV56" s="1149">
        <v>0</v>
      </c>
      <c r="AW56" s="1149">
        <v>8.5</v>
      </c>
      <c r="AX56" s="1149">
        <v>10</v>
      </c>
      <c r="AY56" s="1149">
        <v>10</v>
      </c>
      <c r="AZ56" s="1321"/>
      <c r="BA56" s="1321"/>
      <c r="BB56" s="1321"/>
      <c r="BC56" s="1327"/>
      <c r="BD56" s="1327"/>
      <c r="BE56" s="1327"/>
      <c r="BF56" s="1327"/>
      <c r="BG56" s="1321"/>
      <c r="BH56" s="1321"/>
      <c r="BI56" s="1321"/>
      <c r="BJ56" s="1321"/>
      <c r="BK56" s="1345"/>
      <c r="BL56" s="1348"/>
      <c r="BM56" s="1076" t="s">
        <v>672</v>
      </c>
      <c r="BN56" s="1076">
        <f t="array" ref="BN56">IF(Ration_hivernale_complète_bisons[somme]&gt;0,0,IFERROR(IF(OR(AND(INDEX(Règles_bison[Specificite],MATCH(ChoixRationBisons&amp;$BM56,Règles_bison[Ration]&amp;Règles_bison[Aliment],0))="s1",IF($BM56=ChoixSpécificité1Bisons,1)),
AND(INDEX(Règles_bison[Specificite],MATCH(ChoixRationBisons&amp;$BM56,Règles_bison[Ration]&amp;Règles_bison[Aliment],0))="s2",IF($BM56=ChoixSpécificité2Bisons,1)),INDEX(Règles_bison[Specificite],MATCH(ChoixRationBisons&amp;$BM56,Règles_bison[Ration]&amp;Règles_bison[Aliment],0))="c"),
INDEX(Règles_bison[Valeur 36 et plus],MATCH(ChoixRationBisons&amp;$BM56,Règles_bison[Ration]&amp;Règles_bison[Aliment],0)),0),0)*TotalBisonsMalesAdultes*SUM(NbreJoursNourrirBisonsDaims))</f>
        <v>0</v>
      </c>
      <c r="BO56" s="1076">
        <f t="array" ref="BO56">IF(Ration_hivernale_complète_bisons[somme]&gt;0,0,IFERROR(IF(OR(AND(INDEX(Règles_bison[Specificite],MATCH(ChoixRationBisons&amp;$BM56,Règles_bison[Ration]&amp;Règles_bison[Aliment],0))="s1",IF($BM56=ChoixSpécificité1Bisons,1)),
AND(INDEX(Règles_bison[Specificite],MATCH(ChoixRationBisons&amp;$BM56,Règles_bison[Ration]&amp;Règles_bison[Aliment],0))="s2",IF($BM56=ChoixSpécificité2Bisons,1)),INDEX(Règles_bison[Specificite],MATCH(ChoixRationBisons&amp;$BM56,Règles_bison[Ration]&amp;Règles_bison[Aliment],0))="c"),
INDEX(Règles_bison[Valeur 24-36],MATCH(ChoixRationBisons&amp;$BM56,Règles_bison[Ration]&amp;Règles_bison[Aliment],0)),0),0)*TotalBisonsMales_24_36_mois*SUM(NbreJoursNourrirBisonsDaims))</f>
        <v>0</v>
      </c>
      <c r="BP56" s="1076">
        <f t="array" ref="BP56">IF(Ration_hivernale_complète_bisons[somme]&gt;0,0,IFERROR(IF(OR(AND(INDEX(Règles_bison[Specificite],MATCH(ChoixRationBisons&amp;$BM56,Règles_bison[Ration]&amp;Règles_bison[Aliment],0))="s1",IF($BM56=ChoixSpécificité1Bisons,1)),
AND(INDEX(Règles_bison[Specificite],MATCH(ChoixRationBisons&amp;$BM56,Règles_bison[Ration]&amp;Règles_bison[Aliment],0))="s2",IF($BM56=ChoixSpécificité2Bisons,1)),INDEX(Règles_bison[Specificite],MATCH(ChoixRationBisons&amp;$BM56,Règles_bison[Ration]&amp;Règles_bison[Aliment],0))="c"),
INDEX(Règles_bison[Valeur 18-24],MATCH(ChoixRationBisons&amp;$BM56,Règles_bison[Ration]&amp;Règles_bison[Aliment],0)),0),0)*TotalBisonsMales_18_24_mois*SUM(NbreJoursNourrirBisonsDaims))</f>
        <v>0</v>
      </c>
      <c r="BQ56" s="1076">
        <f t="array" ref="BQ56">IF(Ration_hivernale_complète_bisons[somme]&gt;0,0,IFERROR(IF(OR(AND(INDEX(Règles_bison[Specificite],MATCH(ChoixRationBisons&amp;$BM56,Règles_bison[Ration]&amp;Règles_bison[Aliment],0))="s1",IF($BM56=ChoixSpécificité1Bisons,1)),
AND(INDEX(Règles_bison[Specificite],MATCH(ChoixRationBisons&amp;$BM56,Règles_bison[Ration]&amp;Règles_bison[Aliment],0))="s2",IF($BM56=ChoixSpécificité2Bisons,1)),INDEX(Règles_bison[Specificite],MATCH(ChoixRationBisons&amp;$BM56,Règles_bison[Ration]&amp;Règles_bison[Aliment],0))="c"),
INDEX(Règles_bison[Valeur 12-18],MATCH(ChoixRationBisons&amp;$BM56,Règles_bison[Ration]&amp;Règles_bison[Aliment],0)),0),0)*TotalBisonsMales_12_18_mois*SUM(NbreJoursNourrirBisonsDaims))</f>
        <v>0</v>
      </c>
      <c r="BR56" s="1076">
        <f t="array" ref="BR56">IF(Ration_hivernale_complète_bisons[somme]&gt;0,0,IFERROR(IF(OR(AND(INDEX(Règles_bison[Specificite],MATCH(ChoixRationBisons&amp;$BM56,Règles_bison[Ration]&amp;Règles_bison[Aliment],0))="s1",IF($BM56=ChoixSpécificité1Bisons,1)),
AND(INDEX(Règles_bison[Specificite],MATCH(ChoixRationBisons&amp;$BM56,Règles_bison[Ration]&amp;Règles_bison[Aliment],0))="s2",IF($BM56=ChoixSpécificité2Bisons,1)),INDEX(Règles_bison[Specificite],MATCH(ChoixRationBisons&amp;$BM56,Règles_bison[Ration]&amp;Règles_bison[Aliment],0))="c"),
INDEX(Règles_bison[Valeur 6-12],MATCH(ChoixRationBisons&amp;$BM56,Règles_bison[Ration]&amp;Règles_bison[Aliment],0)),0),0)*TotalBisonsMales_6_12_mois*SUM(NbreJoursNourrirBisonsDaims))</f>
        <v>0</v>
      </c>
      <c r="BS56" s="1076">
        <f t="array" ref="BS56">IF(Ration_hivernale_complète_bisons[somme]&gt;0,0,IFERROR(IF(OR(AND(INDEX(Règles_bison[Specificite],MATCH(ChoixRationBisons&amp;$BM56,Règles_bison[Ration]&amp;Règles_bison[Aliment],0))="s1",IF($BM56=ChoixSpécificité1Bisons,1)),
AND(INDEX(Règles_bison[Specificite],MATCH(ChoixRationBisons&amp;$BM56,Règles_bison[Ration]&amp;Règles_bison[Aliment],0))="s2",IF($BM56=ChoixSpécificité2Bisons,1)),INDEX(Règles_bison[Specificite],MATCH(ChoixRationBisons&amp;$BM56,Règles_bison[Ration]&amp;Règles_bison[Aliment],0))="c"),
INDEX(Règles_bison[Valeur 3-6],MATCH(ChoixRationBisons&amp;$BM56,Règles_bison[Ration]&amp;Règles_bison[Aliment],0)),0),0)*TotalBisonsMales_3_6_mois*SUM(NbreJoursNourrirBisonsDaims))</f>
        <v>0</v>
      </c>
      <c r="BT56" s="1076">
        <f t="array" ref="BT56">IF(Ration_hivernale_complète_bisons[somme]&gt;0,0,IFERROR(IF(OR(AND(INDEX(Règles_bison[Specificite],MATCH(ChoixRationBisons&amp;$BM56,Règles_bison[Ration]&amp;Règles_bison[Aliment],0))="s1",IF($BM56=ChoixSpécificité1Bisons,1)),
AND(INDEX(Règles_bison[Specificite],MATCH(ChoixRationBisons&amp;$BM56,Règles_bison[Ration]&amp;Règles_bison[Aliment],0))="s2",IF($BM56=ChoixSpécificité2Bisons,1)),INDEX(Règles_bison[Specificite],MATCH(ChoixRationBisons&amp;$BM56,Règles_bison[Ration]&amp;Règles_bison[Aliment],0))="c"),
INDEX(Règles_bison[Valeur 0-3],MATCH(ChoixRationBisons&amp;$BM56,Règles_bison[Ration]&amp;Règles_bison[Aliment],0)),0),0)*TotalBisonsMales_0_3_mois*SUM(NbreJoursNourrirBisonsDaims))</f>
        <v>0</v>
      </c>
      <c r="BU56" s="1076">
        <f t="shared" si="10"/>
        <v>0</v>
      </c>
      <c r="BV56" s="1345"/>
      <c r="BW56" s="1345"/>
      <c r="BX56" s="1176" t="s">
        <v>761</v>
      </c>
      <c r="BY56" s="1177" t="s">
        <v>733</v>
      </c>
      <c r="BZ56" s="1177" t="s">
        <v>1252</v>
      </c>
      <c r="CA56" s="1177">
        <v>20</v>
      </c>
      <c r="CB56" s="1177">
        <v>12</v>
      </c>
      <c r="CC56" s="1177">
        <v>8</v>
      </c>
      <c r="CD56" s="1199">
        <v>4</v>
      </c>
      <c r="CE56" s="1350"/>
      <c r="CF56" s="1350"/>
      <c r="CG56" s="1350"/>
      <c r="CH56" s="1350"/>
      <c r="CI56" s="1321"/>
      <c r="CJ56" s="808" t="s">
        <v>714</v>
      </c>
      <c r="CK56" s="788">
        <f t="array" ref="CK5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56" s="788">
        <f t="array" ref="CL5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56" s="788">
        <f t="array" ref="CM5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56" s="788">
        <f t="array" ref="CN5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56" s="788">
        <f t="array" ref="CO5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56" s="812">
        <f>SUM(AlimentsRationPorcinsMâles[[#This Row],[Valeur 12 et plus]:[Valeur 0-1]])</f>
        <v>0</v>
      </c>
      <c r="CQ56" s="1321"/>
      <c r="CR56" s="1321"/>
      <c r="CS56" s="789" t="s">
        <v>1276</v>
      </c>
      <c r="CT56" s="790" t="s">
        <v>1290</v>
      </c>
      <c r="CU56" s="790" t="s">
        <v>1283</v>
      </c>
      <c r="CV56" s="790" t="s">
        <v>1284</v>
      </c>
      <c r="CW56" s="791" t="s">
        <v>1269</v>
      </c>
      <c r="CX56" s="1321"/>
      <c r="CY56" s="1321"/>
      <c r="CZ56" s="789" t="s">
        <v>1276</v>
      </c>
      <c r="DA56" s="790" t="s">
        <v>1295</v>
      </c>
      <c r="DB56" s="790" t="s">
        <v>1296</v>
      </c>
      <c r="DC56" s="790" t="s">
        <v>1284</v>
      </c>
      <c r="DD56" s="791" t="s">
        <v>1269</v>
      </c>
      <c r="DE56" s="1321"/>
      <c r="DF56" s="1321"/>
      <c r="DG56" s="808" t="s">
        <v>1719</v>
      </c>
      <c r="DH56" s="817">
        <f t="array" ref="DH5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56" s="817">
        <f t="array" ref="DI5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56" s="817">
        <f t="array" ref="DJ5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56" s="818">
        <f>SUM(AlimentsRationPintadesMâles[[#This Row],[Valeur 9 et plus]:[Valeur 0-1]])</f>
        <v>0</v>
      </c>
      <c r="DL56" s="1364"/>
      <c r="DM56" s="1364"/>
      <c r="DN56" s="1149" t="s">
        <v>1047</v>
      </c>
      <c r="DO56" s="1149">
        <v>880</v>
      </c>
      <c r="DP56" s="1321"/>
      <c r="DQ56" s="1149" t="s">
        <v>1047</v>
      </c>
      <c r="DR56" s="1149">
        <v>1056</v>
      </c>
      <c r="DS56" s="1345"/>
      <c r="DT56" s="1346"/>
      <c r="DU56" s="1346"/>
      <c r="DV56" s="1076" t="s">
        <v>1272</v>
      </c>
      <c r="DW56" s="1267">
        <f t="array" ref="DW56">IF(ChoixRationComplèteDaims=OUI,0,IFERROR(IF(OR(AND(INDEX(Règles_daims[Specificite],MATCH(ChoixRationDaims&amp;DV56,Règles_daims[Ration]&amp;Règles_daims[Aliment],0))="s1",IF(DV56=Spécificité1Daims,1)),
AND(INDEX(Règles_daims[Specificite],MATCH(ChoixRationDaims&amp;DV56,Règles_daims[Ration]&amp;Règles_daims[Aliment],0))="s2",IF(DV56=Spécificité2Daims,1)),
INDEX(Règles_daims[Specificite],MATCH(ChoixRationDaims&amp;DV56,Règles_daims[Ration]&amp;Règles_daims[Aliment],0))="c"),
INDEX(Règles_daims[Valeur 36 et plus],MATCH(ChoixRationDaims&amp;DV56,Règles_daims[Ration]&amp;Règles_daims[Aliment],0)),0),0)*SUM(TotalDaimsAdultes)*SUM(NbreJoursNourrirBisonsDaims))</f>
        <v>0</v>
      </c>
      <c r="DX56" s="1267">
        <f t="array" ref="DX56">IF(ChoixRationComplèteDaims=OUI,0,IFERROR(IF(OR(AND(INDEX(Règles_daims[Specificite],MATCH(ChoixRationDaims&amp;DV56,Règles_daims[Ration]&amp;Règles_daims[Aliment],0))="s1",IF(DV56=Spécificité1Daims,1)),
AND(INDEX(Règles_daims[Specificite],MATCH(ChoixRationDaims&amp;DV56,Règles_daims[Ration]&amp;Règles_daims[Aliment],0))="s2",IF(DV56=Spécificité2Daims,1)),
INDEX(Règles_daims[Specificite],MATCH(ChoixRationDaims&amp;DV56,Règles_daims[Ration]&amp;Règles_daims[Aliment],0))="c"),
INDEX(Règles_daims[Valeur 24-36],MATCH(ChoixRationDaims&amp;DV56,Règles_daims[Ration]&amp;Règles_daims[Aliment],0)),0),0)*SUM(TotalDaims24_36)*SUM(NbreJoursNourrirBisonsDaims))</f>
        <v>0</v>
      </c>
      <c r="DY56" s="1267">
        <f t="array" ref="DY56">IF(ChoixRationComplèteDaims=OUI,0,IFERROR(IF(OR(AND(INDEX(Règles_daims[Specificite],MATCH(ChoixRationDaims&amp;DV56,Règles_daims[Ration]&amp;Règles_daims[Aliment],0))="s1",IF(DV56=Spécificité1Daims,1)),
AND(INDEX(Règles_daims[Specificite],MATCH(ChoixRationDaims&amp;DV56,Règles_daims[Ration]&amp;Règles_daims[Aliment],0))="s2",IF(DV56=Spécificité2Daims,1)),
INDEX(Règles_daims[Specificite],MATCH(ChoixRationDaims&amp;DV56,Règles_daims[Ration]&amp;Règles_daims[Aliment],0))="c"),
INDEX(Règles_daims[Valeur 18-24],MATCH(ChoixRationDaims&amp;DV56,Règles_daims[Ration]&amp;Règles_daims[Aliment],0)),0),0)*SUM(TotalDaims18_24)*SUM(NbreJoursNourrirBisonsDaims))</f>
        <v>0</v>
      </c>
      <c r="DZ56" s="1279">
        <f t="array" ref="DZ56">IF(ChoixRationComplèteDaims=OUI,0,IFERROR(IF(OR(AND(INDEX(Règles_daims[Specificite],MATCH(ChoixRationDaims&amp;DV56,Règles_daims[Ration]&amp;Règles_daims[Aliment],0))="s1",IF(DV56=Spécificité1Daims,1)),
AND(INDEX(Règles_daims[Specificite],MATCH(ChoixRationDaims&amp;DV56,Règles_daims[Ration]&amp;Règles_daims[Aliment],0))="s2",IF(DV56=Spécificité2Daims,1)),
INDEX(Règles_daims[Specificite],MATCH(ChoixRationDaims&amp;DV56,Règles_daims[Ration]&amp;Règles_daims[Aliment],0))="c"),
INDEX(Règles_daims[Valeur 12-18],MATCH(ChoixRationDaims&amp;DV56,Règles_daims[Ration]&amp;Règles_daims[Aliment],0)),0),0)*SUM(TotalDaims12_18)*SUM(NbreJoursNourrirBisonsDaims))</f>
        <v>0</v>
      </c>
      <c r="EA56" s="1279">
        <f t="array" ref="EA56">IF(ChoixRationComplèteDaims=OUI,0,IFERROR(IF(OR(AND(INDEX(Règles_daims[Specificite],MATCH(ChoixRationDaims&amp;DV56,Règles_daims[Ration]&amp;Règles_daims[Aliment],0))="s1",IF(DV56=Spécificité1Daims,1)),
AND(INDEX(Règles_daims[Specificite],MATCH(ChoixRationDaims&amp;DV56,Règles_daims[Ration]&amp;Règles_daims[Aliment],0))="s2",IF(DV56=Spécificité2Daims,1)),
INDEX(Règles_daims[Specificite],MATCH(ChoixRationDaims&amp;DV56,Règles_daims[Ration]&amp;Règles_daims[Aliment],0))="c"),
INDEX(Règles_daims[Valeur 6-12],MATCH(ChoixRationDaims&amp;DV56,Règles_daims[Ration]&amp;Règles_daims[Aliment],0)),0),0)*SUM(TotalDaims6_12)*SUM(NbreJoursNourrirBisonsDaims))</f>
        <v>0</v>
      </c>
      <c r="EB56" s="1279">
        <f t="array" ref="EB56">IF(ChoixRationComplèteDaims=OUI,0,IFERROR(IF(OR(AND(INDEX(Règles_daims[Specificite],MATCH(ChoixRationDaims&amp;DV56,Règles_daims[Ration]&amp;Règles_daims[Aliment],0))="s1",IF(DV56=Spécificité1Daims,1)),
AND(INDEX(Règles_daims[Specificite],MATCH(ChoixRationDaims&amp;DV56,Règles_daims[Ration]&amp;Règles_daims[Aliment],0))="s2",IF(DV56=Spécificité2Daims,1)),
INDEX(Règles_daims[Specificite],MATCH(ChoixRationDaims&amp;DV56,Règles_daims[Ration]&amp;Règles_daims[Aliment],0))="c"),
INDEX(Règles_daims[Valeur 3-6],MATCH(ChoixRationDaims&amp;DV56,Règles_daims[Ration]&amp;Règles_daims[Aliment],0)),0),0)*SUM(TotalDaims3_6)*SUM(NbreJoursNourrirBisonsDaims))</f>
        <v>0</v>
      </c>
      <c r="EC56" s="1279">
        <f t="array" ref="EC56">IF(ChoixRationComplèteDaims=OUI,0,IFERROR(IF(OR(AND(INDEX(Règles_daims[Specificite],MATCH(ChoixRationDaims&amp;DV56,Règles_daims[Ration]&amp;Règles_daims[Aliment],0))="s1",IF(DV56=Spécificité1Daims,1)),
AND(INDEX(Règles_daims[Specificite],MATCH(ChoixRationDaims&amp;DV56,Règles_daims[Ration]&amp;Règles_daims[Aliment],0))="s2",IF(DV56=Spécificité2Daims,1)),
INDEX(Règles_daims[Specificite],MATCH(ChoixRationDaims&amp;DV56,Règles_daims[Ration]&amp;Règles_daims[Aliment],0))="c"),
INDEX(Règles_daims[Valeur 0-3],MATCH(ChoixRationDaims&amp;DV56,Règles_daims[Ration]&amp;Règles_daims[Aliment],0)),0),0)*SUM(TotalDaims0_3)*SUM(NbreJoursNourrirBisonsDaims))</f>
        <v>0</v>
      </c>
      <c r="ED56" s="1279">
        <f t="shared" si="9"/>
        <v>0</v>
      </c>
      <c r="EE56" s="1345"/>
      <c r="EF56" s="1321"/>
      <c r="EG56" s="808" t="s">
        <v>730</v>
      </c>
      <c r="EH56" s="817">
        <f t="array" ref="EH5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56" s="817">
        <f t="array" ref="EI5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56" s="817">
        <f t="array" ref="EJ5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56" s="818">
        <f>SUM(AlimentsRationOiesMâles[[#This Row],[Valeur 6 et plus]:[Valeur 0-3]])</f>
        <v>0</v>
      </c>
      <c r="EL56" s="1364"/>
      <c r="EM56" s="1321"/>
      <c r="EN56" s="808" t="s">
        <v>1270</v>
      </c>
      <c r="EO56" s="817">
        <f t="array" ref="EO5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56" s="817">
        <f t="array" ref="EP5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56" s="817">
        <f t="array" ref="EQ5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56" s="818">
        <f>SUM(Ration_canards_Mâles[[#This Row],[Valeur 6 et plus]:[Valeur 0-3]])</f>
        <v>0</v>
      </c>
      <c r="ES56" s="1364"/>
      <c r="ET56" s="1346"/>
      <c r="EU56" s="1321"/>
      <c r="EV56" s="1321"/>
      <c r="EW56" s="1321"/>
      <c r="EX56" s="1321"/>
      <c r="EY56" s="1321"/>
      <c r="EZ56" s="1321"/>
      <c r="FA56" s="1345"/>
      <c r="FB56" s="1345"/>
      <c r="FC56" s="1321"/>
      <c r="FD56" s="1082" t="s">
        <v>285</v>
      </c>
      <c r="FE56" s="1282">
        <f t="array" ref="FE56">IF(OR(ChoixRationComplèteEtéChevauxTrait=OUI,ChoixRationComplèteEtéChevauxTrait="",AND(ChoixChevauxTraitPréHiver=OUI,ChoixChevauxTraitPréEté=OUI)),0,IFERROR(IF(OR(AND(INDEX(Règles_chevaux_trait[Specificite],MATCH(RationEtéChevauxTrait&amp;$FD56,Règles_chevaux_trait[Ration]&amp;Règles_chevaux_trait[Aliment],0))="s1",IF($FD56=Spécificité1ChevauxTrait,1)),
AND(INDEX(Règles_chevaux_trait[Specificite],MATCH(RationEtéChevauxTrait&amp;$FD56,Règles_chevaux_trait[Ration]&amp;Règles_chevaux_trait[Aliment],0))="s2",IF($FD56=Spécificité2ChevauxTrait,1)),
INDEX(Règles_chevaux_trait[Specificite],MATCH(RationEtéChevauxTrait&amp;$FD56,Règles_chevaux_trait[Ration]&amp;Règles_chevaux_trait[Aliment],0))="c"),
INDEX(Règles_chevaux_trait[Valeur 36 et plus],MATCH(RationEtéChevauxTrait&amp;$FD56,Règles_chevaux_trait[Ration]&amp;Règles_chevaux_trait[Aliment],0)),0),0)*TotalEtalonTrait*SUM(NbreJoursNourrirChevauxTrait))</f>
        <v>0</v>
      </c>
      <c r="FF56" s="1282">
        <f t="array" ref="FF56">IF(OR(ChoixRationComplèteEtéChevauxTrait=OUI,ChoixRationComplèteEtéChevauxTrait="",AND(ChoixChevauxTraitPréHiver=OUI,ChoixChevauxTraitPréEté=OUI)),0,IFERROR(IF(OR(AND(INDEX(Règles_chevaux_trait[Specificite],MATCH(RationEtéChevauxTrait&amp;$FD56,Règles_chevaux_trait[Ration]&amp;Règles_chevaux_trait[Aliment],0))="s1",IF($FD56=Spécificité1ChevauxTrait,1)),
AND(INDEX(Règles_chevaux_trait[Specificite],MATCH(RationEtéChevauxTrait&amp;$FD56,Règles_chevaux_trait[Ration]&amp;Règles_chevaux_trait[Aliment],0))="s2",IF($FD56=Spécificité2ChevauxTrait,1)),
INDEX(Règles_chevaux_trait[Specificite],MATCH(RationEtéChevauxTrait&amp;$FD56,Règles_chevaux_trait[Ration]&amp;Règles_chevaux_trait[Aliment],0))="c"),
INDEX(Règles_chevaux_trait[Valeur 24-36],MATCH(RationEtéChevauxTrait&amp;$FD56,Règles_chevaux_trait[Ration]&amp;Règles_chevaux_trait[Aliment],0)),0),0)*TotalJeuneEtalonTrait_24_36_mois*SUM(NbreJoursNourrirChevauxTrait))</f>
        <v>0</v>
      </c>
      <c r="FG56" s="1282">
        <f t="array" ref="FG56">IF(OR(ChoixRationComplèteEtéChevauxTrait=OUI,ChoixRationComplèteEtéChevauxTrait="",AND(ChoixChevauxTraitPréHiver=OUI,ChoixChevauxTraitPréEté=OUI)),0,IFERROR(IF(OR(AND(INDEX(Règles_chevaux_trait[Specificite],MATCH(RationEtéChevauxTrait&amp;$FD56,Règles_chevaux_trait[Ration]&amp;Règles_chevaux_trait[Aliment],0))="s1",IF($FD56=Spécificité1ChevauxTrait,1)),
AND(INDEX(Règles_chevaux_trait[Specificite],MATCH(RationEtéChevauxTrait&amp;$FD56,Règles_chevaux_trait[Ration]&amp;Règles_chevaux_trait[Aliment],0))="s2",IF($FD56=Spécificité2ChevauxTrait,1)),
INDEX(Règles_chevaux_trait[Specificite],MATCH(RationEtéChevauxTrait&amp;$FD56,Règles_chevaux_trait[Ration]&amp;Règles_chevaux_trait[Aliment],0))="c"),
INDEX(Règles_chevaux_trait[Valeur 12-24],MATCH(RationEtéChevauxTrait&amp;$FD56,Règles_chevaux_trait[Ration]&amp;Règles_chevaux_trait[Aliment],0)),0),0)*TotalJeuneEtalonTrait_12_24_mois*SUM(NbreJoursNourrirChevauxTrait))</f>
        <v>0</v>
      </c>
      <c r="FH56" s="1285">
        <f t="array" ref="FH56">IF(OR(ChoixRationComplèteEtéChevauxTrait=OUI,ChoixRationComplèteEtéChevauxTrait="",AND(ChoixChevauxTraitPréHiver=OUI,ChoixChevauxTraitPréEté=OUI)),0,IFERROR(IF(OR(AND(INDEX(Règles_chevaux_trait[Specificite],MATCH(RationEtéChevauxTrait&amp;$FD56,Règles_chevaux_trait[Ration]&amp;Règles_chevaux_trait[Aliment],0))="s1",IF($FD56=Spécificité1ChevauxTrait,1)),
AND(INDEX(Règles_chevaux_trait[Specificite],MATCH(RationEtéChevauxTrait&amp;$FD56,Règles_chevaux_trait[Ration]&amp;Règles_chevaux_trait[Aliment],0))="s2",IF($FD56=Spécificité2ChevauxTrait,1)),
INDEX(Règles_chevaux_trait[Specificite],MATCH(RationEtéChevauxTrait&amp;$FD56,Règles_chevaux_trait[Ration]&amp;Règles_chevaux_trait[Aliment],0))="c"),
INDEX(Règles_chevaux_trait[Valeur 0-12],MATCH(RationEtéChevauxTrait&amp;$FD56,Règles_chevaux_trait[Ration]&amp;Règles_chevaux_trait[Aliment],0)),0),0)*TotalPoulainTrait_0_12_mois*SUM(NbreJoursNourrirChevauxTrait))</f>
        <v>0</v>
      </c>
      <c r="FI56" s="1285">
        <f t="shared" si="15"/>
        <v>0</v>
      </c>
      <c r="FJ56" s="1345"/>
      <c r="FK56" s="1345"/>
      <c r="FL56" s="1345"/>
      <c r="FM56" s="1321"/>
      <c r="FN56" s="1083" t="s">
        <v>730</v>
      </c>
      <c r="FO56" s="1283">
        <f t="array" ref="FO56">IF(OR(ChoixRationComplèteEtéPoneys=OUI,ChoixRationComplèteEtéPoneys="",AND(ChoixPoneysPréHiver=OUI,ChoixPoneysPréEté=OUI)),0,IFERROR(IF(OR(AND(INDEX(Règles_poneys[Specificite],MATCH(RationEtéPoneys&amp;$FN56,Règles_poneys[Ration]&amp;Règles_poneys[Aliment],0))="s1",IF($FN56=Spécificité1Poneys,1)),
AND(INDEX(Règles_poneys[Specificite],MATCH(RationEtéPoneys&amp;$FN56,Règles_poneys[Ration]&amp;Règles_poneys[Aliment],0))="s2",IF($FN56=Spécificité2Poneys,1)),
INDEX(Règles_poneys[Specificite],MATCH(RationEtéPoneys&amp;$FN56,Règles_poneys[Ration]&amp;Règles_poneys[Aliment],0))="c"),
INDEX(Règles_poneys[Valeur 36 et plus],MATCH(RationEtéPoneys&amp;$FN56,Règles_poneys[Ration]&amp;Règles_poneys[Aliment],0)),0),0)*TotalEtalonPoney*SUM(NbreJoursNourrirPoneys))</f>
        <v>0</v>
      </c>
      <c r="FP56" s="1283">
        <f t="array" ref="FP56">IF(OR(ChoixRationComplèteEtéPoneys=OUI,ChoixRationComplèteEtéPoneys="",AND(ChoixPoneysPréHiver=OUI,ChoixPoneysPréEté=OUI)),0,IFERROR(IF(OR(AND(INDEX(Règles_poneys[Specificite],MATCH(RationEtéPoneys&amp;$FN56,Règles_poneys[Ration]&amp;Règles_poneys[Aliment],0))="s1",IF($FN56=Spécificité1Poneys,1)),
AND(INDEX(Règles_poneys[Specificite],MATCH(RationEtéPoneys&amp;$FN56,Règles_poneys[Ration]&amp;Règles_poneys[Aliment],0))="s2",IF($FN56=Spécificité2Poneys,1)),
INDEX(Règles_poneys[Specificite],MATCH(RationEtéPoneys&amp;$FN56,Règles_poneys[Ration]&amp;Règles_poneys[Aliment],0))="c"),
INDEX(Règles_poneys[Valeur 36 et plus],MATCH(RationEtéPoneys&amp;$FN56,Règles_poneys[Ration]&amp;Règles_poneys[Aliment],0)),0),0)*TotalJeuneEtalonPoney_24_36_mois*SUM(NbreJoursNourrirPoneys))</f>
        <v>0</v>
      </c>
      <c r="FQ56" s="1283">
        <f t="array" ref="FQ56">IF(OR(ChoixRationComplèteEtéPoneys=OUI,ChoixRationComplèteEtéPoneys="",AND(ChoixPoneysPréHiver=OUI,ChoixPoneysPréEté=OUI)),0,IFERROR(IF(OR(AND(INDEX(Règles_poneys[Specificite],MATCH(RationEtéPoneys&amp;$FN56,Règles_poneys[Ration]&amp;Règles_poneys[Aliment],0))="s1",IF($FN56=Spécificité1Poneys,1)),
AND(INDEX(Règles_poneys[Specificite],MATCH(RationEtéPoneys&amp;$FN56,Règles_poneys[Ration]&amp;Règles_poneys[Aliment],0))="s2",IF($FN56=Spécificité2Poneys,1)),
INDEX(Règles_poneys[Specificite],MATCH(RationEtéPoneys&amp;$FN56,Règles_poneys[Ration]&amp;Règles_poneys[Aliment],0))="c"),
INDEX(Règles_poneys[Valeur 36 et plus],MATCH(RationEtéPoneys&amp;$FN56,Règles_poneys[Ration]&amp;Règles_poneys[Aliment],0)),0),0)*TotalJeuneEtalonPoney_12_24_mois*SUM(NbreJoursNourrirPoneys))</f>
        <v>0</v>
      </c>
      <c r="FR56" s="1286">
        <f t="array" ref="FR56">IF(OR(ChoixRationComplèteEtéPoneys=OUI,ChoixRationComplèteEtéPoneys="",AND(ChoixPoneysPréHiver=OUI,ChoixPoneysPréEté=OUI)),0,IFERROR(IF(OR(AND(INDEX(Règles_poneys[Specificite],MATCH(RationEtéPoneys&amp;$FN56,Règles_poneys[Ration]&amp;Règles_poneys[Aliment],0))="s1",IF($FN56=Spécificité1Poneys,1)),
AND(INDEX(Règles_poneys[Specificite],MATCH(RationEtéPoneys&amp;$FN56,Règles_poneys[Ration]&amp;Règles_poneys[Aliment],0))="s2",IF($FN56=Spécificité2Poneys,1)),
INDEX(Règles_poneys[Specificite],MATCH(RationEtéPoneys&amp;$FN56,Règles_poneys[Ration]&amp;Règles_poneys[Aliment],0))="c"),
INDEX(Règles_poneys[Valeur 36 et plus],MATCH(RationEtéPoneys&amp;$FN56,Règles_poneys[Ration]&amp;Règles_poneys[Aliment],0)),0),0)*TotalPoulainPoney_0_12_mois*SUM(NbreJoursNourrirPoneys))</f>
        <v>0</v>
      </c>
      <c r="FS56" s="1286">
        <f t="shared" si="14"/>
        <v>0</v>
      </c>
      <c r="FT56" s="1345"/>
      <c r="FU56" s="1345"/>
      <c r="FV56" s="1345"/>
      <c r="FW56" s="823" t="s">
        <v>298</v>
      </c>
      <c r="FX56" s="828">
        <f t="array" ref="FX5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56" s="828">
        <f t="array" ref="FY5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56" s="828">
        <f t="array" ref="FZ5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56" s="828">
        <f t="array" ref="GA5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56" s="829">
        <f>SUM(AlimentsGavageOies[[#This Row],[Valeur 3 et plus]:[Valeur 0-1]])</f>
        <v>0</v>
      </c>
      <c r="GC56" s="1364"/>
      <c r="GD56" s="1321"/>
      <c r="GE56" s="1143" t="s">
        <v>4</v>
      </c>
      <c r="GF56" s="1321"/>
      <c r="GG56" s="1321" t="s">
        <v>1349</v>
      </c>
      <c r="GH56" s="1321" t="s">
        <v>1349</v>
      </c>
      <c r="GI56" s="1321" t="s">
        <v>1349</v>
      </c>
      <c r="GJ56" s="1321" t="s">
        <v>1349</v>
      </c>
      <c r="GK56" s="1321" t="s">
        <v>1349</v>
      </c>
      <c r="GL56" s="1321" t="s">
        <v>1349</v>
      </c>
      <c r="GM56" s="1321" t="s">
        <v>1349</v>
      </c>
      <c r="GN56" s="1321" t="s">
        <v>1349</v>
      </c>
      <c r="GO56" s="1321" t="s">
        <v>1349</v>
      </c>
      <c r="GP56" s="1321" t="s">
        <v>1349</v>
      </c>
      <c r="GQ56" s="1321" t="s">
        <v>1349</v>
      </c>
      <c r="GR56" s="1321" t="s">
        <v>1349</v>
      </c>
      <c r="GS56" s="1321" t="s">
        <v>1349</v>
      </c>
      <c r="GT56" s="1321" t="s">
        <v>1349</v>
      </c>
      <c r="GU56" s="1321" t="s">
        <v>1349</v>
      </c>
      <c r="GV56" s="1321" t="s">
        <v>1349</v>
      </c>
      <c r="GW56" s="1321"/>
      <c r="GX56" s="1321"/>
      <c r="GY56" s="1083" t="str">
        <f t="shared" si="11"/>
        <v>semences de colza</v>
      </c>
      <c r="GZ56" s="1083"/>
      <c r="HA56" s="1084"/>
      <c r="HB56" s="1084">
        <f>IF(COUNTIF(TypeArticleDansEntrepôt,GY56)=0,0,SUMIF(TypeArticleDansEntrepôt,GY56,QtéArticleDansEntrepôt)*VLOOKUP(GY56,place_necessaire_entrepots_aire_paille[],2,FALSE))</f>
        <v>0</v>
      </c>
      <c r="HC56" s="1321"/>
      <c r="HD56" s="1321"/>
      <c r="HE56" s="1321"/>
      <c r="HF56" s="1321"/>
      <c r="HG56" s="1321"/>
      <c r="HH56" s="1321"/>
      <c r="HI56" s="1321"/>
      <c r="HJ56" s="1321"/>
      <c r="HK56" s="1321"/>
      <c r="HL56" s="1321"/>
      <c r="HM56" s="1321"/>
      <c r="HN56" s="1084" t="str">
        <f>IF(parcelles!B104="","",(VLOOKUP(parcelles!C104,BDD!$HN$5:$HU$38,2,FALSE))*parcelles!E104)</f>
        <v/>
      </c>
      <c r="HO56" s="1084" t="str">
        <f>IF(parcelles!B104="","",IF(OR(parcelles!C104=Moutarde,parcelles!C104=Phacélie),0,IF(parcelles!C104=Luzerne,10*parcelles!E104*VLOOKUP(parcelles!C104,BDD!$HN$5:$HU$38,3,FALSE),IF(parcelles!C104=Miscanthus,10.5*parcelles!E104*VLOOKUP(parcelles!C104,BDD!$HN$5:$HU$38,3,FALSE),INDEX(parcelles!$C$56:'parcelles'!$Y$77,MATCH(parcelles!B104,parcelles!$B$56:'parcelles'!$B$77,0),MATCH(parcelles!C104,parcelles!$C$53:'parcelles'!$Y$53,0))*parcelles!E104*VLOOKUP(parcelles!C104,BDD!$HN$5:$HU$38,3,FALSE)))))</f>
        <v/>
      </c>
      <c r="HP56" s="1084" t="str">
        <f>IF(parcelles!B104="","",IF(OR(parcelles!C104=Moutarde,parcelles!C104=Phacélie),0,IF(parcelles!C104=Luzerne,10*parcelles!E104*VLOOKUP(parcelles!C104,BDD!$HN$5:$HU$38,4,FALSE),IF(parcelles!C104=Miscanthus,10.5*parcelles!E104*VLOOKUP(parcelles!C104,BDD!$HN$5:$HU$38,4,FALSE),INDEX(parcelles!$C$56:'parcelles'!$Y$77,MATCH(parcelles!B104,parcelles!$B$56:'parcelles'!$B$77,0),MATCH(parcelles!C104,parcelles!$C$53:'parcelles'!$Y$53,0))*parcelles!E104*VLOOKUP(parcelles!C104,BDD!$HN$5:$HU$38,4,FALSE)))))</f>
        <v/>
      </c>
      <c r="HQ56" s="1084" t="str">
        <f>IF(parcelles!B104="","",IF(OR(parcelles!C104=Moutarde,parcelles!C104=Phacélie),0,IF(parcelles!C104=Luzerne,10*parcelles!E104*VLOOKUP(parcelles!C104,BDD!$HN$5:$HU$38,5,FALSE),IF(parcelles!C104=Miscanthus,10.5*parcelles!E104*VLOOKUP(parcelles!C104,BDD!$HN$5:$HU$38,5,FALSE),INDEX(parcelles!$C$56:'parcelles'!$Y$77,MATCH(parcelles!B104,parcelles!$B$56:'parcelles'!$B$77,0),MATCH(parcelles!C104,parcelles!$C$53:'parcelles'!$Y$53,0))*parcelles!E104*VLOOKUP(parcelles!C104,BDD!$HN$5:$HU$38,5,FALSE)))))</f>
        <v/>
      </c>
      <c r="HR56" s="1084" t="str">
        <f>IF(parcelles!B104="","",IF(OR(parcelles!C104=Moutarde,parcelles!C104=Phacélie),0,IF(parcelles!C104=Luzerne,10*parcelles!E104*VLOOKUP(parcelles!C104,BDD!$HN$5:$HU$38,6,FALSE),IF(parcelles!C104=Miscanthus,10.5*parcelles!E104*VLOOKUP(parcelles!C104,BDD!$HN$5:$HU$38,6,FALSE),INDEX(parcelles!$C$56:'parcelles'!$Y$77,MATCH(parcelles!B104,parcelles!$B$56:'parcelles'!$B$77,0),MATCH(parcelles!C104,parcelles!$C$53:'parcelles'!$Y$53,0))*parcelles!E104*VLOOKUP(parcelles!C104,BDD!$HN$5:$HU$38,6,FALSE)))))</f>
        <v/>
      </c>
      <c r="HS56" s="1084" t="str">
        <f>IF(parcelles!B104="","",IF(OR(parcelles!C104=Moutarde,parcelles!C104=Phacélie),0,IF(parcelles!C104=Luzerne,10*parcelles!E104*VLOOKUP(parcelles!C104,BDD!$HN$5:$HU$38,7,FALSE),IF(parcelles!C104=Miscanthus,10.5*parcelles!E104*VLOOKUP(parcelles!C104,BDD!$HN$5:$HU$38,7,FALSE),INDEX(parcelles!$C$56:'parcelles'!$Y$77,MATCH(parcelles!B104,parcelles!$B$56:'parcelles'!$B$77,0),MATCH(parcelles!C104,parcelles!$C$53:'parcelles'!$Y$53,0))*parcelles!E104*VLOOKUP(parcelles!C104,BDD!$HN$5:$HU$38,7,FALSE)))))</f>
        <v/>
      </c>
      <c r="HT56" s="1084" t="str">
        <f>IF(parcelles!B104="","",IF(OR(parcelles!C104=Moutarde,parcelles!C104=Phacélie),0,IF(parcelles!C104=Luzerne,10*parcelles!E104*VLOOKUP(parcelles!C104,BDD!$HN$5:$HU$38,8,FALSE),IF(parcelles!C104=Miscanthus,10.5*parcelles!E104*VLOOKUP(parcelles!C104,BDD!$HN$5:$HU$38,8,FALSE),INDEX(parcelles!$C$56:'parcelles'!$Y$77,MATCH(parcelles!B104,parcelles!$B$56:'parcelles'!$B$77,0),MATCH(parcelles!C104,parcelles!$C$53:'parcelles'!$Y$53,0))*parcelles!E104*VLOOKUP(parcelles!C104,BDD!$HN$5:$HU$38,8,FALSE)))))</f>
        <v/>
      </c>
      <c r="HU56" s="1084" t="str">
        <f>IF(parcelles!B104="","",IF(OR(parcelles!C104=Moutarde,parcelles!C104=Phacélie),0,1.6*parcelles!E104))</f>
        <v/>
      </c>
      <c r="HV56" s="1084" t="str">
        <f>IF(parcelles!B104="","",IF(OR(parcelles!C104=Moutarde,parcelles!C104=Phacélie),0,1.6*parcelles!E104))</f>
        <v/>
      </c>
      <c r="HW56" s="1084" t="str">
        <f>IF(parcelles!B104="","",IF(OR(parcelles!C104=Moutarde,parcelles!C104=Phacélie),0,1.6*parcelles!E104))</f>
        <v/>
      </c>
      <c r="HX56" s="1095" t="str">
        <f>IF(parcelles!D104="","",IF(parcelles!C104=ChanvreIndustriel,INDEX(parcelles!$C$56:$Y$77,MATCH(parcelles!B104,parcelles!$B$56:$B$77,0),MATCH(parcelles!C104,parcelles!$C$53:$Y$53,0))*parcelles!E104*SUMIF(ListeCulturesBDD,parcelles!C104,PrixVenteCulturesConventionnel)+RIGHT(BDD!$HM$7,3)*7*parcelles!E104,IF(parcelles!C104=Luzerne,parcelles!E104*10*VLOOKUP(parcelles!C104,TarifsCoopCultures,2,FALSE),IF(parcelles!C104=Miscanthus,parcelles!E104*10.5*VLOOKUP(Luzerne,TarifsCoopCultures,2,FALSE),INDEX(parcelles!$C$56:$Y$77,MATCH(parcelles!B104,parcelles!$B$56:$B$77,0),MATCH(parcelles!C104,parcelles!$C$53:$Y$53,0))*parcelles!E104*SUMIF(ListeCulturesBDD,parcelles!C104,PrixVenteCulturesConventionnel)))))</f>
        <v/>
      </c>
      <c r="HY56" s="1084" t="str">
        <f>IF(parcelles!D104="","",IF(parcelles!F104=0,"",IF(parcelles!C104=ChanvreIndustriel,"soit "&amp;parcelles!E104*0.8&amp;"t de grain et "&amp;parcelles!E104*7&amp;"t de paille",IF(parcelles!C104=Luzerne,"soit "&amp;10*parcelles!E104&amp;"t/an",IF(parcelles!C104=Miscanthus,"soit "&amp;10.5*parcelles!E104&amp;"t/an","soit "&amp;INDEX(parcelles!$C$56:$Y$77,MATCH(parcelles!B104,parcelles!$B$56:$B$77,0),MATCH(parcelles!C104,parcelles!$C$53:$Y$53,0))*parcelles!E104&amp;"t")))))</f>
        <v/>
      </c>
      <c r="HZ56" s="1084" t="str">
        <f>IF(parcelles!D104="","",IF(parcelles!F104=0,"",IF(parcelles!C104=ChanvreIndustriel,"soit "&amp;parcelles!E104*0.8*0.8&amp;"t de grain et "&amp;parcelles!E104*7*0.8&amp;"t de paille",IF(parcelles!C104=Luzerne,"soit "&amp;10*0.8*parcelles!E104&amp;"t/an",IF(parcelles!C104=Miscanthus,"soit "&amp;10.5*0.8*parcelles!E104&amp;"t/an","soit "&amp;INDEX(parcelles!$C$56:$Y$77,MATCH(parcelles!B104,parcelles!$B$56:$B$77,0),MATCH(parcelles!C104,parcelles!$C$53:$Y$53,0))*0.8*parcelles!E104&amp;"t")))))</f>
        <v/>
      </c>
      <c r="IA56" s="1084" t="str">
        <f>IF(parcelles!L104="","",(VLOOKUP(parcelles!M104,BDD!$HN$5:$HU$38,2,FALSE))*parcelles!O104)</f>
        <v/>
      </c>
      <c r="IB56" s="1084" t="str">
        <f>IF(parcelles!L104="","",IF(OR(parcelles!M104=Moutarde,parcelles!M104=Phacélie),0,IF(parcelles!M104=Luzerne,10*parcelles!O104*VLOOKUP(parcelles!M104,BDD!$HN$5:$HU$38,3,FALSE),IF(parcelles!M104=Miscanthus,10.5*parcelles!O104*VLOOKUP(parcelles!M104,BDD!$HN$5:$HU$38,3,FALSE),INDEX(parcelles!$C$56:'parcelles'!$Y$77,MATCH(parcelles!L104,parcelles!$B$56:'parcelles'!$B$77,0),MATCH(parcelles!M104,parcelles!$C$53:'parcelles'!$Y$53,0))*parcelles!O104*VLOOKUP(parcelles!M104,BDD!$HN$5:$HU$38,3,FALSE)))))</f>
        <v/>
      </c>
      <c r="IC56" s="1084" t="str">
        <f>IF(parcelles!L104="","",IF(OR(parcelles!M104=Moutarde,parcelles!M104=Phacélie),0,IF(parcelles!M104=Luzerne,10*parcelles!O104*VLOOKUP(parcelles!M104,BDD!$HN$5:$HU$38,4,FALSE),IF(parcelles!M104=Miscanthus,10.5*parcelles!O104*VLOOKUP(parcelles!M104,BDD!$HN$5:$HU$38,4,FALSE),INDEX(parcelles!$C$56:'parcelles'!$Y$77,MATCH(parcelles!L104,parcelles!$B$56:'parcelles'!$B$77,0),MATCH(parcelles!M104,parcelles!$C$53:'parcelles'!$Y$53,0))*parcelles!O104*VLOOKUP(parcelles!M104,BDD!$HN$5:$HU$38,4,FALSE)))))</f>
        <v/>
      </c>
      <c r="ID56" s="1084" t="str">
        <f>IF(parcelles!L104="","",IF(OR(parcelles!M104=Moutarde,parcelles!M104=Phacélie),0,IF(parcelles!M104=Luzerne,10*parcelles!O104*VLOOKUP(parcelles!M104,BDD!$HN$5:$HU$38,5,FALSE),IF(parcelles!M104=Miscanthus,10.5*parcelles!O104*VLOOKUP(parcelles!M104,BDD!$HN$5:$HU$38,5,FALSE),INDEX(parcelles!$C$56:'parcelles'!$Y$77,MATCH(parcelles!L104,parcelles!$B$56:'parcelles'!$B$77,0),MATCH(parcelles!M104,parcelles!$C$53:'parcelles'!$Y$53,0))*parcelles!O104*VLOOKUP(parcelles!M104,BDD!$HN$5:$HU$38,5,FALSE)))))</f>
        <v/>
      </c>
      <c r="IE56" s="1084" t="str">
        <f>IF(parcelles!L104="","",IF(OR(parcelles!M104=Moutarde,parcelles!M104=Phacélie),0,IF(parcelles!M104=Luzerne,10*parcelles!O104*VLOOKUP(parcelles!M104,BDD!$HN$5:$HU$38,6,FALSE),IF(parcelles!M104=Miscanthus,10.5*parcelles!O104*VLOOKUP(parcelles!M104,BDD!$HN$5:$HU$38,6,FALSE),INDEX(parcelles!$C$56:'parcelles'!$Y$77,MATCH(parcelles!L104,parcelles!$B$56:'parcelles'!$B$77,0),MATCH(parcelles!M104,parcelles!$C$53:'parcelles'!$Y$53,0))*parcelles!O104*VLOOKUP(parcelles!M104,BDD!$HN$5:$HU$38,6,FALSE)))))</f>
        <v/>
      </c>
      <c r="IF56" s="1084" t="str">
        <f>IF(parcelles!L104="","",IF(OR(parcelles!M104=Moutarde,parcelles!M104=Phacélie),0,IF(parcelles!M104=Luzerne,10*parcelles!O104*VLOOKUP(parcelles!M104,BDD!$HN$5:$HU$38,7,FALSE),IF(parcelles!M104=Miscanthus,10.5*parcelles!O104*VLOOKUP(parcelles!M104,BDD!$HN$5:$HU$38,7,FALSE),INDEX(parcelles!$C$56:'parcelles'!$Y$77,MATCH(parcelles!L104,parcelles!$B$56:'parcelles'!$B$77,0),MATCH(parcelles!M104,parcelles!$C$53:'parcelles'!$Y$53,0))*parcelles!O104*VLOOKUP(parcelles!M104,BDD!$HN$5:$HU$38,7,FALSE)))))</f>
        <v/>
      </c>
      <c r="IG56" s="1084" t="str">
        <f>IF(parcelles!L104="","",IF(OR(parcelles!M104=Moutarde,parcelles!M104=Phacélie),0,IF(parcelles!M104=Luzerne,10*parcelles!O104*VLOOKUP(parcelles!M104,BDD!$HN$5:$HU$38,8,FALSE),IF(parcelles!M104=Miscanthus,10.5*parcelles!O104*VLOOKUP(parcelles!M104,BDD!$HN$5:$HU$38,8,FALSE),INDEX(parcelles!$C$56:'parcelles'!$Y$77,MATCH(parcelles!L104,parcelles!$B$56:'parcelles'!$B$77,0),MATCH(parcelles!M104,parcelles!$C$53:'parcelles'!$Y$53,0))*parcelles!O104*VLOOKUP(parcelles!M104,BDD!$HN$5:$HU$38,8,FALSE)))))</f>
        <v/>
      </c>
      <c r="IH56" s="1084" t="str">
        <f>IF(parcelles!L104="","",IF(OR(parcelles!L104=Moutarde,parcelles!L104=Phacélie),0,1.6*parcelles!O104))</f>
        <v/>
      </c>
      <c r="II56" s="1084" t="str">
        <f>IF(parcelles!L104="","",IF(OR(parcelles!L104=Moutarde,parcelles!L104=Phacélie),0,1.6*parcelles!O104))</f>
        <v/>
      </c>
      <c r="IJ56" s="1084" t="str">
        <f>IF(parcelles!L104="","",IF(OR(parcelles!L104=Moutarde,parcelles!L104=Phacélie),0,1.6*parcelles!O104))</f>
        <v/>
      </c>
      <c r="IK56" s="1084" t="str">
        <f>IF(parcelles!P104="","",IF(parcelles!R104=0,"",IF(parcelles!O104=ChanvreIndustriel,"soit "&amp;parcelles!Q104*0.8&amp;"t de grain et "&amp;parcelles!Q104*7&amp;"t de paille",IF(parcelles!O104=Luzerne,"soit "&amp;10*parcelles!Q104&amp;"t/an",IF(parcelles!O104=Miscanthus,"soit "&amp;10.5*parcelles!Q104&amp;"t/an","soit "&amp;INDEX(parcelles!$C$56:$Y$77,MATCH(parcelles!N104,parcelles!$B$56:$B$77,0),MATCH(parcelles!O104,parcelles!$C$53:$Y$53,0))*parcelles!Q104&amp;"t")))))</f>
        <v/>
      </c>
      <c r="IL56" s="1084" t="str">
        <f>IF(parcelles!P104="","",IF(parcelles!R104=0,"",IF(parcelles!O104=ChanvreIndustriel,"soit "&amp;parcelles!Q104*0.8*0.8&amp;"t de grain et "&amp;parcelles!Q104*7*0.8&amp;"t de paille",IF(parcelles!O104=Luzerne,"soit "&amp;10*0.8*parcelles!Q104&amp;"t/an",IF(parcelles!O104=Miscanthus,"soit "&amp;10.5*0.8*parcelles!Q104&amp;"t/an","soit "&amp;INDEX(parcelles!$C$56:$Y$77,MATCH(parcelles!N104,parcelles!$B$56:$B$77,0),MATCH(parcelles!O104,parcelles!$C$53:$Y$53,0))*0.8*parcelles!Q104&amp;"t")))))</f>
        <v/>
      </c>
      <c r="IM56" s="1084" t="str">
        <f>IF(parcelles!S104="","",IF(parcelles!U104=0,"",IF(parcelles!R104=ChanvreIndustriel,parcelles!T104*0.8*0.8+parcelles!T104*7*0.8,IF(parcelles!R104=Luzerne,10*0.8*parcelles!T104,IF(parcelles!R104=Miscanthus,10.5*0.8*parcelles!T104,INDEX(parcelles!$C$56:$Y$77,MATCH(parcelles!Q104,parcelles!$B$56:$B$77,0),MATCH(parcelles!R104,parcelles!$C$53:$Y$53,0))*0.8*parcelles!T104)))))</f>
        <v/>
      </c>
      <c r="IN56" s="1368"/>
    </row>
    <row r="57" spans="1:248" ht="12.75" customHeight="1" x14ac:dyDescent="0.2">
      <c r="A57" s="1307">
        <v>3</v>
      </c>
      <c r="B57" s="1232">
        <v>0.1</v>
      </c>
      <c r="C57" s="1233">
        <v>0.3</v>
      </c>
      <c r="D57" s="1321"/>
      <c r="E57" s="1321"/>
      <c r="F57" s="1321"/>
      <c r="G57" s="1321"/>
      <c r="H57" s="1321"/>
      <c r="I57" s="1321"/>
      <c r="J57" s="1321"/>
      <c r="K57" s="1321"/>
      <c r="L57" s="1321"/>
      <c r="M57" s="1321"/>
      <c r="N57" s="1321"/>
      <c r="O57" s="1143" t="s">
        <v>185</v>
      </c>
      <c r="P57" s="1143">
        <v>8.6</v>
      </c>
      <c r="Q57" s="1143">
        <v>7.9</v>
      </c>
      <c r="R57" s="1143">
        <v>8.4</v>
      </c>
      <c r="S57" s="1143">
        <v>6.3</v>
      </c>
      <c r="T57" s="1143">
        <v>6.2</v>
      </c>
      <c r="U57" s="1143">
        <v>7.3</v>
      </c>
      <c r="V57" s="1143"/>
      <c r="W57" s="1143">
        <v>9.4</v>
      </c>
      <c r="X57" s="1143">
        <v>15.1</v>
      </c>
      <c r="Y57" s="1143">
        <v>90</v>
      </c>
      <c r="Z57" s="1143">
        <v>3.9</v>
      </c>
      <c r="AA57" s="1143">
        <v>0</v>
      </c>
      <c r="AB57" s="1143">
        <v>5.3</v>
      </c>
      <c r="AC57" s="1143">
        <v>4.5999999999999996</v>
      </c>
      <c r="AD57" s="1143">
        <v>0</v>
      </c>
      <c r="AE57" s="1143">
        <v>3.7</v>
      </c>
      <c r="AF57" s="1143">
        <v>44.9</v>
      </c>
      <c r="AG57" s="1143">
        <v>0</v>
      </c>
      <c r="AH57" s="1143">
        <v>0</v>
      </c>
      <c r="AI57" s="1143">
        <v>23</v>
      </c>
      <c r="AJ57" s="1143">
        <v>15</v>
      </c>
      <c r="AK57" s="1143">
        <v>0</v>
      </c>
      <c r="AL57" s="1143">
        <v>0</v>
      </c>
      <c r="AM57" s="1143"/>
      <c r="AN57" s="1143">
        <v>2.2999999999999998</v>
      </c>
      <c r="AO57" s="1143">
        <v>33</v>
      </c>
      <c r="AP57" s="1143">
        <v>0</v>
      </c>
      <c r="AQ57" s="1143">
        <v>0</v>
      </c>
      <c r="AR57" s="1143">
        <v>0</v>
      </c>
      <c r="AS57" s="1143">
        <v>0</v>
      </c>
      <c r="AT57" s="1143">
        <v>0</v>
      </c>
      <c r="AU57" s="1143">
        <v>0</v>
      </c>
      <c r="AV57" s="1143">
        <v>0</v>
      </c>
      <c r="AW57" s="1143">
        <v>8.5</v>
      </c>
      <c r="AX57" s="1143">
        <v>10</v>
      </c>
      <c r="AY57" s="1143">
        <v>10</v>
      </c>
      <c r="AZ57" s="1321"/>
      <c r="BA57" s="1321"/>
      <c r="BB57" s="1328" t="s">
        <v>1282</v>
      </c>
      <c r="BC57" s="1327"/>
      <c r="BD57" s="1320"/>
      <c r="BE57" s="1321"/>
      <c r="BF57" s="1321"/>
      <c r="BG57" s="1321"/>
      <c r="BH57" s="1321"/>
      <c r="BI57" s="1321"/>
      <c r="BJ57" s="1321"/>
      <c r="BK57" s="1345"/>
      <c r="BL57" s="1348"/>
      <c r="BM57" s="1075" t="s">
        <v>725</v>
      </c>
      <c r="BN57" s="1075">
        <f t="array" ref="BN57">IF(Ration_hivernale_complète_bisons[somme]&gt;0,0,IFERROR(IF(OR(AND(INDEX(Règles_bison[Specificite],MATCH(ChoixRationBisons&amp;$BM57,Règles_bison[Ration]&amp;Règles_bison[Aliment],0))="s1",IF($BM57=ChoixSpécificité1Bisons,1)),
AND(INDEX(Règles_bison[Specificite],MATCH(ChoixRationBisons&amp;$BM57,Règles_bison[Ration]&amp;Règles_bison[Aliment],0))="s2",IF($BM57=ChoixSpécificité2Bisons,1)),INDEX(Règles_bison[Specificite],MATCH(ChoixRationBisons&amp;$BM57,Règles_bison[Ration]&amp;Règles_bison[Aliment],0))="c"),
INDEX(Règles_bison[Valeur 36 et plus],MATCH(ChoixRationBisons&amp;$BM57,Règles_bison[Ration]&amp;Règles_bison[Aliment],0)),0),0)*TotalBisonsMalesAdultes*SUM(NbreJoursNourrirBisonsDaims))</f>
        <v>0</v>
      </c>
      <c r="BO57" s="1075">
        <f t="array" ref="BO57">IF(Ration_hivernale_complète_bisons[somme]&gt;0,0,IFERROR(IF(OR(AND(INDEX(Règles_bison[Specificite],MATCH(ChoixRationBisons&amp;$BM57,Règles_bison[Ration]&amp;Règles_bison[Aliment],0))="s1",IF($BM57=ChoixSpécificité1Bisons,1)),
AND(INDEX(Règles_bison[Specificite],MATCH(ChoixRationBisons&amp;$BM57,Règles_bison[Ration]&amp;Règles_bison[Aliment],0))="s2",IF($BM57=ChoixSpécificité2Bisons,1)),INDEX(Règles_bison[Specificite],MATCH(ChoixRationBisons&amp;$BM57,Règles_bison[Ration]&amp;Règles_bison[Aliment],0))="c"),
INDEX(Règles_bison[Valeur 24-36],MATCH(ChoixRationBisons&amp;$BM57,Règles_bison[Ration]&amp;Règles_bison[Aliment],0)),0),0)*TotalBisonsMales_24_36_mois*SUM(NbreJoursNourrirBisonsDaims))</f>
        <v>0</v>
      </c>
      <c r="BP57" s="1075">
        <f t="array" ref="BP57">IF(Ration_hivernale_complète_bisons[somme]&gt;0,0,IFERROR(IF(OR(AND(INDEX(Règles_bison[Specificite],MATCH(ChoixRationBisons&amp;$BM57,Règles_bison[Ration]&amp;Règles_bison[Aliment],0))="s1",IF($BM57=ChoixSpécificité1Bisons,1)),
AND(INDEX(Règles_bison[Specificite],MATCH(ChoixRationBisons&amp;$BM57,Règles_bison[Ration]&amp;Règles_bison[Aliment],0))="s2",IF($BM57=ChoixSpécificité2Bisons,1)),INDEX(Règles_bison[Specificite],MATCH(ChoixRationBisons&amp;$BM57,Règles_bison[Ration]&amp;Règles_bison[Aliment],0))="c"),
INDEX(Règles_bison[Valeur 18-24],MATCH(ChoixRationBisons&amp;$BM57,Règles_bison[Ration]&amp;Règles_bison[Aliment],0)),0),0)*TotalBisonsMales_18_24_mois*SUM(NbreJoursNourrirBisonsDaims))</f>
        <v>0</v>
      </c>
      <c r="BQ57" s="1075">
        <f t="array" ref="BQ57">IF(Ration_hivernale_complète_bisons[somme]&gt;0,0,IFERROR(IF(OR(AND(INDEX(Règles_bison[Specificite],MATCH(ChoixRationBisons&amp;$BM57,Règles_bison[Ration]&amp;Règles_bison[Aliment],0))="s1",IF($BM57=ChoixSpécificité1Bisons,1)),
AND(INDEX(Règles_bison[Specificite],MATCH(ChoixRationBisons&amp;$BM57,Règles_bison[Ration]&amp;Règles_bison[Aliment],0))="s2",IF($BM57=ChoixSpécificité2Bisons,1)),INDEX(Règles_bison[Specificite],MATCH(ChoixRationBisons&amp;$BM57,Règles_bison[Ration]&amp;Règles_bison[Aliment],0))="c"),
INDEX(Règles_bison[Valeur 12-18],MATCH(ChoixRationBisons&amp;$BM57,Règles_bison[Ration]&amp;Règles_bison[Aliment],0)),0),0)*TotalBisonsMales_12_18_mois*SUM(NbreJoursNourrirBisonsDaims))</f>
        <v>0</v>
      </c>
      <c r="BR57" s="1075">
        <f t="array" ref="BR57">IF(Ration_hivernale_complète_bisons[somme]&gt;0,0,IFERROR(IF(OR(AND(INDEX(Règles_bison[Specificite],MATCH(ChoixRationBisons&amp;$BM57,Règles_bison[Ration]&amp;Règles_bison[Aliment],0))="s1",IF($BM57=ChoixSpécificité1Bisons,1)),
AND(INDEX(Règles_bison[Specificite],MATCH(ChoixRationBisons&amp;$BM57,Règles_bison[Ration]&amp;Règles_bison[Aliment],0))="s2",IF($BM57=ChoixSpécificité2Bisons,1)),INDEX(Règles_bison[Specificite],MATCH(ChoixRationBisons&amp;$BM57,Règles_bison[Ration]&amp;Règles_bison[Aliment],0))="c"),
INDEX(Règles_bison[Valeur 6-12],MATCH(ChoixRationBisons&amp;$BM57,Règles_bison[Ration]&amp;Règles_bison[Aliment],0)),0),0)*TotalBisonsMales_6_12_mois*SUM(NbreJoursNourrirBisonsDaims))</f>
        <v>0</v>
      </c>
      <c r="BS57" s="1075">
        <f t="array" ref="BS57">IF(Ration_hivernale_complète_bisons[somme]&gt;0,0,IFERROR(IF(OR(AND(INDEX(Règles_bison[Specificite],MATCH(ChoixRationBisons&amp;$BM57,Règles_bison[Ration]&amp;Règles_bison[Aliment],0))="s1",IF($BM57=ChoixSpécificité1Bisons,1)),
AND(INDEX(Règles_bison[Specificite],MATCH(ChoixRationBisons&amp;$BM57,Règles_bison[Ration]&amp;Règles_bison[Aliment],0))="s2",IF($BM57=ChoixSpécificité2Bisons,1)),INDEX(Règles_bison[Specificite],MATCH(ChoixRationBisons&amp;$BM57,Règles_bison[Ration]&amp;Règles_bison[Aliment],0))="c"),
INDEX(Règles_bison[Valeur 3-6],MATCH(ChoixRationBisons&amp;$BM57,Règles_bison[Ration]&amp;Règles_bison[Aliment],0)),0),0)*TotalBisonsMales_3_6_mois*SUM(NbreJoursNourrirBisonsDaims))</f>
        <v>0</v>
      </c>
      <c r="BT57" s="1075">
        <f t="array" ref="BT57">IF(Ration_hivernale_complète_bisons[somme]&gt;0,0,IFERROR(IF(OR(AND(INDEX(Règles_bison[Specificite],MATCH(ChoixRationBisons&amp;$BM57,Règles_bison[Ration]&amp;Règles_bison[Aliment],0))="s1",IF($BM57=ChoixSpécificité1Bisons,1)),
AND(INDEX(Règles_bison[Specificite],MATCH(ChoixRationBisons&amp;$BM57,Règles_bison[Ration]&amp;Règles_bison[Aliment],0))="s2",IF($BM57=ChoixSpécificité2Bisons,1)),INDEX(Règles_bison[Specificite],MATCH(ChoixRationBisons&amp;$BM57,Règles_bison[Ration]&amp;Règles_bison[Aliment],0))="c"),
INDEX(Règles_bison[Valeur 0-3],MATCH(ChoixRationBisons&amp;$BM57,Règles_bison[Ration]&amp;Règles_bison[Aliment],0)),0),0)*TotalBisonsMales_0_3_mois*SUM(NbreJoursNourrirBisonsDaims))</f>
        <v>0</v>
      </c>
      <c r="BU57" s="1075">
        <f t="shared" si="10"/>
        <v>0</v>
      </c>
      <c r="BV57" s="1345"/>
      <c r="BW57" s="1345"/>
      <c r="BX57" s="1176" t="s">
        <v>762</v>
      </c>
      <c r="BY57" s="1177" t="s">
        <v>723</v>
      </c>
      <c r="BZ57" s="1177" t="s">
        <v>1277</v>
      </c>
      <c r="CA57" s="1177">
        <v>19</v>
      </c>
      <c r="CB57" s="1177">
        <v>14</v>
      </c>
      <c r="CC57" s="1177">
        <v>10</v>
      </c>
      <c r="CD57" s="1199">
        <v>0</v>
      </c>
      <c r="CE57" s="1350"/>
      <c r="CF57" s="1350"/>
      <c r="CG57" s="1350"/>
      <c r="CH57" s="1350"/>
      <c r="CI57" s="1321"/>
      <c r="CJ57" s="808" t="s">
        <v>1718</v>
      </c>
      <c r="CK57" s="788">
        <f t="array" ref="CK5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57" s="788">
        <f t="array" ref="CL5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57" s="788">
        <f t="array" ref="CM5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57" s="788">
        <f t="array" ref="CN5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57" s="788">
        <f t="array" ref="CO5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57" s="812">
        <f>SUM(AlimentsRationPorcinsMâles[[#This Row],[Valeur 12 et plus]:[Valeur 0-1]])</f>
        <v>0</v>
      </c>
      <c r="CQ57" s="1321"/>
      <c r="CR57" s="1321"/>
      <c r="CS57" s="808" t="s">
        <v>673</v>
      </c>
      <c r="CT57" s="817">
        <f t="array" ref="CT5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57" s="817">
        <f t="array" ref="CU5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57" s="817">
        <f t="array" ref="CV5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57" s="818">
        <f>SUM(AlimentsRationLapinsMâles[[#This Row],[Valeur 3 et plus]:[Valeur 0-1]])</f>
        <v>0</v>
      </c>
      <c r="CX57" s="1321"/>
      <c r="CY57" s="1321"/>
      <c r="CZ57" s="808" t="s">
        <v>673</v>
      </c>
      <c r="DA57" s="817">
        <f t="array" ref="DA5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57" s="817">
        <f t="array" ref="DB5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57" s="817">
        <f t="array" ref="DC5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57" s="818">
        <f>SUM(AlimentsRationVolaillesMâles[[#This Row],[Valeur 6 et plus]:[Valeur 0-1]])</f>
        <v>0</v>
      </c>
      <c r="DE57" s="1364"/>
      <c r="DF57" s="1321"/>
      <c r="DG57" s="808" t="s">
        <v>1717</v>
      </c>
      <c r="DH57" s="817">
        <f t="array" ref="DH57">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57" s="817">
        <f t="array" ref="DI57">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57" s="817">
        <f t="array" ref="DJ57">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57" s="818">
        <f>SUM(AlimentsRationPintadesMâles[[#This Row],[Valeur 9 et plus]:[Valeur 0-1]])</f>
        <v>0</v>
      </c>
      <c r="DL57" s="1364"/>
      <c r="DM57" s="1364"/>
      <c r="DN57" s="1143" t="s">
        <v>1048</v>
      </c>
      <c r="DO57" s="1143">
        <v>880</v>
      </c>
      <c r="DP57" s="1321"/>
      <c r="DQ57" s="1143" t="s">
        <v>1048</v>
      </c>
      <c r="DR57" s="1143">
        <v>1068</v>
      </c>
      <c r="DS57" s="1345"/>
      <c r="DT57" s="1346"/>
      <c r="DU57" s="1346"/>
      <c r="DV57" s="1075" t="s">
        <v>723</v>
      </c>
      <c r="DW57" s="1269">
        <f t="array" ref="DW57">IF(ChoixRationComplèteDaims=OUI,0,IFERROR(IF(OR(AND(INDEX(Règles_daims[Specificite],MATCH(ChoixRationDaims&amp;DV57,Règles_daims[Ration]&amp;Règles_daims[Aliment],0))="s1",IF(DV57=Spécificité1Daims,1)),
AND(INDEX(Règles_daims[Specificite],MATCH(ChoixRationDaims&amp;DV57,Règles_daims[Ration]&amp;Règles_daims[Aliment],0))="s2",IF(DV57=Spécificité2Daims,1)),
INDEX(Règles_daims[Specificite],MATCH(ChoixRationDaims&amp;DV57,Règles_daims[Ration]&amp;Règles_daims[Aliment],0))="c"),
INDEX(Règles_daims[Valeur 36 et plus],MATCH(ChoixRationDaims&amp;DV57,Règles_daims[Ration]&amp;Règles_daims[Aliment],0)),0),0)*SUM(TotalDaimsAdultes)*SUM(NbreJoursNourrirBisonsDaims))</f>
        <v>0</v>
      </c>
      <c r="DX57" s="1269">
        <f t="array" ref="DX57">IF(ChoixRationComplèteDaims=OUI,0,IFERROR(IF(OR(AND(INDEX(Règles_daims[Specificite],MATCH(ChoixRationDaims&amp;DV57,Règles_daims[Ration]&amp;Règles_daims[Aliment],0))="s1",IF(DV57=Spécificité1Daims,1)),
AND(INDEX(Règles_daims[Specificite],MATCH(ChoixRationDaims&amp;DV57,Règles_daims[Ration]&amp;Règles_daims[Aliment],0))="s2",IF(DV57=Spécificité2Daims,1)),
INDEX(Règles_daims[Specificite],MATCH(ChoixRationDaims&amp;DV57,Règles_daims[Ration]&amp;Règles_daims[Aliment],0))="c"),
INDEX(Règles_daims[Valeur 24-36],MATCH(ChoixRationDaims&amp;DV57,Règles_daims[Ration]&amp;Règles_daims[Aliment],0)),0),0)*SUM(TotalDaims24_36)*SUM(NbreJoursNourrirBisonsDaims))</f>
        <v>0</v>
      </c>
      <c r="DY57" s="1269">
        <f t="array" ref="DY57">IF(ChoixRationComplèteDaims=OUI,0,IFERROR(IF(OR(AND(INDEX(Règles_daims[Specificite],MATCH(ChoixRationDaims&amp;DV57,Règles_daims[Ration]&amp;Règles_daims[Aliment],0))="s1",IF(DV57=Spécificité1Daims,1)),
AND(INDEX(Règles_daims[Specificite],MATCH(ChoixRationDaims&amp;DV57,Règles_daims[Ration]&amp;Règles_daims[Aliment],0))="s2",IF(DV57=Spécificité2Daims,1)),
INDEX(Règles_daims[Specificite],MATCH(ChoixRationDaims&amp;DV57,Règles_daims[Ration]&amp;Règles_daims[Aliment],0))="c"),
INDEX(Règles_daims[Valeur 18-24],MATCH(ChoixRationDaims&amp;DV57,Règles_daims[Ration]&amp;Règles_daims[Aliment],0)),0),0)*SUM(TotalDaims18_24)*SUM(NbreJoursNourrirBisonsDaims))</f>
        <v>0</v>
      </c>
      <c r="DZ57" s="1280">
        <f t="array" ref="DZ57">IF(ChoixRationComplèteDaims=OUI,0,IFERROR(IF(OR(AND(INDEX(Règles_daims[Specificite],MATCH(ChoixRationDaims&amp;DV57,Règles_daims[Ration]&amp;Règles_daims[Aliment],0))="s1",IF(DV57=Spécificité1Daims,1)),
AND(INDEX(Règles_daims[Specificite],MATCH(ChoixRationDaims&amp;DV57,Règles_daims[Ration]&amp;Règles_daims[Aliment],0))="s2",IF(DV57=Spécificité2Daims,1)),
INDEX(Règles_daims[Specificite],MATCH(ChoixRationDaims&amp;DV57,Règles_daims[Ration]&amp;Règles_daims[Aliment],0))="c"),
INDEX(Règles_daims[Valeur 12-18],MATCH(ChoixRationDaims&amp;DV57,Règles_daims[Ration]&amp;Règles_daims[Aliment],0)),0),0)*SUM(TotalDaims12_18)*SUM(NbreJoursNourrirBisonsDaims))</f>
        <v>0</v>
      </c>
      <c r="EA57" s="1280">
        <f t="array" ref="EA57">IF(ChoixRationComplèteDaims=OUI,0,IFERROR(IF(OR(AND(INDEX(Règles_daims[Specificite],MATCH(ChoixRationDaims&amp;DV57,Règles_daims[Ration]&amp;Règles_daims[Aliment],0))="s1",IF(DV57=Spécificité1Daims,1)),
AND(INDEX(Règles_daims[Specificite],MATCH(ChoixRationDaims&amp;DV57,Règles_daims[Ration]&amp;Règles_daims[Aliment],0))="s2",IF(DV57=Spécificité2Daims,1)),
INDEX(Règles_daims[Specificite],MATCH(ChoixRationDaims&amp;DV57,Règles_daims[Ration]&amp;Règles_daims[Aliment],0))="c"),
INDEX(Règles_daims[Valeur 6-12],MATCH(ChoixRationDaims&amp;DV57,Règles_daims[Ration]&amp;Règles_daims[Aliment],0)),0),0)*SUM(TotalDaims6_12)*SUM(NbreJoursNourrirBisonsDaims))</f>
        <v>0</v>
      </c>
      <c r="EB57" s="1280">
        <f t="array" ref="EB57">IF(ChoixRationComplèteDaims=OUI,0,IFERROR(IF(OR(AND(INDEX(Règles_daims[Specificite],MATCH(ChoixRationDaims&amp;DV57,Règles_daims[Ration]&amp;Règles_daims[Aliment],0))="s1",IF(DV57=Spécificité1Daims,1)),
AND(INDEX(Règles_daims[Specificite],MATCH(ChoixRationDaims&amp;DV57,Règles_daims[Ration]&amp;Règles_daims[Aliment],0))="s2",IF(DV57=Spécificité2Daims,1)),
INDEX(Règles_daims[Specificite],MATCH(ChoixRationDaims&amp;DV57,Règles_daims[Ration]&amp;Règles_daims[Aliment],0))="c"),
INDEX(Règles_daims[Valeur 3-6],MATCH(ChoixRationDaims&amp;DV57,Règles_daims[Ration]&amp;Règles_daims[Aliment],0)),0),0)*SUM(TotalDaims3_6)*SUM(NbreJoursNourrirBisonsDaims))</f>
        <v>0</v>
      </c>
      <c r="EC57" s="1280">
        <f t="array" ref="EC57">IF(ChoixRationComplèteDaims=OUI,0,IFERROR(IF(OR(AND(INDEX(Règles_daims[Specificite],MATCH(ChoixRationDaims&amp;DV57,Règles_daims[Ration]&amp;Règles_daims[Aliment],0))="s1",IF(DV57=Spécificité1Daims,1)),
AND(INDEX(Règles_daims[Specificite],MATCH(ChoixRationDaims&amp;DV57,Règles_daims[Ration]&amp;Règles_daims[Aliment],0))="s2",IF(DV57=Spécificité2Daims,1)),
INDEX(Règles_daims[Specificite],MATCH(ChoixRationDaims&amp;DV57,Règles_daims[Ration]&amp;Règles_daims[Aliment],0))="c"),
INDEX(Règles_daims[Valeur 0-3],MATCH(ChoixRationDaims&amp;DV57,Règles_daims[Ration]&amp;Règles_daims[Aliment],0)),0),0)*SUM(TotalDaims0_3)*SUM(NbreJoursNourrirBisonsDaims))</f>
        <v>0</v>
      </c>
      <c r="ED57" s="1280">
        <f t="shared" si="9"/>
        <v>0</v>
      </c>
      <c r="EE57" s="1345"/>
      <c r="EF57" s="1321"/>
      <c r="EG57" s="808" t="s">
        <v>1270</v>
      </c>
      <c r="EH57" s="817">
        <f t="array" ref="EH5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57" s="817">
        <f t="array" ref="EI5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57" s="817">
        <f t="array" ref="EJ5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57" s="818">
        <f>SUM(AlimentsRationOiesMâles[[#This Row],[Valeur 6 et plus]:[Valeur 0-3]])</f>
        <v>0</v>
      </c>
      <c r="EL57" s="1364"/>
      <c r="EM57" s="1321"/>
      <c r="EN57" s="808" t="s">
        <v>715</v>
      </c>
      <c r="EO57" s="817">
        <f t="array" ref="EO57">IF(AND(ChoixPaysPartie&lt;&gt;USA,ChoixPaysPartie&lt;&gt;CANADA,ChoixPaysPartie&lt;&gt;""),0,IF(ChoixRationComplèteCanards=OUI,0,IFERROR(IF(OR(AND(INDEX(Règles_canards[Specificite],MATCH(ChoixRationCanards&amp;Ration_canards_Mâles[[#This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57" s="817">
        <f t="array" ref="EP57">IF(AND(ChoixPaysPartie&lt;&gt;USA,ChoixPaysPartie&lt;&gt;CANADA,ChoixPaysPartie&lt;&gt;""),0,IF(ChoixRationComplèteCanards=OUI,0,IFERROR(IF(OR(AND(INDEX(Règles_canards[Specificite],MATCH(ChoixRationCanards&amp;Ration_canards_Mâles[[#This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57" s="817">
        <f t="array" ref="EQ57">IF(AND(ChoixPaysPartie&lt;&gt;USA,ChoixPaysPartie&lt;&gt;CANADA,ChoixPaysPartie&lt;&gt;""),0,IF(ChoixRationComplèteCanards=OUI,0,IFERROR(IF(OR(AND(INDEX(Règles_canards[Specificite],MATCH(ChoixRationCanards&amp;Ration_canards_Mâles[[#This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57" s="818">
        <f>SUM(Ration_canards_Mâles[[#This Row],[Valeur 6 et plus]:[Valeur 0-3]])</f>
        <v>0</v>
      </c>
      <c r="ES57" s="1364"/>
      <c r="ET57" s="1346"/>
      <c r="EU57" s="1321"/>
      <c r="EV57" s="1321"/>
      <c r="EW57" s="1321"/>
      <c r="EX57" s="1321"/>
      <c r="EY57" s="1321"/>
      <c r="EZ57" s="1321"/>
      <c r="FA57" s="1345"/>
      <c r="FB57" s="1345"/>
      <c r="FC57" s="1321"/>
      <c r="FD57" s="1083" t="s">
        <v>730</v>
      </c>
      <c r="FE57" s="1283">
        <f t="array" ref="FE57">IF(OR(ChoixRationComplèteEtéChevauxTrait=OUI,ChoixRationComplèteEtéChevauxTrait="",AND(ChoixChevauxTraitPréHiver=OUI,ChoixChevauxTraitPréEté=OUI)),0,IFERROR(IF(OR(AND(INDEX(Règles_chevaux_trait[Specificite],MATCH(RationEtéChevauxTrait&amp;$FD57,Règles_chevaux_trait[Ration]&amp;Règles_chevaux_trait[Aliment],0))="s1",IF($FD57=Spécificité1ChevauxTrait,1)),
AND(INDEX(Règles_chevaux_trait[Specificite],MATCH(RationEtéChevauxTrait&amp;$FD57,Règles_chevaux_trait[Ration]&amp;Règles_chevaux_trait[Aliment],0))="s2",IF($FD57=Spécificité2ChevauxTrait,1)),
INDEX(Règles_chevaux_trait[Specificite],MATCH(RationEtéChevauxTrait&amp;$FD57,Règles_chevaux_trait[Ration]&amp;Règles_chevaux_trait[Aliment],0))="c"),
INDEX(Règles_chevaux_trait[Valeur 36 et plus],MATCH(RationEtéChevauxTrait&amp;$FD57,Règles_chevaux_trait[Ration]&amp;Règles_chevaux_trait[Aliment],0)),0),0)*TotalEtalonTrait*SUM(NbreJoursNourrirChevauxTrait))</f>
        <v>0</v>
      </c>
      <c r="FF57" s="1283">
        <f t="array" ref="FF57">IF(OR(ChoixRationComplèteEtéChevauxTrait=OUI,ChoixRationComplèteEtéChevauxTrait="",AND(ChoixChevauxTraitPréHiver=OUI,ChoixChevauxTraitPréEté=OUI)),0,IFERROR(IF(OR(AND(INDEX(Règles_chevaux_trait[Specificite],MATCH(RationEtéChevauxTrait&amp;$FD57,Règles_chevaux_trait[Ration]&amp;Règles_chevaux_trait[Aliment],0))="s1",IF($FD57=Spécificité1ChevauxTrait,1)),
AND(INDEX(Règles_chevaux_trait[Specificite],MATCH(RationEtéChevauxTrait&amp;$FD57,Règles_chevaux_trait[Ration]&amp;Règles_chevaux_trait[Aliment],0))="s2",IF($FD57=Spécificité2ChevauxTrait,1)),
INDEX(Règles_chevaux_trait[Specificite],MATCH(RationEtéChevauxTrait&amp;$FD57,Règles_chevaux_trait[Ration]&amp;Règles_chevaux_trait[Aliment],0))="c"),
INDEX(Règles_chevaux_trait[Valeur 24-36],MATCH(RationEtéChevauxTrait&amp;$FD57,Règles_chevaux_trait[Ration]&amp;Règles_chevaux_trait[Aliment],0)),0),0)*TotalJeuneEtalonTrait_24_36_mois*SUM(NbreJoursNourrirChevauxTrait))</f>
        <v>0</v>
      </c>
      <c r="FG57" s="1283">
        <f t="array" ref="FG57">IF(OR(ChoixRationComplèteEtéChevauxTrait=OUI,ChoixRationComplèteEtéChevauxTrait="",AND(ChoixChevauxTraitPréHiver=OUI,ChoixChevauxTraitPréEté=OUI)),0,IFERROR(IF(OR(AND(INDEX(Règles_chevaux_trait[Specificite],MATCH(RationEtéChevauxTrait&amp;$FD57,Règles_chevaux_trait[Ration]&amp;Règles_chevaux_trait[Aliment],0))="s1",IF($FD57=Spécificité1ChevauxTrait,1)),
AND(INDEX(Règles_chevaux_trait[Specificite],MATCH(RationEtéChevauxTrait&amp;$FD57,Règles_chevaux_trait[Ration]&amp;Règles_chevaux_trait[Aliment],0))="s2",IF($FD57=Spécificité2ChevauxTrait,1)),
INDEX(Règles_chevaux_trait[Specificite],MATCH(RationEtéChevauxTrait&amp;$FD57,Règles_chevaux_trait[Ration]&amp;Règles_chevaux_trait[Aliment],0))="c"),
INDEX(Règles_chevaux_trait[Valeur 12-24],MATCH(RationEtéChevauxTrait&amp;$FD57,Règles_chevaux_trait[Ration]&amp;Règles_chevaux_trait[Aliment],0)),0),0)*TotalJeuneEtalonTrait_12_24_mois*SUM(NbreJoursNourrirChevauxTrait))</f>
        <v>0</v>
      </c>
      <c r="FH57" s="1286">
        <f t="array" ref="FH57">IF(OR(ChoixRationComplèteEtéChevauxTrait=OUI,ChoixRationComplèteEtéChevauxTrait="",AND(ChoixChevauxTraitPréHiver=OUI,ChoixChevauxTraitPréEté=OUI)),0,IFERROR(IF(OR(AND(INDEX(Règles_chevaux_trait[Specificite],MATCH(RationEtéChevauxTrait&amp;$FD57,Règles_chevaux_trait[Ration]&amp;Règles_chevaux_trait[Aliment],0))="s1",IF($FD57=Spécificité1ChevauxTrait,1)),
AND(INDEX(Règles_chevaux_trait[Specificite],MATCH(RationEtéChevauxTrait&amp;$FD57,Règles_chevaux_trait[Ration]&amp;Règles_chevaux_trait[Aliment],0))="s2",IF($FD57=Spécificité2ChevauxTrait,1)),
INDEX(Règles_chevaux_trait[Specificite],MATCH(RationEtéChevauxTrait&amp;$FD57,Règles_chevaux_trait[Ration]&amp;Règles_chevaux_trait[Aliment],0))="c"),
INDEX(Règles_chevaux_trait[Valeur 0-12],MATCH(RationEtéChevauxTrait&amp;$FD57,Règles_chevaux_trait[Ration]&amp;Règles_chevaux_trait[Aliment],0)),0),0)*TotalPoulainTrait_0_12_mois*SUM(NbreJoursNourrirChevauxTrait))</f>
        <v>0</v>
      </c>
      <c r="FI57" s="1286">
        <f t="shared" si="15"/>
        <v>0</v>
      </c>
      <c r="FJ57" s="1345"/>
      <c r="FK57" s="1345"/>
      <c r="FL57" s="1345"/>
      <c r="FM57" s="1321"/>
      <c r="FN57" s="1082" t="s">
        <v>1270</v>
      </c>
      <c r="FO57" s="1282">
        <f t="array" ref="FO57">IF(OR(ChoixRationComplèteEtéPoneys=OUI,ChoixRationComplèteEtéPoneys="",AND(ChoixPoneysPréHiver=OUI,ChoixPoneysPréEté=OUI)),0,IFERROR(IF(OR(AND(INDEX(Règles_poneys[Specificite],MATCH(RationEtéPoneys&amp;$FN57,Règles_poneys[Ration]&amp;Règles_poneys[Aliment],0))="s1",IF($FN57=Spécificité1Poneys,1)),
AND(INDEX(Règles_poneys[Specificite],MATCH(RationEtéPoneys&amp;$FN57,Règles_poneys[Ration]&amp;Règles_poneys[Aliment],0))="s2",IF($FN57=Spécificité2Poneys,1)),
INDEX(Règles_poneys[Specificite],MATCH(RationEtéPoneys&amp;$FN57,Règles_poneys[Ration]&amp;Règles_poneys[Aliment],0))="c"),
INDEX(Règles_poneys[Valeur 36 et plus],MATCH(RationEtéPoneys&amp;$FN57,Règles_poneys[Ration]&amp;Règles_poneys[Aliment],0)),0),0)*TotalEtalonPoney*SUM(NbreJoursNourrirPoneys))</f>
        <v>0</v>
      </c>
      <c r="FP57" s="1282">
        <f t="array" ref="FP57">IF(OR(ChoixRationComplèteEtéPoneys=OUI,ChoixRationComplèteEtéPoneys="",AND(ChoixPoneysPréHiver=OUI,ChoixPoneysPréEté=OUI)),0,IFERROR(IF(OR(AND(INDEX(Règles_poneys[Specificite],MATCH(RationEtéPoneys&amp;$FN57,Règles_poneys[Ration]&amp;Règles_poneys[Aliment],0))="s1",IF($FN57=Spécificité1Poneys,1)),
AND(INDEX(Règles_poneys[Specificite],MATCH(RationEtéPoneys&amp;$FN57,Règles_poneys[Ration]&amp;Règles_poneys[Aliment],0))="s2",IF($FN57=Spécificité2Poneys,1)),
INDEX(Règles_poneys[Specificite],MATCH(RationEtéPoneys&amp;$FN57,Règles_poneys[Ration]&amp;Règles_poneys[Aliment],0))="c"),
INDEX(Règles_poneys[Valeur 36 et plus],MATCH(RationEtéPoneys&amp;$FN57,Règles_poneys[Ration]&amp;Règles_poneys[Aliment],0)),0),0)*TotalJeuneEtalonPoney_24_36_mois*SUM(NbreJoursNourrirPoneys))</f>
        <v>0</v>
      </c>
      <c r="FQ57" s="1282">
        <f t="array" ref="FQ57">IF(OR(ChoixRationComplèteEtéPoneys=OUI,ChoixRationComplèteEtéPoneys="",AND(ChoixPoneysPréHiver=OUI,ChoixPoneysPréEté=OUI)),0,IFERROR(IF(OR(AND(INDEX(Règles_poneys[Specificite],MATCH(RationEtéPoneys&amp;$FN57,Règles_poneys[Ration]&amp;Règles_poneys[Aliment],0))="s1",IF($FN57=Spécificité1Poneys,1)),
AND(INDEX(Règles_poneys[Specificite],MATCH(RationEtéPoneys&amp;$FN57,Règles_poneys[Ration]&amp;Règles_poneys[Aliment],0))="s2",IF($FN57=Spécificité2Poneys,1)),
INDEX(Règles_poneys[Specificite],MATCH(RationEtéPoneys&amp;$FN57,Règles_poneys[Ration]&amp;Règles_poneys[Aliment],0))="c"),
INDEX(Règles_poneys[Valeur 36 et plus],MATCH(RationEtéPoneys&amp;$FN57,Règles_poneys[Ration]&amp;Règles_poneys[Aliment],0)),0),0)*TotalJeuneEtalonPoney_12_24_mois*SUM(NbreJoursNourrirPoneys))</f>
        <v>0</v>
      </c>
      <c r="FR57" s="1285">
        <f t="array" ref="FR57">IF(OR(ChoixRationComplèteEtéPoneys=OUI,ChoixRationComplèteEtéPoneys="",AND(ChoixPoneysPréHiver=OUI,ChoixPoneysPréEté=OUI)),0,IFERROR(IF(OR(AND(INDEX(Règles_poneys[Specificite],MATCH(RationEtéPoneys&amp;$FN57,Règles_poneys[Ration]&amp;Règles_poneys[Aliment],0))="s1",IF($FN57=Spécificité1Poneys,1)),
AND(INDEX(Règles_poneys[Specificite],MATCH(RationEtéPoneys&amp;$FN57,Règles_poneys[Ration]&amp;Règles_poneys[Aliment],0))="s2",IF($FN57=Spécificité2Poneys,1)),
INDEX(Règles_poneys[Specificite],MATCH(RationEtéPoneys&amp;$FN57,Règles_poneys[Ration]&amp;Règles_poneys[Aliment],0))="c"),
INDEX(Règles_poneys[Valeur 36 et plus],MATCH(RationEtéPoneys&amp;$FN57,Règles_poneys[Ration]&amp;Règles_poneys[Aliment],0)),0),0)*TotalPoulainPoney_0_12_mois*SUM(NbreJoursNourrirPoneys))</f>
        <v>0</v>
      </c>
      <c r="FS57" s="1285">
        <f t="shared" si="14"/>
        <v>0</v>
      </c>
      <c r="FT57" s="1345"/>
      <c r="FU57" s="1345"/>
      <c r="FV57" s="1345"/>
      <c r="FW57" s="823" t="s">
        <v>219</v>
      </c>
      <c r="FX57" s="828">
        <f t="array" ref="FX5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57" s="828">
        <f t="array" ref="FY5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57" s="828">
        <f t="array" ref="FZ5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57" s="828">
        <f t="array" ref="GA5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57" s="829">
        <f>SUM(AlimentsGavageOies[[#This Row],[Valeur 3 et plus]:[Valeur 0-1]])</f>
        <v>0</v>
      </c>
      <c r="GC57" s="1364"/>
      <c r="GD57" s="1321"/>
      <c r="GE57" s="1149" t="s">
        <v>11</v>
      </c>
      <c r="GF57" s="1321"/>
      <c r="GG57" s="1321" t="s">
        <v>1349</v>
      </c>
      <c r="GH57" s="1321" t="s">
        <v>1349</v>
      </c>
      <c r="GI57" s="1321" t="s">
        <v>1349</v>
      </c>
      <c r="GJ57" s="1321" t="s">
        <v>1349</v>
      </c>
      <c r="GK57" s="1321" t="s">
        <v>1349</v>
      </c>
      <c r="GL57" s="1321" t="s">
        <v>1349</v>
      </c>
      <c r="GM57" s="1321" t="s">
        <v>1349</v>
      </c>
      <c r="GN57" s="1321" t="s">
        <v>1349</v>
      </c>
      <c r="GO57" s="1321" t="s">
        <v>1349</v>
      </c>
      <c r="GP57" s="1321" t="s">
        <v>1349</v>
      </c>
      <c r="GQ57" s="1321" t="s">
        <v>1349</v>
      </c>
      <c r="GR57" s="1321" t="s">
        <v>1349</v>
      </c>
      <c r="GS57" s="1321" t="s">
        <v>1349</v>
      </c>
      <c r="GT57" s="1321" t="s">
        <v>1349</v>
      </c>
      <c r="GU57" s="1321" t="s">
        <v>1349</v>
      </c>
      <c r="GV57" s="1321" t="s">
        <v>1349</v>
      </c>
      <c r="GW57" s="1321"/>
      <c r="GX57" s="1321"/>
      <c r="GY57" s="1082" t="str">
        <f t="shared" si="11"/>
        <v>semences de coton</v>
      </c>
      <c r="GZ57" s="1082"/>
      <c r="HA57" s="1085"/>
      <c r="HB57" s="1085">
        <f>IF(COUNTIF(TypeArticleDansEntrepôt,GY57)=0,0,SUMIF(TypeArticleDansEntrepôt,GY57,QtéArticleDansEntrepôt)*VLOOKUP(GY57,place_necessaire_entrepots_aire_paille[],2,FALSE))</f>
        <v>0</v>
      </c>
      <c r="HC57" s="1321"/>
      <c r="HD57" s="1321"/>
      <c r="HE57" s="1321"/>
      <c r="HF57" s="1321"/>
      <c r="HG57" s="1321"/>
      <c r="HH57" s="1321"/>
      <c r="HI57" s="1321"/>
      <c r="HJ57" s="1321"/>
      <c r="HK57" s="1321"/>
      <c r="HL57" s="1321"/>
      <c r="HM57" s="1321"/>
      <c r="HN57" s="1085" t="str">
        <f>IF(parcelles!B105="","",(VLOOKUP(parcelles!C105,BDD!$HN$5:$HU$38,2,FALSE))*parcelles!E105)</f>
        <v/>
      </c>
      <c r="HO57" s="1085" t="str">
        <f>IF(parcelles!B105="","",IF(OR(parcelles!C105=Moutarde,parcelles!C105=Phacélie),0,IF(parcelles!C105=Luzerne,10*parcelles!E105*VLOOKUP(parcelles!C105,BDD!$HN$5:$HU$38,3,FALSE),IF(parcelles!C105=Miscanthus,10.5*parcelles!E105*VLOOKUP(parcelles!C105,BDD!$HN$5:$HU$38,3,FALSE),INDEX(parcelles!$C$56:'parcelles'!$Y$77,MATCH(parcelles!B105,parcelles!$B$56:'parcelles'!$B$77,0),MATCH(parcelles!C105,parcelles!$C$53:'parcelles'!$Y$53,0))*parcelles!E105*VLOOKUP(parcelles!C105,BDD!$HN$5:$HU$38,3,FALSE)))))</f>
        <v/>
      </c>
      <c r="HP57" s="1085" t="str">
        <f>IF(parcelles!B105="","",IF(OR(parcelles!C105=Moutarde,parcelles!C105=Phacélie),0,IF(parcelles!C105=Luzerne,10*parcelles!E105*VLOOKUP(parcelles!C105,BDD!$HN$5:$HU$38,4,FALSE),IF(parcelles!C105=Miscanthus,10.5*parcelles!E105*VLOOKUP(parcelles!C105,BDD!$HN$5:$HU$38,4,FALSE),INDEX(parcelles!$C$56:'parcelles'!$Y$77,MATCH(parcelles!B105,parcelles!$B$56:'parcelles'!$B$77,0),MATCH(parcelles!C105,parcelles!$C$53:'parcelles'!$Y$53,0))*parcelles!E105*VLOOKUP(parcelles!C105,BDD!$HN$5:$HU$38,4,FALSE)))))</f>
        <v/>
      </c>
      <c r="HQ57" s="1085" t="str">
        <f>IF(parcelles!B105="","",IF(OR(parcelles!C105=Moutarde,parcelles!C105=Phacélie),0,IF(parcelles!C105=Luzerne,10*parcelles!E105*VLOOKUP(parcelles!C105,BDD!$HN$5:$HU$38,5,FALSE),IF(parcelles!C105=Miscanthus,10.5*parcelles!E105*VLOOKUP(parcelles!C105,BDD!$HN$5:$HU$38,5,FALSE),INDEX(parcelles!$C$56:'parcelles'!$Y$77,MATCH(parcelles!B105,parcelles!$B$56:'parcelles'!$B$77,0),MATCH(parcelles!C105,parcelles!$C$53:'parcelles'!$Y$53,0))*parcelles!E105*VLOOKUP(parcelles!C105,BDD!$HN$5:$HU$38,5,FALSE)))))</f>
        <v/>
      </c>
      <c r="HR57" s="1085" t="str">
        <f>IF(parcelles!B105="","",IF(OR(parcelles!C105=Moutarde,parcelles!C105=Phacélie),0,IF(parcelles!C105=Luzerne,10*parcelles!E105*VLOOKUP(parcelles!C105,BDD!$HN$5:$HU$38,6,FALSE),IF(parcelles!C105=Miscanthus,10.5*parcelles!E105*VLOOKUP(parcelles!C105,BDD!$HN$5:$HU$38,6,FALSE),INDEX(parcelles!$C$56:'parcelles'!$Y$77,MATCH(parcelles!B105,parcelles!$B$56:'parcelles'!$B$77,0),MATCH(parcelles!C105,parcelles!$C$53:'parcelles'!$Y$53,0))*parcelles!E105*VLOOKUP(parcelles!C105,BDD!$HN$5:$HU$38,6,FALSE)))))</f>
        <v/>
      </c>
      <c r="HS57" s="1085" t="str">
        <f>IF(parcelles!B105="","",IF(OR(parcelles!C105=Moutarde,parcelles!C105=Phacélie),0,IF(parcelles!C105=Luzerne,10*parcelles!E105*VLOOKUP(parcelles!C105,BDD!$HN$5:$HU$38,7,FALSE),IF(parcelles!C105=Miscanthus,10.5*parcelles!E105*VLOOKUP(parcelles!C105,BDD!$HN$5:$HU$38,7,FALSE),INDEX(parcelles!$C$56:'parcelles'!$Y$77,MATCH(parcelles!B105,parcelles!$B$56:'parcelles'!$B$77,0),MATCH(parcelles!C105,parcelles!$C$53:'parcelles'!$Y$53,0))*parcelles!E105*VLOOKUP(parcelles!C105,BDD!$HN$5:$HU$38,7,FALSE)))))</f>
        <v/>
      </c>
      <c r="HT57" s="1085" t="str">
        <f>IF(parcelles!B105="","",IF(OR(parcelles!C105=Moutarde,parcelles!C105=Phacélie),0,IF(parcelles!C105=Luzerne,10*parcelles!E105*VLOOKUP(parcelles!C105,BDD!$HN$5:$HU$38,8,FALSE),IF(parcelles!C105=Miscanthus,10.5*parcelles!E105*VLOOKUP(parcelles!C105,BDD!$HN$5:$HU$38,8,FALSE),INDEX(parcelles!$C$56:'parcelles'!$Y$77,MATCH(parcelles!B105,parcelles!$B$56:'parcelles'!$B$77,0),MATCH(parcelles!C105,parcelles!$C$53:'parcelles'!$Y$53,0))*parcelles!E105*VLOOKUP(parcelles!C105,BDD!$HN$5:$HU$38,8,FALSE)))))</f>
        <v/>
      </c>
      <c r="HU57" s="1085" t="str">
        <f>IF(parcelles!B105="","",IF(OR(parcelles!C105=Moutarde,parcelles!C105=Phacélie),0,1.6*parcelles!E105))</f>
        <v/>
      </c>
      <c r="HV57" s="1085" t="str">
        <f>IF(parcelles!B105="","",IF(OR(parcelles!C105=Moutarde,parcelles!C105=Phacélie),0,1.6*parcelles!E105))</f>
        <v/>
      </c>
      <c r="HW57" s="1085" t="str">
        <f>IF(parcelles!B105="","",IF(OR(parcelles!C105=Moutarde,parcelles!C105=Phacélie),0,1.6*parcelles!E105))</f>
        <v/>
      </c>
      <c r="HX57" s="1092" t="str">
        <f>IF(parcelles!D105="","",IF(parcelles!C105=ChanvreIndustriel,INDEX(parcelles!$C$56:$Y$77,MATCH(parcelles!B105,parcelles!$B$56:$B$77,0),MATCH(parcelles!C105,parcelles!$C$53:$Y$53,0))*parcelles!E105*SUMIF(ListeCulturesBDD,parcelles!C105,PrixVenteCulturesConventionnel)+RIGHT(BDD!$HM$7,3)*7*parcelles!E105,IF(parcelles!C105=Luzerne,parcelles!E105*10*VLOOKUP(parcelles!C105,TarifsCoopCultures,2,FALSE),IF(parcelles!C105=Miscanthus,parcelles!E105*10.5*VLOOKUP(Luzerne,TarifsCoopCultures,2,FALSE),INDEX(parcelles!$C$56:$Y$77,MATCH(parcelles!B105,parcelles!$B$56:$B$77,0),MATCH(parcelles!C105,parcelles!$C$53:$Y$53,0))*parcelles!E105*SUMIF(ListeCulturesBDD,parcelles!C105,PrixVenteCulturesConventionnel)))))</f>
        <v/>
      </c>
      <c r="HY57" s="1085" t="str">
        <f>IF(parcelles!D105="","",IF(parcelles!F105=0,"",IF(parcelles!C105=ChanvreIndustriel,"soit "&amp;parcelles!E105*0.8&amp;"t de grain et "&amp;parcelles!E105*7&amp;"t de paille",IF(parcelles!C105=Luzerne,"soit "&amp;10*parcelles!E105&amp;"t/an",IF(parcelles!C105=Miscanthus,"soit "&amp;10.5*parcelles!E105&amp;"t/an","soit "&amp;INDEX(parcelles!$C$56:$Y$77,MATCH(parcelles!B105,parcelles!$B$56:$B$77,0),MATCH(parcelles!C105,parcelles!$C$53:$Y$53,0))*parcelles!E105&amp;"t")))))</f>
        <v/>
      </c>
      <c r="HZ57" s="1085" t="str">
        <f>IF(parcelles!D105="","",IF(parcelles!F105=0,"",IF(parcelles!C105=ChanvreIndustriel,"soit "&amp;parcelles!E105*0.8*0.8&amp;"t de grain et "&amp;parcelles!E105*7*0.8&amp;"t de paille",IF(parcelles!C105=Luzerne,"soit "&amp;10*0.8*parcelles!E105&amp;"t/an",IF(parcelles!C105=Miscanthus,"soit "&amp;10.5*0.8*parcelles!E105&amp;"t/an","soit "&amp;INDEX(parcelles!$C$56:$Y$77,MATCH(parcelles!B105,parcelles!$B$56:$B$77,0),MATCH(parcelles!C105,parcelles!$C$53:$Y$53,0))*0.8*parcelles!E105&amp;"t")))))</f>
        <v/>
      </c>
      <c r="IA57" s="1085" t="str">
        <f>IF(parcelles!L105="","",(VLOOKUP(parcelles!M105,BDD!$HN$5:$HU$38,2,FALSE))*parcelles!O105)</f>
        <v/>
      </c>
      <c r="IB57" s="1085" t="str">
        <f>IF(parcelles!L105="","",IF(OR(parcelles!M105=Moutarde,parcelles!M105=Phacélie),0,IF(parcelles!M105=Luzerne,10*parcelles!O105*VLOOKUP(parcelles!M105,BDD!$HN$5:$HU$38,3,FALSE),IF(parcelles!M105=Miscanthus,10.5*parcelles!O105*VLOOKUP(parcelles!M105,BDD!$HN$5:$HU$38,3,FALSE),INDEX(parcelles!$C$56:'parcelles'!$Y$77,MATCH(parcelles!L105,parcelles!$B$56:'parcelles'!$B$77,0),MATCH(parcelles!M105,parcelles!$C$53:'parcelles'!$Y$53,0))*parcelles!O105*VLOOKUP(parcelles!M105,BDD!$HN$5:$HU$38,3,FALSE)))))</f>
        <v/>
      </c>
      <c r="IC57" s="1085" t="str">
        <f>IF(parcelles!L105="","",IF(OR(parcelles!M105=Moutarde,parcelles!M105=Phacélie),0,IF(parcelles!M105=Luzerne,10*parcelles!O105*VLOOKUP(parcelles!M105,BDD!$HN$5:$HU$38,4,FALSE),IF(parcelles!M105=Miscanthus,10.5*parcelles!O105*VLOOKUP(parcelles!M105,BDD!$HN$5:$HU$38,4,FALSE),INDEX(parcelles!$C$56:'parcelles'!$Y$77,MATCH(parcelles!L105,parcelles!$B$56:'parcelles'!$B$77,0),MATCH(parcelles!M105,parcelles!$C$53:'parcelles'!$Y$53,0))*parcelles!O105*VLOOKUP(parcelles!M105,BDD!$HN$5:$HU$38,4,FALSE)))))</f>
        <v/>
      </c>
      <c r="ID57" s="1085" t="str">
        <f>IF(parcelles!L105="","",IF(OR(parcelles!M105=Moutarde,parcelles!M105=Phacélie),0,IF(parcelles!M105=Luzerne,10*parcelles!O105*VLOOKUP(parcelles!M105,BDD!$HN$5:$HU$38,5,FALSE),IF(parcelles!M105=Miscanthus,10.5*parcelles!O105*VLOOKUP(parcelles!M105,BDD!$HN$5:$HU$38,5,FALSE),INDEX(parcelles!$C$56:'parcelles'!$Y$77,MATCH(parcelles!L105,parcelles!$B$56:'parcelles'!$B$77,0),MATCH(parcelles!M105,parcelles!$C$53:'parcelles'!$Y$53,0))*parcelles!O105*VLOOKUP(parcelles!M105,BDD!$HN$5:$HU$38,5,FALSE)))))</f>
        <v/>
      </c>
      <c r="IE57" s="1085" t="str">
        <f>IF(parcelles!L105="","",IF(OR(parcelles!M105=Moutarde,parcelles!M105=Phacélie),0,IF(parcelles!M105=Luzerne,10*parcelles!O105*VLOOKUP(parcelles!M105,BDD!$HN$5:$HU$38,6,FALSE),IF(parcelles!M105=Miscanthus,10.5*parcelles!O105*VLOOKUP(parcelles!M105,BDD!$HN$5:$HU$38,6,FALSE),INDEX(parcelles!$C$56:'parcelles'!$Y$77,MATCH(parcelles!L105,parcelles!$B$56:'parcelles'!$B$77,0),MATCH(parcelles!M105,parcelles!$C$53:'parcelles'!$Y$53,0))*parcelles!O105*VLOOKUP(parcelles!M105,BDD!$HN$5:$HU$38,6,FALSE)))))</f>
        <v/>
      </c>
      <c r="IF57" s="1085" t="str">
        <f>IF(parcelles!L105="","",IF(OR(parcelles!M105=Moutarde,parcelles!M105=Phacélie),0,IF(parcelles!M105=Luzerne,10*parcelles!O105*VLOOKUP(parcelles!M105,BDD!$HN$5:$HU$38,7,FALSE),IF(parcelles!M105=Miscanthus,10.5*parcelles!O105*VLOOKUP(parcelles!M105,BDD!$HN$5:$HU$38,7,FALSE),INDEX(parcelles!$C$56:'parcelles'!$Y$77,MATCH(parcelles!L105,parcelles!$B$56:'parcelles'!$B$77,0),MATCH(parcelles!M105,parcelles!$C$53:'parcelles'!$Y$53,0))*parcelles!O105*VLOOKUP(parcelles!M105,BDD!$HN$5:$HU$38,7,FALSE)))))</f>
        <v/>
      </c>
      <c r="IG57" s="1085" t="str">
        <f>IF(parcelles!L105="","",IF(OR(parcelles!M105=Moutarde,parcelles!M105=Phacélie),0,IF(parcelles!M105=Luzerne,10*parcelles!O105*VLOOKUP(parcelles!M105,BDD!$HN$5:$HU$38,8,FALSE),IF(parcelles!M105=Miscanthus,10.5*parcelles!O105*VLOOKUP(parcelles!M105,BDD!$HN$5:$HU$38,8,FALSE),INDEX(parcelles!$C$56:'parcelles'!$Y$77,MATCH(parcelles!L105,parcelles!$B$56:'parcelles'!$B$77,0),MATCH(parcelles!M105,parcelles!$C$53:'parcelles'!$Y$53,0))*parcelles!O105*VLOOKUP(parcelles!M105,BDD!$HN$5:$HU$38,8,FALSE)))))</f>
        <v/>
      </c>
      <c r="IH57" s="1085" t="str">
        <f>IF(parcelles!L105="","",IF(OR(parcelles!L105=Moutarde,parcelles!L105=Phacélie),0,1.6*parcelles!O105))</f>
        <v/>
      </c>
      <c r="II57" s="1085" t="str">
        <f>IF(parcelles!L105="","",IF(OR(parcelles!L105=Moutarde,parcelles!L105=Phacélie),0,1.6*parcelles!O105))</f>
        <v/>
      </c>
      <c r="IJ57" s="1085" t="str">
        <f>IF(parcelles!L105="","",IF(OR(parcelles!L105=Moutarde,parcelles!L105=Phacélie),0,1.6*parcelles!O105))</f>
        <v/>
      </c>
      <c r="IK57" s="1085" t="str">
        <f>IF(parcelles!P105="","",IF(parcelles!R105=0,"",IF(parcelles!O105=ChanvreIndustriel,"soit "&amp;parcelles!Q105*0.8&amp;"t de grain et "&amp;parcelles!Q105*7&amp;"t de paille",IF(parcelles!O105=Luzerne,"soit "&amp;10*parcelles!Q105&amp;"t/an",IF(parcelles!O105=Miscanthus,"soit "&amp;10.5*parcelles!Q105&amp;"t/an","soit "&amp;INDEX(parcelles!$C$56:$Y$77,MATCH(parcelles!N105,parcelles!$B$56:$B$77,0),MATCH(parcelles!O105,parcelles!$C$53:$Y$53,0))*parcelles!Q105&amp;"t")))))</f>
        <v/>
      </c>
      <c r="IL57" s="1085" t="str">
        <f>IF(parcelles!P105="","",IF(parcelles!R105=0,"",IF(parcelles!O105=ChanvreIndustriel,"soit "&amp;parcelles!Q105*0.8*0.8&amp;"t de grain et "&amp;parcelles!Q105*7*0.8&amp;"t de paille",IF(parcelles!O105=Luzerne,"soit "&amp;10*0.8*parcelles!Q105&amp;"t/an",IF(parcelles!O105=Miscanthus,"soit "&amp;10.5*0.8*parcelles!Q105&amp;"t/an","soit "&amp;INDEX(parcelles!$C$56:$Y$77,MATCH(parcelles!N105,parcelles!$B$56:$B$77,0),MATCH(parcelles!O105,parcelles!$C$53:$Y$53,0))*0.8*parcelles!Q105&amp;"t")))))</f>
        <v/>
      </c>
      <c r="IM57" s="1085" t="str">
        <f>IF(parcelles!S105="","",IF(parcelles!U105=0,"",IF(parcelles!R105=ChanvreIndustriel,parcelles!T105*0.8*0.8+parcelles!T105*7*0.8,IF(parcelles!R105=Luzerne,10*0.8*parcelles!T105,IF(parcelles!R105=Miscanthus,10.5*0.8*parcelles!T105,INDEX(parcelles!$C$56:$Y$77,MATCH(parcelles!Q105,parcelles!$B$56:$B$77,0),MATCH(parcelles!R105,parcelles!$C$53:$Y$53,0))*0.8*parcelles!T105)))))</f>
        <v/>
      </c>
      <c r="IN57" s="1368"/>
    </row>
    <row r="58" spans="1:248" ht="12.75" customHeight="1" x14ac:dyDescent="0.2">
      <c r="A58" s="1307">
        <v>4</v>
      </c>
      <c r="B58" s="1232">
        <v>0.15</v>
      </c>
      <c r="C58" s="1233">
        <v>0.45</v>
      </c>
      <c r="D58" s="1321"/>
      <c r="E58" s="1321"/>
      <c r="F58" s="1328" t="s">
        <v>857</v>
      </c>
      <c r="G58" s="1321"/>
      <c r="H58" s="1321"/>
      <c r="I58" s="1321"/>
      <c r="J58" s="1321"/>
      <c r="K58" s="1321"/>
      <c r="L58" s="1321"/>
      <c r="M58" s="1321"/>
      <c r="N58" s="1321"/>
      <c r="O58" s="1149" t="s">
        <v>186</v>
      </c>
      <c r="P58" s="1149">
        <v>7</v>
      </c>
      <c r="Q58" s="1149">
        <v>6.4</v>
      </c>
      <c r="R58" s="1149">
        <v>5.3</v>
      </c>
      <c r="S58" s="1149">
        <v>5.4</v>
      </c>
      <c r="T58" s="1149">
        <v>5.3</v>
      </c>
      <c r="U58" s="1149">
        <v>5.8</v>
      </c>
      <c r="V58" s="1149"/>
      <c r="W58" s="1149">
        <v>8.5</v>
      </c>
      <c r="X58" s="1149">
        <v>12.4</v>
      </c>
      <c r="Y58" s="1149">
        <v>0</v>
      </c>
      <c r="Z58" s="1149">
        <v>3.7</v>
      </c>
      <c r="AA58" s="1149">
        <v>2.6</v>
      </c>
      <c r="AB58" s="1149">
        <v>3.8</v>
      </c>
      <c r="AC58" s="1149">
        <v>3.5</v>
      </c>
      <c r="AD58" s="1149">
        <v>2.2000000000000002</v>
      </c>
      <c r="AE58" s="1149">
        <v>0</v>
      </c>
      <c r="AF58" s="1149">
        <v>30.2</v>
      </c>
      <c r="AG58" s="1149">
        <v>0.8</v>
      </c>
      <c r="AH58" s="1149">
        <v>7</v>
      </c>
      <c r="AI58" s="1149">
        <v>12</v>
      </c>
      <c r="AJ58" s="1149">
        <v>13</v>
      </c>
      <c r="AK58" s="1149">
        <v>1.9</v>
      </c>
      <c r="AL58" s="1149">
        <v>10.5</v>
      </c>
      <c r="AM58" s="1149"/>
      <c r="AN58" s="1149">
        <v>2.7</v>
      </c>
      <c r="AO58" s="1149">
        <v>45</v>
      </c>
      <c r="AP58" s="1149">
        <v>27</v>
      </c>
      <c r="AQ58" s="1149">
        <v>0</v>
      </c>
      <c r="AR58" s="1149">
        <v>10</v>
      </c>
      <c r="AS58" s="1149">
        <v>0</v>
      </c>
      <c r="AT58" s="1149">
        <v>0</v>
      </c>
      <c r="AU58" s="1149">
        <v>0</v>
      </c>
      <c r="AV58" s="1149">
        <v>0</v>
      </c>
      <c r="AW58" s="1149">
        <v>8.5</v>
      </c>
      <c r="AX58" s="1149">
        <v>10</v>
      </c>
      <c r="AY58" s="1149">
        <v>10</v>
      </c>
      <c r="AZ58" s="1321"/>
      <c r="BA58" s="1321"/>
      <c r="BB58" s="1187" t="s">
        <v>1232</v>
      </c>
      <c r="BC58" s="1171" t="s">
        <v>1250</v>
      </c>
      <c r="BD58" s="1168" t="s">
        <v>1251</v>
      </c>
      <c r="BE58" s="1171" t="s">
        <v>1261</v>
      </c>
      <c r="BF58" s="1171" t="s">
        <v>1260</v>
      </c>
      <c r="BG58" s="1171" t="s">
        <v>1259</v>
      </c>
      <c r="BH58" s="1171" t="s">
        <v>1258</v>
      </c>
      <c r="BI58" s="1171" t="s">
        <v>1257</v>
      </c>
      <c r="BJ58" s="1171" t="s">
        <v>1256</v>
      </c>
      <c r="BK58" s="1188" t="s">
        <v>1255</v>
      </c>
      <c r="BL58" s="1348"/>
      <c r="BM58" s="1076" t="s">
        <v>297</v>
      </c>
      <c r="BN58" s="1076">
        <f t="array" ref="BN58">IF(Ration_hivernale_complète_bisons[somme]&gt;0,0,IFERROR(IF(OR(AND(INDEX(Règles_bison[Specificite],MATCH(ChoixRationBisons&amp;$BM58,Règles_bison[Ration]&amp;Règles_bison[Aliment],0))="s1",IF($BM58=ChoixSpécificité1Bisons,1)),
AND(INDEX(Règles_bison[Specificite],MATCH(ChoixRationBisons&amp;$BM58,Règles_bison[Ration]&amp;Règles_bison[Aliment],0))="s2",IF($BM58=ChoixSpécificité2Bisons,1)),INDEX(Règles_bison[Specificite],MATCH(ChoixRationBisons&amp;$BM58,Règles_bison[Ration]&amp;Règles_bison[Aliment],0))="c"),
INDEX(Règles_bison[Valeur 36 et plus],MATCH(ChoixRationBisons&amp;$BM58,Règles_bison[Ration]&amp;Règles_bison[Aliment],0)),0),0)*TotalBisonsMalesAdultes*SUM(NbreJoursNourrirBisonsDaims))</f>
        <v>0</v>
      </c>
      <c r="BO58" s="1076">
        <f t="array" ref="BO58">IF(Ration_hivernale_complète_bisons[somme]&gt;0,0,IFERROR(IF(OR(AND(INDEX(Règles_bison[Specificite],MATCH(ChoixRationBisons&amp;$BM58,Règles_bison[Ration]&amp;Règles_bison[Aliment],0))="s1",IF($BM58=ChoixSpécificité1Bisons,1)),
AND(INDEX(Règles_bison[Specificite],MATCH(ChoixRationBisons&amp;$BM58,Règles_bison[Ration]&amp;Règles_bison[Aliment],0))="s2",IF($BM58=ChoixSpécificité2Bisons,1)),INDEX(Règles_bison[Specificite],MATCH(ChoixRationBisons&amp;$BM58,Règles_bison[Ration]&amp;Règles_bison[Aliment],0))="c"),
INDEX(Règles_bison[Valeur 24-36],MATCH(ChoixRationBisons&amp;$BM58,Règles_bison[Ration]&amp;Règles_bison[Aliment],0)),0),0)*TotalBisonsMales_24_36_mois*SUM(NbreJoursNourrirBisonsDaims))</f>
        <v>0</v>
      </c>
      <c r="BP58" s="1076">
        <f t="array" ref="BP58">IF(Ration_hivernale_complète_bisons[somme]&gt;0,0,IFERROR(IF(OR(AND(INDEX(Règles_bison[Specificite],MATCH(ChoixRationBisons&amp;$BM58,Règles_bison[Ration]&amp;Règles_bison[Aliment],0))="s1",IF($BM58=ChoixSpécificité1Bisons,1)),
AND(INDEX(Règles_bison[Specificite],MATCH(ChoixRationBisons&amp;$BM58,Règles_bison[Ration]&amp;Règles_bison[Aliment],0))="s2",IF($BM58=ChoixSpécificité2Bisons,1)),INDEX(Règles_bison[Specificite],MATCH(ChoixRationBisons&amp;$BM58,Règles_bison[Ration]&amp;Règles_bison[Aliment],0))="c"),
INDEX(Règles_bison[Valeur 18-24],MATCH(ChoixRationBisons&amp;$BM58,Règles_bison[Ration]&amp;Règles_bison[Aliment],0)),0),0)*TotalBisonsMales_18_24_mois*SUM(NbreJoursNourrirBisonsDaims))</f>
        <v>0</v>
      </c>
      <c r="BQ58" s="1076">
        <f t="array" ref="BQ58">IF(Ration_hivernale_complète_bisons[somme]&gt;0,0,IFERROR(IF(OR(AND(INDEX(Règles_bison[Specificite],MATCH(ChoixRationBisons&amp;$BM58,Règles_bison[Ration]&amp;Règles_bison[Aliment],0))="s1",IF($BM58=ChoixSpécificité1Bisons,1)),
AND(INDEX(Règles_bison[Specificite],MATCH(ChoixRationBisons&amp;$BM58,Règles_bison[Ration]&amp;Règles_bison[Aliment],0))="s2",IF($BM58=ChoixSpécificité2Bisons,1)),INDEX(Règles_bison[Specificite],MATCH(ChoixRationBisons&amp;$BM58,Règles_bison[Ration]&amp;Règles_bison[Aliment],0))="c"),
INDEX(Règles_bison[Valeur 12-18],MATCH(ChoixRationBisons&amp;$BM58,Règles_bison[Ration]&amp;Règles_bison[Aliment],0)),0),0)*TotalBisonsMales_12_18_mois*SUM(NbreJoursNourrirBisonsDaims))</f>
        <v>0</v>
      </c>
      <c r="BR58" s="1076">
        <f t="array" ref="BR58">IF(Ration_hivernale_complète_bisons[somme]&gt;0,0,IFERROR(IF(OR(AND(INDEX(Règles_bison[Specificite],MATCH(ChoixRationBisons&amp;$BM58,Règles_bison[Ration]&amp;Règles_bison[Aliment],0))="s1",IF($BM58=ChoixSpécificité1Bisons,1)),
AND(INDEX(Règles_bison[Specificite],MATCH(ChoixRationBisons&amp;$BM58,Règles_bison[Ration]&amp;Règles_bison[Aliment],0))="s2",IF($BM58=ChoixSpécificité2Bisons,1)),INDEX(Règles_bison[Specificite],MATCH(ChoixRationBisons&amp;$BM58,Règles_bison[Ration]&amp;Règles_bison[Aliment],0))="c"),
INDEX(Règles_bison[Valeur 6-12],MATCH(ChoixRationBisons&amp;$BM58,Règles_bison[Ration]&amp;Règles_bison[Aliment],0)),0),0)*TotalBisonsMales_6_12_mois*SUM(NbreJoursNourrirBisonsDaims))</f>
        <v>0</v>
      </c>
      <c r="BS58" s="1076">
        <f t="array" ref="BS58">IF(Ration_hivernale_complète_bisons[somme]&gt;0,0,IFERROR(IF(OR(AND(INDEX(Règles_bison[Specificite],MATCH(ChoixRationBisons&amp;$BM58,Règles_bison[Ration]&amp;Règles_bison[Aliment],0))="s1",IF($BM58=ChoixSpécificité1Bisons,1)),
AND(INDEX(Règles_bison[Specificite],MATCH(ChoixRationBisons&amp;$BM58,Règles_bison[Ration]&amp;Règles_bison[Aliment],0))="s2",IF($BM58=ChoixSpécificité2Bisons,1)),INDEX(Règles_bison[Specificite],MATCH(ChoixRationBisons&amp;$BM58,Règles_bison[Ration]&amp;Règles_bison[Aliment],0))="c"),
INDEX(Règles_bison[Valeur 3-6],MATCH(ChoixRationBisons&amp;$BM58,Règles_bison[Ration]&amp;Règles_bison[Aliment],0)),0),0)*TotalBisonsMales_3_6_mois*SUM(NbreJoursNourrirBisonsDaims))</f>
        <v>0</v>
      </c>
      <c r="BT58" s="1076">
        <f t="array" ref="BT58">IF(Ration_hivernale_complète_bisons[somme]&gt;0,0,IFERROR(IF(OR(AND(INDEX(Règles_bison[Specificite],MATCH(ChoixRationBisons&amp;$BM58,Règles_bison[Ration]&amp;Règles_bison[Aliment],0))="s1",IF($BM58=ChoixSpécificité1Bisons,1)),
AND(INDEX(Règles_bison[Specificite],MATCH(ChoixRationBisons&amp;$BM58,Règles_bison[Ration]&amp;Règles_bison[Aliment],0))="s2",IF($BM58=ChoixSpécificité2Bisons,1)),INDEX(Règles_bison[Specificite],MATCH(ChoixRationBisons&amp;$BM58,Règles_bison[Ration]&amp;Règles_bison[Aliment],0))="c"),
INDEX(Règles_bison[Valeur 0-3],MATCH(ChoixRationBisons&amp;$BM58,Règles_bison[Ration]&amp;Règles_bison[Aliment],0)),0),0)*TotalBisonsMales_0_3_mois*SUM(NbreJoursNourrirBisonsDaims))</f>
        <v>0</v>
      </c>
      <c r="BU58" s="1076">
        <f t="shared" si="10"/>
        <v>0</v>
      </c>
      <c r="BV58" s="1345"/>
      <c r="BW58" s="1345"/>
      <c r="BX58" s="1176" t="s">
        <v>762</v>
      </c>
      <c r="BY58" s="1177" t="s">
        <v>523</v>
      </c>
      <c r="BZ58" s="1177" t="s">
        <v>1252</v>
      </c>
      <c r="CA58" s="1177">
        <v>14</v>
      </c>
      <c r="CB58" s="1177">
        <v>10</v>
      </c>
      <c r="CC58" s="1177">
        <v>6</v>
      </c>
      <c r="CD58" s="1199">
        <v>0</v>
      </c>
      <c r="CE58" s="1350"/>
      <c r="CF58" s="1350"/>
      <c r="CG58" s="1350"/>
      <c r="CH58" s="1350"/>
      <c r="CI58" s="1321"/>
      <c r="CJ58" s="808" t="s">
        <v>1719</v>
      </c>
      <c r="CK58" s="788">
        <f t="array" ref="CK5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58" s="788">
        <f t="array" ref="CL5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58" s="788">
        <f t="array" ref="CM5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58" s="788">
        <f t="array" ref="CN5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58" s="788">
        <f t="array" ref="CO5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58" s="812">
        <f>SUM(AlimentsRationPorcinsMâles[[#This Row],[Valeur 12 et plus]:[Valeur 0-1]])</f>
        <v>0</v>
      </c>
      <c r="CQ58" s="1321"/>
      <c r="CR58" s="1321"/>
      <c r="CS58" s="808" t="s">
        <v>523</v>
      </c>
      <c r="CT58" s="817">
        <f t="array" ref="CT58">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58" s="817">
        <f t="array" ref="CU58">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58" s="817">
        <f t="array" ref="CV58">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58" s="818">
        <f>SUM(AlimentsRationLapinsMâles[[#This Row],[Valeur 3 et plus]:[Valeur 0-1]])</f>
        <v>0</v>
      </c>
      <c r="CX58" s="1321"/>
      <c r="CY58" s="1321"/>
      <c r="CZ58" s="808" t="s">
        <v>523</v>
      </c>
      <c r="DA58" s="817">
        <f t="array" ref="DA58">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58" s="817">
        <f t="array" ref="DB58">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58" s="817">
        <f t="array" ref="DC58">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58" s="818">
        <f>SUM(AlimentsRationVolaillesMâles[[#This Row],[Valeur 6 et plus]:[Valeur 0-1]])</f>
        <v>0</v>
      </c>
      <c r="DE58" s="1364"/>
      <c r="DF58" s="1321"/>
      <c r="DG58" s="808" t="s">
        <v>728</v>
      </c>
      <c r="DH58" s="817">
        <f t="array" ref="DH5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58" s="817">
        <f t="array" ref="DI5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58" s="817">
        <f t="array" ref="DJ5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58" s="818">
        <f>SUM(AlimentsRationPintadesMâles[[#This Row],[Valeur 9 et plus]:[Valeur 0-1]])</f>
        <v>0</v>
      </c>
      <c r="DL58" s="1364"/>
      <c r="DM58" s="1364"/>
      <c r="DN58" s="1149" t="s">
        <v>1049</v>
      </c>
      <c r="DO58" s="1149">
        <v>900</v>
      </c>
      <c r="DP58" s="1321"/>
      <c r="DQ58" s="1149" t="s">
        <v>1049</v>
      </c>
      <c r="DR58" s="1149">
        <v>1080</v>
      </c>
      <c r="DS58" s="1345"/>
      <c r="DT58" s="1346"/>
      <c r="DU58" s="1346"/>
      <c r="DV58" s="1076" t="s">
        <v>500</v>
      </c>
      <c r="DW58" s="1267">
        <f t="array" ref="DW58">IF(ChoixRationComplèteDaims=OUI,0,IFERROR(IF(OR(AND(INDEX(Règles_daims[Specificite],MATCH(ChoixRationDaims&amp;DV58,Règles_daims[Ration]&amp;Règles_daims[Aliment],0))="s1",IF(DV58=Spécificité1Daims,1)),
AND(INDEX(Règles_daims[Specificite],MATCH(ChoixRationDaims&amp;DV58,Règles_daims[Ration]&amp;Règles_daims[Aliment],0))="s2",IF(DV58=Spécificité2Daims,1)),
INDEX(Règles_daims[Specificite],MATCH(ChoixRationDaims&amp;DV58,Règles_daims[Ration]&amp;Règles_daims[Aliment],0))="c"),
INDEX(Règles_daims[Valeur 36 et plus],MATCH(ChoixRationDaims&amp;DV58,Règles_daims[Ration]&amp;Règles_daims[Aliment],0)),0),0)*SUM(TotalDaimsAdultes)*SUM(NbreJoursNourrirBisonsDaims))</f>
        <v>0</v>
      </c>
      <c r="DX58" s="1267">
        <f t="array" ref="DX58">IF(ChoixRationComplèteDaims=OUI,0,IFERROR(IF(OR(AND(INDEX(Règles_daims[Specificite],MATCH(ChoixRationDaims&amp;DV58,Règles_daims[Ration]&amp;Règles_daims[Aliment],0))="s1",IF(DV58=Spécificité1Daims,1)),
AND(INDEX(Règles_daims[Specificite],MATCH(ChoixRationDaims&amp;DV58,Règles_daims[Ration]&amp;Règles_daims[Aliment],0))="s2",IF(DV58=Spécificité2Daims,1)),
INDEX(Règles_daims[Specificite],MATCH(ChoixRationDaims&amp;DV58,Règles_daims[Ration]&amp;Règles_daims[Aliment],0))="c"),
INDEX(Règles_daims[Valeur 24-36],MATCH(ChoixRationDaims&amp;DV58,Règles_daims[Ration]&amp;Règles_daims[Aliment],0)),0),0)*SUM(TotalDaims24_36)*SUM(NbreJoursNourrirBisonsDaims))</f>
        <v>0</v>
      </c>
      <c r="DY58" s="1267">
        <f t="array" ref="DY58">IF(ChoixRationComplèteDaims=OUI,0,IFERROR(IF(OR(AND(INDEX(Règles_daims[Specificite],MATCH(ChoixRationDaims&amp;DV58,Règles_daims[Ration]&amp;Règles_daims[Aliment],0))="s1",IF(DV58=Spécificité1Daims,1)),
AND(INDEX(Règles_daims[Specificite],MATCH(ChoixRationDaims&amp;DV58,Règles_daims[Ration]&amp;Règles_daims[Aliment],0))="s2",IF(DV58=Spécificité2Daims,1)),
INDEX(Règles_daims[Specificite],MATCH(ChoixRationDaims&amp;DV58,Règles_daims[Ration]&amp;Règles_daims[Aliment],0))="c"),
INDEX(Règles_daims[Valeur 18-24],MATCH(ChoixRationDaims&amp;DV58,Règles_daims[Ration]&amp;Règles_daims[Aliment],0)),0),0)*SUM(TotalDaims18_24)*SUM(NbreJoursNourrirBisonsDaims))</f>
        <v>0</v>
      </c>
      <c r="DZ58" s="1279">
        <f t="array" ref="DZ58">IF(ChoixRationComplèteDaims=OUI,0,IFERROR(IF(OR(AND(INDEX(Règles_daims[Specificite],MATCH(ChoixRationDaims&amp;DV58,Règles_daims[Ration]&amp;Règles_daims[Aliment],0))="s1",IF(DV58=Spécificité1Daims,1)),
AND(INDEX(Règles_daims[Specificite],MATCH(ChoixRationDaims&amp;DV58,Règles_daims[Ration]&amp;Règles_daims[Aliment],0))="s2",IF(DV58=Spécificité2Daims,1)),
INDEX(Règles_daims[Specificite],MATCH(ChoixRationDaims&amp;DV58,Règles_daims[Ration]&amp;Règles_daims[Aliment],0))="c"),
INDEX(Règles_daims[Valeur 12-18],MATCH(ChoixRationDaims&amp;DV58,Règles_daims[Ration]&amp;Règles_daims[Aliment],0)),0),0)*SUM(TotalDaims12_18)*SUM(NbreJoursNourrirBisonsDaims))</f>
        <v>0</v>
      </c>
      <c r="EA58" s="1279">
        <f t="array" ref="EA58">IF(ChoixRationComplèteDaims=OUI,0,IFERROR(IF(OR(AND(INDEX(Règles_daims[Specificite],MATCH(ChoixRationDaims&amp;DV58,Règles_daims[Ration]&amp;Règles_daims[Aliment],0))="s1",IF(DV58=Spécificité1Daims,1)),
AND(INDEX(Règles_daims[Specificite],MATCH(ChoixRationDaims&amp;DV58,Règles_daims[Ration]&amp;Règles_daims[Aliment],0))="s2",IF(DV58=Spécificité2Daims,1)),
INDEX(Règles_daims[Specificite],MATCH(ChoixRationDaims&amp;DV58,Règles_daims[Ration]&amp;Règles_daims[Aliment],0))="c"),
INDEX(Règles_daims[Valeur 6-12],MATCH(ChoixRationDaims&amp;DV58,Règles_daims[Ration]&amp;Règles_daims[Aliment],0)),0),0)*SUM(TotalDaims6_12)*SUM(NbreJoursNourrirBisonsDaims))</f>
        <v>0</v>
      </c>
      <c r="EB58" s="1279">
        <f t="array" ref="EB58">IF(ChoixRationComplèteDaims=OUI,0,IFERROR(IF(OR(AND(INDEX(Règles_daims[Specificite],MATCH(ChoixRationDaims&amp;DV58,Règles_daims[Ration]&amp;Règles_daims[Aliment],0))="s1",IF(DV58=Spécificité1Daims,1)),
AND(INDEX(Règles_daims[Specificite],MATCH(ChoixRationDaims&amp;DV58,Règles_daims[Ration]&amp;Règles_daims[Aliment],0))="s2",IF(DV58=Spécificité2Daims,1)),
INDEX(Règles_daims[Specificite],MATCH(ChoixRationDaims&amp;DV58,Règles_daims[Ration]&amp;Règles_daims[Aliment],0))="c"),
INDEX(Règles_daims[Valeur 3-6],MATCH(ChoixRationDaims&amp;DV58,Règles_daims[Ration]&amp;Règles_daims[Aliment],0)),0),0)*SUM(TotalDaims3_6)*SUM(NbreJoursNourrirBisonsDaims))</f>
        <v>0</v>
      </c>
      <c r="EC58" s="1279">
        <f t="array" ref="EC58">IF(ChoixRationComplèteDaims=OUI,0,IFERROR(IF(OR(AND(INDEX(Règles_daims[Specificite],MATCH(ChoixRationDaims&amp;DV58,Règles_daims[Ration]&amp;Règles_daims[Aliment],0))="s1",IF(DV58=Spécificité1Daims,1)),
AND(INDEX(Règles_daims[Specificite],MATCH(ChoixRationDaims&amp;DV58,Règles_daims[Ration]&amp;Règles_daims[Aliment],0))="s2",IF(DV58=Spécificité2Daims,1)),
INDEX(Règles_daims[Specificite],MATCH(ChoixRationDaims&amp;DV58,Règles_daims[Ration]&amp;Règles_daims[Aliment],0))="c"),
INDEX(Règles_daims[Valeur 0-3],MATCH(ChoixRationDaims&amp;DV58,Règles_daims[Ration]&amp;Règles_daims[Aliment],0)),0),0)*SUM(TotalDaims0_3)*SUM(NbreJoursNourrirBisonsDaims))</f>
        <v>0</v>
      </c>
      <c r="ED58" s="1279">
        <f t="shared" si="9"/>
        <v>0</v>
      </c>
      <c r="EE58" s="1345"/>
      <c r="EF58" s="1321"/>
      <c r="EG58" s="808" t="s">
        <v>715</v>
      </c>
      <c r="EH58" s="817">
        <f t="array" ref="EH5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58" s="817">
        <f t="array" ref="EI5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58" s="817">
        <f t="array" ref="EJ5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58" s="818">
        <f>SUM(AlimentsRationOiesMâles[[#This Row],[Valeur 6 et plus]:[Valeur 0-3]])</f>
        <v>0</v>
      </c>
      <c r="EL58" s="1364"/>
      <c r="EM58" s="1321"/>
      <c r="EN58" s="808" t="s">
        <v>714</v>
      </c>
      <c r="EO58" s="817">
        <f t="array" ref="EO5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58" s="817">
        <f t="array" ref="EP5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58" s="817">
        <f t="array" ref="EQ5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58" s="818">
        <f>SUM(Ration_canards_Mâles[[#This Row],[Valeur 6 et plus]:[Valeur 0-3]])</f>
        <v>0</v>
      </c>
      <c r="ES58" s="1364"/>
      <c r="ET58" s="1346"/>
      <c r="EU58" s="1336" t="s">
        <v>1715</v>
      </c>
      <c r="EV58" s="1336"/>
      <c r="EW58" s="1336"/>
      <c r="EX58" s="1336"/>
      <c r="EY58" s="1336"/>
      <c r="EZ58" s="1336"/>
      <c r="FA58" s="1345"/>
      <c r="FB58" s="1345"/>
      <c r="FC58" s="1321"/>
      <c r="FD58" s="1082" t="s">
        <v>1270</v>
      </c>
      <c r="FE58" s="1282">
        <f t="array" ref="FE58">IF(OR(ChoixRationComplèteEtéChevauxTrait=OUI,ChoixRationComplèteEtéChevauxTrait="",AND(ChoixChevauxTraitPréHiver=OUI,ChoixChevauxTraitPréEté=OUI)),0,IFERROR(IF(OR(AND(INDEX(Règles_chevaux_trait[Specificite],MATCH(RationEtéChevauxTrait&amp;$FD58,Règles_chevaux_trait[Ration]&amp;Règles_chevaux_trait[Aliment],0))="s1",IF($FD58=Spécificité1ChevauxTrait,1)),
AND(INDEX(Règles_chevaux_trait[Specificite],MATCH(RationEtéChevauxTrait&amp;$FD58,Règles_chevaux_trait[Ration]&amp;Règles_chevaux_trait[Aliment],0))="s2",IF($FD58=Spécificité2ChevauxTrait,1)),
INDEX(Règles_chevaux_trait[Specificite],MATCH(RationEtéChevauxTrait&amp;$FD58,Règles_chevaux_trait[Ration]&amp;Règles_chevaux_trait[Aliment],0))="c"),
INDEX(Règles_chevaux_trait[Valeur 36 et plus],MATCH(RationEtéChevauxTrait&amp;$FD58,Règles_chevaux_trait[Ration]&amp;Règles_chevaux_trait[Aliment],0)),0),0)*TotalEtalonTrait*SUM(NbreJoursNourrirChevauxTrait))</f>
        <v>0</v>
      </c>
      <c r="FF58" s="1282">
        <f t="array" ref="FF58">IF(OR(ChoixRationComplèteEtéChevauxTrait=OUI,ChoixRationComplèteEtéChevauxTrait="",AND(ChoixChevauxTraitPréHiver=OUI,ChoixChevauxTraitPréEté=OUI)),0,IFERROR(IF(OR(AND(INDEX(Règles_chevaux_trait[Specificite],MATCH(RationEtéChevauxTrait&amp;$FD58,Règles_chevaux_trait[Ration]&amp;Règles_chevaux_trait[Aliment],0))="s1",IF($FD58=Spécificité1ChevauxTrait,1)),
AND(INDEX(Règles_chevaux_trait[Specificite],MATCH(RationEtéChevauxTrait&amp;$FD58,Règles_chevaux_trait[Ration]&amp;Règles_chevaux_trait[Aliment],0))="s2",IF($FD58=Spécificité2ChevauxTrait,1)),
INDEX(Règles_chevaux_trait[Specificite],MATCH(RationEtéChevauxTrait&amp;$FD58,Règles_chevaux_trait[Ration]&amp;Règles_chevaux_trait[Aliment],0))="c"),
INDEX(Règles_chevaux_trait[Valeur 24-36],MATCH(RationEtéChevauxTrait&amp;$FD58,Règles_chevaux_trait[Ration]&amp;Règles_chevaux_trait[Aliment],0)),0),0)*TotalJeuneEtalonTrait_24_36_mois*SUM(NbreJoursNourrirChevauxTrait))</f>
        <v>0</v>
      </c>
      <c r="FG58" s="1282">
        <f t="array" ref="FG58">IF(OR(ChoixRationComplèteEtéChevauxTrait=OUI,ChoixRationComplèteEtéChevauxTrait="",AND(ChoixChevauxTraitPréHiver=OUI,ChoixChevauxTraitPréEté=OUI)),0,IFERROR(IF(OR(AND(INDEX(Règles_chevaux_trait[Specificite],MATCH(RationEtéChevauxTrait&amp;$FD58,Règles_chevaux_trait[Ration]&amp;Règles_chevaux_trait[Aliment],0))="s1",IF($FD58=Spécificité1ChevauxTrait,1)),
AND(INDEX(Règles_chevaux_trait[Specificite],MATCH(RationEtéChevauxTrait&amp;$FD58,Règles_chevaux_trait[Ration]&amp;Règles_chevaux_trait[Aliment],0))="s2",IF($FD58=Spécificité2ChevauxTrait,1)),
INDEX(Règles_chevaux_trait[Specificite],MATCH(RationEtéChevauxTrait&amp;$FD58,Règles_chevaux_trait[Ration]&amp;Règles_chevaux_trait[Aliment],0))="c"),
INDEX(Règles_chevaux_trait[Valeur 12-24],MATCH(RationEtéChevauxTrait&amp;$FD58,Règles_chevaux_trait[Ration]&amp;Règles_chevaux_trait[Aliment],0)),0),0)*TotalJeuneEtalonTrait_12_24_mois*SUM(NbreJoursNourrirChevauxTrait))</f>
        <v>0</v>
      </c>
      <c r="FH58" s="1285">
        <f t="array" ref="FH58">IF(OR(ChoixRationComplèteEtéChevauxTrait=OUI,ChoixRationComplèteEtéChevauxTrait="",AND(ChoixChevauxTraitPréHiver=OUI,ChoixChevauxTraitPréEté=OUI)),0,IFERROR(IF(OR(AND(INDEX(Règles_chevaux_trait[Specificite],MATCH(RationEtéChevauxTrait&amp;$FD58,Règles_chevaux_trait[Ration]&amp;Règles_chevaux_trait[Aliment],0))="s1",IF($FD58=Spécificité1ChevauxTrait,1)),
AND(INDEX(Règles_chevaux_trait[Specificite],MATCH(RationEtéChevauxTrait&amp;$FD58,Règles_chevaux_trait[Ration]&amp;Règles_chevaux_trait[Aliment],0))="s2",IF($FD58=Spécificité2ChevauxTrait,1)),
INDEX(Règles_chevaux_trait[Specificite],MATCH(RationEtéChevauxTrait&amp;$FD58,Règles_chevaux_trait[Ration]&amp;Règles_chevaux_trait[Aliment],0))="c"),
INDEX(Règles_chevaux_trait[Valeur 0-12],MATCH(RationEtéChevauxTrait&amp;$FD58,Règles_chevaux_trait[Ration]&amp;Règles_chevaux_trait[Aliment],0)),0),0)*TotalPoulainTrait_0_12_mois*SUM(NbreJoursNourrirChevauxTrait))</f>
        <v>0</v>
      </c>
      <c r="FI58" s="1285">
        <f t="shared" si="15"/>
        <v>0</v>
      </c>
      <c r="FJ58" s="1345"/>
      <c r="FK58" s="1345"/>
      <c r="FL58" s="1345"/>
      <c r="FM58" s="1321"/>
      <c r="FN58" s="1083" t="s">
        <v>715</v>
      </c>
      <c r="FO58" s="1283">
        <f t="array" ref="FO58">IF(OR(ChoixRationComplèteEtéPoneys=OUI,ChoixRationComplèteEtéPoneys="",AND(ChoixPoneysPréHiver=OUI,ChoixPoneysPréEté=OUI)),0,IFERROR(IF(OR(AND(INDEX(Règles_poneys[Specificite],MATCH(RationEtéPoneys&amp;$FN58,Règles_poneys[Ration]&amp;Règles_poneys[Aliment],0))="s1",IF($FN58=Spécificité1Poneys,1)),
AND(INDEX(Règles_poneys[Specificite],MATCH(RationEtéPoneys&amp;$FN58,Règles_poneys[Ration]&amp;Règles_poneys[Aliment],0))="s2",IF($FN58=Spécificité2Poneys,1)),
INDEX(Règles_poneys[Specificite],MATCH(RationEtéPoneys&amp;$FN58,Règles_poneys[Ration]&amp;Règles_poneys[Aliment],0))="c"),
INDEX(Règles_poneys[Valeur 36 et plus],MATCH(RationEtéPoneys&amp;$FN58,Règles_poneys[Ration]&amp;Règles_poneys[Aliment],0)),0),0)*TotalEtalonPoney*SUM(NbreJoursNourrirPoneys))</f>
        <v>0</v>
      </c>
      <c r="FP58" s="1283">
        <f t="array" ref="FP58">IF(OR(ChoixRationComplèteEtéPoneys=OUI,ChoixRationComplèteEtéPoneys="",AND(ChoixPoneysPréHiver=OUI,ChoixPoneysPréEté=OUI)),0,IFERROR(IF(OR(AND(INDEX(Règles_poneys[Specificite],MATCH(RationEtéPoneys&amp;$FN58,Règles_poneys[Ration]&amp;Règles_poneys[Aliment],0))="s1",IF($FN58=Spécificité1Poneys,1)),
AND(INDEX(Règles_poneys[Specificite],MATCH(RationEtéPoneys&amp;$FN58,Règles_poneys[Ration]&amp;Règles_poneys[Aliment],0))="s2",IF($FN58=Spécificité2Poneys,1)),
INDEX(Règles_poneys[Specificite],MATCH(RationEtéPoneys&amp;$FN58,Règles_poneys[Ration]&amp;Règles_poneys[Aliment],0))="c"),
INDEX(Règles_poneys[Valeur 36 et plus],MATCH(RationEtéPoneys&amp;$FN58,Règles_poneys[Ration]&amp;Règles_poneys[Aliment],0)),0),0)*TotalJeuneEtalonPoney_24_36_mois*SUM(NbreJoursNourrirPoneys))</f>
        <v>0</v>
      </c>
      <c r="FQ58" s="1283">
        <f t="array" ref="FQ58">IF(OR(ChoixRationComplèteEtéPoneys=OUI,ChoixRationComplèteEtéPoneys="",AND(ChoixPoneysPréHiver=OUI,ChoixPoneysPréEté=OUI)),0,IFERROR(IF(OR(AND(INDEX(Règles_poneys[Specificite],MATCH(RationEtéPoneys&amp;$FN58,Règles_poneys[Ration]&amp;Règles_poneys[Aliment],0))="s1",IF($FN58=Spécificité1Poneys,1)),
AND(INDEX(Règles_poneys[Specificite],MATCH(RationEtéPoneys&amp;$FN58,Règles_poneys[Ration]&amp;Règles_poneys[Aliment],0))="s2",IF($FN58=Spécificité2Poneys,1)),
INDEX(Règles_poneys[Specificite],MATCH(RationEtéPoneys&amp;$FN58,Règles_poneys[Ration]&amp;Règles_poneys[Aliment],0))="c"),
INDEX(Règles_poneys[Valeur 36 et plus],MATCH(RationEtéPoneys&amp;$FN58,Règles_poneys[Ration]&amp;Règles_poneys[Aliment],0)),0),0)*TotalJeuneEtalonPoney_12_24_mois*SUM(NbreJoursNourrirPoneys))</f>
        <v>0</v>
      </c>
      <c r="FR58" s="1286">
        <f t="array" ref="FR58">IF(OR(ChoixRationComplèteEtéPoneys=OUI,ChoixRationComplèteEtéPoneys="",AND(ChoixPoneysPréHiver=OUI,ChoixPoneysPréEté=OUI)),0,IFERROR(IF(OR(AND(INDEX(Règles_poneys[Specificite],MATCH(RationEtéPoneys&amp;$FN58,Règles_poneys[Ration]&amp;Règles_poneys[Aliment],0))="s1",IF($FN58=Spécificité1Poneys,1)),
AND(INDEX(Règles_poneys[Specificite],MATCH(RationEtéPoneys&amp;$FN58,Règles_poneys[Ration]&amp;Règles_poneys[Aliment],0))="s2",IF($FN58=Spécificité2Poneys,1)),
INDEX(Règles_poneys[Specificite],MATCH(RationEtéPoneys&amp;$FN58,Règles_poneys[Ration]&amp;Règles_poneys[Aliment],0))="c"),
INDEX(Règles_poneys[Valeur 36 et plus],MATCH(RationEtéPoneys&amp;$FN58,Règles_poneys[Ration]&amp;Règles_poneys[Aliment],0)),0),0)*TotalPoulainPoney_0_12_mois*SUM(NbreJoursNourrirPoneys))</f>
        <v>0</v>
      </c>
      <c r="FS58" s="1286">
        <f t="shared" si="14"/>
        <v>0</v>
      </c>
      <c r="FT58" s="1345"/>
      <c r="FU58" s="1345"/>
      <c r="FV58" s="1345"/>
      <c r="FW58" s="823" t="s">
        <v>332</v>
      </c>
      <c r="FX58" s="828">
        <f t="array" ref="FX5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58" s="828">
        <f t="array" ref="FY5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58" s="828">
        <f t="array" ref="FZ5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58" s="828">
        <f t="array" ref="GA5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58" s="829">
        <f>SUM(AlimentsGavageOies[[#This Row],[Valeur 3 et plus]:[Valeur 0-1]])</f>
        <v>0</v>
      </c>
      <c r="GC58" s="1364"/>
      <c r="GD58" s="1321"/>
      <c r="GE58" s="1143" t="s">
        <v>12</v>
      </c>
      <c r="GF58" s="1321"/>
      <c r="GG58" s="1321" t="s">
        <v>1349</v>
      </c>
      <c r="GH58" s="1321" t="s">
        <v>1349</v>
      </c>
      <c r="GI58" s="1321" t="s">
        <v>1349</v>
      </c>
      <c r="GJ58" s="1321" t="s">
        <v>1349</v>
      </c>
      <c r="GK58" s="1321" t="s">
        <v>1349</v>
      </c>
      <c r="GL58" s="1321" t="s">
        <v>1349</v>
      </c>
      <c r="GM58" s="1321" t="s">
        <v>1349</v>
      </c>
      <c r="GN58" s="1321" t="s">
        <v>1349</v>
      </c>
      <c r="GO58" s="1321" t="s">
        <v>1349</v>
      </c>
      <c r="GP58" s="1321" t="s">
        <v>1349</v>
      </c>
      <c r="GQ58" s="1321" t="s">
        <v>1349</v>
      </c>
      <c r="GR58" s="1321" t="s">
        <v>1349</v>
      </c>
      <c r="GS58" s="1321" t="s">
        <v>1349</v>
      </c>
      <c r="GT58" s="1321" t="s">
        <v>1349</v>
      </c>
      <c r="GU58" s="1321" t="s">
        <v>1349</v>
      </c>
      <c r="GV58" s="1321" t="s">
        <v>1349</v>
      </c>
      <c r="GW58" s="1321"/>
      <c r="GX58" s="1321"/>
      <c r="GY58" s="1083" t="str">
        <f t="shared" si="11"/>
        <v>semences de féverole (G)</v>
      </c>
      <c r="GZ58" s="1083"/>
      <c r="HA58" s="1084"/>
      <c r="HB58" s="1084">
        <f>IF(COUNTIF(TypeArticleDansEntrepôt,GY58)=0,0,SUMIF(TypeArticleDansEntrepôt,GY58,QtéArticleDansEntrepôt)*VLOOKUP(GY58,place_necessaire_entrepots_aire_paille[],2,FALSE))</f>
        <v>0</v>
      </c>
      <c r="HC58" s="1321"/>
      <c r="HD58" s="1321"/>
      <c r="HE58" s="1321"/>
      <c r="HF58" s="1321"/>
      <c r="HG58" s="1321"/>
      <c r="HH58" s="1321"/>
      <c r="HI58" s="1321"/>
      <c r="HJ58" s="1321"/>
      <c r="HK58" s="1321"/>
      <c r="HL58" s="1321"/>
      <c r="HM58" s="1321"/>
      <c r="HN58" s="1084" t="str">
        <f>IF(parcelles!B106="","",(VLOOKUP(parcelles!C106,BDD!$HN$5:$HU$38,2,FALSE))*parcelles!E106)</f>
        <v/>
      </c>
      <c r="HO58" s="1084" t="str">
        <f>IF(parcelles!B106="","",IF(OR(parcelles!C106=Moutarde,parcelles!C106=Phacélie),0,IF(parcelles!C106=Luzerne,10*parcelles!E106*VLOOKUP(parcelles!C106,BDD!$HN$5:$HU$38,3,FALSE),IF(parcelles!C106=Miscanthus,10.5*parcelles!E106*VLOOKUP(parcelles!C106,BDD!$HN$5:$HU$38,3,FALSE),INDEX(parcelles!$C$56:'parcelles'!$Y$77,MATCH(parcelles!B106,parcelles!$B$56:'parcelles'!$B$77,0),MATCH(parcelles!C106,parcelles!$C$53:'parcelles'!$Y$53,0))*parcelles!E106*VLOOKUP(parcelles!C106,BDD!$HN$5:$HU$38,3,FALSE)))))</f>
        <v/>
      </c>
      <c r="HP58" s="1084" t="str">
        <f>IF(parcelles!B106="","",IF(OR(parcelles!C106=Moutarde,parcelles!C106=Phacélie),0,IF(parcelles!C106=Luzerne,10*parcelles!E106*VLOOKUP(parcelles!C106,BDD!$HN$5:$HU$38,4,FALSE),IF(parcelles!C106=Miscanthus,10.5*parcelles!E106*VLOOKUP(parcelles!C106,BDD!$HN$5:$HU$38,4,FALSE),INDEX(parcelles!$C$56:'parcelles'!$Y$77,MATCH(parcelles!B106,parcelles!$B$56:'parcelles'!$B$77,0),MATCH(parcelles!C106,parcelles!$C$53:'parcelles'!$Y$53,0))*parcelles!E106*VLOOKUP(parcelles!C106,BDD!$HN$5:$HU$38,4,FALSE)))))</f>
        <v/>
      </c>
      <c r="HQ58" s="1084" t="str">
        <f>IF(parcelles!B106="","",IF(OR(parcelles!C106=Moutarde,parcelles!C106=Phacélie),0,IF(parcelles!C106=Luzerne,10*parcelles!E106*VLOOKUP(parcelles!C106,BDD!$HN$5:$HU$38,5,FALSE),IF(parcelles!C106=Miscanthus,10.5*parcelles!E106*VLOOKUP(parcelles!C106,BDD!$HN$5:$HU$38,5,FALSE),INDEX(parcelles!$C$56:'parcelles'!$Y$77,MATCH(parcelles!B106,parcelles!$B$56:'parcelles'!$B$77,0),MATCH(parcelles!C106,parcelles!$C$53:'parcelles'!$Y$53,0))*parcelles!E106*VLOOKUP(parcelles!C106,BDD!$HN$5:$HU$38,5,FALSE)))))</f>
        <v/>
      </c>
      <c r="HR58" s="1084" t="str">
        <f>IF(parcelles!B106="","",IF(OR(parcelles!C106=Moutarde,parcelles!C106=Phacélie),0,IF(parcelles!C106=Luzerne,10*parcelles!E106*VLOOKUP(parcelles!C106,BDD!$HN$5:$HU$38,6,FALSE),IF(parcelles!C106=Miscanthus,10.5*parcelles!E106*VLOOKUP(parcelles!C106,BDD!$HN$5:$HU$38,6,FALSE),INDEX(parcelles!$C$56:'parcelles'!$Y$77,MATCH(parcelles!B106,parcelles!$B$56:'parcelles'!$B$77,0),MATCH(parcelles!C106,parcelles!$C$53:'parcelles'!$Y$53,0))*parcelles!E106*VLOOKUP(parcelles!C106,BDD!$HN$5:$HU$38,6,FALSE)))))</f>
        <v/>
      </c>
      <c r="HS58" s="1084" t="str">
        <f>IF(parcelles!B106="","",IF(OR(parcelles!C106=Moutarde,parcelles!C106=Phacélie),0,IF(parcelles!C106=Luzerne,10*parcelles!E106*VLOOKUP(parcelles!C106,BDD!$HN$5:$HU$38,7,FALSE),IF(parcelles!C106=Miscanthus,10.5*parcelles!E106*VLOOKUP(parcelles!C106,BDD!$HN$5:$HU$38,7,FALSE),INDEX(parcelles!$C$56:'parcelles'!$Y$77,MATCH(parcelles!B106,parcelles!$B$56:'parcelles'!$B$77,0),MATCH(parcelles!C106,parcelles!$C$53:'parcelles'!$Y$53,0))*parcelles!E106*VLOOKUP(parcelles!C106,BDD!$HN$5:$HU$38,7,FALSE)))))</f>
        <v/>
      </c>
      <c r="HT58" s="1084" t="str">
        <f>IF(parcelles!B106="","",IF(OR(parcelles!C106=Moutarde,parcelles!C106=Phacélie),0,IF(parcelles!C106=Luzerne,10*parcelles!E106*VLOOKUP(parcelles!C106,BDD!$HN$5:$HU$38,8,FALSE),IF(parcelles!C106=Miscanthus,10.5*parcelles!E106*VLOOKUP(parcelles!C106,BDD!$HN$5:$HU$38,8,FALSE),INDEX(parcelles!$C$56:'parcelles'!$Y$77,MATCH(parcelles!B106,parcelles!$B$56:'parcelles'!$B$77,0),MATCH(parcelles!C106,parcelles!$C$53:'parcelles'!$Y$53,0))*parcelles!E106*VLOOKUP(parcelles!C106,BDD!$HN$5:$HU$38,8,FALSE)))))</f>
        <v/>
      </c>
      <c r="HU58" s="1084" t="str">
        <f>IF(parcelles!B106="","",IF(OR(parcelles!C106=Moutarde,parcelles!C106=Phacélie),0,1.6*parcelles!E106))</f>
        <v/>
      </c>
      <c r="HV58" s="1084" t="str">
        <f>IF(parcelles!B106="","",IF(OR(parcelles!C106=Moutarde,parcelles!C106=Phacélie),0,1.6*parcelles!E106))</f>
        <v/>
      </c>
      <c r="HW58" s="1084" t="str">
        <f>IF(parcelles!B106="","",IF(OR(parcelles!C106=Moutarde,parcelles!C106=Phacélie),0,1.6*parcelles!E106))</f>
        <v/>
      </c>
      <c r="HX58" s="1095" t="str">
        <f>IF(parcelles!D106="","",IF(parcelles!C106=ChanvreIndustriel,INDEX(parcelles!$C$56:$Y$77,MATCH(parcelles!B106,parcelles!$B$56:$B$77,0),MATCH(parcelles!C106,parcelles!$C$53:$Y$53,0))*parcelles!E106*SUMIF(ListeCulturesBDD,parcelles!C106,PrixVenteCulturesConventionnel)+RIGHT(BDD!$HM$7,3)*7*parcelles!E106,IF(parcelles!C106=Luzerne,parcelles!E106*10*VLOOKUP(parcelles!C106,TarifsCoopCultures,2,FALSE),IF(parcelles!C106=Miscanthus,parcelles!E106*10.5*VLOOKUP(Luzerne,TarifsCoopCultures,2,FALSE),INDEX(parcelles!$C$56:$Y$77,MATCH(parcelles!B106,parcelles!$B$56:$B$77,0),MATCH(parcelles!C106,parcelles!$C$53:$Y$53,0))*parcelles!E106*SUMIF(ListeCulturesBDD,parcelles!C106,PrixVenteCulturesConventionnel)))))</f>
        <v/>
      </c>
      <c r="HY58" s="1084" t="str">
        <f>IF(parcelles!D106="","",IF(parcelles!F106=0,"",IF(parcelles!C106=ChanvreIndustriel,"soit "&amp;parcelles!E106*0.8&amp;"t de grain et "&amp;parcelles!E106*7&amp;"t de paille",IF(parcelles!C106=Luzerne,"soit "&amp;10*parcelles!E106&amp;"t/an",IF(parcelles!C106=Miscanthus,"soit "&amp;10.5*parcelles!E106&amp;"t/an","soit "&amp;INDEX(parcelles!$C$56:$Y$77,MATCH(parcelles!B106,parcelles!$B$56:$B$77,0),MATCH(parcelles!C106,parcelles!$C$53:$Y$53,0))*parcelles!E106&amp;"t")))))</f>
        <v/>
      </c>
      <c r="HZ58" s="1084" t="str">
        <f>IF(parcelles!D106="","",IF(parcelles!F106=0,"",IF(parcelles!C106=ChanvreIndustriel,"soit "&amp;parcelles!E106*0.8*0.8&amp;"t de grain et "&amp;parcelles!E106*7*0.8&amp;"t de paille",IF(parcelles!C106=Luzerne,"soit "&amp;10*0.8*parcelles!E106&amp;"t/an",IF(parcelles!C106=Miscanthus,"soit "&amp;10.5*0.8*parcelles!E106&amp;"t/an","soit "&amp;INDEX(parcelles!$C$56:$Y$77,MATCH(parcelles!B106,parcelles!$B$56:$B$77,0),MATCH(parcelles!C106,parcelles!$C$53:$Y$53,0))*0.8*parcelles!E106&amp;"t")))))</f>
        <v/>
      </c>
      <c r="IA58" s="1084" t="str">
        <f>IF(parcelles!L106="","",(VLOOKUP(parcelles!M106,BDD!$HN$5:$HU$38,2,FALSE))*parcelles!O106)</f>
        <v/>
      </c>
      <c r="IB58" s="1084" t="str">
        <f>IF(parcelles!L106="","",IF(OR(parcelles!M106=Moutarde,parcelles!M106=Phacélie),0,IF(parcelles!M106=Luzerne,10*parcelles!O106*VLOOKUP(parcelles!M106,BDD!$HN$5:$HU$38,3,FALSE),IF(parcelles!M106=Miscanthus,10.5*parcelles!O106*VLOOKUP(parcelles!M106,BDD!$HN$5:$HU$38,3,FALSE),INDEX(parcelles!$C$56:'parcelles'!$Y$77,MATCH(parcelles!L106,parcelles!$B$56:'parcelles'!$B$77,0),MATCH(parcelles!M106,parcelles!$C$53:'parcelles'!$Y$53,0))*parcelles!O106*VLOOKUP(parcelles!M106,BDD!$HN$5:$HU$38,3,FALSE)))))</f>
        <v/>
      </c>
      <c r="IC58" s="1084" t="str">
        <f>IF(parcelles!L106="","",IF(OR(parcelles!M106=Moutarde,parcelles!M106=Phacélie),0,IF(parcelles!M106=Luzerne,10*parcelles!O106*VLOOKUP(parcelles!M106,BDD!$HN$5:$HU$38,4,FALSE),IF(parcelles!M106=Miscanthus,10.5*parcelles!O106*VLOOKUP(parcelles!M106,BDD!$HN$5:$HU$38,4,FALSE),INDEX(parcelles!$C$56:'parcelles'!$Y$77,MATCH(parcelles!L106,parcelles!$B$56:'parcelles'!$B$77,0),MATCH(parcelles!M106,parcelles!$C$53:'parcelles'!$Y$53,0))*parcelles!O106*VLOOKUP(parcelles!M106,BDD!$HN$5:$HU$38,4,FALSE)))))</f>
        <v/>
      </c>
      <c r="ID58" s="1084" t="str">
        <f>IF(parcelles!L106="","",IF(OR(parcelles!M106=Moutarde,parcelles!M106=Phacélie),0,IF(parcelles!M106=Luzerne,10*parcelles!O106*VLOOKUP(parcelles!M106,BDD!$HN$5:$HU$38,5,FALSE),IF(parcelles!M106=Miscanthus,10.5*parcelles!O106*VLOOKUP(parcelles!M106,BDD!$HN$5:$HU$38,5,FALSE),INDEX(parcelles!$C$56:'parcelles'!$Y$77,MATCH(parcelles!L106,parcelles!$B$56:'parcelles'!$B$77,0),MATCH(parcelles!M106,parcelles!$C$53:'parcelles'!$Y$53,0))*parcelles!O106*VLOOKUP(parcelles!M106,BDD!$HN$5:$HU$38,5,FALSE)))))</f>
        <v/>
      </c>
      <c r="IE58" s="1084" t="str">
        <f>IF(parcelles!L106="","",IF(OR(parcelles!M106=Moutarde,parcelles!M106=Phacélie),0,IF(parcelles!M106=Luzerne,10*parcelles!O106*VLOOKUP(parcelles!M106,BDD!$HN$5:$HU$38,6,FALSE),IF(parcelles!M106=Miscanthus,10.5*parcelles!O106*VLOOKUP(parcelles!M106,BDD!$HN$5:$HU$38,6,FALSE),INDEX(parcelles!$C$56:'parcelles'!$Y$77,MATCH(parcelles!L106,parcelles!$B$56:'parcelles'!$B$77,0),MATCH(parcelles!M106,parcelles!$C$53:'parcelles'!$Y$53,0))*parcelles!O106*VLOOKUP(parcelles!M106,BDD!$HN$5:$HU$38,6,FALSE)))))</f>
        <v/>
      </c>
      <c r="IF58" s="1084" t="str">
        <f>IF(parcelles!L106="","",IF(OR(parcelles!M106=Moutarde,parcelles!M106=Phacélie),0,IF(parcelles!M106=Luzerne,10*parcelles!O106*VLOOKUP(parcelles!M106,BDD!$HN$5:$HU$38,7,FALSE),IF(parcelles!M106=Miscanthus,10.5*parcelles!O106*VLOOKUP(parcelles!M106,BDD!$HN$5:$HU$38,7,FALSE),INDEX(parcelles!$C$56:'parcelles'!$Y$77,MATCH(parcelles!L106,parcelles!$B$56:'parcelles'!$B$77,0),MATCH(parcelles!M106,parcelles!$C$53:'parcelles'!$Y$53,0))*parcelles!O106*VLOOKUP(parcelles!M106,BDD!$HN$5:$HU$38,7,FALSE)))))</f>
        <v/>
      </c>
      <c r="IG58" s="1084" t="str">
        <f>IF(parcelles!L106="","",IF(OR(parcelles!M106=Moutarde,parcelles!M106=Phacélie),0,IF(parcelles!M106=Luzerne,10*parcelles!O106*VLOOKUP(parcelles!M106,BDD!$HN$5:$HU$38,8,FALSE),IF(parcelles!M106=Miscanthus,10.5*parcelles!O106*VLOOKUP(parcelles!M106,BDD!$HN$5:$HU$38,8,FALSE),INDEX(parcelles!$C$56:'parcelles'!$Y$77,MATCH(parcelles!L106,parcelles!$B$56:'parcelles'!$B$77,0),MATCH(parcelles!M106,parcelles!$C$53:'parcelles'!$Y$53,0))*parcelles!O106*VLOOKUP(parcelles!M106,BDD!$HN$5:$HU$38,8,FALSE)))))</f>
        <v/>
      </c>
      <c r="IH58" s="1084" t="str">
        <f>IF(parcelles!L106="","",IF(OR(parcelles!L106=Moutarde,parcelles!L106=Phacélie),0,1.6*parcelles!O106))</f>
        <v/>
      </c>
      <c r="II58" s="1084" t="str">
        <f>IF(parcelles!L106="","",IF(OR(parcelles!L106=Moutarde,parcelles!L106=Phacélie),0,1.6*parcelles!O106))</f>
        <v/>
      </c>
      <c r="IJ58" s="1084" t="str">
        <f>IF(parcelles!L106="","",IF(OR(parcelles!L106=Moutarde,parcelles!L106=Phacélie),0,1.6*parcelles!O106))</f>
        <v/>
      </c>
      <c r="IK58" s="1084" t="str">
        <f>IF(parcelles!P106="","",IF(parcelles!R106=0,"",IF(parcelles!O106=ChanvreIndustriel,"soit "&amp;parcelles!Q106*0.8&amp;"t de grain et "&amp;parcelles!Q106*7&amp;"t de paille",IF(parcelles!O106=Luzerne,"soit "&amp;10*parcelles!Q106&amp;"t/an",IF(parcelles!O106=Miscanthus,"soit "&amp;10.5*parcelles!Q106&amp;"t/an","soit "&amp;INDEX(parcelles!$C$56:$Y$77,MATCH(parcelles!N106,parcelles!$B$56:$B$77,0),MATCH(parcelles!O106,parcelles!$C$53:$Y$53,0))*parcelles!Q106&amp;"t")))))</f>
        <v/>
      </c>
      <c r="IL58" s="1084" t="str">
        <f>IF(parcelles!P106="","",IF(parcelles!R106=0,"",IF(parcelles!O106=ChanvreIndustriel,"soit "&amp;parcelles!Q106*0.8*0.8&amp;"t de grain et "&amp;parcelles!Q106*7*0.8&amp;"t de paille",IF(parcelles!O106=Luzerne,"soit "&amp;10*0.8*parcelles!Q106&amp;"t/an",IF(parcelles!O106=Miscanthus,"soit "&amp;10.5*0.8*parcelles!Q106&amp;"t/an","soit "&amp;INDEX(parcelles!$C$56:$Y$77,MATCH(parcelles!N106,parcelles!$B$56:$B$77,0),MATCH(parcelles!O106,parcelles!$C$53:$Y$53,0))*0.8*parcelles!Q106&amp;"t")))))</f>
        <v/>
      </c>
      <c r="IM58" s="1084" t="str">
        <f>IF(parcelles!S106="","",IF(parcelles!U106=0,"",IF(parcelles!R106=ChanvreIndustriel,parcelles!T106*0.8*0.8+parcelles!T106*7*0.8,IF(parcelles!R106=Luzerne,10*0.8*parcelles!T106,IF(parcelles!R106=Miscanthus,10.5*0.8*parcelles!T106,INDEX(parcelles!$C$56:$Y$77,MATCH(parcelles!Q106,parcelles!$B$56:$B$77,0),MATCH(parcelles!R106,parcelles!$C$53:$Y$53,0))*0.8*parcelles!T106)))))</f>
        <v/>
      </c>
      <c r="IN58" s="1368"/>
    </row>
    <row r="59" spans="1:248" ht="12.75" customHeight="1" x14ac:dyDescent="0.2">
      <c r="A59" s="1312">
        <v>5</v>
      </c>
      <c r="B59" s="1234">
        <v>0.2</v>
      </c>
      <c r="C59" s="1235">
        <v>0.6</v>
      </c>
      <c r="D59" s="1321"/>
      <c r="E59" s="1321"/>
      <c r="F59" s="1193" t="s">
        <v>858</v>
      </c>
      <c r="G59" s="1193" t="s">
        <v>859</v>
      </c>
      <c r="H59" s="1193" t="s">
        <v>861</v>
      </c>
      <c r="I59" s="1193" t="s">
        <v>862</v>
      </c>
      <c r="J59" s="1193" t="s">
        <v>863</v>
      </c>
      <c r="K59" s="1193" t="s">
        <v>864</v>
      </c>
      <c r="L59" s="1193" t="s">
        <v>865</v>
      </c>
      <c r="M59" s="1193" t="s">
        <v>866</v>
      </c>
      <c r="N59" s="1321"/>
      <c r="O59" s="1143" t="s">
        <v>187</v>
      </c>
      <c r="P59" s="1143">
        <v>8.3000000000000007</v>
      </c>
      <c r="Q59" s="1143">
        <v>7.5</v>
      </c>
      <c r="R59" s="1143">
        <v>7.2</v>
      </c>
      <c r="S59" s="1143">
        <v>6.5</v>
      </c>
      <c r="T59" s="1143">
        <v>6.2</v>
      </c>
      <c r="U59" s="1143">
        <v>6.9</v>
      </c>
      <c r="V59" s="1143"/>
      <c r="W59" s="1143">
        <v>8.8000000000000007</v>
      </c>
      <c r="X59" s="1143">
        <v>14.5</v>
      </c>
      <c r="Y59" s="1143">
        <v>90</v>
      </c>
      <c r="Z59" s="1143">
        <v>3.8</v>
      </c>
      <c r="AA59" s="1143">
        <v>2.5</v>
      </c>
      <c r="AB59" s="1143">
        <v>5.2</v>
      </c>
      <c r="AC59" s="1143">
        <v>4.3</v>
      </c>
      <c r="AD59" s="1143">
        <v>0</v>
      </c>
      <c r="AE59" s="1143">
        <v>3.4</v>
      </c>
      <c r="AF59" s="1143">
        <v>44.5</v>
      </c>
      <c r="AG59" s="1143">
        <v>0</v>
      </c>
      <c r="AH59" s="1143">
        <v>0</v>
      </c>
      <c r="AI59" s="1143">
        <v>22</v>
      </c>
      <c r="AJ59" s="1143">
        <v>15</v>
      </c>
      <c r="AK59" s="1143">
        <v>0</v>
      </c>
      <c r="AL59" s="1143">
        <v>0</v>
      </c>
      <c r="AM59" s="1143"/>
      <c r="AN59" s="1143">
        <v>2.2999999999999998</v>
      </c>
      <c r="AO59" s="1143">
        <v>37</v>
      </c>
      <c r="AP59" s="1143">
        <v>0</v>
      </c>
      <c r="AQ59" s="1143">
        <v>0</v>
      </c>
      <c r="AR59" s="1143">
        <v>0</v>
      </c>
      <c r="AS59" s="1143">
        <v>0</v>
      </c>
      <c r="AT59" s="1143">
        <v>0</v>
      </c>
      <c r="AU59" s="1143">
        <v>0</v>
      </c>
      <c r="AV59" s="1143">
        <v>0</v>
      </c>
      <c r="AW59" s="1143">
        <v>8.5</v>
      </c>
      <c r="AX59" s="1143">
        <v>10</v>
      </c>
      <c r="AY59" s="1143">
        <v>10</v>
      </c>
      <c r="AZ59" s="1321"/>
      <c r="BA59" s="1321"/>
      <c r="BB59" s="1236" t="s">
        <v>724</v>
      </c>
      <c r="BC59" s="1190" t="s">
        <v>723</v>
      </c>
      <c r="BD59" s="1190" t="s">
        <v>1277</v>
      </c>
      <c r="BE59" s="1237">
        <v>169</v>
      </c>
      <c r="BF59" s="1237">
        <v>144</v>
      </c>
      <c r="BG59" s="1237">
        <v>112</v>
      </c>
      <c r="BH59" s="1237">
        <v>85</v>
      </c>
      <c r="BI59" s="1237">
        <v>57</v>
      </c>
      <c r="BJ59" s="1237">
        <v>29</v>
      </c>
      <c r="BK59" s="1238">
        <v>0</v>
      </c>
      <c r="BL59" s="1348"/>
      <c r="BM59" s="1075" t="s">
        <v>65</v>
      </c>
      <c r="BN59" s="1075">
        <f t="array" ref="BN59">IF(Ration_hivernale_complète_bisons[somme]&gt;0,0,IFERROR(IF(OR(AND(INDEX(Règles_bison[Specificite],MATCH(ChoixRationBisons&amp;$BM59,Règles_bison[Ration]&amp;Règles_bison[Aliment],0))="s1",IF($BM59=ChoixSpécificité1Bisons,1)),
AND(INDEX(Règles_bison[Specificite],MATCH(ChoixRationBisons&amp;$BM59,Règles_bison[Ration]&amp;Règles_bison[Aliment],0))="s2",IF($BM59=ChoixSpécificité2Bisons,1)),INDEX(Règles_bison[Specificite],MATCH(ChoixRationBisons&amp;$BM59,Règles_bison[Ration]&amp;Règles_bison[Aliment],0))="c"),
INDEX(Règles_bison[Valeur 36 et plus],MATCH(ChoixRationBisons&amp;$BM59,Règles_bison[Ration]&amp;Règles_bison[Aliment],0)),0),0)*TotalBisonsMalesAdultes*SUM(NbreJoursNourrirBisonsDaims))</f>
        <v>0</v>
      </c>
      <c r="BO59" s="1075">
        <f t="array" ref="BO59">IF(Ration_hivernale_complète_bisons[somme]&gt;0,0,IFERROR(IF(OR(AND(INDEX(Règles_bison[Specificite],MATCH(ChoixRationBisons&amp;$BM59,Règles_bison[Ration]&amp;Règles_bison[Aliment],0))="s1",IF($BM59=ChoixSpécificité1Bisons,1)),
AND(INDEX(Règles_bison[Specificite],MATCH(ChoixRationBisons&amp;$BM59,Règles_bison[Ration]&amp;Règles_bison[Aliment],0))="s2",IF($BM59=ChoixSpécificité2Bisons,1)),INDEX(Règles_bison[Specificite],MATCH(ChoixRationBisons&amp;$BM59,Règles_bison[Ration]&amp;Règles_bison[Aliment],0))="c"),
INDEX(Règles_bison[Valeur 24-36],MATCH(ChoixRationBisons&amp;$BM59,Règles_bison[Ration]&amp;Règles_bison[Aliment],0)),0),0)*TotalBisonsMales_24_36_mois*SUM(NbreJoursNourrirBisonsDaims))</f>
        <v>0</v>
      </c>
      <c r="BP59" s="1075">
        <f t="array" ref="BP59">IF(Ration_hivernale_complète_bisons[somme]&gt;0,0,IFERROR(IF(OR(AND(INDEX(Règles_bison[Specificite],MATCH(ChoixRationBisons&amp;$BM59,Règles_bison[Ration]&amp;Règles_bison[Aliment],0))="s1",IF($BM59=ChoixSpécificité1Bisons,1)),
AND(INDEX(Règles_bison[Specificite],MATCH(ChoixRationBisons&amp;$BM59,Règles_bison[Ration]&amp;Règles_bison[Aliment],0))="s2",IF($BM59=ChoixSpécificité2Bisons,1)),INDEX(Règles_bison[Specificite],MATCH(ChoixRationBisons&amp;$BM59,Règles_bison[Ration]&amp;Règles_bison[Aliment],0))="c"),
INDEX(Règles_bison[Valeur 18-24],MATCH(ChoixRationBisons&amp;$BM59,Règles_bison[Ration]&amp;Règles_bison[Aliment],0)),0),0)*TotalBisonsMales_18_24_mois*SUM(NbreJoursNourrirBisonsDaims))</f>
        <v>0</v>
      </c>
      <c r="BQ59" s="1075">
        <f t="array" ref="BQ59">IF(Ration_hivernale_complète_bisons[somme]&gt;0,0,IFERROR(IF(OR(AND(INDEX(Règles_bison[Specificite],MATCH(ChoixRationBisons&amp;$BM59,Règles_bison[Ration]&amp;Règles_bison[Aliment],0))="s1",IF($BM59=ChoixSpécificité1Bisons,1)),
AND(INDEX(Règles_bison[Specificite],MATCH(ChoixRationBisons&amp;$BM59,Règles_bison[Ration]&amp;Règles_bison[Aliment],0))="s2",IF($BM59=ChoixSpécificité2Bisons,1)),INDEX(Règles_bison[Specificite],MATCH(ChoixRationBisons&amp;$BM59,Règles_bison[Ration]&amp;Règles_bison[Aliment],0))="c"),
INDEX(Règles_bison[Valeur 12-18],MATCH(ChoixRationBisons&amp;$BM59,Règles_bison[Ration]&amp;Règles_bison[Aliment],0)),0),0)*TotalBisonsMales_12_18_mois*SUM(NbreJoursNourrirBisonsDaims))</f>
        <v>0</v>
      </c>
      <c r="BR59" s="1075">
        <f t="array" ref="BR59">IF(Ration_hivernale_complète_bisons[somme]&gt;0,0,IFERROR(IF(OR(AND(INDEX(Règles_bison[Specificite],MATCH(ChoixRationBisons&amp;$BM59,Règles_bison[Ration]&amp;Règles_bison[Aliment],0))="s1",IF($BM59=ChoixSpécificité1Bisons,1)),
AND(INDEX(Règles_bison[Specificite],MATCH(ChoixRationBisons&amp;$BM59,Règles_bison[Ration]&amp;Règles_bison[Aliment],0))="s2",IF($BM59=ChoixSpécificité2Bisons,1)),INDEX(Règles_bison[Specificite],MATCH(ChoixRationBisons&amp;$BM59,Règles_bison[Ration]&amp;Règles_bison[Aliment],0))="c"),
INDEX(Règles_bison[Valeur 6-12],MATCH(ChoixRationBisons&amp;$BM59,Règles_bison[Ration]&amp;Règles_bison[Aliment],0)),0),0)*TotalBisonsMales_6_12_mois*SUM(NbreJoursNourrirBisonsDaims))</f>
        <v>0</v>
      </c>
      <c r="BS59" s="1075">
        <f t="array" ref="BS59">IF(Ration_hivernale_complète_bisons[somme]&gt;0,0,IFERROR(IF(OR(AND(INDEX(Règles_bison[Specificite],MATCH(ChoixRationBisons&amp;$BM59,Règles_bison[Ration]&amp;Règles_bison[Aliment],0))="s1",IF($BM59=ChoixSpécificité1Bisons,1)),
AND(INDEX(Règles_bison[Specificite],MATCH(ChoixRationBisons&amp;$BM59,Règles_bison[Ration]&amp;Règles_bison[Aliment],0))="s2",IF($BM59=ChoixSpécificité2Bisons,1)),INDEX(Règles_bison[Specificite],MATCH(ChoixRationBisons&amp;$BM59,Règles_bison[Ration]&amp;Règles_bison[Aliment],0))="c"),
INDEX(Règles_bison[Valeur 3-6],MATCH(ChoixRationBisons&amp;$BM59,Règles_bison[Ration]&amp;Règles_bison[Aliment],0)),0),0)*TotalBisonsMales_3_6_mois*SUM(NbreJoursNourrirBisonsDaims))</f>
        <v>0</v>
      </c>
      <c r="BT59" s="1075">
        <f t="array" ref="BT59">IF(Ration_hivernale_complète_bisons[somme]&gt;0,0,IFERROR(IF(OR(AND(INDEX(Règles_bison[Specificite],MATCH(ChoixRationBisons&amp;$BM59,Règles_bison[Ration]&amp;Règles_bison[Aliment],0))="s1",IF($BM59=ChoixSpécificité1Bisons,1)),
AND(INDEX(Règles_bison[Specificite],MATCH(ChoixRationBisons&amp;$BM59,Règles_bison[Ration]&amp;Règles_bison[Aliment],0))="s2",IF($BM59=ChoixSpécificité2Bisons,1)),INDEX(Règles_bison[Specificite],MATCH(ChoixRationBisons&amp;$BM59,Règles_bison[Ration]&amp;Règles_bison[Aliment],0))="c"),
INDEX(Règles_bison[Valeur 0-3],MATCH(ChoixRationBisons&amp;$BM59,Règles_bison[Ration]&amp;Règles_bison[Aliment],0)),0),0)*TotalBisonsMales_0_3_mois*SUM(NbreJoursNourrirBisonsDaims))</f>
        <v>0</v>
      </c>
      <c r="BU59" s="1075">
        <f t="shared" si="10"/>
        <v>0</v>
      </c>
      <c r="BV59" s="1345"/>
      <c r="BW59" s="1345"/>
      <c r="BX59" s="1176" t="s">
        <v>762</v>
      </c>
      <c r="BY59" s="1177" t="s">
        <v>219</v>
      </c>
      <c r="BZ59" s="1177" t="s">
        <v>1252</v>
      </c>
      <c r="CA59" s="1177">
        <v>2</v>
      </c>
      <c r="CB59" s="1177">
        <v>2</v>
      </c>
      <c r="CC59" s="1177">
        <v>1.2</v>
      </c>
      <c r="CD59" s="1199">
        <v>2.8</v>
      </c>
      <c r="CE59" s="1350"/>
      <c r="CF59" s="1350"/>
      <c r="CG59" s="1350"/>
      <c r="CH59" s="1350"/>
      <c r="CI59" s="1321"/>
      <c r="CJ59" s="808" t="s">
        <v>1717</v>
      </c>
      <c r="CK59" s="788">
        <f t="array" ref="CK5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59" s="788">
        <f t="array" ref="CL5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59" s="788">
        <f t="array" ref="CM5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59" s="788">
        <f t="array" ref="CN5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59" s="788">
        <f t="array" ref="CO5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59" s="812">
        <f>SUM(AlimentsRationPorcinsMâles[[#This Row],[Valeur 12 et plus]:[Valeur 0-1]])</f>
        <v>0</v>
      </c>
      <c r="CQ59" s="1321"/>
      <c r="CR59" s="1321"/>
      <c r="CS59" s="808" t="s">
        <v>285</v>
      </c>
      <c r="CT59" s="817">
        <f t="array" ref="CT5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59" s="817">
        <f t="array" ref="CU5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59" s="817">
        <f t="array" ref="CV5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59" s="818">
        <f>SUM(AlimentsRationLapinsMâles[[#This Row],[Valeur 3 et plus]:[Valeur 0-1]])</f>
        <v>0</v>
      </c>
      <c r="CX59" s="1321"/>
      <c r="CY59" s="1321"/>
      <c r="CZ59" s="808" t="s">
        <v>285</v>
      </c>
      <c r="DA59" s="817">
        <f t="array" ref="DA5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59" s="817">
        <f t="array" ref="DB5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59" s="817">
        <f t="array" ref="DC5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59" s="818">
        <f>SUM(AlimentsRationVolaillesMâles[[#This Row],[Valeur 6 et plus]:[Valeur 0-1]])</f>
        <v>0</v>
      </c>
      <c r="DE59" s="1364"/>
      <c r="DF59" s="1321"/>
      <c r="DG59" s="808" t="s">
        <v>733</v>
      </c>
      <c r="DH59" s="817">
        <f t="array" ref="DH59">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59" s="817">
        <f t="array" ref="DI59">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59" s="817">
        <f t="array" ref="DJ59">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59" s="818">
        <f>SUM(AlimentsRationPintadesMâles[[#This Row],[Valeur 9 et plus]:[Valeur 0-1]])</f>
        <v>0</v>
      </c>
      <c r="DL59" s="1364"/>
      <c r="DM59" s="1364"/>
      <c r="DN59" s="1143" t="s">
        <v>1050</v>
      </c>
      <c r="DO59" s="1143">
        <v>910</v>
      </c>
      <c r="DP59" s="1321"/>
      <c r="DQ59" s="1143" t="s">
        <v>1050</v>
      </c>
      <c r="DR59" s="1143">
        <v>1092</v>
      </c>
      <c r="DS59" s="1345"/>
      <c r="DT59" s="1346"/>
      <c r="DU59" s="1346"/>
      <c r="DV59" s="1075" t="s">
        <v>63</v>
      </c>
      <c r="DW59" s="1269">
        <f t="array" ref="DW59">IF(ChoixRationComplèteDaims=OUI,0,IFERROR(IF(OR(AND(INDEX(Règles_daims[Specificite],MATCH(ChoixRationDaims&amp;DV59,Règles_daims[Ration]&amp;Règles_daims[Aliment],0))="s1",IF(DV59=Spécificité1Daims,1)),
AND(INDEX(Règles_daims[Specificite],MATCH(ChoixRationDaims&amp;DV59,Règles_daims[Ration]&amp;Règles_daims[Aliment],0))="s2",IF(DV59=Spécificité2Daims,1)),
INDEX(Règles_daims[Specificite],MATCH(ChoixRationDaims&amp;DV59,Règles_daims[Ration]&amp;Règles_daims[Aliment],0))="c"),
INDEX(Règles_daims[Valeur 36 et plus],MATCH(ChoixRationDaims&amp;DV59,Règles_daims[Ration]&amp;Règles_daims[Aliment],0)),0),0)*SUM(TotalDaimsAdultes)*SUM(NbreJoursNourrirBisonsDaims))</f>
        <v>0</v>
      </c>
      <c r="DX59" s="1269">
        <f t="array" ref="DX59">IF(ChoixRationComplèteDaims=OUI,0,IFERROR(IF(OR(AND(INDEX(Règles_daims[Specificite],MATCH(ChoixRationDaims&amp;DV59,Règles_daims[Ration]&amp;Règles_daims[Aliment],0))="s1",IF(DV59=Spécificité1Daims,1)),
AND(INDEX(Règles_daims[Specificite],MATCH(ChoixRationDaims&amp;DV59,Règles_daims[Ration]&amp;Règles_daims[Aliment],0))="s2",IF(DV59=Spécificité2Daims,1)),
INDEX(Règles_daims[Specificite],MATCH(ChoixRationDaims&amp;DV59,Règles_daims[Ration]&amp;Règles_daims[Aliment],0))="c"),
INDEX(Règles_daims[Valeur 24-36],MATCH(ChoixRationDaims&amp;DV59,Règles_daims[Ration]&amp;Règles_daims[Aliment],0)),0),0)*SUM(TotalDaims24_36)*SUM(NbreJoursNourrirBisonsDaims))</f>
        <v>0</v>
      </c>
      <c r="DY59" s="1269">
        <f t="array" ref="DY59">IF(ChoixRationComplèteDaims=OUI,0,IFERROR(IF(OR(AND(INDEX(Règles_daims[Specificite],MATCH(ChoixRationDaims&amp;DV59,Règles_daims[Ration]&amp;Règles_daims[Aliment],0))="s1",IF(DV59=Spécificité1Daims,1)),
AND(INDEX(Règles_daims[Specificite],MATCH(ChoixRationDaims&amp;DV59,Règles_daims[Ration]&amp;Règles_daims[Aliment],0))="s2",IF(DV59=Spécificité2Daims,1)),
INDEX(Règles_daims[Specificite],MATCH(ChoixRationDaims&amp;DV59,Règles_daims[Ration]&amp;Règles_daims[Aliment],0))="c"),
INDEX(Règles_daims[Valeur 18-24],MATCH(ChoixRationDaims&amp;DV59,Règles_daims[Ration]&amp;Règles_daims[Aliment],0)),0),0)*SUM(TotalDaims18_24)*SUM(NbreJoursNourrirBisonsDaims))</f>
        <v>0</v>
      </c>
      <c r="DZ59" s="1280">
        <f t="array" ref="DZ59">IF(ChoixRationComplèteDaims=OUI,0,IFERROR(IF(OR(AND(INDEX(Règles_daims[Specificite],MATCH(ChoixRationDaims&amp;DV59,Règles_daims[Ration]&amp;Règles_daims[Aliment],0))="s1",IF(DV59=Spécificité1Daims,1)),
AND(INDEX(Règles_daims[Specificite],MATCH(ChoixRationDaims&amp;DV59,Règles_daims[Ration]&amp;Règles_daims[Aliment],0))="s2",IF(DV59=Spécificité2Daims,1)),
INDEX(Règles_daims[Specificite],MATCH(ChoixRationDaims&amp;DV59,Règles_daims[Ration]&amp;Règles_daims[Aliment],0))="c"),
INDEX(Règles_daims[Valeur 12-18],MATCH(ChoixRationDaims&amp;DV59,Règles_daims[Ration]&amp;Règles_daims[Aliment],0)),0),0)*SUM(TotalDaims12_18)*SUM(NbreJoursNourrirBisonsDaims))</f>
        <v>0</v>
      </c>
      <c r="EA59" s="1280">
        <f t="array" ref="EA59">IF(ChoixRationComplèteDaims=OUI,0,IFERROR(IF(OR(AND(INDEX(Règles_daims[Specificite],MATCH(ChoixRationDaims&amp;DV59,Règles_daims[Ration]&amp;Règles_daims[Aliment],0))="s1",IF(DV59=Spécificité1Daims,1)),
AND(INDEX(Règles_daims[Specificite],MATCH(ChoixRationDaims&amp;DV59,Règles_daims[Ration]&amp;Règles_daims[Aliment],0))="s2",IF(DV59=Spécificité2Daims,1)),
INDEX(Règles_daims[Specificite],MATCH(ChoixRationDaims&amp;DV59,Règles_daims[Ration]&amp;Règles_daims[Aliment],0))="c"),
INDEX(Règles_daims[Valeur 6-12],MATCH(ChoixRationDaims&amp;DV59,Règles_daims[Ration]&amp;Règles_daims[Aliment],0)),0),0)*SUM(TotalDaims6_12)*SUM(NbreJoursNourrirBisonsDaims))</f>
        <v>0</v>
      </c>
      <c r="EB59" s="1280">
        <f t="array" ref="EB59">IF(ChoixRationComplèteDaims=OUI,0,IFERROR(IF(OR(AND(INDEX(Règles_daims[Specificite],MATCH(ChoixRationDaims&amp;DV59,Règles_daims[Ration]&amp;Règles_daims[Aliment],0))="s1",IF(DV59=Spécificité1Daims,1)),
AND(INDEX(Règles_daims[Specificite],MATCH(ChoixRationDaims&amp;DV59,Règles_daims[Ration]&amp;Règles_daims[Aliment],0))="s2",IF(DV59=Spécificité2Daims,1)),
INDEX(Règles_daims[Specificite],MATCH(ChoixRationDaims&amp;DV59,Règles_daims[Ration]&amp;Règles_daims[Aliment],0))="c"),
INDEX(Règles_daims[Valeur 3-6],MATCH(ChoixRationDaims&amp;DV59,Règles_daims[Ration]&amp;Règles_daims[Aliment],0)),0),0)*SUM(TotalDaims3_6)*SUM(NbreJoursNourrirBisonsDaims))</f>
        <v>0</v>
      </c>
      <c r="EC59" s="1280">
        <f t="array" ref="EC59">IF(ChoixRationComplèteDaims=OUI,0,IFERROR(IF(OR(AND(INDEX(Règles_daims[Specificite],MATCH(ChoixRationDaims&amp;DV59,Règles_daims[Ration]&amp;Règles_daims[Aliment],0))="s1",IF(DV59=Spécificité1Daims,1)),
AND(INDEX(Règles_daims[Specificite],MATCH(ChoixRationDaims&amp;DV59,Règles_daims[Ration]&amp;Règles_daims[Aliment],0))="s2",IF(DV59=Spécificité2Daims,1)),
INDEX(Règles_daims[Specificite],MATCH(ChoixRationDaims&amp;DV59,Règles_daims[Ration]&amp;Règles_daims[Aliment],0))="c"),
INDEX(Règles_daims[Valeur 0-3],MATCH(ChoixRationDaims&amp;DV59,Règles_daims[Ration]&amp;Règles_daims[Aliment],0)),0),0)*SUM(TotalDaims0_3)*SUM(NbreJoursNourrirBisonsDaims))</f>
        <v>0</v>
      </c>
      <c r="ED59" s="1280">
        <f t="shared" si="9"/>
        <v>0</v>
      </c>
      <c r="EE59" s="1345"/>
      <c r="EF59" s="1321"/>
      <c r="EG59" s="808" t="s">
        <v>714</v>
      </c>
      <c r="EH59" s="817">
        <f t="array" ref="EH5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59" s="817">
        <f t="array" ref="EI5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59" s="817">
        <f t="array" ref="EJ5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59" s="818">
        <f>SUM(AlimentsRationOiesMâles[[#This Row],[Valeur 6 et plus]:[Valeur 0-3]])</f>
        <v>0</v>
      </c>
      <c r="EL59" s="1364"/>
      <c r="EM59" s="1321"/>
      <c r="EN59" s="808" t="s">
        <v>1718</v>
      </c>
      <c r="EO59" s="817">
        <f t="array" ref="EO5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59" s="817">
        <f t="array" ref="EP5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59" s="817">
        <f t="array" ref="EQ5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59" s="818">
        <f>SUM(Ration_canards_Mâles[[#This Row],[Valeur 6 et plus]:[Valeur 0-3]])</f>
        <v>0</v>
      </c>
      <c r="ES59" s="1364"/>
      <c r="ET59" s="1346"/>
      <c r="EU59" s="1281" t="s">
        <v>1276</v>
      </c>
      <c r="EV59" s="1281" t="s">
        <v>1261</v>
      </c>
      <c r="EW59" s="1281" t="s">
        <v>1260</v>
      </c>
      <c r="EX59" s="1281" t="s">
        <v>1304</v>
      </c>
      <c r="EY59" s="1284" t="s">
        <v>1303</v>
      </c>
      <c r="EZ59" s="1281" t="s">
        <v>1269</v>
      </c>
      <c r="FA59" s="1345"/>
      <c r="FB59" s="1345"/>
      <c r="FC59" s="1321"/>
      <c r="FD59" s="1083" t="s">
        <v>715</v>
      </c>
      <c r="FE59" s="1283">
        <f t="array" ref="FE59">IF(OR(ChoixRationComplèteEtéChevauxTrait=OUI,ChoixRationComplèteEtéChevauxTrait="",AND(ChoixChevauxTraitPréHiver=OUI,ChoixChevauxTraitPréEté=OUI)),0,IFERROR(IF(OR(AND(INDEX(Règles_chevaux_trait[Specificite],MATCH(RationEtéChevauxTrait&amp;$FD59,Règles_chevaux_trait[Ration]&amp;Règles_chevaux_trait[Aliment],0))="s1",IF($FD59=Spécificité1ChevauxTrait,1)),
AND(INDEX(Règles_chevaux_trait[Specificite],MATCH(RationEtéChevauxTrait&amp;$FD59,Règles_chevaux_trait[Ration]&amp;Règles_chevaux_trait[Aliment],0))="s2",IF($FD59=Spécificité2ChevauxTrait,1)),
INDEX(Règles_chevaux_trait[Specificite],MATCH(RationEtéChevauxTrait&amp;$FD59,Règles_chevaux_trait[Ration]&amp;Règles_chevaux_trait[Aliment],0))="c"),
INDEX(Règles_chevaux_trait[Valeur 36 et plus],MATCH(RationEtéChevauxTrait&amp;$FD59,Règles_chevaux_trait[Ration]&amp;Règles_chevaux_trait[Aliment],0)),0),0)*TotalEtalonTrait*SUM(NbreJoursNourrirChevauxTrait))</f>
        <v>0</v>
      </c>
      <c r="FF59" s="1283">
        <f t="array" ref="FF59">IF(OR(ChoixRationComplèteEtéChevauxTrait=OUI,ChoixRationComplèteEtéChevauxTrait="",AND(ChoixChevauxTraitPréHiver=OUI,ChoixChevauxTraitPréEté=OUI)),0,IFERROR(IF(OR(AND(INDEX(Règles_chevaux_trait[Specificite],MATCH(RationEtéChevauxTrait&amp;$FD59,Règles_chevaux_trait[Ration]&amp;Règles_chevaux_trait[Aliment],0))="s1",IF($FD59=Spécificité1ChevauxTrait,1)),
AND(INDEX(Règles_chevaux_trait[Specificite],MATCH(RationEtéChevauxTrait&amp;$FD59,Règles_chevaux_trait[Ration]&amp;Règles_chevaux_trait[Aliment],0))="s2",IF($FD59=Spécificité2ChevauxTrait,1)),
INDEX(Règles_chevaux_trait[Specificite],MATCH(RationEtéChevauxTrait&amp;$FD59,Règles_chevaux_trait[Ration]&amp;Règles_chevaux_trait[Aliment],0))="c"),
INDEX(Règles_chevaux_trait[Valeur 24-36],MATCH(RationEtéChevauxTrait&amp;$FD59,Règles_chevaux_trait[Ration]&amp;Règles_chevaux_trait[Aliment],0)),0),0)*TotalJeuneEtalonTrait_24_36_mois*SUM(NbreJoursNourrirChevauxTrait))</f>
        <v>0</v>
      </c>
      <c r="FG59" s="1283">
        <f t="array" ref="FG59">IF(OR(ChoixRationComplèteEtéChevauxTrait=OUI,ChoixRationComplèteEtéChevauxTrait="",AND(ChoixChevauxTraitPréHiver=OUI,ChoixChevauxTraitPréEté=OUI)),0,IFERROR(IF(OR(AND(INDEX(Règles_chevaux_trait[Specificite],MATCH(RationEtéChevauxTrait&amp;$FD59,Règles_chevaux_trait[Ration]&amp;Règles_chevaux_trait[Aliment],0))="s1",IF($FD59=Spécificité1ChevauxTrait,1)),
AND(INDEX(Règles_chevaux_trait[Specificite],MATCH(RationEtéChevauxTrait&amp;$FD59,Règles_chevaux_trait[Ration]&amp;Règles_chevaux_trait[Aliment],0))="s2",IF($FD59=Spécificité2ChevauxTrait,1)),
INDEX(Règles_chevaux_trait[Specificite],MATCH(RationEtéChevauxTrait&amp;$FD59,Règles_chevaux_trait[Ration]&amp;Règles_chevaux_trait[Aliment],0))="c"),
INDEX(Règles_chevaux_trait[Valeur 12-24],MATCH(RationEtéChevauxTrait&amp;$FD59,Règles_chevaux_trait[Ration]&amp;Règles_chevaux_trait[Aliment],0)),0),0)*TotalJeuneEtalonTrait_12_24_mois*SUM(NbreJoursNourrirChevauxTrait))</f>
        <v>0</v>
      </c>
      <c r="FH59" s="1286">
        <f t="array" ref="FH59">IF(OR(ChoixRationComplèteEtéChevauxTrait=OUI,ChoixRationComplèteEtéChevauxTrait="",AND(ChoixChevauxTraitPréHiver=OUI,ChoixChevauxTraitPréEté=OUI)),0,IFERROR(IF(OR(AND(INDEX(Règles_chevaux_trait[Specificite],MATCH(RationEtéChevauxTrait&amp;$FD59,Règles_chevaux_trait[Ration]&amp;Règles_chevaux_trait[Aliment],0))="s1",IF($FD59=Spécificité1ChevauxTrait,1)),
AND(INDEX(Règles_chevaux_trait[Specificite],MATCH(RationEtéChevauxTrait&amp;$FD59,Règles_chevaux_trait[Ration]&amp;Règles_chevaux_trait[Aliment],0))="s2",IF($FD59=Spécificité2ChevauxTrait,1)),
INDEX(Règles_chevaux_trait[Specificite],MATCH(RationEtéChevauxTrait&amp;$FD59,Règles_chevaux_trait[Ration]&amp;Règles_chevaux_trait[Aliment],0))="c"),
INDEX(Règles_chevaux_trait[Valeur 0-12],MATCH(RationEtéChevauxTrait&amp;$FD59,Règles_chevaux_trait[Ration]&amp;Règles_chevaux_trait[Aliment],0)),0),0)*TotalPoulainTrait_0_12_mois*SUM(NbreJoursNourrirChevauxTrait))</f>
        <v>0</v>
      </c>
      <c r="FI59" s="1286">
        <f t="shared" si="15"/>
        <v>0</v>
      </c>
      <c r="FJ59" s="1345"/>
      <c r="FK59" s="1345"/>
      <c r="FL59" s="1345"/>
      <c r="FM59" s="1321"/>
      <c r="FN59" s="1082" t="s">
        <v>714</v>
      </c>
      <c r="FO59" s="1282">
        <f t="array" ref="FO59">IF(OR(ChoixRationComplèteEtéPoneys=OUI,ChoixRationComplèteEtéPoneys="",AND(ChoixPoneysPréHiver=OUI,ChoixPoneysPréEté=OUI)),0,IFERROR(IF(OR(AND(INDEX(Règles_poneys[Specificite],MATCH(RationEtéPoneys&amp;$FN59,Règles_poneys[Ration]&amp;Règles_poneys[Aliment],0))="s1",IF($FN59=Spécificité1Poneys,1)),
AND(INDEX(Règles_poneys[Specificite],MATCH(RationEtéPoneys&amp;$FN59,Règles_poneys[Ration]&amp;Règles_poneys[Aliment],0))="s2",IF($FN59=Spécificité2Poneys,1)),
INDEX(Règles_poneys[Specificite],MATCH(RationEtéPoneys&amp;$FN59,Règles_poneys[Ration]&amp;Règles_poneys[Aliment],0))="c"),
INDEX(Règles_poneys[Valeur 36 et plus],MATCH(RationEtéPoneys&amp;$FN59,Règles_poneys[Ration]&amp;Règles_poneys[Aliment],0)),0),0)*TotalEtalonPoney*SUM(NbreJoursNourrirPoneys))</f>
        <v>0</v>
      </c>
      <c r="FP59" s="1282">
        <f t="array" ref="FP59">IF(OR(ChoixRationComplèteEtéPoneys=OUI,ChoixRationComplèteEtéPoneys="",AND(ChoixPoneysPréHiver=OUI,ChoixPoneysPréEté=OUI)),0,IFERROR(IF(OR(AND(INDEX(Règles_poneys[Specificite],MATCH(RationEtéPoneys&amp;$FN59,Règles_poneys[Ration]&amp;Règles_poneys[Aliment],0))="s1",IF($FN59=Spécificité1Poneys,1)),
AND(INDEX(Règles_poneys[Specificite],MATCH(RationEtéPoneys&amp;$FN59,Règles_poneys[Ration]&amp;Règles_poneys[Aliment],0))="s2",IF($FN59=Spécificité2Poneys,1)),
INDEX(Règles_poneys[Specificite],MATCH(RationEtéPoneys&amp;$FN59,Règles_poneys[Ration]&amp;Règles_poneys[Aliment],0))="c"),
INDEX(Règles_poneys[Valeur 36 et plus],MATCH(RationEtéPoneys&amp;$FN59,Règles_poneys[Ration]&amp;Règles_poneys[Aliment],0)),0),0)*TotalJeuneEtalonPoney_24_36_mois*SUM(NbreJoursNourrirPoneys))</f>
        <v>0</v>
      </c>
      <c r="FQ59" s="1282">
        <f t="array" ref="FQ59">IF(OR(ChoixRationComplèteEtéPoneys=OUI,ChoixRationComplèteEtéPoneys="",AND(ChoixPoneysPréHiver=OUI,ChoixPoneysPréEté=OUI)),0,IFERROR(IF(OR(AND(INDEX(Règles_poneys[Specificite],MATCH(RationEtéPoneys&amp;$FN59,Règles_poneys[Ration]&amp;Règles_poneys[Aliment],0))="s1",IF($FN59=Spécificité1Poneys,1)),
AND(INDEX(Règles_poneys[Specificite],MATCH(RationEtéPoneys&amp;$FN59,Règles_poneys[Ration]&amp;Règles_poneys[Aliment],0))="s2",IF($FN59=Spécificité2Poneys,1)),
INDEX(Règles_poneys[Specificite],MATCH(RationEtéPoneys&amp;$FN59,Règles_poneys[Ration]&amp;Règles_poneys[Aliment],0))="c"),
INDEX(Règles_poneys[Valeur 36 et plus],MATCH(RationEtéPoneys&amp;$FN59,Règles_poneys[Ration]&amp;Règles_poneys[Aliment],0)),0),0)*TotalJeuneEtalonPoney_12_24_mois*SUM(NbreJoursNourrirPoneys))</f>
        <v>0</v>
      </c>
      <c r="FR59" s="1285">
        <f t="array" ref="FR59">IF(OR(ChoixRationComplèteEtéPoneys=OUI,ChoixRationComplèteEtéPoneys="",AND(ChoixPoneysPréHiver=OUI,ChoixPoneysPréEté=OUI)),0,IFERROR(IF(OR(AND(INDEX(Règles_poneys[Specificite],MATCH(RationEtéPoneys&amp;$FN59,Règles_poneys[Ration]&amp;Règles_poneys[Aliment],0))="s1",IF($FN59=Spécificité1Poneys,1)),
AND(INDEX(Règles_poneys[Specificite],MATCH(RationEtéPoneys&amp;$FN59,Règles_poneys[Ration]&amp;Règles_poneys[Aliment],0))="s2",IF($FN59=Spécificité2Poneys,1)),
INDEX(Règles_poneys[Specificite],MATCH(RationEtéPoneys&amp;$FN59,Règles_poneys[Ration]&amp;Règles_poneys[Aliment],0))="c"),
INDEX(Règles_poneys[Valeur 36 et plus],MATCH(RationEtéPoneys&amp;$FN59,Règles_poneys[Ration]&amp;Règles_poneys[Aliment],0)),0),0)*TotalPoulainPoney_0_12_mois*SUM(NbreJoursNourrirPoneys))</f>
        <v>0</v>
      </c>
      <c r="FS59" s="1285">
        <f t="shared" si="14"/>
        <v>0</v>
      </c>
      <c r="FT59" s="1345"/>
      <c r="FU59" s="1345"/>
      <c r="FV59" s="1345"/>
      <c r="FW59" s="823" t="s">
        <v>333</v>
      </c>
      <c r="FX59" s="828">
        <f t="array" ref="FX5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59" s="828">
        <f t="array" ref="FY5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59" s="828">
        <f t="array" ref="FZ5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59" s="828">
        <f t="array" ref="GA5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59" s="829">
        <f>SUM(AlimentsGavageOies[[#This Row],[Valeur 3 et plus]:[Valeur 0-1]])</f>
        <v>0</v>
      </c>
      <c r="GC59" s="1364"/>
      <c r="GD59" s="1321"/>
      <c r="GE59" s="1149" t="s">
        <v>6</v>
      </c>
      <c r="GF59" s="1321"/>
      <c r="GG59" s="1321" t="s">
        <v>1349</v>
      </c>
      <c r="GH59" s="1321" t="s">
        <v>1349</v>
      </c>
      <c r="GI59" s="1321" t="s">
        <v>1349</v>
      </c>
      <c r="GJ59" s="1321" t="s">
        <v>1349</v>
      </c>
      <c r="GK59" s="1321" t="s">
        <v>1349</v>
      </c>
      <c r="GL59" s="1321" t="s">
        <v>1349</v>
      </c>
      <c r="GM59" s="1321" t="s">
        <v>1349</v>
      </c>
      <c r="GN59" s="1321" t="s">
        <v>1349</v>
      </c>
      <c r="GO59" s="1321" t="s">
        <v>1349</v>
      </c>
      <c r="GP59" s="1321" t="s">
        <v>1349</v>
      </c>
      <c r="GQ59" s="1321" t="s">
        <v>1349</v>
      </c>
      <c r="GR59" s="1321" t="s">
        <v>1349</v>
      </c>
      <c r="GS59" s="1321" t="s">
        <v>1349</v>
      </c>
      <c r="GT59" s="1321" t="s">
        <v>1349</v>
      </c>
      <c r="GU59" s="1321" t="s">
        <v>1349</v>
      </c>
      <c r="GV59" s="1321" t="s">
        <v>1349</v>
      </c>
      <c r="GW59" s="1321"/>
      <c r="GX59" s="1321"/>
      <c r="GY59" s="1082" t="str">
        <f t="shared" si="11"/>
        <v>semences de féverole (GP)</v>
      </c>
      <c r="GZ59" s="1082"/>
      <c r="HA59" s="1085"/>
      <c r="HB59" s="1085">
        <f>IF(COUNTIF(TypeArticleDansEntrepôt,GY59)=0,0,SUMIF(TypeArticleDansEntrepôt,GY59,QtéArticleDansEntrepôt)*VLOOKUP(GY59,place_necessaire_entrepots_aire_paille[],2,FALSE))</f>
        <v>0</v>
      </c>
      <c r="HC59" s="1321"/>
      <c r="HD59" s="1321"/>
      <c r="HE59" s="1321"/>
      <c r="HF59" s="1321"/>
      <c r="HG59" s="1321"/>
      <c r="HH59" s="1321"/>
      <c r="HI59" s="1321"/>
      <c r="HJ59" s="1321"/>
      <c r="HK59" s="1321"/>
      <c r="HL59" s="1321"/>
      <c r="HM59" s="1321"/>
      <c r="HN59" s="1085" t="str">
        <f>IF(parcelles!B107="","",(VLOOKUP(parcelles!C107,BDD!$HN$5:$HU$38,2,FALSE))*parcelles!E107)</f>
        <v/>
      </c>
      <c r="HO59" s="1085" t="str">
        <f>IF(parcelles!B107="","",IF(OR(parcelles!C107=Moutarde,parcelles!C107=Phacélie),0,IF(parcelles!C107=Luzerne,10*parcelles!E107*VLOOKUP(parcelles!C107,BDD!$HN$5:$HU$38,3,FALSE),IF(parcelles!C107=Miscanthus,10.5*parcelles!E107*VLOOKUP(parcelles!C107,BDD!$HN$5:$HU$38,3,FALSE),INDEX(parcelles!$C$56:'parcelles'!$Y$77,MATCH(parcelles!B107,parcelles!$B$56:'parcelles'!$B$77,0),MATCH(parcelles!C107,parcelles!$C$53:'parcelles'!$Y$53,0))*parcelles!E107*VLOOKUP(parcelles!C107,BDD!$HN$5:$HU$38,3,FALSE)))))</f>
        <v/>
      </c>
      <c r="HP59" s="1085" t="str">
        <f>IF(parcelles!B107="","",IF(OR(parcelles!C107=Moutarde,parcelles!C107=Phacélie),0,IF(parcelles!C107=Luzerne,10*parcelles!E107*VLOOKUP(parcelles!C107,BDD!$HN$5:$HU$38,4,FALSE),IF(parcelles!C107=Miscanthus,10.5*parcelles!E107*VLOOKUP(parcelles!C107,BDD!$HN$5:$HU$38,4,FALSE),INDEX(parcelles!$C$56:'parcelles'!$Y$77,MATCH(parcelles!B107,parcelles!$B$56:'parcelles'!$B$77,0),MATCH(parcelles!C107,parcelles!$C$53:'parcelles'!$Y$53,0))*parcelles!E107*VLOOKUP(parcelles!C107,BDD!$HN$5:$HU$38,4,FALSE)))))</f>
        <v/>
      </c>
      <c r="HQ59" s="1085" t="str">
        <f>IF(parcelles!B107="","",IF(OR(parcelles!C107=Moutarde,parcelles!C107=Phacélie),0,IF(parcelles!C107=Luzerne,10*parcelles!E107*VLOOKUP(parcelles!C107,BDD!$HN$5:$HU$38,5,FALSE),IF(parcelles!C107=Miscanthus,10.5*parcelles!E107*VLOOKUP(parcelles!C107,BDD!$HN$5:$HU$38,5,FALSE),INDEX(parcelles!$C$56:'parcelles'!$Y$77,MATCH(parcelles!B107,parcelles!$B$56:'parcelles'!$B$77,0),MATCH(parcelles!C107,parcelles!$C$53:'parcelles'!$Y$53,0))*parcelles!E107*VLOOKUP(parcelles!C107,BDD!$HN$5:$HU$38,5,FALSE)))))</f>
        <v/>
      </c>
      <c r="HR59" s="1085" t="str">
        <f>IF(parcelles!B107="","",IF(OR(parcelles!C107=Moutarde,parcelles!C107=Phacélie),0,IF(parcelles!C107=Luzerne,10*parcelles!E107*VLOOKUP(parcelles!C107,BDD!$HN$5:$HU$38,6,FALSE),IF(parcelles!C107=Miscanthus,10.5*parcelles!E107*VLOOKUP(parcelles!C107,BDD!$HN$5:$HU$38,6,FALSE),INDEX(parcelles!$C$56:'parcelles'!$Y$77,MATCH(parcelles!B107,parcelles!$B$56:'parcelles'!$B$77,0),MATCH(parcelles!C107,parcelles!$C$53:'parcelles'!$Y$53,0))*parcelles!E107*VLOOKUP(parcelles!C107,BDD!$HN$5:$HU$38,6,FALSE)))))</f>
        <v/>
      </c>
      <c r="HS59" s="1085" t="str">
        <f>IF(parcelles!B107="","",IF(OR(parcelles!C107=Moutarde,parcelles!C107=Phacélie),0,IF(parcelles!C107=Luzerne,10*parcelles!E107*VLOOKUP(parcelles!C107,BDD!$HN$5:$HU$38,7,FALSE),IF(parcelles!C107=Miscanthus,10.5*parcelles!E107*VLOOKUP(parcelles!C107,BDD!$HN$5:$HU$38,7,FALSE),INDEX(parcelles!$C$56:'parcelles'!$Y$77,MATCH(parcelles!B107,parcelles!$B$56:'parcelles'!$B$77,0),MATCH(parcelles!C107,parcelles!$C$53:'parcelles'!$Y$53,0))*parcelles!E107*VLOOKUP(parcelles!C107,BDD!$HN$5:$HU$38,7,FALSE)))))</f>
        <v/>
      </c>
      <c r="HT59" s="1085" t="str">
        <f>IF(parcelles!B107="","",IF(OR(parcelles!C107=Moutarde,parcelles!C107=Phacélie),0,IF(parcelles!C107=Luzerne,10*parcelles!E107*VLOOKUP(parcelles!C107,BDD!$HN$5:$HU$38,8,FALSE),IF(parcelles!C107=Miscanthus,10.5*parcelles!E107*VLOOKUP(parcelles!C107,BDD!$HN$5:$HU$38,8,FALSE),INDEX(parcelles!$C$56:'parcelles'!$Y$77,MATCH(parcelles!B107,parcelles!$B$56:'parcelles'!$B$77,0),MATCH(parcelles!C107,parcelles!$C$53:'parcelles'!$Y$53,0))*parcelles!E107*VLOOKUP(parcelles!C107,BDD!$HN$5:$HU$38,8,FALSE)))))</f>
        <v/>
      </c>
      <c r="HU59" s="1085" t="str">
        <f>IF(parcelles!B107="","",IF(OR(parcelles!C107=Moutarde,parcelles!C107=Phacélie),0,1.6*parcelles!E107))</f>
        <v/>
      </c>
      <c r="HV59" s="1085" t="str">
        <f>IF(parcelles!B107="","",IF(OR(parcelles!C107=Moutarde,parcelles!C107=Phacélie),0,1.6*parcelles!E107))</f>
        <v/>
      </c>
      <c r="HW59" s="1085" t="str">
        <f>IF(parcelles!B107="","",IF(OR(parcelles!C107=Moutarde,parcelles!C107=Phacélie),0,1.6*parcelles!E107))</f>
        <v/>
      </c>
      <c r="HX59" s="1092" t="str">
        <f>IF(parcelles!D107="","",IF(parcelles!C107=ChanvreIndustriel,INDEX(parcelles!$C$56:$Y$77,MATCH(parcelles!B107,parcelles!$B$56:$B$77,0),MATCH(parcelles!C107,parcelles!$C$53:$Y$53,0))*parcelles!E107*SUMIF(ListeCulturesBDD,parcelles!C107,PrixVenteCulturesConventionnel)+RIGHT(BDD!$HM$7,3)*7*parcelles!E107,IF(parcelles!C107=Luzerne,parcelles!E107*10*VLOOKUP(parcelles!C107,TarifsCoopCultures,2,FALSE),IF(parcelles!C107=Miscanthus,parcelles!E107*10.5*VLOOKUP(Luzerne,TarifsCoopCultures,2,FALSE),INDEX(parcelles!$C$56:$Y$77,MATCH(parcelles!B107,parcelles!$B$56:$B$77,0),MATCH(parcelles!C107,parcelles!$C$53:$Y$53,0))*parcelles!E107*SUMIF(ListeCulturesBDD,parcelles!C107,PrixVenteCulturesConventionnel)))))</f>
        <v/>
      </c>
      <c r="HY59" s="1085" t="str">
        <f>IF(parcelles!D107="","",IF(parcelles!F107=0,"",IF(parcelles!C107=ChanvreIndustriel,"soit "&amp;parcelles!E107*0.8&amp;"t de grain et "&amp;parcelles!E107*7&amp;"t de paille",IF(parcelles!C107=Luzerne,"soit "&amp;10*parcelles!E107&amp;"t/an",IF(parcelles!C107=Miscanthus,"soit "&amp;10.5*parcelles!E107&amp;"t/an","soit "&amp;INDEX(parcelles!$C$56:$Y$77,MATCH(parcelles!B107,parcelles!$B$56:$B$77,0),MATCH(parcelles!C107,parcelles!$C$53:$Y$53,0))*parcelles!E107&amp;"t")))))</f>
        <v/>
      </c>
      <c r="HZ59" s="1085" t="str">
        <f>IF(parcelles!D107="","",IF(parcelles!F107=0,"",IF(parcelles!C107=ChanvreIndustriel,"soit "&amp;parcelles!E107*0.8*0.8&amp;"t de grain et "&amp;parcelles!E107*7*0.8&amp;"t de paille",IF(parcelles!C107=Luzerne,"soit "&amp;10*0.8*parcelles!E107&amp;"t/an",IF(parcelles!C107=Miscanthus,"soit "&amp;10.5*0.8*parcelles!E107&amp;"t/an","soit "&amp;INDEX(parcelles!$C$56:$Y$77,MATCH(parcelles!B107,parcelles!$B$56:$B$77,0),MATCH(parcelles!C107,parcelles!$C$53:$Y$53,0))*0.8*parcelles!E107&amp;"t")))))</f>
        <v/>
      </c>
      <c r="IA59" s="1085" t="str">
        <f>IF(parcelles!L107="","",(VLOOKUP(parcelles!M107,BDD!$HN$5:$HU$38,2,FALSE))*parcelles!O107)</f>
        <v/>
      </c>
      <c r="IB59" s="1085" t="str">
        <f>IF(parcelles!L107="","",IF(OR(parcelles!M107=Moutarde,parcelles!M107=Phacélie),0,IF(parcelles!M107=Luzerne,10*parcelles!O107*VLOOKUP(parcelles!M107,BDD!$HN$5:$HU$38,3,FALSE),IF(parcelles!M107=Miscanthus,10.5*parcelles!O107*VLOOKUP(parcelles!M107,BDD!$HN$5:$HU$38,3,FALSE),INDEX(parcelles!$C$56:'parcelles'!$Y$77,MATCH(parcelles!L107,parcelles!$B$56:'parcelles'!$B$77,0),MATCH(parcelles!M107,parcelles!$C$53:'parcelles'!$Y$53,0))*parcelles!O107*VLOOKUP(parcelles!M107,BDD!$HN$5:$HU$38,3,FALSE)))))</f>
        <v/>
      </c>
      <c r="IC59" s="1085" t="str">
        <f>IF(parcelles!L107="","",IF(OR(parcelles!M107=Moutarde,parcelles!M107=Phacélie),0,IF(parcelles!M107=Luzerne,10*parcelles!O107*VLOOKUP(parcelles!M107,BDD!$HN$5:$HU$38,4,FALSE),IF(parcelles!M107=Miscanthus,10.5*parcelles!O107*VLOOKUP(parcelles!M107,BDD!$HN$5:$HU$38,4,FALSE),INDEX(parcelles!$C$56:'parcelles'!$Y$77,MATCH(parcelles!L107,parcelles!$B$56:'parcelles'!$B$77,0),MATCH(parcelles!M107,parcelles!$C$53:'parcelles'!$Y$53,0))*parcelles!O107*VLOOKUP(parcelles!M107,BDD!$HN$5:$HU$38,4,FALSE)))))</f>
        <v/>
      </c>
      <c r="ID59" s="1085" t="str">
        <f>IF(parcelles!L107="","",IF(OR(parcelles!M107=Moutarde,parcelles!M107=Phacélie),0,IF(parcelles!M107=Luzerne,10*parcelles!O107*VLOOKUP(parcelles!M107,BDD!$HN$5:$HU$38,5,FALSE),IF(parcelles!M107=Miscanthus,10.5*parcelles!O107*VLOOKUP(parcelles!M107,BDD!$HN$5:$HU$38,5,FALSE),INDEX(parcelles!$C$56:'parcelles'!$Y$77,MATCH(parcelles!L107,parcelles!$B$56:'parcelles'!$B$77,0),MATCH(parcelles!M107,parcelles!$C$53:'parcelles'!$Y$53,0))*parcelles!O107*VLOOKUP(parcelles!M107,BDD!$HN$5:$HU$38,5,FALSE)))))</f>
        <v/>
      </c>
      <c r="IE59" s="1085" t="str">
        <f>IF(parcelles!L107="","",IF(OR(parcelles!M107=Moutarde,parcelles!M107=Phacélie),0,IF(parcelles!M107=Luzerne,10*parcelles!O107*VLOOKUP(parcelles!M107,BDD!$HN$5:$HU$38,6,FALSE),IF(parcelles!M107=Miscanthus,10.5*parcelles!O107*VLOOKUP(parcelles!M107,BDD!$HN$5:$HU$38,6,FALSE),INDEX(parcelles!$C$56:'parcelles'!$Y$77,MATCH(parcelles!L107,parcelles!$B$56:'parcelles'!$B$77,0),MATCH(parcelles!M107,parcelles!$C$53:'parcelles'!$Y$53,0))*parcelles!O107*VLOOKUP(parcelles!M107,BDD!$HN$5:$HU$38,6,FALSE)))))</f>
        <v/>
      </c>
      <c r="IF59" s="1085" t="str">
        <f>IF(parcelles!L107="","",IF(OR(parcelles!M107=Moutarde,parcelles!M107=Phacélie),0,IF(parcelles!M107=Luzerne,10*parcelles!O107*VLOOKUP(parcelles!M107,BDD!$HN$5:$HU$38,7,FALSE),IF(parcelles!M107=Miscanthus,10.5*parcelles!O107*VLOOKUP(parcelles!M107,BDD!$HN$5:$HU$38,7,FALSE),INDEX(parcelles!$C$56:'parcelles'!$Y$77,MATCH(parcelles!L107,parcelles!$B$56:'parcelles'!$B$77,0),MATCH(parcelles!M107,parcelles!$C$53:'parcelles'!$Y$53,0))*parcelles!O107*VLOOKUP(parcelles!M107,BDD!$HN$5:$HU$38,7,FALSE)))))</f>
        <v/>
      </c>
      <c r="IG59" s="1085" t="str">
        <f>IF(parcelles!L107="","",IF(OR(parcelles!M107=Moutarde,parcelles!M107=Phacélie),0,IF(parcelles!M107=Luzerne,10*parcelles!O107*VLOOKUP(parcelles!M107,BDD!$HN$5:$HU$38,8,FALSE),IF(parcelles!M107=Miscanthus,10.5*parcelles!O107*VLOOKUP(parcelles!M107,BDD!$HN$5:$HU$38,8,FALSE),INDEX(parcelles!$C$56:'parcelles'!$Y$77,MATCH(parcelles!L107,parcelles!$B$56:'parcelles'!$B$77,0),MATCH(parcelles!M107,parcelles!$C$53:'parcelles'!$Y$53,0))*parcelles!O107*VLOOKUP(parcelles!M107,BDD!$HN$5:$HU$38,8,FALSE)))))</f>
        <v/>
      </c>
      <c r="IH59" s="1085" t="str">
        <f>IF(parcelles!L107="","",IF(OR(parcelles!L107=Moutarde,parcelles!L107=Phacélie),0,1.6*parcelles!O107))</f>
        <v/>
      </c>
      <c r="II59" s="1085" t="str">
        <f>IF(parcelles!L107="","",IF(OR(parcelles!L107=Moutarde,parcelles!L107=Phacélie),0,1.6*parcelles!O107))</f>
        <v/>
      </c>
      <c r="IJ59" s="1085" t="str">
        <f>IF(parcelles!L107="","",IF(OR(parcelles!L107=Moutarde,parcelles!L107=Phacélie),0,1.6*parcelles!O107))</f>
        <v/>
      </c>
      <c r="IK59" s="1085" t="str">
        <f>IF(parcelles!P107="","",IF(parcelles!R107=0,"",IF(parcelles!O107=ChanvreIndustriel,"soit "&amp;parcelles!Q107*0.8&amp;"t de grain et "&amp;parcelles!Q107*7&amp;"t de paille",IF(parcelles!O107=Luzerne,"soit "&amp;10*parcelles!Q107&amp;"t/an",IF(parcelles!O107=Miscanthus,"soit "&amp;10.5*parcelles!Q107&amp;"t/an","soit "&amp;INDEX(parcelles!$C$56:$Y$77,MATCH(parcelles!N107,parcelles!$B$56:$B$77,0),MATCH(parcelles!O107,parcelles!$C$53:$Y$53,0))*parcelles!Q107&amp;"t")))))</f>
        <v/>
      </c>
      <c r="IL59" s="1085" t="str">
        <f>IF(parcelles!P107="","",IF(parcelles!R107=0,"",IF(parcelles!O107=ChanvreIndustriel,"soit "&amp;parcelles!Q107*0.8*0.8&amp;"t de grain et "&amp;parcelles!Q107*7*0.8&amp;"t de paille",IF(parcelles!O107=Luzerne,"soit "&amp;10*0.8*parcelles!Q107&amp;"t/an",IF(parcelles!O107=Miscanthus,"soit "&amp;10.5*0.8*parcelles!Q107&amp;"t/an","soit "&amp;INDEX(parcelles!$C$56:$Y$77,MATCH(parcelles!N107,parcelles!$B$56:$B$77,0),MATCH(parcelles!O107,parcelles!$C$53:$Y$53,0))*0.8*parcelles!Q107&amp;"t")))))</f>
        <v/>
      </c>
      <c r="IM59" s="1085" t="str">
        <f>IF(parcelles!S107="","",IF(parcelles!U107=0,"",IF(parcelles!R107=ChanvreIndustriel,parcelles!T107*0.8*0.8+parcelles!T107*7*0.8,IF(parcelles!R107=Luzerne,10*0.8*parcelles!T107,IF(parcelles!R107=Miscanthus,10.5*0.8*parcelles!T107,INDEX(parcelles!$C$56:$Y$77,MATCH(parcelles!Q107,parcelles!$B$56:$B$77,0),MATCH(parcelles!R107,parcelles!$C$53:$Y$53,0))*0.8*parcelles!T107)))))</f>
        <v/>
      </c>
      <c r="IN59" s="1368"/>
    </row>
    <row r="60" spans="1:248" ht="12.75" customHeight="1" x14ac:dyDescent="0.2">
      <c r="A60" s="1319"/>
      <c r="B60" s="1325"/>
      <c r="C60" s="1321"/>
      <c r="D60" s="1321"/>
      <c r="E60" s="1321"/>
      <c r="F60" s="1239"/>
      <c r="G60" s="1239" t="s">
        <v>860</v>
      </c>
      <c r="H60" s="1239"/>
      <c r="I60" s="1239"/>
      <c r="J60" s="1239"/>
      <c r="K60" s="1239"/>
      <c r="L60" s="1239"/>
      <c r="M60" s="1239"/>
      <c r="N60" s="1321"/>
      <c r="O60" s="1149" t="s">
        <v>188</v>
      </c>
      <c r="P60" s="1149">
        <v>6.6</v>
      </c>
      <c r="Q60" s="1149">
        <v>6.2</v>
      </c>
      <c r="R60" s="1149">
        <v>5.7</v>
      </c>
      <c r="S60" s="1149">
        <v>4.4000000000000004</v>
      </c>
      <c r="T60" s="1149">
        <v>4.2</v>
      </c>
      <c r="U60" s="1149">
        <v>5.3</v>
      </c>
      <c r="V60" s="1149"/>
      <c r="W60" s="1149">
        <v>8.6</v>
      </c>
      <c r="X60" s="1149">
        <v>11</v>
      </c>
      <c r="Y60" s="1149">
        <v>75</v>
      </c>
      <c r="Z60" s="1149">
        <v>3.3</v>
      </c>
      <c r="AA60" s="1149">
        <v>2.2999999999999998</v>
      </c>
      <c r="AB60" s="1149">
        <v>4.3</v>
      </c>
      <c r="AC60" s="1149">
        <v>2.9</v>
      </c>
      <c r="AD60" s="1149">
        <v>2.2999999999999998</v>
      </c>
      <c r="AE60" s="1149">
        <v>0</v>
      </c>
      <c r="AF60" s="1149">
        <v>26</v>
      </c>
      <c r="AG60" s="1149">
        <v>0</v>
      </c>
      <c r="AH60" s="1149">
        <v>0</v>
      </c>
      <c r="AI60" s="1149">
        <v>0</v>
      </c>
      <c r="AJ60" s="1149">
        <v>13</v>
      </c>
      <c r="AK60" s="1149">
        <v>1.6</v>
      </c>
      <c r="AL60" s="1149">
        <v>9.3000000000000007</v>
      </c>
      <c r="AM60" s="1149"/>
      <c r="AN60" s="1149">
        <v>3</v>
      </c>
      <c r="AO60" s="1149">
        <v>39</v>
      </c>
      <c r="AP60" s="1149">
        <v>0</v>
      </c>
      <c r="AQ60" s="1149">
        <v>0</v>
      </c>
      <c r="AR60" s="1149">
        <v>0</v>
      </c>
      <c r="AS60" s="1149">
        <v>0</v>
      </c>
      <c r="AT60" s="1149">
        <v>0</v>
      </c>
      <c r="AU60" s="1149">
        <v>0</v>
      </c>
      <c r="AV60" s="1149">
        <v>0</v>
      </c>
      <c r="AW60" s="1149">
        <v>8.5</v>
      </c>
      <c r="AX60" s="1149">
        <v>10</v>
      </c>
      <c r="AY60" s="1149">
        <v>10</v>
      </c>
      <c r="AZ60" s="1321"/>
      <c r="BA60" s="1321"/>
      <c r="BB60" s="1236" t="s">
        <v>724</v>
      </c>
      <c r="BC60" s="1190" t="s">
        <v>219</v>
      </c>
      <c r="BD60" s="1190" t="s">
        <v>1252</v>
      </c>
      <c r="BE60" s="1237">
        <v>72</v>
      </c>
      <c r="BF60" s="1237">
        <v>60</v>
      </c>
      <c r="BG60" s="1237">
        <v>48</v>
      </c>
      <c r="BH60" s="1237">
        <v>36</v>
      </c>
      <c r="BI60" s="1237">
        <v>24</v>
      </c>
      <c r="BJ60" s="1237">
        <v>12</v>
      </c>
      <c r="BK60" s="1238">
        <v>0</v>
      </c>
      <c r="BL60" s="1348"/>
      <c r="BM60" s="1076" t="s">
        <v>1272</v>
      </c>
      <c r="BN60" s="1076">
        <f t="array" ref="BN60">IF(Ration_hivernale_complète_bisons[somme]&gt;0,0,IFERROR(IF(OR(AND(INDEX(Règles_bison[Specificite],MATCH(ChoixRationBisons&amp;$BM60,Règles_bison[Ration]&amp;Règles_bison[Aliment],0))="s1",IF($BM60=ChoixSpécificité1Bisons,1)),
AND(INDEX(Règles_bison[Specificite],MATCH(ChoixRationBisons&amp;$BM60,Règles_bison[Ration]&amp;Règles_bison[Aliment],0))="s2",IF($BM60=ChoixSpécificité2Bisons,1)),INDEX(Règles_bison[Specificite],MATCH(ChoixRationBisons&amp;$BM60,Règles_bison[Ration]&amp;Règles_bison[Aliment],0))="c"),
INDEX(Règles_bison[Valeur 36 et plus],MATCH(ChoixRationBisons&amp;$BM60,Règles_bison[Ration]&amp;Règles_bison[Aliment],0)),0),0)*TotalBisonsMalesAdultes*SUM(NbreJoursNourrirBisonsDaims))</f>
        <v>0</v>
      </c>
      <c r="BO60" s="1076">
        <f t="array" ref="BO60">IF(Ration_hivernale_complète_bisons[somme]&gt;0,0,IFERROR(IF(OR(AND(INDEX(Règles_bison[Specificite],MATCH(ChoixRationBisons&amp;$BM60,Règles_bison[Ration]&amp;Règles_bison[Aliment],0))="s1",IF($BM60=ChoixSpécificité1Bisons,1)),
AND(INDEX(Règles_bison[Specificite],MATCH(ChoixRationBisons&amp;$BM60,Règles_bison[Ration]&amp;Règles_bison[Aliment],0))="s2",IF($BM60=ChoixSpécificité2Bisons,1)),INDEX(Règles_bison[Specificite],MATCH(ChoixRationBisons&amp;$BM60,Règles_bison[Ration]&amp;Règles_bison[Aliment],0))="c"),
INDEX(Règles_bison[Valeur 24-36],MATCH(ChoixRationBisons&amp;$BM60,Règles_bison[Ration]&amp;Règles_bison[Aliment],0)),0),0)*TotalBisonsMales_24_36_mois*SUM(NbreJoursNourrirBisonsDaims))</f>
        <v>0</v>
      </c>
      <c r="BP60" s="1076">
        <f t="array" ref="BP60">IF(Ration_hivernale_complète_bisons[somme]&gt;0,0,IFERROR(IF(OR(AND(INDEX(Règles_bison[Specificite],MATCH(ChoixRationBisons&amp;$BM60,Règles_bison[Ration]&amp;Règles_bison[Aliment],0))="s1",IF($BM60=ChoixSpécificité1Bisons,1)),
AND(INDEX(Règles_bison[Specificite],MATCH(ChoixRationBisons&amp;$BM60,Règles_bison[Ration]&amp;Règles_bison[Aliment],0))="s2",IF($BM60=ChoixSpécificité2Bisons,1)),INDEX(Règles_bison[Specificite],MATCH(ChoixRationBisons&amp;$BM60,Règles_bison[Ration]&amp;Règles_bison[Aliment],0))="c"),
INDEX(Règles_bison[Valeur 18-24],MATCH(ChoixRationBisons&amp;$BM60,Règles_bison[Ration]&amp;Règles_bison[Aliment],0)),0),0)*TotalBisonsMales_18_24_mois*SUM(NbreJoursNourrirBisonsDaims))</f>
        <v>0</v>
      </c>
      <c r="BQ60" s="1076">
        <f t="array" ref="BQ60">IF(Ration_hivernale_complète_bisons[somme]&gt;0,0,IFERROR(IF(OR(AND(INDEX(Règles_bison[Specificite],MATCH(ChoixRationBisons&amp;$BM60,Règles_bison[Ration]&amp;Règles_bison[Aliment],0))="s1",IF($BM60=ChoixSpécificité1Bisons,1)),
AND(INDEX(Règles_bison[Specificite],MATCH(ChoixRationBisons&amp;$BM60,Règles_bison[Ration]&amp;Règles_bison[Aliment],0))="s2",IF($BM60=ChoixSpécificité2Bisons,1)),INDEX(Règles_bison[Specificite],MATCH(ChoixRationBisons&amp;$BM60,Règles_bison[Ration]&amp;Règles_bison[Aliment],0))="c"),
INDEX(Règles_bison[Valeur 12-18],MATCH(ChoixRationBisons&amp;$BM60,Règles_bison[Ration]&amp;Règles_bison[Aliment],0)),0),0)*TotalBisonsMales_12_18_mois*SUM(NbreJoursNourrirBisonsDaims))</f>
        <v>0</v>
      </c>
      <c r="BR60" s="1076">
        <f t="array" ref="BR60">IF(Ration_hivernale_complète_bisons[somme]&gt;0,0,IFERROR(IF(OR(AND(INDEX(Règles_bison[Specificite],MATCH(ChoixRationBisons&amp;$BM60,Règles_bison[Ration]&amp;Règles_bison[Aliment],0))="s1",IF($BM60=ChoixSpécificité1Bisons,1)),
AND(INDEX(Règles_bison[Specificite],MATCH(ChoixRationBisons&amp;$BM60,Règles_bison[Ration]&amp;Règles_bison[Aliment],0))="s2",IF($BM60=ChoixSpécificité2Bisons,1)),INDEX(Règles_bison[Specificite],MATCH(ChoixRationBisons&amp;$BM60,Règles_bison[Ration]&amp;Règles_bison[Aliment],0))="c"),
INDEX(Règles_bison[Valeur 6-12],MATCH(ChoixRationBisons&amp;$BM60,Règles_bison[Ration]&amp;Règles_bison[Aliment],0)),0),0)*TotalBisonsMales_6_12_mois*SUM(NbreJoursNourrirBisonsDaims))</f>
        <v>0</v>
      </c>
      <c r="BS60" s="1076">
        <f t="array" ref="BS60">IF(Ration_hivernale_complète_bisons[somme]&gt;0,0,IFERROR(IF(OR(AND(INDEX(Règles_bison[Specificite],MATCH(ChoixRationBisons&amp;$BM60,Règles_bison[Ration]&amp;Règles_bison[Aliment],0))="s1",IF($BM60=ChoixSpécificité1Bisons,1)),
AND(INDEX(Règles_bison[Specificite],MATCH(ChoixRationBisons&amp;$BM60,Règles_bison[Ration]&amp;Règles_bison[Aliment],0))="s2",IF($BM60=ChoixSpécificité2Bisons,1)),INDEX(Règles_bison[Specificite],MATCH(ChoixRationBisons&amp;$BM60,Règles_bison[Ration]&amp;Règles_bison[Aliment],0))="c"),
INDEX(Règles_bison[Valeur 3-6],MATCH(ChoixRationBisons&amp;$BM60,Règles_bison[Ration]&amp;Règles_bison[Aliment],0)),0),0)*TotalBisonsMales_3_6_mois*SUM(NbreJoursNourrirBisonsDaims))</f>
        <v>0</v>
      </c>
      <c r="BT60" s="1076">
        <f t="array" ref="BT60">IF(Ration_hivernale_complète_bisons[somme]&gt;0,0,IFERROR(IF(OR(AND(INDEX(Règles_bison[Specificite],MATCH(ChoixRationBisons&amp;$BM60,Règles_bison[Ration]&amp;Règles_bison[Aliment],0))="s1",IF($BM60=ChoixSpécificité1Bisons,1)),
AND(INDEX(Règles_bison[Specificite],MATCH(ChoixRationBisons&amp;$BM60,Règles_bison[Ration]&amp;Règles_bison[Aliment],0))="s2",IF($BM60=ChoixSpécificité2Bisons,1)),INDEX(Règles_bison[Specificite],MATCH(ChoixRationBisons&amp;$BM60,Règles_bison[Ration]&amp;Règles_bison[Aliment],0))="c"),
INDEX(Règles_bison[Valeur 0-3],MATCH(ChoixRationBisons&amp;$BM60,Règles_bison[Ration]&amp;Règles_bison[Aliment],0)),0),0)*TotalBisonsMales_0_3_mois*SUM(NbreJoursNourrirBisonsDaims))</f>
        <v>0</v>
      </c>
      <c r="BU60" s="1076">
        <f t="shared" si="10"/>
        <v>0</v>
      </c>
      <c r="BV60" s="1345"/>
      <c r="BW60" s="1345"/>
      <c r="BX60" s="1176" t="s">
        <v>762</v>
      </c>
      <c r="BY60" s="1177" t="s">
        <v>672</v>
      </c>
      <c r="BZ60" s="1177" t="s">
        <v>1252</v>
      </c>
      <c r="CA60" s="1177">
        <v>1.6</v>
      </c>
      <c r="CB60" s="1177">
        <v>1.4</v>
      </c>
      <c r="CC60" s="1177">
        <v>1.2</v>
      </c>
      <c r="CD60" s="1199">
        <v>1</v>
      </c>
      <c r="CE60" s="1350"/>
      <c r="CF60" s="1350"/>
      <c r="CG60" s="1350"/>
      <c r="CH60" s="1350"/>
      <c r="CI60" s="1321"/>
      <c r="CJ60" s="808" t="s">
        <v>728</v>
      </c>
      <c r="CK60" s="788">
        <f t="array" ref="CK6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60" s="788">
        <f t="array" ref="CL6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60" s="788">
        <f t="array" ref="CM6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60" s="788">
        <f t="array" ref="CN6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60" s="788">
        <f t="array" ref="CO6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60" s="812">
        <f>SUM(AlimentsRationPorcinsMâles[[#This Row],[Valeur 12 et plus]:[Valeur 0-1]])</f>
        <v>0</v>
      </c>
      <c r="CQ60" s="1321"/>
      <c r="CR60" s="1321"/>
      <c r="CS60" s="808" t="s">
        <v>730</v>
      </c>
      <c r="CT60" s="817">
        <f t="array" ref="CT6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60" s="817">
        <f t="array" ref="CU6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60" s="817">
        <f t="array" ref="CV6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60" s="818">
        <f>SUM(AlimentsRationLapinsMâles[[#This Row],[Valeur 3 et plus]:[Valeur 0-1]])</f>
        <v>0</v>
      </c>
      <c r="CX60" s="1321"/>
      <c r="CY60" s="1321"/>
      <c r="CZ60" s="808" t="s">
        <v>730</v>
      </c>
      <c r="DA60" s="817">
        <f t="array" ref="DA6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60" s="817">
        <f t="array" ref="DB6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60" s="817">
        <f t="array" ref="DC6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60" s="818">
        <f>SUM(AlimentsRationVolaillesMâles[[#This Row],[Valeur 6 et plus]:[Valeur 0-1]])</f>
        <v>0</v>
      </c>
      <c r="DE60" s="1364"/>
      <c r="DF60" s="1321"/>
      <c r="DG60" s="808" t="s">
        <v>331</v>
      </c>
      <c r="DH60" s="817">
        <f t="array" ref="DH6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60" s="817">
        <f t="array" ref="DI6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60" s="817">
        <f t="array" ref="DJ6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60" s="818">
        <f>SUM(AlimentsRationPintadesMâles[[#This Row],[Valeur 9 et plus]:[Valeur 0-1]])</f>
        <v>0</v>
      </c>
      <c r="DL60" s="1364"/>
      <c r="DM60" s="1364"/>
      <c r="DN60" s="1149" t="s">
        <v>1051</v>
      </c>
      <c r="DO60" s="1149">
        <v>920</v>
      </c>
      <c r="DP60" s="1321"/>
      <c r="DQ60" s="1149" t="s">
        <v>1051</v>
      </c>
      <c r="DR60" s="1149">
        <v>1104</v>
      </c>
      <c r="DS60" s="1345"/>
      <c r="DT60" s="1346"/>
      <c r="DU60" s="1346"/>
      <c r="DV60" s="1076" t="s">
        <v>671</v>
      </c>
      <c r="DW60" s="1267">
        <f t="array" ref="DW60">IF(ChoixRationComplèteDaims=OUI,0,IFERROR(IF(OR(AND(INDEX(Règles_daims[Specificite],MATCH(ChoixRationDaims&amp;DV60,Règles_daims[Ration]&amp;Règles_daims[Aliment],0))="s1",IF(DV60=Spécificité1Daims,1)),
AND(INDEX(Règles_daims[Specificite],MATCH(ChoixRationDaims&amp;DV60,Règles_daims[Ration]&amp;Règles_daims[Aliment],0))="s2",IF(DV60=Spécificité2Daims,1)),
INDEX(Règles_daims[Specificite],MATCH(ChoixRationDaims&amp;DV60,Règles_daims[Ration]&amp;Règles_daims[Aliment],0))="c"),
INDEX(Règles_daims[Valeur 36 et plus],MATCH(ChoixRationDaims&amp;DV60,Règles_daims[Ration]&amp;Règles_daims[Aliment],0)),0),0)*SUM(TotalDaimsAdultes)*SUM(NbreJoursNourrirBisonsDaims))</f>
        <v>0</v>
      </c>
      <c r="DX60" s="1267">
        <f t="array" ref="DX60">IF(ChoixRationComplèteDaims=OUI,0,IFERROR(IF(OR(AND(INDEX(Règles_daims[Specificite],MATCH(ChoixRationDaims&amp;DV60,Règles_daims[Ration]&amp;Règles_daims[Aliment],0))="s1",IF(DV60=Spécificité1Daims,1)),
AND(INDEX(Règles_daims[Specificite],MATCH(ChoixRationDaims&amp;DV60,Règles_daims[Ration]&amp;Règles_daims[Aliment],0))="s2",IF(DV60=Spécificité2Daims,1)),
INDEX(Règles_daims[Specificite],MATCH(ChoixRationDaims&amp;DV60,Règles_daims[Ration]&amp;Règles_daims[Aliment],0))="c"),
INDEX(Règles_daims[Valeur 24-36],MATCH(ChoixRationDaims&amp;DV60,Règles_daims[Ration]&amp;Règles_daims[Aliment],0)),0),0)*SUM(TotalDaims24_36)*SUM(NbreJoursNourrirBisonsDaims))</f>
        <v>0</v>
      </c>
      <c r="DY60" s="1267">
        <f t="array" ref="DY60">IF(ChoixRationComplèteDaims=OUI,0,IFERROR(IF(OR(AND(INDEX(Règles_daims[Specificite],MATCH(ChoixRationDaims&amp;DV60,Règles_daims[Ration]&amp;Règles_daims[Aliment],0))="s1",IF(DV60=Spécificité1Daims,1)),
AND(INDEX(Règles_daims[Specificite],MATCH(ChoixRationDaims&amp;DV60,Règles_daims[Ration]&amp;Règles_daims[Aliment],0))="s2",IF(DV60=Spécificité2Daims,1)),
INDEX(Règles_daims[Specificite],MATCH(ChoixRationDaims&amp;DV60,Règles_daims[Ration]&amp;Règles_daims[Aliment],0))="c"),
INDEX(Règles_daims[Valeur 18-24],MATCH(ChoixRationDaims&amp;DV60,Règles_daims[Ration]&amp;Règles_daims[Aliment],0)),0),0)*SUM(TotalDaims18_24)*SUM(NbreJoursNourrirBisonsDaims))</f>
        <v>0</v>
      </c>
      <c r="DZ60" s="1279">
        <f t="array" ref="DZ60">IF(ChoixRationComplèteDaims=OUI,0,IFERROR(IF(OR(AND(INDEX(Règles_daims[Specificite],MATCH(ChoixRationDaims&amp;DV60,Règles_daims[Ration]&amp;Règles_daims[Aliment],0))="s1",IF(DV60=Spécificité1Daims,1)),
AND(INDEX(Règles_daims[Specificite],MATCH(ChoixRationDaims&amp;DV60,Règles_daims[Ration]&amp;Règles_daims[Aliment],0))="s2",IF(DV60=Spécificité2Daims,1)),
INDEX(Règles_daims[Specificite],MATCH(ChoixRationDaims&amp;DV60,Règles_daims[Ration]&amp;Règles_daims[Aliment],0))="c"),
INDEX(Règles_daims[Valeur 12-18],MATCH(ChoixRationDaims&amp;DV60,Règles_daims[Ration]&amp;Règles_daims[Aliment],0)),0),0)*SUM(TotalDaims12_18)*SUM(NbreJoursNourrirBisonsDaims))</f>
        <v>0</v>
      </c>
      <c r="EA60" s="1279">
        <f t="array" ref="EA60">IF(ChoixRationComplèteDaims=OUI,0,IFERROR(IF(OR(AND(INDEX(Règles_daims[Specificite],MATCH(ChoixRationDaims&amp;DV60,Règles_daims[Ration]&amp;Règles_daims[Aliment],0))="s1",IF(DV60=Spécificité1Daims,1)),
AND(INDEX(Règles_daims[Specificite],MATCH(ChoixRationDaims&amp;DV60,Règles_daims[Ration]&amp;Règles_daims[Aliment],0))="s2",IF(DV60=Spécificité2Daims,1)),
INDEX(Règles_daims[Specificite],MATCH(ChoixRationDaims&amp;DV60,Règles_daims[Ration]&amp;Règles_daims[Aliment],0))="c"),
INDEX(Règles_daims[Valeur 6-12],MATCH(ChoixRationDaims&amp;DV60,Règles_daims[Ration]&amp;Règles_daims[Aliment],0)),0),0)*SUM(TotalDaims6_12)*SUM(NbreJoursNourrirBisonsDaims))</f>
        <v>0</v>
      </c>
      <c r="EB60" s="1279">
        <f t="array" ref="EB60">IF(ChoixRationComplèteDaims=OUI,0,IFERROR(IF(OR(AND(INDEX(Règles_daims[Specificite],MATCH(ChoixRationDaims&amp;DV60,Règles_daims[Ration]&amp;Règles_daims[Aliment],0))="s1",IF(DV60=Spécificité1Daims,1)),
AND(INDEX(Règles_daims[Specificite],MATCH(ChoixRationDaims&amp;DV60,Règles_daims[Ration]&amp;Règles_daims[Aliment],0))="s2",IF(DV60=Spécificité2Daims,1)),
INDEX(Règles_daims[Specificite],MATCH(ChoixRationDaims&amp;DV60,Règles_daims[Ration]&amp;Règles_daims[Aliment],0))="c"),
INDEX(Règles_daims[Valeur 3-6],MATCH(ChoixRationDaims&amp;DV60,Règles_daims[Ration]&amp;Règles_daims[Aliment],0)),0),0)*SUM(TotalDaims3_6)*SUM(NbreJoursNourrirBisonsDaims))</f>
        <v>0</v>
      </c>
      <c r="EC60" s="1279">
        <f t="array" ref="EC60">IF(ChoixRationComplèteDaims=OUI,0,IFERROR(IF(OR(AND(INDEX(Règles_daims[Specificite],MATCH(ChoixRationDaims&amp;DV60,Règles_daims[Ration]&amp;Règles_daims[Aliment],0))="s1",IF(DV60=Spécificité1Daims,1)),
AND(INDEX(Règles_daims[Specificite],MATCH(ChoixRationDaims&amp;DV60,Règles_daims[Ration]&amp;Règles_daims[Aliment],0))="s2",IF(DV60=Spécificité2Daims,1)),
INDEX(Règles_daims[Specificite],MATCH(ChoixRationDaims&amp;DV60,Règles_daims[Ration]&amp;Règles_daims[Aliment],0))="c"),
INDEX(Règles_daims[Valeur 0-3],MATCH(ChoixRationDaims&amp;DV60,Règles_daims[Ration]&amp;Règles_daims[Aliment],0)),0),0)*SUM(TotalDaims0_3)*SUM(NbreJoursNourrirBisonsDaims))</f>
        <v>0</v>
      </c>
      <c r="ED60" s="1279">
        <f t="shared" si="9"/>
        <v>0</v>
      </c>
      <c r="EE60" s="1345"/>
      <c r="EF60" s="1321"/>
      <c r="EG60" s="808" t="s">
        <v>1718</v>
      </c>
      <c r="EH60" s="817">
        <f t="array" ref="EH6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60" s="817">
        <f t="array" ref="EI6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60" s="817">
        <f t="array" ref="EJ6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60" s="818">
        <f>SUM(AlimentsRationOiesMâles[[#This Row],[Valeur 6 et plus]:[Valeur 0-3]])</f>
        <v>0</v>
      </c>
      <c r="EL60" s="1364"/>
      <c r="EM60" s="1321"/>
      <c r="EN60" s="808" t="s">
        <v>1719</v>
      </c>
      <c r="EO60" s="817">
        <f t="array" ref="EO6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60" s="817">
        <f t="array" ref="EP6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60" s="817">
        <f t="array" ref="EQ6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60" s="818">
        <f>SUM(Ration_canards_Mâles[[#This Row],[Valeur 6 et plus]:[Valeur 0-3]])</f>
        <v>0</v>
      </c>
      <c r="ES60" s="1364"/>
      <c r="ET60" s="1321"/>
      <c r="EU60" s="1082" t="s">
        <v>673</v>
      </c>
      <c r="EV60" s="1282">
        <f t="array" ref="EV60">IF(OR(ChoixRationComplèteEtéChevauxSelle=OUI,ChoixRationComplèteEtéChevauxSelle="",AND(ChoixChevauxSellePréHiver=OUI,ChoixChevauxSellePréEté=OUI)),0,IFERROR(IF(OR(AND(INDEX(Règles_chevaux_selle[Specificite],MATCH(RationEtéChevauxSelle&amp;$EU60,Règles_chevaux_selle[Ration]&amp;Règles_chevaux_selle[Aliment],0))="s1",IF($EU60=Spécificité1ChevauxSelle,1)),
AND(INDEX(Règles_chevaux_selle[Specificite],MATCH(RationEtéChevauxSelle&amp;$EU60,Règles_chevaux_selle[Ration]&amp;Règles_chevaux_selle[Aliment],0))="s2",IF($EU60=Spécificité2ChevauxSelle,1)),
INDEX(Règles_chevaux_selle[Specificite],MATCH(RationEtéChevauxSelle&amp;$EU60,Règles_chevaux_selle[Ration]&amp;Règles_chevaux_selle[Aliment],0))="c"),
INDEX(Règles_chevaux_selle[Valeur 36 et plus],MATCH(RationEtéChevauxSelle&amp;$EU60,Règles_chevaux_selle[Ration]&amp;Règles_chevaux_selle[Aliment],0)),0),0)*TotalEtalonSelle*SUM(NbreJoursNourrirChevauxSelle))</f>
        <v>0</v>
      </c>
      <c r="EW60" s="1282">
        <f t="array" ref="EW60">IF(OR(ChoixRationComplèteEtéChevauxSelle=OUI,ChoixRationComplèteEtéChevauxSelle="",AND(ChoixChevauxSellePréHiver=OUI,ChoixChevauxSellePréEté=OUI)),0,IFERROR(IF(OR(AND(INDEX(Règles_chevaux_selle[Specificite],MATCH(RationEtéChevauxSelle&amp;$EU60,Règles_chevaux_selle[Ration]&amp;Règles_chevaux_selle[Aliment],0))="s1",IF($EU60=Spécificité1ChevauxSelle,1)),
AND(INDEX(Règles_chevaux_selle[Specificite],MATCH(RationEtéChevauxSelle&amp;$EU60,Règles_chevaux_selle[Ration]&amp;Règles_chevaux_selle[Aliment],0))="s2",IF($EU60=Spécificité2ChevauxSelle,1)),
INDEX(Règles_chevaux_selle[Specificite],MATCH(RationEtéChevauxSelle&amp;$EU60,Règles_chevaux_selle[Ration]&amp;Règles_chevaux_selle[Aliment],0))="c"),
INDEX(Règles_chevaux_selle[Valeur 24-36],MATCH(RationEtéChevauxSelle&amp;$EU60,Règles_chevaux_selle[Ration]&amp;Règles_chevaux_selle[Aliment],0)),0),0)*TotalJeuneEtalonSelle_24_36_mois*SUM(NbreJoursNourrirChevauxSelle))</f>
        <v>0</v>
      </c>
      <c r="EX60" s="1282">
        <f t="array" ref="EX60">IF(OR(ChoixRationComplèteEtéChevauxSelle=OUI,ChoixRationComplèteEtéChevauxSelle="",AND(ChoixChevauxSellePréHiver=OUI,ChoixChevauxSellePréEté=OUI)),0,IFERROR(IF(OR(AND(INDEX(Règles_chevaux_selle[Specificite],MATCH(RationEtéChevauxSelle&amp;$EU60,Règles_chevaux_selle[Ration]&amp;Règles_chevaux_selle[Aliment],0))="s1",IF($EU60=Spécificité1ChevauxSelle,1)),
AND(INDEX(Règles_chevaux_selle[Specificite],MATCH(RationEtéChevauxSelle&amp;$EU60,Règles_chevaux_selle[Ration]&amp;Règles_chevaux_selle[Aliment],0))="s2",IF($EU60=Spécificité2ChevauxSelle,1)),
INDEX(Règles_chevaux_selle[Specificite],MATCH(RationEtéChevauxSelle&amp;$EU60,Règles_chevaux_selle[Ration]&amp;Règles_chevaux_selle[Aliment],0))="c"),
INDEX(Règles_chevaux_selle[Valeur 12-24],MATCH(RationEtéChevauxSelle&amp;$EU60,Règles_chevaux_selle[Ration]&amp;Règles_chevaux_selle[Aliment],0)),0),0)*TotalJeuneEtalonSelle_12_24_mois*SUM(NbreJoursNourrirChevauxSelle))</f>
        <v>0</v>
      </c>
      <c r="EY60" s="1282">
        <f t="array" ref="EY60">IF(OR(ChoixRationComplèteEtéChevauxSelle=OUI,ChoixRationComplèteEtéChevauxSelle="",AND(ChoixChevauxSellePréHiver=OUI,ChoixChevauxSellePréEté=OUI)),0,IFERROR(IF(OR(AND(INDEX(Règles_chevaux_selle[Specificite],MATCH(RationEtéChevauxSelle&amp;$EU60,Règles_chevaux_selle[Ration]&amp;Règles_chevaux_selle[Aliment],0))="s1",IF($EU60=Spécificité1ChevauxSelle,1)),
AND(INDEX(Règles_chevaux_selle[Specificite],MATCH(RationEtéChevauxSelle&amp;$EU60,Règles_chevaux_selle[Ration]&amp;Règles_chevaux_selle[Aliment],0))="s2",IF($EU60=Spécificité2ChevauxSelle,1)),
INDEX(Règles_chevaux_selle[Specificite],MATCH(RationEtéChevauxSelle&amp;$EU60,Règles_chevaux_selle[Ration]&amp;Règles_chevaux_selle[Aliment],0))="c"),
INDEX(Règles_chevaux_selle[Valeur 0-12],MATCH(RationEtéChevauxSelle&amp;$EU60,Règles_chevaux_selle[Ration]&amp;Règles_chevaux_selle[Aliment],0)),0),0)*TotalPoulainSelle_0_12_mois*SUM(NbreJoursNourrirChevauxSelle))</f>
        <v>0</v>
      </c>
      <c r="EZ60" s="1285">
        <f t="shared" ref="EZ60:EZ98" si="16">SUM($EV60:$EY60)</f>
        <v>0</v>
      </c>
      <c r="FA60" s="1345"/>
      <c r="FB60" s="1345"/>
      <c r="FC60" s="1321"/>
      <c r="FD60" s="1082" t="s">
        <v>714</v>
      </c>
      <c r="FE60" s="1282">
        <f t="array" ref="FE60">IF(OR(ChoixRationComplèteEtéChevauxTrait=OUI,ChoixRationComplèteEtéChevauxTrait="",AND(ChoixChevauxTraitPréHiver=OUI,ChoixChevauxTraitPréEté=OUI)),0,IFERROR(IF(OR(AND(INDEX(Règles_chevaux_trait[Specificite],MATCH(RationEtéChevauxTrait&amp;$FD60,Règles_chevaux_trait[Ration]&amp;Règles_chevaux_trait[Aliment],0))="s1",IF($FD60=Spécificité1ChevauxTrait,1)),
AND(INDEX(Règles_chevaux_trait[Specificite],MATCH(RationEtéChevauxTrait&amp;$FD60,Règles_chevaux_trait[Ration]&amp;Règles_chevaux_trait[Aliment],0))="s2",IF($FD60=Spécificité2ChevauxTrait,1)),
INDEX(Règles_chevaux_trait[Specificite],MATCH(RationEtéChevauxTrait&amp;$FD60,Règles_chevaux_trait[Ration]&amp;Règles_chevaux_trait[Aliment],0))="c"),
INDEX(Règles_chevaux_trait[Valeur 36 et plus],MATCH(RationEtéChevauxTrait&amp;$FD60,Règles_chevaux_trait[Ration]&amp;Règles_chevaux_trait[Aliment],0)),0),0)*TotalEtalonTrait*SUM(NbreJoursNourrirChevauxTrait))</f>
        <v>0</v>
      </c>
      <c r="FF60" s="1282">
        <f t="array" ref="FF60">IF(OR(ChoixRationComplèteEtéChevauxTrait=OUI,ChoixRationComplèteEtéChevauxTrait="",AND(ChoixChevauxTraitPréHiver=OUI,ChoixChevauxTraitPréEté=OUI)),0,IFERROR(IF(OR(AND(INDEX(Règles_chevaux_trait[Specificite],MATCH(RationEtéChevauxTrait&amp;$FD60,Règles_chevaux_trait[Ration]&amp;Règles_chevaux_trait[Aliment],0))="s1",IF($FD60=Spécificité1ChevauxTrait,1)),
AND(INDEX(Règles_chevaux_trait[Specificite],MATCH(RationEtéChevauxTrait&amp;$FD60,Règles_chevaux_trait[Ration]&amp;Règles_chevaux_trait[Aliment],0))="s2",IF($FD60=Spécificité2ChevauxTrait,1)),
INDEX(Règles_chevaux_trait[Specificite],MATCH(RationEtéChevauxTrait&amp;$FD60,Règles_chevaux_trait[Ration]&amp;Règles_chevaux_trait[Aliment],0))="c"),
INDEX(Règles_chevaux_trait[Valeur 24-36],MATCH(RationEtéChevauxTrait&amp;$FD60,Règles_chevaux_trait[Ration]&amp;Règles_chevaux_trait[Aliment],0)),0),0)*TotalJeuneEtalonTrait_24_36_mois*SUM(NbreJoursNourrirChevauxTrait))</f>
        <v>0</v>
      </c>
      <c r="FG60" s="1282">
        <f t="array" ref="FG60">IF(OR(ChoixRationComplèteEtéChevauxTrait=OUI,ChoixRationComplèteEtéChevauxTrait="",AND(ChoixChevauxTraitPréHiver=OUI,ChoixChevauxTraitPréEté=OUI)),0,IFERROR(IF(OR(AND(INDEX(Règles_chevaux_trait[Specificite],MATCH(RationEtéChevauxTrait&amp;$FD60,Règles_chevaux_trait[Ration]&amp;Règles_chevaux_trait[Aliment],0))="s1",IF($FD60=Spécificité1ChevauxTrait,1)),
AND(INDEX(Règles_chevaux_trait[Specificite],MATCH(RationEtéChevauxTrait&amp;$FD60,Règles_chevaux_trait[Ration]&amp;Règles_chevaux_trait[Aliment],0))="s2",IF($FD60=Spécificité2ChevauxTrait,1)),
INDEX(Règles_chevaux_trait[Specificite],MATCH(RationEtéChevauxTrait&amp;$FD60,Règles_chevaux_trait[Ration]&amp;Règles_chevaux_trait[Aliment],0))="c"),
INDEX(Règles_chevaux_trait[Valeur 12-24],MATCH(RationEtéChevauxTrait&amp;$FD60,Règles_chevaux_trait[Ration]&amp;Règles_chevaux_trait[Aliment],0)),0),0)*TotalJeuneEtalonTrait_12_24_mois*SUM(NbreJoursNourrirChevauxTrait))</f>
        <v>0</v>
      </c>
      <c r="FH60" s="1285">
        <f t="array" ref="FH60">IF(OR(ChoixRationComplèteEtéChevauxTrait=OUI,ChoixRationComplèteEtéChevauxTrait="",AND(ChoixChevauxTraitPréHiver=OUI,ChoixChevauxTraitPréEté=OUI)),0,IFERROR(IF(OR(AND(INDEX(Règles_chevaux_trait[Specificite],MATCH(RationEtéChevauxTrait&amp;$FD60,Règles_chevaux_trait[Ration]&amp;Règles_chevaux_trait[Aliment],0))="s1",IF($FD60=Spécificité1ChevauxTrait,1)),
AND(INDEX(Règles_chevaux_trait[Specificite],MATCH(RationEtéChevauxTrait&amp;$FD60,Règles_chevaux_trait[Ration]&amp;Règles_chevaux_trait[Aliment],0))="s2",IF($FD60=Spécificité2ChevauxTrait,1)),
INDEX(Règles_chevaux_trait[Specificite],MATCH(RationEtéChevauxTrait&amp;$FD60,Règles_chevaux_trait[Ration]&amp;Règles_chevaux_trait[Aliment],0))="c"),
INDEX(Règles_chevaux_trait[Valeur 0-12],MATCH(RationEtéChevauxTrait&amp;$FD60,Règles_chevaux_trait[Ration]&amp;Règles_chevaux_trait[Aliment],0)),0),0)*TotalPoulainTrait_0_12_mois*SUM(NbreJoursNourrirChevauxTrait))</f>
        <v>0</v>
      </c>
      <c r="FI60" s="1285">
        <f t="shared" si="15"/>
        <v>0</v>
      </c>
      <c r="FJ60" s="1345"/>
      <c r="FK60" s="1345"/>
      <c r="FL60" s="1345"/>
      <c r="FM60" s="1321"/>
      <c r="FN60" s="1083" t="s">
        <v>1718</v>
      </c>
      <c r="FO60" s="1283">
        <f t="array" ref="FO60">IF(OR(ChoixRationComplèteEtéPoneys=OUI,ChoixRationComplèteEtéPoneys="",AND(ChoixPoneysPréHiver=OUI,ChoixPoneysPréEté=OUI)),0,IFERROR(IF(OR(AND(INDEX(Règles_poneys[Specificite],MATCH(RationEtéPoneys&amp;$FN60,Règles_poneys[Ration]&amp;Règles_poneys[Aliment],0))="s1",IF($FN60=Spécificité1Poneys,1)),
AND(INDEX(Règles_poneys[Specificite],MATCH(RationEtéPoneys&amp;$FN60,Règles_poneys[Ration]&amp;Règles_poneys[Aliment],0))="s2",IF($FN60=Spécificité2Poneys,1)),
INDEX(Règles_poneys[Specificite],MATCH(RationEtéPoneys&amp;$FN60,Règles_poneys[Ration]&amp;Règles_poneys[Aliment],0))="c"),
INDEX(Règles_poneys[Valeur 36 et plus],MATCH(RationEtéPoneys&amp;$FN60,Règles_poneys[Ration]&amp;Règles_poneys[Aliment],0)),0),0)*TotalEtalonPoney*SUM(NbreJoursNourrirPoneys))</f>
        <v>0</v>
      </c>
      <c r="FP60" s="1283">
        <f t="array" ref="FP60">IF(OR(ChoixRationComplèteEtéPoneys=OUI,ChoixRationComplèteEtéPoneys="",AND(ChoixPoneysPréHiver=OUI,ChoixPoneysPréEté=OUI)),0,IFERROR(IF(OR(AND(INDEX(Règles_poneys[Specificite],MATCH(RationEtéPoneys&amp;$FN60,Règles_poneys[Ration]&amp;Règles_poneys[Aliment],0))="s1",IF($FN60=Spécificité1Poneys,1)),
AND(INDEX(Règles_poneys[Specificite],MATCH(RationEtéPoneys&amp;$FN60,Règles_poneys[Ration]&amp;Règles_poneys[Aliment],0))="s2",IF($FN60=Spécificité2Poneys,1)),
INDEX(Règles_poneys[Specificite],MATCH(RationEtéPoneys&amp;$FN60,Règles_poneys[Ration]&amp;Règles_poneys[Aliment],0))="c"),
INDEX(Règles_poneys[Valeur 36 et plus],MATCH(RationEtéPoneys&amp;$FN60,Règles_poneys[Ration]&amp;Règles_poneys[Aliment],0)),0),0)*TotalJeuneEtalonPoney_24_36_mois*SUM(NbreJoursNourrirPoneys))</f>
        <v>0</v>
      </c>
      <c r="FQ60" s="1283">
        <f t="array" ref="FQ60">IF(OR(ChoixRationComplèteEtéPoneys=OUI,ChoixRationComplèteEtéPoneys="",AND(ChoixPoneysPréHiver=OUI,ChoixPoneysPréEté=OUI)),0,IFERROR(IF(OR(AND(INDEX(Règles_poneys[Specificite],MATCH(RationEtéPoneys&amp;$FN60,Règles_poneys[Ration]&amp;Règles_poneys[Aliment],0))="s1",IF($FN60=Spécificité1Poneys,1)),
AND(INDEX(Règles_poneys[Specificite],MATCH(RationEtéPoneys&amp;$FN60,Règles_poneys[Ration]&amp;Règles_poneys[Aliment],0))="s2",IF($FN60=Spécificité2Poneys,1)),
INDEX(Règles_poneys[Specificite],MATCH(RationEtéPoneys&amp;$FN60,Règles_poneys[Ration]&amp;Règles_poneys[Aliment],0))="c"),
INDEX(Règles_poneys[Valeur 36 et plus],MATCH(RationEtéPoneys&amp;$FN60,Règles_poneys[Ration]&amp;Règles_poneys[Aliment],0)),0),0)*TotalJeuneEtalonPoney_12_24_mois*SUM(NbreJoursNourrirPoneys))</f>
        <v>0</v>
      </c>
      <c r="FR60" s="1286">
        <f t="array" ref="FR60">IF(OR(ChoixRationComplèteEtéPoneys=OUI,ChoixRationComplèteEtéPoneys="",AND(ChoixPoneysPréHiver=OUI,ChoixPoneysPréEté=OUI)),0,IFERROR(IF(OR(AND(INDEX(Règles_poneys[Specificite],MATCH(RationEtéPoneys&amp;$FN60,Règles_poneys[Ration]&amp;Règles_poneys[Aliment],0))="s1",IF($FN60=Spécificité1Poneys,1)),
AND(INDEX(Règles_poneys[Specificite],MATCH(RationEtéPoneys&amp;$FN60,Règles_poneys[Ration]&amp;Règles_poneys[Aliment],0))="s2",IF($FN60=Spécificité2Poneys,1)),
INDEX(Règles_poneys[Specificite],MATCH(RationEtéPoneys&amp;$FN60,Règles_poneys[Ration]&amp;Règles_poneys[Aliment],0))="c"),
INDEX(Règles_poneys[Valeur 36 et plus],MATCH(RationEtéPoneys&amp;$FN60,Règles_poneys[Ration]&amp;Règles_poneys[Aliment],0)),0),0)*TotalPoulainPoney_0_12_mois*SUM(NbreJoursNourrirPoneys))</f>
        <v>0</v>
      </c>
      <c r="FS60" s="1286">
        <f t="shared" si="14"/>
        <v>0</v>
      </c>
      <c r="FT60" s="1345"/>
      <c r="FU60" s="1345"/>
      <c r="FV60" s="1345"/>
      <c r="FW60" s="823" t="s">
        <v>340</v>
      </c>
      <c r="FX60" s="828">
        <f t="array" ref="FX6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60" s="828">
        <f t="array" ref="FY6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60" s="828">
        <f t="array" ref="FZ6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60" s="828">
        <f t="array" ref="GA6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60" s="829">
        <f>SUM(AlimentsGavageOies[[#This Row],[Valeur 3 et plus]:[Valeur 0-1]])</f>
        <v>0</v>
      </c>
      <c r="GC60" s="1364"/>
      <c r="GD60" s="1321"/>
      <c r="GE60" s="1143" t="s">
        <v>10</v>
      </c>
      <c r="GF60" s="1321"/>
      <c r="GG60" s="1321" t="s">
        <v>1349</v>
      </c>
      <c r="GH60" s="1321" t="s">
        <v>1349</v>
      </c>
      <c r="GI60" s="1321" t="s">
        <v>1349</v>
      </c>
      <c r="GJ60" s="1321" t="s">
        <v>1349</v>
      </c>
      <c r="GK60" s="1321" t="s">
        <v>1349</v>
      </c>
      <c r="GL60" s="1321" t="s">
        <v>1349</v>
      </c>
      <c r="GM60" s="1321" t="s">
        <v>1349</v>
      </c>
      <c r="GN60" s="1321" t="s">
        <v>1349</v>
      </c>
      <c r="GO60" s="1321" t="s">
        <v>1349</v>
      </c>
      <c r="GP60" s="1321" t="s">
        <v>1349</v>
      </c>
      <c r="GQ60" s="1321" t="s">
        <v>1349</v>
      </c>
      <c r="GR60" s="1321" t="s">
        <v>1349</v>
      </c>
      <c r="GS60" s="1321" t="s">
        <v>1349</v>
      </c>
      <c r="GT60" s="1321" t="s">
        <v>1349</v>
      </c>
      <c r="GU60" s="1321" t="s">
        <v>1349</v>
      </c>
      <c r="GV60" s="1321" t="s">
        <v>1349</v>
      </c>
      <c r="GW60" s="1321"/>
      <c r="GX60" s="1321"/>
      <c r="GY60" s="1083" t="str">
        <f t="shared" si="11"/>
        <v>semences de féverole (P)</v>
      </c>
      <c r="GZ60" s="1083"/>
      <c r="HA60" s="1084"/>
      <c r="HB60" s="1084">
        <f>IF(COUNTIF(TypeArticleDansEntrepôt,GY60)=0,0,SUMIF(TypeArticleDansEntrepôt,GY60,QtéArticleDansEntrepôt)*VLOOKUP(GY60,place_necessaire_entrepots_aire_paille[],2,FALSE))</f>
        <v>0</v>
      </c>
      <c r="HC60" s="1321"/>
      <c r="HD60" s="1321"/>
      <c r="HE60" s="1321"/>
      <c r="HF60" s="1321"/>
      <c r="HG60" s="1321"/>
      <c r="HH60" s="1321"/>
      <c r="HI60" s="1321"/>
      <c r="HJ60" s="1321"/>
      <c r="HK60" s="1321"/>
      <c r="HL60" s="1321"/>
      <c r="HM60" s="1321"/>
      <c r="HN60" s="1084" t="str">
        <f>IF(parcelles!B108="","",(VLOOKUP(parcelles!C108,BDD!$HN$5:$HU$38,2,FALSE))*parcelles!E108)</f>
        <v/>
      </c>
      <c r="HO60" s="1084" t="str">
        <f>IF(parcelles!B108="","",IF(OR(parcelles!C108=Moutarde,parcelles!C108=Phacélie),0,IF(parcelles!C108=Luzerne,10*parcelles!E108*VLOOKUP(parcelles!C108,BDD!$HN$5:$HU$38,3,FALSE),IF(parcelles!C108=Miscanthus,10.5*parcelles!E108*VLOOKUP(parcelles!C108,BDD!$HN$5:$HU$38,3,FALSE),INDEX(parcelles!$C$56:'parcelles'!$Y$77,MATCH(parcelles!B108,parcelles!$B$56:'parcelles'!$B$77,0),MATCH(parcelles!C108,parcelles!$C$53:'parcelles'!$Y$53,0))*parcelles!E108*VLOOKUP(parcelles!C108,BDD!$HN$5:$HU$38,3,FALSE)))))</f>
        <v/>
      </c>
      <c r="HP60" s="1084" t="str">
        <f>IF(parcelles!B108="","",IF(OR(parcelles!C108=Moutarde,parcelles!C108=Phacélie),0,IF(parcelles!C108=Luzerne,10*parcelles!E108*VLOOKUP(parcelles!C108,BDD!$HN$5:$HU$38,4,FALSE),IF(parcelles!C108=Miscanthus,10.5*parcelles!E108*VLOOKUP(parcelles!C108,BDD!$HN$5:$HU$38,4,FALSE),INDEX(parcelles!$C$56:'parcelles'!$Y$77,MATCH(parcelles!B108,parcelles!$B$56:'parcelles'!$B$77,0),MATCH(parcelles!C108,parcelles!$C$53:'parcelles'!$Y$53,0))*parcelles!E108*VLOOKUP(parcelles!C108,BDD!$HN$5:$HU$38,4,FALSE)))))</f>
        <v/>
      </c>
      <c r="HQ60" s="1084" t="str">
        <f>IF(parcelles!B108="","",IF(OR(parcelles!C108=Moutarde,parcelles!C108=Phacélie),0,IF(parcelles!C108=Luzerne,10*parcelles!E108*VLOOKUP(parcelles!C108,BDD!$HN$5:$HU$38,5,FALSE),IF(parcelles!C108=Miscanthus,10.5*parcelles!E108*VLOOKUP(parcelles!C108,BDD!$HN$5:$HU$38,5,FALSE),INDEX(parcelles!$C$56:'parcelles'!$Y$77,MATCH(parcelles!B108,parcelles!$B$56:'parcelles'!$B$77,0),MATCH(parcelles!C108,parcelles!$C$53:'parcelles'!$Y$53,0))*parcelles!E108*VLOOKUP(parcelles!C108,BDD!$HN$5:$HU$38,5,FALSE)))))</f>
        <v/>
      </c>
      <c r="HR60" s="1084" t="str">
        <f>IF(parcelles!B108="","",IF(OR(parcelles!C108=Moutarde,parcelles!C108=Phacélie),0,IF(parcelles!C108=Luzerne,10*parcelles!E108*VLOOKUP(parcelles!C108,BDD!$HN$5:$HU$38,6,FALSE),IF(parcelles!C108=Miscanthus,10.5*parcelles!E108*VLOOKUP(parcelles!C108,BDD!$HN$5:$HU$38,6,FALSE),INDEX(parcelles!$C$56:'parcelles'!$Y$77,MATCH(parcelles!B108,parcelles!$B$56:'parcelles'!$B$77,0),MATCH(parcelles!C108,parcelles!$C$53:'parcelles'!$Y$53,0))*parcelles!E108*VLOOKUP(parcelles!C108,BDD!$HN$5:$HU$38,6,FALSE)))))</f>
        <v/>
      </c>
      <c r="HS60" s="1084" t="str">
        <f>IF(parcelles!B108="","",IF(OR(parcelles!C108=Moutarde,parcelles!C108=Phacélie),0,IF(parcelles!C108=Luzerne,10*parcelles!E108*VLOOKUP(parcelles!C108,BDD!$HN$5:$HU$38,7,FALSE),IF(parcelles!C108=Miscanthus,10.5*parcelles!E108*VLOOKUP(parcelles!C108,BDD!$HN$5:$HU$38,7,FALSE),INDEX(parcelles!$C$56:'parcelles'!$Y$77,MATCH(parcelles!B108,parcelles!$B$56:'parcelles'!$B$77,0),MATCH(parcelles!C108,parcelles!$C$53:'parcelles'!$Y$53,0))*parcelles!E108*VLOOKUP(parcelles!C108,BDD!$HN$5:$HU$38,7,FALSE)))))</f>
        <v/>
      </c>
      <c r="HT60" s="1084" t="str">
        <f>IF(parcelles!B108="","",IF(OR(parcelles!C108=Moutarde,parcelles!C108=Phacélie),0,IF(parcelles!C108=Luzerne,10*parcelles!E108*VLOOKUP(parcelles!C108,BDD!$HN$5:$HU$38,8,FALSE),IF(parcelles!C108=Miscanthus,10.5*parcelles!E108*VLOOKUP(parcelles!C108,BDD!$HN$5:$HU$38,8,FALSE),INDEX(parcelles!$C$56:'parcelles'!$Y$77,MATCH(parcelles!B108,parcelles!$B$56:'parcelles'!$B$77,0),MATCH(parcelles!C108,parcelles!$C$53:'parcelles'!$Y$53,0))*parcelles!E108*VLOOKUP(parcelles!C108,BDD!$HN$5:$HU$38,8,FALSE)))))</f>
        <v/>
      </c>
      <c r="HU60" s="1084" t="str">
        <f>IF(parcelles!B108="","",IF(OR(parcelles!C108=Moutarde,parcelles!C108=Phacélie),0,1.6*parcelles!E108))</f>
        <v/>
      </c>
      <c r="HV60" s="1084" t="str">
        <f>IF(parcelles!B108="","",IF(OR(parcelles!C108=Moutarde,parcelles!C108=Phacélie),0,1.6*parcelles!E108))</f>
        <v/>
      </c>
      <c r="HW60" s="1084" t="str">
        <f>IF(parcelles!B108="","",IF(OR(parcelles!C108=Moutarde,parcelles!C108=Phacélie),0,1.6*parcelles!E108))</f>
        <v/>
      </c>
      <c r="HX60" s="1095" t="str">
        <f>IF(parcelles!D108="","",IF(parcelles!C108=ChanvreIndustriel,INDEX(parcelles!$C$56:$Y$77,MATCH(parcelles!B108,parcelles!$B$56:$B$77,0),MATCH(parcelles!C108,parcelles!$C$53:$Y$53,0))*parcelles!E108*SUMIF(ListeCulturesBDD,parcelles!C108,PrixVenteCulturesConventionnel)+RIGHT(BDD!$HM$7,3)*7*parcelles!E108,IF(parcelles!C108=Luzerne,parcelles!E108*10*VLOOKUP(parcelles!C108,TarifsCoopCultures,2,FALSE),IF(parcelles!C108=Miscanthus,parcelles!E108*10.5*VLOOKUP(Luzerne,TarifsCoopCultures,2,FALSE),INDEX(parcelles!$C$56:$Y$77,MATCH(parcelles!B108,parcelles!$B$56:$B$77,0),MATCH(parcelles!C108,parcelles!$C$53:$Y$53,0))*parcelles!E108*SUMIF(ListeCulturesBDD,parcelles!C108,PrixVenteCulturesConventionnel)))))</f>
        <v/>
      </c>
      <c r="HY60" s="1084" t="str">
        <f>IF(parcelles!D108="","",IF(parcelles!F108=0,"",IF(parcelles!C108=ChanvreIndustriel,"soit "&amp;parcelles!E108*0.8&amp;"t de grain et "&amp;parcelles!E108*7&amp;"t de paille",IF(parcelles!C108=Luzerne,"soit "&amp;10*parcelles!E108&amp;"t/an",IF(parcelles!C108=Miscanthus,"soit "&amp;10.5*parcelles!E108&amp;"t/an","soit "&amp;INDEX(parcelles!$C$56:$Y$77,MATCH(parcelles!B108,parcelles!$B$56:$B$77,0),MATCH(parcelles!C108,parcelles!$C$53:$Y$53,0))*parcelles!E108&amp;"t")))))</f>
        <v/>
      </c>
      <c r="HZ60" s="1084" t="str">
        <f>IF(parcelles!D108="","",IF(parcelles!F108=0,"",IF(parcelles!C108=ChanvreIndustriel,"soit "&amp;parcelles!E108*0.8*0.8&amp;"t de grain et "&amp;parcelles!E108*7*0.8&amp;"t de paille",IF(parcelles!C108=Luzerne,"soit "&amp;10*0.8*parcelles!E108&amp;"t/an",IF(parcelles!C108=Miscanthus,"soit "&amp;10.5*0.8*parcelles!E108&amp;"t/an","soit "&amp;INDEX(parcelles!$C$56:$Y$77,MATCH(parcelles!B108,parcelles!$B$56:$B$77,0),MATCH(parcelles!C108,parcelles!$C$53:$Y$53,0))*0.8*parcelles!E108&amp;"t")))))</f>
        <v/>
      </c>
      <c r="IA60" s="1084" t="str">
        <f>IF(parcelles!L108="","",(VLOOKUP(parcelles!M108,BDD!$HN$5:$HU$38,2,FALSE))*parcelles!O108)</f>
        <v/>
      </c>
      <c r="IB60" s="1084" t="str">
        <f>IF(parcelles!L108="","",IF(OR(parcelles!M108=Moutarde,parcelles!M108=Phacélie),0,IF(parcelles!M108=Luzerne,10*parcelles!O108*VLOOKUP(parcelles!M108,BDD!$HN$5:$HU$38,3,FALSE),IF(parcelles!M108=Miscanthus,10.5*parcelles!O108*VLOOKUP(parcelles!M108,BDD!$HN$5:$HU$38,3,FALSE),INDEX(parcelles!$C$56:'parcelles'!$Y$77,MATCH(parcelles!L108,parcelles!$B$56:'parcelles'!$B$77,0),MATCH(parcelles!M108,parcelles!$C$53:'parcelles'!$Y$53,0))*parcelles!O108*VLOOKUP(parcelles!M108,BDD!$HN$5:$HU$38,3,FALSE)))))</f>
        <v/>
      </c>
      <c r="IC60" s="1084" t="str">
        <f>IF(parcelles!L108="","",IF(OR(parcelles!M108=Moutarde,parcelles!M108=Phacélie),0,IF(parcelles!M108=Luzerne,10*parcelles!O108*VLOOKUP(parcelles!M108,BDD!$HN$5:$HU$38,4,FALSE),IF(parcelles!M108=Miscanthus,10.5*parcelles!O108*VLOOKUP(parcelles!M108,BDD!$HN$5:$HU$38,4,FALSE),INDEX(parcelles!$C$56:'parcelles'!$Y$77,MATCH(parcelles!L108,parcelles!$B$56:'parcelles'!$B$77,0),MATCH(parcelles!M108,parcelles!$C$53:'parcelles'!$Y$53,0))*parcelles!O108*VLOOKUP(parcelles!M108,BDD!$HN$5:$HU$38,4,FALSE)))))</f>
        <v/>
      </c>
      <c r="ID60" s="1084" t="str">
        <f>IF(parcelles!L108="","",IF(OR(parcelles!M108=Moutarde,parcelles!M108=Phacélie),0,IF(parcelles!M108=Luzerne,10*parcelles!O108*VLOOKUP(parcelles!M108,BDD!$HN$5:$HU$38,5,FALSE),IF(parcelles!M108=Miscanthus,10.5*parcelles!O108*VLOOKUP(parcelles!M108,BDD!$HN$5:$HU$38,5,FALSE),INDEX(parcelles!$C$56:'parcelles'!$Y$77,MATCH(parcelles!L108,parcelles!$B$56:'parcelles'!$B$77,0),MATCH(parcelles!M108,parcelles!$C$53:'parcelles'!$Y$53,0))*parcelles!O108*VLOOKUP(parcelles!M108,BDD!$HN$5:$HU$38,5,FALSE)))))</f>
        <v/>
      </c>
      <c r="IE60" s="1084" t="str">
        <f>IF(parcelles!L108="","",IF(OR(parcelles!M108=Moutarde,parcelles!M108=Phacélie),0,IF(parcelles!M108=Luzerne,10*parcelles!O108*VLOOKUP(parcelles!M108,BDD!$HN$5:$HU$38,6,FALSE),IF(parcelles!M108=Miscanthus,10.5*parcelles!O108*VLOOKUP(parcelles!M108,BDD!$HN$5:$HU$38,6,FALSE),INDEX(parcelles!$C$56:'parcelles'!$Y$77,MATCH(parcelles!L108,parcelles!$B$56:'parcelles'!$B$77,0),MATCH(parcelles!M108,parcelles!$C$53:'parcelles'!$Y$53,0))*parcelles!O108*VLOOKUP(parcelles!M108,BDD!$HN$5:$HU$38,6,FALSE)))))</f>
        <v/>
      </c>
      <c r="IF60" s="1084" t="str">
        <f>IF(parcelles!L108="","",IF(OR(parcelles!M108=Moutarde,parcelles!M108=Phacélie),0,IF(parcelles!M108=Luzerne,10*parcelles!O108*VLOOKUP(parcelles!M108,BDD!$HN$5:$HU$38,7,FALSE),IF(parcelles!M108=Miscanthus,10.5*parcelles!O108*VLOOKUP(parcelles!M108,BDD!$HN$5:$HU$38,7,FALSE),INDEX(parcelles!$C$56:'parcelles'!$Y$77,MATCH(parcelles!L108,parcelles!$B$56:'parcelles'!$B$77,0),MATCH(parcelles!M108,parcelles!$C$53:'parcelles'!$Y$53,0))*parcelles!O108*VLOOKUP(parcelles!M108,BDD!$HN$5:$HU$38,7,FALSE)))))</f>
        <v/>
      </c>
      <c r="IG60" s="1084" t="str">
        <f>IF(parcelles!L108="","",IF(OR(parcelles!M108=Moutarde,parcelles!M108=Phacélie),0,IF(parcelles!M108=Luzerne,10*parcelles!O108*VLOOKUP(parcelles!M108,BDD!$HN$5:$HU$38,8,FALSE),IF(parcelles!M108=Miscanthus,10.5*parcelles!O108*VLOOKUP(parcelles!M108,BDD!$HN$5:$HU$38,8,FALSE),INDEX(parcelles!$C$56:'parcelles'!$Y$77,MATCH(parcelles!L108,parcelles!$B$56:'parcelles'!$B$77,0),MATCH(parcelles!M108,parcelles!$C$53:'parcelles'!$Y$53,0))*parcelles!O108*VLOOKUP(parcelles!M108,BDD!$HN$5:$HU$38,8,FALSE)))))</f>
        <v/>
      </c>
      <c r="IH60" s="1084" t="str">
        <f>IF(parcelles!L108="","",IF(OR(parcelles!L108=Moutarde,parcelles!L108=Phacélie),0,1.6*parcelles!O108))</f>
        <v/>
      </c>
      <c r="II60" s="1084" t="str">
        <f>IF(parcelles!L108="","",IF(OR(parcelles!L108=Moutarde,parcelles!L108=Phacélie),0,1.6*parcelles!O108))</f>
        <v/>
      </c>
      <c r="IJ60" s="1084" t="str">
        <f>IF(parcelles!L108="","",IF(OR(parcelles!L108=Moutarde,parcelles!L108=Phacélie),0,1.6*parcelles!O108))</f>
        <v/>
      </c>
      <c r="IK60" s="1084" t="str">
        <f>IF(parcelles!P108="","",IF(parcelles!R108=0,"",IF(parcelles!O108=ChanvreIndustriel,"soit "&amp;parcelles!Q108*0.8&amp;"t de grain et "&amp;parcelles!Q108*7&amp;"t de paille",IF(parcelles!O108=Luzerne,"soit "&amp;10*parcelles!Q108&amp;"t/an",IF(parcelles!O108=Miscanthus,"soit "&amp;10.5*parcelles!Q108&amp;"t/an","soit "&amp;INDEX(parcelles!$C$56:$Y$77,MATCH(parcelles!N108,parcelles!$B$56:$B$77,0),MATCH(parcelles!O108,parcelles!$C$53:$Y$53,0))*parcelles!Q108&amp;"t")))))</f>
        <v/>
      </c>
      <c r="IL60" s="1084" t="str">
        <f>IF(parcelles!P108="","",IF(parcelles!R108=0,"",IF(parcelles!O108=ChanvreIndustriel,"soit "&amp;parcelles!Q108*0.8*0.8&amp;"t de grain et "&amp;parcelles!Q108*7*0.8&amp;"t de paille",IF(parcelles!O108=Luzerne,"soit "&amp;10*0.8*parcelles!Q108&amp;"t/an",IF(parcelles!O108=Miscanthus,"soit "&amp;10.5*0.8*parcelles!Q108&amp;"t/an","soit "&amp;INDEX(parcelles!$C$56:$Y$77,MATCH(parcelles!N108,parcelles!$B$56:$B$77,0),MATCH(parcelles!O108,parcelles!$C$53:$Y$53,0))*0.8*parcelles!Q108&amp;"t")))))</f>
        <v/>
      </c>
      <c r="IM60" s="1084" t="str">
        <f>IF(parcelles!S108="","",IF(parcelles!U108=0,"",IF(parcelles!R108=ChanvreIndustriel,parcelles!T108*0.8*0.8+parcelles!T108*7*0.8,IF(parcelles!R108=Luzerne,10*0.8*parcelles!T108,IF(parcelles!R108=Miscanthus,10.5*0.8*parcelles!T108,INDEX(parcelles!$C$56:$Y$77,MATCH(parcelles!Q108,parcelles!$B$56:$B$77,0),MATCH(parcelles!R108,parcelles!$C$53:$Y$53,0))*0.8*parcelles!T108)))))</f>
        <v/>
      </c>
      <c r="IN60" s="1368"/>
    </row>
    <row r="61" spans="1:248" ht="12.75" customHeight="1" x14ac:dyDescent="0.2">
      <c r="A61" s="1313" t="s">
        <v>1347</v>
      </c>
      <c r="B61" s="1240" t="s">
        <v>1348</v>
      </c>
      <c r="C61" s="1321"/>
      <c r="D61" s="1321"/>
      <c r="E61" s="1321"/>
      <c r="F61" s="1143" t="s">
        <v>285</v>
      </c>
      <c r="G61" s="1143">
        <v>8</v>
      </c>
      <c r="H61" s="1143" t="s">
        <v>867</v>
      </c>
      <c r="I61" s="1143" t="s">
        <v>1217</v>
      </c>
      <c r="J61" s="1143" t="s">
        <v>868</v>
      </c>
      <c r="K61" s="1143">
        <v>0</v>
      </c>
      <c r="L61" s="1143" t="s">
        <v>1218</v>
      </c>
      <c r="M61" s="1143">
        <v>0</v>
      </c>
      <c r="N61" s="1321"/>
      <c r="O61" s="1143" t="s">
        <v>1150</v>
      </c>
      <c r="P61" s="1143">
        <v>4</v>
      </c>
      <c r="Q61" s="1143">
        <v>3.9</v>
      </c>
      <c r="R61" s="1143">
        <v>1.8</v>
      </c>
      <c r="S61" s="1143">
        <v>2.4</v>
      </c>
      <c r="T61" s="1143">
        <v>2.4</v>
      </c>
      <c r="U61" s="1143">
        <v>4</v>
      </c>
      <c r="V61" s="1143"/>
      <c r="W61" s="1143">
        <v>10.8</v>
      </c>
      <c r="X61" s="1143">
        <v>9.5</v>
      </c>
      <c r="Y61" s="1143">
        <v>0</v>
      </c>
      <c r="Z61" s="1143">
        <v>2.1</v>
      </c>
      <c r="AA61" s="1143">
        <v>1.9</v>
      </c>
      <c r="AB61" s="1143">
        <v>2.1</v>
      </c>
      <c r="AC61" s="1143">
        <v>2.6</v>
      </c>
      <c r="AD61" s="1143">
        <v>2.6</v>
      </c>
      <c r="AE61" s="1143">
        <v>0</v>
      </c>
      <c r="AF61" s="1143">
        <v>30</v>
      </c>
      <c r="AG61" s="1143">
        <v>0</v>
      </c>
      <c r="AH61" s="1143">
        <v>0</v>
      </c>
      <c r="AI61" s="1143">
        <v>21</v>
      </c>
      <c r="AJ61" s="1143">
        <v>12</v>
      </c>
      <c r="AK61" s="1143">
        <v>0</v>
      </c>
      <c r="AL61" s="1143">
        <v>11</v>
      </c>
      <c r="AM61" s="1143"/>
      <c r="AN61" s="1143">
        <v>0</v>
      </c>
      <c r="AO61" s="1143">
        <v>43</v>
      </c>
      <c r="AP61" s="1143">
        <v>29</v>
      </c>
      <c r="AQ61" s="1143">
        <v>27</v>
      </c>
      <c r="AR61" s="1143">
        <v>10</v>
      </c>
      <c r="AS61" s="1143">
        <v>16</v>
      </c>
      <c r="AT61" s="1143">
        <v>0</v>
      </c>
      <c r="AU61" s="1143">
        <v>3</v>
      </c>
      <c r="AV61" s="1143">
        <v>4</v>
      </c>
      <c r="AW61" s="1143">
        <v>8.5</v>
      </c>
      <c r="AX61" s="1143">
        <v>10</v>
      </c>
      <c r="AY61" s="1143">
        <v>10</v>
      </c>
      <c r="AZ61" s="1321"/>
      <c r="BA61" s="1321"/>
      <c r="BB61" s="1236" t="s">
        <v>724</v>
      </c>
      <c r="BC61" s="1190" t="s">
        <v>340</v>
      </c>
      <c r="BD61" s="1190" t="s">
        <v>1252</v>
      </c>
      <c r="BE61" s="1237">
        <v>84</v>
      </c>
      <c r="BF61" s="1237">
        <v>72</v>
      </c>
      <c r="BG61" s="1237">
        <v>48</v>
      </c>
      <c r="BH61" s="1237">
        <v>36</v>
      </c>
      <c r="BI61" s="1237">
        <v>24</v>
      </c>
      <c r="BJ61" s="1237">
        <v>12</v>
      </c>
      <c r="BK61" s="1238">
        <v>0</v>
      </c>
      <c r="BL61" s="1348"/>
      <c r="BM61" s="1075" t="s">
        <v>723</v>
      </c>
      <c r="BN61" s="1075">
        <f t="array" ref="BN61">IF(Ration_hivernale_complète_bisons[somme]&gt;0,0,IFERROR(IF(OR(AND(INDEX(Règles_bison[Specificite],MATCH(ChoixRationBisons&amp;$BM61,Règles_bison[Ration]&amp;Règles_bison[Aliment],0))="s1",IF($BM61=ChoixSpécificité1Bisons,1)),
AND(INDEX(Règles_bison[Specificite],MATCH(ChoixRationBisons&amp;$BM61,Règles_bison[Ration]&amp;Règles_bison[Aliment],0))="s2",IF($BM61=ChoixSpécificité2Bisons,1)),INDEX(Règles_bison[Specificite],MATCH(ChoixRationBisons&amp;$BM61,Règles_bison[Ration]&amp;Règles_bison[Aliment],0))="c"),
INDEX(Règles_bison[Valeur 36 et plus],MATCH(ChoixRationBisons&amp;$BM61,Règles_bison[Ration]&amp;Règles_bison[Aliment],0)),0),0)*TotalBisonsMalesAdultes*SUM(NbreJoursNourrirBisonsDaims))</f>
        <v>0</v>
      </c>
      <c r="BO61" s="1075">
        <f t="array" ref="BO61">IF(Ration_hivernale_complète_bisons[somme]&gt;0,0,IFERROR(IF(OR(AND(INDEX(Règles_bison[Specificite],MATCH(ChoixRationBisons&amp;$BM61,Règles_bison[Ration]&amp;Règles_bison[Aliment],0))="s1",IF($BM61=ChoixSpécificité1Bisons,1)),
AND(INDEX(Règles_bison[Specificite],MATCH(ChoixRationBisons&amp;$BM61,Règles_bison[Ration]&amp;Règles_bison[Aliment],0))="s2",IF($BM61=ChoixSpécificité2Bisons,1)),INDEX(Règles_bison[Specificite],MATCH(ChoixRationBisons&amp;$BM61,Règles_bison[Ration]&amp;Règles_bison[Aliment],0))="c"),
INDEX(Règles_bison[Valeur 24-36],MATCH(ChoixRationBisons&amp;$BM61,Règles_bison[Ration]&amp;Règles_bison[Aliment],0)),0),0)*TotalBisonsMales_24_36_mois*SUM(NbreJoursNourrirBisonsDaims))</f>
        <v>0</v>
      </c>
      <c r="BP61" s="1075">
        <f t="array" ref="BP61">IF(Ration_hivernale_complète_bisons[somme]&gt;0,0,IFERROR(IF(OR(AND(INDEX(Règles_bison[Specificite],MATCH(ChoixRationBisons&amp;$BM61,Règles_bison[Ration]&amp;Règles_bison[Aliment],0))="s1",IF($BM61=ChoixSpécificité1Bisons,1)),
AND(INDEX(Règles_bison[Specificite],MATCH(ChoixRationBisons&amp;$BM61,Règles_bison[Ration]&amp;Règles_bison[Aliment],0))="s2",IF($BM61=ChoixSpécificité2Bisons,1)),INDEX(Règles_bison[Specificite],MATCH(ChoixRationBisons&amp;$BM61,Règles_bison[Ration]&amp;Règles_bison[Aliment],0))="c"),
INDEX(Règles_bison[Valeur 18-24],MATCH(ChoixRationBisons&amp;$BM61,Règles_bison[Ration]&amp;Règles_bison[Aliment],0)),0),0)*TotalBisonsMales_18_24_mois*SUM(NbreJoursNourrirBisonsDaims))</f>
        <v>0</v>
      </c>
      <c r="BQ61" s="1075">
        <f t="array" ref="BQ61">IF(Ration_hivernale_complète_bisons[somme]&gt;0,0,IFERROR(IF(OR(AND(INDEX(Règles_bison[Specificite],MATCH(ChoixRationBisons&amp;$BM61,Règles_bison[Ration]&amp;Règles_bison[Aliment],0))="s1",IF($BM61=ChoixSpécificité1Bisons,1)),
AND(INDEX(Règles_bison[Specificite],MATCH(ChoixRationBisons&amp;$BM61,Règles_bison[Ration]&amp;Règles_bison[Aliment],0))="s2",IF($BM61=ChoixSpécificité2Bisons,1)),INDEX(Règles_bison[Specificite],MATCH(ChoixRationBisons&amp;$BM61,Règles_bison[Ration]&amp;Règles_bison[Aliment],0))="c"),
INDEX(Règles_bison[Valeur 12-18],MATCH(ChoixRationBisons&amp;$BM61,Règles_bison[Ration]&amp;Règles_bison[Aliment],0)),0),0)*TotalBisonsMales_12_18_mois*SUM(NbreJoursNourrirBisonsDaims))</f>
        <v>0</v>
      </c>
      <c r="BR61" s="1075">
        <f t="array" ref="BR61">IF(Ration_hivernale_complète_bisons[somme]&gt;0,0,IFERROR(IF(OR(AND(INDEX(Règles_bison[Specificite],MATCH(ChoixRationBisons&amp;$BM61,Règles_bison[Ration]&amp;Règles_bison[Aliment],0))="s1",IF($BM61=ChoixSpécificité1Bisons,1)),
AND(INDEX(Règles_bison[Specificite],MATCH(ChoixRationBisons&amp;$BM61,Règles_bison[Ration]&amp;Règles_bison[Aliment],0))="s2",IF($BM61=ChoixSpécificité2Bisons,1)),INDEX(Règles_bison[Specificite],MATCH(ChoixRationBisons&amp;$BM61,Règles_bison[Ration]&amp;Règles_bison[Aliment],0))="c"),
INDEX(Règles_bison[Valeur 6-12],MATCH(ChoixRationBisons&amp;$BM61,Règles_bison[Ration]&amp;Règles_bison[Aliment],0)),0),0)*TotalBisonsMales_6_12_mois*SUM(NbreJoursNourrirBisonsDaims))</f>
        <v>0</v>
      </c>
      <c r="BS61" s="1075">
        <f t="array" ref="BS61">IF(Ration_hivernale_complète_bisons[somme]&gt;0,0,IFERROR(IF(OR(AND(INDEX(Règles_bison[Specificite],MATCH(ChoixRationBisons&amp;$BM61,Règles_bison[Ration]&amp;Règles_bison[Aliment],0))="s1",IF($BM61=ChoixSpécificité1Bisons,1)),
AND(INDEX(Règles_bison[Specificite],MATCH(ChoixRationBisons&amp;$BM61,Règles_bison[Ration]&amp;Règles_bison[Aliment],0))="s2",IF($BM61=ChoixSpécificité2Bisons,1)),INDEX(Règles_bison[Specificite],MATCH(ChoixRationBisons&amp;$BM61,Règles_bison[Ration]&amp;Règles_bison[Aliment],0))="c"),
INDEX(Règles_bison[Valeur 3-6],MATCH(ChoixRationBisons&amp;$BM61,Règles_bison[Ration]&amp;Règles_bison[Aliment],0)),0),0)*TotalBisonsMales_3_6_mois*SUM(NbreJoursNourrirBisonsDaims))</f>
        <v>0</v>
      </c>
      <c r="BT61" s="1075">
        <f t="array" ref="BT61">IF(Ration_hivernale_complète_bisons[somme]&gt;0,0,IFERROR(IF(OR(AND(INDEX(Règles_bison[Specificite],MATCH(ChoixRationBisons&amp;$BM61,Règles_bison[Ration]&amp;Règles_bison[Aliment],0))="s1",IF($BM61=ChoixSpécificité1Bisons,1)),
AND(INDEX(Règles_bison[Specificite],MATCH(ChoixRationBisons&amp;$BM61,Règles_bison[Ration]&amp;Règles_bison[Aliment],0))="s2",IF($BM61=ChoixSpécificité2Bisons,1)),INDEX(Règles_bison[Specificite],MATCH(ChoixRationBisons&amp;$BM61,Règles_bison[Ration]&amp;Règles_bison[Aliment],0))="c"),
INDEX(Règles_bison[Valeur 0-3],MATCH(ChoixRationBisons&amp;$BM61,Règles_bison[Ration]&amp;Règles_bison[Aliment],0)),0),0)*TotalBisonsMales_0_3_mois*SUM(NbreJoursNourrirBisonsDaims))</f>
        <v>0</v>
      </c>
      <c r="BU61" s="1075">
        <f t="shared" si="10"/>
        <v>0</v>
      </c>
      <c r="BV61" s="1345"/>
      <c r="BW61" s="1345"/>
      <c r="BX61" s="1176" t="s">
        <v>762</v>
      </c>
      <c r="BY61" s="1177" t="s">
        <v>285</v>
      </c>
      <c r="BZ61" s="1177" t="s">
        <v>1253</v>
      </c>
      <c r="CA61" s="1177">
        <v>1.6</v>
      </c>
      <c r="CB61" s="1177">
        <v>1.4</v>
      </c>
      <c r="CC61" s="1177">
        <v>1.2</v>
      </c>
      <c r="CD61" s="1199">
        <v>1</v>
      </c>
      <c r="CE61" s="1350"/>
      <c r="CF61" s="1350"/>
      <c r="CG61" s="1350"/>
      <c r="CH61" s="1350"/>
      <c r="CI61" s="1321"/>
      <c r="CJ61" s="808" t="s">
        <v>733</v>
      </c>
      <c r="CK61" s="788">
        <f t="array" ref="CK61">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61" s="788">
        <f t="array" ref="CL61">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61" s="788">
        <f t="array" ref="CM61">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61" s="788">
        <f t="array" ref="CN61">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61" s="788">
        <f t="array" ref="CO61">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61" s="812">
        <f>SUM(AlimentsRationPorcinsMâles[[#This Row],[Valeur 12 et plus]:[Valeur 0-1]])</f>
        <v>0</v>
      </c>
      <c r="CQ61" s="1321"/>
      <c r="CR61" s="1321"/>
      <c r="CS61" s="808" t="s">
        <v>1270</v>
      </c>
      <c r="CT61" s="817">
        <f t="array" ref="CT6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61" s="817">
        <f t="array" ref="CU6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61" s="817">
        <f t="array" ref="CV6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61" s="818">
        <f>SUM(AlimentsRationLapinsMâles[[#This Row],[Valeur 3 et plus]:[Valeur 0-1]])</f>
        <v>0</v>
      </c>
      <c r="CX61" s="1321"/>
      <c r="CY61" s="1321"/>
      <c r="CZ61" s="808" t="s">
        <v>1270</v>
      </c>
      <c r="DA61" s="817">
        <f t="array" ref="DA6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61" s="817">
        <f t="array" ref="DB6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61" s="817">
        <f t="array" ref="DC6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61" s="818">
        <f>SUM(AlimentsRationVolaillesMâles[[#This Row],[Valeur 6 et plus]:[Valeur 0-1]])</f>
        <v>0</v>
      </c>
      <c r="DE61" s="1364"/>
      <c r="DF61" s="1321"/>
      <c r="DG61" s="808" t="s">
        <v>298</v>
      </c>
      <c r="DH61" s="817">
        <f t="array" ref="DH6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61" s="817">
        <f t="array" ref="DI6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61" s="817">
        <f t="array" ref="DJ6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61" s="818">
        <f>SUM(AlimentsRationPintadesMâles[[#This Row],[Valeur 9 et plus]:[Valeur 0-1]])</f>
        <v>0</v>
      </c>
      <c r="DL61" s="1364"/>
      <c r="DM61" s="1364"/>
      <c r="DN61" s="1143" t="s">
        <v>1052</v>
      </c>
      <c r="DO61" s="1143">
        <v>930</v>
      </c>
      <c r="DP61" s="1321"/>
      <c r="DQ61" s="1143" t="s">
        <v>1052</v>
      </c>
      <c r="DR61" s="1143">
        <v>1116</v>
      </c>
      <c r="DS61" s="1345"/>
      <c r="DT61" s="1346"/>
      <c r="DU61" s="1346"/>
      <c r="DV61" s="1075" t="s">
        <v>296</v>
      </c>
      <c r="DW61" s="1269">
        <f t="array" ref="DW61">IF(ChoixRationComplèteDaims=OUI,0,IFERROR(IF(OR(AND(INDEX(Règles_daims[Specificite],MATCH(ChoixRationDaims&amp;DV61,Règles_daims[Ration]&amp;Règles_daims[Aliment],0))="s1",IF(DV61=Spécificité1Daims,1)),
AND(INDEX(Règles_daims[Specificite],MATCH(ChoixRationDaims&amp;DV61,Règles_daims[Ration]&amp;Règles_daims[Aliment],0))="s2",IF(DV61=Spécificité2Daims,1)),
INDEX(Règles_daims[Specificite],MATCH(ChoixRationDaims&amp;DV61,Règles_daims[Ration]&amp;Règles_daims[Aliment],0))="c"),
INDEX(Règles_daims[Valeur 36 et plus],MATCH(ChoixRationDaims&amp;DV61,Règles_daims[Ration]&amp;Règles_daims[Aliment],0)),0),0)*SUM(TotalDaimsAdultes)*SUM(NbreJoursNourrirBisonsDaims))</f>
        <v>0</v>
      </c>
      <c r="DX61" s="1269">
        <f t="array" ref="DX61">IF(ChoixRationComplèteDaims=OUI,0,IFERROR(IF(OR(AND(INDEX(Règles_daims[Specificite],MATCH(ChoixRationDaims&amp;DV61,Règles_daims[Ration]&amp;Règles_daims[Aliment],0))="s1",IF(DV61=Spécificité1Daims,1)),
AND(INDEX(Règles_daims[Specificite],MATCH(ChoixRationDaims&amp;DV61,Règles_daims[Ration]&amp;Règles_daims[Aliment],0))="s2",IF(DV61=Spécificité2Daims,1)),
INDEX(Règles_daims[Specificite],MATCH(ChoixRationDaims&amp;DV61,Règles_daims[Ration]&amp;Règles_daims[Aliment],0))="c"),
INDEX(Règles_daims[Valeur 24-36],MATCH(ChoixRationDaims&amp;DV61,Règles_daims[Ration]&amp;Règles_daims[Aliment],0)),0),0)*SUM(TotalDaims24_36)*SUM(NbreJoursNourrirBisonsDaims))</f>
        <v>0</v>
      </c>
      <c r="DY61" s="1269">
        <f t="array" ref="DY61">IF(ChoixRationComplèteDaims=OUI,0,IFERROR(IF(OR(AND(INDEX(Règles_daims[Specificite],MATCH(ChoixRationDaims&amp;DV61,Règles_daims[Ration]&amp;Règles_daims[Aliment],0))="s1",IF(DV61=Spécificité1Daims,1)),
AND(INDEX(Règles_daims[Specificite],MATCH(ChoixRationDaims&amp;DV61,Règles_daims[Ration]&amp;Règles_daims[Aliment],0))="s2",IF(DV61=Spécificité2Daims,1)),
INDEX(Règles_daims[Specificite],MATCH(ChoixRationDaims&amp;DV61,Règles_daims[Ration]&amp;Règles_daims[Aliment],0))="c"),
INDEX(Règles_daims[Valeur 18-24],MATCH(ChoixRationDaims&amp;DV61,Règles_daims[Ration]&amp;Règles_daims[Aliment],0)),0),0)*SUM(TotalDaims18_24)*SUM(NbreJoursNourrirBisonsDaims))</f>
        <v>0</v>
      </c>
      <c r="DZ61" s="1280">
        <f t="array" ref="DZ61">IF(ChoixRationComplèteDaims=OUI,0,IFERROR(IF(OR(AND(INDEX(Règles_daims[Specificite],MATCH(ChoixRationDaims&amp;DV61,Règles_daims[Ration]&amp;Règles_daims[Aliment],0))="s1",IF(DV61=Spécificité1Daims,1)),
AND(INDEX(Règles_daims[Specificite],MATCH(ChoixRationDaims&amp;DV61,Règles_daims[Ration]&amp;Règles_daims[Aliment],0))="s2",IF(DV61=Spécificité2Daims,1)),
INDEX(Règles_daims[Specificite],MATCH(ChoixRationDaims&amp;DV61,Règles_daims[Ration]&amp;Règles_daims[Aliment],0))="c"),
INDEX(Règles_daims[Valeur 12-18],MATCH(ChoixRationDaims&amp;DV61,Règles_daims[Ration]&amp;Règles_daims[Aliment],0)),0),0)*SUM(TotalDaims12_18)*SUM(NbreJoursNourrirBisonsDaims))</f>
        <v>0</v>
      </c>
      <c r="EA61" s="1280">
        <f t="array" ref="EA61">IF(ChoixRationComplèteDaims=OUI,0,IFERROR(IF(OR(AND(INDEX(Règles_daims[Specificite],MATCH(ChoixRationDaims&amp;DV61,Règles_daims[Ration]&amp;Règles_daims[Aliment],0))="s1",IF(DV61=Spécificité1Daims,1)),
AND(INDEX(Règles_daims[Specificite],MATCH(ChoixRationDaims&amp;DV61,Règles_daims[Ration]&amp;Règles_daims[Aliment],0))="s2",IF(DV61=Spécificité2Daims,1)),
INDEX(Règles_daims[Specificite],MATCH(ChoixRationDaims&amp;DV61,Règles_daims[Ration]&amp;Règles_daims[Aliment],0))="c"),
INDEX(Règles_daims[Valeur 6-12],MATCH(ChoixRationDaims&amp;DV61,Règles_daims[Ration]&amp;Règles_daims[Aliment],0)),0),0)*SUM(TotalDaims6_12)*SUM(NbreJoursNourrirBisonsDaims))</f>
        <v>0</v>
      </c>
      <c r="EB61" s="1280">
        <f t="array" ref="EB61">IF(ChoixRationComplèteDaims=OUI,0,IFERROR(IF(OR(AND(INDEX(Règles_daims[Specificite],MATCH(ChoixRationDaims&amp;DV61,Règles_daims[Ration]&amp;Règles_daims[Aliment],0))="s1",IF(DV61=Spécificité1Daims,1)),
AND(INDEX(Règles_daims[Specificite],MATCH(ChoixRationDaims&amp;DV61,Règles_daims[Ration]&amp;Règles_daims[Aliment],0))="s2",IF(DV61=Spécificité2Daims,1)),
INDEX(Règles_daims[Specificite],MATCH(ChoixRationDaims&amp;DV61,Règles_daims[Ration]&amp;Règles_daims[Aliment],0))="c"),
INDEX(Règles_daims[Valeur 3-6],MATCH(ChoixRationDaims&amp;DV61,Règles_daims[Ration]&amp;Règles_daims[Aliment],0)),0),0)*SUM(TotalDaims3_6)*SUM(NbreJoursNourrirBisonsDaims))</f>
        <v>0</v>
      </c>
      <c r="EC61" s="1280">
        <f t="array" ref="EC61">IF(ChoixRationComplèteDaims=OUI,0,IFERROR(IF(OR(AND(INDEX(Règles_daims[Specificite],MATCH(ChoixRationDaims&amp;DV61,Règles_daims[Ration]&amp;Règles_daims[Aliment],0))="s1",IF(DV61=Spécificité1Daims,1)),
AND(INDEX(Règles_daims[Specificite],MATCH(ChoixRationDaims&amp;DV61,Règles_daims[Ration]&amp;Règles_daims[Aliment],0))="s2",IF(DV61=Spécificité2Daims,1)),
INDEX(Règles_daims[Specificite],MATCH(ChoixRationDaims&amp;DV61,Règles_daims[Ration]&amp;Règles_daims[Aliment],0))="c"),
INDEX(Règles_daims[Valeur 0-3],MATCH(ChoixRationDaims&amp;DV61,Règles_daims[Ration]&amp;Règles_daims[Aliment],0)),0),0)*SUM(TotalDaims0_3)*SUM(NbreJoursNourrirBisonsDaims))</f>
        <v>0</v>
      </c>
      <c r="ED61" s="1280">
        <f t="shared" si="9"/>
        <v>0</v>
      </c>
      <c r="EE61" s="1345"/>
      <c r="EF61" s="1321"/>
      <c r="EG61" s="808" t="s">
        <v>1719</v>
      </c>
      <c r="EH61" s="817">
        <f t="array" ref="EH6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61" s="817">
        <f t="array" ref="EI6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61" s="817">
        <f t="array" ref="EJ6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61" s="818">
        <f>SUM(AlimentsRationOiesMâles[[#This Row],[Valeur 6 et plus]:[Valeur 0-3]])</f>
        <v>0</v>
      </c>
      <c r="EL61" s="1364"/>
      <c r="EM61" s="1321"/>
      <c r="EN61" s="808" t="s">
        <v>1717</v>
      </c>
      <c r="EO61" s="817">
        <f t="array" ref="EO61">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61" s="817">
        <f t="array" ref="EP61">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61" s="817">
        <f t="array" ref="EQ61">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61" s="818">
        <f>SUM(Ration_canards_Mâles[[#This Row],[Valeur 6 et plus]:[Valeur 0-3]])</f>
        <v>0</v>
      </c>
      <c r="ES61" s="1364"/>
      <c r="ET61" s="1321"/>
      <c r="EU61" s="1083" t="s">
        <v>523</v>
      </c>
      <c r="EV61" s="1283">
        <f t="array" ref="EV61">IF(OR(ChoixRationComplèteEtéChevauxSelle=OUI,ChoixRationComplèteEtéChevauxSelle="",AND(ChoixChevauxSellePréHiver=OUI,ChoixChevauxSellePréEté=OUI)),0,IFERROR(IF(OR(AND(INDEX(Règles_chevaux_selle[Specificite],MATCH(RationEtéChevauxSelle&amp;$EU61,Règles_chevaux_selle[Ration]&amp;Règles_chevaux_selle[Aliment],0))="s1",IF($EU61=Spécificité1ChevauxSelle,1)),
AND(INDEX(Règles_chevaux_selle[Specificite],MATCH(RationEtéChevauxSelle&amp;$EU61,Règles_chevaux_selle[Ration]&amp;Règles_chevaux_selle[Aliment],0))="s2",IF($EU61=Spécificité2ChevauxSelle,1)),
INDEX(Règles_chevaux_selle[Specificite],MATCH(RationEtéChevauxSelle&amp;$EU61,Règles_chevaux_selle[Ration]&amp;Règles_chevaux_selle[Aliment],0))="c"),
INDEX(Règles_chevaux_selle[Valeur 36 et plus],MATCH(RationEtéChevauxSelle&amp;$EU61,Règles_chevaux_selle[Ration]&amp;Règles_chevaux_selle[Aliment],0)),0),0)*TotalEtalonSelle*SUM(NbreJoursNourrirChevauxSelle))</f>
        <v>0</v>
      </c>
      <c r="EW61" s="1283">
        <f t="array" ref="EW61">IF(OR(ChoixRationComplèteEtéChevauxSelle=OUI,ChoixRationComplèteEtéChevauxSelle="",AND(ChoixChevauxSellePréHiver=OUI,ChoixChevauxSellePréEté=OUI)),0,IFERROR(IF(OR(AND(INDEX(Règles_chevaux_selle[Specificite],MATCH(RationEtéChevauxSelle&amp;$EU61,Règles_chevaux_selle[Ration]&amp;Règles_chevaux_selle[Aliment],0))="s1",IF($EU61=Spécificité1ChevauxSelle,1)),
AND(INDEX(Règles_chevaux_selle[Specificite],MATCH(RationEtéChevauxSelle&amp;$EU61,Règles_chevaux_selle[Ration]&amp;Règles_chevaux_selle[Aliment],0))="s2",IF($EU61=Spécificité2ChevauxSelle,1)),
INDEX(Règles_chevaux_selle[Specificite],MATCH(RationEtéChevauxSelle&amp;$EU61,Règles_chevaux_selle[Ration]&amp;Règles_chevaux_selle[Aliment],0))="c"),
INDEX(Règles_chevaux_selle[Valeur 24-36],MATCH(RationEtéChevauxSelle&amp;$EU61,Règles_chevaux_selle[Ration]&amp;Règles_chevaux_selle[Aliment],0)),0),0)*TotalJeuneEtalonSelle_24_36_mois*SUM(NbreJoursNourrirChevauxSelle))</f>
        <v>0</v>
      </c>
      <c r="EX61" s="1283">
        <f t="array" ref="EX61">IF(OR(ChoixRationComplèteEtéChevauxSelle=OUI,ChoixRationComplèteEtéChevauxSelle="",AND(ChoixChevauxSellePréHiver=OUI,ChoixChevauxSellePréEté=OUI)),0,IFERROR(IF(OR(AND(INDEX(Règles_chevaux_selle[Specificite],MATCH(RationEtéChevauxSelle&amp;$EU61,Règles_chevaux_selle[Ration]&amp;Règles_chevaux_selle[Aliment],0))="s1",IF($EU61=Spécificité1ChevauxSelle,1)),
AND(INDEX(Règles_chevaux_selle[Specificite],MATCH(RationEtéChevauxSelle&amp;$EU61,Règles_chevaux_selle[Ration]&amp;Règles_chevaux_selle[Aliment],0))="s2",IF($EU61=Spécificité2ChevauxSelle,1)),
INDEX(Règles_chevaux_selle[Specificite],MATCH(RationEtéChevauxSelle&amp;$EU61,Règles_chevaux_selle[Ration]&amp;Règles_chevaux_selle[Aliment],0))="c"),
INDEX(Règles_chevaux_selle[Valeur 12-24],MATCH(RationEtéChevauxSelle&amp;$EU61,Règles_chevaux_selle[Ration]&amp;Règles_chevaux_selle[Aliment],0)),0),0)*TotalJeuneEtalonSelle_12_24_mois*SUM(NbreJoursNourrirChevauxSelle))</f>
        <v>0</v>
      </c>
      <c r="EY61" s="1286">
        <f t="array" ref="EY61">IF(OR(ChoixRationComplèteEtéChevauxSelle=OUI,ChoixRationComplèteEtéChevauxSelle="",AND(ChoixChevauxSellePréHiver=OUI,ChoixChevauxSellePréEté=OUI)),0,IFERROR(IF(OR(AND(INDEX(Règles_chevaux_selle[Specificite],MATCH(RationEtéChevauxSelle&amp;$EU61,Règles_chevaux_selle[Ration]&amp;Règles_chevaux_selle[Aliment],0))="s1",IF($EU61=Spécificité1ChevauxSelle,1)),
AND(INDEX(Règles_chevaux_selle[Specificite],MATCH(RationEtéChevauxSelle&amp;$EU61,Règles_chevaux_selle[Ration]&amp;Règles_chevaux_selle[Aliment],0))="s2",IF($EU61=Spécificité2ChevauxSelle,1)),
INDEX(Règles_chevaux_selle[Specificite],MATCH(RationEtéChevauxSelle&amp;$EU61,Règles_chevaux_selle[Ration]&amp;Règles_chevaux_selle[Aliment],0))="c"),
INDEX(Règles_chevaux_selle[Valeur 0-12],MATCH(RationEtéChevauxSelle&amp;$EU61,Règles_chevaux_selle[Ration]&amp;Règles_chevaux_selle[Aliment],0)),0),0)*TotalPoulainSelle_0_12_mois*SUM(NbreJoursNourrirChevauxSelle))</f>
        <v>0</v>
      </c>
      <c r="EZ61" s="1286">
        <f t="shared" si="16"/>
        <v>0</v>
      </c>
      <c r="FA61" s="1345"/>
      <c r="FB61" s="1345"/>
      <c r="FC61" s="1321"/>
      <c r="FD61" s="1083" t="s">
        <v>1718</v>
      </c>
      <c r="FE61" s="1283">
        <f t="array" ref="FE61">IF(OR(ChoixRationComplèteEtéChevauxTrait=OUI,ChoixRationComplèteEtéChevauxTrait="",AND(ChoixChevauxTraitPréHiver=OUI,ChoixChevauxTraitPréEté=OUI)),0,IFERROR(IF(OR(AND(INDEX(Règles_chevaux_trait[Specificite],MATCH(RationEtéChevauxTrait&amp;$FD61,Règles_chevaux_trait[Ration]&amp;Règles_chevaux_trait[Aliment],0))="s1",IF($FD61=Spécificité1ChevauxTrait,1)),
AND(INDEX(Règles_chevaux_trait[Specificite],MATCH(RationEtéChevauxTrait&amp;$FD61,Règles_chevaux_trait[Ration]&amp;Règles_chevaux_trait[Aliment],0))="s2",IF($FD61=Spécificité2ChevauxTrait,1)),
INDEX(Règles_chevaux_trait[Specificite],MATCH(RationEtéChevauxTrait&amp;$FD61,Règles_chevaux_trait[Ration]&amp;Règles_chevaux_trait[Aliment],0))="c"),
INDEX(Règles_chevaux_trait[Valeur 36 et plus],MATCH(RationEtéChevauxTrait&amp;$FD61,Règles_chevaux_trait[Ration]&amp;Règles_chevaux_trait[Aliment],0)),0),0)*TotalEtalonTrait*SUM(NbreJoursNourrirChevauxTrait))</f>
        <v>0</v>
      </c>
      <c r="FF61" s="1283">
        <f t="array" ref="FF61">IF(OR(ChoixRationComplèteEtéChevauxTrait=OUI,ChoixRationComplèteEtéChevauxTrait="",AND(ChoixChevauxTraitPréHiver=OUI,ChoixChevauxTraitPréEté=OUI)),0,IFERROR(IF(OR(AND(INDEX(Règles_chevaux_trait[Specificite],MATCH(RationEtéChevauxTrait&amp;$FD61,Règles_chevaux_trait[Ration]&amp;Règles_chevaux_trait[Aliment],0))="s1",IF($FD61=Spécificité1ChevauxTrait,1)),
AND(INDEX(Règles_chevaux_trait[Specificite],MATCH(RationEtéChevauxTrait&amp;$FD61,Règles_chevaux_trait[Ration]&amp;Règles_chevaux_trait[Aliment],0))="s2",IF($FD61=Spécificité2ChevauxTrait,1)),
INDEX(Règles_chevaux_trait[Specificite],MATCH(RationEtéChevauxTrait&amp;$FD61,Règles_chevaux_trait[Ration]&amp;Règles_chevaux_trait[Aliment],0))="c"),
INDEX(Règles_chevaux_trait[Valeur 24-36],MATCH(RationEtéChevauxTrait&amp;$FD61,Règles_chevaux_trait[Ration]&amp;Règles_chevaux_trait[Aliment],0)),0),0)*TotalJeuneEtalonTrait_24_36_mois*SUM(NbreJoursNourrirChevauxTrait))</f>
        <v>0</v>
      </c>
      <c r="FG61" s="1283">
        <f t="array" ref="FG61">IF(OR(ChoixRationComplèteEtéChevauxTrait=OUI,ChoixRationComplèteEtéChevauxTrait="",AND(ChoixChevauxTraitPréHiver=OUI,ChoixChevauxTraitPréEté=OUI)),0,IFERROR(IF(OR(AND(INDEX(Règles_chevaux_trait[Specificite],MATCH(RationEtéChevauxTrait&amp;$FD61,Règles_chevaux_trait[Ration]&amp;Règles_chevaux_trait[Aliment],0))="s1",IF($FD61=Spécificité1ChevauxTrait,1)),
AND(INDEX(Règles_chevaux_trait[Specificite],MATCH(RationEtéChevauxTrait&amp;$FD61,Règles_chevaux_trait[Ration]&amp;Règles_chevaux_trait[Aliment],0))="s2",IF($FD61=Spécificité2ChevauxTrait,1)),
INDEX(Règles_chevaux_trait[Specificite],MATCH(RationEtéChevauxTrait&amp;$FD61,Règles_chevaux_trait[Ration]&amp;Règles_chevaux_trait[Aliment],0))="c"),
INDEX(Règles_chevaux_trait[Valeur 12-24],MATCH(RationEtéChevauxTrait&amp;$FD61,Règles_chevaux_trait[Ration]&amp;Règles_chevaux_trait[Aliment],0)),0),0)*TotalJeuneEtalonTrait_12_24_mois*SUM(NbreJoursNourrirChevauxTrait))</f>
        <v>0</v>
      </c>
      <c r="FH61" s="1286">
        <f t="array" ref="FH61">IF(OR(ChoixRationComplèteEtéChevauxTrait=OUI,ChoixRationComplèteEtéChevauxTrait="",AND(ChoixChevauxTraitPréHiver=OUI,ChoixChevauxTraitPréEté=OUI)),0,IFERROR(IF(OR(AND(INDEX(Règles_chevaux_trait[Specificite],MATCH(RationEtéChevauxTrait&amp;$FD61,Règles_chevaux_trait[Ration]&amp;Règles_chevaux_trait[Aliment],0))="s1",IF($FD61=Spécificité1ChevauxTrait,1)),
AND(INDEX(Règles_chevaux_trait[Specificite],MATCH(RationEtéChevauxTrait&amp;$FD61,Règles_chevaux_trait[Ration]&amp;Règles_chevaux_trait[Aliment],0))="s2",IF($FD61=Spécificité2ChevauxTrait,1)),
INDEX(Règles_chevaux_trait[Specificite],MATCH(RationEtéChevauxTrait&amp;$FD61,Règles_chevaux_trait[Ration]&amp;Règles_chevaux_trait[Aliment],0))="c"),
INDEX(Règles_chevaux_trait[Valeur 0-12],MATCH(RationEtéChevauxTrait&amp;$FD61,Règles_chevaux_trait[Ration]&amp;Règles_chevaux_trait[Aliment],0)),0),0)*TotalPoulainTrait_0_12_mois*SUM(NbreJoursNourrirChevauxTrait))</f>
        <v>0</v>
      </c>
      <c r="FI61" s="1286">
        <f t="shared" si="15"/>
        <v>0</v>
      </c>
      <c r="FJ61" s="1345"/>
      <c r="FK61" s="1345"/>
      <c r="FL61" s="1345"/>
      <c r="FM61" s="1321"/>
      <c r="FN61" s="1082" t="s">
        <v>1719</v>
      </c>
      <c r="FO61" s="1282">
        <f t="array" ref="FO61">IF(OR(ChoixRationComplèteEtéPoneys=OUI,ChoixRationComplèteEtéPoneys="",AND(ChoixPoneysPréHiver=OUI,ChoixPoneysPréEté=OUI)),0,IFERROR(IF(OR(AND(INDEX(Règles_poneys[Specificite],MATCH(RationEtéPoneys&amp;$FN61,Règles_poneys[Ration]&amp;Règles_poneys[Aliment],0))="s1",IF($FN61=Spécificité1Poneys,1)),
AND(INDEX(Règles_poneys[Specificite],MATCH(RationEtéPoneys&amp;$FN61,Règles_poneys[Ration]&amp;Règles_poneys[Aliment],0))="s2",IF($FN61=Spécificité2Poneys,1)),
INDEX(Règles_poneys[Specificite],MATCH(RationEtéPoneys&amp;$FN61,Règles_poneys[Ration]&amp;Règles_poneys[Aliment],0))="c"),
INDEX(Règles_poneys[Valeur 36 et plus],MATCH(RationEtéPoneys&amp;$FN61,Règles_poneys[Ration]&amp;Règles_poneys[Aliment],0)),0),0)*TotalEtalonPoney*SUM(NbreJoursNourrirPoneys))</f>
        <v>0</v>
      </c>
      <c r="FP61" s="1282">
        <f t="array" ref="FP61">IF(OR(ChoixRationComplèteEtéPoneys=OUI,ChoixRationComplèteEtéPoneys="",AND(ChoixPoneysPréHiver=OUI,ChoixPoneysPréEté=OUI)),0,IFERROR(IF(OR(AND(INDEX(Règles_poneys[Specificite],MATCH(RationEtéPoneys&amp;$FN61,Règles_poneys[Ration]&amp;Règles_poneys[Aliment],0))="s1",IF($FN61=Spécificité1Poneys,1)),
AND(INDEX(Règles_poneys[Specificite],MATCH(RationEtéPoneys&amp;$FN61,Règles_poneys[Ration]&amp;Règles_poneys[Aliment],0))="s2",IF($FN61=Spécificité2Poneys,1)),
INDEX(Règles_poneys[Specificite],MATCH(RationEtéPoneys&amp;$FN61,Règles_poneys[Ration]&amp;Règles_poneys[Aliment],0))="c"),
INDEX(Règles_poneys[Valeur 36 et plus],MATCH(RationEtéPoneys&amp;$FN61,Règles_poneys[Ration]&amp;Règles_poneys[Aliment],0)),0),0)*TotalJeuneEtalonPoney_24_36_mois*SUM(NbreJoursNourrirPoneys))</f>
        <v>0</v>
      </c>
      <c r="FQ61" s="1282">
        <f t="array" ref="FQ61">IF(OR(ChoixRationComplèteEtéPoneys=OUI,ChoixRationComplèteEtéPoneys="",AND(ChoixPoneysPréHiver=OUI,ChoixPoneysPréEté=OUI)),0,IFERROR(IF(OR(AND(INDEX(Règles_poneys[Specificite],MATCH(RationEtéPoneys&amp;$FN61,Règles_poneys[Ration]&amp;Règles_poneys[Aliment],0))="s1",IF($FN61=Spécificité1Poneys,1)),
AND(INDEX(Règles_poneys[Specificite],MATCH(RationEtéPoneys&amp;$FN61,Règles_poneys[Ration]&amp;Règles_poneys[Aliment],0))="s2",IF($FN61=Spécificité2Poneys,1)),
INDEX(Règles_poneys[Specificite],MATCH(RationEtéPoneys&amp;$FN61,Règles_poneys[Ration]&amp;Règles_poneys[Aliment],0))="c"),
INDEX(Règles_poneys[Valeur 36 et plus],MATCH(RationEtéPoneys&amp;$FN61,Règles_poneys[Ration]&amp;Règles_poneys[Aliment],0)),0),0)*TotalJeuneEtalonPoney_12_24_mois*SUM(NbreJoursNourrirPoneys))</f>
        <v>0</v>
      </c>
      <c r="FR61" s="1285">
        <f t="array" ref="FR61">IF(OR(ChoixRationComplèteEtéPoneys=OUI,ChoixRationComplèteEtéPoneys="",AND(ChoixPoneysPréHiver=OUI,ChoixPoneysPréEté=OUI)),0,IFERROR(IF(OR(AND(INDEX(Règles_poneys[Specificite],MATCH(RationEtéPoneys&amp;$FN61,Règles_poneys[Ration]&amp;Règles_poneys[Aliment],0))="s1",IF($FN61=Spécificité1Poneys,1)),
AND(INDEX(Règles_poneys[Specificite],MATCH(RationEtéPoneys&amp;$FN61,Règles_poneys[Ration]&amp;Règles_poneys[Aliment],0))="s2",IF($FN61=Spécificité2Poneys,1)),
INDEX(Règles_poneys[Specificite],MATCH(RationEtéPoneys&amp;$FN61,Règles_poneys[Ration]&amp;Règles_poneys[Aliment],0))="c"),
INDEX(Règles_poneys[Valeur 36 et plus],MATCH(RationEtéPoneys&amp;$FN61,Règles_poneys[Ration]&amp;Règles_poneys[Aliment],0)),0),0)*TotalPoulainPoney_0_12_mois*SUM(NbreJoursNourrirPoneys))</f>
        <v>0</v>
      </c>
      <c r="FS61" s="1285">
        <f t="shared" si="14"/>
        <v>0</v>
      </c>
      <c r="FT61" s="1345"/>
      <c r="FU61" s="1345"/>
      <c r="FV61" s="1345"/>
      <c r="FW61" s="823" t="s">
        <v>339</v>
      </c>
      <c r="FX61" s="828">
        <f t="array" ref="FX6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61" s="828">
        <f t="array" ref="FY6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61" s="828">
        <f t="array" ref="FZ6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61" s="828">
        <f t="array" ref="GA6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61" s="829">
        <f>SUM(AlimentsGavageOies[[#This Row],[Valeur 3 et plus]:[Valeur 0-1]])</f>
        <v>0</v>
      </c>
      <c r="GC61" s="1364"/>
      <c r="GD61" s="1321"/>
      <c r="GE61" s="1149" t="s">
        <v>398</v>
      </c>
      <c r="GF61" s="1321"/>
      <c r="GG61" s="1321" t="s">
        <v>1349</v>
      </c>
      <c r="GH61" s="1321" t="s">
        <v>1349</v>
      </c>
      <c r="GI61" s="1321" t="s">
        <v>1349</v>
      </c>
      <c r="GJ61" s="1321" t="s">
        <v>1349</v>
      </c>
      <c r="GK61" s="1321" t="s">
        <v>1349</v>
      </c>
      <c r="GL61" s="1321" t="s">
        <v>1349</v>
      </c>
      <c r="GM61" s="1321" t="s">
        <v>1349</v>
      </c>
      <c r="GN61" s="1321" t="s">
        <v>1349</v>
      </c>
      <c r="GO61" s="1321" t="s">
        <v>1349</v>
      </c>
      <c r="GP61" s="1321" t="s">
        <v>1349</v>
      </c>
      <c r="GQ61" s="1321" t="s">
        <v>1349</v>
      </c>
      <c r="GR61" s="1321" t="s">
        <v>1349</v>
      </c>
      <c r="GS61" s="1321" t="s">
        <v>1349</v>
      </c>
      <c r="GT61" s="1321" t="s">
        <v>1349</v>
      </c>
      <c r="GU61" s="1321" t="s">
        <v>1349</v>
      </c>
      <c r="GV61" s="1321" t="s">
        <v>1349</v>
      </c>
      <c r="GW61" s="1321"/>
      <c r="GX61" s="1321"/>
      <c r="GY61" s="1082" t="str">
        <f t="shared" si="11"/>
        <v>semences de haricot vert</v>
      </c>
      <c r="GZ61" s="1082"/>
      <c r="HA61" s="1085"/>
      <c r="HB61" s="1085">
        <f>IF(COUNTIF(TypeArticleDansEntrepôt,GY61)=0,0,SUMIF(TypeArticleDansEntrepôt,GY61,QtéArticleDansEntrepôt)*VLOOKUP(GY61,place_necessaire_entrepots_aire_paille[],2,FALSE))</f>
        <v>0</v>
      </c>
      <c r="HC61" s="1321"/>
      <c r="HD61" s="1321"/>
      <c r="HE61" s="1321"/>
      <c r="HF61" s="1321"/>
      <c r="HG61" s="1321"/>
      <c r="HH61" s="1321"/>
      <c r="HI61" s="1321"/>
      <c r="HJ61" s="1321"/>
      <c r="HK61" s="1321"/>
      <c r="HL61" s="1321"/>
      <c r="HM61" s="1321"/>
      <c r="HN61" s="1085" t="str">
        <f>IF(parcelles!B109="","",(VLOOKUP(parcelles!C109,BDD!$HN$5:$HU$38,2,FALSE))*parcelles!E109)</f>
        <v/>
      </c>
      <c r="HO61" s="1085" t="str">
        <f>IF(parcelles!B109="","",IF(OR(parcelles!C109=Moutarde,parcelles!C109=Phacélie),0,IF(parcelles!C109=Luzerne,10*parcelles!E109*VLOOKUP(parcelles!C109,BDD!$HN$5:$HU$38,3,FALSE),IF(parcelles!C109=Miscanthus,10.5*parcelles!E109*VLOOKUP(parcelles!C109,BDD!$HN$5:$HU$38,3,FALSE),INDEX(parcelles!$C$56:'parcelles'!$Y$77,MATCH(parcelles!B109,parcelles!$B$56:'parcelles'!$B$77,0),MATCH(parcelles!C109,parcelles!$C$53:'parcelles'!$Y$53,0))*parcelles!E109*VLOOKUP(parcelles!C109,BDD!$HN$5:$HU$38,3,FALSE)))))</f>
        <v/>
      </c>
      <c r="HP61" s="1085" t="str">
        <f>IF(parcelles!B109="","",IF(OR(parcelles!C109=Moutarde,parcelles!C109=Phacélie),0,IF(parcelles!C109=Luzerne,10*parcelles!E109*VLOOKUP(parcelles!C109,BDD!$HN$5:$HU$38,4,FALSE),IF(parcelles!C109=Miscanthus,10.5*parcelles!E109*VLOOKUP(parcelles!C109,BDD!$HN$5:$HU$38,4,FALSE),INDEX(parcelles!$C$56:'parcelles'!$Y$77,MATCH(parcelles!B109,parcelles!$B$56:'parcelles'!$B$77,0),MATCH(parcelles!C109,parcelles!$C$53:'parcelles'!$Y$53,0))*parcelles!E109*VLOOKUP(parcelles!C109,BDD!$HN$5:$HU$38,4,FALSE)))))</f>
        <v/>
      </c>
      <c r="HQ61" s="1085" t="str">
        <f>IF(parcelles!B109="","",IF(OR(parcelles!C109=Moutarde,parcelles!C109=Phacélie),0,IF(parcelles!C109=Luzerne,10*parcelles!E109*VLOOKUP(parcelles!C109,BDD!$HN$5:$HU$38,5,FALSE),IF(parcelles!C109=Miscanthus,10.5*parcelles!E109*VLOOKUP(parcelles!C109,BDD!$HN$5:$HU$38,5,FALSE),INDEX(parcelles!$C$56:'parcelles'!$Y$77,MATCH(parcelles!B109,parcelles!$B$56:'parcelles'!$B$77,0),MATCH(parcelles!C109,parcelles!$C$53:'parcelles'!$Y$53,0))*parcelles!E109*VLOOKUP(parcelles!C109,BDD!$HN$5:$HU$38,5,FALSE)))))</f>
        <v/>
      </c>
      <c r="HR61" s="1085" t="str">
        <f>IF(parcelles!B109="","",IF(OR(parcelles!C109=Moutarde,parcelles!C109=Phacélie),0,IF(parcelles!C109=Luzerne,10*parcelles!E109*VLOOKUP(parcelles!C109,BDD!$HN$5:$HU$38,6,FALSE),IF(parcelles!C109=Miscanthus,10.5*parcelles!E109*VLOOKUP(parcelles!C109,BDD!$HN$5:$HU$38,6,FALSE),INDEX(parcelles!$C$56:'parcelles'!$Y$77,MATCH(parcelles!B109,parcelles!$B$56:'parcelles'!$B$77,0),MATCH(parcelles!C109,parcelles!$C$53:'parcelles'!$Y$53,0))*parcelles!E109*VLOOKUP(parcelles!C109,BDD!$HN$5:$HU$38,6,FALSE)))))</f>
        <v/>
      </c>
      <c r="HS61" s="1085" t="str">
        <f>IF(parcelles!B109="","",IF(OR(parcelles!C109=Moutarde,parcelles!C109=Phacélie),0,IF(parcelles!C109=Luzerne,10*parcelles!E109*VLOOKUP(parcelles!C109,BDD!$HN$5:$HU$38,7,FALSE),IF(parcelles!C109=Miscanthus,10.5*parcelles!E109*VLOOKUP(parcelles!C109,BDD!$HN$5:$HU$38,7,FALSE),INDEX(parcelles!$C$56:'parcelles'!$Y$77,MATCH(parcelles!B109,parcelles!$B$56:'parcelles'!$B$77,0),MATCH(parcelles!C109,parcelles!$C$53:'parcelles'!$Y$53,0))*parcelles!E109*VLOOKUP(parcelles!C109,BDD!$HN$5:$HU$38,7,FALSE)))))</f>
        <v/>
      </c>
      <c r="HT61" s="1085" t="str">
        <f>IF(parcelles!B109="","",IF(OR(parcelles!C109=Moutarde,parcelles!C109=Phacélie),0,IF(parcelles!C109=Luzerne,10*parcelles!E109*VLOOKUP(parcelles!C109,BDD!$HN$5:$HU$38,8,FALSE),IF(parcelles!C109=Miscanthus,10.5*parcelles!E109*VLOOKUP(parcelles!C109,BDD!$HN$5:$HU$38,8,FALSE),INDEX(parcelles!$C$56:'parcelles'!$Y$77,MATCH(parcelles!B109,parcelles!$B$56:'parcelles'!$B$77,0),MATCH(parcelles!C109,parcelles!$C$53:'parcelles'!$Y$53,0))*parcelles!E109*VLOOKUP(parcelles!C109,BDD!$HN$5:$HU$38,8,FALSE)))))</f>
        <v/>
      </c>
      <c r="HU61" s="1085" t="str">
        <f>IF(parcelles!B109="","",IF(OR(parcelles!C109=Moutarde,parcelles!C109=Phacélie),0,1.6*parcelles!E109))</f>
        <v/>
      </c>
      <c r="HV61" s="1085" t="str">
        <f>IF(parcelles!B109="","",IF(OR(parcelles!C109=Moutarde,parcelles!C109=Phacélie),0,1.6*parcelles!E109))</f>
        <v/>
      </c>
      <c r="HW61" s="1085" t="str">
        <f>IF(parcelles!B109="","",IF(OR(parcelles!C109=Moutarde,parcelles!C109=Phacélie),0,1.6*parcelles!E109))</f>
        <v/>
      </c>
      <c r="HX61" s="1092" t="str">
        <f>IF(parcelles!D109="","",IF(parcelles!C109=ChanvreIndustriel,INDEX(parcelles!$C$56:$Y$77,MATCH(parcelles!B109,parcelles!$B$56:$B$77,0),MATCH(parcelles!C109,parcelles!$C$53:$Y$53,0))*parcelles!E109*SUMIF(ListeCulturesBDD,parcelles!C109,PrixVenteCulturesConventionnel)+RIGHT(BDD!$HM$7,3)*7*parcelles!E109,IF(parcelles!C109=Luzerne,parcelles!E109*10*VLOOKUP(parcelles!C109,TarifsCoopCultures,2,FALSE),IF(parcelles!C109=Miscanthus,parcelles!E109*10.5*VLOOKUP(Luzerne,TarifsCoopCultures,2,FALSE),INDEX(parcelles!$C$56:$Y$77,MATCH(parcelles!B109,parcelles!$B$56:$B$77,0),MATCH(parcelles!C109,parcelles!$C$53:$Y$53,0))*parcelles!E109*SUMIF(ListeCulturesBDD,parcelles!C109,PrixVenteCulturesConventionnel)))))</f>
        <v/>
      </c>
      <c r="HY61" s="1085" t="str">
        <f>IF(parcelles!D109="","",IF(parcelles!F109=0,"",IF(parcelles!C109=ChanvreIndustriel,"soit "&amp;parcelles!E109*0.8&amp;"t de grain et "&amp;parcelles!E109*7&amp;"t de paille",IF(parcelles!C109=Luzerne,"soit "&amp;10*parcelles!E109&amp;"t/an",IF(parcelles!C109=Miscanthus,"soit "&amp;10.5*parcelles!E109&amp;"t/an","soit "&amp;INDEX(parcelles!$C$56:$Y$77,MATCH(parcelles!B109,parcelles!$B$56:$B$77,0),MATCH(parcelles!C109,parcelles!$C$53:$Y$53,0))*parcelles!E109&amp;"t")))))</f>
        <v/>
      </c>
      <c r="HZ61" s="1085" t="str">
        <f>IF(parcelles!D109="","",IF(parcelles!F109=0,"",IF(parcelles!C109=ChanvreIndustriel,"soit "&amp;parcelles!E109*0.8*0.8&amp;"t de grain et "&amp;parcelles!E109*7*0.8&amp;"t de paille",IF(parcelles!C109=Luzerne,"soit "&amp;10*0.8*parcelles!E109&amp;"t/an",IF(parcelles!C109=Miscanthus,"soit "&amp;10.5*0.8*parcelles!E109&amp;"t/an","soit "&amp;INDEX(parcelles!$C$56:$Y$77,MATCH(parcelles!B109,parcelles!$B$56:$B$77,0),MATCH(parcelles!C109,parcelles!$C$53:$Y$53,0))*0.8*parcelles!E109&amp;"t")))))</f>
        <v/>
      </c>
      <c r="IA61" s="1085" t="str">
        <f>IF(parcelles!L109="","",(VLOOKUP(parcelles!M109,BDD!$HN$5:$HU$38,2,FALSE))*parcelles!O109)</f>
        <v/>
      </c>
      <c r="IB61" s="1085" t="str">
        <f>IF(parcelles!L109="","",IF(OR(parcelles!M109=Moutarde,parcelles!M109=Phacélie),0,IF(parcelles!M109=Luzerne,10*parcelles!O109*VLOOKUP(parcelles!M109,BDD!$HN$5:$HU$38,3,FALSE),IF(parcelles!M109=Miscanthus,10.5*parcelles!O109*VLOOKUP(parcelles!M109,BDD!$HN$5:$HU$38,3,FALSE),INDEX(parcelles!$C$56:'parcelles'!$Y$77,MATCH(parcelles!L109,parcelles!$B$56:'parcelles'!$B$77,0),MATCH(parcelles!M109,parcelles!$C$53:'parcelles'!$Y$53,0))*parcelles!O109*VLOOKUP(parcelles!M109,BDD!$HN$5:$HU$38,3,FALSE)))))</f>
        <v/>
      </c>
      <c r="IC61" s="1085" t="str">
        <f>IF(parcelles!L109="","",IF(OR(parcelles!M109=Moutarde,parcelles!M109=Phacélie),0,IF(parcelles!M109=Luzerne,10*parcelles!O109*VLOOKUP(parcelles!M109,BDD!$HN$5:$HU$38,4,FALSE),IF(parcelles!M109=Miscanthus,10.5*parcelles!O109*VLOOKUP(parcelles!M109,BDD!$HN$5:$HU$38,4,FALSE),INDEX(parcelles!$C$56:'parcelles'!$Y$77,MATCH(parcelles!L109,parcelles!$B$56:'parcelles'!$B$77,0),MATCH(parcelles!M109,parcelles!$C$53:'parcelles'!$Y$53,0))*parcelles!O109*VLOOKUP(parcelles!M109,BDD!$HN$5:$HU$38,4,FALSE)))))</f>
        <v/>
      </c>
      <c r="ID61" s="1085" t="str">
        <f>IF(parcelles!L109="","",IF(OR(parcelles!M109=Moutarde,parcelles!M109=Phacélie),0,IF(parcelles!M109=Luzerne,10*parcelles!O109*VLOOKUP(parcelles!M109,BDD!$HN$5:$HU$38,5,FALSE),IF(parcelles!M109=Miscanthus,10.5*parcelles!O109*VLOOKUP(parcelles!M109,BDD!$HN$5:$HU$38,5,FALSE),INDEX(parcelles!$C$56:'parcelles'!$Y$77,MATCH(parcelles!L109,parcelles!$B$56:'parcelles'!$B$77,0),MATCH(parcelles!M109,parcelles!$C$53:'parcelles'!$Y$53,0))*parcelles!O109*VLOOKUP(parcelles!M109,BDD!$HN$5:$HU$38,5,FALSE)))))</f>
        <v/>
      </c>
      <c r="IE61" s="1085" t="str">
        <f>IF(parcelles!L109="","",IF(OR(parcelles!M109=Moutarde,parcelles!M109=Phacélie),0,IF(parcelles!M109=Luzerne,10*parcelles!O109*VLOOKUP(parcelles!M109,BDD!$HN$5:$HU$38,6,FALSE),IF(parcelles!M109=Miscanthus,10.5*parcelles!O109*VLOOKUP(parcelles!M109,BDD!$HN$5:$HU$38,6,FALSE),INDEX(parcelles!$C$56:'parcelles'!$Y$77,MATCH(parcelles!L109,parcelles!$B$56:'parcelles'!$B$77,0),MATCH(parcelles!M109,parcelles!$C$53:'parcelles'!$Y$53,0))*parcelles!O109*VLOOKUP(parcelles!M109,BDD!$HN$5:$HU$38,6,FALSE)))))</f>
        <v/>
      </c>
      <c r="IF61" s="1085" t="str">
        <f>IF(parcelles!L109="","",IF(OR(parcelles!M109=Moutarde,parcelles!M109=Phacélie),0,IF(parcelles!M109=Luzerne,10*parcelles!O109*VLOOKUP(parcelles!M109,BDD!$HN$5:$HU$38,7,FALSE),IF(parcelles!M109=Miscanthus,10.5*parcelles!O109*VLOOKUP(parcelles!M109,BDD!$HN$5:$HU$38,7,FALSE),INDEX(parcelles!$C$56:'parcelles'!$Y$77,MATCH(parcelles!L109,parcelles!$B$56:'parcelles'!$B$77,0),MATCH(parcelles!M109,parcelles!$C$53:'parcelles'!$Y$53,0))*parcelles!O109*VLOOKUP(parcelles!M109,BDD!$HN$5:$HU$38,7,FALSE)))))</f>
        <v/>
      </c>
      <c r="IG61" s="1085" t="str">
        <f>IF(parcelles!L109="","",IF(OR(parcelles!M109=Moutarde,parcelles!M109=Phacélie),0,IF(parcelles!M109=Luzerne,10*parcelles!O109*VLOOKUP(parcelles!M109,BDD!$HN$5:$HU$38,8,FALSE),IF(parcelles!M109=Miscanthus,10.5*parcelles!O109*VLOOKUP(parcelles!M109,BDD!$HN$5:$HU$38,8,FALSE),INDEX(parcelles!$C$56:'parcelles'!$Y$77,MATCH(parcelles!L109,parcelles!$B$56:'parcelles'!$B$77,0),MATCH(parcelles!M109,parcelles!$C$53:'parcelles'!$Y$53,0))*parcelles!O109*VLOOKUP(parcelles!M109,BDD!$HN$5:$HU$38,8,FALSE)))))</f>
        <v/>
      </c>
      <c r="IH61" s="1085" t="str">
        <f>IF(parcelles!L109="","",IF(OR(parcelles!L109=Moutarde,parcelles!L109=Phacélie),0,1.6*parcelles!O109))</f>
        <v/>
      </c>
      <c r="II61" s="1085" t="str">
        <f>IF(parcelles!L109="","",IF(OR(parcelles!L109=Moutarde,parcelles!L109=Phacélie),0,1.6*parcelles!O109))</f>
        <v/>
      </c>
      <c r="IJ61" s="1085" t="str">
        <f>IF(parcelles!L109="","",IF(OR(parcelles!L109=Moutarde,parcelles!L109=Phacélie),0,1.6*parcelles!O109))</f>
        <v/>
      </c>
      <c r="IK61" s="1085" t="str">
        <f>IF(parcelles!P109="","",IF(parcelles!R109=0,"",IF(parcelles!O109=ChanvreIndustriel,"soit "&amp;parcelles!Q109*0.8&amp;"t de grain et "&amp;parcelles!Q109*7&amp;"t de paille",IF(parcelles!O109=Luzerne,"soit "&amp;10*parcelles!Q109&amp;"t/an",IF(parcelles!O109=Miscanthus,"soit "&amp;10.5*parcelles!Q109&amp;"t/an","soit "&amp;INDEX(parcelles!$C$56:$Y$77,MATCH(parcelles!N109,parcelles!$B$56:$B$77,0),MATCH(parcelles!O109,parcelles!$C$53:$Y$53,0))*parcelles!Q109&amp;"t")))))</f>
        <v/>
      </c>
      <c r="IL61" s="1085" t="str">
        <f>IF(parcelles!P109="","",IF(parcelles!R109=0,"",IF(parcelles!O109=ChanvreIndustriel,"soit "&amp;parcelles!Q109*0.8*0.8&amp;"t de grain et "&amp;parcelles!Q109*7*0.8&amp;"t de paille",IF(parcelles!O109=Luzerne,"soit "&amp;10*0.8*parcelles!Q109&amp;"t/an",IF(parcelles!O109=Miscanthus,"soit "&amp;10.5*0.8*parcelles!Q109&amp;"t/an","soit "&amp;INDEX(parcelles!$C$56:$Y$77,MATCH(parcelles!N109,parcelles!$B$56:$B$77,0),MATCH(parcelles!O109,parcelles!$C$53:$Y$53,0))*0.8*parcelles!Q109&amp;"t")))))</f>
        <v/>
      </c>
      <c r="IM61" s="1085" t="str">
        <f>IF(parcelles!S109="","",IF(parcelles!U109=0,"",IF(parcelles!R109=ChanvreIndustriel,parcelles!T109*0.8*0.8+parcelles!T109*7*0.8,IF(parcelles!R109=Luzerne,10*0.8*parcelles!T109,IF(parcelles!R109=Miscanthus,10.5*0.8*parcelles!T109,INDEX(parcelles!$C$56:$Y$77,MATCH(parcelles!Q109,parcelles!$B$56:$B$77,0),MATCH(parcelles!R109,parcelles!$C$53:$Y$53,0))*0.8*parcelles!T109)))))</f>
        <v/>
      </c>
      <c r="IN61" s="1368"/>
    </row>
    <row r="62" spans="1:248" ht="12.75" customHeight="1" x14ac:dyDescent="0.2">
      <c r="A62" s="1307" t="s">
        <v>97</v>
      </c>
      <c r="B62" s="1241">
        <f t="shared" ref="B62:B97" si="17">1/1000</f>
        <v>1E-3</v>
      </c>
      <c r="C62" s="1321"/>
      <c r="D62" s="1321"/>
      <c r="E62" s="1321"/>
      <c r="F62" s="1149" t="s">
        <v>672</v>
      </c>
      <c r="G62" s="1149">
        <v>8</v>
      </c>
      <c r="H62" s="1149" t="s">
        <v>867</v>
      </c>
      <c r="I62" s="1149" t="s">
        <v>1218</v>
      </c>
      <c r="J62" s="1149" t="s">
        <v>868</v>
      </c>
      <c r="K62" s="1149">
        <v>0</v>
      </c>
      <c r="L62" s="1149" t="s">
        <v>1218</v>
      </c>
      <c r="M62" s="1149">
        <v>0</v>
      </c>
      <c r="N62" s="1321"/>
      <c r="O62" s="1149" t="s">
        <v>189</v>
      </c>
      <c r="P62" s="1149">
        <v>6</v>
      </c>
      <c r="Q62" s="1149">
        <v>5.6</v>
      </c>
      <c r="R62" s="1149">
        <v>4.5999999999999996</v>
      </c>
      <c r="S62" s="1149">
        <v>3.6</v>
      </c>
      <c r="T62" s="1149">
        <v>3.5</v>
      </c>
      <c r="U62" s="1149">
        <v>5.3</v>
      </c>
      <c r="V62" s="1149"/>
      <c r="W62" s="1149">
        <v>9.4</v>
      </c>
      <c r="X62" s="1149">
        <v>10.6</v>
      </c>
      <c r="Y62" s="1149">
        <v>0</v>
      </c>
      <c r="Z62" s="1149">
        <v>3.3</v>
      </c>
      <c r="AA62" s="1149">
        <v>2.4</v>
      </c>
      <c r="AB62" s="1149">
        <v>3.2</v>
      </c>
      <c r="AC62" s="1149">
        <v>2</v>
      </c>
      <c r="AD62" s="1149">
        <v>3.1</v>
      </c>
      <c r="AE62" s="1149">
        <v>0</v>
      </c>
      <c r="AF62" s="1149">
        <v>28</v>
      </c>
      <c r="AG62" s="1149">
        <v>0</v>
      </c>
      <c r="AH62" s="1149">
        <v>0</v>
      </c>
      <c r="AI62" s="1149">
        <v>14</v>
      </c>
      <c r="AJ62" s="1149">
        <v>11</v>
      </c>
      <c r="AK62" s="1149">
        <v>0</v>
      </c>
      <c r="AL62" s="1149">
        <v>11</v>
      </c>
      <c r="AM62" s="1149"/>
      <c r="AN62" s="1149">
        <v>2.9</v>
      </c>
      <c r="AO62" s="1149">
        <v>28</v>
      </c>
      <c r="AP62" s="1149">
        <v>21</v>
      </c>
      <c r="AQ62" s="1149">
        <v>19</v>
      </c>
      <c r="AR62" s="1149">
        <v>10</v>
      </c>
      <c r="AS62" s="1149">
        <v>9</v>
      </c>
      <c r="AT62" s="1149">
        <v>4</v>
      </c>
      <c r="AU62" s="1149">
        <v>3</v>
      </c>
      <c r="AV62" s="1149">
        <v>4</v>
      </c>
      <c r="AW62" s="1149">
        <v>8.5</v>
      </c>
      <c r="AX62" s="1149">
        <v>10</v>
      </c>
      <c r="AY62" s="1149">
        <v>10</v>
      </c>
      <c r="AZ62" s="1321"/>
      <c r="BA62" s="1321"/>
      <c r="BB62" s="1236" t="s">
        <v>724</v>
      </c>
      <c r="BC62" s="1190" t="s">
        <v>672</v>
      </c>
      <c r="BD62" s="1190" t="s">
        <v>1253</v>
      </c>
      <c r="BE62" s="1237">
        <v>7.2</v>
      </c>
      <c r="BF62" s="1237">
        <v>6</v>
      </c>
      <c r="BG62" s="1237">
        <v>4</v>
      </c>
      <c r="BH62" s="1237">
        <v>2</v>
      </c>
      <c r="BI62" s="1237">
        <v>1.2</v>
      </c>
      <c r="BJ62" s="1237">
        <v>0.6</v>
      </c>
      <c r="BK62" s="1238">
        <v>0</v>
      </c>
      <c r="BL62" s="1348"/>
      <c r="BM62" s="1076" t="s">
        <v>500</v>
      </c>
      <c r="BN62" s="1076">
        <f t="array" ref="BN62">IF(Ration_hivernale_complète_bisons[somme]&gt;0,0,IFERROR(IF(OR(AND(INDEX(Règles_bison[Specificite],MATCH(ChoixRationBisons&amp;$BM62,Règles_bison[Ration]&amp;Règles_bison[Aliment],0))="s1",IF($BM62=ChoixSpécificité1Bisons,1)),
AND(INDEX(Règles_bison[Specificite],MATCH(ChoixRationBisons&amp;$BM62,Règles_bison[Ration]&amp;Règles_bison[Aliment],0))="s2",IF($BM62=ChoixSpécificité2Bisons,1)),INDEX(Règles_bison[Specificite],MATCH(ChoixRationBisons&amp;$BM62,Règles_bison[Ration]&amp;Règles_bison[Aliment],0))="c"),
INDEX(Règles_bison[Valeur 36 et plus],MATCH(ChoixRationBisons&amp;$BM62,Règles_bison[Ration]&amp;Règles_bison[Aliment],0)),0),0)*TotalBisonsMalesAdultes*SUM(NbreJoursNourrirBisonsDaims))</f>
        <v>0</v>
      </c>
      <c r="BO62" s="1076">
        <f t="array" ref="BO62">IF(Ration_hivernale_complète_bisons[somme]&gt;0,0,IFERROR(IF(OR(AND(INDEX(Règles_bison[Specificite],MATCH(ChoixRationBisons&amp;$BM62,Règles_bison[Ration]&amp;Règles_bison[Aliment],0))="s1",IF($BM62=ChoixSpécificité1Bisons,1)),
AND(INDEX(Règles_bison[Specificite],MATCH(ChoixRationBisons&amp;$BM62,Règles_bison[Ration]&amp;Règles_bison[Aliment],0))="s2",IF($BM62=ChoixSpécificité2Bisons,1)),INDEX(Règles_bison[Specificite],MATCH(ChoixRationBisons&amp;$BM62,Règles_bison[Ration]&amp;Règles_bison[Aliment],0))="c"),
INDEX(Règles_bison[Valeur 24-36],MATCH(ChoixRationBisons&amp;$BM62,Règles_bison[Ration]&amp;Règles_bison[Aliment],0)),0),0)*TotalBisonsMales_24_36_mois*SUM(NbreJoursNourrirBisonsDaims))</f>
        <v>0</v>
      </c>
      <c r="BP62" s="1076">
        <f t="array" ref="BP62">IF(Ration_hivernale_complète_bisons[somme]&gt;0,0,IFERROR(IF(OR(AND(INDEX(Règles_bison[Specificite],MATCH(ChoixRationBisons&amp;$BM62,Règles_bison[Ration]&amp;Règles_bison[Aliment],0))="s1",IF($BM62=ChoixSpécificité1Bisons,1)),
AND(INDEX(Règles_bison[Specificite],MATCH(ChoixRationBisons&amp;$BM62,Règles_bison[Ration]&amp;Règles_bison[Aliment],0))="s2",IF($BM62=ChoixSpécificité2Bisons,1)),INDEX(Règles_bison[Specificite],MATCH(ChoixRationBisons&amp;$BM62,Règles_bison[Ration]&amp;Règles_bison[Aliment],0))="c"),
INDEX(Règles_bison[Valeur 18-24],MATCH(ChoixRationBisons&amp;$BM62,Règles_bison[Ration]&amp;Règles_bison[Aliment],0)),0),0)*TotalBisonsMales_18_24_mois*SUM(NbreJoursNourrirBisonsDaims))</f>
        <v>0</v>
      </c>
      <c r="BQ62" s="1076">
        <f t="array" ref="BQ62">IF(Ration_hivernale_complète_bisons[somme]&gt;0,0,IFERROR(IF(OR(AND(INDEX(Règles_bison[Specificite],MATCH(ChoixRationBisons&amp;$BM62,Règles_bison[Ration]&amp;Règles_bison[Aliment],0))="s1",IF($BM62=ChoixSpécificité1Bisons,1)),
AND(INDEX(Règles_bison[Specificite],MATCH(ChoixRationBisons&amp;$BM62,Règles_bison[Ration]&amp;Règles_bison[Aliment],0))="s2",IF($BM62=ChoixSpécificité2Bisons,1)),INDEX(Règles_bison[Specificite],MATCH(ChoixRationBisons&amp;$BM62,Règles_bison[Ration]&amp;Règles_bison[Aliment],0))="c"),
INDEX(Règles_bison[Valeur 12-18],MATCH(ChoixRationBisons&amp;$BM62,Règles_bison[Ration]&amp;Règles_bison[Aliment],0)),0),0)*TotalBisonsMales_12_18_mois*SUM(NbreJoursNourrirBisonsDaims))</f>
        <v>0</v>
      </c>
      <c r="BR62" s="1076">
        <f t="array" ref="BR62">IF(Ration_hivernale_complète_bisons[somme]&gt;0,0,IFERROR(IF(OR(AND(INDEX(Règles_bison[Specificite],MATCH(ChoixRationBisons&amp;$BM62,Règles_bison[Ration]&amp;Règles_bison[Aliment],0))="s1",IF($BM62=ChoixSpécificité1Bisons,1)),
AND(INDEX(Règles_bison[Specificite],MATCH(ChoixRationBisons&amp;$BM62,Règles_bison[Ration]&amp;Règles_bison[Aliment],0))="s2",IF($BM62=ChoixSpécificité2Bisons,1)),INDEX(Règles_bison[Specificite],MATCH(ChoixRationBisons&amp;$BM62,Règles_bison[Ration]&amp;Règles_bison[Aliment],0))="c"),
INDEX(Règles_bison[Valeur 6-12],MATCH(ChoixRationBisons&amp;$BM62,Règles_bison[Ration]&amp;Règles_bison[Aliment],0)),0),0)*TotalBisonsMales_6_12_mois*SUM(NbreJoursNourrirBisonsDaims))</f>
        <v>0</v>
      </c>
      <c r="BS62" s="1076">
        <f t="array" ref="BS62">IF(Ration_hivernale_complète_bisons[somme]&gt;0,0,IFERROR(IF(OR(AND(INDEX(Règles_bison[Specificite],MATCH(ChoixRationBisons&amp;$BM62,Règles_bison[Ration]&amp;Règles_bison[Aliment],0))="s1",IF($BM62=ChoixSpécificité1Bisons,1)),
AND(INDEX(Règles_bison[Specificite],MATCH(ChoixRationBisons&amp;$BM62,Règles_bison[Ration]&amp;Règles_bison[Aliment],0))="s2",IF($BM62=ChoixSpécificité2Bisons,1)),INDEX(Règles_bison[Specificite],MATCH(ChoixRationBisons&amp;$BM62,Règles_bison[Ration]&amp;Règles_bison[Aliment],0))="c"),
INDEX(Règles_bison[Valeur 3-6],MATCH(ChoixRationBisons&amp;$BM62,Règles_bison[Ration]&amp;Règles_bison[Aliment],0)),0),0)*TotalBisonsMales_3_6_mois*SUM(NbreJoursNourrirBisonsDaims))</f>
        <v>0</v>
      </c>
      <c r="BT62" s="1076">
        <f t="array" ref="BT62">IF(Ration_hivernale_complète_bisons[somme]&gt;0,0,IFERROR(IF(OR(AND(INDEX(Règles_bison[Specificite],MATCH(ChoixRationBisons&amp;$BM62,Règles_bison[Ration]&amp;Règles_bison[Aliment],0))="s1",IF($BM62=ChoixSpécificité1Bisons,1)),
AND(INDEX(Règles_bison[Specificite],MATCH(ChoixRationBisons&amp;$BM62,Règles_bison[Ration]&amp;Règles_bison[Aliment],0))="s2",IF($BM62=ChoixSpécificité2Bisons,1)),INDEX(Règles_bison[Specificite],MATCH(ChoixRationBisons&amp;$BM62,Règles_bison[Ration]&amp;Règles_bison[Aliment],0))="c"),
INDEX(Règles_bison[Valeur 0-3],MATCH(ChoixRationBisons&amp;$BM62,Règles_bison[Ration]&amp;Règles_bison[Aliment],0)),0),0)*TotalBisonsMales_0_3_mois*SUM(NbreJoursNourrirBisonsDaims))</f>
        <v>0</v>
      </c>
      <c r="BU62" s="1076">
        <f t="shared" si="10"/>
        <v>0</v>
      </c>
      <c r="BV62" s="1345"/>
      <c r="BW62" s="1345"/>
      <c r="BX62" s="1176" t="s">
        <v>762</v>
      </c>
      <c r="BY62" s="1177" t="s">
        <v>76</v>
      </c>
      <c r="BZ62" s="1177" t="s">
        <v>1253</v>
      </c>
      <c r="CA62" s="1177">
        <v>1.6</v>
      </c>
      <c r="CB62" s="1177">
        <v>1.4</v>
      </c>
      <c r="CC62" s="1177">
        <v>1.2</v>
      </c>
      <c r="CD62" s="1199">
        <v>1</v>
      </c>
      <c r="CE62" s="1350"/>
      <c r="CF62" s="1350"/>
      <c r="CG62" s="1350"/>
      <c r="CH62" s="1350"/>
      <c r="CI62" s="1321"/>
      <c r="CJ62" s="808" t="s">
        <v>331</v>
      </c>
      <c r="CK62" s="788">
        <f t="array" ref="CK6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62" s="788">
        <f t="array" ref="CL6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62" s="788">
        <f t="array" ref="CM6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62" s="788">
        <f t="array" ref="CN6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62" s="788">
        <f t="array" ref="CO6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62" s="812">
        <f>SUM(AlimentsRationPorcinsMâles[[#This Row],[Valeur 12 et plus]:[Valeur 0-1]])</f>
        <v>0</v>
      </c>
      <c r="CQ62" s="1321"/>
      <c r="CR62" s="1321"/>
      <c r="CS62" s="808" t="s">
        <v>715</v>
      </c>
      <c r="CT62" s="817">
        <f t="array" ref="CT6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62" s="817">
        <f t="array" ref="CU6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62" s="817">
        <f t="array" ref="CV6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62" s="818">
        <f>SUM(AlimentsRationLapinsMâles[[#This Row],[Valeur 3 et plus]:[Valeur 0-1]])</f>
        <v>0</v>
      </c>
      <c r="CX62" s="1321"/>
      <c r="CY62" s="1321"/>
      <c r="CZ62" s="808" t="s">
        <v>715</v>
      </c>
      <c r="DA62" s="817">
        <f t="array" ref="DA6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62" s="817">
        <f t="array" ref="DB6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62" s="817">
        <f t="array" ref="DC6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62" s="818">
        <f>SUM(AlimentsRationVolaillesMâles[[#This Row],[Valeur 6 et plus]:[Valeur 0-1]])</f>
        <v>0</v>
      </c>
      <c r="DE62" s="1364"/>
      <c r="DF62" s="1321"/>
      <c r="DG62" s="808" t="s">
        <v>219</v>
      </c>
      <c r="DH62" s="817">
        <f t="array" ref="DH6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62" s="817">
        <f t="array" ref="DI6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62" s="817">
        <f t="array" ref="DJ6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62" s="818">
        <f>SUM(AlimentsRationPintadesMâles[[#This Row],[Valeur 9 et plus]:[Valeur 0-1]])</f>
        <v>0</v>
      </c>
      <c r="DL62" s="1364"/>
      <c r="DM62" s="1364"/>
      <c r="DN62" s="1149" t="s">
        <v>1053</v>
      </c>
      <c r="DO62" s="1149">
        <v>940</v>
      </c>
      <c r="DP62" s="1321"/>
      <c r="DQ62" s="1149" t="s">
        <v>1053</v>
      </c>
      <c r="DR62" s="1149">
        <v>1128</v>
      </c>
      <c r="DS62" s="1345"/>
      <c r="DT62" s="1346"/>
      <c r="DU62" s="1346"/>
      <c r="DV62" s="1076" t="s">
        <v>1273</v>
      </c>
      <c r="DW62" s="1267">
        <f t="array" ref="DW62">IF(ChoixRationComplèteDaims=OUI,0,IFERROR(IF(OR(AND(INDEX(Règles_daims[Specificite],MATCH(ChoixRationDaims&amp;DV62,Règles_daims[Ration]&amp;Règles_daims[Aliment],0))="s1",IF(DV62=Spécificité1Daims,1)),
AND(INDEX(Règles_daims[Specificite],MATCH(ChoixRationDaims&amp;DV62,Règles_daims[Ration]&amp;Règles_daims[Aliment],0))="s2",IF(DV62=Spécificité2Daims,1)),
INDEX(Règles_daims[Specificite],MATCH(ChoixRationDaims&amp;DV62,Règles_daims[Ration]&amp;Règles_daims[Aliment],0))="c"),
INDEX(Règles_daims[Valeur 36 et plus],MATCH(ChoixRationDaims&amp;DV62,Règles_daims[Ration]&amp;Règles_daims[Aliment],0)),0),0)*SUM(TotalDaimsAdultes)*SUM(NbreJoursNourrirBisonsDaims))</f>
        <v>0</v>
      </c>
      <c r="DX62" s="1267">
        <f t="array" ref="DX62">IF(ChoixRationComplèteDaims=OUI,0,IFERROR(IF(OR(AND(INDEX(Règles_daims[Specificite],MATCH(ChoixRationDaims&amp;DV62,Règles_daims[Ration]&amp;Règles_daims[Aliment],0))="s1",IF(DV62=Spécificité1Daims,1)),
AND(INDEX(Règles_daims[Specificite],MATCH(ChoixRationDaims&amp;DV62,Règles_daims[Ration]&amp;Règles_daims[Aliment],0))="s2",IF(DV62=Spécificité2Daims,1)),
INDEX(Règles_daims[Specificite],MATCH(ChoixRationDaims&amp;DV62,Règles_daims[Ration]&amp;Règles_daims[Aliment],0))="c"),
INDEX(Règles_daims[Valeur 24-36],MATCH(ChoixRationDaims&amp;DV62,Règles_daims[Ration]&amp;Règles_daims[Aliment],0)),0),0)*SUM(TotalDaims24_36)*SUM(NbreJoursNourrirBisonsDaims))</f>
        <v>0</v>
      </c>
      <c r="DY62" s="1267">
        <f t="array" ref="DY62">IF(ChoixRationComplèteDaims=OUI,0,IFERROR(IF(OR(AND(INDEX(Règles_daims[Specificite],MATCH(ChoixRationDaims&amp;DV62,Règles_daims[Ration]&amp;Règles_daims[Aliment],0))="s1",IF(DV62=Spécificité1Daims,1)),
AND(INDEX(Règles_daims[Specificite],MATCH(ChoixRationDaims&amp;DV62,Règles_daims[Ration]&amp;Règles_daims[Aliment],0))="s2",IF(DV62=Spécificité2Daims,1)),
INDEX(Règles_daims[Specificite],MATCH(ChoixRationDaims&amp;DV62,Règles_daims[Ration]&amp;Règles_daims[Aliment],0))="c"),
INDEX(Règles_daims[Valeur 18-24],MATCH(ChoixRationDaims&amp;DV62,Règles_daims[Ration]&amp;Règles_daims[Aliment],0)),0),0)*SUM(TotalDaims18_24)*SUM(NbreJoursNourrirBisonsDaims))</f>
        <v>0</v>
      </c>
      <c r="DZ62" s="1279">
        <f t="array" ref="DZ62">IF(ChoixRationComplèteDaims=OUI,0,IFERROR(IF(OR(AND(INDEX(Règles_daims[Specificite],MATCH(ChoixRationDaims&amp;DV62,Règles_daims[Ration]&amp;Règles_daims[Aliment],0))="s1",IF(DV62=Spécificité1Daims,1)),
AND(INDEX(Règles_daims[Specificite],MATCH(ChoixRationDaims&amp;DV62,Règles_daims[Ration]&amp;Règles_daims[Aliment],0))="s2",IF(DV62=Spécificité2Daims,1)),
INDEX(Règles_daims[Specificite],MATCH(ChoixRationDaims&amp;DV62,Règles_daims[Ration]&amp;Règles_daims[Aliment],0))="c"),
INDEX(Règles_daims[Valeur 12-18],MATCH(ChoixRationDaims&amp;DV62,Règles_daims[Ration]&amp;Règles_daims[Aliment],0)),0),0)*SUM(TotalDaims12_18)*SUM(NbreJoursNourrirBisonsDaims))</f>
        <v>0</v>
      </c>
      <c r="EA62" s="1279">
        <f t="array" ref="EA62">IF(ChoixRationComplèteDaims=OUI,0,IFERROR(IF(OR(AND(INDEX(Règles_daims[Specificite],MATCH(ChoixRationDaims&amp;DV62,Règles_daims[Ration]&amp;Règles_daims[Aliment],0))="s1",IF(DV62=Spécificité1Daims,1)),
AND(INDEX(Règles_daims[Specificite],MATCH(ChoixRationDaims&amp;DV62,Règles_daims[Ration]&amp;Règles_daims[Aliment],0))="s2",IF(DV62=Spécificité2Daims,1)),
INDEX(Règles_daims[Specificite],MATCH(ChoixRationDaims&amp;DV62,Règles_daims[Ration]&amp;Règles_daims[Aliment],0))="c"),
INDEX(Règles_daims[Valeur 6-12],MATCH(ChoixRationDaims&amp;DV62,Règles_daims[Ration]&amp;Règles_daims[Aliment],0)),0),0)*SUM(TotalDaims6_12)*SUM(NbreJoursNourrirBisonsDaims))</f>
        <v>0</v>
      </c>
      <c r="EB62" s="1279">
        <f t="array" ref="EB62">IF(ChoixRationComplèteDaims=OUI,0,IFERROR(IF(OR(AND(INDEX(Règles_daims[Specificite],MATCH(ChoixRationDaims&amp;DV62,Règles_daims[Ration]&amp;Règles_daims[Aliment],0))="s1",IF(DV62=Spécificité1Daims,1)),
AND(INDEX(Règles_daims[Specificite],MATCH(ChoixRationDaims&amp;DV62,Règles_daims[Ration]&amp;Règles_daims[Aliment],0))="s2",IF(DV62=Spécificité2Daims,1)),
INDEX(Règles_daims[Specificite],MATCH(ChoixRationDaims&amp;DV62,Règles_daims[Ration]&amp;Règles_daims[Aliment],0))="c"),
INDEX(Règles_daims[Valeur 3-6],MATCH(ChoixRationDaims&amp;DV62,Règles_daims[Ration]&amp;Règles_daims[Aliment],0)),0),0)*SUM(TotalDaims3_6)*SUM(NbreJoursNourrirBisonsDaims))</f>
        <v>0</v>
      </c>
      <c r="EC62" s="1279">
        <f t="array" ref="EC62">IF(ChoixRationComplèteDaims=OUI,0,IFERROR(IF(OR(AND(INDEX(Règles_daims[Specificite],MATCH(ChoixRationDaims&amp;DV62,Règles_daims[Ration]&amp;Règles_daims[Aliment],0))="s1",IF(DV62=Spécificité1Daims,1)),
AND(INDEX(Règles_daims[Specificite],MATCH(ChoixRationDaims&amp;DV62,Règles_daims[Ration]&amp;Règles_daims[Aliment],0))="s2",IF(DV62=Spécificité2Daims,1)),
INDEX(Règles_daims[Specificite],MATCH(ChoixRationDaims&amp;DV62,Règles_daims[Ration]&amp;Règles_daims[Aliment],0))="c"),
INDEX(Règles_daims[Valeur 0-3],MATCH(ChoixRationDaims&amp;DV62,Règles_daims[Ration]&amp;Règles_daims[Aliment],0)),0),0)*SUM(TotalDaims0_3)*SUM(NbreJoursNourrirBisonsDaims))</f>
        <v>0</v>
      </c>
      <c r="ED62" s="1279">
        <f t="shared" si="9"/>
        <v>0</v>
      </c>
      <c r="EE62" s="1345"/>
      <c r="EF62" s="1321"/>
      <c r="EG62" s="808" t="s">
        <v>1717</v>
      </c>
      <c r="EH62" s="817">
        <f t="array" ref="EH62">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62" s="817">
        <f t="array" ref="EI62">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62" s="817">
        <f t="array" ref="EJ62">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62" s="818">
        <f>SUM(AlimentsRationOiesMâles[[#This Row],[Valeur 6 et plus]:[Valeur 0-3]])</f>
        <v>0</v>
      </c>
      <c r="EL62" s="1364"/>
      <c r="EM62" s="1321"/>
      <c r="EN62" s="808" t="s">
        <v>728</v>
      </c>
      <c r="EO62" s="817">
        <f t="array" ref="EO62">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62" s="817">
        <f t="array" ref="EP62">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62" s="817">
        <f t="array" ref="EQ62">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62" s="818">
        <f>SUM(Ration_canards_Mâles[[#This Row],[Valeur 6 et plus]:[Valeur 0-3]])</f>
        <v>0</v>
      </c>
      <c r="ES62" s="1364"/>
      <c r="ET62" s="1321"/>
      <c r="EU62" s="1082" t="s">
        <v>285</v>
      </c>
      <c r="EV62" s="1282">
        <f t="array" ref="EV62">IF(OR(ChoixRationComplèteEtéChevauxSelle=OUI,ChoixRationComplèteEtéChevauxSelle="",AND(ChoixChevauxSellePréHiver=OUI,ChoixChevauxSellePréEté=OUI)),0,IFERROR(IF(OR(AND(INDEX(Règles_chevaux_selle[Specificite],MATCH(RationEtéChevauxSelle&amp;$EU62,Règles_chevaux_selle[Ration]&amp;Règles_chevaux_selle[Aliment],0))="s1",IF($EU62=Spécificité1ChevauxSelle,1)),
AND(INDEX(Règles_chevaux_selle[Specificite],MATCH(RationEtéChevauxSelle&amp;$EU62,Règles_chevaux_selle[Ration]&amp;Règles_chevaux_selle[Aliment],0))="s2",IF($EU62=Spécificité2ChevauxSelle,1)),
INDEX(Règles_chevaux_selle[Specificite],MATCH(RationEtéChevauxSelle&amp;$EU62,Règles_chevaux_selle[Ration]&amp;Règles_chevaux_selle[Aliment],0))="c"),
INDEX(Règles_chevaux_selle[Valeur 36 et plus],MATCH(RationEtéChevauxSelle&amp;$EU62,Règles_chevaux_selle[Ration]&amp;Règles_chevaux_selle[Aliment],0)),0),0)*TotalEtalonSelle*SUM(NbreJoursNourrirChevauxSelle))</f>
        <v>0</v>
      </c>
      <c r="EW62" s="1282">
        <f t="array" ref="EW62">IF(OR(ChoixRationComplèteEtéChevauxSelle=OUI,ChoixRationComplèteEtéChevauxSelle="",AND(ChoixChevauxSellePréHiver=OUI,ChoixChevauxSellePréEté=OUI)),0,IFERROR(IF(OR(AND(INDEX(Règles_chevaux_selle[Specificite],MATCH(RationEtéChevauxSelle&amp;$EU62,Règles_chevaux_selle[Ration]&amp;Règles_chevaux_selle[Aliment],0))="s1",IF($EU62=Spécificité1ChevauxSelle,1)),
AND(INDEX(Règles_chevaux_selle[Specificite],MATCH(RationEtéChevauxSelle&amp;$EU62,Règles_chevaux_selle[Ration]&amp;Règles_chevaux_selle[Aliment],0))="s2",IF($EU62=Spécificité2ChevauxSelle,1)),
INDEX(Règles_chevaux_selle[Specificite],MATCH(RationEtéChevauxSelle&amp;$EU62,Règles_chevaux_selle[Ration]&amp;Règles_chevaux_selle[Aliment],0))="c"),
INDEX(Règles_chevaux_selle[Valeur 24-36],MATCH(RationEtéChevauxSelle&amp;$EU62,Règles_chevaux_selle[Ration]&amp;Règles_chevaux_selle[Aliment],0)),0),0)*TotalJeuneEtalonSelle_24_36_mois*SUM(NbreJoursNourrirChevauxSelle))</f>
        <v>0</v>
      </c>
      <c r="EX62" s="1282">
        <f t="array" ref="EX62">IF(OR(ChoixRationComplèteEtéChevauxSelle=OUI,ChoixRationComplèteEtéChevauxSelle="",AND(ChoixChevauxSellePréHiver=OUI,ChoixChevauxSellePréEté=OUI)),0,IFERROR(IF(OR(AND(INDEX(Règles_chevaux_selle[Specificite],MATCH(RationEtéChevauxSelle&amp;$EU62,Règles_chevaux_selle[Ration]&amp;Règles_chevaux_selle[Aliment],0))="s1",IF($EU62=Spécificité1ChevauxSelle,1)),
AND(INDEX(Règles_chevaux_selle[Specificite],MATCH(RationEtéChevauxSelle&amp;$EU62,Règles_chevaux_selle[Ration]&amp;Règles_chevaux_selle[Aliment],0))="s2",IF($EU62=Spécificité2ChevauxSelle,1)),
INDEX(Règles_chevaux_selle[Specificite],MATCH(RationEtéChevauxSelle&amp;$EU62,Règles_chevaux_selle[Ration]&amp;Règles_chevaux_selle[Aliment],0))="c"),
INDEX(Règles_chevaux_selle[Valeur 12-24],MATCH(RationEtéChevauxSelle&amp;$EU62,Règles_chevaux_selle[Ration]&amp;Règles_chevaux_selle[Aliment],0)),0),0)*TotalJeuneEtalonSelle_12_24_mois*SUM(NbreJoursNourrirChevauxSelle))</f>
        <v>0</v>
      </c>
      <c r="EY62" s="1285">
        <f t="array" ref="EY62">IF(OR(ChoixRationComplèteEtéChevauxSelle=OUI,ChoixRationComplèteEtéChevauxSelle="",AND(ChoixChevauxSellePréHiver=OUI,ChoixChevauxSellePréEté=OUI)),0,IFERROR(IF(OR(AND(INDEX(Règles_chevaux_selle[Specificite],MATCH(RationEtéChevauxSelle&amp;$EU62,Règles_chevaux_selle[Ration]&amp;Règles_chevaux_selle[Aliment],0))="s1",IF($EU62=Spécificité1ChevauxSelle,1)),
AND(INDEX(Règles_chevaux_selle[Specificite],MATCH(RationEtéChevauxSelle&amp;$EU62,Règles_chevaux_selle[Ration]&amp;Règles_chevaux_selle[Aliment],0))="s2",IF($EU62=Spécificité2ChevauxSelle,1)),
INDEX(Règles_chevaux_selle[Specificite],MATCH(RationEtéChevauxSelle&amp;$EU62,Règles_chevaux_selle[Ration]&amp;Règles_chevaux_selle[Aliment],0))="c"),
INDEX(Règles_chevaux_selle[Valeur 0-12],MATCH(RationEtéChevauxSelle&amp;$EU62,Règles_chevaux_selle[Ration]&amp;Règles_chevaux_selle[Aliment],0)),0),0)*TotalPoulainSelle_0_12_mois*SUM(NbreJoursNourrirChevauxSelle))</f>
        <v>0</v>
      </c>
      <c r="EZ62" s="1285">
        <f t="shared" si="16"/>
        <v>0</v>
      </c>
      <c r="FA62" s="1345"/>
      <c r="FB62" s="1345"/>
      <c r="FC62" s="1321"/>
      <c r="FD62" s="1082" t="s">
        <v>1719</v>
      </c>
      <c r="FE62" s="1282">
        <f t="array" ref="FE62">IF(OR(ChoixRationComplèteEtéChevauxTrait=OUI,ChoixRationComplèteEtéChevauxTrait="",AND(ChoixChevauxTraitPréHiver=OUI,ChoixChevauxTraitPréEté=OUI)),0,IFERROR(IF(OR(AND(INDEX(Règles_chevaux_trait[Specificite],MATCH(RationEtéChevauxTrait&amp;$FD62,Règles_chevaux_trait[Ration]&amp;Règles_chevaux_trait[Aliment],0))="s1",IF($FD62=Spécificité1ChevauxTrait,1)),
AND(INDEX(Règles_chevaux_trait[Specificite],MATCH(RationEtéChevauxTrait&amp;$FD62,Règles_chevaux_trait[Ration]&amp;Règles_chevaux_trait[Aliment],0))="s2",IF($FD62=Spécificité2ChevauxTrait,1)),
INDEX(Règles_chevaux_trait[Specificite],MATCH(RationEtéChevauxTrait&amp;$FD62,Règles_chevaux_trait[Ration]&amp;Règles_chevaux_trait[Aliment],0))="c"),
INDEX(Règles_chevaux_trait[Valeur 36 et plus],MATCH(RationEtéChevauxTrait&amp;$FD62,Règles_chevaux_trait[Ration]&amp;Règles_chevaux_trait[Aliment],0)),0),0)*TotalEtalonTrait*SUM(NbreJoursNourrirChevauxTrait))</f>
        <v>0</v>
      </c>
      <c r="FF62" s="1282">
        <f t="array" ref="FF62">IF(OR(ChoixRationComplèteEtéChevauxTrait=OUI,ChoixRationComplèteEtéChevauxTrait="",AND(ChoixChevauxTraitPréHiver=OUI,ChoixChevauxTraitPréEté=OUI)),0,IFERROR(IF(OR(AND(INDEX(Règles_chevaux_trait[Specificite],MATCH(RationEtéChevauxTrait&amp;$FD62,Règles_chevaux_trait[Ration]&amp;Règles_chevaux_trait[Aliment],0))="s1",IF($FD62=Spécificité1ChevauxTrait,1)),
AND(INDEX(Règles_chevaux_trait[Specificite],MATCH(RationEtéChevauxTrait&amp;$FD62,Règles_chevaux_trait[Ration]&amp;Règles_chevaux_trait[Aliment],0))="s2",IF($FD62=Spécificité2ChevauxTrait,1)),
INDEX(Règles_chevaux_trait[Specificite],MATCH(RationEtéChevauxTrait&amp;$FD62,Règles_chevaux_trait[Ration]&amp;Règles_chevaux_trait[Aliment],0))="c"),
INDEX(Règles_chevaux_trait[Valeur 24-36],MATCH(RationEtéChevauxTrait&amp;$FD62,Règles_chevaux_trait[Ration]&amp;Règles_chevaux_trait[Aliment],0)),0),0)*TotalJeuneEtalonTrait_24_36_mois*SUM(NbreJoursNourrirChevauxTrait))</f>
        <v>0</v>
      </c>
      <c r="FG62" s="1282">
        <f t="array" ref="FG62">IF(OR(ChoixRationComplèteEtéChevauxTrait=OUI,ChoixRationComplèteEtéChevauxTrait="",AND(ChoixChevauxTraitPréHiver=OUI,ChoixChevauxTraitPréEté=OUI)),0,IFERROR(IF(OR(AND(INDEX(Règles_chevaux_trait[Specificite],MATCH(RationEtéChevauxTrait&amp;$FD62,Règles_chevaux_trait[Ration]&amp;Règles_chevaux_trait[Aliment],0))="s1",IF($FD62=Spécificité1ChevauxTrait,1)),
AND(INDEX(Règles_chevaux_trait[Specificite],MATCH(RationEtéChevauxTrait&amp;$FD62,Règles_chevaux_trait[Ration]&amp;Règles_chevaux_trait[Aliment],0))="s2",IF($FD62=Spécificité2ChevauxTrait,1)),
INDEX(Règles_chevaux_trait[Specificite],MATCH(RationEtéChevauxTrait&amp;$FD62,Règles_chevaux_trait[Ration]&amp;Règles_chevaux_trait[Aliment],0))="c"),
INDEX(Règles_chevaux_trait[Valeur 12-24],MATCH(RationEtéChevauxTrait&amp;$FD62,Règles_chevaux_trait[Ration]&amp;Règles_chevaux_trait[Aliment],0)),0),0)*TotalJeuneEtalonTrait_12_24_mois*SUM(NbreJoursNourrirChevauxTrait))</f>
        <v>0</v>
      </c>
      <c r="FH62" s="1285">
        <f t="array" ref="FH62">IF(OR(ChoixRationComplèteEtéChevauxTrait=OUI,ChoixRationComplèteEtéChevauxTrait="",AND(ChoixChevauxTraitPréHiver=OUI,ChoixChevauxTraitPréEté=OUI)),0,IFERROR(IF(OR(AND(INDEX(Règles_chevaux_trait[Specificite],MATCH(RationEtéChevauxTrait&amp;$FD62,Règles_chevaux_trait[Ration]&amp;Règles_chevaux_trait[Aliment],0))="s1",IF($FD62=Spécificité1ChevauxTrait,1)),
AND(INDEX(Règles_chevaux_trait[Specificite],MATCH(RationEtéChevauxTrait&amp;$FD62,Règles_chevaux_trait[Ration]&amp;Règles_chevaux_trait[Aliment],0))="s2",IF($FD62=Spécificité2ChevauxTrait,1)),
INDEX(Règles_chevaux_trait[Specificite],MATCH(RationEtéChevauxTrait&amp;$FD62,Règles_chevaux_trait[Ration]&amp;Règles_chevaux_trait[Aliment],0))="c"),
INDEX(Règles_chevaux_trait[Valeur 0-12],MATCH(RationEtéChevauxTrait&amp;$FD62,Règles_chevaux_trait[Ration]&amp;Règles_chevaux_trait[Aliment],0)),0),0)*TotalPoulainTrait_0_12_mois*SUM(NbreJoursNourrirChevauxTrait))</f>
        <v>0</v>
      </c>
      <c r="FI62" s="1285">
        <f t="shared" si="15"/>
        <v>0</v>
      </c>
      <c r="FJ62" s="1345"/>
      <c r="FK62" s="1345"/>
      <c r="FL62" s="1345"/>
      <c r="FM62" s="1321"/>
      <c r="FN62" s="1083" t="s">
        <v>1717</v>
      </c>
      <c r="FO62" s="1283">
        <f t="array" ref="FO62">IF(OR(ChoixRationComplèteEtéPoneys=OUI,ChoixRationComplèteEtéPoneys="",AND(ChoixPoneysPréHiver=OUI,ChoixPoneysPréEté=OUI)),0,IFERROR(IF(OR(AND(INDEX(Règles_poneys[Specificite],MATCH(RationEtéPoneys&amp;$FN62,Règles_poneys[Ration]&amp;Règles_poneys[Aliment],0))="s1",IF($FN62=Spécificité1Poneys,1)),
AND(INDEX(Règles_poneys[Specificite],MATCH(RationEtéPoneys&amp;$FN62,Règles_poneys[Ration]&amp;Règles_poneys[Aliment],0))="s2",IF($FN62=Spécificité2Poneys,1)),
INDEX(Règles_poneys[Specificite],MATCH(RationEtéPoneys&amp;$FN62,Règles_poneys[Ration]&amp;Règles_poneys[Aliment],0))="c"),
INDEX(Règles_poneys[Valeur 36 et plus],MATCH(RationEtéPoneys&amp;$FN62,Règles_poneys[Ration]&amp;Règles_poneys[Aliment],0)),0),0)*TotalEtalonPoney*SUM(NbreJoursNourrirPoneys))</f>
        <v>0</v>
      </c>
      <c r="FP62" s="1283">
        <f t="array" ref="FP62">IF(OR(ChoixRationComplèteEtéPoneys=OUI,ChoixRationComplèteEtéPoneys="",AND(ChoixPoneysPréHiver=OUI,ChoixPoneysPréEté=OUI)),0,IFERROR(IF(OR(AND(INDEX(Règles_poneys[Specificite],MATCH(RationEtéPoneys&amp;$FN62,Règles_poneys[Ration]&amp;Règles_poneys[Aliment],0))="s1",IF($FN62=Spécificité1Poneys,1)),
AND(INDEX(Règles_poneys[Specificite],MATCH(RationEtéPoneys&amp;$FN62,Règles_poneys[Ration]&amp;Règles_poneys[Aliment],0))="s2",IF($FN62=Spécificité2Poneys,1)),
INDEX(Règles_poneys[Specificite],MATCH(RationEtéPoneys&amp;$FN62,Règles_poneys[Ration]&amp;Règles_poneys[Aliment],0))="c"),
INDEX(Règles_poneys[Valeur 36 et plus],MATCH(RationEtéPoneys&amp;$FN62,Règles_poneys[Ration]&amp;Règles_poneys[Aliment],0)),0),0)*TotalJeuneEtalonPoney_24_36_mois*SUM(NbreJoursNourrirPoneys))</f>
        <v>0</v>
      </c>
      <c r="FQ62" s="1283">
        <f t="array" ref="FQ62">IF(OR(ChoixRationComplèteEtéPoneys=OUI,ChoixRationComplèteEtéPoneys="",AND(ChoixPoneysPréHiver=OUI,ChoixPoneysPréEté=OUI)),0,IFERROR(IF(OR(AND(INDEX(Règles_poneys[Specificite],MATCH(RationEtéPoneys&amp;$FN62,Règles_poneys[Ration]&amp;Règles_poneys[Aliment],0))="s1",IF($FN62=Spécificité1Poneys,1)),
AND(INDEX(Règles_poneys[Specificite],MATCH(RationEtéPoneys&amp;$FN62,Règles_poneys[Ration]&amp;Règles_poneys[Aliment],0))="s2",IF($FN62=Spécificité2Poneys,1)),
INDEX(Règles_poneys[Specificite],MATCH(RationEtéPoneys&amp;$FN62,Règles_poneys[Ration]&amp;Règles_poneys[Aliment],0))="c"),
INDEX(Règles_poneys[Valeur 36 et plus],MATCH(RationEtéPoneys&amp;$FN62,Règles_poneys[Ration]&amp;Règles_poneys[Aliment],0)),0),0)*TotalJeuneEtalonPoney_12_24_mois*SUM(NbreJoursNourrirPoneys))</f>
        <v>0</v>
      </c>
      <c r="FR62" s="1286">
        <f t="array" ref="FR62">IF(OR(ChoixRationComplèteEtéPoneys=OUI,ChoixRationComplèteEtéPoneys="",AND(ChoixPoneysPréHiver=OUI,ChoixPoneysPréEté=OUI)),0,IFERROR(IF(OR(AND(INDEX(Règles_poneys[Specificite],MATCH(RationEtéPoneys&amp;$FN62,Règles_poneys[Ration]&amp;Règles_poneys[Aliment],0))="s1",IF($FN62=Spécificité1Poneys,1)),
AND(INDEX(Règles_poneys[Specificite],MATCH(RationEtéPoneys&amp;$FN62,Règles_poneys[Ration]&amp;Règles_poneys[Aliment],0))="s2",IF($FN62=Spécificité2Poneys,1)),
INDEX(Règles_poneys[Specificite],MATCH(RationEtéPoneys&amp;$FN62,Règles_poneys[Ration]&amp;Règles_poneys[Aliment],0))="c"),
INDEX(Règles_poneys[Valeur 36 et plus],MATCH(RationEtéPoneys&amp;$FN62,Règles_poneys[Ration]&amp;Règles_poneys[Aliment],0)),0),0)*TotalPoulainPoney_0_12_mois*SUM(NbreJoursNourrirPoneys))</f>
        <v>0</v>
      </c>
      <c r="FS62" s="1286">
        <f t="shared" si="14"/>
        <v>0</v>
      </c>
      <c r="FT62" s="1345"/>
      <c r="FU62" s="1345"/>
      <c r="FV62" s="1345"/>
      <c r="FW62" s="823" t="s">
        <v>1271</v>
      </c>
      <c r="FX62" s="828">
        <f t="array" ref="FX6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62" s="828">
        <f t="array" ref="FY6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62" s="828">
        <f t="array" ref="FZ6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62" s="828">
        <f t="array" ref="GA6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62" s="829">
        <f>SUM(AlimentsGavageOies[[#This Row],[Valeur 3 et plus]:[Valeur 0-1]])</f>
        <v>0</v>
      </c>
      <c r="GC62" s="1364"/>
      <c r="GD62" s="1321"/>
      <c r="GE62" s="1143" t="s">
        <v>9</v>
      </c>
      <c r="GF62" s="1321"/>
      <c r="GG62" s="1321" t="s">
        <v>1349</v>
      </c>
      <c r="GH62" s="1321" t="s">
        <v>1349</v>
      </c>
      <c r="GI62" s="1321" t="s">
        <v>1349</v>
      </c>
      <c r="GJ62" s="1321" t="s">
        <v>1349</v>
      </c>
      <c r="GK62" s="1321" t="s">
        <v>1349</v>
      </c>
      <c r="GL62" s="1321" t="s">
        <v>1349</v>
      </c>
      <c r="GM62" s="1321" t="s">
        <v>1349</v>
      </c>
      <c r="GN62" s="1321" t="s">
        <v>1349</v>
      </c>
      <c r="GO62" s="1321" t="s">
        <v>1349</v>
      </c>
      <c r="GP62" s="1321" t="s">
        <v>1349</v>
      </c>
      <c r="GQ62" s="1321" t="s">
        <v>1349</v>
      </c>
      <c r="GR62" s="1321" t="s">
        <v>1349</v>
      </c>
      <c r="GS62" s="1321" t="s">
        <v>1349</v>
      </c>
      <c r="GT62" s="1321" t="s">
        <v>1349</v>
      </c>
      <c r="GU62" s="1321" t="s">
        <v>1349</v>
      </c>
      <c r="GV62" s="1321" t="s">
        <v>1349</v>
      </c>
      <c r="GW62" s="1321"/>
      <c r="GX62" s="1321"/>
      <c r="GY62" s="1083" t="str">
        <f t="shared" si="11"/>
        <v>semences de lentilles</v>
      </c>
      <c r="GZ62" s="1083"/>
      <c r="HA62" s="1084"/>
      <c r="HB62" s="1084">
        <f>IF(COUNTIF(TypeArticleDansEntrepôt,GY62)=0,0,SUMIF(TypeArticleDansEntrepôt,GY62,QtéArticleDansEntrepôt)*VLOOKUP(GY62,place_necessaire_entrepots_aire_paille[],2,FALSE))</f>
        <v>0</v>
      </c>
      <c r="HC62" s="1321"/>
      <c r="HD62" s="1321"/>
      <c r="HE62" s="1321"/>
      <c r="HF62" s="1321"/>
      <c r="HG62" s="1321"/>
      <c r="HH62" s="1321"/>
      <c r="HI62" s="1321"/>
      <c r="HJ62" s="1321"/>
      <c r="HK62" s="1321"/>
      <c r="HL62" s="1321"/>
      <c r="HM62" s="1321"/>
      <c r="HN62" s="1084" t="str">
        <f>IF(parcelles!B110="","",(VLOOKUP(parcelles!C110,BDD!$HN$5:$HU$38,2,FALSE))*parcelles!E110)</f>
        <v/>
      </c>
      <c r="HO62" s="1084" t="str">
        <f>IF(parcelles!B110="","",IF(OR(parcelles!C110=Moutarde,parcelles!C110=Phacélie),0,IF(parcelles!C110=Luzerne,10*parcelles!E110*VLOOKUP(parcelles!C110,BDD!$HN$5:$HU$38,3,FALSE),IF(parcelles!C110=Miscanthus,10.5*parcelles!E110*VLOOKUP(parcelles!C110,BDD!$HN$5:$HU$38,3,FALSE),INDEX(parcelles!$C$56:'parcelles'!$Y$77,MATCH(parcelles!B110,parcelles!$B$56:'parcelles'!$B$77,0),MATCH(parcelles!C110,parcelles!$C$53:'parcelles'!$Y$53,0))*parcelles!E110*VLOOKUP(parcelles!C110,BDD!$HN$5:$HU$38,3,FALSE)))))</f>
        <v/>
      </c>
      <c r="HP62" s="1084" t="str">
        <f>IF(parcelles!B110="","",IF(OR(parcelles!C110=Moutarde,parcelles!C110=Phacélie),0,IF(parcelles!C110=Luzerne,10*parcelles!E110*VLOOKUP(parcelles!C110,BDD!$HN$5:$HU$38,4,FALSE),IF(parcelles!C110=Miscanthus,10.5*parcelles!E110*VLOOKUP(parcelles!C110,BDD!$HN$5:$HU$38,4,FALSE),INDEX(parcelles!$C$56:'parcelles'!$Y$77,MATCH(parcelles!B110,parcelles!$B$56:'parcelles'!$B$77,0),MATCH(parcelles!C110,parcelles!$C$53:'parcelles'!$Y$53,0))*parcelles!E110*VLOOKUP(parcelles!C110,BDD!$HN$5:$HU$38,4,FALSE)))))</f>
        <v/>
      </c>
      <c r="HQ62" s="1084" t="str">
        <f>IF(parcelles!B110="","",IF(OR(parcelles!C110=Moutarde,parcelles!C110=Phacélie),0,IF(parcelles!C110=Luzerne,10*parcelles!E110*VLOOKUP(parcelles!C110,BDD!$HN$5:$HU$38,5,FALSE),IF(parcelles!C110=Miscanthus,10.5*parcelles!E110*VLOOKUP(parcelles!C110,BDD!$HN$5:$HU$38,5,FALSE),INDEX(parcelles!$C$56:'parcelles'!$Y$77,MATCH(parcelles!B110,parcelles!$B$56:'parcelles'!$B$77,0),MATCH(parcelles!C110,parcelles!$C$53:'parcelles'!$Y$53,0))*parcelles!E110*VLOOKUP(parcelles!C110,BDD!$HN$5:$HU$38,5,FALSE)))))</f>
        <v/>
      </c>
      <c r="HR62" s="1084" t="str">
        <f>IF(parcelles!B110="","",IF(OR(parcelles!C110=Moutarde,parcelles!C110=Phacélie),0,IF(parcelles!C110=Luzerne,10*parcelles!E110*VLOOKUP(parcelles!C110,BDD!$HN$5:$HU$38,6,FALSE),IF(parcelles!C110=Miscanthus,10.5*parcelles!E110*VLOOKUP(parcelles!C110,BDD!$HN$5:$HU$38,6,FALSE),INDEX(parcelles!$C$56:'parcelles'!$Y$77,MATCH(parcelles!B110,parcelles!$B$56:'parcelles'!$B$77,0),MATCH(parcelles!C110,parcelles!$C$53:'parcelles'!$Y$53,0))*parcelles!E110*VLOOKUP(parcelles!C110,BDD!$HN$5:$HU$38,6,FALSE)))))</f>
        <v/>
      </c>
      <c r="HS62" s="1084" t="str">
        <f>IF(parcelles!B110="","",IF(OR(parcelles!C110=Moutarde,parcelles!C110=Phacélie),0,IF(parcelles!C110=Luzerne,10*parcelles!E110*VLOOKUP(parcelles!C110,BDD!$HN$5:$HU$38,7,FALSE),IF(parcelles!C110=Miscanthus,10.5*parcelles!E110*VLOOKUP(parcelles!C110,BDD!$HN$5:$HU$38,7,FALSE),INDEX(parcelles!$C$56:'parcelles'!$Y$77,MATCH(parcelles!B110,parcelles!$B$56:'parcelles'!$B$77,0),MATCH(parcelles!C110,parcelles!$C$53:'parcelles'!$Y$53,0))*parcelles!E110*VLOOKUP(parcelles!C110,BDD!$HN$5:$HU$38,7,FALSE)))))</f>
        <v/>
      </c>
      <c r="HT62" s="1084" t="str">
        <f>IF(parcelles!B110="","",IF(OR(parcelles!C110=Moutarde,parcelles!C110=Phacélie),0,IF(parcelles!C110=Luzerne,10*parcelles!E110*VLOOKUP(parcelles!C110,BDD!$HN$5:$HU$38,8,FALSE),IF(parcelles!C110=Miscanthus,10.5*parcelles!E110*VLOOKUP(parcelles!C110,BDD!$HN$5:$HU$38,8,FALSE),INDEX(parcelles!$C$56:'parcelles'!$Y$77,MATCH(parcelles!B110,parcelles!$B$56:'parcelles'!$B$77,0),MATCH(parcelles!C110,parcelles!$C$53:'parcelles'!$Y$53,0))*parcelles!E110*VLOOKUP(parcelles!C110,BDD!$HN$5:$HU$38,8,FALSE)))))</f>
        <v/>
      </c>
      <c r="HU62" s="1084" t="str">
        <f>IF(parcelles!B110="","",IF(OR(parcelles!C110=Moutarde,parcelles!C110=Phacélie),0,1.6*parcelles!E110))</f>
        <v/>
      </c>
      <c r="HV62" s="1084" t="str">
        <f>IF(parcelles!B110="","",IF(OR(parcelles!C110=Moutarde,parcelles!C110=Phacélie),0,1.6*parcelles!E110))</f>
        <v/>
      </c>
      <c r="HW62" s="1084" t="str">
        <f>IF(parcelles!B110="","",IF(OR(parcelles!C110=Moutarde,parcelles!C110=Phacélie),0,1.6*parcelles!E110))</f>
        <v/>
      </c>
      <c r="HX62" s="1095" t="str">
        <f>IF(parcelles!D110="","",IF(parcelles!C110=ChanvreIndustriel,INDEX(parcelles!$C$56:$Y$77,MATCH(parcelles!B110,parcelles!$B$56:$B$77,0),MATCH(parcelles!C110,parcelles!$C$53:$Y$53,0))*parcelles!E110*SUMIF(ListeCulturesBDD,parcelles!C110,PrixVenteCulturesConventionnel)+RIGHT(BDD!$HM$7,3)*7*parcelles!E110,IF(parcelles!C110=Luzerne,parcelles!E110*10*VLOOKUP(parcelles!C110,TarifsCoopCultures,2,FALSE),IF(parcelles!C110=Miscanthus,parcelles!E110*10.5*VLOOKUP(Luzerne,TarifsCoopCultures,2,FALSE),INDEX(parcelles!$C$56:$Y$77,MATCH(parcelles!B110,parcelles!$B$56:$B$77,0),MATCH(parcelles!C110,parcelles!$C$53:$Y$53,0))*parcelles!E110*SUMIF(ListeCulturesBDD,parcelles!C110,PrixVenteCulturesConventionnel)))))</f>
        <v/>
      </c>
      <c r="HY62" s="1084" t="str">
        <f>IF(parcelles!D110="","",IF(parcelles!F110=0,"",IF(parcelles!C110=ChanvreIndustriel,"soit "&amp;parcelles!E110*0.8&amp;"t de grain et "&amp;parcelles!E110*7&amp;"t de paille",IF(parcelles!C110=Luzerne,"soit "&amp;10*parcelles!E110&amp;"t/an",IF(parcelles!C110=Miscanthus,"soit "&amp;10.5*parcelles!E110&amp;"t/an","soit "&amp;INDEX(parcelles!$C$56:$Y$77,MATCH(parcelles!B110,parcelles!$B$56:$B$77,0),MATCH(parcelles!C110,parcelles!$C$53:$Y$53,0))*parcelles!E110&amp;"t")))))</f>
        <v/>
      </c>
      <c r="HZ62" s="1084" t="str">
        <f>IF(parcelles!D110="","",IF(parcelles!F110=0,"",IF(parcelles!C110=ChanvreIndustriel,"soit "&amp;parcelles!E110*0.8*0.8&amp;"t de grain et "&amp;parcelles!E110*7*0.8&amp;"t de paille",IF(parcelles!C110=Luzerne,"soit "&amp;10*0.8*parcelles!E110&amp;"t/an",IF(parcelles!C110=Miscanthus,"soit "&amp;10.5*0.8*parcelles!E110&amp;"t/an","soit "&amp;INDEX(parcelles!$C$56:$Y$77,MATCH(parcelles!B110,parcelles!$B$56:$B$77,0),MATCH(parcelles!C110,parcelles!$C$53:$Y$53,0))*0.8*parcelles!E110&amp;"t")))))</f>
        <v/>
      </c>
      <c r="IA62" s="1084" t="str">
        <f>IF(parcelles!L110="","",(VLOOKUP(parcelles!M110,BDD!$HN$5:$HU$38,2,FALSE))*parcelles!O110)</f>
        <v/>
      </c>
      <c r="IB62" s="1084" t="str">
        <f>IF(parcelles!L110="","",IF(OR(parcelles!M110=Moutarde,parcelles!M110=Phacélie),0,IF(parcelles!M110=Luzerne,10*parcelles!O110*VLOOKUP(parcelles!M110,BDD!$HN$5:$HU$38,3,FALSE),IF(parcelles!M110=Miscanthus,10.5*parcelles!O110*VLOOKUP(parcelles!M110,BDD!$HN$5:$HU$38,3,FALSE),INDEX(parcelles!$C$56:'parcelles'!$Y$77,MATCH(parcelles!L110,parcelles!$B$56:'parcelles'!$B$77,0),MATCH(parcelles!M110,parcelles!$C$53:'parcelles'!$Y$53,0))*parcelles!O110*VLOOKUP(parcelles!M110,BDD!$HN$5:$HU$38,3,FALSE)))))</f>
        <v/>
      </c>
      <c r="IC62" s="1084" t="str">
        <f>IF(parcelles!L110="","",IF(OR(parcelles!M110=Moutarde,parcelles!M110=Phacélie),0,IF(parcelles!M110=Luzerne,10*parcelles!O110*VLOOKUP(parcelles!M110,BDD!$HN$5:$HU$38,4,FALSE),IF(parcelles!M110=Miscanthus,10.5*parcelles!O110*VLOOKUP(parcelles!M110,BDD!$HN$5:$HU$38,4,FALSE),INDEX(parcelles!$C$56:'parcelles'!$Y$77,MATCH(parcelles!L110,parcelles!$B$56:'parcelles'!$B$77,0),MATCH(parcelles!M110,parcelles!$C$53:'parcelles'!$Y$53,0))*parcelles!O110*VLOOKUP(parcelles!M110,BDD!$HN$5:$HU$38,4,FALSE)))))</f>
        <v/>
      </c>
      <c r="ID62" s="1084" t="str">
        <f>IF(parcelles!L110="","",IF(OR(parcelles!M110=Moutarde,parcelles!M110=Phacélie),0,IF(parcelles!M110=Luzerne,10*parcelles!O110*VLOOKUP(parcelles!M110,BDD!$HN$5:$HU$38,5,FALSE),IF(parcelles!M110=Miscanthus,10.5*parcelles!O110*VLOOKUP(parcelles!M110,BDD!$HN$5:$HU$38,5,FALSE),INDEX(parcelles!$C$56:'parcelles'!$Y$77,MATCH(parcelles!L110,parcelles!$B$56:'parcelles'!$B$77,0),MATCH(parcelles!M110,parcelles!$C$53:'parcelles'!$Y$53,0))*parcelles!O110*VLOOKUP(parcelles!M110,BDD!$HN$5:$HU$38,5,FALSE)))))</f>
        <v/>
      </c>
      <c r="IE62" s="1084" t="str">
        <f>IF(parcelles!L110="","",IF(OR(parcelles!M110=Moutarde,parcelles!M110=Phacélie),0,IF(parcelles!M110=Luzerne,10*parcelles!O110*VLOOKUP(parcelles!M110,BDD!$HN$5:$HU$38,6,FALSE),IF(parcelles!M110=Miscanthus,10.5*parcelles!O110*VLOOKUP(parcelles!M110,BDD!$HN$5:$HU$38,6,FALSE),INDEX(parcelles!$C$56:'parcelles'!$Y$77,MATCH(parcelles!L110,parcelles!$B$56:'parcelles'!$B$77,0),MATCH(parcelles!M110,parcelles!$C$53:'parcelles'!$Y$53,0))*parcelles!O110*VLOOKUP(parcelles!M110,BDD!$HN$5:$HU$38,6,FALSE)))))</f>
        <v/>
      </c>
      <c r="IF62" s="1084" t="str">
        <f>IF(parcelles!L110="","",IF(OR(parcelles!M110=Moutarde,parcelles!M110=Phacélie),0,IF(parcelles!M110=Luzerne,10*parcelles!O110*VLOOKUP(parcelles!M110,BDD!$HN$5:$HU$38,7,FALSE),IF(parcelles!M110=Miscanthus,10.5*parcelles!O110*VLOOKUP(parcelles!M110,BDD!$HN$5:$HU$38,7,FALSE),INDEX(parcelles!$C$56:'parcelles'!$Y$77,MATCH(parcelles!L110,parcelles!$B$56:'parcelles'!$B$77,0),MATCH(parcelles!M110,parcelles!$C$53:'parcelles'!$Y$53,0))*parcelles!O110*VLOOKUP(parcelles!M110,BDD!$HN$5:$HU$38,7,FALSE)))))</f>
        <v/>
      </c>
      <c r="IG62" s="1084" t="str">
        <f>IF(parcelles!L110="","",IF(OR(parcelles!M110=Moutarde,parcelles!M110=Phacélie),0,IF(parcelles!M110=Luzerne,10*parcelles!O110*VLOOKUP(parcelles!M110,BDD!$HN$5:$HU$38,8,FALSE),IF(parcelles!M110=Miscanthus,10.5*parcelles!O110*VLOOKUP(parcelles!M110,BDD!$HN$5:$HU$38,8,FALSE),INDEX(parcelles!$C$56:'parcelles'!$Y$77,MATCH(parcelles!L110,parcelles!$B$56:'parcelles'!$B$77,0),MATCH(parcelles!M110,parcelles!$C$53:'parcelles'!$Y$53,0))*parcelles!O110*VLOOKUP(parcelles!M110,BDD!$HN$5:$HU$38,8,FALSE)))))</f>
        <v/>
      </c>
      <c r="IH62" s="1084" t="str">
        <f>IF(parcelles!L110="","",IF(OR(parcelles!L110=Moutarde,parcelles!L110=Phacélie),0,1.6*parcelles!O110))</f>
        <v/>
      </c>
      <c r="II62" s="1084" t="str">
        <f>IF(parcelles!L110="","",IF(OR(parcelles!L110=Moutarde,parcelles!L110=Phacélie),0,1.6*parcelles!O110))</f>
        <v/>
      </c>
      <c r="IJ62" s="1084" t="str">
        <f>IF(parcelles!L110="","",IF(OR(parcelles!L110=Moutarde,parcelles!L110=Phacélie),0,1.6*parcelles!O110))</f>
        <v/>
      </c>
      <c r="IK62" s="1084" t="str">
        <f>IF(parcelles!P110="","",IF(parcelles!R110=0,"",IF(parcelles!O110=ChanvreIndustriel,"soit "&amp;parcelles!Q110*0.8&amp;"t de grain et "&amp;parcelles!Q110*7&amp;"t de paille",IF(parcelles!O110=Luzerne,"soit "&amp;10*parcelles!Q110&amp;"t/an",IF(parcelles!O110=Miscanthus,"soit "&amp;10.5*parcelles!Q110&amp;"t/an","soit "&amp;INDEX(parcelles!$C$56:$Y$77,MATCH(parcelles!N110,parcelles!$B$56:$B$77,0),MATCH(parcelles!O110,parcelles!$C$53:$Y$53,0))*parcelles!Q110&amp;"t")))))</f>
        <v/>
      </c>
      <c r="IL62" s="1084" t="str">
        <f>IF(parcelles!P110="","",IF(parcelles!R110=0,"",IF(parcelles!O110=ChanvreIndustriel,"soit "&amp;parcelles!Q110*0.8*0.8&amp;"t de grain et "&amp;parcelles!Q110*7*0.8&amp;"t de paille",IF(parcelles!O110=Luzerne,"soit "&amp;10*0.8*parcelles!Q110&amp;"t/an",IF(parcelles!O110=Miscanthus,"soit "&amp;10.5*0.8*parcelles!Q110&amp;"t/an","soit "&amp;INDEX(parcelles!$C$56:$Y$77,MATCH(parcelles!N110,parcelles!$B$56:$B$77,0),MATCH(parcelles!O110,parcelles!$C$53:$Y$53,0))*0.8*parcelles!Q110&amp;"t")))))</f>
        <v/>
      </c>
      <c r="IM62" s="1084" t="str">
        <f>IF(parcelles!S110="","",IF(parcelles!U110=0,"",IF(parcelles!R110=ChanvreIndustriel,parcelles!T110*0.8*0.8+parcelles!T110*7*0.8,IF(parcelles!R110=Luzerne,10*0.8*parcelles!T110,IF(parcelles!R110=Miscanthus,10.5*0.8*parcelles!T110,INDEX(parcelles!$C$56:$Y$77,MATCH(parcelles!Q110,parcelles!$B$56:$B$77,0),MATCH(parcelles!R110,parcelles!$C$53:$Y$53,0))*0.8*parcelles!T110)))))</f>
        <v/>
      </c>
      <c r="IN62" s="1368"/>
    </row>
    <row r="63" spans="1:248" ht="12.75" customHeight="1" x14ac:dyDescent="0.2">
      <c r="A63" s="1307" t="s">
        <v>368</v>
      </c>
      <c r="B63" s="1241">
        <f t="shared" si="17"/>
        <v>1E-3</v>
      </c>
      <c r="C63" s="1321"/>
      <c r="D63" s="1321"/>
      <c r="E63" s="1321"/>
      <c r="F63" s="1143" t="s">
        <v>673</v>
      </c>
      <c r="G63" s="1143">
        <v>8</v>
      </c>
      <c r="H63" s="1143" t="s">
        <v>867</v>
      </c>
      <c r="I63" s="1143" t="s">
        <v>1218</v>
      </c>
      <c r="J63" s="1143" t="s">
        <v>868</v>
      </c>
      <c r="K63" s="1143">
        <v>0</v>
      </c>
      <c r="L63" s="1143" t="s">
        <v>1218</v>
      </c>
      <c r="M63" s="1143">
        <v>0</v>
      </c>
      <c r="N63" s="1321"/>
      <c r="O63" s="1321"/>
      <c r="P63" s="1321"/>
      <c r="Q63" s="1321"/>
      <c r="R63" s="1321"/>
      <c r="S63" s="1321"/>
      <c r="T63" s="1321"/>
      <c r="U63" s="1321"/>
      <c r="V63" s="1321"/>
      <c r="W63" s="1321"/>
      <c r="X63" s="1321"/>
      <c r="Y63" s="1321"/>
      <c r="Z63" s="1321"/>
      <c r="AA63" s="1321"/>
      <c r="AB63" s="1321"/>
      <c r="AC63" s="1321"/>
      <c r="AD63" s="1321"/>
      <c r="AE63" s="1321"/>
      <c r="AF63" s="1321"/>
      <c r="AG63" s="1321"/>
      <c r="AH63" s="1321"/>
      <c r="AI63" s="1321"/>
      <c r="AJ63" s="1321"/>
      <c r="AK63" s="1321"/>
      <c r="AL63" s="1321"/>
      <c r="AM63" s="1321"/>
      <c r="AN63" s="1321"/>
      <c r="AO63" s="1321"/>
      <c r="AP63" s="1321"/>
      <c r="AQ63" s="1321"/>
      <c r="AR63" s="1321"/>
      <c r="AS63" s="1321"/>
      <c r="AT63" s="1321"/>
      <c r="AU63" s="1321"/>
      <c r="AV63" s="1321"/>
      <c r="AW63" s="1321"/>
      <c r="AX63" s="1321"/>
      <c r="AY63" s="1321"/>
      <c r="AZ63" s="1321"/>
      <c r="BA63" s="1321"/>
      <c r="BB63" s="1236" t="s">
        <v>724</v>
      </c>
      <c r="BC63" s="1190" t="s">
        <v>285</v>
      </c>
      <c r="BD63" s="1190" t="s">
        <v>1253</v>
      </c>
      <c r="BE63" s="1237">
        <v>7.2</v>
      </c>
      <c r="BF63" s="1237">
        <v>6</v>
      </c>
      <c r="BG63" s="1237">
        <v>4</v>
      </c>
      <c r="BH63" s="1237">
        <v>2</v>
      </c>
      <c r="BI63" s="1237">
        <v>1.2</v>
      </c>
      <c r="BJ63" s="1237">
        <v>0.6</v>
      </c>
      <c r="BK63" s="1238">
        <v>0</v>
      </c>
      <c r="BL63" s="1348"/>
      <c r="BM63" s="1075" t="s">
        <v>63</v>
      </c>
      <c r="BN63" s="1075">
        <f t="array" ref="BN63">IF(Ration_hivernale_complète_bisons[somme]&gt;0,0,IFERROR(IF(OR(AND(INDEX(Règles_bison[Specificite],MATCH(ChoixRationBisons&amp;$BM63,Règles_bison[Ration]&amp;Règles_bison[Aliment],0))="s1",IF($BM63=ChoixSpécificité1Bisons,1)),
AND(INDEX(Règles_bison[Specificite],MATCH(ChoixRationBisons&amp;$BM63,Règles_bison[Ration]&amp;Règles_bison[Aliment],0))="s2",IF($BM63=ChoixSpécificité2Bisons,1)),INDEX(Règles_bison[Specificite],MATCH(ChoixRationBisons&amp;$BM63,Règles_bison[Ration]&amp;Règles_bison[Aliment],0))="c"),
INDEX(Règles_bison[Valeur 36 et plus],MATCH(ChoixRationBisons&amp;$BM63,Règles_bison[Ration]&amp;Règles_bison[Aliment],0)),0),0)*TotalBisonsMalesAdultes*SUM(NbreJoursNourrirBisonsDaims))</f>
        <v>0</v>
      </c>
      <c r="BO63" s="1075">
        <f t="array" ref="BO63">IF(Ration_hivernale_complète_bisons[somme]&gt;0,0,IFERROR(IF(OR(AND(INDEX(Règles_bison[Specificite],MATCH(ChoixRationBisons&amp;$BM63,Règles_bison[Ration]&amp;Règles_bison[Aliment],0))="s1",IF($BM63=ChoixSpécificité1Bisons,1)),
AND(INDEX(Règles_bison[Specificite],MATCH(ChoixRationBisons&amp;$BM63,Règles_bison[Ration]&amp;Règles_bison[Aliment],0))="s2",IF($BM63=ChoixSpécificité2Bisons,1)),INDEX(Règles_bison[Specificite],MATCH(ChoixRationBisons&amp;$BM63,Règles_bison[Ration]&amp;Règles_bison[Aliment],0))="c"),
INDEX(Règles_bison[Valeur 24-36],MATCH(ChoixRationBisons&amp;$BM63,Règles_bison[Ration]&amp;Règles_bison[Aliment],0)),0),0)*TotalBisonsMales_24_36_mois*SUM(NbreJoursNourrirBisonsDaims))</f>
        <v>0</v>
      </c>
      <c r="BP63" s="1075">
        <f t="array" ref="BP63">IF(Ration_hivernale_complète_bisons[somme]&gt;0,0,IFERROR(IF(OR(AND(INDEX(Règles_bison[Specificite],MATCH(ChoixRationBisons&amp;$BM63,Règles_bison[Ration]&amp;Règles_bison[Aliment],0))="s1",IF($BM63=ChoixSpécificité1Bisons,1)),
AND(INDEX(Règles_bison[Specificite],MATCH(ChoixRationBisons&amp;$BM63,Règles_bison[Ration]&amp;Règles_bison[Aliment],0))="s2",IF($BM63=ChoixSpécificité2Bisons,1)),INDEX(Règles_bison[Specificite],MATCH(ChoixRationBisons&amp;$BM63,Règles_bison[Ration]&amp;Règles_bison[Aliment],0))="c"),
INDEX(Règles_bison[Valeur 18-24],MATCH(ChoixRationBisons&amp;$BM63,Règles_bison[Ration]&amp;Règles_bison[Aliment],0)),0),0)*TotalBisonsMales_18_24_mois*SUM(NbreJoursNourrirBisonsDaims))</f>
        <v>0</v>
      </c>
      <c r="BQ63" s="1075">
        <f t="array" ref="BQ63">IF(Ration_hivernale_complète_bisons[somme]&gt;0,0,IFERROR(IF(OR(AND(INDEX(Règles_bison[Specificite],MATCH(ChoixRationBisons&amp;$BM63,Règles_bison[Ration]&amp;Règles_bison[Aliment],0))="s1",IF($BM63=ChoixSpécificité1Bisons,1)),
AND(INDEX(Règles_bison[Specificite],MATCH(ChoixRationBisons&amp;$BM63,Règles_bison[Ration]&amp;Règles_bison[Aliment],0))="s2",IF($BM63=ChoixSpécificité2Bisons,1)),INDEX(Règles_bison[Specificite],MATCH(ChoixRationBisons&amp;$BM63,Règles_bison[Ration]&amp;Règles_bison[Aliment],0))="c"),
INDEX(Règles_bison[Valeur 12-18],MATCH(ChoixRationBisons&amp;$BM63,Règles_bison[Ration]&amp;Règles_bison[Aliment],0)),0),0)*TotalBisonsMales_12_18_mois*SUM(NbreJoursNourrirBisonsDaims))</f>
        <v>0</v>
      </c>
      <c r="BR63" s="1075">
        <f t="array" ref="BR63">IF(Ration_hivernale_complète_bisons[somme]&gt;0,0,IFERROR(IF(OR(AND(INDEX(Règles_bison[Specificite],MATCH(ChoixRationBisons&amp;$BM63,Règles_bison[Ration]&amp;Règles_bison[Aliment],0))="s1",IF($BM63=ChoixSpécificité1Bisons,1)),
AND(INDEX(Règles_bison[Specificite],MATCH(ChoixRationBisons&amp;$BM63,Règles_bison[Ration]&amp;Règles_bison[Aliment],0))="s2",IF($BM63=ChoixSpécificité2Bisons,1)),INDEX(Règles_bison[Specificite],MATCH(ChoixRationBisons&amp;$BM63,Règles_bison[Ration]&amp;Règles_bison[Aliment],0))="c"),
INDEX(Règles_bison[Valeur 6-12],MATCH(ChoixRationBisons&amp;$BM63,Règles_bison[Ration]&amp;Règles_bison[Aliment],0)),0),0)*TotalBisonsMales_6_12_mois*SUM(NbreJoursNourrirBisonsDaims))</f>
        <v>0</v>
      </c>
      <c r="BS63" s="1075">
        <f t="array" ref="BS63">IF(Ration_hivernale_complète_bisons[somme]&gt;0,0,IFERROR(IF(OR(AND(INDEX(Règles_bison[Specificite],MATCH(ChoixRationBisons&amp;$BM63,Règles_bison[Ration]&amp;Règles_bison[Aliment],0))="s1",IF($BM63=ChoixSpécificité1Bisons,1)),
AND(INDEX(Règles_bison[Specificite],MATCH(ChoixRationBisons&amp;$BM63,Règles_bison[Ration]&amp;Règles_bison[Aliment],0))="s2",IF($BM63=ChoixSpécificité2Bisons,1)),INDEX(Règles_bison[Specificite],MATCH(ChoixRationBisons&amp;$BM63,Règles_bison[Ration]&amp;Règles_bison[Aliment],0))="c"),
INDEX(Règles_bison[Valeur 3-6],MATCH(ChoixRationBisons&amp;$BM63,Règles_bison[Ration]&amp;Règles_bison[Aliment],0)),0),0)*TotalBisonsMales_3_6_mois*SUM(NbreJoursNourrirBisonsDaims))</f>
        <v>0</v>
      </c>
      <c r="BT63" s="1075">
        <f t="array" ref="BT63">IF(Ration_hivernale_complète_bisons[somme]&gt;0,0,IFERROR(IF(OR(AND(INDEX(Règles_bison[Specificite],MATCH(ChoixRationBisons&amp;$BM63,Règles_bison[Ration]&amp;Règles_bison[Aliment],0))="s1",IF($BM63=ChoixSpécificité1Bisons,1)),
AND(INDEX(Règles_bison[Specificite],MATCH(ChoixRationBisons&amp;$BM63,Règles_bison[Ration]&amp;Règles_bison[Aliment],0))="s2",IF($BM63=ChoixSpécificité2Bisons,1)),INDEX(Règles_bison[Specificite],MATCH(ChoixRationBisons&amp;$BM63,Règles_bison[Ration]&amp;Règles_bison[Aliment],0))="c"),
INDEX(Règles_bison[Valeur 0-3],MATCH(ChoixRationBisons&amp;$BM63,Règles_bison[Ration]&amp;Règles_bison[Aliment],0)),0),0)*TotalBisonsMales_0_3_mois*SUM(NbreJoursNourrirBisonsDaims))</f>
        <v>0</v>
      </c>
      <c r="BU63" s="1075">
        <f t="shared" si="10"/>
        <v>0</v>
      </c>
      <c r="BV63" s="1345"/>
      <c r="BW63" s="1345"/>
      <c r="BX63" s="1176" t="s">
        <v>762</v>
      </c>
      <c r="BY63" s="1177" t="s">
        <v>1271</v>
      </c>
      <c r="BZ63" s="1177" t="s">
        <v>1252</v>
      </c>
      <c r="CA63" s="1177">
        <v>0.08</v>
      </c>
      <c r="CB63" s="1177">
        <v>0.04</v>
      </c>
      <c r="CC63" s="1177">
        <v>0.04</v>
      </c>
      <c r="CD63" s="1199">
        <v>0.04</v>
      </c>
      <c r="CE63" s="1350"/>
      <c r="CF63" s="1350"/>
      <c r="CG63" s="1350"/>
      <c r="CH63" s="1350"/>
      <c r="CI63" s="1321"/>
      <c r="CJ63" s="808" t="s">
        <v>298</v>
      </c>
      <c r="CK63" s="788">
        <f t="array" ref="CK6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63" s="788">
        <f t="array" ref="CL6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63" s="788">
        <f t="array" ref="CM6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63" s="788">
        <f t="array" ref="CN6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63" s="788">
        <f t="array" ref="CO6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63" s="812">
        <f>SUM(AlimentsRationPorcinsMâles[[#This Row],[Valeur 12 et plus]:[Valeur 0-1]])</f>
        <v>0</v>
      </c>
      <c r="CQ63" s="1321"/>
      <c r="CR63" s="1321"/>
      <c r="CS63" s="808" t="s">
        <v>714</v>
      </c>
      <c r="CT63" s="817">
        <f t="array" ref="CT6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63" s="817">
        <f t="array" ref="CU6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63" s="817">
        <f t="array" ref="CV6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63" s="818">
        <f>SUM(AlimentsRationLapinsMâles[[#This Row],[Valeur 3 et plus]:[Valeur 0-1]])</f>
        <v>0</v>
      </c>
      <c r="CX63" s="1321"/>
      <c r="CY63" s="1321"/>
      <c r="CZ63" s="808" t="s">
        <v>714</v>
      </c>
      <c r="DA63" s="817">
        <f t="array" ref="DA6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63" s="817">
        <f t="array" ref="DB6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63" s="817">
        <f t="array" ref="DC6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63" s="818">
        <f>SUM(AlimentsRationVolaillesMâles[[#This Row],[Valeur 6 et plus]:[Valeur 0-1]])</f>
        <v>0</v>
      </c>
      <c r="DE63" s="1364"/>
      <c r="DF63" s="1321"/>
      <c r="DG63" s="808" t="s">
        <v>332</v>
      </c>
      <c r="DH63" s="817">
        <f t="array" ref="DH6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63" s="817">
        <f t="array" ref="DI6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63" s="817">
        <f t="array" ref="DJ6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63" s="818">
        <f>SUM(AlimentsRationPintadesMâles[[#This Row],[Valeur 9 et plus]:[Valeur 0-1]])</f>
        <v>0</v>
      </c>
      <c r="DL63" s="1364"/>
      <c r="DM63" s="1364"/>
      <c r="DN63" s="1321"/>
      <c r="DO63" s="1321"/>
      <c r="DP63" s="1321"/>
      <c r="DQ63" s="1321"/>
      <c r="DR63" s="1321"/>
      <c r="DS63" s="1345"/>
      <c r="DT63" s="1346"/>
      <c r="DU63" s="1346"/>
      <c r="DV63" s="1075" t="s">
        <v>1274</v>
      </c>
      <c r="DW63" s="1269">
        <f t="array" ref="DW63">IF(ChoixRationComplèteDaims=OUI,0,IFERROR(IF(OR(AND(INDEX(Règles_daims[Specificite],MATCH(ChoixRationDaims&amp;DV63,Règles_daims[Ration]&amp;Règles_daims[Aliment],0))="s1",IF(DV63=Spécificité1Daims,1)),
AND(INDEX(Règles_daims[Specificite],MATCH(ChoixRationDaims&amp;DV63,Règles_daims[Ration]&amp;Règles_daims[Aliment],0))="s2",IF(DV63=Spécificité2Daims,1)),
INDEX(Règles_daims[Specificite],MATCH(ChoixRationDaims&amp;DV63,Règles_daims[Ration]&amp;Règles_daims[Aliment],0))="c"),
INDEX(Règles_daims[Valeur 36 et plus],MATCH(ChoixRationDaims&amp;DV63,Règles_daims[Ration]&amp;Règles_daims[Aliment],0)),0),0)*SUM(TotalDaimsAdultes)*SUM(NbreJoursNourrirBisonsDaims))</f>
        <v>0</v>
      </c>
      <c r="DX63" s="1269">
        <f t="array" ref="DX63">IF(ChoixRationComplèteDaims=OUI,0,IFERROR(IF(OR(AND(INDEX(Règles_daims[Specificite],MATCH(ChoixRationDaims&amp;DV63,Règles_daims[Ration]&amp;Règles_daims[Aliment],0))="s1",IF(DV63=Spécificité1Daims,1)),
AND(INDEX(Règles_daims[Specificite],MATCH(ChoixRationDaims&amp;DV63,Règles_daims[Ration]&amp;Règles_daims[Aliment],0))="s2",IF(DV63=Spécificité2Daims,1)),
INDEX(Règles_daims[Specificite],MATCH(ChoixRationDaims&amp;DV63,Règles_daims[Ration]&amp;Règles_daims[Aliment],0))="c"),
INDEX(Règles_daims[Valeur 24-36],MATCH(ChoixRationDaims&amp;DV63,Règles_daims[Ration]&amp;Règles_daims[Aliment],0)),0),0)*SUM(TotalDaims24_36)*SUM(NbreJoursNourrirBisonsDaims))</f>
        <v>0</v>
      </c>
      <c r="DY63" s="1269">
        <f t="array" ref="DY63">IF(ChoixRationComplèteDaims=OUI,0,IFERROR(IF(OR(AND(INDEX(Règles_daims[Specificite],MATCH(ChoixRationDaims&amp;DV63,Règles_daims[Ration]&amp;Règles_daims[Aliment],0))="s1",IF(DV63=Spécificité1Daims,1)),
AND(INDEX(Règles_daims[Specificite],MATCH(ChoixRationDaims&amp;DV63,Règles_daims[Ration]&amp;Règles_daims[Aliment],0))="s2",IF(DV63=Spécificité2Daims,1)),
INDEX(Règles_daims[Specificite],MATCH(ChoixRationDaims&amp;DV63,Règles_daims[Ration]&amp;Règles_daims[Aliment],0))="c"),
INDEX(Règles_daims[Valeur 18-24],MATCH(ChoixRationDaims&amp;DV63,Règles_daims[Ration]&amp;Règles_daims[Aliment],0)),0),0)*SUM(TotalDaims18_24)*SUM(NbreJoursNourrirBisonsDaims))</f>
        <v>0</v>
      </c>
      <c r="DZ63" s="1280">
        <f t="array" ref="DZ63">IF(ChoixRationComplèteDaims=OUI,0,IFERROR(IF(OR(AND(INDEX(Règles_daims[Specificite],MATCH(ChoixRationDaims&amp;DV63,Règles_daims[Ration]&amp;Règles_daims[Aliment],0))="s1",IF(DV63=Spécificité1Daims,1)),
AND(INDEX(Règles_daims[Specificite],MATCH(ChoixRationDaims&amp;DV63,Règles_daims[Ration]&amp;Règles_daims[Aliment],0))="s2",IF(DV63=Spécificité2Daims,1)),
INDEX(Règles_daims[Specificite],MATCH(ChoixRationDaims&amp;DV63,Règles_daims[Ration]&amp;Règles_daims[Aliment],0))="c"),
INDEX(Règles_daims[Valeur 12-18],MATCH(ChoixRationDaims&amp;DV63,Règles_daims[Ration]&amp;Règles_daims[Aliment],0)),0),0)*SUM(TotalDaims12_18)*SUM(NbreJoursNourrirBisonsDaims))</f>
        <v>0</v>
      </c>
      <c r="EA63" s="1280">
        <f t="array" ref="EA63">IF(ChoixRationComplèteDaims=OUI,0,IFERROR(IF(OR(AND(INDEX(Règles_daims[Specificite],MATCH(ChoixRationDaims&amp;DV63,Règles_daims[Ration]&amp;Règles_daims[Aliment],0))="s1",IF(DV63=Spécificité1Daims,1)),
AND(INDEX(Règles_daims[Specificite],MATCH(ChoixRationDaims&amp;DV63,Règles_daims[Ration]&amp;Règles_daims[Aliment],0))="s2",IF(DV63=Spécificité2Daims,1)),
INDEX(Règles_daims[Specificite],MATCH(ChoixRationDaims&amp;DV63,Règles_daims[Ration]&amp;Règles_daims[Aliment],0))="c"),
INDEX(Règles_daims[Valeur 6-12],MATCH(ChoixRationDaims&amp;DV63,Règles_daims[Ration]&amp;Règles_daims[Aliment],0)),0),0)*SUM(TotalDaims6_12)*SUM(NbreJoursNourrirBisonsDaims))</f>
        <v>0</v>
      </c>
      <c r="EB63" s="1280">
        <f t="array" ref="EB63">IF(ChoixRationComplèteDaims=OUI,0,IFERROR(IF(OR(AND(INDEX(Règles_daims[Specificite],MATCH(ChoixRationDaims&amp;DV63,Règles_daims[Ration]&amp;Règles_daims[Aliment],0))="s1",IF(DV63=Spécificité1Daims,1)),
AND(INDEX(Règles_daims[Specificite],MATCH(ChoixRationDaims&amp;DV63,Règles_daims[Ration]&amp;Règles_daims[Aliment],0))="s2",IF(DV63=Spécificité2Daims,1)),
INDEX(Règles_daims[Specificite],MATCH(ChoixRationDaims&amp;DV63,Règles_daims[Ration]&amp;Règles_daims[Aliment],0))="c"),
INDEX(Règles_daims[Valeur 3-6],MATCH(ChoixRationDaims&amp;DV63,Règles_daims[Ration]&amp;Règles_daims[Aliment],0)),0),0)*SUM(TotalDaims3_6)*SUM(NbreJoursNourrirBisonsDaims))</f>
        <v>0</v>
      </c>
      <c r="EC63" s="1280">
        <f t="array" ref="EC63">IF(ChoixRationComplèteDaims=OUI,0,IFERROR(IF(OR(AND(INDEX(Règles_daims[Specificite],MATCH(ChoixRationDaims&amp;DV63,Règles_daims[Ration]&amp;Règles_daims[Aliment],0))="s1",IF(DV63=Spécificité1Daims,1)),
AND(INDEX(Règles_daims[Specificite],MATCH(ChoixRationDaims&amp;DV63,Règles_daims[Ration]&amp;Règles_daims[Aliment],0))="s2",IF(DV63=Spécificité2Daims,1)),
INDEX(Règles_daims[Specificite],MATCH(ChoixRationDaims&amp;DV63,Règles_daims[Ration]&amp;Règles_daims[Aliment],0))="c"),
INDEX(Règles_daims[Valeur 0-3],MATCH(ChoixRationDaims&amp;DV63,Règles_daims[Ration]&amp;Règles_daims[Aliment],0)),0),0)*SUM(TotalDaims0_3)*SUM(NbreJoursNourrirBisonsDaims))</f>
        <v>0</v>
      </c>
      <c r="ED63" s="1280">
        <f t="shared" si="9"/>
        <v>0</v>
      </c>
      <c r="EE63" s="1345"/>
      <c r="EF63" s="1321"/>
      <c r="EG63" s="808" t="s">
        <v>728</v>
      </c>
      <c r="EH63" s="817">
        <f t="array" ref="EH6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63" s="817">
        <f t="array" ref="EI6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63" s="817">
        <f t="array" ref="EJ6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63" s="818">
        <f>SUM(AlimentsRationOiesMâles[[#This Row],[Valeur 6 et plus]:[Valeur 0-3]])</f>
        <v>0</v>
      </c>
      <c r="EL63" s="1364"/>
      <c r="EM63" s="1321"/>
      <c r="EN63" s="808" t="s">
        <v>733</v>
      </c>
      <c r="EO63" s="817">
        <f t="array" ref="EO63">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63" s="817">
        <f t="array" ref="EP63">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63" s="817">
        <f t="array" ref="EQ63">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63" s="818">
        <f>SUM(Ration_canards_Mâles[[#This Row],[Valeur 6 et plus]:[Valeur 0-3]])</f>
        <v>0</v>
      </c>
      <c r="ES63" s="1364"/>
      <c r="ET63" s="1321"/>
      <c r="EU63" s="1083" t="s">
        <v>730</v>
      </c>
      <c r="EV63" s="1283">
        <f t="array" ref="EV63">IF(OR(ChoixRationComplèteEtéChevauxSelle=OUI,ChoixRationComplèteEtéChevauxSelle="",AND(ChoixChevauxSellePréHiver=OUI,ChoixChevauxSellePréEté=OUI)),0,IFERROR(IF(OR(AND(INDEX(Règles_chevaux_selle[Specificite],MATCH(RationEtéChevauxSelle&amp;$EU63,Règles_chevaux_selle[Ration]&amp;Règles_chevaux_selle[Aliment],0))="s1",IF($EU63=Spécificité1ChevauxSelle,1)),
AND(INDEX(Règles_chevaux_selle[Specificite],MATCH(RationEtéChevauxSelle&amp;$EU63,Règles_chevaux_selle[Ration]&amp;Règles_chevaux_selle[Aliment],0))="s2",IF($EU63=Spécificité2ChevauxSelle,1)),
INDEX(Règles_chevaux_selle[Specificite],MATCH(RationEtéChevauxSelle&amp;$EU63,Règles_chevaux_selle[Ration]&amp;Règles_chevaux_selle[Aliment],0))="c"),
INDEX(Règles_chevaux_selle[Valeur 36 et plus],MATCH(RationEtéChevauxSelle&amp;$EU63,Règles_chevaux_selle[Ration]&amp;Règles_chevaux_selle[Aliment],0)),0),0)*TotalEtalonSelle*SUM(NbreJoursNourrirChevauxSelle))</f>
        <v>0</v>
      </c>
      <c r="EW63" s="1283">
        <f t="array" ref="EW63">IF(OR(ChoixRationComplèteEtéChevauxSelle=OUI,ChoixRationComplèteEtéChevauxSelle="",AND(ChoixChevauxSellePréHiver=OUI,ChoixChevauxSellePréEté=OUI)),0,IFERROR(IF(OR(AND(INDEX(Règles_chevaux_selle[Specificite],MATCH(RationEtéChevauxSelle&amp;$EU63,Règles_chevaux_selle[Ration]&amp;Règles_chevaux_selle[Aliment],0))="s1",IF($EU63=Spécificité1ChevauxSelle,1)),
AND(INDEX(Règles_chevaux_selle[Specificite],MATCH(RationEtéChevauxSelle&amp;$EU63,Règles_chevaux_selle[Ration]&amp;Règles_chevaux_selle[Aliment],0))="s2",IF($EU63=Spécificité2ChevauxSelle,1)),
INDEX(Règles_chevaux_selle[Specificite],MATCH(RationEtéChevauxSelle&amp;$EU63,Règles_chevaux_selle[Ration]&amp;Règles_chevaux_selle[Aliment],0))="c"),
INDEX(Règles_chevaux_selle[Valeur 24-36],MATCH(RationEtéChevauxSelle&amp;$EU63,Règles_chevaux_selle[Ration]&amp;Règles_chevaux_selle[Aliment],0)),0),0)*TotalJeuneEtalonSelle_24_36_mois*SUM(NbreJoursNourrirChevauxSelle))</f>
        <v>0</v>
      </c>
      <c r="EX63" s="1283">
        <f t="array" ref="EX63">IF(OR(ChoixRationComplèteEtéChevauxSelle=OUI,ChoixRationComplèteEtéChevauxSelle="",AND(ChoixChevauxSellePréHiver=OUI,ChoixChevauxSellePréEté=OUI)),0,IFERROR(IF(OR(AND(INDEX(Règles_chevaux_selle[Specificite],MATCH(RationEtéChevauxSelle&amp;$EU63,Règles_chevaux_selle[Ration]&amp;Règles_chevaux_selle[Aliment],0))="s1",IF($EU63=Spécificité1ChevauxSelle,1)),
AND(INDEX(Règles_chevaux_selle[Specificite],MATCH(RationEtéChevauxSelle&amp;$EU63,Règles_chevaux_selle[Ration]&amp;Règles_chevaux_selle[Aliment],0))="s2",IF($EU63=Spécificité2ChevauxSelle,1)),
INDEX(Règles_chevaux_selle[Specificite],MATCH(RationEtéChevauxSelle&amp;$EU63,Règles_chevaux_selle[Ration]&amp;Règles_chevaux_selle[Aliment],0))="c"),
INDEX(Règles_chevaux_selle[Valeur 12-24],MATCH(RationEtéChevauxSelle&amp;$EU63,Règles_chevaux_selle[Ration]&amp;Règles_chevaux_selle[Aliment],0)),0),0)*TotalJeuneEtalonSelle_12_24_mois*SUM(NbreJoursNourrirChevauxSelle))</f>
        <v>0</v>
      </c>
      <c r="EY63" s="1286">
        <f t="array" ref="EY63">IF(OR(ChoixRationComplèteEtéChevauxSelle=OUI,ChoixRationComplèteEtéChevauxSelle="",AND(ChoixChevauxSellePréHiver=OUI,ChoixChevauxSellePréEté=OUI)),0,IFERROR(IF(OR(AND(INDEX(Règles_chevaux_selle[Specificite],MATCH(RationEtéChevauxSelle&amp;$EU63,Règles_chevaux_selle[Ration]&amp;Règles_chevaux_selle[Aliment],0))="s1",IF($EU63=Spécificité1ChevauxSelle,1)),
AND(INDEX(Règles_chevaux_selle[Specificite],MATCH(RationEtéChevauxSelle&amp;$EU63,Règles_chevaux_selle[Ration]&amp;Règles_chevaux_selle[Aliment],0))="s2",IF($EU63=Spécificité2ChevauxSelle,1)),
INDEX(Règles_chevaux_selle[Specificite],MATCH(RationEtéChevauxSelle&amp;$EU63,Règles_chevaux_selle[Ration]&amp;Règles_chevaux_selle[Aliment],0))="c"),
INDEX(Règles_chevaux_selle[Valeur 0-12],MATCH(RationEtéChevauxSelle&amp;$EU63,Règles_chevaux_selle[Ration]&amp;Règles_chevaux_selle[Aliment],0)),0),0)*TotalPoulainSelle_0_12_mois*SUM(NbreJoursNourrirChevauxSelle))</f>
        <v>0</v>
      </c>
      <c r="EZ63" s="1286">
        <f t="shared" si="16"/>
        <v>0</v>
      </c>
      <c r="FA63" s="1345"/>
      <c r="FB63" s="1345"/>
      <c r="FC63" s="1321"/>
      <c r="FD63" s="1083" t="s">
        <v>1717</v>
      </c>
      <c r="FE63" s="1283">
        <f t="array" ref="FE63">IF(OR(ChoixRationComplèteEtéChevauxTrait=OUI,ChoixRationComplèteEtéChevauxTrait="",AND(ChoixChevauxTraitPréHiver=OUI,ChoixChevauxTraitPréEté=OUI)),0,IFERROR(IF(OR(AND(INDEX(Règles_chevaux_trait[Specificite],MATCH(RationEtéChevauxTrait&amp;$FD63,Règles_chevaux_trait[Ration]&amp;Règles_chevaux_trait[Aliment],0))="s1",IF($FD63=Spécificité1ChevauxTrait,1)),
AND(INDEX(Règles_chevaux_trait[Specificite],MATCH(RationEtéChevauxTrait&amp;$FD63,Règles_chevaux_trait[Ration]&amp;Règles_chevaux_trait[Aliment],0))="s2",IF($FD63=Spécificité2ChevauxTrait,1)),
INDEX(Règles_chevaux_trait[Specificite],MATCH(RationEtéChevauxTrait&amp;$FD63,Règles_chevaux_trait[Ration]&amp;Règles_chevaux_trait[Aliment],0))="c"),
INDEX(Règles_chevaux_trait[Valeur 36 et plus],MATCH(RationEtéChevauxTrait&amp;$FD63,Règles_chevaux_trait[Ration]&amp;Règles_chevaux_trait[Aliment],0)),0),0)*TotalEtalonTrait*SUM(NbreJoursNourrirChevauxTrait))</f>
        <v>0</v>
      </c>
      <c r="FF63" s="1283">
        <f t="array" ref="FF63">IF(OR(ChoixRationComplèteEtéChevauxTrait=OUI,ChoixRationComplèteEtéChevauxTrait="",AND(ChoixChevauxTraitPréHiver=OUI,ChoixChevauxTraitPréEté=OUI)),0,IFERROR(IF(OR(AND(INDEX(Règles_chevaux_trait[Specificite],MATCH(RationEtéChevauxTrait&amp;$FD63,Règles_chevaux_trait[Ration]&amp;Règles_chevaux_trait[Aliment],0))="s1",IF($FD63=Spécificité1ChevauxTrait,1)),
AND(INDEX(Règles_chevaux_trait[Specificite],MATCH(RationEtéChevauxTrait&amp;$FD63,Règles_chevaux_trait[Ration]&amp;Règles_chevaux_trait[Aliment],0))="s2",IF($FD63=Spécificité2ChevauxTrait,1)),
INDEX(Règles_chevaux_trait[Specificite],MATCH(RationEtéChevauxTrait&amp;$FD63,Règles_chevaux_trait[Ration]&amp;Règles_chevaux_trait[Aliment],0))="c"),
INDEX(Règles_chevaux_trait[Valeur 24-36],MATCH(RationEtéChevauxTrait&amp;$FD63,Règles_chevaux_trait[Ration]&amp;Règles_chevaux_trait[Aliment],0)),0),0)*TotalJeuneEtalonTrait_24_36_mois*SUM(NbreJoursNourrirChevauxTrait))</f>
        <v>0</v>
      </c>
      <c r="FG63" s="1283">
        <f t="array" ref="FG63">IF(OR(ChoixRationComplèteEtéChevauxTrait=OUI,ChoixRationComplèteEtéChevauxTrait="",AND(ChoixChevauxTraitPréHiver=OUI,ChoixChevauxTraitPréEté=OUI)),0,IFERROR(IF(OR(AND(INDEX(Règles_chevaux_trait[Specificite],MATCH(RationEtéChevauxTrait&amp;$FD63,Règles_chevaux_trait[Ration]&amp;Règles_chevaux_trait[Aliment],0))="s1",IF($FD63=Spécificité1ChevauxTrait,1)),
AND(INDEX(Règles_chevaux_trait[Specificite],MATCH(RationEtéChevauxTrait&amp;$FD63,Règles_chevaux_trait[Ration]&amp;Règles_chevaux_trait[Aliment],0))="s2",IF($FD63=Spécificité2ChevauxTrait,1)),
INDEX(Règles_chevaux_trait[Specificite],MATCH(RationEtéChevauxTrait&amp;$FD63,Règles_chevaux_trait[Ration]&amp;Règles_chevaux_trait[Aliment],0))="c"),
INDEX(Règles_chevaux_trait[Valeur 12-24],MATCH(RationEtéChevauxTrait&amp;$FD63,Règles_chevaux_trait[Ration]&amp;Règles_chevaux_trait[Aliment],0)),0),0)*TotalJeuneEtalonTrait_12_24_mois*SUM(NbreJoursNourrirChevauxTrait))</f>
        <v>0</v>
      </c>
      <c r="FH63" s="1286">
        <f t="array" ref="FH63">IF(OR(ChoixRationComplèteEtéChevauxTrait=OUI,ChoixRationComplèteEtéChevauxTrait="",AND(ChoixChevauxTraitPréHiver=OUI,ChoixChevauxTraitPréEté=OUI)),0,IFERROR(IF(OR(AND(INDEX(Règles_chevaux_trait[Specificite],MATCH(RationEtéChevauxTrait&amp;$FD63,Règles_chevaux_trait[Ration]&amp;Règles_chevaux_trait[Aliment],0))="s1",IF($FD63=Spécificité1ChevauxTrait,1)),
AND(INDEX(Règles_chevaux_trait[Specificite],MATCH(RationEtéChevauxTrait&amp;$FD63,Règles_chevaux_trait[Ration]&amp;Règles_chevaux_trait[Aliment],0))="s2",IF($FD63=Spécificité2ChevauxTrait,1)),
INDEX(Règles_chevaux_trait[Specificite],MATCH(RationEtéChevauxTrait&amp;$FD63,Règles_chevaux_trait[Ration]&amp;Règles_chevaux_trait[Aliment],0))="c"),
INDEX(Règles_chevaux_trait[Valeur 0-12],MATCH(RationEtéChevauxTrait&amp;$FD63,Règles_chevaux_trait[Ration]&amp;Règles_chevaux_trait[Aliment],0)),0),0)*TotalPoulainTrait_0_12_mois*SUM(NbreJoursNourrirChevauxTrait))</f>
        <v>0</v>
      </c>
      <c r="FI63" s="1286">
        <f t="shared" si="15"/>
        <v>0</v>
      </c>
      <c r="FJ63" s="1345"/>
      <c r="FK63" s="1345"/>
      <c r="FL63" s="1345"/>
      <c r="FM63" s="1321"/>
      <c r="FN63" s="1082" t="s">
        <v>728</v>
      </c>
      <c r="FO63" s="1282">
        <f t="array" ref="FO63">IF(OR(ChoixRationComplèteEtéPoneys=OUI,ChoixRationComplèteEtéPoneys="",AND(ChoixPoneysPréHiver=OUI,ChoixPoneysPréEté=OUI)),0,IFERROR(IF(OR(AND(INDEX(Règles_poneys[Specificite],MATCH(RationEtéPoneys&amp;$FN63,Règles_poneys[Ration]&amp;Règles_poneys[Aliment],0))="s1",IF($FN63=Spécificité1Poneys,1)),
AND(INDEX(Règles_poneys[Specificite],MATCH(RationEtéPoneys&amp;$FN63,Règles_poneys[Ration]&amp;Règles_poneys[Aliment],0))="s2",IF($FN63=Spécificité2Poneys,1)),
INDEX(Règles_poneys[Specificite],MATCH(RationEtéPoneys&amp;$FN63,Règles_poneys[Ration]&amp;Règles_poneys[Aliment],0))="c"),
INDEX(Règles_poneys[Valeur 36 et plus],MATCH(RationEtéPoneys&amp;$FN63,Règles_poneys[Ration]&amp;Règles_poneys[Aliment],0)),0),0)*TotalEtalonPoney*SUM(NbreJoursNourrirPoneys))</f>
        <v>0</v>
      </c>
      <c r="FP63" s="1282">
        <f t="array" ref="FP63">IF(OR(ChoixRationComplèteEtéPoneys=OUI,ChoixRationComplèteEtéPoneys="",AND(ChoixPoneysPréHiver=OUI,ChoixPoneysPréEté=OUI)),0,IFERROR(IF(OR(AND(INDEX(Règles_poneys[Specificite],MATCH(RationEtéPoneys&amp;$FN63,Règles_poneys[Ration]&amp;Règles_poneys[Aliment],0))="s1",IF($FN63=Spécificité1Poneys,1)),
AND(INDEX(Règles_poneys[Specificite],MATCH(RationEtéPoneys&amp;$FN63,Règles_poneys[Ration]&amp;Règles_poneys[Aliment],0))="s2",IF($FN63=Spécificité2Poneys,1)),
INDEX(Règles_poneys[Specificite],MATCH(RationEtéPoneys&amp;$FN63,Règles_poneys[Ration]&amp;Règles_poneys[Aliment],0))="c"),
INDEX(Règles_poneys[Valeur 36 et plus],MATCH(RationEtéPoneys&amp;$FN63,Règles_poneys[Ration]&amp;Règles_poneys[Aliment],0)),0),0)*TotalJeuneEtalonPoney_24_36_mois*SUM(NbreJoursNourrirPoneys))</f>
        <v>0</v>
      </c>
      <c r="FQ63" s="1282">
        <f t="array" ref="FQ63">IF(OR(ChoixRationComplèteEtéPoneys=OUI,ChoixRationComplèteEtéPoneys="",AND(ChoixPoneysPréHiver=OUI,ChoixPoneysPréEté=OUI)),0,IFERROR(IF(OR(AND(INDEX(Règles_poneys[Specificite],MATCH(RationEtéPoneys&amp;$FN63,Règles_poneys[Ration]&amp;Règles_poneys[Aliment],0))="s1",IF($FN63=Spécificité1Poneys,1)),
AND(INDEX(Règles_poneys[Specificite],MATCH(RationEtéPoneys&amp;$FN63,Règles_poneys[Ration]&amp;Règles_poneys[Aliment],0))="s2",IF($FN63=Spécificité2Poneys,1)),
INDEX(Règles_poneys[Specificite],MATCH(RationEtéPoneys&amp;$FN63,Règles_poneys[Ration]&amp;Règles_poneys[Aliment],0))="c"),
INDEX(Règles_poneys[Valeur 36 et plus],MATCH(RationEtéPoneys&amp;$FN63,Règles_poneys[Ration]&amp;Règles_poneys[Aliment],0)),0),0)*TotalJeuneEtalonPoney_12_24_mois*SUM(NbreJoursNourrirPoneys))</f>
        <v>0</v>
      </c>
      <c r="FR63" s="1285">
        <f t="array" ref="FR63">IF(OR(ChoixRationComplèteEtéPoneys=OUI,ChoixRationComplèteEtéPoneys="",AND(ChoixPoneysPréHiver=OUI,ChoixPoneysPréEté=OUI)),0,IFERROR(IF(OR(AND(INDEX(Règles_poneys[Specificite],MATCH(RationEtéPoneys&amp;$FN63,Règles_poneys[Ration]&amp;Règles_poneys[Aliment],0))="s1",IF($FN63=Spécificité1Poneys,1)),
AND(INDEX(Règles_poneys[Specificite],MATCH(RationEtéPoneys&amp;$FN63,Règles_poneys[Ration]&amp;Règles_poneys[Aliment],0))="s2",IF($FN63=Spécificité2Poneys,1)),
INDEX(Règles_poneys[Specificite],MATCH(RationEtéPoneys&amp;$FN63,Règles_poneys[Ration]&amp;Règles_poneys[Aliment],0))="c"),
INDEX(Règles_poneys[Valeur 36 et plus],MATCH(RationEtéPoneys&amp;$FN63,Règles_poneys[Ration]&amp;Règles_poneys[Aliment],0)),0),0)*TotalPoulainPoney_0_12_mois*SUM(NbreJoursNourrirPoneys))</f>
        <v>0</v>
      </c>
      <c r="FS63" s="1285">
        <f t="shared" si="14"/>
        <v>0</v>
      </c>
      <c r="FT63" s="1345"/>
      <c r="FU63" s="1345"/>
      <c r="FV63" s="1345"/>
      <c r="FW63" s="823" t="s">
        <v>672</v>
      </c>
      <c r="FX63" s="828">
        <f t="array" ref="FX6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63" s="828">
        <f t="array" ref="FY6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63" s="828">
        <f t="array" ref="FZ6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63" s="828">
        <f t="array" ref="GA6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63" s="829">
        <f>SUM(AlimentsGavageOies[[#This Row],[Valeur 3 et plus]:[Valeur 0-1]])</f>
        <v>0</v>
      </c>
      <c r="GC63" s="1364"/>
      <c r="GD63" s="1321"/>
      <c r="GE63" s="1149" t="s">
        <v>85</v>
      </c>
      <c r="GF63" s="1321"/>
      <c r="GG63" s="1321" t="s">
        <v>1349</v>
      </c>
      <c r="GH63" s="1321" t="s">
        <v>1349</v>
      </c>
      <c r="GI63" s="1321" t="s">
        <v>1349</v>
      </c>
      <c r="GJ63" s="1321" t="s">
        <v>1349</v>
      </c>
      <c r="GK63" s="1321" t="s">
        <v>1349</v>
      </c>
      <c r="GL63" s="1321" t="s">
        <v>1349</v>
      </c>
      <c r="GM63" s="1321" t="s">
        <v>1349</v>
      </c>
      <c r="GN63" s="1321" t="s">
        <v>1349</v>
      </c>
      <c r="GO63" s="1321" t="s">
        <v>1349</v>
      </c>
      <c r="GP63" s="1321" t="s">
        <v>1349</v>
      </c>
      <c r="GQ63" s="1321" t="s">
        <v>1349</v>
      </c>
      <c r="GR63" s="1321" t="s">
        <v>1349</v>
      </c>
      <c r="GS63" s="1321" t="s">
        <v>1349</v>
      </c>
      <c r="GT63" s="1321" t="s">
        <v>1349</v>
      </c>
      <c r="GU63" s="1321" t="s">
        <v>1349</v>
      </c>
      <c r="GV63" s="1321" t="s">
        <v>1349</v>
      </c>
      <c r="GW63" s="1321"/>
      <c r="GX63" s="1321"/>
      <c r="GY63" s="1082" t="str">
        <f t="shared" si="11"/>
        <v>semences de lin</v>
      </c>
      <c r="GZ63" s="1082"/>
      <c r="HA63" s="1085"/>
      <c r="HB63" s="1085">
        <f>IF(COUNTIF(TypeArticleDansEntrepôt,GY63)=0,0,SUMIF(TypeArticleDansEntrepôt,GY63,QtéArticleDansEntrepôt)*VLOOKUP(GY63,place_necessaire_entrepots_aire_paille[],2,FALSE))</f>
        <v>0</v>
      </c>
      <c r="HC63" s="1321"/>
      <c r="HD63" s="1321"/>
      <c r="HE63" s="1321"/>
      <c r="HF63" s="1321"/>
      <c r="HG63" s="1321"/>
      <c r="HH63" s="1321"/>
      <c r="HI63" s="1321"/>
      <c r="HJ63" s="1321"/>
      <c r="HK63" s="1321"/>
      <c r="HL63" s="1321"/>
      <c r="HM63" s="1321"/>
      <c r="HN63" s="1085" t="str">
        <f>IF(parcelles!B111="","",(VLOOKUP(parcelles!C111,BDD!$HN$5:$HU$38,2,FALSE))*parcelles!E111)</f>
        <v/>
      </c>
      <c r="HO63" s="1085" t="str">
        <f>IF(parcelles!B111="","",IF(OR(parcelles!C111=Moutarde,parcelles!C111=Phacélie),0,IF(parcelles!C111=Luzerne,10*parcelles!E111*VLOOKUP(parcelles!C111,BDD!$HN$5:$HU$38,3,FALSE),IF(parcelles!C111=Miscanthus,10.5*parcelles!E111*VLOOKUP(parcelles!C111,BDD!$HN$5:$HU$38,3,FALSE),INDEX(parcelles!$C$56:'parcelles'!$Y$77,MATCH(parcelles!B111,parcelles!$B$56:'parcelles'!$B$77,0),MATCH(parcelles!C111,parcelles!$C$53:'parcelles'!$Y$53,0))*parcelles!E111*VLOOKUP(parcelles!C111,BDD!$HN$5:$HU$38,3,FALSE)))))</f>
        <v/>
      </c>
      <c r="HP63" s="1085" t="str">
        <f>IF(parcelles!B111="","",IF(OR(parcelles!C111=Moutarde,parcelles!C111=Phacélie),0,IF(parcelles!C111=Luzerne,10*parcelles!E111*VLOOKUP(parcelles!C111,BDD!$HN$5:$HU$38,4,FALSE),IF(parcelles!C111=Miscanthus,10.5*parcelles!E111*VLOOKUP(parcelles!C111,BDD!$HN$5:$HU$38,4,FALSE),INDEX(parcelles!$C$56:'parcelles'!$Y$77,MATCH(parcelles!B111,parcelles!$B$56:'parcelles'!$B$77,0),MATCH(parcelles!C111,parcelles!$C$53:'parcelles'!$Y$53,0))*parcelles!E111*VLOOKUP(parcelles!C111,BDD!$HN$5:$HU$38,4,FALSE)))))</f>
        <v/>
      </c>
      <c r="HQ63" s="1085" t="str">
        <f>IF(parcelles!B111="","",IF(OR(parcelles!C111=Moutarde,parcelles!C111=Phacélie),0,IF(parcelles!C111=Luzerne,10*parcelles!E111*VLOOKUP(parcelles!C111,BDD!$HN$5:$HU$38,5,FALSE),IF(parcelles!C111=Miscanthus,10.5*parcelles!E111*VLOOKUP(parcelles!C111,BDD!$HN$5:$HU$38,5,FALSE),INDEX(parcelles!$C$56:'parcelles'!$Y$77,MATCH(parcelles!B111,parcelles!$B$56:'parcelles'!$B$77,0),MATCH(parcelles!C111,parcelles!$C$53:'parcelles'!$Y$53,0))*parcelles!E111*VLOOKUP(parcelles!C111,BDD!$HN$5:$HU$38,5,FALSE)))))</f>
        <v/>
      </c>
      <c r="HR63" s="1085" t="str">
        <f>IF(parcelles!B111="","",IF(OR(parcelles!C111=Moutarde,parcelles!C111=Phacélie),0,IF(parcelles!C111=Luzerne,10*parcelles!E111*VLOOKUP(parcelles!C111,BDD!$HN$5:$HU$38,6,FALSE),IF(parcelles!C111=Miscanthus,10.5*parcelles!E111*VLOOKUP(parcelles!C111,BDD!$HN$5:$HU$38,6,FALSE),INDEX(parcelles!$C$56:'parcelles'!$Y$77,MATCH(parcelles!B111,parcelles!$B$56:'parcelles'!$B$77,0),MATCH(parcelles!C111,parcelles!$C$53:'parcelles'!$Y$53,0))*parcelles!E111*VLOOKUP(parcelles!C111,BDD!$HN$5:$HU$38,6,FALSE)))))</f>
        <v/>
      </c>
      <c r="HS63" s="1085" t="str">
        <f>IF(parcelles!B111="","",IF(OR(parcelles!C111=Moutarde,parcelles!C111=Phacélie),0,IF(parcelles!C111=Luzerne,10*parcelles!E111*VLOOKUP(parcelles!C111,BDD!$HN$5:$HU$38,7,FALSE),IF(parcelles!C111=Miscanthus,10.5*parcelles!E111*VLOOKUP(parcelles!C111,BDD!$HN$5:$HU$38,7,FALSE),INDEX(parcelles!$C$56:'parcelles'!$Y$77,MATCH(parcelles!B111,parcelles!$B$56:'parcelles'!$B$77,0),MATCH(parcelles!C111,parcelles!$C$53:'parcelles'!$Y$53,0))*parcelles!E111*VLOOKUP(parcelles!C111,BDD!$HN$5:$HU$38,7,FALSE)))))</f>
        <v/>
      </c>
      <c r="HT63" s="1085" t="str">
        <f>IF(parcelles!B111="","",IF(OR(parcelles!C111=Moutarde,parcelles!C111=Phacélie),0,IF(parcelles!C111=Luzerne,10*parcelles!E111*VLOOKUP(parcelles!C111,BDD!$HN$5:$HU$38,8,FALSE),IF(parcelles!C111=Miscanthus,10.5*parcelles!E111*VLOOKUP(parcelles!C111,BDD!$HN$5:$HU$38,8,FALSE),INDEX(parcelles!$C$56:'parcelles'!$Y$77,MATCH(parcelles!B111,parcelles!$B$56:'parcelles'!$B$77,0),MATCH(parcelles!C111,parcelles!$C$53:'parcelles'!$Y$53,0))*parcelles!E111*VLOOKUP(parcelles!C111,BDD!$HN$5:$HU$38,8,FALSE)))))</f>
        <v/>
      </c>
      <c r="HU63" s="1085" t="str">
        <f>IF(parcelles!B111="","",IF(OR(parcelles!C111=Moutarde,parcelles!C111=Phacélie),0,1.6*parcelles!E111))</f>
        <v/>
      </c>
      <c r="HV63" s="1085" t="str">
        <f>IF(parcelles!B111="","",IF(OR(parcelles!C111=Moutarde,parcelles!C111=Phacélie),0,1.6*parcelles!E111))</f>
        <v/>
      </c>
      <c r="HW63" s="1085" t="str">
        <f>IF(parcelles!B111="","",IF(OR(parcelles!C111=Moutarde,parcelles!C111=Phacélie),0,1.6*parcelles!E111))</f>
        <v/>
      </c>
      <c r="HX63" s="1092" t="str">
        <f>IF(parcelles!D111="","",IF(parcelles!C111=ChanvreIndustriel,INDEX(parcelles!$C$56:$Y$77,MATCH(parcelles!B111,parcelles!$B$56:$B$77,0),MATCH(parcelles!C111,parcelles!$C$53:$Y$53,0))*parcelles!E111*SUMIF(ListeCulturesBDD,parcelles!C111,PrixVenteCulturesConventionnel)+RIGHT(BDD!$HM$7,3)*7*parcelles!E111,IF(parcelles!C111=Luzerne,parcelles!E111*10*VLOOKUP(parcelles!C111,TarifsCoopCultures,2,FALSE),IF(parcelles!C111=Miscanthus,parcelles!E111*10.5*VLOOKUP(Luzerne,TarifsCoopCultures,2,FALSE),INDEX(parcelles!$C$56:$Y$77,MATCH(parcelles!B111,parcelles!$B$56:$B$77,0),MATCH(parcelles!C111,parcelles!$C$53:$Y$53,0))*parcelles!E111*SUMIF(ListeCulturesBDD,parcelles!C111,PrixVenteCulturesConventionnel)))))</f>
        <v/>
      </c>
      <c r="HY63" s="1085" t="str">
        <f>IF(parcelles!D111="","",IF(parcelles!F111=0,"",IF(parcelles!C111=ChanvreIndustriel,"soit "&amp;parcelles!E111*0.8&amp;"t de grain et "&amp;parcelles!E111*7&amp;"t de paille",IF(parcelles!C111=Luzerne,"soit "&amp;10*parcelles!E111&amp;"t/an",IF(parcelles!C111=Miscanthus,"soit "&amp;10.5*parcelles!E111&amp;"t/an","soit "&amp;INDEX(parcelles!$C$56:$Y$77,MATCH(parcelles!B111,parcelles!$B$56:$B$77,0),MATCH(parcelles!C111,parcelles!$C$53:$Y$53,0))*parcelles!E111&amp;"t")))))</f>
        <v/>
      </c>
      <c r="HZ63" s="1085" t="str">
        <f>IF(parcelles!D111="","",IF(parcelles!F111=0,"",IF(parcelles!C111=ChanvreIndustriel,"soit "&amp;parcelles!E111*0.8*0.8&amp;"t de grain et "&amp;parcelles!E111*7*0.8&amp;"t de paille",IF(parcelles!C111=Luzerne,"soit "&amp;10*0.8*parcelles!E111&amp;"t/an",IF(parcelles!C111=Miscanthus,"soit "&amp;10.5*0.8*parcelles!E111&amp;"t/an","soit "&amp;INDEX(parcelles!$C$56:$Y$77,MATCH(parcelles!B111,parcelles!$B$56:$B$77,0),MATCH(parcelles!C111,parcelles!$C$53:$Y$53,0))*0.8*parcelles!E111&amp;"t")))))</f>
        <v/>
      </c>
      <c r="IA63" s="1085" t="str">
        <f>IF(parcelles!L111="","",(VLOOKUP(parcelles!M111,BDD!$HN$5:$HU$38,2,FALSE))*parcelles!O111)</f>
        <v/>
      </c>
      <c r="IB63" s="1085" t="str">
        <f>IF(parcelles!L111="","",IF(OR(parcelles!M111=Moutarde,parcelles!M111=Phacélie),0,IF(parcelles!M111=Luzerne,10*parcelles!O111*VLOOKUP(parcelles!M111,BDD!$HN$5:$HU$38,3,FALSE),IF(parcelles!M111=Miscanthus,10.5*parcelles!O111*VLOOKUP(parcelles!M111,BDD!$HN$5:$HU$38,3,FALSE),INDEX(parcelles!$C$56:'parcelles'!$Y$77,MATCH(parcelles!L111,parcelles!$B$56:'parcelles'!$B$77,0),MATCH(parcelles!M111,parcelles!$C$53:'parcelles'!$Y$53,0))*parcelles!O111*VLOOKUP(parcelles!M111,BDD!$HN$5:$HU$38,3,FALSE)))))</f>
        <v/>
      </c>
      <c r="IC63" s="1085" t="str">
        <f>IF(parcelles!L111="","",IF(OR(parcelles!M111=Moutarde,parcelles!M111=Phacélie),0,IF(parcelles!M111=Luzerne,10*parcelles!O111*VLOOKUP(parcelles!M111,BDD!$HN$5:$HU$38,4,FALSE),IF(parcelles!M111=Miscanthus,10.5*parcelles!O111*VLOOKUP(parcelles!M111,BDD!$HN$5:$HU$38,4,FALSE),INDEX(parcelles!$C$56:'parcelles'!$Y$77,MATCH(parcelles!L111,parcelles!$B$56:'parcelles'!$B$77,0),MATCH(parcelles!M111,parcelles!$C$53:'parcelles'!$Y$53,0))*parcelles!O111*VLOOKUP(parcelles!M111,BDD!$HN$5:$HU$38,4,FALSE)))))</f>
        <v/>
      </c>
      <c r="ID63" s="1085" t="str">
        <f>IF(parcelles!L111="","",IF(OR(parcelles!M111=Moutarde,parcelles!M111=Phacélie),0,IF(parcelles!M111=Luzerne,10*parcelles!O111*VLOOKUP(parcelles!M111,BDD!$HN$5:$HU$38,5,FALSE),IF(parcelles!M111=Miscanthus,10.5*parcelles!O111*VLOOKUP(parcelles!M111,BDD!$HN$5:$HU$38,5,FALSE),INDEX(parcelles!$C$56:'parcelles'!$Y$77,MATCH(parcelles!L111,parcelles!$B$56:'parcelles'!$B$77,0),MATCH(parcelles!M111,parcelles!$C$53:'parcelles'!$Y$53,0))*parcelles!O111*VLOOKUP(parcelles!M111,BDD!$HN$5:$HU$38,5,FALSE)))))</f>
        <v/>
      </c>
      <c r="IE63" s="1085" t="str">
        <f>IF(parcelles!L111="","",IF(OR(parcelles!M111=Moutarde,parcelles!M111=Phacélie),0,IF(parcelles!M111=Luzerne,10*parcelles!O111*VLOOKUP(parcelles!M111,BDD!$HN$5:$HU$38,6,FALSE),IF(parcelles!M111=Miscanthus,10.5*parcelles!O111*VLOOKUP(parcelles!M111,BDD!$HN$5:$HU$38,6,FALSE),INDEX(parcelles!$C$56:'parcelles'!$Y$77,MATCH(parcelles!L111,parcelles!$B$56:'parcelles'!$B$77,0),MATCH(parcelles!M111,parcelles!$C$53:'parcelles'!$Y$53,0))*parcelles!O111*VLOOKUP(parcelles!M111,BDD!$HN$5:$HU$38,6,FALSE)))))</f>
        <v/>
      </c>
      <c r="IF63" s="1085" t="str">
        <f>IF(parcelles!L111="","",IF(OR(parcelles!M111=Moutarde,parcelles!M111=Phacélie),0,IF(parcelles!M111=Luzerne,10*parcelles!O111*VLOOKUP(parcelles!M111,BDD!$HN$5:$HU$38,7,FALSE),IF(parcelles!M111=Miscanthus,10.5*parcelles!O111*VLOOKUP(parcelles!M111,BDD!$HN$5:$HU$38,7,FALSE),INDEX(parcelles!$C$56:'parcelles'!$Y$77,MATCH(parcelles!L111,parcelles!$B$56:'parcelles'!$B$77,0),MATCH(parcelles!M111,parcelles!$C$53:'parcelles'!$Y$53,0))*parcelles!O111*VLOOKUP(parcelles!M111,BDD!$HN$5:$HU$38,7,FALSE)))))</f>
        <v/>
      </c>
      <c r="IG63" s="1085" t="str">
        <f>IF(parcelles!L111="","",IF(OR(parcelles!M111=Moutarde,parcelles!M111=Phacélie),0,IF(parcelles!M111=Luzerne,10*parcelles!O111*VLOOKUP(parcelles!M111,BDD!$HN$5:$HU$38,8,FALSE),IF(parcelles!M111=Miscanthus,10.5*parcelles!O111*VLOOKUP(parcelles!M111,BDD!$HN$5:$HU$38,8,FALSE),INDEX(parcelles!$C$56:'parcelles'!$Y$77,MATCH(parcelles!L111,parcelles!$B$56:'parcelles'!$B$77,0),MATCH(parcelles!M111,parcelles!$C$53:'parcelles'!$Y$53,0))*parcelles!O111*VLOOKUP(parcelles!M111,BDD!$HN$5:$HU$38,8,FALSE)))))</f>
        <v/>
      </c>
      <c r="IH63" s="1085" t="str">
        <f>IF(parcelles!L111="","",IF(OR(parcelles!L111=Moutarde,parcelles!L111=Phacélie),0,1.6*parcelles!O111))</f>
        <v/>
      </c>
      <c r="II63" s="1085" t="str">
        <f>IF(parcelles!L111="","",IF(OR(parcelles!L111=Moutarde,parcelles!L111=Phacélie),0,1.6*parcelles!O111))</f>
        <v/>
      </c>
      <c r="IJ63" s="1085" t="str">
        <f>IF(parcelles!L111="","",IF(OR(parcelles!L111=Moutarde,parcelles!L111=Phacélie),0,1.6*parcelles!O111))</f>
        <v/>
      </c>
      <c r="IK63" s="1085" t="str">
        <f>IF(parcelles!P111="","",IF(parcelles!R111=0,"",IF(parcelles!O111=ChanvreIndustriel,"soit "&amp;parcelles!Q111*0.8&amp;"t de grain et "&amp;parcelles!Q111*7&amp;"t de paille",IF(parcelles!O111=Luzerne,"soit "&amp;10*parcelles!Q111&amp;"t/an",IF(parcelles!O111=Miscanthus,"soit "&amp;10.5*parcelles!Q111&amp;"t/an","soit "&amp;INDEX(parcelles!$C$56:$Y$77,MATCH(parcelles!N111,parcelles!$B$56:$B$77,0),MATCH(parcelles!O111,parcelles!$C$53:$Y$53,0))*parcelles!Q111&amp;"t")))))</f>
        <v/>
      </c>
      <c r="IL63" s="1085" t="str">
        <f>IF(parcelles!P111="","",IF(parcelles!R111=0,"",IF(parcelles!O111=ChanvreIndustriel,"soit "&amp;parcelles!Q111*0.8*0.8&amp;"t de grain et "&amp;parcelles!Q111*7*0.8&amp;"t de paille",IF(parcelles!O111=Luzerne,"soit "&amp;10*0.8*parcelles!Q111&amp;"t/an",IF(parcelles!O111=Miscanthus,"soit "&amp;10.5*0.8*parcelles!Q111&amp;"t/an","soit "&amp;INDEX(parcelles!$C$56:$Y$77,MATCH(parcelles!N111,parcelles!$B$56:$B$77,0),MATCH(parcelles!O111,parcelles!$C$53:$Y$53,0))*0.8*parcelles!Q111&amp;"t")))))</f>
        <v/>
      </c>
      <c r="IM63" s="1085" t="str">
        <f>IF(parcelles!S111="","",IF(parcelles!U111=0,"",IF(parcelles!R111=ChanvreIndustriel,parcelles!T111*0.8*0.8+parcelles!T111*7*0.8,IF(parcelles!R111=Luzerne,10*0.8*parcelles!T111,IF(parcelles!R111=Miscanthus,10.5*0.8*parcelles!T111,INDEX(parcelles!$C$56:$Y$77,MATCH(parcelles!Q111,parcelles!$B$56:$B$77,0),MATCH(parcelles!R111,parcelles!$C$53:$Y$53,0))*0.8*parcelles!T111)))))</f>
        <v/>
      </c>
      <c r="IN63" s="1368"/>
    </row>
    <row r="64" spans="1:248" ht="12.75" customHeight="1" x14ac:dyDescent="0.2">
      <c r="A64" s="1307" t="s">
        <v>369</v>
      </c>
      <c r="B64" s="1241">
        <f t="shared" si="17"/>
        <v>1E-3</v>
      </c>
      <c r="C64" s="1321"/>
      <c r="D64" s="1321"/>
      <c r="E64" s="1321"/>
      <c r="F64" s="1149" t="s">
        <v>76</v>
      </c>
      <c r="G64" s="1149">
        <v>8</v>
      </c>
      <c r="H64" s="1149" t="s">
        <v>867</v>
      </c>
      <c r="I64" s="1149" t="s">
        <v>869</v>
      </c>
      <c r="J64" s="1149" t="s">
        <v>870</v>
      </c>
      <c r="K64" s="1149">
        <v>0</v>
      </c>
      <c r="L64" s="1149" t="s">
        <v>869</v>
      </c>
      <c r="M64" s="1149">
        <v>0</v>
      </c>
      <c r="N64" s="1321"/>
      <c r="O64" s="1224" t="s">
        <v>1151</v>
      </c>
      <c r="P64" s="1224" t="str">
        <f t="shared" ref="P64:U64" si="18">P32</f>
        <v>Blé</v>
      </c>
      <c r="Q64" s="1224" t="str">
        <f t="shared" si="18"/>
        <v>Orge d'hiver</v>
      </c>
      <c r="R64" s="1224" t="str">
        <f t="shared" si="18"/>
        <v>Orge de printemps</v>
      </c>
      <c r="S64" s="1224" t="str">
        <f t="shared" si="18"/>
        <v>Avoine d'hiver</v>
      </c>
      <c r="T64" s="1224" t="str">
        <f t="shared" si="18"/>
        <v>Avoine de printemps</v>
      </c>
      <c r="U64" s="1224" t="str">
        <f t="shared" si="18"/>
        <v>Triticale</v>
      </c>
      <c r="V64" s="1224"/>
      <c r="W64" s="1224" t="str">
        <f t="shared" ref="W64:AG64" si="19">W32</f>
        <v>Maïs grain</v>
      </c>
      <c r="X64" s="1224" t="str">
        <f t="shared" si="19"/>
        <v>Maïs ensilé</v>
      </c>
      <c r="Y64" s="1224" t="str">
        <f t="shared" si="19"/>
        <v>Betterave</v>
      </c>
      <c r="Z64" s="1224" t="str">
        <f t="shared" si="19"/>
        <v>Colza</v>
      </c>
      <c r="AA64" s="1224" t="str">
        <f t="shared" si="19"/>
        <v>Tournesol</v>
      </c>
      <c r="AB64" s="1224" t="str">
        <f t="shared" si="19"/>
        <v>Pois</v>
      </c>
      <c r="AC64" s="1224" t="str">
        <f t="shared" si="19"/>
        <v>Féverole</v>
      </c>
      <c r="AD64" s="1224" t="str">
        <f t="shared" si="19"/>
        <v>Soja</v>
      </c>
      <c r="AE64" s="1224" t="str">
        <f t="shared" si="19"/>
        <v>Lin</v>
      </c>
      <c r="AF64" s="1224" t="str">
        <f t="shared" si="19"/>
        <v>Pomme de terre</v>
      </c>
      <c r="AG64" s="1739" t="str">
        <f t="shared" si="19"/>
        <v>Chanvre Industriel</v>
      </c>
      <c r="AH64" s="1739"/>
      <c r="AI64" s="1224" t="str">
        <f>AI32</f>
        <v>Epinard</v>
      </c>
      <c r="AJ64" s="1224" t="str">
        <f>AJ32</f>
        <v>Haricot vert</v>
      </c>
      <c r="AK64" s="1224" t="str">
        <f>AK32</f>
        <v>Lentille</v>
      </c>
      <c r="AL64" s="1224" t="str">
        <f>AL32</f>
        <v>Sorgho ensilé</v>
      </c>
      <c r="AM64" s="1224"/>
      <c r="AN64" s="1224" t="str">
        <f>AN32</f>
        <v>Tabac</v>
      </c>
      <c r="AO64" s="1224" t="s">
        <v>1567</v>
      </c>
      <c r="AP64" s="1224" t="s">
        <v>1568</v>
      </c>
      <c r="AQ64" s="1224" t="s">
        <v>1569</v>
      </c>
      <c r="AR64" s="1224" t="s">
        <v>1570</v>
      </c>
      <c r="AS64" s="1224" t="s">
        <v>1571</v>
      </c>
      <c r="AT64" s="1224" t="s">
        <v>1572</v>
      </c>
      <c r="AU64" s="1224" t="s">
        <v>1628</v>
      </c>
      <c r="AV64" s="1224" t="s">
        <v>1629</v>
      </c>
      <c r="AW64" s="1224" t="s">
        <v>1630</v>
      </c>
      <c r="AX64" s="1224" t="s">
        <v>1631</v>
      </c>
      <c r="AY64" s="1224" t="s">
        <v>1632</v>
      </c>
      <c r="AZ64" s="1321"/>
      <c r="BA64" s="1321"/>
      <c r="BB64" s="1236" t="s">
        <v>724</v>
      </c>
      <c r="BC64" s="1190" t="s">
        <v>76</v>
      </c>
      <c r="BD64" s="1190" t="s">
        <v>1253</v>
      </c>
      <c r="BE64" s="1237">
        <v>7.2</v>
      </c>
      <c r="BF64" s="1237">
        <v>6</v>
      </c>
      <c r="BG64" s="1237">
        <v>4</v>
      </c>
      <c r="BH64" s="1237">
        <v>2</v>
      </c>
      <c r="BI64" s="1237">
        <v>1.2</v>
      </c>
      <c r="BJ64" s="1237">
        <v>0.6</v>
      </c>
      <c r="BK64" s="1238">
        <v>0</v>
      </c>
      <c r="BL64" s="1348"/>
      <c r="BM64" s="1076" t="s">
        <v>671</v>
      </c>
      <c r="BN64" s="1076">
        <f t="array" ref="BN64">IF(Ration_hivernale_complète_bisons[somme]&gt;0,0,IFERROR(IF(OR(AND(INDEX(Règles_bison[Specificite],MATCH(ChoixRationBisons&amp;$BM64,Règles_bison[Ration]&amp;Règles_bison[Aliment],0))="s1",IF($BM64=ChoixSpécificité1Bisons,1)),
AND(INDEX(Règles_bison[Specificite],MATCH(ChoixRationBisons&amp;$BM64,Règles_bison[Ration]&amp;Règles_bison[Aliment],0))="s2",IF($BM64=ChoixSpécificité2Bisons,1)),INDEX(Règles_bison[Specificite],MATCH(ChoixRationBisons&amp;$BM64,Règles_bison[Ration]&amp;Règles_bison[Aliment],0))="c"),
INDEX(Règles_bison[Valeur 36 et plus],MATCH(ChoixRationBisons&amp;$BM64,Règles_bison[Ration]&amp;Règles_bison[Aliment],0)),0),0)*TotalBisonsMalesAdultes*SUM(NbreJoursNourrirBisonsDaims))</f>
        <v>0</v>
      </c>
      <c r="BO64" s="1076">
        <f t="array" ref="BO64">IF(Ration_hivernale_complète_bisons[somme]&gt;0,0,IFERROR(IF(OR(AND(INDEX(Règles_bison[Specificite],MATCH(ChoixRationBisons&amp;$BM64,Règles_bison[Ration]&amp;Règles_bison[Aliment],0))="s1",IF($BM64=ChoixSpécificité1Bisons,1)),
AND(INDEX(Règles_bison[Specificite],MATCH(ChoixRationBisons&amp;$BM64,Règles_bison[Ration]&amp;Règles_bison[Aliment],0))="s2",IF($BM64=ChoixSpécificité2Bisons,1)),INDEX(Règles_bison[Specificite],MATCH(ChoixRationBisons&amp;$BM64,Règles_bison[Ration]&amp;Règles_bison[Aliment],0))="c"),
INDEX(Règles_bison[Valeur 24-36],MATCH(ChoixRationBisons&amp;$BM64,Règles_bison[Ration]&amp;Règles_bison[Aliment],0)),0),0)*TotalBisonsMales_24_36_mois*SUM(NbreJoursNourrirBisonsDaims))</f>
        <v>0</v>
      </c>
      <c r="BP64" s="1076">
        <f t="array" ref="BP64">IF(Ration_hivernale_complète_bisons[somme]&gt;0,0,IFERROR(IF(OR(AND(INDEX(Règles_bison[Specificite],MATCH(ChoixRationBisons&amp;$BM64,Règles_bison[Ration]&amp;Règles_bison[Aliment],0))="s1",IF($BM64=ChoixSpécificité1Bisons,1)),
AND(INDEX(Règles_bison[Specificite],MATCH(ChoixRationBisons&amp;$BM64,Règles_bison[Ration]&amp;Règles_bison[Aliment],0))="s2",IF($BM64=ChoixSpécificité2Bisons,1)),INDEX(Règles_bison[Specificite],MATCH(ChoixRationBisons&amp;$BM64,Règles_bison[Ration]&amp;Règles_bison[Aliment],0))="c"),
INDEX(Règles_bison[Valeur 18-24],MATCH(ChoixRationBisons&amp;$BM64,Règles_bison[Ration]&amp;Règles_bison[Aliment],0)),0),0)*TotalBisonsMales_18_24_mois*SUM(NbreJoursNourrirBisonsDaims))</f>
        <v>0</v>
      </c>
      <c r="BQ64" s="1076">
        <f t="array" ref="BQ64">IF(Ration_hivernale_complète_bisons[somme]&gt;0,0,IFERROR(IF(OR(AND(INDEX(Règles_bison[Specificite],MATCH(ChoixRationBisons&amp;$BM64,Règles_bison[Ration]&amp;Règles_bison[Aliment],0))="s1",IF($BM64=ChoixSpécificité1Bisons,1)),
AND(INDEX(Règles_bison[Specificite],MATCH(ChoixRationBisons&amp;$BM64,Règles_bison[Ration]&amp;Règles_bison[Aliment],0))="s2",IF($BM64=ChoixSpécificité2Bisons,1)),INDEX(Règles_bison[Specificite],MATCH(ChoixRationBisons&amp;$BM64,Règles_bison[Ration]&amp;Règles_bison[Aliment],0))="c"),
INDEX(Règles_bison[Valeur 12-18],MATCH(ChoixRationBisons&amp;$BM64,Règles_bison[Ration]&amp;Règles_bison[Aliment],0)),0),0)*TotalBisonsMales_12_18_mois*SUM(NbreJoursNourrirBisonsDaims))</f>
        <v>0</v>
      </c>
      <c r="BR64" s="1076">
        <f t="array" ref="BR64">IF(Ration_hivernale_complète_bisons[somme]&gt;0,0,IFERROR(IF(OR(AND(INDEX(Règles_bison[Specificite],MATCH(ChoixRationBisons&amp;$BM64,Règles_bison[Ration]&amp;Règles_bison[Aliment],0))="s1",IF($BM64=ChoixSpécificité1Bisons,1)),
AND(INDEX(Règles_bison[Specificite],MATCH(ChoixRationBisons&amp;$BM64,Règles_bison[Ration]&amp;Règles_bison[Aliment],0))="s2",IF($BM64=ChoixSpécificité2Bisons,1)),INDEX(Règles_bison[Specificite],MATCH(ChoixRationBisons&amp;$BM64,Règles_bison[Ration]&amp;Règles_bison[Aliment],0))="c"),
INDEX(Règles_bison[Valeur 6-12],MATCH(ChoixRationBisons&amp;$BM64,Règles_bison[Ration]&amp;Règles_bison[Aliment],0)),0),0)*TotalBisonsMales_6_12_mois*SUM(NbreJoursNourrirBisonsDaims))</f>
        <v>0</v>
      </c>
      <c r="BS64" s="1076">
        <f t="array" ref="BS64">IF(Ration_hivernale_complète_bisons[somme]&gt;0,0,IFERROR(IF(OR(AND(INDEX(Règles_bison[Specificite],MATCH(ChoixRationBisons&amp;$BM64,Règles_bison[Ration]&amp;Règles_bison[Aliment],0))="s1",IF($BM64=ChoixSpécificité1Bisons,1)),
AND(INDEX(Règles_bison[Specificite],MATCH(ChoixRationBisons&amp;$BM64,Règles_bison[Ration]&amp;Règles_bison[Aliment],0))="s2",IF($BM64=ChoixSpécificité2Bisons,1)),INDEX(Règles_bison[Specificite],MATCH(ChoixRationBisons&amp;$BM64,Règles_bison[Ration]&amp;Règles_bison[Aliment],0))="c"),
INDEX(Règles_bison[Valeur 3-6],MATCH(ChoixRationBisons&amp;$BM64,Règles_bison[Ration]&amp;Règles_bison[Aliment],0)),0),0)*TotalBisonsMales_3_6_mois*SUM(NbreJoursNourrirBisonsDaims))</f>
        <v>0</v>
      </c>
      <c r="BT64" s="1076">
        <f t="array" ref="BT64">IF(Ration_hivernale_complète_bisons[somme]&gt;0,0,IFERROR(IF(OR(AND(INDEX(Règles_bison[Specificite],MATCH(ChoixRationBisons&amp;$BM64,Règles_bison[Ration]&amp;Règles_bison[Aliment],0))="s1",IF($BM64=ChoixSpécificité1Bisons,1)),
AND(INDEX(Règles_bison[Specificite],MATCH(ChoixRationBisons&amp;$BM64,Règles_bison[Ration]&amp;Règles_bison[Aliment],0))="s2",IF($BM64=ChoixSpécificité2Bisons,1)),INDEX(Règles_bison[Specificite],MATCH(ChoixRationBisons&amp;$BM64,Règles_bison[Ration]&amp;Règles_bison[Aliment],0))="c"),
INDEX(Règles_bison[Valeur 0-3],MATCH(ChoixRationBisons&amp;$BM64,Règles_bison[Ration]&amp;Règles_bison[Aliment],0)),0),0)*TotalBisonsMales_0_3_mois*SUM(NbreJoursNourrirBisonsDaims))</f>
        <v>0</v>
      </c>
      <c r="BU64" s="1076">
        <f t="shared" si="10"/>
        <v>0</v>
      </c>
      <c r="BV64" s="1345"/>
      <c r="BW64" s="1345"/>
      <c r="BX64" s="1176" t="s">
        <v>762</v>
      </c>
      <c r="BY64" s="1177" t="s">
        <v>733</v>
      </c>
      <c r="BZ64" s="1177" t="s">
        <v>1252</v>
      </c>
      <c r="CA64" s="1177">
        <v>20</v>
      </c>
      <c r="CB64" s="1177">
        <v>12</v>
      </c>
      <c r="CC64" s="1177">
        <v>8</v>
      </c>
      <c r="CD64" s="1199">
        <v>4</v>
      </c>
      <c r="CE64" s="1350"/>
      <c r="CF64" s="1350"/>
      <c r="CG64" s="1350"/>
      <c r="CH64" s="1350"/>
      <c r="CI64" s="1321"/>
      <c r="CJ64" s="808" t="s">
        <v>219</v>
      </c>
      <c r="CK64" s="788">
        <f t="array" ref="CK6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64" s="788">
        <f t="array" ref="CL6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64" s="788">
        <f t="array" ref="CM6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64" s="788">
        <f t="array" ref="CN6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64" s="788">
        <f t="array" ref="CO6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64" s="812">
        <f>SUM(AlimentsRationPorcinsMâles[[#This Row],[Valeur 12 et plus]:[Valeur 0-1]])</f>
        <v>0</v>
      </c>
      <c r="CQ64" s="1321"/>
      <c r="CR64" s="1321"/>
      <c r="CS64" s="808" t="s">
        <v>1718</v>
      </c>
      <c r="CT64" s="817">
        <f t="array" ref="CT6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64" s="817">
        <f t="array" ref="CU6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64" s="817">
        <f t="array" ref="CV6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64" s="818">
        <f>SUM(AlimentsRationLapinsMâles[[#This Row],[Valeur 3 et plus]:[Valeur 0-1]])</f>
        <v>0</v>
      </c>
      <c r="CX64" s="1321"/>
      <c r="CY64" s="1321"/>
      <c r="CZ64" s="808" t="s">
        <v>1718</v>
      </c>
      <c r="DA64" s="817">
        <f t="array" ref="DA6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64" s="817">
        <f t="array" ref="DB6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64" s="817">
        <f t="array" ref="DC6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64" s="818">
        <f>SUM(AlimentsRationVolaillesMâles[[#This Row],[Valeur 6 et plus]:[Valeur 0-1]])</f>
        <v>0</v>
      </c>
      <c r="DE64" s="1364"/>
      <c r="DF64" s="1321"/>
      <c r="DG64" s="808" t="s">
        <v>333</v>
      </c>
      <c r="DH64" s="817">
        <f t="array" ref="DH6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64" s="817">
        <f t="array" ref="DI6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64" s="817">
        <f t="array" ref="DJ6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64" s="818">
        <f>SUM(AlimentsRationPintadesMâles[[#This Row],[Valeur 9 et plus]:[Valeur 0-1]])</f>
        <v>0</v>
      </c>
      <c r="DL64" s="1364"/>
      <c r="DM64" s="1364"/>
      <c r="DN64" s="1328" t="s">
        <v>1282</v>
      </c>
      <c r="DO64" s="1321"/>
      <c r="DP64" s="1321"/>
      <c r="DQ64" s="1321"/>
      <c r="DR64" s="1321"/>
      <c r="DS64" s="1345"/>
      <c r="DT64" s="1346"/>
      <c r="DU64" s="1346"/>
      <c r="DV64" s="1076" t="s">
        <v>76</v>
      </c>
      <c r="DW64" s="1267">
        <f t="array" ref="DW64">IF(ChoixRationComplèteDaims=OUI,0,IFERROR(IF(OR(AND(INDEX(Règles_daims[Specificite],MATCH(ChoixRationDaims&amp;DV64,Règles_daims[Ration]&amp;Règles_daims[Aliment],0))="s1",IF(DV64=Spécificité1Daims,1)),
AND(INDEX(Règles_daims[Specificite],MATCH(ChoixRationDaims&amp;DV64,Règles_daims[Ration]&amp;Règles_daims[Aliment],0))="s2",IF(DV64=Spécificité2Daims,1)),
INDEX(Règles_daims[Specificite],MATCH(ChoixRationDaims&amp;DV64,Règles_daims[Ration]&amp;Règles_daims[Aliment],0))="c"),
INDEX(Règles_daims[Valeur 36 et plus],MATCH(ChoixRationDaims&amp;DV64,Règles_daims[Ration]&amp;Règles_daims[Aliment],0)),0),0)*SUM(TotalDaimsAdultes)*SUM(NbreJoursNourrirBisonsDaims))</f>
        <v>0</v>
      </c>
      <c r="DX64" s="1267">
        <f t="array" ref="DX64">IF(ChoixRationComplèteDaims=OUI,0,IFERROR(IF(OR(AND(INDEX(Règles_daims[Specificite],MATCH(ChoixRationDaims&amp;DV64,Règles_daims[Ration]&amp;Règles_daims[Aliment],0))="s1",IF(DV64=Spécificité1Daims,1)),
AND(INDEX(Règles_daims[Specificite],MATCH(ChoixRationDaims&amp;DV64,Règles_daims[Ration]&amp;Règles_daims[Aliment],0))="s2",IF(DV64=Spécificité2Daims,1)),
INDEX(Règles_daims[Specificite],MATCH(ChoixRationDaims&amp;DV64,Règles_daims[Ration]&amp;Règles_daims[Aliment],0))="c"),
INDEX(Règles_daims[Valeur 24-36],MATCH(ChoixRationDaims&amp;DV64,Règles_daims[Ration]&amp;Règles_daims[Aliment],0)),0),0)*SUM(TotalDaims24_36)*SUM(NbreJoursNourrirBisonsDaims))</f>
        <v>0</v>
      </c>
      <c r="DY64" s="1267">
        <f t="array" ref="DY64">IF(ChoixRationComplèteDaims=OUI,0,IFERROR(IF(OR(AND(INDEX(Règles_daims[Specificite],MATCH(ChoixRationDaims&amp;DV64,Règles_daims[Ration]&amp;Règles_daims[Aliment],0))="s1",IF(DV64=Spécificité1Daims,1)),
AND(INDEX(Règles_daims[Specificite],MATCH(ChoixRationDaims&amp;DV64,Règles_daims[Ration]&amp;Règles_daims[Aliment],0))="s2",IF(DV64=Spécificité2Daims,1)),
INDEX(Règles_daims[Specificite],MATCH(ChoixRationDaims&amp;DV64,Règles_daims[Ration]&amp;Règles_daims[Aliment],0))="c"),
INDEX(Règles_daims[Valeur 18-24],MATCH(ChoixRationDaims&amp;DV64,Règles_daims[Ration]&amp;Règles_daims[Aliment],0)),0),0)*SUM(TotalDaims18_24)*SUM(NbreJoursNourrirBisonsDaims))</f>
        <v>0</v>
      </c>
      <c r="DZ64" s="1279">
        <f t="array" ref="DZ64">IF(ChoixRationComplèteDaims=OUI,0,IFERROR(IF(OR(AND(INDEX(Règles_daims[Specificite],MATCH(ChoixRationDaims&amp;DV64,Règles_daims[Ration]&amp;Règles_daims[Aliment],0))="s1",IF(DV64=Spécificité1Daims,1)),
AND(INDEX(Règles_daims[Specificite],MATCH(ChoixRationDaims&amp;DV64,Règles_daims[Ration]&amp;Règles_daims[Aliment],0))="s2",IF(DV64=Spécificité2Daims,1)),
INDEX(Règles_daims[Specificite],MATCH(ChoixRationDaims&amp;DV64,Règles_daims[Ration]&amp;Règles_daims[Aliment],0))="c"),
INDEX(Règles_daims[Valeur 12-18],MATCH(ChoixRationDaims&amp;DV64,Règles_daims[Ration]&amp;Règles_daims[Aliment],0)),0),0)*SUM(TotalDaims12_18)*SUM(NbreJoursNourrirBisonsDaims))</f>
        <v>0</v>
      </c>
      <c r="EA64" s="1279">
        <f t="array" ref="EA64">IF(ChoixRationComplèteDaims=OUI,0,IFERROR(IF(OR(AND(INDEX(Règles_daims[Specificite],MATCH(ChoixRationDaims&amp;DV64,Règles_daims[Ration]&amp;Règles_daims[Aliment],0))="s1",IF(DV64=Spécificité1Daims,1)),
AND(INDEX(Règles_daims[Specificite],MATCH(ChoixRationDaims&amp;DV64,Règles_daims[Ration]&amp;Règles_daims[Aliment],0))="s2",IF(DV64=Spécificité2Daims,1)),
INDEX(Règles_daims[Specificite],MATCH(ChoixRationDaims&amp;DV64,Règles_daims[Ration]&amp;Règles_daims[Aliment],0))="c"),
INDEX(Règles_daims[Valeur 6-12],MATCH(ChoixRationDaims&amp;DV64,Règles_daims[Ration]&amp;Règles_daims[Aliment],0)),0),0)*SUM(TotalDaims6_12)*SUM(NbreJoursNourrirBisonsDaims))</f>
        <v>0</v>
      </c>
      <c r="EB64" s="1279">
        <f t="array" ref="EB64">IF(ChoixRationComplèteDaims=OUI,0,IFERROR(IF(OR(AND(INDEX(Règles_daims[Specificite],MATCH(ChoixRationDaims&amp;DV64,Règles_daims[Ration]&amp;Règles_daims[Aliment],0))="s1",IF(DV64=Spécificité1Daims,1)),
AND(INDEX(Règles_daims[Specificite],MATCH(ChoixRationDaims&amp;DV64,Règles_daims[Ration]&amp;Règles_daims[Aliment],0))="s2",IF(DV64=Spécificité2Daims,1)),
INDEX(Règles_daims[Specificite],MATCH(ChoixRationDaims&amp;DV64,Règles_daims[Ration]&amp;Règles_daims[Aliment],0))="c"),
INDEX(Règles_daims[Valeur 3-6],MATCH(ChoixRationDaims&amp;DV64,Règles_daims[Ration]&amp;Règles_daims[Aliment],0)),0),0)*SUM(TotalDaims3_6)*SUM(NbreJoursNourrirBisonsDaims))</f>
        <v>0</v>
      </c>
      <c r="EC64" s="1279">
        <f t="array" ref="EC64">IF(ChoixRationComplèteDaims=OUI,0,IFERROR(IF(OR(AND(INDEX(Règles_daims[Specificite],MATCH(ChoixRationDaims&amp;DV64,Règles_daims[Ration]&amp;Règles_daims[Aliment],0))="s1",IF(DV64=Spécificité1Daims,1)),
AND(INDEX(Règles_daims[Specificite],MATCH(ChoixRationDaims&amp;DV64,Règles_daims[Ration]&amp;Règles_daims[Aliment],0))="s2",IF(DV64=Spécificité2Daims,1)),
INDEX(Règles_daims[Specificite],MATCH(ChoixRationDaims&amp;DV64,Règles_daims[Ration]&amp;Règles_daims[Aliment],0))="c"),
INDEX(Règles_daims[Valeur 0-3],MATCH(ChoixRationDaims&amp;DV64,Règles_daims[Ration]&amp;Règles_daims[Aliment],0)),0),0)*SUM(TotalDaims0_3)*SUM(NbreJoursNourrirBisonsDaims))</f>
        <v>0</v>
      </c>
      <c r="ED64" s="1279">
        <f t="shared" si="9"/>
        <v>0</v>
      </c>
      <c r="EE64" s="1345"/>
      <c r="EF64" s="1321"/>
      <c r="EG64" s="808" t="s">
        <v>733</v>
      </c>
      <c r="EH64" s="817">
        <f t="array" ref="EH64">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64" s="817">
        <f t="array" ref="EI64">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64" s="817">
        <f t="array" ref="EJ64">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64" s="818">
        <f>SUM(AlimentsRationOiesMâles[[#This Row],[Valeur 6 et plus]:[Valeur 0-3]])</f>
        <v>0</v>
      </c>
      <c r="EL64" s="1364"/>
      <c r="EM64" s="1321"/>
      <c r="EN64" s="808" t="s">
        <v>331</v>
      </c>
      <c r="EO64" s="817">
        <f t="array" ref="EO6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64" s="817">
        <f t="array" ref="EP6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64" s="817">
        <f t="array" ref="EQ6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64" s="818">
        <f>SUM(Ration_canards_Mâles[[#This Row],[Valeur 6 et plus]:[Valeur 0-3]])</f>
        <v>0</v>
      </c>
      <c r="ES64" s="1364"/>
      <c r="ET64" s="1321"/>
      <c r="EU64" s="1082" t="s">
        <v>1270</v>
      </c>
      <c r="EV64" s="1282">
        <f t="array" ref="EV64">IF(OR(ChoixRationComplèteEtéChevauxSelle=OUI,ChoixRationComplèteEtéChevauxSelle="",AND(ChoixChevauxSellePréHiver=OUI,ChoixChevauxSellePréEté=OUI)),0,IFERROR(IF(OR(AND(INDEX(Règles_chevaux_selle[Specificite],MATCH(RationEtéChevauxSelle&amp;$EU64,Règles_chevaux_selle[Ration]&amp;Règles_chevaux_selle[Aliment],0))="s1",IF($EU64=Spécificité1ChevauxSelle,1)),
AND(INDEX(Règles_chevaux_selle[Specificite],MATCH(RationEtéChevauxSelle&amp;$EU64,Règles_chevaux_selle[Ration]&amp;Règles_chevaux_selle[Aliment],0))="s2",IF($EU64=Spécificité2ChevauxSelle,1)),
INDEX(Règles_chevaux_selle[Specificite],MATCH(RationEtéChevauxSelle&amp;$EU64,Règles_chevaux_selle[Ration]&amp;Règles_chevaux_selle[Aliment],0))="c"),
INDEX(Règles_chevaux_selle[Valeur 36 et plus],MATCH(RationEtéChevauxSelle&amp;$EU64,Règles_chevaux_selle[Ration]&amp;Règles_chevaux_selle[Aliment],0)),0),0)*TotalEtalonSelle*SUM(NbreJoursNourrirChevauxSelle))</f>
        <v>0</v>
      </c>
      <c r="EW64" s="1282">
        <f t="array" ref="EW64">IF(OR(ChoixRationComplèteEtéChevauxSelle=OUI,ChoixRationComplèteEtéChevauxSelle="",AND(ChoixChevauxSellePréHiver=OUI,ChoixChevauxSellePréEté=OUI)),0,IFERROR(IF(OR(AND(INDEX(Règles_chevaux_selle[Specificite],MATCH(RationEtéChevauxSelle&amp;$EU64,Règles_chevaux_selle[Ration]&amp;Règles_chevaux_selle[Aliment],0))="s1",IF($EU64=Spécificité1ChevauxSelle,1)),
AND(INDEX(Règles_chevaux_selle[Specificite],MATCH(RationEtéChevauxSelle&amp;$EU64,Règles_chevaux_selle[Ration]&amp;Règles_chevaux_selle[Aliment],0))="s2",IF($EU64=Spécificité2ChevauxSelle,1)),
INDEX(Règles_chevaux_selle[Specificite],MATCH(RationEtéChevauxSelle&amp;$EU64,Règles_chevaux_selle[Ration]&amp;Règles_chevaux_selle[Aliment],0))="c"),
INDEX(Règles_chevaux_selle[Valeur 24-36],MATCH(RationEtéChevauxSelle&amp;$EU64,Règles_chevaux_selle[Ration]&amp;Règles_chevaux_selle[Aliment],0)),0),0)*TotalJeuneEtalonSelle_24_36_mois*SUM(NbreJoursNourrirChevauxSelle))</f>
        <v>0</v>
      </c>
      <c r="EX64" s="1282">
        <f t="array" ref="EX64">IF(OR(ChoixRationComplèteEtéChevauxSelle=OUI,ChoixRationComplèteEtéChevauxSelle="",AND(ChoixChevauxSellePréHiver=OUI,ChoixChevauxSellePréEté=OUI)),0,IFERROR(IF(OR(AND(INDEX(Règles_chevaux_selle[Specificite],MATCH(RationEtéChevauxSelle&amp;$EU64,Règles_chevaux_selle[Ration]&amp;Règles_chevaux_selle[Aliment],0))="s1",IF($EU64=Spécificité1ChevauxSelle,1)),
AND(INDEX(Règles_chevaux_selle[Specificite],MATCH(RationEtéChevauxSelle&amp;$EU64,Règles_chevaux_selle[Ration]&amp;Règles_chevaux_selle[Aliment],0))="s2",IF($EU64=Spécificité2ChevauxSelle,1)),
INDEX(Règles_chevaux_selle[Specificite],MATCH(RationEtéChevauxSelle&amp;$EU64,Règles_chevaux_selle[Ration]&amp;Règles_chevaux_selle[Aliment],0))="c"),
INDEX(Règles_chevaux_selle[Valeur 12-24],MATCH(RationEtéChevauxSelle&amp;$EU64,Règles_chevaux_selle[Ration]&amp;Règles_chevaux_selle[Aliment],0)),0),0)*TotalJeuneEtalonSelle_12_24_mois*SUM(NbreJoursNourrirChevauxSelle))</f>
        <v>0</v>
      </c>
      <c r="EY64" s="1285">
        <f t="array" ref="EY64">IF(OR(ChoixRationComplèteEtéChevauxSelle=OUI,ChoixRationComplèteEtéChevauxSelle="",AND(ChoixChevauxSellePréHiver=OUI,ChoixChevauxSellePréEté=OUI)),0,IFERROR(IF(OR(AND(INDEX(Règles_chevaux_selle[Specificite],MATCH(RationEtéChevauxSelle&amp;$EU64,Règles_chevaux_selle[Ration]&amp;Règles_chevaux_selle[Aliment],0))="s1",IF($EU64=Spécificité1ChevauxSelle,1)),
AND(INDEX(Règles_chevaux_selle[Specificite],MATCH(RationEtéChevauxSelle&amp;$EU64,Règles_chevaux_selle[Ration]&amp;Règles_chevaux_selle[Aliment],0))="s2",IF($EU64=Spécificité2ChevauxSelle,1)),
INDEX(Règles_chevaux_selle[Specificite],MATCH(RationEtéChevauxSelle&amp;$EU64,Règles_chevaux_selle[Ration]&amp;Règles_chevaux_selle[Aliment],0))="c"),
INDEX(Règles_chevaux_selle[Valeur 0-12],MATCH(RationEtéChevauxSelle&amp;$EU64,Règles_chevaux_selle[Ration]&amp;Règles_chevaux_selle[Aliment],0)),0),0)*TotalPoulainSelle_0_12_mois*SUM(NbreJoursNourrirChevauxSelle))</f>
        <v>0</v>
      </c>
      <c r="EZ64" s="1285">
        <f t="shared" si="16"/>
        <v>0</v>
      </c>
      <c r="FA64" s="1345"/>
      <c r="FB64" s="1345"/>
      <c r="FC64" s="1321"/>
      <c r="FD64" s="1082" t="s">
        <v>728</v>
      </c>
      <c r="FE64" s="1282">
        <f t="array" ref="FE64">IF(OR(ChoixRationComplèteEtéChevauxTrait=OUI,ChoixRationComplèteEtéChevauxTrait="",AND(ChoixChevauxTraitPréHiver=OUI,ChoixChevauxTraitPréEté=OUI)),0,IFERROR(IF(OR(AND(INDEX(Règles_chevaux_trait[Specificite],MATCH(RationEtéChevauxTrait&amp;$FD64,Règles_chevaux_trait[Ration]&amp;Règles_chevaux_trait[Aliment],0))="s1",IF($FD64=Spécificité1ChevauxTrait,1)),
AND(INDEX(Règles_chevaux_trait[Specificite],MATCH(RationEtéChevauxTrait&amp;$FD64,Règles_chevaux_trait[Ration]&amp;Règles_chevaux_trait[Aliment],0))="s2",IF($FD64=Spécificité2ChevauxTrait,1)),
INDEX(Règles_chevaux_trait[Specificite],MATCH(RationEtéChevauxTrait&amp;$FD64,Règles_chevaux_trait[Ration]&amp;Règles_chevaux_trait[Aliment],0))="c"),
INDEX(Règles_chevaux_trait[Valeur 36 et plus],MATCH(RationEtéChevauxTrait&amp;$FD64,Règles_chevaux_trait[Ration]&amp;Règles_chevaux_trait[Aliment],0)),0),0)*TotalEtalonTrait*SUM(NbreJoursNourrirChevauxTrait))</f>
        <v>0</v>
      </c>
      <c r="FF64" s="1282">
        <f t="array" ref="FF64">IF(OR(ChoixRationComplèteEtéChevauxTrait=OUI,ChoixRationComplèteEtéChevauxTrait="",AND(ChoixChevauxTraitPréHiver=OUI,ChoixChevauxTraitPréEté=OUI)),0,IFERROR(IF(OR(AND(INDEX(Règles_chevaux_trait[Specificite],MATCH(RationEtéChevauxTrait&amp;$FD64,Règles_chevaux_trait[Ration]&amp;Règles_chevaux_trait[Aliment],0))="s1",IF($FD64=Spécificité1ChevauxTrait,1)),
AND(INDEX(Règles_chevaux_trait[Specificite],MATCH(RationEtéChevauxTrait&amp;$FD64,Règles_chevaux_trait[Ration]&amp;Règles_chevaux_trait[Aliment],0))="s2",IF($FD64=Spécificité2ChevauxTrait,1)),
INDEX(Règles_chevaux_trait[Specificite],MATCH(RationEtéChevauxTrait&amp;$FD64,Règles_chevaux_trait[Ration]&amp;Règles_chevaux_trait[Aliment],0))="c"),
INDEX(Règles_chevaux_trait[Valeur 24-36],MATCH(RationEtéChevauxTrait&amp;$FD64,Règles_chevaux_trait[Ration]&amp;Règles_chevaux_trait[Aliment],0)),0),0)*TotalJeuneEtalonTrait_24_36_mois*SUM(NbreJoursNourrirChevauxTrait))</f>
        <v>0</v>
      </c>
      <c r="FG64" s="1282">
        <f t="array" ref="FG64">IF(OR(ChoixRationComplèteEtéChevauxTrait=OUI,ChoixRationComplèteEtéChevauxTrait="",AND(ChoixChevauxTraitPréHiver=OUI,ChoixChevauxTraitPréEté=OUI)),0,IFERROR(IF(OR(AND(INDEX(Règles_chevaux_trait[Specificite],MATCH(RationEtéChevauxTrait&amp;$FD64,Règles_chevaux_trait[Ration]&amp;Règles_chevaux_trait[Aliment],0))="s1",IF($FD64=Spécificité1ChevauxTrait,1)),
AND(INDEX(Règles_chevaux_trait[Specificite],MATCH(RationEtéChevauxTrait&amp;$FD64,Règles_chevaux_trait[Ration]&amp;Règles_chevaux_trait[Aliment],0))="s2",IF($FD64=Spécificité2ChevauxTrait,1)),
INDEX(Règles_chevaux_trait[Specificite],MATCH(RationEtéChevauxTrait&amp;$FD64,Règles_chevaux_trait[Ration]&amp;Règles_chevaux_trait[Aliment],0))="c"),
INDEX(Règles_chevaux_trait[Valeur 12-24],MATCH(RationEtéChevauxTrait&amp;$FD64,Règles_chevaux_trait[Ration]&amp;Règles_chevaux_trait[Aliment],0)),0),0)*TotalJeuneEtalonTrait_12_24_mois*SUM(NbreJoursNourrirChevauxTrait))</f>
        <v>0</v>
      </c>
      <c r="FH64" s="1285">
        <f t="array" ref="FH64">IF(OR(ChoixRationComplèteEtéChevauxTrait=OUI,ChoixRationComplèteEtéChevauxTrait="",AND(ChoixChevauxTraitPréHiver=OUI,ChoixChevauxTraitPréEté=OUI)),0,IFERROR(IF(OR(AND(INDEX(Règles_chevaux_trait[Specificite],MATCH(RationEtéChevauxTrait&amp;$FD64,Règles_chevaux_trait[Ration]&amp;Règles_chevaux_trait[Aliment],0))="s1",IF($FD64=Spécificité1ChevauxTrait,1)),
AND(INDEX(Règles_chevaux_trait[Specificite],MATCH(RationEtéChevauxTrait&amp;$FD64,Règles_chevaux_trait[Ration]&amp;Règles_chevaux_trait[Aliment],0))="s2",IF($FD64=Spécificité2ChevauxTrait,1)),
INDEX(Règles_chevaux_trait[Specificite],MATCH(RationEtéChevauxTrait&amp;$FD64,Règles_chevaux_trait[Ration]&amp;Règles_chevaux_trait[Aliment],0))="c"),
INDEX(Règles_chevaux_trait[Valeur 0-12],MATCH(RationEtéChevauxTrait&amp;$FD64,Règles_chevaux_trait[Ration]&amp;Règles_chevaux_trait[Aliment],0)),0),0)*TotalPoulainTrait_0_12_mois*SUM(NbreJoursNourrirChevauxTrait))</f>
        <v>0</v>
      </c>
      <c r="FI64" s="1285">
        <f t="shared" si="15"/>
        <v>0</v>
      </c>
      <c r="FJ64" s="1345"/>
      <c r="FK64" s="1345"/>
      <c r="FL64" s="1345"/>
      <c r="FM64" s="1321"/>
      <c r="FN64" s="1083" t="s">
        <v>733</v>
      </c>
      <c r="FO64" s="1283">
        <f t="array" ref="FO64">IFERROR(IF(OR(AND(INDEX(Règles_poneys[Specificite],MATCH(RationEtéPoneys&amp;$FN64,Règles_poneys[Ration]&amp;Règles_poneys[Aliment],0))="s1",IF($FN64=Spécificité1Poneys,1)),
AND(INDEX(Règles_poneys[Specificite],MATCH(RationEtéPoneys&amp;$FN64,Règles_poneys[Ration]&amp;Règles_poneys[Aliment],0))="s2",IF($FN64=Spécificité2Poneys,1)),
INDEX(Règles_poneys[Specificite],MATCH(RationEtéPoneys&amp;$FN64,Règles_poneys[Ration]&amp;Règles_poneys[Aliment],0))="c"),
INDEX(Règles_poneys[Valeur 36 et plus],MATCH(RationEtéPoneys&amp;$FN64,Règles_poneys[Ration]&amp;Règles_poneys[Aliment],0)),0),0)*TotalEtalonPoney*SUM(NbreJoursNourrirPoneys)</f>
        <v>0</v>
      </c>
      <c r="FP64" s="1283">
        <f t="array" ref="FP64">IFERROR(IF(OR(AND(INDEX(Règles_poneys[Specificite],MATCH(RationEtéPoneys&amp;$FN64,Règles_poneys[Ration]&amp;Règles_poneys[Aliment],0))="s1",IF($FN64=Spécificité1Poneys,1)),
AND(INDEX(Règles_poneys[Specificite],MATCH(RationEtéPoneys&amp;$FN64,Règles_poneys[Ration]&amp;Règles_poneys[Aliment],0))="s2",IF($FN64=Spécificité2Poneys,1)),
INDEX(Règles_poneys[Specificite],MATCH(RationEtéPoneys&amp;$FN64,Règles_poneys[Ration]&amp;Règles_poneys[Aliment],0))="c"),
INDEX(Règles_poneys[Valeur 36 et plus],MATCH(RationEtéPoneys&amp;$FN64,Règles_poneys[Ration]&amp;Règles_poneys[Aliment],0)),0),0)*TotalJeuneEtalonPoney_24_36_mois*SUM(NbreJoursNourrirPoneys)</f>
        <v>0</v>
      </c>
      <c r="FQ64" s="1283">
        <f t="array" ref="FQ64">IFERROR(IF(OR(AND(INDEX(Règles_poneys[Specificite],MATCH(RationEtéPoneys&amp;$FN64,Règles_poneys[Ration]&amp;Règles_poneys[Aliment],0))="s1",IF($FN64=Spécificité1Poneys,1)),
AND(INDEX(Règles_poneys[Specificite],MATCH(RationEtéPoneys&amp;$FN64,Règles_poneys[Ration]&amp;Règles_poneys[Aliment],0))="s2",IF($FN64=Spécificité2Poneys,1)),
INDEX(Règles_poneys[Specificite],MATCH(RationEtéPoneys&amp;$FN64,Règles_poneys[Ration]&amp;Règles_poneys[Aliment],0))="c"),
INDEX(Règles_poneys[Valeur 36 et plus],MATCH(RationEtéPoneys&amp;$FN64,Règles_poneys[Ration]&amp;Règles_poneys[Aliment],0)),0),0)*TotalJeuneEtalonPoney_12_24_mois*SUM(NbreJoursNourrirPoneys)</f>
        <v>0</v>
      </c>
      <c r="FR64" s="1286">
        <f t="array" ref="FR64">IFERROR(IF(OR(AND(INDEX(Règles_poneys[Specificite],MATCH(RationEtéPoneys&amp;$FN64,Règles_poneys[Ration]&amp;Règles_poneys[Aliment],0))="s1",IF($FN64=Spécificité1Poneys,1)),
AND(INDEX(Règles_poneys[Specificite],MATCH(RationEtéPoneys&amp;$FN64,Règles_poneys[Ration]&amp;Règles_poneys[Aliment],0))="s2",IF($FN64=Spécificité2Poneys,1)),
INDEX(Règles_poneys[Specificite],MATCH(RationEtéPoneys&amp;$FN64,Règles_poneys[Ration]&amp;Règles_poneys[Aliment],0))="c"),
INDEX(Règles_poneys[Valeur 36 et plus],MATCH(RationEtéPoneys&amp;$FN64,Règles_poneys[Ration]&amp;Règles_poneys[Aliment],0)),0),0)*TotalPoulainPoney_0_12_mois*SUM(NbreJoursNourrirPoneys)</f>
        <v>0</v>
      </c>
      <c r="FS64" s="1286">
        <f t="shared" si="14"/>
        <v>0</v>
      </c>
      <c r="FT64" s="1345"/>
      <c r="FU64" s="1345"/>
      <c r="FV64" s="1345"/>
      <c r="FW64" s="823" t="s">
        <v>725</v>
      </c>
      <c r="FX64" s="828">
        <f t="array" ref="FX6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64" s="828">
        <f t="array" ref="FY6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64" s="828">
        <f t="array" ref="FZ6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64" s="828">
        <f t="array" ref="GA6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64" s="829">
        <f>SUM(AlimentsGavageOies[[#This Row],[Valeur 3 et plus]:[Valeur 0-1]])</f>
        <v>0</v>
      </c>
      <c r="GC64" s="1364"/>
      <c r="GD64" s="1321"/>
      <c r="GE64" s="1143" t="s">
        <v>86</v>
      </c>
      <c r="GF64" s="1321"/>
      <c r="GG64" s="1321" t="s">
        <v>1349</v>
      </c>
      <c r="GH64" s="1321" t="s">
        <v>1349</v>
      </c>
      <c r="GI64" s="1321" t="s">
        <v>1349</v>
      </c>
      <c r="GJ64" s="1321" t="s">
        <v>1349</v>
      </c>
      <c r="GK64" s="1321" t="s">
        <v>1349</v>
      </c>
      <c r="GL64" s="1321" t="s">
        <v>1349</v>
      </c>
      <c r="GM64" s="1321" t="s">
        <v>1349</v>
      </c>
      <c r="GN64" s="1321" t="s">
        <v>1349</v>
      </c>
      <c r="GO64" s="1321" t="s">
        <v>1349</v>
      </c>
      <c r="GP64" s="1321" t="s">
        <v>1349</v>
      </c>
      <c r="GQ64" s="1321" t="s">
        <v>1349</v>
      </c>
      <c r="GR64" s="1321" t="s">
        <v>1349</v>
      </c>
      <c r="GS64" s="1321" t="s">
        <v>1349</v>
      </c>
      <c r="GT64" s="1321" t="s">
        <v>1349</v>
      </c>
      <c r="GU64" s="1321" t="s">
        <v>1349</v>
      </c>
      <c r="GV64" s="1321" t="s">
        <v>1349</v>
      </c>
      <c r="GW64" s="1321"/>
      <c r="GX64" s="1321"/>
      <c r="GY64" s="1083" t="str">
        <f t="shared" si="11"/>
        <v>semences de luzerne</v>
      </c>
      <c r="GZ64" s="1083"/>
      <c r="HA64" s="1084"/>
      <c r="HB64" s="1084">
        <f>IF(COUNTIF(TypeArticleDansEntrepôt,GY64)=0,0,SUMIF(TypeArticleDansEntrepôt,GY64,QtéArticleDansEntrepôt)*VLOOKUP(GY64,place_necessaire_entrepots_aire_paille[],2,FALSE))</f>
        <v>0</v>
      </c>
      <c r="HC64" s="1321"/>
      <c r="HD64" s="1321"/>
      <c r="HE64" s="1321"/>
      <c r="HF64" s="1321"/>
      <c r="HG64" s="1321"/>
      <c r="HH64" s="1321"/>
      <c r="HI64" s="1321"/>
      <c r="HJ64" s="1321"/>
      <c r="HK64" s="1321"/>
      <c r="HL64" s="1321"/>
      <c r="HM64" s="1321"/>
      <c r="HN64" s="1084" t="str">
        <f>IF(parcelles!B112="","",(VLOOKUP(parcelles!C112,BDD!$HN$5:$HU$38,2,FALSE))*parcelles!E112)</f>
        <v/>
      </c>
      <c r="HO64" s="1084" t="str">
        <f>IF(parcelles!B112="","",IF(OR(parcelles!C112=Moutarde,parcelles!C112=Phacélie),0,IF(parcelles!C112=Luzerne,10*parcelles!E112*VLOOKUP(parcelles!C112,BDD!$HN$5:$HU$38,3,FALSE),IF(parcelles!C112=Miscanthus,10.5*parcelles!E112*VLOOKUP(parcelles!C112,BDD!$HN$5:$HU$38,3,FALSE),INDEX(parcelles!$C$56:'parcelles'!$Y$77,MATCH(parcelles!B112,parcelles!$B$56:'parcelles'!$B$77,0),MATCH(parcelles!C112,parcelles!$C$53:'parcelles'!$Y$53,0))*parcelles!E112*VLOOKUP(parcelles!C112,BDD!$HN$5:$HU$38,3,FALSE)))))</f>
        <v/>
      </c>
      <c r="HP64" s="1084" t="str">
        <f>IF(parcelles!B112="","",IF(OR(parcelles!C112=Moutarde,parcelles!C112=Phacélie),0,IF(parcelles!C112=Luzerne,10*parcelles!E112*VLOOKUP(parcelles!C112,BDD!$HN$5:$HU$38,4,FALSE),IF(parcelles!C112=Miscanthus,10.5*parcelles!E112*VLOOKUP(parcelles!C112,BDD!$HN$5:$HU$38,4,FALSE),INDEX(parcelles!$C$56:'parcelles'!$Y$77,MATCH(parcelles!B112,parcelles!$B$56:'parcelles'!$B$77,0),MATCH(parcelles!C112,parcelles!$C$53:'parcelles'!$Y$53,0))*parcelles!E112*VLOOKUP(parcelles!C112,BDD!$HN$5:$HU$38,4,FALSE)))))</f>
        <v/>
      </c>
      <c r="HQ64" s="1084" t="str">
        <f>IF(parcelles!B112="","",IF(OR(parcelles!C112=Moutarde,parcelles!C112=Phacélie),0,IF(parcelles!C112=Luzerne,10*parcelles!E112*VLOOKUP(parcelles!C112,BDD!$HN$5:$HU$38,5,FALSE),IF(parcelles!C112=Miscanthus,10.5*parcelles!E112*VLOOKUP(parcelles!C112,BDD!$HN$5:$HU$38,5,FALSE),INDEX(parcelles!$C$56:'parcelles'!$Y$77,MATCH(parcelles!B112,parcelles!$B$56:'parcelles'!$B$77,0),MATCH(parcelles!C112,parcelles!$C$53:'parcelles'!$Y$53,0))*parcelles!E112*VLOOKUP(parcelles!C112,BDD!$HN$5:$HU$38,5,FALSE)))))</f>
        <v/>
      </c>
      <c r="HR64" s="1084" t="str">
        <f>IF(parcelles!B112="","",IF(OR(parcelles!C112=Moutarde,parcelles!C112=Phacélie),0,IF(parcelles!C112=Luzerne,10*parcelles!E112*VLOOKUP(parcelles!C112,BDD!$HN$5:$HU$38,6,FALSE),IF(parcelles!C112=Miscanthus,10.5*parcelles!E112*VLOOKUP(parcelles!C112,BDD!$HN$5:$HU$38,6,FALSE),INDEX(parcelles!$C$56:'parcelles'!$Y$77,MATCH(parcelles!B112,parcelles!$B$56:'parcelles'!$B$77,0),MATCH(parcelles!C112,parcelles!$C$53:'parcelles'!$Y$53,0))*parcelles!E112*VLOOKUP(parcelles!C112,BDD!$HN$5:$HU$38,6,FALSE)))))</f>
        <v/>
      </c>
      <c r="HS64" s="1084" t="str">
        <f>IF(parcelles!B112="","",IF(OR(parcelles!C112=Moutarde,parcelles!C112=Phacélie),0,IF(parcelles!C112=Luzerne,10*parcelles!E112*VLOOKUP(parcelles!C112,BDD!$HN$5:$HU$38,7,FALSE),IF(parcelles!C112=Miscanthus,10.5*parcelles!E112*VLOOKUP(parcelles!C112,BDD!$HN$5:$HU$38,7,FALSE),INDEX(parcelles!$C$56:'parcelles'!$Y$77,MATCH(parcelles!B112,parcelles!$B$56:'parcelles'!$B$77,0),MATCH(parcelles!C112,parcelles!$C$53:'parcelles'!$Y$53,0))*parcelles!E112*VLOOKUP(parcelles!C112,BDD!$HN$5:$HU$38,7,FALSE)))))</f>
        <v/>
      </c>
      <c r="HT64" s="1084" t="str">
        <f>IF(parcelles!B112="","",IF(OR(parcelles!C112=Moutarde,parcelles!C112=Phacélie),0,IF(parcelles!C112=Luzerne,10*parcelles!E112*VLOOKUP(parcelles!C112,BDD!$HN$5:$HU$38,8,FALSE),IF(parcelles!C112=Miscanthus,10.5*parcelles!E112*VLOOKUP(parcelles!C112,BDD!$HN$5:$HU$38,8,FALSE),INDEX(parcelles!$C$56:'parcelles'!$Y$77,MATCH(parcelles!B112,parcelles!$B$56:'parcelles'!$B$77,0),MATCH(parcelles!C112,parcelles!$C$53:'parcelles'!$Y$53,0))*parcelles!E112*VLOOKUP(parcelles!C112,BDD!$HN$5:$HU$38,8,FALSE)))))</f>
        <v/>
      </c>
      <c r="HU64" s="1084" t="str">
        <f>IF(parcelles!B112="","",IF(OR(parcelles!C112=Moutarde,parcelles!C112=Phacélie),0,1.6*parcelles!E112))</f>
        <v/>
      </c>
      <c r="HV64" s="1084" t="str">
        <f>IF(parcelles!B112="","",IF(OR(parcelles!C112=Moutarde,parcelles!C112=Phacélie),0,1.6*parcelles!E112))</f>
        <v/>
      </c>
      <c r="HW64" s="1084" t="str">
        <f>IF(parcelles!B112="","",IF(OR(parcelles!C112=Moutarde,parcelles!C112=Phacélie),0,1.6*parcelles!E112))</f>
        <v/>
      </c>
      <c r="HX64" s="1095" t="str">
        <f>IF(parcelles!D112="","",IF(parcelles!C112=ChanvreIndustriel,INDEX(parcelles!$C$56:$Y$77,MATCH(parcelles!B112,parcelles!$B$56:$B$77,0),MATCH(parcelles!C112,parcelles!$C$53:$Y$53,0))*parcelles!E112*SUMIF(ListeCulturesBDD,parcelles!C112,PrixVenteCulturesConventionnel)+RIGHT(BDD!$HM$7,3)*7*parcelles!E112,IF(parcelles!C112=Luzerne,parcelles!E112*10*VLOOKUP(parcelles!C112,TarifsCoopCultures,2,FALSE),IF(parcelles!C112=Miscanthus,parcelles!E112*10.5*VLOOKUP(Luzerne,TarifsCoopCultures,2,FALSE),INDEX(parcelles!$C$56:$Y$77,MATCH(parcelles!B112,parcelles!$B$56:$B$77,0),MATCH(parcelles!C112,parcelles!$C$53:$Y$53,0))*parcelles!E112*SUMIF(ListeCulturesBDD,parcelles!C112,PrixVenteCulturesConventionnel)))))</f>
        <v/>
      </c>
      <c r="HY64" s="1084" t="str">
        <f>IF(parcelles!D112="","",IF(parcelles!F112=0,"",IF(parcelles!C112=ChanvreIndustriel,"soit "&amp;parcelles!E112*0.8&amp;"t de grain et "&amp;parcelles!E112*7&amp;"t de paille",IF(parcelles!C112=Luzerne,"soit "&amp;10*parcelles!E112&amp;"t/an",IF(parcelles!C112=Miscanthus,"soit "&amp;10.5*parcelles!E112&amp;"t/an","soit "&amp;INDEX(parcelles!$C$56:$Y$77,MATCH(parcelles!B112,parcelles!$B$56:$B$77,0),MATCH(parcelles!C112,parcelles!$C$53:$Y$53,0))*parcelles!E112&amp;"t")))))</f>
        <v/>
      </c>
      <c r="HZ64" s="1084" t="str">
        <f>IF(parcelles!D112="","",IF(parcelles!F112=0,"",IF(parcelles!C112=ChanvreIndustriel,"soit "&amp;parcelles!E112*0.8*0.8&amp;"t de grain et "&amp;parcelles!E112*7*0.8&amp;"t de paille",IF(parcelles!C112=Luzerne,"soit "&amp;10*0.8*parcelles!E112&amp;"t/an",IF(parcelles!C112=Miscanthus,"soit "&amp;10.5*0.8*parcelles!E112&amp;"t/an","soit "&amp;INDEX(parcelles!$C$56:$Y$77,MATCH(parcelles!B112,parcelles!$B$56:$B$77,0),MATCH(parcelles!C112,parcelles!$C$53:$Y$53,0))*0.8*parcelles!E112&amp;"t")))))</f>
        <v/>
      </c>
      <c r="IA64" s="1084" t="str">
        <f>IF(parcelles!L112="","",(VLOOKUP(parcelles!M112,BDD!$HN$5:$HU$38,2,FALSE))*parcelles!O112)</f>
        <v/>
      </c>
      <c r="IB64" s="1084" t="str">
        <f>IF(parcelles!L112="","",IF(OR(parcelles!M112=Moutarde,parcelles!M112=Phacélie),0,IF(parcelles!M112=Luzerne,10*parcelles!O112*VLOOKUP(parcelles!M112,BDD!$HN$5:$HU$38,3,FALSE),IF(parcelles!M112=Miscanthus,10.5*parcelles!O112*VLOOKUP(parcelles!M112,BDD!$HN$5:$HU$38,3,FALSE),INDEX(parcelles!$C$56:'parcelles'!$Y$77,MATCH(parcelles!L112,parcelles!$B$56:'parcelles'!$B$77,0),MATCH(parcelles!M112,parcelles!$C$53:'parcelles'!$Y$53,0))*parcelles!O112*VLOOKUP(parcelles!M112,BDD!$HN$5:$HU$38,3,FALSE)))))</f>
        <v/>
      </c>
      <c r="IC64" s="1084" t="str">
        <f>IF(parcelles!L112="","",IF(OR(parcelles!M112=Moutarde,parcelles!M112=Phacélie),0,IF(parcelles!M112=Luzerne,10*parcelles!O112*VLOOKUP(parcelles!M112,BDD!$HN$5:$HU$38,4,FALSE),IF(parcelles!M112=Miscanthus,10.5*parcelles!O112*VLOOKUP(parcelles!M112,BDD!$HN$5:$HU$38,4,FALSE),INDEX(parcelles!$C$56:'parcelles'!$Y$77,MATCH(parcelles!L112,parcelles!$B$56:'parcelles'!$B$77,0),MATCH(parcelles!M112,parcelles!$C$53:'parcelles'!$Y$53,0))*parcelles!O112*VLOOKUP(parcelles!M112,BDD!$HN$5:$HU$38,4,FALSE)))))</f>
        <v/>
      </c>
      <c r="ID64" s="1084" t="str">
        <f>IF(parcelles!L112="","",IF(OR(parcelles!M112=Moutarde,parcelles!M112=Phacélie),0,IF(parcelles!M112=Luzerne,10*parcelles!O112*VLOOKUP(parcelles!M112,BDD!$HN$5:$HU$38,5,FALSE),IF(parcelles!M112=Miscanthus,10.5*parcelles!O112*VLOOKUP(parcelles!M112,BDD!$HN$5:$HU$38,5,FALSE),INDEX(parcelles!$C$56:'parcelles'!$Y$77,MATCH(parcelles!L112,parcelles!$B$56:'parcelles'!$B$77,0),MATCH(parcelles!M112,parcelles!$C$53:'parcelles'!$Y$53,0))*parcelles!O112*VLOOKUP(parcelles!M112,BDD!$HN$5:$HU$38,5,FALSE)))))</f>
        <v/>
      </c>
      <c r="IE64" s="1084" t="str">
        <f>IF(parcelles!L112="","",IF(OR(parcelles!M112=Moutarde,parcelles!M112=Phacélie),0,IF(parcelles!M112=Luzerne,10*parcelles!O112*VLOOKUP(parcelles!M112,BDD!$HN$5:$HU$38,6,FALSE),IF(parcelles!M112=Miscanthus,10.5*parcelles!O112*VLOOKUP(parcelles!M112,BDD!$HN$5:$HU$38,6,FALSE),INDEX(parcelles!$C$56:'parcelles'!$Y$77,MATCH(parcelles!L112,parcelles!$B$56:'parcelles'!$B$77,0),MATCH(parcelles!M112,parcelles!$C$53:'parcelles'!$Y$53,0))*parcelles!O112*VLOOKUP(parcelles!M112,BDD!$HN$5:$HU$38,6,FALSE)))))</f>
        <v/>
      </c>
      <c r="IF64" s="1084" t="str">
        <f>IF(parcelles!L112="","",IF(OR(parcelles!M112=Moutarde,parcelles!M112=Phacélie),0,IF(parcelles!M112=Luzerne,10*parcelles!O112*VLOOKUP(parcelles!M112,BDD!$HN$5:$HU$38,7,FALSE),IF(parcelles!M112=Miscanthus,10.5*parcelles!O112*VLOOKUP(parcelles!M112,BDD!$HN$5:$HU$38,7,FALSE),INDEX(parcelles!$C$56:'parcelles'!$Y$77,MATCH(parcelles!L112,parcelles!$B$56:'parcelles'!$B$77,0),MATCH(parcelles!M112,parcelles!$C$53:'parcelles'!$Y$53,0))*parcelles!O112*VLOOKUP(parcelles!M112,BDD!$HN$5:$HU$38,7,FALSE)))))</f>
        <v/>
      </c>
      <c r="IG64" s="1084" t="str">
        <f>IF(parcelles!L112="","",IF(OR(parcelles!M112=Moutarde,parcelles!M112=Phacélie),0,IF(parcelles!M112=Luzerne,10*parcelles!O112*VLOOKUP(parcelles!M112,BDD!$HN$5:$HU$38,8,FALSE),IF(parcelles!M112=Miscanthus,10.5*parcelles!O112*VLOOKUP(parcelles!M112,BDD!$HN$5:$HU$38,8,FALSE),INDEX(parcelles!$C$56:'parcelles'!$Y$77,MATCH(parcelles!L112,parcelles!$B$56:'parcelles'!$B$77,0),MATCH(parcelles!M112,parcelles!$C$53:'parcelles'!$Y$53,0))*parcelles!O112*VLOOKUP(parcelles!M112,BDD!$HN$5:$HU$38,8,FALSE)))))</f>
        <v/>
      </c>
      <c r="IH64" s="1084" t="str">
        <f>IF(parcelles!L112="","",IF(OR(parcelles!L112=Moutarde,parcelles!L112=Phacélie),0,1.6*parcelles!O112))</f>
        <v/>
      </c>
      <c r="II64" s="1084" t="str">
        <f>IF(parcelles!L112="","",IF(OR(parcelles!L112=Moutarde,parcelles!L112=Phacélie),0,1.6*parcelles!O112))</f>
        <v/>
      </c>
      <c r="IJ64" s="1084" t="str">
        <f>IF(parcelles!L112="","",IF(OR(parcelles!L112=Moutarde,parcelles!L112=Phacélie),0,1.6*parcelles!O112))</f>
        <v/>
      </c>
      <c r="IK64" s="1084" t="str">
        <f>IF(parcelles!P112="","",IF(parcelles!R112=0,"",IF(parcelles!O112=ChanvreIndustriel,"soit "&amp;parcelles!Q112*0.8&amp;"t de grain et "&amp;parcelles!Q112*7&amp;"t de paille",IF(parcelles!O112=Luzerne,"soit "&amp;10*parcelles!Q112&amp;"t/an",IF(parcelles!O112=Miscanthus,"soit "&amp;10.5*parcelles!Q112&amp;"t/an","soit "&amp;INDEX(parcelles!$C$56:$Y$77,MATCH(parcelles!N112,parcelles!$B$56:$B$77,0),MATCH(parcelles!O112,parcelles!$C$53:$Y$53,0))*parcelles!Q112&amp;"t")))))</f>
        <v/>
      </c>
      <c r="IL64" s="1084" t="str">
        <f>IF(parcelles!P112="","",IF(parcelles!R112=0,"",IF(parcelles!O112=ChanvreIndustriel,"soit "&amp;parcelles!Q112*0.8*0.8&amp;"t de grain et "&amp;parcelles!Q112*7*0.8&amp;"t de paille",IF(parcelles!O112=Luzerne,"soit "&amp;10*0.8*parcelles!Q112&amp;"t/an",IF(parcelles!O112=Miscanthus,"soit "&amp;10.5*0.8*parcelles!Q112&amp;"t/an","soit "&amp;INDEX(parcelles!$C$56:$Y$77,MATCH(parcelles!N112,parcelles!$B$56:$B$77,0),MATCH(parcelles!O112,parcelles!$C$53:$Y$53,0))*0.8*parcelles!Q112&amp;"t")))))</f>
        <v/>
      </c>
      <c r="IM64" s="1084" t="str">
        <f>IF(parcelles!S112="","",IF(parcelles!U112=0,"",IF(parcelles!R112=ChanvreIndustriel,parcelles!T112*0.8*0.8+parcelles!T112*7*0.8,IF(parcelles!R112=Luzerne,10*0.8*parcelles!T112,IF(parcelles!R112=Miscanthus,10.5*0.8*parcelles!T112,INDEX(parcelles!$C$56:$Y$77,MATCH(parcelles!Q112,parcelles!$B$56:$B$77,0),MATCH(parcelles!R112,parcelles!$C$53:$Y$53,0))*0.8*parcelles!T112)))))</f>
        <v/>
      </c>
      <c r="IN64" s="1368"/>
    </row>
    <row r="65" spans="1:248" ht="12.75" customHeight="1" x14ac:dyDescent="0.2">
      <c r="A65" s="1307" t="s">
        <v>370</v>
      </c>
      <c r="B65" s="1241">
        <f t="shared" si="17"/>
        <v>1E-3</v>
      </c>
      <c r="C65" s="1321"/>
      <c r="D65" s="1321"/>
      <c r="E65" s="1321"/>
      <c r="F65" s="1143" t="s">
        <v>297</v>
      </c>
      <c r="G65" s="1143">
        <v>6</v>
      </c>
      <c r="H65" s="1143" t="s">
        <v>871</v>
      </c>
      <c r="I65" s="1143">
        <v>0</v>
      </c>
      <c r="J65" s="1143">
        <v>0</v>
      </c>
      <c r="K65" s="1143">
        <v>0</v>
      </c>
      <c r="L65" s="1143">
        <v>0</v>
      </c>
      <c r="M65" s="1143">
        <v>0</v>
      </c>
      <c r="N65" s="1321"/>
      <c r="O65" s="1143" t="s">
        <v>52</v>
      </c>
      <c r="P65" s="1143">
        <v>8.9</v>
      </c>
      <c r="Q65" s="1143">
        <v>7.4</v>
      </c>
      <c r="R65" s="1143">
        <v>6.9</v>
      </c>
      <c r="S65" s="1143">
        <v>5.6</v>
      </c>
      <c r="T65" s="1143">
        <v>4.7</v>
      </c>
      <c r="U65" s="1143">
        <v>7</v>
      </c>
      <c r="V65" s="1143"/>
      <c r="W65" s="1143">
        <v>14</v>
      </c>
      <c r="X65" s="1143">
        <v>15</v>
      </c>
      <c r="Y65" s="1143">
        <v>85</v>
      </c>
      <c r="Z65" s="1143">
        <v>3.5</v>
      </c>
      <c r="AA65" s="1143">
        <v>0</v>
      </c>
      <c r="AB65" s="1143">
        <v>3</v>
      </c>
      <c r="AC65" s="1143">
        <v>3</v>
      </c>
      <c r="AD65" s="1143">
        <v>0</v>
      </c>
      <c r="AE65" s="1143">
        <v>3.2</v>
      </c>
      <c r="AF65" s="1143">
        <v>47.5</v>
      </c>
      <c r="AG65" s="1143">
        <v>0.8</v>
      </c>
      <c r="AH65" s="1143">
        <v>7</v>
      </c>
      <c r="AI65" s="1143">
        <v>22</v>
      </c>
      <c r="AJ65" s="1143">
        <v>12</v>
      </c>
      <c r="AK65" s="1143">
        <v>0</v>
      </c>
      <c r="AL65" s="1143">
        <v>0</v>
      </c>
      <c r="AM65" s="1143"/>
      <c r="AN65" s="1143">
        <v>3.8</v>
      </c>
      <c r="AO65" s="1143">
        <v>0</v>
      </c>
      <c r="AP65" s="1143">
        <v>26</v>
      </c>
      <c r="AQ65" s="1143">
        <v>0</v>
      </c>
      <c r="AR65" s="1143">
        <v>0</v>
      </c>
      <c r="AS65" s="1143">
        <v>6</v>
      </c>
      <c r="AT65" s="1143">
        <v>0</v>
      </c>
      <c r="AU65" s="1143">
        <v>0</v>
      </c>
      <c r="AV65" s="1143">
        <v>0</v>
      </c>
      <c r="AW65" s="1143">
        <v>8.5</v>
      </c>
      <c r="AX65" s="1143">
        <v>10</v>
      </c>
      <c r="AY65" s="1143">
        <v>10</v>
      </c>
      <c r="AZ65" s="1321"/>
      <c r="BA65" s="1321"/>
      <c r="BB65" s="1236" t="s">
        <v>724</v>
      </c>
      <c r="BC65" s="1190" t="s">
        <v>1273</v>
      </c>
      <c r="BD65" s="1190" t="s">
        <v>1254</v>
      </c>
      <c r="BE65" s="1237">
        <v>4.8</v>
      </c>
      <c r="BF65" s="1237">
        <v>4</v>
      </c>
      <c r="BG65" s="1237">
        <v>4</v>
      </c>
      <c r="BH65" s="1237">
        <v>4</v>
      </c>
      <c r="BI65" s="1237">
        <v>2</v>
      </c>
      <c r="BJ65" s="1237">
        <v>1.2</v>
      </c>
      <c r="BK65" s="1238">
        <v>0</v>
      </c>
      <c r="BL65" s="1348"/>
      <c r="BM65" s="1075" t="s">
        <v>296</v>
      </c>
      <c r="BN65" s="1075">
        <f t="array" ref="BN65">IF(Ration_hivernale_complète_bisons[somme]&gt;0,0,IFERROR(IF(OR(AND(INDEX(Règles_bison[Specificite],MATCH(ChoixRationBisons&amp;$BM65,Règles_bison[Ration]&amp;Règles_bison[Aliment],0))="s1",IF($BM65=ChoixSpécificité1Bisons,1)),
AND(INDEX(Règles_bison[Specificite],MATCH(ChoixRationBisons&amp;$BM65,Règles_bison[Ration]&amp;Règles_bison[Aliment],0))="s2",IF($BM65=ChoixSpécificité2Bisons,1)),INDEX(Règles_bison[Specificite],MATCH(ChoixRationBisons&amp;$BM65,Règles_bison[Ration]&amp;Règles_bison[Aliment],0))="c"),
INDEX(Règles_bison[Valeur 36 et plus],MATCH(ChoixRationBisons&amp;$BM65,Règles_bison[Ration]&amp;Règles_bison[Aliment],0)),0),0)*TotalBisonsMalesAdultes*SUM(NbreJoursNourrirBisonsDaims))</f>
        <v>0</v>
      </c>
      <c r="BO65" s="1075">
        <f t="array" ref="BO65">IF(Ration_hivernale_complète_bisons[somme]&gt;0,0,IFERROR(IF(OR(AND(INDEX(Règles_bison[Specificite],MATCH(ChoixRationBisons&amp;$BM65,Règles_bison[Ration]&amp;Règles_bison[Aliment],0))="s1",IF($BM65=ChoixSpécificité1Bisons,1)),
AND(INDEX(Règles_bison[Specificite],MATCH(ChoixRationBisons&amp;$BM65,Règles_bison[Ration]&amp;Règles_bison[Aliment],0))="s2",IF($BM65=ChoixSpécificité2Bisons,1)),INDEX(Règles_bison[Specificite],MATCH(ChoixRationBisons&amp;$BM65,Règles_bison[Ration]&amp;Règles_bison[Aliment],0))="c"),
INDEX(Règles_bison[Valeur 24-36],MATCH(ChoixRationBisons&amp;$BM65,Règles_bison[Ration]&amp;Règles_bison[Aliment],0)),0),0)*TotalBisonsMales_24_36_mois*SUM(NbreJoursNourrirBisonsDaims))</f>
        <v>0</v>
      </c>
      <c r="BP65" s="1075">
        <f t="array" ref="BP65">IF(Ration_hivernale_complète_bisons[somme]&gt;0,0,IFERROR(IF(OR(AND(INDEX(Règles_bison[Specificite],MATCH(ChoixRationBisons&amp;$BM65,Règles_bison[Ration]&amp;Règles_bison[Aliment],0))="s1",IF($BM65=ChoixSpécificité1Bisons,1)),
AND(INDEX(Règles_bison[Specificite],MATCH(ChoixRationBisons&amp;$BM65,Règles_bison[Ration]&amp;Règles_bison[Aliment],0))="s2",IF($BM65=ChoixSpécificité2Bisons,1)),INDEX(Règles_bison[Specificite],MATCH(ChoixRationBisons&amp;$BM65,Règles_bison[Ration]&amp;Règles_bison[Aliment],0))="c"),
INDEX(Règles_bison[Valeur 18-24],MATCH(ChoixRationBisons&amp;$BM65,Règles_bison[Ration]&amp;Règles_bison[Aliment],0)),0),0)*TotalBisonsMales_18_24_mois*SUM(NbreJoursNourrirBisonsDaims))</f>
        <v>0</v>
      </c>
      <c r="BQ65" s="1075">
        <f t="array" ref="BQ65">IF(Ration_hivernale_complète_bisons[somme]&gt;0,0,IFERROR(IF(OR(AND(INDEX(Règles_bison[Specificite],MATCH(ChoixRationBisons&amp;$BM65,Règles_bison[Ration]&amp;Règles_bison[Aliment],0))="s1",IF($BM65=ChoixSpécificité1Bisons,1)),
AND(INDEX(Règles_bison[Specificite],MATCH(ChoixRationBisons&amp;$BM65,Règles_bison[Ration]&amp;Règles_bison[Aliment],0))="s2",IF($BM65=ChoixSpécificité2Bisons,1)),INDEX(Règles_bison[Specificite],MATCH(ChoixRationBisons&amp;$BM65,Règles_bison[Ration]&amp;Règles_bison[Aliment],0))="c"),
INDEX(Règles_bison[Valeur 12-18],MATCH(ChoixRationBisons&amp;$BM65,Règles_bison[Ration]&amp;Règles_bison[Aliment],0)),0),0)*TotalBisonsMales_12_18_mois*SUM(NbreJoursNourrirBisonsDaims))</f>
        <v>0</v>
      </c>
      <c r="BR65" s="1075">
        <f t="array" ref="BR65">IF(Ration_hivernale_complète_bisons[somme]&gt;0,0,IFERROR(IF(OR(AND(INDEX(Règles_bison[Specificite],MATCH(ChoixRationBisons&amp;$BM65,Règles_bison[Ration]&amp;Règles_bison[Aliment],0))="s1",IF($BM65=ChoixSpécificité1Bisons,1)),
AND(INDEX(Règles_bison[Specificite],MATCH(ChoixRationBisons&amp;$BM65,Règles_bison[Ration]&amp;Règles_bison[Aliment],0))="s2",IF($BM65=ChoixSpécificité2Bisons,1)),INDEX(Règles_bison[Specificite],MATCH(ChoixRationBisons&amp;$BM65,Règles_bison[Ration]&amp;Règles_bison[Aliment],0))="c"),
INDEX(Règles_bison[Valeur 6-12],MATCH(ChoixRationBisons&amp;$BM65,Règles_bison[Ration]&amp;Règles_bison[Aliment],0)),0),0)*TotalBisonsMales_6_12_mois*SUM(NbreJoursNourrirBisonsDaims))</f>
        <v>0</v>
      </c>
      <c r="BS65" s="1075">
        <f t="array" ref="BS65">IF(Ration_hivernale_complète_bisons[somme]&gt;0,0,IFERROR(IF(OR(AND(INDEX(Règles_bison[Specificite],MATCH(ChoixRationBisons&amp;$BM65,Règles_bison[Ration]&amp;Règles_bison[Aliment],0))="s1",IF($BM65=ChoixSpécificité1Bisons,1)),
AND(INDEX(Règles_bison[Specificite],MATCH(ChoixRationBisons&amp;$BM65,Règles_bison[Ration]&amp;Règles_bison[Aliment],0))="s2",IF($BM65=ChoixSpécificité2Bisons,1)),INDEX(Règles_bison[Specificite],MATCH(ChoixRationBisons&amp;$BM65,Règles_bison[Ration]&amp;Règles_bison[Aliment],0))="c"),
INDEX(Règles_bison[Valeur 3-6],MATCH(ChoixRationBisons&amp;$BM65,Règles_bison[Ration]&amp;Règles_bison[Aliment],0)),0),0)*TotalBisonsMales_3_6_mois*SUM(NbreJoursNourrirBisonsDaims))</f>
        <v>0</v>
      </c>
      <c r="BT65" s="1075">
        <f t="array" ref="BT65">IF(Ration_hivernale_complète_bisons[somme]&gt;0,0,IFERROR(IF(OR(AND(INDEX(Règles_bison[Specificite],MATCH(ChoixRationBisons&amp;$BM65,Règles_bison[Ration]&amp;Règles_bison[Aliment],0))="s1",IF($BM65=ChoixSpécificité1Bisons,1)),
AND(INDEX(Règles_bison[Specificite],MATCH(ChoixRationBisons&amp;$BM65,Règles_bison[Ration]&amp;Règles_bison[Aliment],0))="s2",IF($BM65=ChoixSpécificité2Bisons,1)),INDEX(Règles_bison[Specificite],MATCH(ChoixRationBisons&amp;$BM65,Règles_bison[Ration]&amp;Règles_bison[Aliment],0))="c"),
INDEX(Règles_bison[Valeur 0-3],MATCH(ChoixRationBisons&amp;$BM65,Règles_bison[Ration]&amp;Règles_bison[Aliment],0)),0),0)*TotalBisonsMales_0_3_mois*SUM(NbreJoursNourrirBisonsDaims))</f>
        <v>0</v>
      </c>
      <c r="BU65" s="1075">
        <f t="shared" si="10"/>
        <v>0</v>
      </c>
      <c r="BV65" s="1345"/>
      <c r="BW65" s="1345"/>
      <c r="BX65" s="1176" t="s">
        <v>219</v>
      </c>
      <c r="BY65" s="1177" t="s">
        <v>723</v>
      </c>
      <c r="BZ65" s="1177" t="s">
        <v>1277</v>
      </c>
      <c r="CA65" s="1177">
        <v>19</v>
      </c>
      <c r="CB65" s="1177">
        <v>14</v>
      </c>
      <c r="CC65" s="1177">
        <v>10</v>
      </c>
      <c r="CD65" s="1199">
        <v>3</v>
      </c>
      <c r="CE65" s="1350"/>
      <c r="CF65" s="1350"/>
      <c r="CG65" s="1350"/>
      <c r="CH65" s="1350"/>
      <c r="CI65" s="1321"/>
      <c r="CJ65" s="808" t="s">
        <v>332</v>
      </c>
      <c r="CK65" s="788">
        <f t="array" ref="CK6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65" s="788">
        <f t="array" ref="CL6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65" s="788">
        <f t="array" ref="CM6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65" s="788">
        <f t="array" ref="CN6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65" s="788">
        <f t="array" ref="CO6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65" s="812">
        <f>SUM(AlimentsRationPorcinsMâles[[#This Row],[Valeur 12 et plus]:[Valeur 0-1]])</f>
        <v>0</v>
      </c>
      <c r="CQ65" s="1321"/>
      <c r="CR65" s="1321"/>
      <c r="CS65" s="808" t="s">
        <v>1719</v>
      </c>
      <c r="CT65" s="817">
        <f t="array" ref="CT6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65" s="817">
        <f t="array" ref="CU6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65" s="817">
        <f t="array" ref="CV6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65" s="818">
        <f>SUM(AlimentsRationLapinsMâles[[#This Row],[Valeur 3 et plus]:[Valeur 0-1]])</f>
        <v>0</v>
      </c>
      <c r="CX65" s="1321"/>
      <c r="CY65" s="1321"/>
      <c r="CZ65" s="808" t="s">
        <v>1719</v>
      </c>
      <c r="DA65" s="817">
        <f t="array" ref="DA6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65" s="817">
        <f t="array" ref="DB6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65" s="817">
        <f t="array" ref="DC6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65" s="818">
        <f>SUM(AlimentsRationVolaillesMâles[[#This Row],[Valeur 6 et plus]:[Valeur 0-1]])</f>
        <v>0</v>
      </c>
      <c r="DE65" s="1364"/>
      <c r="DF65" s="1321"/>
      <c r="DG65" s="808" t="s">
        <v>340</v>
      </c>
      <c r="DH65" s="817">
        <f t="array" ref="DH6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65" s="817">
        <f t="array" ref="DI6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65" s="817">
        <f t="array" ref="DJ6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65" s="818">
        <f>SUM(AlimentsRationPintadesMâles[[#This Row],[Valeur 9 et plus]:[Valeur 0-1]])</f>
        <v>0</v>
      </c>
      <c r="DL65" s="1364"/>
      <c r="DM65" s="1364"/>
      <c r="DN65" s="1187" t="s">
        <v>1232</v>
      </c>
      <c r="DO65" s="1171" t="s">
        <v>1250</v>
      </c>
      <c r="DP65" s="1168" t="s">
        <v>1251</v>
      </c>
      <c r="DQ65" s="1171" t="s">
        <v>1280</v>
      </c>
      <c r="DR65" s="1171" t="s">
        <v>1257</v>
      </c>
      <c r="DS65" s="1171" t="s">
        <v>1256</v>
      </c>
      <c r="DT65" s="1242" t="s">
        <v>1255</v>
      </c>
      <c r="DU65" s="1346"/>
      <c r="DV65" s="1075"/>
      <c r="DW65" s="1269">
        <f t="array" ref="DW65">IF(ChoixRationComplèteDaims=OUI,0,IFERROR(IF(OR(AND(INDEX(Règles_daims[Specificite],MATCH(ChoixRationDaims&amp;DV65,Règles_daims[Ration]&amp;Règles_daims[Aliment],0))="s1",IF(DV65=Spécificité1Daims,1)),
AND(INDEX(Règles_daims[Specificite],MATCH(ChoixRationDaims&amp;DV65,Règles_daims[Ration]&amp;Règles_daims[Aliment],0))="s2",IF(DV65=Spécificité2Daims,1)),
INDEX(Règles_daims[Specificite],MATCH(ChoixRationDaims&amp;DV65,Règles_daims[Ration]&amp;Règles_daims[Aliment],0))="c"),
INDEX(Règles_daims[Valeur 36 et plus],MATCH(ChoixRationDaims&amp;DV65,Règles_daims[Ration]&amp;Règles_daims[Aliment],0)),0),0)*SUM(TotalDaimsAdultes)*SUM(NbreJoursNourrirBisonsDaims))</f>
        <v>0</v>
      </c>
      <c r="DX65" s="1269">
        <f t="array" ref="DX65">IF(ChoixRationComplèteDaims=OUI,0,IFERROR(IF(OR(AND(INDEX(Règles_daims[Specificite],MATCH(ChoixRationDaims&amp;DV65,Règles_daims[Ration]&amp;Règles_daims[Aliment],0))="s1",IF(DV65=Spécificité1Daims,1)),
AND(INDEX(Règles_daims[Specificite],MATCH(ChoixRationDaims&amp;DV65,Règles_daims[Ration]&amp;Règles_daims[Aliment],0))="s2",IF(DV65=Spécificité2Daims,1)),
INDEX(Règles_daims[Specificite],MATCH(ChoixRationDaims&amp;DV65,Règles_daims[Ration]&amp;Règles_daims[Aliment],0))="c"),
INDEX(Règles_daims[Valeur 24-36],MATCH(ChoixRationDaims&amp;DV65,Règles_daims[Ration]&amp;Règles_daims[Aliment],0)),0),0)*SUM(TotalDaims24_36)*SUM(NbreJoursNourrirBisonsDaims))</f>
        <v>0</v>
      </c>
      <c r="DY65" s="1269">
        <f t="array" ref="DY65">IF(ChoixRationComplèteDaims=OUI,0,IFERROR(IF(OR(AND(INDEX(Règles_daims[Specificite],MATCH(ChoixRationDaims&amp;DV65,Règles_daims[Ration]&amp;Règles_daims[Aliment],0))="s1",IF(DV65=Spécificité1Daims,1)),
AND(INDEX(Règles_daims[Specificite],MATCH(ChoixRationDaims&amp;DV65,Règles_daims[Ration]&amp;Règles_daims[Aliment],0))="s2",IF(DV65=Spécificité2Daims,1)),
INDEX(Règles_daims[Specificite],MATCH(ChoixRationDaims&amp;DV65,Règles_daims[Ration]&amp;Règles_daims[Aliment],0))="c"),
INDEX(Règles_daims[Valeur 18-24],MATCH(ChoixRationDaims&amp;DV65,Règles_daims[Ration]&amp;Règles_daims[Aliment],0)),0),0)*SUM(TotalDaims18_24)*SUM(NbreJoursNourrirBisonsDaims))</f>
        <v>0</v>
      </c>
      <c r="DZ65" s="1280">
        <f t="array" ref="DZ65">IF(ChoixRationComplèteDaims=OUI,0,IFERROR(IF(OR(AND(INDEX(Règles_daims[Specificite],MATCH(ChoixRationDaims&amp;DV65,Règles_daims[Ration]&amp;Règles_daims[Aliment],0))="s1",IF(DV65=Spécificité1Daims,1)),
AND(INDEX(Règles_daims[Specificite],MATCH(ChoixRationDaims&amp;DV65,Règles_daims[Ration]&amp;Règles_daims[Aliment],0))="s2",IF(DV65=Spécificité2Daims,1)),
INDEX(Règles_daims[Specificite],MATCH(ChoixRationDaims&amp;DV65,Règles_daims[Ration]&amp;Règles_daims[Aliment],0))="c"),
INDEX(Règles_daims[Valeur 12-18],MATCH(ChoixRationDaims&amp;DV65,Règles_daims[Ration]&amp;Règles_daims[Aliment],0)),0),0)*SUM(TotalDaims12_18)*SUM(NbreJoursNourrirBisonsDaims))</f>
        <v>0</v>
      </c>
      <c r="EA65" s="1280">
        <f t="array" ref="EA65">IF(ChoixRationComplèteDaims=OUI,0,IFERROR(IF(OR(AND(INDEX(Règles_daims[Specificite],MATCH(ChoixRationDaims&amp;DV65,Règles_daims[Ration]&amp;Règles_daims[Aliment],0))="s1",IF(DV65=Spécificité1Daims,1)),
AND(INDEX(Règles_daims[Specificite],MATCH(ChoixRationDaims&amp;DV65,Règles_daims[Ration]&amp;Règles_daims[Aliment],0))="s2",IF(DV65=Spécificité2Daims,1)),
INDEX(Règles_daims[Specificite],MATCH(ChoixRationDaims&amp;DV65,Règles_daims[Ration]&amp;Règles_daims[Aliment],0))="c"),
INDEX(Règles_daims[Valeur 6-12],MATCH(ChoixRationDaims&amp;DV65,Règles_daims[Ration]&amp;Règles_daims[Aliment],0)),0),0)*SUM(TotalDaims6_12)*SUM(NbreJoursNourrirBisonsDaims))</f>
        <v>0</v>
      </c>
      <c r="EB65" s="1280">
        <f t="array" ref="EB65">IF(ChoixRationComplèteDaims=OUI,0,IFERROR(IF(OR(AND(INDEX(Règles_daims[Specificite],MATCH(ChoixRationDaims&amp;DV65,Règles_daims[Ration]&amp;Règles_daims[Aliment],0))="s1",IF(DV65=Spécificité1Daims,1)),
AND(INDEX(Règles_daims[Specificite],MATCH(ChoixRationDaims&amp;DV65,Règles_daims[Ration]&amp;Règles_daims[Aliment],0))="s2",IF(DV65=Spécificité2Daims,1)),
INDEX(Règles_daims[Specificite],MATCH(ChoixRationDaims&amp;DV65,Règles_daims[Ration]&amp;Règles_daims[Aliment],0))="c"),
INDEX(Règles_daims[Valeur 3-6],MATCH(ChoixRationDaims&amp;DV65,Règles_daims[Ration]&amp;Règles_daims[Aliment],0)),0),0)*SUM(TotalDaims3_6)*SUM(NbreJoursNourrirBisonsDaims))</f>
        <v>0</v>
      </c>
      <c r="EC65" s="1280">
        <f t="array" ref="EC65">IF(ChoixRationComplèteDaims=OUI,0,IFERROR(IF(OR(AND(INDEX(Règles_daims[Specificite],MATCH(ChoixRationDaims&amp;DV65,Règles_daims[Ration]&amp;Règles_daims[Aliment],0))="s1",IF(DV65=Spécificité1Daims,1)),
AND(INDEX(Règles_daims[Specificite],MATCH(ChoixRationDaims&amp;DV65,Règles_daims[Ration]&amp;Règles_daims[Aliment],0))="s2",IF(DV65=Spécificité2Daims,1)),
INDEX(Règles_daims[Specificite],MATCH(ChoixRationDaims&amp;DV65,Règles_daims[Ration]&amp;Règles_daims[Aliment],0))="c"),
INDEX(Règles_daims[Valeur 0-3],MATCH(ChoixRationDaims&amp;DV65,Règles_daims[Ration]&amp;Règles_daims[Aliment],0)),0),0)*SUM(TotalDaims0_3)*SUM(NbreJoursNourrirBisonsDaims))</f>
        <v>0</v>
      </c>
      <c r="ED65" s="1280">
        <f t="shared" si="9"/>
        <v>0</v>
      </c>
      <c r="EE65" s="1345"/>
      <c r="EF65" s="1321"/>
      <c r="EG65" s="808" t="s">
        <v>331</v>
      </c>
      <c r="EH65" s="817">
        <f t="array" ref="EH6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65" s="817">
        <f t="array" ref="EI6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65" s="817">
        <f t="array" ref="EJ6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65" s="818">
        <f>SUM(AlimentsRationOiesMâles[[#This Row],[Valeur 6 et plus]:[Valeur 0-3]])</f>
        <v>0</v>
      </c>
      <c r="EL65" s="1364"/>
      <c r="EM65" s="1321"/>
      <c r="EN65" s="808" t="s">
        <v>298</v>
      </c>
      <c r="EO65" s="817">
        <f t="array" ref="EO6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65" s="817">
        <f t="array" ref="EP6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65" s="817">
        <f t="array" ref="EQ6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65" s="818">
        <f>SUM(Ration_canards_Mâles[[#This Row],[Valeur 6 et plus]:[Valeur 0-3]])</f>
        <v>0</v>
      </c>
      <c r="ES65" s="1364"/>
      <c r="ET65" s="1321"/>
      <c r="EU65" s="1083" t="s">
        <v>715</v>
      </c>
      <c r="EV65" s="1283">
        <f t="array" ref="EV65">IF(OR(ChoixRationComplèteEtéChevauxSelle=OUI,ChoixRationComplèteEtéChevauxSelle="",AND(ChoixChevauxSellePréHiver=OUI,ChoixChevauxSellePréEté=OUI)),0,IFERROR(IF(OR(AND(INDEX(Règles_chevaux_selle[Specificite],MATCH(RationEtéChevauxSelle&amp;$EU65,Règles_chevaux_selle[Ration]&amp;Règles_chevaux_selle[Aliment],0))="s1",IF($EU65=Spécificité1ChevauxSelle,1)),
AND(INDEX(Règles_chevaux_selle[Specificite],MATCH(RationEtéChevauxSelle&amp;$EU65,Règles_chevaux_selle[Ration]&amp;Règles_chevaux_selle[Aliment],0))="s2",IF($EU65=Spécificité2ChevauxSelle,1)),
INDEX(Règles_chevaux_selle[Specificite],MATCH(RationEtéChevauxSelle&amp;$EU65,Règles_chevaux_selle[Ration]&amp;Règles_chevaux_selle[Aliment],0))="c"),
INDEX(Règles_chevaux_selle[Valeur 36 et plus],MATCH(RationEtéChevauxSelle&amp;$EU65,Règles_chevaux_selle[Ration]&amp;Règles_chevaux_selle[Aliment],0)),0),0)*TotalEtalonSelle*SUM(NbreJoursNourrirChevauxSelle))</f>
        <v>0</v>
      </c>
      <c r="EW65" s="1283">
        <f t="array" ref="EW65">IF(OR(ChoixRationComplèteEtéChevauxSelle=OUI,ChoixRationComplèteEtéChevauxSelle="",AND(ChoixChevauxSellePréHiver=OUI,ChoixChevauxSellePréEté=OUI)),0,IFERROR(IF(OR(AND(INDEX(Règles_chevaux_selle[Specificite],MATCH(RationEtéChevauxSelle&amp;$EU65,Règles_chevaux_selle[Ration]&amp;Règles_chevaux_selle[Aliment],0))="s1",IF($EU65=Spécificité1ChevauxSelle,1)),
AND(INDEX(Règles_chevaux_selle[Specificite],MATCH(RationEtéChevauxSelle&amp;$EU65,Règles_chevaux_selle[Ration]&amp;Règles_chevaux_selle[Aliment],0))="s2",IF($EU65=Spécificité2ChevauxSelle,1)),
INDEX(Règles_chevaux_selle[Specificite],MATCH(RationEtéChevauxSelle&amp;$EU65,Règles_chevaux_selle[Ration]&amp;Règles_chevaux_selle[Aliment],0))="c"),
INDEX(Règles_chevaux_selle[Valeur 24-36],MATCH(RationEtéChevauxSelle&amp;$EU65,Règles_chevaux_selle[Ration]&amp;Règles_chevaux_selle[Aliment],0)),0),0)*TotalJeuneEtalonSelle_24_36_mois*SUM(NbreJoursNourrirChevauxSelle))</f>
        <v>0</v>
      </c>
      <c r="EX65" s="1283">
        <f t="array" ref="EX65">IF(OR(ChoixRationComplèteEtéChevauxSelle=OUI,ChoixRationComplèteEtéChevauxSelle="",AND(ChoixChevauxSellePréHiver=OUI,ChoixChevauxSellePréEté=OUI)),0,IFERROR(IF(OR(AND(INDEX(Règles_chevaux_selle[Specificite],MATCH(RationEtéChevauxSelle&amp;$EU65,Règles_chevaux_selle[Ration]&amp;Règles_chevaux_selle[Aliment],0))="s1",IF($EU65=Spécificité1ChevauxSelle,1)),
AND(INDEX(Règles_chevaux_selle[Specificite],MATCH(RationEtéChevauxSelle&amp;$EU65,Règles_chevaux_selle[Ration]&amp;Règles_chevaux_selle[Aliment],0))="s2",IF($EU65=Spécificité2ChevauxSelle,1)),
INDEX(Règles_chevaux_selle[Specificite],MATCH(RationEtéChevauxSelle&amp;$EU65,Règles_chevaux_selle[Ration]&amp;Règles_chevaux_selle[Aliment],0))="c"),
INDEX(Règles_chevaux_selle[Valeur 12-24],MATCH(RationEtéChevauxSelle&amp;$EU65,Règles_chevaux_selle[Ration]&amp;Règles_chevaux_selle[Aliment],0)),0),0)*TotalJeuneEtalonSelle_12_24_mois*SUM(NbreJoursNourrirChevauxSelle))</f>
        <v>0</v>
      </c>
      <c r="EY65" s="1286">
        <f t="array" ref="EY65">IF(OR(ChoixRationComplèteEtéChevauxSelle=OUI,ChoixRationComplèteEtéChevauxSelle="",AND(ChoixChevauxSellePréHiver=OUI,ChoixChevauxSellePréEté=OUI)),0,IFERROR(IF(OR(AND(INDEX(Règles_chevaux_selle[Specificite],MATCH(RationEtéChevauxSelle&amp;$EU65,Règles_chevaux_selle[Ration]&amp;Règles_chevaux_selle[Aliment],0))="s1",IF($EU65=Spécificité1ChevauxSelle,1)),
AND(INDEX(Règles_chevaux_selle[Specificite],MATCH(RationEtéChevauxSelle&amp;$EU65,Règles_chevaux_selle[Ration]&amp;Règles_chevaux_selle[Aliment],0))="s2",IF($EU65=Spécificité2ChevauxSelle,1)),
INDEX(Règles_chevaux_selle[Specificite],MATCH(RationEtéChevauxSelle&amp;$EU65,Règles_chevaux_selle[Ration]&amp;Règles_chevaux_selle[Aliment],0))="c"),
INDEX(Règles_chevaux_selle[Valeur 0-12],MATCH(RationEtéChevauxSelle&amp;$EU65,Règles_chevaux_selle[Ration]&amp;Règles_chevaux_selle[Aliment],0)),0),0)*TotalPoulainSelle_0_12_mois*SUM(NbreJoursNourrirChevauxSelle))</f>
        <v>0</v>
      </c>
      <c r="EZ65" s="1286">
        <f t="shared" si="16"/>
        <v>0</v>
      </c>
      <c r="FA65" s="1345"/>
      <c r="FB65" s="1345"/>
      <c r="FC65" s="1321"/>
      <c r="FD65" s="1083" t="s">
        <v>733</v>
      </c>
      <c r="FE65" s="1283">
        <f t="array" ref="FE65">IFERROR(IF(OR(AND(INDEX(Règles_chevaux_trait[Specificite],MATCH(RationEtéChevauxTrait&amp;$FD65,Règles_chevaux_trait[Ration]&amp;Règles_chevaux_trait[Aliment],0))="s1",IF($FD65=Spécificité1ChevauxTrait,1)),
AND(INDEX(Règles_chevaux_trait[Specificite],MATCH(RationEtéChevauxTrait&amp;$FD65,Règles_chevaux_trait[Ration]&amp;Règles_chevaux_trait[Aliment],0))="s2",IF($FD65=Spécificité2ChevauxTrait,1)),
INDEX(Règles_chevaux_trait[Specificite],MATCH(RationEtéChevauxTrait&amp;$FD65,Règles_chevaux_trait[Ration]&amp;Règles_chevaux_trait[Aliment],0))="c"),
INDEX(Règles_chevaux_trait[Valeur 36 et plus],MATCH(RationEtéChevauxTrait&amp;$FD65,Règles_chevaux_trait[Ration]&amp;Règles_chevaux_trait[Aliment],0)),0),0)*TotalEtalonTrait*SUM(NbreJoursNourrirChevauxTrait)</f>
        <v>0</v>
      </c>
      <c r="FF65" s="1283">
        <f t="array" ref="FF65">IFERROR(IF(OR(AND(INDEX(Règles_chevaux_trait[Specificite],MATCH(RationEtéChevauxTrait&amp;$FD65,Règles_chevaux_trait[Ration]&amp;Règles_chevaux_trait[Aliment],0))="s1",IF($FD65=Spécificité1ChevauxTrait,1)),
AND(INDEX(Règles_chevaux_trait[Specificite],MATCH(RationEtéChevauxTrait&amp;$FD65,Règles_chevaux_trait[Ration]&amp;Règles_chevaux_trait[Aliment],0))="s2",IF($FD65=Spécificité2ChevauxTrait,1)),
INDEX(Règles_chevaux_trait[Specificite],MATCH(RationEtéChevauxTrait&amp;$FD65,Règles_chevaux_trait[Ration]&amp;Règles_chevaux_trait[Aliment],0))="c"),
INDEX(Règles_chevaux_trait[Valeur 24-36],MATCH(RationEtéChevauxTrait&amp;$FD65,Règles_chevaux_trait[Ration]&amp;Règles_chevaux_trait[Aliment],0)),0),0)*TotalJeuneEtalonTrait_24_36_mois*SUM(NbreJoursNourrirChevauxTrait)</f>
        <v>0</v>
      </c>
      <c r="FG65" s="1283">
        <f t="array" ref="FG65">IFERROR(IF(OR(AND(INDEX(Règles_chevaux_trait[Specificite],MATCH(RationEtéChevauxTrait&amp;$FD65,Règles_chevaux_trait[Ration]&amp;Règles_chevaux_trait[Aliment],0))="s1",IF($FD65=Spécificité1ChevauxTrait,1)),
AND(INDEX(Règles_chevaux_trait[Specificite],MATCH(RationEtéChevauxTrait&amp;$FD65,Règles_chevaux_trait[Ration]&amp;Règles_chevaux_trait[Aliment],0))="s2",IF($FD65=Spécificité2ChevauxTrait,1)),
INDEX(Règles_chevaux_trait[Specificite],MATCH(RationEtéChevauxTrait&amp;$FD65,Règles_chevaux_trait[Ration]&amp;Règles_chevaux_trait[Aliment],0))="c"),
INDEX(Règles_chevaux_trait[Valeur 12-24],MATCH(RationEtéChevauxTrait&amp;$FD65,Règles_chevaux_trait[Ration]&amp;Règles_chevaux_trait[Aliment],0)),0),0)*TotalJeuneEtalonTrait_12_24_mois*SUM(NbreJoursNourrirChevauxTrait)</f>
        <v>0</v>
      </c>
      <c r="FH65" s="1286">
        <f t="array" ref="FH65">IFERROR(IF(OR(AND(INDEX(Règles_chevaux_trait[Specificite],MATCH(RationEtéChevauxTrait&amp;$FD65,Règles_chevaux_trait[Ration]&amp;Règles_chevaux_trait[Aliment],0))="s1",IF($FD65=Spécificité1ChevauxTrait,1)),
AND(INDEX(Règles_chevaux_trait[Specificite],MATCH(RationEtéChevauxTrait&amp;$FD65,Règles_chevaux_trait[Ration]&amp;Règles_chevaux_trait[Aliment],0))="s2",IF($FD65=Spécificité2ChevauxTrait,1)),
INDEX(Règles_chevaux_trait[Specificite],MATCH(RationEtéChevauxTrait&amp;$FD65,Règles_chevaux_trait[Ration]&amp;Règles_chevaux_trait[Aliment],0))="c"),
INDEX(Règles_chevaux_trait[Valeur 0-12],MATCH(RationEtéChevauxTrait&amp;$FD65,Règles_chevaux_trait[Ration]&amp;Règles_chevaux_trait[Aliment],0)),0),0)*TotalPoulainTrait_0_12_mois*SUM(NbreJoursNourrirChevauxTrait)</f>
        <v>0</v>
      </c>
      <c r="FI65" s="1286">
        <f t="shared" si="15"/>
        <v>0</v>
      </c>
      <c r="FJ65" s="1345"/>
      <c r="FK65" s="1345"/>
      <c r="FL65" s="1345"/>
      <c r="FM65" s="1346"/>
      <c r="FN65" s="1082" t="s">
        <v>331</v>
      </c>
      <c r="FO65" s="1282">
        <f t="array" ref="FO65">IF(OR(ChoixRationComplèteEtéPoneys=OUI,ChoixRationComplèteEtéPoneys="",AND(ChoixPoneysPréHiver=OUI,ChoixPoneysPréEté=OUI)),0,IFERROR(IF(OR(AND(INDEX(Règles_poneys[Specificite],MATCH(RationEtéPoneys&amp;$FN65,Règles_poneys[Ration]&amp;Règles_poneys[Aliment],0))="s1",IF($FN65=Spécificité1Poneys,1)),
AND(INDEX(Règles_poneys[Specificite],MATCH(RationEtéPoneys&amp;$FN65,Règles_poneys[Ration]&amp;Règles_poneys[Aliment],0))="s2",IF($FN65=Spécificité2Poneys,1)),
INDEX(Règles_poneys[Specificite],MATCH(RationEtéPoneys&amp;$FN65,Règles_poneys[Ration]&amp;Règles_poneys[Aliment],0))="c"),
INDEX(Règles_poneys[Valeur 36 et plus],MATCH(RationEtéPoneys&amp;$FN65,Règles_poneys[Ration]&amp;Règles_poneys[Aliment],0)),0),0)*TotalEtalonPoney*SUM(NbreJoursNourrirPoneys))</f>
        <v>0</v>
      </c>
      <c r="FP65" s="1282">
        <f t="array" ref="FP65">IF(OR(ChoixRationComplèteEtéPoneys=OUI,ChoixRationComplèteEtéPoneys="",AND(ChoixPoneysPréHiver=OUI,ChoixPoneysPréEté=OUI)),0,IFERROR(IF(OR(AND(INDEX(Règles_poneys[Specificite],MATCH(RationEtéPoneys&amp;$FN65,Règles_poneys[Ration]&amp;Règles_poneys[Aliment],0))="s1",IF($FN65=Spécificité1Poneys,1)),
AND(INDEX(Règles_poneys[Specificite],MATCH(RationEtéPoneys&amp;$FN65,Règles_poneys[Ration]&amp;Règles_poneys[Aliment],0))="s2",IF($FN65=Spécificité2Poneys,1)),
INDEX(Règles_poneys[Specificite],MATCH(RationEtéPoneys&amp;$FN65,Règles_poneys[Ration]&amp;Règles_poneys[Aliment],0))="c"),
INDEX(Règles_poneys[Valeur 36 et plus],MATCH(RationEtéPoneys&amp;$FN65,Règles_poneys[Ration]&amp;Règles_poneys[Aliment],0)),0),0)*TotalJeuneEtalonPoney_24_36_mois*SUM(NbreJoursNourrirPoneys))</f>
        <v>0</v>
      </c>
      <c r="FQ65" s="1282">
        <f t="array" ref="FQ65">IF(OR(ChoixRationComplèteEtéPoneys=OUI,ChoixRationComplèteEtéPoneys="",AND(ChoixPoneysPréHiver=OUI,ChoixPoneysPréEté=OUI)),0,IFERROR(IF(OR(AND(INDEX(Règles_poneys[Specificite],MATCH(RationEtéPoneys&amp;$FN65,Règles_poneys[Ration]&amp;Règles_poneys[Aliment],0))="s1",IF($FN65=Spécificité1Poneys,1)),
AND(INDEX(Règles_poneys[Specificite],MATCH(RationEtéPoneys&amp;$FN65,Règles_poneys[Ration]&amp;Règles_poneys[Aliment],0))="s2",IF($FN65=Spécificité2Poneys,1)),
INDEX(Règles_poneys[Specificite],MATCH(RationEtéPoneys&amp;$FN65,Règles_poneys[Ration]&amp;Règles_poneys[Aliment],0))="c"),
INDEX(Règles_poneys[Valeur 36 et plus],MATCH(RationEtéPoneys&amp;$FN65,Règles_poneys[Ration]&amp;Règles_poneys[Aliment],0)),0),0)*TotalJeuneEtalonPoney_12_24_mois*SUM(NbreJoursNourrirPoneys))</f>
        <v>0</v>
      </c>
      <c r="FR65" s="1285">
        <f t="array" ref="FR65">IF(OR(ChoixRationComplèteEtéPoneys=OUI,ChoixRationComplèteEtéPoneys="",AND(ChoixPoneysPréHiver=OUI,ChoixPoneysPréEté=OUI)),0,IFERROR(IF(OR(AND(INDEX(Règles_poneys[Specificite],MATCH(RationEtéPoneys&amp;$FN65,Règles_poneys[Ration]&amp;Règles_poneys[Aliment],0))="s1",IF($FN65=Spécificité1Poneys,1)),
AND(INDEX(Règles_poneys[Specificite],MATCH(RationEtéPoneys&amp;$FN65,Règles_poneys[Ration]&amp;Règles_poneys[Aliment],0))="s2",IF($FN65=Spécificité2Poneys,1)),
INDEX(Règles_poneys[Specificite],MATCH(RationEtéPoneys&amp;$FN65,Règles_poneys[Ration]&amp;Règles_poneys[Aliment],0))="c"),
INDEX(Règles_poneys[Valeur 36 et plus],MATCH(RationEtéPoneys&amp;$FN65,Règles_poneys[Ration]&amp;Règles_poneys[Aliment],0)),0),0)*TotalPoulainPoney_0_12_mois*SUM(NbreJoursNourrirPoneys))</f>
        <v>0</v>
      </c>
      <c r="FS65" s="1285">
        <f t="shared" si="14"/>
        <v>0</v>
      </c>
      <c r="FT65" s="1345"/>
      <c r="FU65" s="1345"/>
      <c r="FV65" s="1345"/>
      <c r="FW65" s="823" t="s">
        <v>297</v>
      </c>
      <c r="FX65" s="828">
        <f t="array" ref="FX6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65" s="828">
        <f t="array" ref="FY6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65" s="828">
        <f t="array" ref="FZ6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65" s="828">
        <f t="array" ref="GA6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65" s="829">
        <f>SUM(AlimentsGavageOies[[#This Row],[Valeur 3 et plus]:[Valeur 0-1]])</f>
        <v>0</v>
      </c>
      <c r="GC65" s="1364"/>
      <c r="GD65" s="1321"/>
      <c r="GE65" s="1149" t="s">
        <v>87</v>
      </c>
      <c r="GF65" s="1321"/>
      <c r="GG65" s="1321" t="s">
        <v>1349</v>
      </c>
      <c r="GH65" s="1321" t="s">
        <v>1349</v>
      </c>
      <c r="GI65" s="1321" t="s">
        <v>1349</v>
      </c>
      <c r="GJ65" s="1321" t="s">
        <v>1349</v>
      </c>
      <c r="GK65" s="1321" t="s">
        <v>1349</v>
      </c>
      <c r="GL65" s="1321" t="s">
        <v>1349</v>
      </c>
      <c r="GM65" s="1321" t="s">
        <v>1349</v>
      </c>
      <c r="GN65" s="1321" t="s">
        <v>1349</v>
      </c>
      <c r="GO65" s="1321" t="s">
        <v>1349</v>
      </c>
      <c r="GP65" s="1321" t="s">
        <v>1349</v>
      </c>
      <c r="GQ65" s="1321" t="s">
        <v>1349</v>
      </c>
      <c r="GR65" s="1321" t="s">
        <v>1349</v>
      </c>
      <c r="GS65" s="1321" t="s">
        <v>1349</v>
      </c>
      <c r="GT65" s="1321" t="s">
        <v>1349</v>
      </c>
      <c r="GU65" s="1321" t="s">
        <v>1349</v>
      </c>
      <c r="GV65" s="1321" t="s">
        <v>1349</v>
      </c>
      <c r="GW65" s="1321"/>
      <c r="GX65" s="1321"/>
      <c r="GY65" s="1082" t="str">
        <f t="shared" si="11"/>
        <v>semences de maïs</v>
      </c>
      <c r="GZ65" s="1082"/>
      <c r="HA65" s="1085"/>
      <c r="HB65" s="1085">
        <f>IF(COUNTIF(TypeArticleDansEntrepôt,GY65)=0,0,SUMIF(TypeArticleDansEntrepôt,GY65,QtéArticleDansEntrepôt)*VLOOKUP(GY65,place_necessaire_entrepots_aire_paille[],2,FALSE))</f>
        <v>0</v>
      </c>
      <c r="HC65" s="1321"/>
      <c r="HD65" s="1321"/>
      <c r="HE65" s="1321"/>
      <c r="HF65" s="1321"/>
      <c r="HG65" s="1321"/>
      <c r="HH65" s="1321"/>
      <c r="HI65" s="1321"/>
      <c r="HJ65" s="1321"/>
      <c r="HK65" s="1321"/>
      <c r="HL65" s="1321"/>
      <c r="HM65" s="1321"/>
      <c r="HN65" s="1085" t="str">
        <f>IF(parcelles!B113="","",(VLOOKUP(parcelles!C113,BDD!$HN$5:$HU$38,2,FALSE))*parcelles!E113)</f>
        <v/>
      </c>
      <c r="HO65" s="1085" t="str">
        <f>IF(parcelles!B113="","",IF(OR(parcelles!C113=Moutarde,parcelles!C113=Phacélie),0,IF(parcelles!C113=Luzerne,10*parcelles!E113*VLOOKUP(parcelles!C113,BDD!$HN$5:$HU$38,3,FALSE),IF(parcelles!C113=Miscanthus,10.5*parcelles!E113*VLOOKUP(parcelles!C113,BDD!$HN$5:$HU$38,3,FALSE),INDEX(parcelles!$C$56:'parcelles'!$Y$77,MATCH(parcelles!B113,parcelles!$B$56:'parcelles'!$B$77,0),MATCH(parcelles!C113,parcelles!$C$53:'parcelles'!$Y$53,0))*parcelles!E113*VLOOKUP(parcelles!C113,BDD!$HN$5:$HU$38,3,FALSE)))))</f>
        <v/>
      </c>
      <c r="HP65" s="1085" t="str">
        <f>IF(parcelles!B113="","",IF(OR(parcelles!C113=Moutarde,parcelles!C113=Phacélie),0,IF(parcelles!C113=Luzerne,10*parcelles!E113*VLOOKUP(parcelles!C113,BDD!$HN$5:$HU$38,4,FALSE),IF(parcelles!C113=Miscanthus,10.5*parcelles!E113*VLOOKUP(parcelles!C113,BDD!$HN$5:$HU$38,4,FALSE),INDEX(parcelles!$C$56:'parcelles'!$Y$77,MATCH(parcelles!B113,parcelles!$B$56:'parcelles'!$B$77,0),MATCH(parcelles!C113,parcelles!$C$53:'parcelles'!$Y$53,0))*parcelles!E113*VLOOKUP(parcelles!C113,BDD!$HN$5:$HU$38,4,FALSE)))))</f>
        <v/>
      </c>
      <c r="HQ65" s="1085" t="str">
        <f>IF(parcelles!B113="","",IF(OR(parcelles!C113=Moutarde,parcelles!C113=Phacélie),0,IF(parcelles!C113=Luzerne,10*parcelles!E113*VLOOKUP(parcelles!C113,BDD!$HN$5:$HU$38,5,FALSE),IF(parcelles!C113=Miscanthus,10.5*parcelles!E113*VLOOKUP(parcelles!C113,BDD!$HN$5:$HU$38,5,FALSE),INDEX(parcelles!$C$56:'parcelles'!$Y$77,MATCH(parcelles!B113,parcelles!$B$56:'parcelles'!$B$77,0),MATCH(parcelles!C113,parcelles!$C$53:'parcelles'!$Y$53,0))*parcelles!E113*VLOOKUP(parcelles!C113,BDD!$HN$5:$HU$38,5,FALSE)))))</f>
        <v/>
      </c>
      <c r="HR65" s="1085" t="str">
        <f>IF(parcelles!B113="","",IF(OR(parcelles!C113=Moutarde,parcelles!C113=Phacélie),0,IF(parcelles!C113=Luzerne,10*parcelles!E113*VLOOKUP(parcelles!C113,BDD!$HN$5:$HU$38,6,FALSE),IF(parcelles!C113=Miscanthus,10.5*parcelles!E113*VLOOKUP(parcelles!C113,BDD!$HN$5:$HU$38,6,FALSE),INDEX(parcelles!$C$56:'parcelles'!$Y$77,MATCH(parcelles!B113,parcelles!$B$56:'parcelles'!$B$77,0),MATCH(parcelles!C113,parcelles!$C$53:'parcelles'!$Y$53,0))*parcelles!E113*VLOOKUP(parcelles!C113,BDD!$HN$5:$HU$38,6,FALSE)))))</f>
        <v/>
      </c>
      <c r="HS65" s="1085" t="str">
        <f>IF(parcelles!B113="","",IF(OR(parcelles!C113=Moutarde,parcelles!C113=Phacélie),0,IF(parcelles!C113=Luzerne,10*parcelles!E113*VLOOKUP(parcelles!C113,BDD!$HN$5:$HU$38,7,FALSE),IF(parcelles!C113=Miscanthus,10.5*parcelles!E113*VLOOKUP(parcelles!C113,BDD!$HN$5:$HU$38,7,FALSE),INDEX(parcelles!$C$56:'parcelles'!$Y$77,MATCH(parcelles!B113,parcelles!$B$56:'parcelles'!$B$77,0),MATCH(parcelles!C113,parcelles!$C$53:'parcelles'!$Y$53,0))*parcelles!E113*VLOOKUP(parcelles!C113,BDD!$HN$5:$HU$38,7,FALSE)))))</f>
        <v/>
      </c>
      <c r="HT65" s="1085" t="str">
        <f>IF(parcelles!B113="","",IF(OR(parcelles!C113=Moutarde,parcelles!C113=Phacélie),0,IF(parcelles!C113=Luzerne,10*parcelles!E113*VLOOKUP(parcelles!C113,BDD!$HN$5:$HU$38,8,FALSE),IF(parcelles!C113=Miscanthus,10.5*parcelles!E113*VLOOKUP(parcelles!C113,BDD!$HN$5:$HU$38,8,FALSE),INDEX(parcelles!$C$56:'parcelles'!$Y$77,MATCH(parcelles!B113,parcelles!$B$56:'parcelles'!$B$77,0),MATCH(parcelles!C113,parcelles!$C$53:'parcelles'!$Y$53,0))*parcelles!E113*VLOOKUP(parcelles!C113,BDD!$HN$5:$HU$38,8,FALSE)))))</f>
        <v/>
      </c>
      <c r="HU65" s="1085" t="str">
        <f>IF(parcelles!B113="","",IF(OR(parcelles!C113=Moutarde,parcelles!C113=Phacélie),0,1.6*parcelles!E113))</f>
        <v/>
      </c>
      <c r="HV65" s="1085" t="str">
        <f>IF(parcelles!B113="","",IF(OR(parcelles!C113=Moutarde,parcelles!C113=Phacélie),0,1.6*parcelles!E113))</f>
        <v/>
      </c>
      <c r="HW65" s="1085" t="str">
        <f>IF(parcelles!B113="","",IF(OR(parcelles!C113=Moutarde,parcelles!C113=Phacélie),0,1.6*parcelles!E113))</f>
        <v/>
      </c>
      <c r="HX65" s="1092" t="str">
        <f>IF(parcelles!D113="","",IF(parcelles!C113=ChanvreIndustriel,INDEX(parcelles!$C$56:$Y$77,MATCH(parcelles!B113,parcelles!$B$56:$B$77,0),MATCH(parcelles!C113,parcelles!$C$53:$Y$53,0))*parcelles!E113*SUMIF(ListeCulturesBDD,parcelles!C113,PrixVenteCulturesConventionnel)+RIGHT(BDD!$HM$7,3)*7*parcelles!E113,IF(parcelles!C113=Luzerne,parcelles!E113*10*VLOOKUP(parcelles!C113,TarifsCoopCultures,2,FALSE),IF(parcelles!C113=Miscanthus,parcelles!E113*10.5*VLOOKUP(Luzerne,TarifsCoopCultures,2,FALSE),INDEX(parcelles!$C$56:$Y$77,MATCH(parcelles!B113,parcelles!$B$56:$B$77,0),MATCH(parcelles!C113,parcelles!$C$53:$Y$53,0))*parcelles!E113*SUMIF(ListeCulturesBDD,parcelles!C113,PrixVenteCulturesConventionnel)))))</f>
        <v/>
      </c>
      <c r="HY65" s="1085" t="str">
        <f>IF(parcelles!D113="","",IF(parcelles!F113=0,"",IF(parcelles!C113=ChanvreIndustriel,"soit "&amp;parcelles!E113*0.8&amp;"t de grain et "&amp;parcelles!E113*7&amp;"t de paille",IF(parcelles!C113=Luzerne,"soit "&amp;10*parcelles!E113&amp;"t/an",IF(parcelles!C113=Miscanthus,"soit "&amp;10.5*parcelles!E113&amp;"t/an","soit "&amp;INDEX(parcelles!$C$56:$Y$77,MATCH(parcelles!B113,parcelles!$B$56:$B$77,0),MATCH(parcelles!C113,parcelles!$C$53:$Y$53,0))*parcelles!E113&amp;"t")))))</f>
        <v/>
      </c>
      <c r="HZ65" s="1085" t="str">
        <f>IF(parcelles!D113="","",IF(parcelles!F113=0,"",IF(parcelles!C113=ChanvreIndustriel,"soit "&amp;parcelles!E113*0.8*0.8&amp;"t de grain et "&amp;parcelles!E113*7*0.8&amp;"t de paille",IF(parcelles!C113=Luzerne,"soit "&amp;10*0.8*parcelles!E113&amp;"t/an",IF(parcelles!C113=Miscanthus,"soit "&amp;10.5*0.8*parcelles!E113&amp;"t/an","soit "&amp;INDEX(parcelles!$C$56:$Y$77,MATCH(parcelles!B113,parcelles!$B$56:$B$77,0),MATCH(parcelles!C113,parcelles!$C$53:$Y$53,0))*0.8*parcelles!E113&amp;"t")))))</f>
        <v/>
      </c>
      <c r="IA65" s="1085" t="str">
        <f>IF(parcelles!L113="","",(VLOOKUP(parcelles!M113,BDD!$HN$5:$HU$38,2,FALSE))*parcelles!O113)</f>
        <v/>
      </c>
      <c r="IB65" s="1085" t="str">
        <f>IF(parcelles!L113="","",IF(OR(parcelles!M113=Moutarde,parcelles!M113=Phacélie),0,IF(parcelles!M113=Luzerne,10*parcelles!O113*VLOOKUP(parcelles!M113,BDD!$HN$5:$HU$38,3,FALSE),IF(parcelles!M113=Miscanthus,10.5*parcelles!O113*VLOOKUP(parcelles!M113,BDD!$HN$5:$HU$38,3,FALSE),INDEX(parcelles!$C$56:'parcelles'!$Y$77,MATCH(parcelles!L113,parcelles!$B$56:'parcelles'!$B$77,0),MATCH(parcelles!M113,parcelles!$C$53:'parcelles'!$Y$53,0))*parcelles!O113*VLOOKUP(parcelles!M113,BDD!$HN$5:$HU$38,3,FALSE)))))</f>
        <v/>
      </c>
      <c r="IC65" s="1085" t="str">
        <f>IF(parcelles!L113="","",IF(OR(parcelles!M113=Moutarde,parcelles!M113=Phacélie),0,IF(parcelles!M113=Luzerne,10*parcelles!O113*VLOOKUP(parcelles!M113,BDD!$HN$5:$HU$38,4,FALSE),IF(parcelles!M113=Miscanthus,10.5*parcelles!O113*VLOOKUP(parcelles!M113,BDD!$HN$5:$HU$38,4,FALSE),INDEX(parcelles!$C$56:'parcelles'!$Y$77,MATCH(parcelles!L113,parcelles!$B$56:'parcelles'!$B$77,0),MATCH(parcelles!M113,parcelles!$C$53:'parcelles'!$Y$53,0))*parcelles!O113*VLOOKUP(parcelles!M113,BDD!$HN$5:$HU$38,4,FALSE)))))</f>
        <v/>
      </c>
      <c r="ID65" s="1085" t="str">
        <f>IF(parcelles!L113="","",IF(OR(parcelles!M113=Moutarde,parcelles!M113=Phacélie),0,IF(parcelles!M113=Luzerne,10*parcelles!O113*VLOOKUP(parcelles!M113,BDD!$HN$5:$HU$38,5,FALSE),IF(parcelles!M113=Miscanthus,10.5*parcelles!O113*VLOOKUP(parcelles!M113,BDD!$HN$5:$HU$38,5,FALSE),INDEX(parcelles!$C$56:'parcelles'!$Y$77,MATCH(parcelles!L113,parcelles!$B$56:'parcelles'!$B$77,0),MATCH(parcelles!M113,parcelles!$C$53:'parcelles'!$Y$53,0))*parcelles!O113*VLOOKUP(parcelles!M113,BDD!$HN$5:$HU$38,5,FALSE)))))</f>
        <v/>
      </c>
      <c r="IE65" s="1085" t="str">
        <f>IF(parcelles!L113="","",IF(OR(parcelles!M113=Moutarde,parcelles!M113=Phacélie),0,IF(parcelles!M113=Luzerne,10*parcelles!O113*VLOOKUP(parcelles!M113,BDD!$HN$5:$HU$38,6,FALSE),IF(parcelles!M113=Miscanthus,10.5*parcelles!O113*VLOOKUP(parcelles!M113,BDD!$HN$5:$HU$38,6,FALSE),INDEX(parcelles!$C$56:'parcelles'!$Y$77,MATCH(parcelles!L113,parcelles!$B$56:'parcelles'!$B$77,0),MATCH(parcelles!M113,parcelles!$C$53:'parcelles'!$Y$53,0))*parcelles!O113*VLOOKUP(parcelles!M113,BDD!$HN$5:$HU$38,6,FALSE)))))</f>
        <v/>
      </c>
      <c r="IF65" s="1085" t="str">
        <f>IF(parcelles!L113="","",IF(OR(parcelles!M113=Moutarde,parcelles!M113=Phacélie),0,IF(parcelles!M113=Luzerne,10*parcelles!O113*VLOOKUP(parcelles!M113,BDD!$HN$5:$HU$38,7,FALSE),IF(parcelles!M113=Miscanthus,10.5*parcelles!O113*VLOOKUP(parcelles!M113,BDD!$HN$5:$HU$38,7,FALSE),INDEX(parcelles!$C$56:'parcelles'!$Y$77,MATCH(parcelles!L113,parcelles!$B$56:'parcelles'!$B$77,0),MATCH(parcelles!M113,parcelles!$C$53:'parcelles'!$Y$53,0))*parcelles!O113*VLOOKUP(parcelles!M113,BDD!$HN$5:$HU$38,7,FALSE)))))</f>
        <v/>
      </c>
      <c r="IG65" s="1085" t="str">
        <f>IF(parcelles!L113="","",IF(OR(parcelles!M113=Moutarde,parcelles!M113=Phacélie),0,IF(parcelles!M113=Luzerne,10*parcelles!O113*VLOOKUP(parcelles!M113,BDD!$HN$5:$HU$38,8,FALSE),IF(parcelles!M113=Miscanthus,10.5*parcelles!O113*VLOOKUP(parcelles!M113,BDD!$HN$5:$HU$38,8,FALSE),INDEX(parcelles!$C$56:'parcelles'!$Y$77,MATCH(parcelles!L113,parcelles!$B$56:'parcelles'!$B$77,0),MATCH(parcelles!M113,parcelles!$C$53:'parcelles'!$Y$53,0))*parcelles!O113*VLOOKUP(parcelles!M113,BDD!$HN$5:$HU$38,8,FALSE)))))</f>
        <v/>
      </c>
      <c r="IH65" s="1085" t="str">
        <f>IF(parcelles!L113="","",IF(OR(parcelles!L113=Moutarde,parcelles!L113=Phacélie),0,1.6*parcelles!O113))</f>
        <v/>
      </c>
      <c r="II65" s="1085" t="str">
        <f>IF(parcelles!L113="","",IF(OR(parcelles!L113=Moutarde,parcelles!L113=Phacélie),0,1.6*parcelles!O113))</f>
        <v/>
      </c>
      <c r="IJ65" s="1085" t="str">
        <f>IF(parcelles!L113="","",IF(OR(parcelles!L113=Moutarde,parcelles!L113=Phacélie),0,1.6*parcelles!O113))</f>
        <v/>
      </c>
      <c r="IK65" s="1085" t="str">
        <f>IF(parcelles!P113="","",IF(parcelles!R113=0,"",IF(parcelles!O113=ChanvreIndustriel,"soit "&amp;parcelles!Q113*0.8&amp;"t de grain et "&amp;parcelles!Q113*7&amp;"t de paille",IF(parcelles!O113=Luzerne,"soit "&amp;10*parcelles!Q113&amp;"t/an",IF(parcelles!O113=Miscanthus,"soit "&amp;10.5*parcelles!Q113&amp;"t/an","soit "&amp;INDEX(parcelles!$C$56:$Y$77,MATCH(parcelles!N113,parcelles!$B$56:$B$77,0),MATCH(parcelles!O113,parcelles!$C$53:$Y$53,0))*parcelles!Q113&amp;"t")))))</f>
        <v/>
      </c>
      <c r="IL65" s="1085" t="str">
        <f>IF(parcelles!P113="","",IF(parcelles!R113=0,"",IF(parcelles!O113=ChanvreIndustriel,"soit "&amp;parcelles!Q113*0.8*0.8&amp;"t de grain et "&amp;parcelles!Q113*7*0.8&amp;"t de paille",IF(parcelles!O113=Luzerne,"soit "&amp;10*0.8*parcelles!Q113&amp;"t/an",IF(parcelles!O113=Miscanthus,"soit "&amp;10.5*0.8*parcelles!Q113&amp;"t/an","soit "&amp;INDEX(parcelles!$C$56:$Y$77,MATCH(parcelles!N113,parcelles!$B$56:$B$77,0),MATCH(parcelles!O113,parcelles!$C$53:$Y$53,0))*0.8*parcelles!Q113&amp;"t")))))</f>
        <v/>
      </c>
      <c r="IM65" s="1085" t="str">
        <f>IF(parcelles!S113="","",IF(parcelles!U113=0,"",IF(parcelles!R113=ChanvreIndustriel,parcelles!T113*0.8*0.8+parcelles!T113*7*0.8,IF(parcelles!R113=Luzerne,10*0.8*parcelles!T113,IF(parcelles!R113=Miscanthus,10.5*0.8*parcelles!T113,INDEX(parcelles!$C$56:$Y$77,MATCH(parcelles!Q113,parcelles!$B$56:$B$77,0),MATCH(parcelles!R113,parcelles!$C$53:$Y$53,0))*0.8*parcelles!T113)))))</f>
        <v/>
      </c>
      <c r="IN65" s="1368"/>
    </row>
    <row r="66" spans="1:248" ht="12.75" customHeight="1" x14ac:dyDescent="0.2">
      <c r="A66" s="1307" t="s">
        <v>399</v>
      </c>
      <c r="B66" s="1241">
        <f t="shared" si="17"/>
        <v>1E-3</v>
      </c>
      <c r="C66" s="1321"/>
      <c r="D66" s="1321"/>
      <c r="E66" s="1321"/>
      <c r="F66" s="1149" t="s">
        <v>298</v>
      </c>
      <c r="G66" s="1149">
        <v>5</v>
      </c>
      <c r="H66" s="1149" t="s">
        <v>871</v>
      </c>
      <c r="I66" s="1149">
        <v>0</v>
      </c>
      <c r="J66" s="1149">
        <v>0</v>
      </c>
      <c r="K66" s="1149">
        <v>0</v>
      </c>
      <c r="L66" s="1149">
        <v>0</v>
      </c>
      <c r="M66" s="1149">
        <v>0</v>
      </c>
      <c r="N66" s="1321"/>
      <c r="O66" s="1149" t="s">
        <v>53</v>
      </c>
      <c r="P66" s="1149">
        <v>9.1</v>
      </c>
      <c r="Q66" s="1149">
        <v>7.2</v>
      </c>
      <c r="R66" s="1149">
        <v>6.7</v>
      </c>
      <c r="S66" s="1149">
        <v>5.7</v>
      </c>
      <c r="T66" s="1149">
        <v>4.8</v>
      </c>
      <c r="U66" s="1149">
        <v>7.2</v>
      </c>
      <c r="V66" s="1149"/>
      <c r="W66" s="1149">
        <v>12.8</v>
      </c>
      <c r="X66" s="1149">
        <v>15.8</v>
      </c>
      <c r="Y66" s="1149">
        <v>75</v>
      </c>
      <c r="Z66" s="1149">
        <v>0</v>
      </c>
      <c r="AA66" s="1149">
        <v>0</v>
      </c>
      <c r="AB66" s="1149">
        <v>3</v>
      </c>
      <c r="AC66" s="1149">
        <v>3</v>
      </c>
      <c r="AD66" s="1149">
        <v>0</v>
      </c>
      <c r="AE66" s="1149">
        <v>3.2</v>
      </c>
      <c r="AF66" s="1149">
        <v>49</v>
      </c>
      <c r="AG66" s="1149">
        <v>0.8</v>
      </c>
      <c r="AH66" s="1149">
        <v>7</v>
      </c>
      <c r="AI66" s="1149">
        <v>22</v>
      </c>
      <c r="AJ66" s="1149">
        <v>12</v>
      </c>
      <c r="AK66" s="1149">
        <v>0</v>
      </c>
      <c r="AL66" s="1149">
        <v>0</v>
      </c>
      <c r="AM66" s="1149"/>
      <c r="AN66" s="1149">
        <v>3.8</v>
      </c>
      <c r="AO66" s="1149">
        <v>38</v>
      </c>
      <c r="AP66" s="1149">
        <v>28</v>
      </c>
      <c r="AQ66" s="1149">
        <v>0</v>
      </c>
      <c r="AR66" s="1149">
        <v>0</v>
      </c>
      <c r="AS66" s="1149">
        <v>6</v>
      </c>
      <c r="AT66" s="1149">
        <v>0</v>
      </c>
      <c r="AU66" s="1149">
        <v>0</v>
      </c>
      <c r="AV66" s="1149">
        <v>0</v>
      </c>
      <c r="AW66" s="1149">
        <v>8.5</v>
      </c>
      <c r="AX66" s="1149">
        <v>10</v>
      </c>
      <c r="AY66" s="1149">
        <v>10</v>
      </c>
      <c r="AZ66" s="1321"/>
      <c r="BA66" s="1321"/>
      <c r="BB66" s="1236" t="s">
        <v>724</v>
      </c>
      <c r="BC66" s="1190" t="s">
        <v>715</v>
      </c>
      <c r="BD66" s="1190" t="s">
        <v>1254</v>
      </c>
      <c r="BE66" s="1237">
        <v>4.8</v>
      </c>
      <c r="BF66" s="1237">
        <v>4</v>
      </c>
      <c r="BG66" s="1237">
        <v>4</v>
      </c>
      <c r="BH66" s="1237">
        <v>4</v>
      </c>
      <c r="BI66" s="1237">
        <v>2</v>
      </c>
      <c r="BJ66" s="1237">
        <v>1.2</v>
      </c>
      <c r="BK66" s="1238">
        <v>0</v>
      </c>
      <c r="BL66" s="1348"/>
      <c r="BM66" s="1076" t="s">
        <v>1273</v>
      </c>
      <c r="BN66" s="1076">
        <f t="array" ref="BN66">IF(Ration_hivernale_complète_bisons[somme]&gt;0,0,IFERROR(IF(OR(AND(INDEX(Règles_bison[Specificite],MATCH(ChoixRationBisons&amp;$BM66,Règles_bison[Ration]&amp;Règles_bison[Aliment],0))="s1",IF($BM66=ChoixSpécificité1Bisons,1)),
AND(INDEX(Règles_bison[Specificite],MATCH(ChoixRationBisons&amp;$BM66,Règles_bison[Ration]&amp;Règles_bison[Aliment],0))="s2",IF($BM66=ChoixSpécificité2Bisons,1)),INDEX(Règles_bison[Specificite],MATCH(ChoixRationBisons&amp;$BM66,Règles_bison[Ration]&amp;Règles_bison[Aliment],0))="c"),
INDEX(Règles_bison[Valeur 36 et plus],MATCH(ChoixRationBisons&amp;$BM66,Règles_bison[Ration]&amp;Règles_bison[Aliment],0)),0),0)*TotalBisonsMalesAdultes*SUM(NbreJoursNourrirBisonsDaims))</f>
        <v>0</v>
      </c>
      <c r="BO66" s="1076">
        <f t="array" ref="BO66">IF(Ration_hivernale_complète_bisons[somme]&gt;0,0,IFERROR(IF(OR(AND(INDEX(Règles_bison[Specificite],MATCH(ChoixRationBisons&amp;$BM66,Règles_bison[Ration]&amp;Règles_bison[Aliment],0))="s1",IF($BM66=ChoixSpécificité1Bisons,1)),
AND(INDEX(Règles_bison[Specificite],MATCH(ChoixRationBisons&amp;$BM66,Règles_bison[Ration]&amp;Règles_bison[Aliment],0))="s2",IF($BM66=ChoixSpécificité2Bisons,1)),INDEX(Règles_bison[Specificite],MATCH(ChoixRationBisons&amp;$BM66,Règles_bison[Ration]&amp;Règles_bison[Aliment],0))="c"),
INDEX(Règles_bison[Valeur 24-36],MATCH(ChoixRationBisons&amp;$BM66,Règles_bison[Ration]&amp;Règles_bison[Aliment],0)),0),0)*TotalBisonsMales_24_36_mois*SUM(NbreJoursNourrirBisonsDaims))</f>
        <v>0</v>
      </c>
      <c r="BP66" s="1076">
        <f t="array" ref="BP66">IF(Ration_hivernale_complète_bisons[somme]&gt;0,0,IFERROR(IF(OR(AND(INDEX(Règles_bison[Specificite],MATCH(ChoixRationBisons&amp;$BM66,Règles_bison[Ration]&amp;Règles_bison[Aliment],0))="s1",IF($BM66=ChoixSpécificité1Bisons,1)),
AND(INDEX(Règles_bison[Specificite],MATCH(ChoixRationBisons&amp;$BM66,Règles_bison[Ration]&amp;Règles_bison[Aliment],0))="s2",IF($BM66=ChoixSpécificité2Bisons,1)),INDEX(Règles_bison[Specificite],MATCH(ChoixRationBisons&amp;$BM66,Règles_bison[Ration]&amp;Règles_bison[Aliment],0))="c"),
INDEX(Règles_bison[Valeur 18-24],MATCH(ChoixRationBisons&amp;$BM66,Règles_bison[Ration]&amp;Règles_bison[Aliment],0)),0),0)*TotalBisonsMales_18_24_mois*SUM(NbreJoursNourrirBisonsDaims))</f>
        <v>0</v>
      </c>
      <c r="BQ66" s="1076">
        <f t="array" ref="BQ66">IF(Ration_hivernale_complète_bisons[somme]&gt;0,0,IFERROR(IF(OR(AND(INDEX(Règles_bison[Specificite],MATCH(ChoixRationBisons&amp;$BM66,Règles_bison[Ration]&amp;Règles_bison[Aliment],0))="s1",IF($BM66=ChoixSpécificité1Bisons,1)),
AND(INDEX(Règles_bison[Specificite],MATCH(ChoixRationBisons&amp;$BM66,Règles_bison[Ration]&amp;Règles_bison[Aliment],0))="s2",IF($BM66=ChoixSpécificité2Bisons,1)),INDEX(Règles_bison[Specificite],MATCH(ChoixRationBisons&amp;$BM66,Règles_bison[Ration]&amp;Règles_bison[Aliment],0))="c"),
INDEX(Règles_bison[Valeur 12-18],MATCH(ChoixRationBisons&amp;$BM66,Règles_bison[Ration]&amp;Règles_bison[Aliment],0)),0),0)*TotalBisonsMales_12_18_mois*SUM(NbreJoursNourrirBisonsDaims))</f>
        <v>0</v>
      </c>
      <c r="BR66" s="1076">
        <f t="array" ref="BR66">IF(Ration_hivernale_complète_bisons[somme]&gt;0,0,IFERROR(IF(OR(AND(INDEX(Règles_bison[Specificite],MATCH(ChoixRationBisons&amp;$BM66,Règles_bison[Ration]&amp;Règles_bison[Aliment],0))="s1",IF($BM66=ChoixSpécificité1Bisons,1)),
AND(INDEX(Règles_bison[Specificite],MATCH(ChoixRationBisons&amp;$BM66,Règles_bison[Ration]&amp;Règles_bison[Aliment],0))="s2",IF($BM66=ChoixSpécificité2Bisons,1)),INDEX(Règles_bison[Specificite],MATCH(ChoixRationBisons&amp;$BM66,Règles_bison[Ration]&amp;Règles_bison[Aliment],0))="c"),
INDEX(Règles_bison[Valeur 6-12],MATCH(ChoixRationBisons&amp;$BM66,Règles_bison[Ration]&amp;Règles_bison[Aliment],0)),0),0)*TotalBisonsMales_6_12_mois*SUM(NbreJoursNourrirBisonsDaims))</f>
        <v>0</v>
      </c>
      <c r="BS66" s="1076">
        <f t="array" ref="BS66">IF(Ration_hivernale_complète_bisons[somme]&gt;0,0,IFERROR(IF(OR(AND(INDEX(Règles_bison[Specificite],MATCH(ChoixRationBisons&amp;$BM66,Règles_bison[Ration]&amp;Règles_bison[Aliment],0))="s1",IF($BM66=ChoixSpécificité1Bisons,1)),
AND(INDEX(Règles_bison[Specificite],MATCH(ChoixRationBisons&amp;$BM66,Règles_bison[Ration]&amp;Règles_bison[Aliment],0))="s2",IF($BM66=ChoixSpécificité2Bisons,1)),INDEX(Règles_bison[Specificite],MATCH(ChoixRationBisons&amp;$BM66,Règles_bison[Ration]&amp;Règles_bison[Aliment],0))="c"),
INDEX(Règles_bison[Valeur 3-6],MATCH(ChoixRationBisons&amp;$BM66,Règles_bison[Ration]&amp;Règles_bison[Aliment],0)),0),0)*TotalBisonsMales_3_6_mois*SUM(NbreJoursNourrirBisonsDaims))</f>
        <v>0</v>
      </c>
      <c r="BT66" s="1076">
        <f t="array" ref="BT66">IF(Ration_hivernale_complète_bisons[somme]&gt;0,0,IFERROR(IF(OR(AND(INDEX(Règles_bison[Specificite],MATCH(ChoixRationBisons&amp;$BM66,Règles_bison[Ration]&amp;Règles_bison[Aliment],0))="s1",IF($BM66=ChoixSpécificité1Bisons,1)),
AND(INDEX(Règles_bison[Specificite],MATCH(ChoixRationBisons&amp;$BM66,Règles_bison[Ration]&amp;Règles_bison[Aliment],0))="s2",IF($BM66=ChoixSpécificité2Bisons,1)),INDEX(Règles_bison[Specificite],MATCH(ChoixRationBisons&amp;$BM66,Règles_bison[Ration]&amp;Règles_bison[Aliment],0))="c"),
INDEX(Règles_bison[Valeur 0-3],MATCH(ChoixRationBisons&amp;$BM66,Règles_bison[Ration]&amp;Règles_bison[Aliment],0)),0),0)*TotalBisonsMales_0_3_mois*SUM(NbreJoursNourrirBisonsDaims))</f>
        <v>0</v>
      </c>
      <c r="BU66" s="1076">
        <f t="shared" si="10"/>
        <v>0</v>
      </c>
      <c r="BV66" s="1345"/>
      <c r="BW66" s="1345"/>
      <c r="BX66" s="1176" t="s">
        <v>219</v>
      </c>
      <c r="BY66" s="1177" t="s">
        <v>219</v>
      </c>
      <c r="BZ66" s="1177" t="s">
        <v>1252</v>
      </c>
      <c r="CA66" s="1177">
        <v>16</v>
      </c>
      <c r="CB66" s="1177">
        <v>12</v>
      </c>
      <c r="CC66" s="1177">
        <v>6</v>
      </c>
      <c r="CD66" s="1199">
        <v>2.8</v>
      </c>
      <c r="CE66" s="1350"/>
      <c r="CF66" s="1350"/>
      <c r="CG66" s="1350"/>
      <c r="CH66" s="1350"/>
      <c r="CI66" s="1321"/>
      <c r="CJ66" s="808" t="s">
        <v>333</v>
      </c>
      <c r="CK66" s="788">
        <f t="array" ref="CK6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66" s="788">
        <f t="array" ref="CL6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66" s="788">
        <f t="array" ref="CM6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66" s="788">
        <f t="array" ref="CN6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66" s="788">
        <f t="array" ref="CO6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66" s="812">
        <f>SUM(AlimentsRationPorcinsMâles[[#This Row],[Valeur 12 et plus]:[Valeur 0-1]])</f>
        <v>0</v>
      </c>
      <c r="CQ66" s="1321"/>
      <c r="CR66" s="1321"/>
      <c r="CS66" s="808" t="s">
        <v>1717</v>
      </c>
      <c r="CT66" s="817">
        <f t="array" ref="CT66">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66" s="817">
        <f t="array" ref="CU66">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66" s="817">
        <f t="array" ref="CV66">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66" s="818">
        <f>SUM(AlimentsRationLapinsMâles[[#This Row],[Valeur 3 et plus]:[Valeur 0-1]])</f>
        <v>0</v>
      </c>
      <c r="CX66" s="1321"/>
      <c r="CY66" s="1321"/>
      <c r="CZ66" s="808" t="s">
        <v>1717</v>
      </c>
      <c r="DA66" s="817">
        <f t="array" ref="DA66">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66" s="817">
        <f t="array" ref="DB66">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66" s="817">
        <f t="array" ref="DC66">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66" s="818">
        <f>SUM(AlimentsRationVolaillesMâles[[#This Row],[Valeur 6 et plus]:[Valeur 0-1]])</f>
        <v>0</v>
      </c>
      <c r="DE66" s="1364"/>
      <c r="DF66" s="1321"/>
      <c r="DG66" s="808" t="s">
        <v>339</v>
      </c>
      <c r="DH66" s="817">
        <f t="array" ref="DH6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66" s="817">
        <f t="array" ref="DI6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66" s="817">
        <f t="array" ref="DJ6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66" s="818">
        <f>SUM(AlimentsRationPintadesMâles[[#This Row],[Valeur 9 et plus]:[Valeur 0-1]])</f>
        <v>0</v>
      </c>
      <c r="DL66" s="1364"/>
      <c r="DM66" s="1364"/>
      <c r="DN66" s="1176" t="s">
        <v>724</v>
      </c>
      <c r="DO66" s="1177" t="s">
        <v>723</v>
      </c>
      <c r="DP66" s="1177" t="s">
        <v>1277</v>
      </c>
      <c r="DQ66" s="1181"/>
      <c r="DR66" s="1181"/>
      <c r="DS66" s="1181"/>
      <c r="DT66" s="1243"/>
      <c r="DU66" s="1346"/>
      <c r="DV66" s="1076"/>
      <c r="DW66" s="1267">
        <f t="array" ref="DW66">IF(ChoixRationComplèteDaims=OUI,0,IFERROR(IF(OR(AND(INDEX(Règles_daims[Specificite],MATCH(ChoixRationDaims&amp;DV66,Règles_daims[Ration]&amp;Règles_daims[Aliment],0))="s1",IF(DV66=Spécificité1Daims,1)),
AND(INDEX(Règles_daims[Specificite],MATCH(ChoixRationDaims&amp;DV66,Règles_daims[Ration]&amp;Règles_daims[Aliment],0))="s2",IF(DV66=Spécificité2Daims,1)),
INDEX(Règles_daims[Specificite],MATCH(ChoixRationDaims&amp;DV66,Règles_daims[Ration]&amp;Règles_daims[Aliment],0))="c"),
INDEX(Règles_daims[Valeur 36 et plus],MATCH(ChoixRationDaims&amp;DV66,Règles_daims[Ration]&amp;Règles_daims[Aliment],0)),0),0)*SUM(TotalDaimsAdultes)*SUM(NbreJoursNourrirBisonsDaims))</f>
        <v>0</v>
      </c>
      <c r="DX66" s="1267">
        <f t="array" ref="DX66">IF(ChoixRationComplèteDaims=OUI,0,IFERROR(IF(OR(AND(INDEX(Règles_daims[Specificite],MATCH(ChoixRationDaims&amp;DV66,Règles_daims[Ration]&amp;Règles_daims[Aliment],0))="s1",IF(DV66=Spécificité1Daims,1)),
AND(INDEX(Règles_daims[Specificite],MATCH(ChoixRationDaims&amp;DV66,Règles_daims[Ration]&amp;Règles_daims[Aliment],0))="s2",IF(DV66=Spécificité2Daims,1)),
INDEX(Règles_daims[Specificite],MATCH(ChoixRationDaims&amp;DV66,Règles_daims[Ration]&amp;Règles_daims[Aliment],0))="c"),
INDEX(Règles_daims[Valeur 24-36],MATCH(ChoixRationDaims&amp;DV66,Règles_daims[Ration]&amp;Règles_daims[Aliment],0)),0),0)*SUM(TotalDaims24_36)*SUM(NbreJoursNourrirBisonsDaims))</f>
        <v>0</v>
      </c>
      <c r="DY66" s="1267">
        <f t="array" ref="DY66">IF(ChoixRationComplèteDaims=OUI,0,IFERROR(IF(OR(AND(INDEX(Règles_daims[Specificite],MATCH(ChoixRationDaims&amp;DV66,Règles_daims[Ration]&amp;Règles_daims[Aliment],0))="s1",IF(DV66=Spécificité1Daims,1)),
AND(INDEX(Règles_daims[Specificite],MATCH(ChoixRationDaims&amp;DV66,Règles_daims[Ration]&amp;Règles_daims[Aliment],0))="s2",IF(DV66=Spécificité2Daims,1)),
INDEX(Règles_daims[Specificite],MATCH(ChoixRationDaims&amp;DV66,Règles_daims[Ration]&amp;Règles_daims[Aliment],0))="c"),
INDEX(Règles_daims[Valeur 18-24],MATCH(ChoixRationDaims&amp;DV66,Règles_daims[Ration]&amp;Règles_daims[Aliment],0)),0),0)*SUM(TotalDaims18_24)*SUM(NbreJoursNourrirBisonsDaims))</f>
        <v>0</v>
      </c>
      <c r="DZ66" s="1279">
        <f t="array" ref="DZ66">IF(ChoixRationComplèteDaims=OUI,0,IFERROR(IF(OR(AND(INDEX(Règles_daims[Specificite],MATCH(ChoixRationDaims&amp;DV66,Règles_daims[Ration]&amp;Règles_daims[Aliment],0))="s1",IF(DV66=Spécificité1Daims,1)),
AND(INDEX(Règles_daims[Specificite],MATCH(ChoixRationDaims&amp;DV66,Règles_daims[Ration]&amp;Règles_daims[Aliment],0))="s2",IF(DV66=Spécificité2Daims,1)),
INDEX(Règles_daims[Specificite],MATCH(ChoixRationDaims&amp;DV66,Règles_daims[Ration]&amp;Règles_daims[Aliment],0))="c"),
INDEX(Règles_daims[Valeur 12-18],MATCH(ChoixRationDaims&amp;DV66,Règles_daims[Ration]&amp;Règles_daims[Aliment],0)),0),0)*SUM(TotalDaims12_18)*SUM(NbreJoursNourrirBisonsDaims))</f>
        <v>0</v>
      </c>
      <c r="EA66" s="1279">
        <f t="array" ref="EA66">IF(ChoixRationComplèteDaims=OUI,0,IFERROR(IF(OR(AND(INDEX(Règles_daims[Specificite],MATCH(ChoixRationDaims&amp;DV66,Règles_daims[Ration]&amp;Règles_daims[Aliment],0))="s1",IF(DV66=Spécificité1Daims,1)),
AND(INDEX(Règles_daims[Specificite],MATCH(ChoixRationDaims&amp;DV66,Règles_daims[Ration]&amp;Règles_daims[Aliment],0))="s2",IF(DV66=Spécificité2Daims,1)),
INDEX(Règles_daims[Specificite],MATCH(ChoixRationDaims&amp;DV66,Règles_daims[Ration]&amp;Règles_daims[Aliment],0))="c"),
INDEX(Règles_daims[Valeur 6-12],MATCH(ChoixRationDaims&amp;DV66,Règles_daims[Ration]&amp;Règles_daims[Aliment],0)),0),0)*SUM(TotalDaims6_12)*SUM(NbreJoursNourrirBisonsDaims))</f>
        <v>0</v>
      </c>
      <c r="EB66" s="1279">
        <f t="array" ref="EB66">IF(ChoixRationComplèteDaims=OUI,0,IFERROR(IF(OR(AND(INDEX(Règles_daims[Specificite],MATCH(ChoixRationDaims&amp;DV66,Règles_daims[Ration]&amp;Règles_daims[Aliment],0))="s1",IF(DV66=Spécificité1Daims,1)),
AND(INDEX(Règles_daims[Specificite],MATCH(ChoixRationDaims&amp;DV66,Règles_daims[Ration]&amp;Règles_daims[Aliment],0))="s2",IF(DV66=Spécificité2Daims,1)),
INDEX(Règles_daims[Specificite],MATCH(ChoixRationDaims&amp;DV66,Règles_daims[Ration]&amp;Règles_daims[Aliment],0))="c"),
INDEX(Règles_daims[Valeur 3-6],MATCH(ChoixRationDaims&amp;DV66,Règles_daims[Ration]&amp;Règles_daims[Aliment],0)),0),0)*SUM(TotalDaims3_6)*SUM(NbreJoursNourrirBisonsDaims))</f>
        <v>0</v>
      </c>
      <c r="EC66" s="1279">
        <f t="array" ref="EC66">IF(ChoixRationComplèteDaims=OUI,0,IFERROR(IF(OR(AND(INDEX(Règles_daims[Specificite],MATCH(ChoixRationDaims&amp;DV66,Règles_daims[Ration]&amp;Règles_daims[Aliment],0))="s1",IF(DV66=Spécificité1Daims,1)),
AND(INDEX(Règles_daims[Specificite],MATCH(ChoixRationDaims&amp;DV66,Règles_daims[Ration]&amp;Règles_daims[Aliment],0))="s2",IF(DV66=Spécificité2Daims,1)),
INDEX(Règles_daims[Specificite],MATCH(ChoixRationDaims&amp;DV66,Règles_daims[Ration]&amp;Règles_daims[Aliment],0))="c"),
INDEX(Règles_daims[Valeur 0-3],MATCH(ChoixRationDaims&amp;DV66,Règles_daims[Ration]&amp;Règles_daims[Aliment],0)),0),0)*SUM(TotalDaims0_3)*SUM(NbreJoursNourrirBisonsDaims))</f>
        <v>0</v>
      </c>
      <c r="ED66" s="1279">
        <f t="shared" si="9"/>
        <v>0</v>
      </c>
      <c r="EE66" s="1345"/>
      <c r="EF66" s="1321"/>
      <c r="EG66" s="808" t="s">
        <v>298</v>
      </c>
      <c r="EH66" s="817">
        <f t="array" ref="EH6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66" s="817">
        <f t="array" ref="EI6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66" s="817">
        <f t="array" ref="EJ6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66" s="818">
        <f>SUM(AlimentsRationOiesMâles[[#This Row],[Valeur 6 et plus]:[Valeur 0-3]])</f>
        <v>0</v>
      </c>
      <c r="EL66" s="1364"/>
      <c r="EM66" s="1321"/>
      <c r="EN66" s="808" t="s">
        <v>219</v>
      </c>
      <c r="EO66" s="817">
        <f t="array" ref="EO6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66" s="817">
        <f t="array" ref="EP6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66" s="817">
        <f t="array" ref="EQ6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66" s="818">
        <f>SUM(Ration_canards_Mâles[[#This Row],[Valeur 6 et plus]:[Valeur 0-3]])</f>
        <v>0</v>
      </c>
      <c r="ES66" s="1364"/>
      <c r="ET66" s="1321"/>
      <c r="EU66" s="1082" t="s">
        <v>714</v>
      </c>
      <c r="EV66" s="1282">
        <f t="array" ref="EV66">IF(OR(ChoixRationComplèteEtéChevauxSelle=OUI,ChoixRationComplèteEtéChevauxSelle="",AND(ChoixChevauxSellePréHiver=OUI,ChoixChevauxSellePréEté=OUI)),0,IFERROR(IF(OR(AND(INDEX(Règles_chevaux_selle[Specificite],MATCH(RationEtéChevauxSelle&amp;$EU66,Règles_chevaux_selle[Ration]&amp;Règles_chevaux_selle[Aliment],0))="s1",IF($EU66=Spécificité1ChevauxSelle,1)),
AND(INDEX(Règles_chevaux_selle[Specificite],MATCH(RationEtéChevauxSelle&amp;$EU66,Règles_chevaux_selle[Ration]&amp;Règles_chevaux_selle[Aliment],0))="s2",IF($EU66=Spécificité2ChevauxSelle,1)),
INDEX(Règles_chevaux_selle[Specificite],MATCH(RationEtéChevauxSelle&amp;$EU66,Règles_chevaux_selle[Ration]&amp;Règles_chevaux_selle[Aliment],0))="c"),
INDEX(Règles_chevaux_selle[Valeur 36 et plus],MATCH(RationEtéChevauxSelle&amp;$EU66,Règles_chevaux_selle[Ration]&amp;Règles_chevaux_selle[Aliment],0)),0),0)*TotalEtalonSelle*SUM(NbreJoursNourrirChevauxSelle))</f>
        <v>0</v>
      </c>
      <c r="EW66" s="1282">
        <f t="array" ref="EW66">IF(OR(ChoixRationComplèteEtéChevauxSelle=OUI,ChoixRationComplèteEtéChevauxSelle="",AND(ChoixChevauxSellePréHiver=OUI,ChoixChevauxSellePréEté=OUI)),0,IFERROR(IF(OR(AND(INDEX(Règles_chevaux_selle[Specificite],MATCH(RationEtéChevauxSelle&amp;$EU66,Règles_chevaux_selle[Ration]&amp;Règles_chevaux_selle[Aliment],0))="s1",IF($EU66=Spécificité1ChevauxSelle,1)),
AND(INDEX(Règles_chevaux_selle[Specificite],MATCH(RationEtéChevauxSelle&amp;$EU66,Règles_chevaux_selle[Ration]&amp;Règles_chevaux_selle[Aliment],0))="s2",IF($EU66=Spécificité2ChevauxSelle,1)),
INDEX(Règles_chevaux_selle[Specificite],MATCH(RationEtéChevauxSelle&amp;$EU66,Règles_chevaux_selle[Ration]&amp;Règles_chevaux_selle[Aliment],0))="c"),
INDEX(Règles_chevaux_selle[Valeur 24-36],MATCH(RationEtéChevauxSelle&amp;$EU66,Règles_chevaux_selle[Ration]&amp;Règles_chevaux_selle[Aliment],0)),0),0)*TotalJeuneEtalonSelle_24_36_mois*SUM(NbreJoursNourrirChevauxSelle))</f>
        <v>0</v>
      </c>
      <c r="EX66" s="1282">
        <f t="array" ref="EX66">IF(OR(ChoixRationComplèteEtéChevauxSelle=OUI,ChoixRationComplèteEtéChevauxSelle="",AND(ChoixChevauxSellePréHiver=OUI,ChoixChevauxSellePréEté=OUI)),0,IFERROR(IF(OR(AND(INDEX(Règles_chevaux_selle[Specificite],MATCH(RationEtéChevauxSelle&amp;$EU66,Règles_chevaux_selle[Ration]&amp;Règles_chevaux_selle[Aliment],0))="s1",IF($EU66=Spécificité1ChevauxSelle,1)),
AND(INDEX(Règles_chevaux_selle[Specificite],MATCH(RationEtéChevauxSelle&amp;$EU66,Règles_chevaux_selle[Ration]&amp;Règles_chevaux_selle[Aliment],0))="s2",IF($EU66=Spécificité2ChevauxSelle,1)),
INDEX(Règles_chevaux_selle[Specificite],MATCH(RationEtéChevauxSelle&amp;$EU66,Règles_chevaux_selle[Ration]&amp;Règles_chevaux_selle[Aliment],0))="c"),
INDEX(Règles_chevaux_selle[Valeur 12-24],MATCH(RationEtéChevauxSelle&amp;$EU66,Règles_chevaux_selle[Ration]&amp;Règles_chevaux_selle[Aliment],0)),0),0)*TotalJeuneEtalonSelle_12_24_mois*SUM(NbreJoursNourrirChevauxSelle))</f>
        <v>0</v>
      </c>
      <c r="EY66" s="1285">
        <f t="array" ref="EY66">IF(OR(ChoixRationComplèteEtéChevauxSelle=OUI,ChoixRationComplèteEtéChevauxSelle="",AND(ChoixChevauxSellePréHiver=OUI,ChoixChevauxSellePréEté=OUI)),0,IFERROR(IF(OR(AND(INDEX(Règles_chevaux_selle[Specificite],MATCH(RationEtéChevauxSelle&amp;$EU66,Règles_chevaux_selle[Ration]&amp;Règles_chevaux_selle[Aliment],0))="s1",IF($EU66=Spécificité1ChevauxSelle,1)),
AND(INDEX(Règles_chevaux_selle[Specificite],MATCH(RationEtéChevauxSelle&amp;$EU66,Règles_chevaux_selle[Ration]&amp;Règles_chevaux_selle[Aliment],0))="s2",IF($EU66=Spécificité2ChevauxSelle,1)),
INDEX(Règles_chevaux_selle[Specificite],MATCH(RationEtéChevauxSelle&amp;$EU66,Règles_chevaux_selle[Ration]&amp;Règles_chevaux_selle[Aliment],0))="c"),
INDEX(Règles_chevaux_selle[Valeur 0-12],MATCH(RationEtéChevauxSelle&amp;$EU66,Règles_chevaux_selle[Ration]&amp;Règles_chevaux_selle[Aliment],0)),0),0)*TotalPoulainSelle_0_12_mois*SUM(NbreJoursNourrirChevauxSelle))</f>
        <v>0</v>
      </c>
      <c r="EZ66" s="1285">
        <f t="shared" si="16"/>
        <v>0</v>
      </c>
      <c r="FA66" s="1345"/>
      <c r="FB66" s="1345"/>
      <c r="FC66" s="1321"/>
      <c r="FD66" s="1082" t="s">
        <v>331</v>
      </c>
      <c r="FE66" s="1282">
        <f t="array" ref="FE66">IF(OR(ChoixRationComplèteEtéChevauxTrait=OUI,ChoixRationComplèteEtéChevauxTrait="",AND(ChoixChevauxTraitPréHiver=OUI,ChoixChevauxTraitPréEté=OUI)),0,IFERROR(IF(OR(AND(INDEX(Règles_chevaux_trait[Specificite],MATCH(RationEtéChevauxTrait&amp;$FD66,Règles_chevaux_trait[Ration]&amp;Règles_chevaux_trait[Aliment],0))="s1",IF($FD66=Spécificité1ChevauxTrait,1)),
AND(INDEX(Règles_chevaux_trait[Specificite],MATCH(RationEtéChevauxTrait&amp;$FD66,Règles_chevaux_trait[Ration]&amp;Règles_chevaux_trait[Aliment],0))="s2",IF($FD66=Spécificité2ChevauxTrait,1)),
INDEX(Règles_chevaux_trait[Specificite],MATCH(RationEtéChevauxTrait&amp;$FD66,Règles_chevaux_trait[Ration]&amp;Règles_chevaux_trait[Aliment],0))="c"),
INDEX(Règles_chevaux_trait[Valeur 36 et plus],MATCH(RationEtéChevauxTrait&amp;$FD66,Règles_chevaux_trait[Ration]&amp;Règles_chevaux_trait[Aliment],0)),0),0)*TotalEtalonTrait*SUM(NbreJoursNourrirChevauxTrait))</f>
        <v>0</v>
      </c>
      <c r="FF66" s="1282">
        <f t="array" ref="FF66">IF(OR(ChoixRationComplèteEtéChevauxTrait=OUI,ChoixRationComplèteEtéChevauxTrait="",AND(ChoixChevauxTraitPréHiver=OUI,ChoixChevauxTraitPréEté=OUI)),0,IFERROR(IF(OR(AND(INDEX(Règles_chevaux_trait[Specificite],MATCH(RationEtéChevauxTrait&amp;$FD66,Règles_chevaux_trait[Ration]&amp;Règles_chevaux_trait[Aliment],0))="s1",IF($FD66=Spécificité1ChevauxTrait,1)),
AND(INDEX(Règles_chevaux_trait[Specificite],MATCH(RationEtéChevauxTrait&amp;$FD66,Règles_chevaux_trait[Ration]&amp;Règles_chevaux_trait[Aliment],0))="s2",IF($FD66=Spécificité2ChevauxTrait,1)),
INDEX(Règles_chevaux_trait[Specificite],MATCH(RationEtéChevauxTrait&amp;$FD66,Règles_chevaux_trait[Ration]&amp;Règles_chevaux_trait[Aliment],0))="c"),
INDEX(Règles_chevaux_trait[Valeur 24-36],MATCH(RationEtéChevauxTrait&amp;$FD66,Règles_chevaux_trait[Ration]&amp;Règles_chevaux_trait[Aliment],0)),0),0)*TotalJeuneEtalonTrait_24_36_mois*SUM(NbreJoursNourrirChevauxTrait))</f>
        <v>0</v>
      </c>
      <c r="FG66" s="1282">
        <f t="array" ref="FG66">IF(OR(ChoixRationComplèteEtéChevauxTrait=OUI,ChoixRationComplèteEtéChevauxTrait="",AND(ChoixChevauxTraitPréHiver=OUI,ChoixChevauxTraitPréEté=OUI)),0,IFERROR(IF(OR(AND(INDEX(Règles_chevaux_trait[Specificite],MATCH(RationEtéChevauxTrait&amp;$FD66,Règles_chevaux_trait[Ration]&amp;Règles_chevaux_trait[Aliment],0))="s1",IF($FD66=Spécificité1ChevauxTrait,1)),
AND(INDEX(Règles_chevaux_trait[Specificite],MATCH(RationEtéChevauxTrait&amp;$FD66,Règles_chevaux_trait[Ration]&amp;Règles_chevaux_trait[Aliment],0))="s2",IF($FD66=Spécificité2ChevauxTrait,1)),
INDEX(Règles_chevaux_trait[Specificite],MATCH(RationEtéChevauxTrait&amp;$FD66,Règles_chevaux_trait[Ration]&amp;Règles_chevaux_trait[Aliment],0))="c"),
INDEX(Règles_chevaux_trait[Valeur 12-24],MATCH(RationEtéChevauxTrait&amp;$FD66,Règles_chevaux_trait[Ration]&amp;Règles_chevaux_trait[Aliment],0)),0),0)*TotalJeuneEtalonTrait_12_24_mois*SUM(NbreJoursNourrirChevauxTrait))</f>
        <v>0</v>
      </c>
      <c r="FH66" s="1285">
        <f t="array" ref="FH66">IF(OR(ChoixRationComplèteEtéChevauxTrait=OUI,ChoixRationComplèteEtéChevauxTrait="",AND(ChoixChevauxTraitPréHiver=OUI,ChoixChevauxTraitPréEté=OUI)),0,IFERROR(IF(OR(AND(INDEX(Règles_chevaux_trait[Specificite],MATCH(RationEtéChevauxTrait&amp;$FD66,Règles_chevaux_trait[Ration]&amp;Règles_chevaux_trait[Aliment],0))="s1",IF($FD66=Spécificité1ChevauxTrait,1)),
AND(INDEX(Règles_chevaux_trait[Specificite],MATCH(RationEtéChevauxTrait&amp;$FD66,Règles_chevaux_trait[Ration]&amp;Règles_chevaux_trait[Aliment],0))="s2",IF($FD66=Spécificité2ChevauxTrait,1)),
INDEX(Règles_chevaux_trait[Specificite],MATCH(RationEtéChevauxTrait&amp;$FD66,Règles_chevaux_trait[Ration]&amp;Règles_chevaux_trait[Aliment],0))="c"),
INDEX(Règles_chevaux_trait[Valeur 0-12],MATCH(RationEtéChevauxTrait&amp;$FD66,Règles_chevaux_trait[Ration]&amp;Règles_chevaux_trait[Aliment],0)),0),0)*TotalPoulainTrait_0_12_mois*SUM(NbreJoursNourrirChevauxTrait))</f>
        <v>0</v>
      </c>
      <c r="FI66" s="1285">
        <f t="shared" si="15"/>
        <v>0</v>
      </c>
      <c r="FJ66" s="1345"/>
      <c r="FK66" s="1345"/>
      <c r="FL66" s="1345"/>
      <c r="FM66" s="1346"/>
      <c r="FN66" s="1083" t="s">
        <v>298</v>
      </c>
      <c r="FO66" s="1283">
        <f t="array" ref="FO66">IF(OR(ChoixRationComplèteEtéPoneys=OUI,ChoixRationComplèteEtéPoneys="",AND(ChoixPoneysPréHiver=OUI,ChoixPoneysPréEté=OUI)),0,IFERROR(IF(OR(AND(INDEX(Règles_poneys[Specificite],MATCH(RationEtéPoneys&amp;$FN66,Règles_poneys[Ration]&amp;Règles_poneys[Aliment],0))="s1",IF($FN66=Spécificité1Poneys,1)),
AND(INDEX(Règles_poneys[Specificite],MATCH(RationEtéPoneys&amp;$FN66,Règles_poneys[Ration]&amp;Règles_poneys[Aliment],0))="s2",IF($FN66=Spécificité2Poneys,1)),
INDEX(Règles_poneys[Specificite],MATCH(RationEtéPoneys&amp;$FN66,Règles_poneys[Ration]&amp;Règles_poneys[Aliment],0))="c"),
INDEX(Règles_poneys[Valeur 36 et plus],MATCH(RationEtéPoneys&amp;$FN66,Règles_poneys[Ration]&amp;Règles_poneys[Aliment],0)),0),0)*TotalEtalonPoney*SUM(NbreJoursNourrirPoneys))</f>
        <v>0</v>
      </c>
      <c r="FP66" s="1283">
        <f t="array" ref="FP66">IF(OR(ChoixRationComplèteEtéPoneys=OUI,ChoixRationComplèteEtéPoneys="",AND(ChoixPoneysPréHiver=OUI,ChoixPoneysPréEté=OUI)),0,IFERROR(IF(OR(AND(INDEX(Règles_poneys[Specificite],MATCH(RationEtéPoneys&amp;$FN66,Règles_poneys[Ration]&amp;Règles_poneys[Aliment],0))="s1",IF($FN66=Spécificité1Poneys,1)),
AND(INDEX(Règles_poneys[Specificite],MATCH(RationEtéPoneys&amp;$FN66,Règles_poneys[Ration]&amp;Règles_poneys[Aliment],0))="s2",IF($FN66=Spécificité2Poneys,1)),
INDEX(Règles_poneys[Specificite],MATCH(RationEtéPoneys&amp;$FN66,Règles_poneys[Ration]&amp;Règles_poneys[Aliment],0))="c"),
INDEX(Règles_poneys[Valeur 36 et plus],MATCH(RationEtéPoneys&amp;$FN66,Règles_poneys[Ration]&amp;Règles_poneys[Aliment],0)),0),0)*TotalJeuneEtalonPoney_24_36_mois*SUM(NbreJoursNourrirPoneys))</f>
        <v>0</v>
      </c>
      <c r="FQ66" s="1283">
        <f t="array" ref="FQ66">IF(OR(ChoixRationComplèteEtéPoneys=OUI,ChoixRationComplèteEtéPoneys="",AND(ChoixPoneysPréHiver=OUI,ChoixPoneysPréEté=OUI)),0,IFERROR(IF(OR(AND(INDEX(Règles_poneys[Specificite],MATCH(RationEtéPoneys&amp;$FN66,Règles_poneys[Ration]&amp;Règles_poneys[Aliment],0))="s1",IF($FN66=Spécificité1Poneys,1)),
AND(INDEX(Règles_poneys[Specificite],MATCH(RationEtéPoneys&amp;$FN66,Règles_poneys[Ration]&amp;Règles_poneys[Aliment],0))="s2",IF($FN66=Spécificité2Poneys,1)),
INDEX(Règles_poneys[Specificite],MATCH(RationEtéPoneys&amp;$FN66,Règles_poneys[Ration]&amp;Règles_poneys[Aliment],0))="c"),
INDEX(Règles_poneys[Valeur 36 et plus],MATCH(RationEtéPoneys&amp;$FN66,Règles_poneys[Ration]&amp;Règles_poneys[Aliment],0)),0),0)*TotalJeuneEtalonPoney_12_24_mois*SUM(NbreJoursNourrirPoneys))</f>
        <v>0</v>
      </c>
      <c r="FR66" s="1286">
        <f t="array" ref="FR66">IF(OR(ChoixRationComplèteEtéPoneys=OUI,ChoixRationComplèteEtéPoneys="",AND(ChoixPoneysPréHiver=OUI,ChoixPoneysPréEté=OUI)),0,IFERROR(IF(OR(AND(INDEX(Règles_poneys[Specificite],MATCH(RationEtéPoneys&amp;$FN66,Règles_poneys[Ration]&amp;Règles_poneys[Aliment],0))="s1",IF($FN66=Spécificité1Poneys,1)),
AND(INDEX(Règles_poneys[Specificite],MATCH(RationEtéPoneys&amp;$FN66,Règles_poneys[Ration]&amp;Règles_poneys[Aliment],0))="s2",IF($FN66=Spécificité2Poneys,1)),
INDEX(Règles_poneys[Specificite],MATCH(RationEtéPoneys&amp;$FN66,Règles_poneys[Ration]&amp;Règles_poneys[Aliment],0))="c"),
INDEX(Règles_poneys[Valeur 36 et plus],MATCH(RationEtéPoneys&amp;$FN66,Règles_poneys[Ration]&amp;Règles_poneys[Aliment],0)),0),0)*TotalPoulainPoney_0_12_mois*SUM(NbreJoursNourrirPoneys))</f>
        <v>0</v>
      </c>
      <c r="FS66" s="1286">
        <f t="shared" si="14"/>
        <v>0</v>
      </c>
      <c r="FT66" s="1345"/>
      <c r="FU66" s="1345"/>
      <c r="FV66" s="1345"/>
      <c r="FW66" s="823" t="s">
        <v>65</v>
      </c>
      <c r="FX66" s="828">
        <f t="array" ref="FX6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66" s="828">
        <f t="array" ref="FY6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66" s="828">
        <f t="array" ref="FZ6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66" s="828">
        <f t="array" ref="GA6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66" s="829">
        <f>SUM(AlimentsGavageOies[[#This Row],[Valeur 3 et plus]:[Valeur 0-1]])</f>
        <v>0</v>
      </c>
      <c r="GC66" s="1364"/>
      <c r="GD66" s="1321"/>
      <c r="GE66" s="1143" t="s">
        <v>2</v>
      </c>
      <c r="GF66" s="1321"/>
      <c r="GG66" s="1321" t="s">
        <v>1349</v>
      </c>
      <c r="GH66" s="1321" t="s">
        <v>1349</v>
      </c>
      <c r="GI66" s="1321" t="s">
        <v>1349</v>
      </c>
      <c r="GJ66" s="1321" t="s">
        <v>1349</v>
      </c>
      <c r="GK66" s="1321" t="s">
        <v>1349</v>
      </c>
      <c r="GL66" s="1321" t="s">
        <v>1349</v>
      </c>
      <c r="GM66" s="1321" t="s">
        <v>1349</v>
      </c>
      <c r="GN66" s="1321" t="s">
        <v>1349</v>
      </c>
      <c r="GO66" s="1321" t="s">
        <v>1349</v>
      </c>
      <c r="GP66" s="1321" t="s">
        <v>1349</v>
      </c>
      <c r="GQ66" s="1321" t="s">
        <v>1349</v>
      </c>
      <c r="GR66" s="1321" t="s">
        <v>1349</v>
      </c>
      <c r="GS66" s="1321" t="s">
        <v>1349</v>
      </c>
      <c r="GT66" s="1321" t="s">
        <v>1349</v>
      </c>
      <c r="GU66" s="1321" t="s">
        <v>1349</v>
      </c>
      <c r="GV66" s="1321" t="s">
        <v>1349</v>
      </c>
      <c r="GW66" s="1321"/>
      <c r="GX66" s="1321"/>
      <c r="GY66" s="1083" t="str">
        <f t="shared" si="11"/>
        <v>semences de miscanthus</v>
      </c>
      <c r="GZ66" s="1083"/>
      <c r="HA66" s="1084"/>
      <c r="HB66" s="1084">
        <f>IF(COUNTIF(TypeArticleDansEntrepôt,GY66)=0,0,SUMIF(TypeArticleDansEntrepôt,GY66,QtéArticleDansEntrepôt)*VLOOKUP(GY66,place_necessaire_entrepots_aire_paille[],2,FALSE))</f>
        <v>0</v>
      </c>
      <c r="HC66" s="1321"/>
      <c r="HD66" s="1321"/>
      <c r="HE66" s="1321"/>
      <c r="HF66" s="1321"/>
      <c r="HG66" s="1321"/>
      <c r="HH66" s="1321"/>
      <c r="HI66" s="1321"/>
      <c r="HJ66" s="1321"/>
      <c r="HK66" s="1321"/>
      <c r="HL66" s="1321"/>
      <c r="HM66" s="1321"/>
      <c r="HN66" s="1084" t="str">
        <f>IF(parcelles!B114="","",(VLOOKUP(parcelles!C114,BDD!$HN$5:$HU$38,2,FALSE))*parcelles!E114)</f>
        <v/>
      </c>
      <c r="HO66" s="1084" t="str">
        <f>IF(parcelles!B114="","",IF(OR(parcelles!C114=Moutarde,parcelles!C114=Phacélie),0,IF(parcelles!C114=Luzerne,10*parcelles!E114*VLOOKUP(parcelles!C114,BDD!$HN$5:$HU$38,3,FALSE),IF(parcelles!C114=Miscanthus,10.5*parcelles!E114*VLOOKUP(parcelles!C114,BDD!$HN$5:$HU$38,3,FALSE),INDEX(parcelles!$C$56:'parcelles'!$Y$77,MATCH(parcelles!B114,parcelles!$B$56:'parcelles'!$B$77,0),MATCH(parcelles!C114,parcelles!$C$53:'parcelles'!$Y$53,0))*parcelles!E114*VLOOKUP(parcelles!C114,BDD!$HN$5:$HU$38,3,FALSE)))))</f>
        <v/>
      </c>
      <c r="HP66" s="1084" t="str">
        <f>IF(parcelles!B114="","",IF(OR(parcelles!C114=Moutarde,parcelles!C114=Phacélie),0,IF(parcelles!C114=Luzerne,10*parcelles!E114*VLOOKUP(parcelles!C114,BDD!$HN$5:$HU$38,4,FALSE),IF(parcelles!C114=Miscanthus,10.5*parcelles!E114*VLOOKUP(parcelles!C114,BDD!$HN$5:$HU$38,4,FALSE),INDEX(parcelles!$C$56:'parcelles'!$Y$77,MATCH(parcelles!B114,parcelles!$B$56:'parcelles'!$B$77,0),MATCH(parcelles!C114,parcelles!$C$53:'parcelles'!$Y$53,0))*parcelles!E114*VLOOKUP(parcelles!C114,BDD!$HN$5:$HU$38,4,FALSE)))))</f>
        <v/>
      </c>
      <c r="HQ66" s="1084" t="str">
        <f>IF(parcelles!B114="","",IF(OR(parcelles!C114=Moutarde,parcelles!C114=Phacélie),0,IF(parcelles!C114=Luzerne,10*parcelles!E114*VLOOKUP(parcelles!C114,BDD!$HN$5:$HU$38,5,FALSE),IF(parcelles!C114=Miscanthus,10.5*parcelles!E114*VLOOKUP(parcelles!C114,BDD!$HN$5:$HU$38,5,FALSE),INDEX(parcelles!$C$56:'parcelles'!$Y$77,MATCH(parcelles!B114,parcelles!$B$56:'parcelles'!$B$77,0),MATCH(parcelles!C114,parcelles!$C$53:'parcelles'!$Y$53,0))*parcelles!E114*VLOOKUP(parcelles!C114,BDD!$HN$5:$HU$38,5,FALSE)))))</f>
        <v/>
      </c>
      <c r="HR66" s="1084" t="str">
        <f>IF(parcelles!B114="","",IF(OR(parcelles!C114=Moutarde,parcelles!C114=Phacélie),0,IF(parcelles!C114=Luzerne,10*parcelles!E114*VLOOKUP(parcelles!C114,BDD!$HN$5:$HU$38,6,FALSE),IF(parcelles!C114=Miscanthus,10.5*parcelles!E114*VLOOKUP(parcelles!C114,BDD!$HN$5:$HU$38,6,FALSE),INDEX(parcelles!$C$56:'parcelles'!$Y$77,MATCH(parcelles!B114,parcelles!$B$56:'parcelles'!$B$77,0),MATCH(parcelles!C114,parcelles!$C$53:'parcelles'!$Y$53,0))*parcelles!E114*VLOOKUP(parcelles!C114,BDD!$HN$5:$HU$38,6,FALSE)))))</f>
        <v/>
      </c>
      <c r="HS66" s="1084" t="str">
        <f>IF(parcelles!B114="","",IF(OR(parcelles!C114=Moutarde,parcelles!C114=Phacélie),0,IF(parcelles!C114=Luzerne,10*parcelles!E114*VLOOKUP(parcelles!C114,BDD!$HN$5:$HU$38,7,FALSE),IF(parcelles!C114=Miscanthus,10.5*parcelles!E114*VLOOKUP(parcelles!C114,BDD!$HN$5:$HU$38,7,FALSE),INDEX(parcelles!$C$56:'parcelles'!$Y$77,MATCH(parcelles!B114,parcelles!$B$56:'parcelles'!$B$77,0),MATCH(parcelles!C114,parcelles!$C$53:'parcelles'!$Y$53,0))*parcelles!E114*VLOOKUP(parcelles!C114,BDD!$HN$5:$HU$38,7,FALSE)))))</f>
        <v/>
      </c>
      <c r="HT66" s="1084" t="str">
        <f>IF(parcelles!B114="","",IF(OR(parcelles!C114=Moutarde,parcelles!C114=Phacélie),0,IF(parcelles!C114=Luzerne,10*parcelles!E114*VLOOKUP(parcelles!C114,BDD!$HN$5:$HU$38,8,FALSE),IF(parcelles!C114=Miscanthus,10.5*parcelles!E114*VLOOKUP(parcelles!C114,BDD!$HN$5:$HU$38,8,FALSE),INDEX(parcelles!$C$56:'parcelles'!$Y$77,MATCH(parcelles!B114,parcelles!$B$56:'parcelles'!$B$77,0),MATCH(parcelles!C114,parcelles!$C$53:'parcelles'!$Y$53,0))*parcelles!E114*VLOOKUP(parcelles!C114,BDD!$HN$5:$HU$38,8,FALSE)))))</f>
        <v/>
      </c>
      <c r="HU66" s="1084" t="str">
        <f>IF(parcelles!B114="","",IF(OR(parcelles!C114=Moutarde,parcelles!C114=Phacélie),0,1.6*parcelles!E114))</f>
        <v/>
      </c>
      <c r="HV66" s="1084" t="str">
        <f>IF(parcelles!B114="","",IF(OR(parcelles!C114=Moutarde,parcelles!C114=Phacélie),0,1.6*parcelles!E114))</f>
        <v/>
      </c>
      <c r="HW66" s="1084" t="str">
        <f>IF(parcelles!B114="","",IF(OR(parcelles!C114=Moutarde,parcelles!C114=Phacélie),0,1.6*parcelles!E114))</f>
        <v/>
      </c>
      <c r="HX66" s="1095" t="str">
        <f>IF(parcelles!D114="","",IF(parcelles!C114=ChanvreIndustriel,INDEX(parcelles!$C$56:$Y$77,MATCH(parcelles!B114,parcelles!$B$56:$B$77,0),MATCH(parcelles!C114,parcelles!$C$53:$Y$53,0))*parcelles!E114*SUMIF(ListeCulturesBDD,parcelles!C114,PrixVenteCulturesConventionnel)+RIGHT(BDD!$HM$7,3)*7*parcelles!E114,IF(parcelles!C114=Luzerne,parcelles!E114*10*VLOOKUP(parcelles!C114,TarifsCoopCultures,2,FALSE),IF(parcelles!C114=Miscanthus,parcelles!E114*10.5*VLOOKUP(Luzerne,TarifsCoopCultures,2,FALSE),INDEX(parcelles!$C$56:$Y$77,MATCH(parcelles!B114,parcelles!$B$56:$B$77,0),MATCH(parcelles!C114,parcelles!$C$53:$Y$53,0))*parcelles!E114*SUMIF(ListeCulturesBDD,parcelles!C114,PrixVenteCulturesConventionnel)))))</f>
        <v/>
      </c>
      <c r="HY66" s="1084" t="str">
        <f>IF(parcelles!D114="","",IF(parcelles!F114=0,"",IF(parcelles!C114=ChanvreIndustriel,"soit "&amp;parcelles!E114*0.8&amp;"t de grain et "&amp;parcelles!E114*7&amp;"t de paille",IF(parcelles!C114=Luzerne,"soit "&amp;10*parcelles!E114&amp;"t/an",IF(parcelles!C114=Miscanthus,"soit "&amp;10.5*parcelles!E114&amp;"t/an","soit "&amp;INDEX(parcelles!$C$56:$Y$77,MATCH(parcelles!B114,parcelles!$B$56:$B$77,0),MATCH(parcelles!C114,parcelles!$C$53:$Y$53,0))*parcelles!E114&amp;"t")))))</f>
        <v/>
      </c>
      <c r="HZ66" s="1084" t="str">
        <f>IF(parcelles!D114="","",IF(parcelles!F114=0,"",IF(parcelles!C114=ChanvreIndustriel,"soit "&amp;parcelles!E114*0.8*0.8&amp;"t de grain et "&amp;parcelles!E114*7*0.8&amp;"t de paille",IF(parcelles!C114=Luzerne,"soit "&amp;10*0.8*parcelles!E114&amp;"t/an",IF(parcelles!C114=Miscanthus,"soit "&amp;10.5*0.8*parcelles!E114&amp;"t/an","soit "&amp;INDEX(parcelles!$C$56:$Y$77,MATCH(parcelles!B114,parcelles!$B$56:$B$77,0),MATCH(parcelles!C114,parcelles!$C$53:$Y$53,0))*0.8*parcelles!E114&amp;"t")))))</f>
        <v/>
      </c>
      <c r="IA66" s="1084" t="str">
        <f>IF(parcelles!L114="","",(VLOOKUP(parcelles!M114,BDD!$HN$5:$HU$38,2,FALSE))*parcelles!O114)</f>
        <v/>
      </c>
      <c r="IB66" s="1084" t="str">
        <f>IF(parcelles!L114="","",IF(OR(parcelles!M114=Moutarde,parcelles!M114=Phacélie),0,IF(parcelles!M114=Luzerne,10*parcelles!O114*VLOOKUP(parcelles!M114,BDD!$HN$5:$HU$38,3,FALSE),IF(parcelles!M114=Miscanthus,10.5*parcelles!O114*VLOOKUP(parcelles!M114,BDD!$HN$5:$HU$38,3,FALSE),INDEX(parcelles!$C$56:'parcelles'!$Y$77,MATCH(parcelles!L114,parcelles!$B$56:'parcelles'!$B$77,0),MATCH(parcelles!M114,parcelles!$C$53:'parcelles'!$Y$53,0))*parcelles!O114*VLOOKUP(parcelles!M114,BDD!$HN$5:$HU$38,3,FALSE)))))</f>
        <v/>
      </c>
      <c r="IC66" s="1084" t="str">
        <f>IF(parcelles!L114="","",IF(OR(parcelles!M114=Moutarde,parcelles!M114=Phacélie),0,IF(parcelles!M114=Luzerne,10*parcelles!O114*VLOOKUP(parcelles!M114,BDD!$HN$5:$HU$38,4,FALSE),IF(parcelles!M114=Miscanthus,10.5*parcelles!O114*VLOOKUP(parcelles!M114,BDD!$HN$5:$HU$38,4,FALSE),INDEX(parcelles!$C$56:'parcelles'!$Y$77,MATCH(parcelles!L114,parcelles!$B$56:'parcelles'!$B$77,0),MATCH(parcelles!M114,parcelles!$C$53:'parcelles'!$Y$53,0))*parcelles!O114*VLOOKUP(parcelles!M114,BDD!$HN$5:$HU$38,4,FALSE)))))</f>
        <v/>
      </c>
      <c r="ID66" s="1084" t="str">
        <f>IF(parcelles!L114="","",IF(OR(parcelles!M114=Moutarde,parcelles!M114=Phacélie),0,IF(parcelles!M114=Luzerne,10*parcelles!O114*VLOOKUP(parcelles!M114,BDD!$HN$5:$HU$38,5,FALSE),IF(parcelles!M114=Miscanthus,10.5*parcelles!O114*VLOOKUP(parcelles!M114,BDD!$HN$5:$HU$38,5,FALSE),INDEX(parcelles!$C$56:'parcelles'!$Y$77,MATCH(parcelles!L114,parcelles!$B$56:'parcelles'!$B$77,0),MATCH(parcelles!M114,parcelles!$C$53:'parcelles'!$Y$53,0))*parcelles!O114*VLOOKUP(parcelles!M114,BDD!$HN$5:$HU$38,5,FALSE)))))</f>
        <v/>
      </c>
      <c r="IE66" s="1084" t="str">
        <f>IF(parcelles!L114="","",IF(OR(parcelles!M114=Moutarde,parcelles!M114=Phacélie),0,IF(parcelles!M114=Luzerne,10*parcelles!O114*VLOOKUP(parcelles!M114,BDD!$HN$5:$HU$38,6,FALSE),IF(parcelles!M114=Miscanthus,10.5*parcelles!O114*VLOOKUP(parcelles!M114,BDD!$HN$5:$HU$38,6,FALSE),INDEX(parcelles!$C$56:'parcelles'!$Y$77,MATCH(parcelles!L114,parcelles!$B$56:'parcelles'!$B$77,0),MATCH(parcelles!M114,parcelles!$C$53:'parcelles'!$Y$53,0))*parcelles!O114*VLOOKUP(parcelles!M114,BDD!$HN$5:$HU$38,6,FALSE)))))</f>
        <v/>
      </c>
      <c r="IF66" s="1084" t="str">
        <f>IF(parcelles!L114="","",IF(OR(parcelles!M114=Moutarde,parcelles!M114=Phacélie),0,IF(parcelles!M114=Luzerne,10*parcelles!O114*VLOOKUP(parcelles!M114,BDD!$HN$5:$HU$38,7,FALSE),IF(parcelles!M114=Miscanthus,10.5*parcelles!O114*VLOOKUP(parcelles!M114,BDD!$HN$5:$HU$38,7,FALSE),INDEX(parcelles!$C$56:'parcelles'!$Y$77,MATCH(parcelles!L114,parcelles!$B$56:'parcelles'!$B$77,0),MATCH(parcelles!M114,parcelles!$C$53:'parcelles'!$Y$53,0))*parcelles!O114*VLOOKUP(parcelles!M114,BDD!$HN$5:$HU$38,7,FALSE)))))</f>
        <v/>
      </c>
      <c r="IG66" s="1084" t="str">
        <f>IF(parcelles!L114="","",IF(OR(parcelles!M114=Moutarde,parcelles!M114=Phacélie),0,IF(parcelles!M114=Luzerne,10*parcelles!O114*VLOOKUP(parcelles!M114,BDD!$HN$5:$HU$38,8,FALSE),IF(parcelles!M114=Miscanthus,10.5*parcelles!O114*VLOOKUP(parcelles!M114,BDD!$HN$5:$HU$38,8,FALSE),INDEX(parcelles!$C$56:'parcelles'!$Y$77,MATCH(parcelles!L114,parcelles!$B$56:'parcelles'!$B$77,0),MATCH(parcelles!M114,parcelles!$C$53:'parcelles'!$Y$53,0))*parcelles!O114*VLOOKUP(parcelles!M114,BDD!$HN$5:$HU$38,8,FALSE)))))</f>
        <v/>
      </c>
      <c r="IH66" s="1084" t="str">
        <f>IF(parcelles!L114="","",IF(OR(parcelles!L114=Moutarde,parcelles!L114=Phacélie),0,1.6*parcelles!O114))</f>
        <v/>
      </c>
      <c r="II66" s="1084" t="str">
        <f>IF(parcelles!L114="","",IF(OR(parcelles!L114=Moutarde,parcelles!L114=Phacélie),0,1.6*parcelles!O114))</f>
        <v/>
      </c>
      <c r="IJ66" s="1084" t="str">
        <f>IF(parcelles!L114="","",IF(OR(parcelles!L114=Moutarde,parcelles!L114=Phacélie),0,1.6*parcelles!O114))</f>
        <v/>
      </c>
      <c r="IK66" s="1084" t="str">
        <f>IF(parcelles!P114="","",IF(parcelles!R114=0,"",IF(parcelles!O114=ChanvreIndustriel,"soit "&amp;parcelles!Q114*0.8&amp;"t de grain et "&amp;parcelles!Q114*7&amp;"t de paille",IF(parcelles!O114=Luzerne,"soit "&amp;10*parcelles!Q114&amp;"t/an",IF(parcelles!O114=Miscanthus,"soit "&amp;10.5*parcelles!Q114&amp;"t/an","soit "&amp;INDEX(parcelles!$C$56:$Y$77,MATCH(parcelles!N114,parcelles!$B$56:$B$77,0),MATCH(parcelles!O114,parcelles!$C$53:$Y$53,0))*parcelles!Q114&amp;"t")))))</f>
        <v/>
      </c>
      <c r="IL66" s="1084" t="str">
        <f>IF(parcelles!P114="","",IF(parcelles!R114=0,"",IF(parcelles!O114=ChanvreIndustriel,"soit "&amp;parcelles!Q114*0.8*0.8&amp;"t de grain et "&amp;parcelles!Q114*7*0.8&amp;"t de paille",IF(parcelles!O114=Luzerne,"soit "&amp;10*0.8*parcelles!Q114&amp;"t/an",IF(parcelles!O114=Miscanthus,"soit "&amp;10.5*0.8*parcelles!Q114&amp;"t/an","soit "&amp;INDEX(parcelles!$C$56:$Y$77,MATCH(parcelles!N114,parcelles!$B$56:$B$77,0),MATCH(parcelles!O114,parcelles!$C$53:$Y$53,0))*0.8*parcelles!Q114&amp;"t")))))</f>
        <v/>
      </c>
      <c r="IM66" s="1084" t="str">
        <f>IF(parcelles!S114="","",IF(parcelles!U114=0,"",IF(parcelles!R114=ChanvreIndustriel,parcelles!T114*0.8*0.8+parcelles!T114*7*0.8,IF(parcelles!R114=Luzerne,10*0.8*parcelles!T114,IF(parcelles!R114=Miscanthus,10.5*0.8*parcelles!T114,INDEX(parcelles!$C$56:$Y$77,MATCH(parcelles!Q114,parcelles!$B$56:$B$77,0),MATCH(parcelles!R114,parcelles!$C$53:$Y$53,0))*0.8*parcelles!T114)))))</f>
        <v/>
      </c>
      <c r="IN66" s="1368"/>
    </row>
    <row r="67" spans="1:248" ht="12.75" customHeight="1" x14ac:dyDescent="0.2">
      <c r="A67" s="1307" t="s">
        <v>400</v>
      </c>
      <c r="B67" s="1241">
        <f t="shared" si="17"/>
        <v>1E-3</v>
      </c>
      <c r="C67" s="1321"/>
      <c r="D67" s="1321"/>
      <c r="E67" s="1321"/>
      <c r="F67" s="1321"/>
      <c r="G67" s="1321"/>
      <c r="H67" s="1321"/>
      <c r="I67" s="1321"/>
      <c r="J67" s="1321"/>
      <c r="K67" s="1321"/>
      <c r="L67" s="1321"/>
      <c r="M67" s="1321"/>
      <c r="N67" s="1321"/>
      <c r="O67" s="1321"/>
      <c r="P67" s="1321"/>
      <c r="Q67" s="1321"/>
      <c r="R67" s="1321"/>
      <c r="S67" s="1321"/>
      <c r="T67" s="1321"/>
      <c r="U67" s="1321"/>
      <c r="V67" s="1321"/>
      <c r="W67" s="1321"/>
      <c r="X67" s="1321"/>
      <c r="Y67" s="1321"/>
      <c r="Z67" s="1321"/>
      <c r="AA67" s="1321"/>
      <c r="AB67" s="1321"/>
      <c r="AC67" s="1321"/>
      <c r="AD67" s="1321"/>
      <c r="AE67" s="1321"/>
      <c r="AF67" s="1321"/>
      <c r="AG67" s="1321"/>
      <c r="AH67" s="1321"/>
      <c r="AI67" s="1321"/>
      <c r="AJ67" s="1321"/>
      <c r="AK67" s="1321"/>
      <c r="AL67" s="1321"/>
      <c r="AM67" s="1321"/>
      <c r="AN67" s="1321"/>
      <c r="AO67" s="1321"/>
      <c r="AP67" s="1321"/>
      <c r="AQ67" s="1321"/>
      <c r="AR67" s="1321"/>
      <c r="AS67" s="1321"/>
      <c r="AT67" s="1321"/>
      <c r="AU67" s="1321"/>
      <c r="AV67" s="1321"/>
      <c r="AW67" s="1321"/>
      <c r="AX67" s="1321"/>
      <c r="AY67" s="1321"/>
      <c r="AZ67" s="1321"/>
      <c r="BA67" s="1321"/>
      <c r="BB67" s="1236" t="s">
        <v>724</v>
      </c>
      <c r="BC67" s="1190" t="s">
        <v>63</v>
      </c>
      <c r="BD67" s="1190" t="s">
        <v>1254</v>
      </c>
      <c r="BE67" s="1237">
        <v>4.8</v>
      </c>
      <c r="BF67" s="1237">
        <v>4</v>
      </c>
      <c r="BG67" s="1237">
        <v>4</v>
      </c>
      <c r="BH67" s="1237">
        <v>4</v>
      </c>
      <c r="BI67" s="1237">
        <v>2</v>
      </c>
      <c r="BJ67" s="1237">
        <v>1.2</v>
      </c>
      <c r="BK67" s="1238">
        <v>0</v>
      </c>
      <c r="BL67" s="1348"/>
      <c r="BM67" s="1075" t="s">
        <v>1274</v>
      </c>
      <c r="BN67" s="1075">
        <f t="array" ref="BN67">IF(Ration_hivernale_complète_bisons[somme]&gt;0,0,IFERROR(IF(OR(AND(INDEX(Règles_bison[Specificite],MATCH(ChoixRationBisons&amp;$BM67,Règles_bison[Ration]&amp;Règles_bison[Aliment],0))="s1",IF($BM67=ChoixSpécificité1Bisons,1)),
AND(INDEX(Règles_bison[Specificite],MATCH(ChoixRationBisons&amp;$BM67,Règles_bison[Ration]&amp;Règles_bison[Aliment],0))="s2",IF($BM67=ChoixSpécificité2Bisons,1)),INDEX(Règles_bison[Specificite],MATCH(ChoixRationBisons&amp;$BM67,Règles_bison[Ration]&amp;Règles_bison[Aliment],0))="c"),
INDEX(Règles_bison[Valeur 36 et plus],MATCH(ChoixRationBisons&amp;$BM67,Règles_bison[Ration]&amp;Règles_bison[Aliment],0)),0),0)*TotalBisonsMalesAdultes*SUM(NbreJoursNourrirBisonsDaims))</f>
        <v>0</v>
      </c>
      <c r="BO67" s="1075">
        <f t="array" ref="BO67">IF(Ration_hivernale_complète_bisons[somme]&gt;0,0,IFERROR(IF(OR(AND(INDEX(Règles_bison[Specificite],MATCH(ChoixRationBisons&amp;$BM67,Règles_bison[Ration]&amp;Règles_bison[Aliment],0))="s1",IF($BM67=ChoixSpécificité1Bisons,1)),
AND(INDEX(Règles_bison[Specificite],MATCH(ChoixRationBisons&amp;$BM67,Règles_bison[Ration]&amp;Règles_bison[Aliment],0))="s2",IF($BM67=ChoixSpécificité2Bisons,1)),INDEX(Règles_bison[Specificite],MATCH(ChoixRationBisons&amp;$BM67,Règles_bison[Ration]&amp;Règles_bison[Aliment],0))="c"),
INDEX(Règles_bison[Valeur 24-36],MATCH(ChoixRationBisons&amp;$BM67,Règles_bison[Ration]&amp;Règles_bison[Aliment],0)),0),0)*TotalBisonsMales_24_36_mois*SUM(NbreJoursNourrirBisonsDaims))</f>
        <v>0</v>
      </c>
      <c r="BP67" s="1075">
        <f t="array" ref="BP67">IF(Ration_hivernale_complète_bisons[somme]&gt;0,0,IFERROR(IF(OR(AND(INDEX(Règles_bison[Specificite],MATCH(ChoixRationBisons&amp;$BM67,Règles_bison[Ration]&amp;Règles_bison[Aliment],0))="s1",IF($BM67=ChoixSpécificité1Bisons,1)),
AND(INDEX(Règles_bison[Specificite],MATCH(ChoixRationBisons&amp;$BM67,Règles_bison[Ration]&amp;Règles_bison[Aliment],0))="s2",IF($BM67=ChoixSpécificité2Bisons,1)),INDEX(Règles_bison[Specificite],MATCH(ChoixRationBisons&amp;$BM67,Règles_bison[Ration]&amp;Règles_bison[Aliment],0))="c"),
INDEX(Règles_bison[Valeur 18-24],MATCH(ChoixRationBisons&amp;$BM67,Règles_bison[Ration]&amp;Règles_bison[Aliment],0)),0),0)*TotalBisonsMales_18_24_mois*SUM(NbreJoursNourrirBisonsDaims))</f>
        <v>0</v>
      </c>
      <c r="BQ67" s="1075">
        <f t="array" ref="BQ67">IF(Ration_hivernale_complète_bisons[somme]&gt;0,0,IFERROR(IF(OR(AND(INDEX(Règles_bison[Specificite],MATCH(ChoixRationBisons&amp;$BM67,Règles_bison[Ration]&amp;Règles_bison[Aliment],0))="s1",IF($BM67=ChoixSpécificité1Bisons,1)),
AND(INDEX(Règles_bison[Specificite],MATCH(ChoixRationBisons&amp;$BM67,Règles_bison[Ration]&amp;Règles_bison[Aliment],0))="s2",IF($BM67=ChoixSpécificité2Bisons,1)),INDEX(Règles_bison[Specificite],MATCH(ChoixRationBisons&amp;$BM67,Règles_bison[Ration]&amp;Règles_bison[Aliment],0))="c"),
INDEX(Règles_bison[Valeur 12-18],MATCH(ChoixRationBisons&amp;$BM67,Règles_bison[Ration]&amp;Règles_bison[Aliment],0)),0),0)*TotalBisonsMales_12_18_mois*SUM(NbreJoursNourrirBisonsDaims))</f>
        <v>0</v>
      </c>
      <c r="BR67" s="1075">
        <f t="array" ref="BR67">IF(Ration_hivernale_complète_bisons[somme]&gt;0,0,IFERROR(IF(OR(AND(INDEX(Règles_bison[Specificite],MATCH(ChoixRationBisons&amp;$BM67,Règles_bison[Ration]&amp;Règles_bison[Aliment],0))="s1",IF($BM67=ChoixSpécificité1Bisons,1)),
AND(INDEX(Règles_bison[Specificite],MATCH(ChoixRationBisons&amp;$BM67,Règles_bison[Ration]&amp;Règles_bison[Aliment],0))="s2",IF($BM67=ChoixSpécificité2Bisons,1)),INDEX(Règles_bison[Specificite],MATCH(ChoixRationBisons&amp;$BM67,Règles_bison[Ration]&amp;Règles_bison[Aliment],0))="c"),
INDEX(Règles_bison[Valeur 6-12],MATCH(ChoixRationBisons&amp;$BM67,Règles_bison[Ration]&amp;Règles_bison[Aliment],0)),0),0)*TotalBisonsMales_6_12_mois*SUM(NbreJoursNourrirBisonsDaims))</f>
        <v>0</v>
      </c>
      <c r="BS67" s="1075">
        <f t="array" ref="BS67">IF(Ration_hivernale_complète_bisons[somme]&gt;0,0,IFERROR(IF(OR(AND(INDEX(Règles_bison[Specificite],MATCH(ChoixRationBisons&amp;$BM67,Règles_bison[Ration]&amp;Règles_bison[Aliment],0))="s1",IF($BM67=ChoixSpécificité1Bisons,1)),
AND(INDEX(Règles_bison[Specificite],MATCH(ChoixRationBisons&amp;$BM67,Règles_bison[Ration]&amp;Règles_bison[Aliment],0))="s2",IF($BM67=ChoixSpécificité2Bisons,1)),INDEX(Règles_bison[Specificite],MATCH(ChoixRationBisons&amp;$BM67,Règles_bison[Ration]&amp;Règles_bison[Aliment],0))="c"),
INDEX(Règles_bison[Valeur 3-6],MATCH(ChoixRationBisons&amp;$BM67,Règles_bison[Ration]&amp;Règles_bison[Aliment],0)),0),0)*TotalBisonsMales_3_6_mois*SUM(NbreJoursNourrirBisonsDaims))</f>
        <v>0</v>
      </c>
      <c r="BT67" s="1075">
        <f t="array" ref="BT67">IF(Ration_hivernale_complète_bisons[somme]&gt;0,0,IFERROR(IF(OR(AND(INDEX(Règles_bison[Specificite],MATCH(ChoixRationBisons&amp;$BM67,Règles_bison[Ration]&amp;Règles_bison[Aliment],0))="s1",IF($BM67=ChoixSpécificité1Bisons,1)),
AND(INDEX(Règles_bison[Specificite],MATCH(ChoixRationBisons&amp;$BM67,Règles_bison[Ration]&amp;Règles_bison[Aliment],0))="s2",IF($BM67=ChoixSpécificité2Bisons,1)),INDEX(Règles_bison[Specificite],MATCH(ChoixRationBisons&amp;$BM67,Règles_bison[Ration]&amp;Règles_bison[Aliment],0))="c"),
INDEX(Règles_bison[Valeur 0-3],MATCH(ChoixRationBisons&amp;$BM67,Règles_bison[Ration]&amp;Règles_bison[Aliment],0)),0),0)*TotalBisonsMales_0_3_mois*SUM(NbreJoursNourrirBisonsDaims))</f>
        <v>0</v>
      </c>
      <c r="BU67" s="1274">
        <f t="shared" si="10"/>
        <v>0</v>
      </c>
      <c r="BV67" s="1345"/>
      <c r="BW67" s="1345"/>
      <c r="BX67" s="1176" t="s">
        <v>219</v>
      </c>
      <c r="BY67" s="1177" t="s">
        <v>672</v>
      </c>
      <c r="BZ67" s="1177" t="s">
        <v>1252</v>
      </c>
      <c r="CA67" s="1177">
        <v>1.6</v>
      </c>
      <c r="CB67" s="1177">
        <v>1.4</v>
      </c>
      <c r="CC67" s="1177">
        <v>1.2</v>
      </c>
      <c r="CD67" s="1199">
        <v>1</v>
      </c>
      <c r="CE67" s="1350"/>
      <c r="CF67" s="1350"/>
      <c r="CG67" s="1350"/>
      <c r="CH67" s="1350"/>
      <c r="CI67" s="1321"/>
      <c r="CJ67" s="808" t="s">
        <v>340</v>
      </c>
      <c r="CK67" s="788">
        <f t="array" ref="CK6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67" s="788">
        <f t="array" ref="CL6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67" s="788">
        <f t="array" ref="CM6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67" s="788">
        <f t="array" ref="CN6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67" s="788">
        <f t="array" ref="CO6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67" s="812">
        <f>SUM(AlimentsRationPorcinsMâles[[#This Row],[Valeur 12 et plus]:[Valeur 0-1]])</f>
        <v>0</v>
      </c>
      <c r="CQ67" s="1321"/>
      <c r="CR67" s="1321"/>
      <c r="CS67" s="808" t="s">
        <v>728</v>
      </c>
      <c r="CT67" s="817">
        <f t="array" ref="CT6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67" s="817">
        <f t="array" ref="CU6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67" s="817">
        <f t="array" ref="CV6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67" s="818">
        <f>SUM(AlimentsRationLapinsMâles[[#This Row],[Valeur 3 et plus]:[Valeur 0-1]])</f>
        <v>0</v>
      </c>
      <c r="CX67" s="1321"/>
      <c r="CY67" s="1321"/>
      <c r="CZ67" s="808" t="s">
        <v>728</v>
      </c>
      <c r="DA67" s="817">
        <f t="array" ref="DA6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67" s="817">
        <f t="array" ref="DB6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67" s="817">
        <f t="array" ref="DC6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67" s="818">
        <f>SUM(AlimentsRationVolaillesMâles[[#This Row],[Valeur 6 et plus]:[Valeur 0-1]])</f>
        <v>0</v>
      </c>
      <c r="DE67" s="1364"/>
      <c r="DF67" s="1321"/>
      <c r="DG67" s="808" t="s">
        <v>1271</v>
      </c>
      <c r="DH67" s="817">
        <f t="array" ref="DH67">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67" s="817">
        <f t="array" ref="DI67">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67" s="817">
        <f t="array" ref="DJ67">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67" s="818">
        <f>SUM(AlimentsRationPintadesMâles[[#This Row],[Valeur 9 et plus]:[Valeur 0-1]])</f>
        <v>0</v>
      </c>
      <c r="DL67" s="1364"/>
      <c r="DM67" s="1364"/>
      <c r="DN67" s="1176" t="s">
        <v>724</v>
      </c>
      <c r="DO67" s="1177" t="s">
        <v>219</v>
      </c>
      <c r="DP67" s="1177" t="s">
        <v>1252</v>
      </c>
      <c r="DQ67" s="1181">
        <v>8</v>
      </c>
      <c r="DR67" s="1181">
        <v>6</v>
      </c>
      <c r="DS67" s="1181">
        <v>4</v>
      </c>
      <c r="DT67" s="1243">
        <v>0</v>
      </c>
      <c r="DU67" s="1346"/>
      <c r="DV67" s="1075"/>
      <c r="DW67" s="1269">
        <f t="array" ref="DW67">IF(ChoixRationComplèteDaims=OUI,0,IFERROR(IF(OR(AND(INDEX(Règles_daims[Specificite],MATCH(ChoixRationDaims&amp;DV67,Règles_daims[Ration]&amp;Règles_daims[Aliment],0))="s1",IF(DV67=Spécificité1Daims,1)),
AND(INDEX(Règles_daims[Specificite],MATCH(ChoixRationDaims&amp;DV67,Règles_daims[Ration]&amp;Règles_daims[Aliment],0))="s2",IF(DV67=Spécificité2Daims,1)),
INDEX(Règles_daims[Specificite],MATCH(ChoixRationDaims&amp;DV67,Règles_daims[Ration]&amp;Règles_daims[Aliment],0))="c"),
INDEX(Règles_daims[Valeur 36 et plus],MATCH(ChoixRationDaims&amp;DV67,Règles_daims[Ration]&amp;Règles_daims[Aliment],0)),0),0)*SUM(TotalDaimsAdultes)*SUM(NbreJoursNourrirBisonsDaims))</f>
        <v>0</v>
      </c>
      <c r="DX67" s="1269">
        <f t="array" ref="DX67">IF(ChoixRationComplèteDaims=OUI,0,IFERROR(IF(OR(AND(INDEX(Règles_daims[Specificite],MATCH(ChoixRationDaims&amp;DV67,Règles_daims[Ration]&amp;Règles_daims[Aliment],0))="s1",IF(DV67=Spécificité1Daims,1)),
AND(INDEX(Règles_daims[Specificite],MATCH(ChoixRationDaims&amp;DV67,Règles_daims[Ration]&amp;Règles_daims[Aliment],0))="s2",IF(DV67=Spécificité2Daims,1)),
INDEX(Règles_daims[Specificite],MATCH(ChoixRationDaims&amp;DV67,Règles_daims[Ration]&amp;Règles_daims[Aliment],0))="c"),
INDEX(Règles_daims[Valeur 24-36],MATCH(ChoixRationDaims&amp;DV67,Règles_daims[Ration]&amp;Règles_daims[Aliment],0)),0),0)*SUM(TotalDaims24_36)*SUM(NbreJoursNourrirBisonsDaims))</f>
        <v>0</v>
      </c>
      <c r="DY67" s="1269">
        <f t="array" ref="DY67">IF(ChoixRationComplèteDaims=OUI,0,IFERROR(IF(OR(AND(INDEX(Règles_daims[Specificite],MATCH(ChoixRationDaims&amp;DV67,Règles_daims[Ration]&amp;Règles_daims[Aliment],0))="s1",IF(DV67=Spécificité1Daims,1)),
AND(INDEX(Règles_daims[Specificite],MATCH(ChoixRationDaims&amp;DV67,Règles_daims[Ration]&amp;Règles_daims[Aliment],0))="s2",IF(DV67=Spécificité2Daims,1)),
INDEX(Règles_daims[Specificite],MATCH(ChoixRationDaims&amp;DV67,Règles_daims[Ration]&amp;Règles_daims[Aliment],0))="c"),
INDEX(Règles_daims[Valeur 18-24],MATCH(ChoixRationDaims&amp;DV67,Règles_daims[Ration]&amp;Règles_daims[Aliment],0)),0),0)*SUM(TotalDaims18_24)*SUM(NbreJoursNourrirBisonsDaims))</f>
        <v>0</v>
      </c>
      <c r="DZ67" s="1280">
        <f t="array" ref="DZ67">IF(ChoixRationComplèteDaims=OUI,0,IFERROR(IF(OR(AND(INDEX(Règles_daims[Specificite],MATCH(ChoixRationDaims&amp;DV67,Règles_daims[Ration]&amp;Règles_daims[Aliment],0))="s1",IF(DV67=Spécificité1Daims,1)),
AND(INDEX(Règles_daims[Specificite],MATCH(ChoixRationDaims&amp;DV67,Règles_daims[Ration]&amp;Règles_daims[Aliment],0))="s2",IF(DV67=Spécificité2Daims,1)),
INDEX(Règles_daims[Specificite],MATCH(ChoixRationDaims&amp;DV67,Règles_daims[Ration]&amp;Règles_daims[Aliment],0))="c"),
INDEX(Règles_daims[Valeur 12-18],MATCH(ChoixRationDaims&amp;DV67,Règles_daims[Ration]&amp;Règles_daims[Aliment],0)),0),0)*SUM(TotalDaims12_18)*SUM(NbreJoursNourrirBisonsDaims))</f>
        <v>0</v>
      </c>
      <c r="EA67" s="1280">
        <f t="array" ref="EA67">IF(ChoixRationComplèteDaims=OUI,0,IFERROR(IF(OR(AND(INDEX(Règles_daims[Specificite],MATCH(ChoixRationDaims&amp;DV67,Règles_daims[Ration]&amp;Règles_daims[Aliment],0))="s1",IF(DV67=Spécificité1Daims,1)),
AND(INDEX(Règles_daims[Specificite],MATCH(ChoixRationDaims&amp;DV67,Règles_daims[Ration]&amp;Règles_daims[Aliment],0))="s2",IF(DV67=Spécificité2Daims,1)),
INDEX(Règles_daims[Specificite],MATCH(ChoixRationDaims&amp;DV67,Règles_daims[Ration]&amp;Règles_daims[Aliment],0))="c"),
INDEX(Règles_daims[Valeur 6-12],MATCH(ChoixRationDaims&amp;DV67,Règles_daims[Ration]&amp;Règles_daims[Aliment],0)),0),0)*SUM(TotalDaims6_12)*SUM(NbreJoursNourrirBisonsDaims))</f>
        <v>0</v>
      </c>
      <c r="EB67" s="1280">
        <f t="array" ref="EB67">IF(ChoixRationComplèteDaims=OUI,0,IFERROR(IF(OR(AND(INDEX(Règles_daims[Specificite],MATCH(ChoixRationDaims&amp;DV67,Règles_daims[Ration]&amp;Règles_daims[Aliment],0))="s1",IF(DV67=Spécificité1Daims,1)),
AND(INDEX(Règles_daims[Specificite],MATCH(ChoixRationDaims&amp;DV67,Règles_daims[Ration]&amp;Règles_daims[Aliment],0))="s2",IF(DV67=Spécificité2Daims,1)),
INDEX(Règles_daims[Specificite],MATCH(ChoixRationDaims&amp;DV67,Règles_daims[Ration]&amp;Règles_daims[Aliment],0))="c"),
INDEX(Règles_daims[Valeur 3-6],MATCH(ChoixRationDaims&amp;DV67,Règles_daims[Ration]&amp;Règles_daims[Aliment],0)),0),0)*SUM(TotalDaims3_6)*SUM(NbreJoursNourrirBisonsDaims))</f>
        <v>0</v>
      </c>
      <c r="EC67" s="1280">
        <f t="array" ref="EC67">IF(ChoixRationComplèteDaims=OUI,0,IFERROR(IF(OR(AND(INDEX(Règles_daims[Specificite],MATCH(ChoixRationDaims&amp;DV67,Règles_daims[Ration]&amp;Règles_daims[Aliment],0))="s1",IF(DV67=Spécificité1Daims,1)),
AND(INDEX(Règles_daims[Specificite],MATCH(ChoixRationDaims&amp;DV67,Règles_daims[Ration]&amp;Règles_daims[Aliment],0))="s2",IF(DV67=Spécificité2Daims,1)),
INDEX(Règles_daims[Specificite],MATCH(ChoixRationDaims&amp;DV67,Règles_daims[Ration]&amp;Règles_daims[Aliment],0))="c"),
INDEX(Règles_daims[Valeur 0-3],MATCH(ChoixRationDaims&amp;DV67,Règles_daims[Ration]&amp;Règles_daims[Aliment],0)),0),0)*SUM(TotalDaims0_3)*SUM(NbreJoursNourrirBisonsDaims))</f>
        <v>0</v>
      </c>
      <c r="ED67" s="1280">
        <f t="shared" si="9"/>
        <v>0</v>
      </c>
      <c r="EE67" s="1345"/>
      <c r="EF67" s="1321"/>
      <c r="EG67" s="808" t="s">
        <v>219</v>
      </c>
      <c r="EH67" s="817">
        <f t="array" ref="EH6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67" s="817">
        <f t="array" ref="EI6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67" s="817">
        <f t="array" ref="EJ6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67" s="818">
        <f>SUM(AlimentsRationOiesMâles[[#This Row],[Valeur 6 et plus]:[Valeur 0-3]])</f>
        <v>0</v>
      </c>
      <c r="EL67" s="1364"/>
      <c r="EM67" s="1321"/>
      <c r="EN67" s="808" t="s">
        <v>332</v>
      </c>
      <c r="EO67" s="817">
        <f t="array" ref="EO67">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67" s="817">
        <f t="array" ref="EP67">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67" s="817">
        <f t="array" ref="EQ67">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67" s="818">
        <f>SUM(Ration_canards_Mâles[[#This Row],[Valeur 6 et plus]:[Valeur 0-3]])</f>
        <v>0</v>
      </c>
      <c r="ES67" s="1364"/>
      <c r="ET67" s="1321"/>
      <c r="EU67" s="1083" t="s">
        <v>1718</v>
      </c>
      <c r="EV67" s="1283">
        <f t="array" ref="EV67">IF(OR(ChoixRationComplèteEtéChevauxSelle=OUI,ChoixRationComplèteEtéChevauxSelle="",AND(ChoixChevauxSellePréHiver=OUI,ChoixChevauxSellePréEté=OUI)),0,IFERROR(IF(OR(AND(INDEX(Règles_chevaux_selle[Specificite],MATCH(RationEtéChevauxSelle&amp;$EU67,Règles_chevaux_selle[Ration]&amp;Règles_chevaux_selle[Aliment],0))="s1",IF($EU67=Spécificité1ChevauxSelle,1)),
AND(INDEX(Règles_chevaux_selle[Specificite],MATCH(RationEtéChevauxSelle&amp;$EU67,Règles_chevaux_selle[Ration]&amp;Règles_chevaux_selle[Aliment],0))="s2",IF($EU67=Spécificité2ChevauxSelle,1)),
INDEX(Règles_chevaux_selle[Specificite],MATCH(RationEtéChevauxSelle&amp;$EU67,Règles_chevaux_selle[Ration]&amp;Règles_chevaux_selle[Aliment],0))="c"),
INDEX(Règles_chevaux_selle[Valeur 36 et plus],MATCH(RationEtéChevauxSelle&amp;$EU67,Règles_chevaux_selle[Ration]&amp;Règles_chevaux_selle[Aliment],0)),0),0)*TotalEtalonSelle*SUM(NbreJoursNourrirChevauxSelle))</f>
        <v>0</v>
      </c>
      <c r="EW67" s="1283">
        <f t="array" ref="EW67">IF(OR(ChoixRationComplèteEtéChevauxSelle=OUI,ChoixRationComplèteEtéChevauxSelle="",AND(ChoixChevauxSellePréHiver=OUI,ChoixChevauxSellePréEté=OUI)),0,IFERROR(IF(OR(AND(INDEX(Règles_chevaux_selle[Specificite],MATCH(RationEtéChevauxSelle&amp;$EU67,Règles_chevaux_selle[Ration]&amp;Règles_chevaux_selle[Aliment],0))="s1",IF($EU67=Spécificité1ChevauxSelle,1)),
AND(INDEX(Règles_chevaux_selle[Specificite],MATCH(RationEtéChevauxSelle&amp;$EU67,Règles_chevaux_selle[Ration]&amp;Règles_chevaux_selle[Aliment],0))="s2",IF($EU67=Spécificité2ChevauxSelle,1)),
INDEX(Règles_chevaux_selle[Specificite],MATCH(RationEtéChevauxSelle&amp;$EU67,Règles_chevaux_selle[Ration]&amp;Règles_chevaux_selle[Aliment],0))="c"),
INDEX(Règles_chevaux_selle[Valeur 24-36],MATCH(RationEtéChevauxSelle&amp;$EU67,Règles_chevaux_selle[Ration]&amp;Règles_chevaux_selle[Aliment],0)),0),0)*TotalJeuneEtalonSelle_24_36_mois*SUM(NbreJoursNourrirChevauxSelle))</f>
        <v>0</v>
      </c>
      <c r="EX67" s="1283">
        <f t="array" ref="EX67">IF(OR(ChoixRationComplèteEtéChevauxSelle=OUI,ChoixRationComplèteEtéChevauxSelle="",AND(ChoixChevauxSellePréHiver=OUI,ChoixChevauxSellePréEté=OUI)),0,IFERROR(IF(OR(AND(INDEX(Règles_chevaux_selle[Specificite],MATCH(RationEtéChevauxSelle&amp;$EU67,Règles_chevaux_selle[Ration]&amp;Règles_chevaux_selle[Aliment],0))="s1",IF($EU67=Spécificité1ChevauxSelle,1)),
AND(INDEX(Règles_chevaux_selle[Specificite],MATCH(RationEtéChevauxSelle&amp;$EU67,Règles_chevaux_selle[Ration]&amp;Règles_chevaux_selle[Aliment],0))="s2",IF($EU67=Spécificité2ChevauxSelle,1)),
INDEX(Règles_chevaux_selle[Specificite],MATCH(RationEtéChevauxSelle&amp;$EU67,Règles_chevaux_selle[Ration]&amp;Règles_chevaux_selle[Aliment],0))="c"),
INDEX(Règles_chevaux_selle[Valeur 12-24],MATCH(RationEtéChevauxSelle&amp;$EU67,Règles_chevaux_selle[Ration]&amp;Règles_chevaux_selle[Aliment],0)),0),0)*TotalJeuneEtalonSelle_12_24_mois*SUM(NbreJoursNourrirChevauxSelle))</f>
        <v>0</v>
      </c>
      <c r="EY67" s="1286">
        <f t="array" ref="EY67">IF(OR(ChoixRationComplèteEtéChevauxSelle=OUI,ChoixRationComplèteEtéChevauxSelle="",AND(ChoixChevauxSellePréHiver=OUI,ChoixChevauxSellePréEté=OUI)),0,IFERROR(IF(OR(AND(INDEX(Règles_chevaux_selle[Specificite],MATCH(RationEtéChevauxSelle&amp;$EU67,Règles_chevaux_selle[Ration]&amp;Règles_chevaux_selle[Aliment],0))="s1",IF($EU67=Spécificité1ChevauxSelle,1)),
AND(INDEX(Règles_chevaux_selle[Specificite],MATCH(RationEtéChevauxSelle&amp;$EU67,Règles_chevaux_selle[Ration]&amp;Règles_chevaux_selle[Aliment],0))="s2",IF($EU67=Spécificité2ChevauxSelle,1)),
INDEX(Règles_chevaux_selle[Specificite],MATCH(RationEtéChevauxSelle&amp;$EU67,Règles_chevaux_selle[Ration]&amp;Règles_chevaux_selle[Aliment],0))="c"),
INDEX(Règles_chevaux_selle[Valeur 0-12],MATCH(RationEtéChevauxSelle&amp;$EU67,Règles_chevaux_selle[Ration]&amp;Règles_chevaux_selle[Aliment],0)),0),0)*TotalPoulainSelle_0_12_mois*SUM(NbreJoursNourrirChevauxSelle))</f>
        <v>0</v>
      </c>
      <c r="EZ67" s="1286">
        <f t="shared" si="16"/>
        <v>0</v>
      </c>
      <c r="FA67" s="1345"/>
      <c r="FB67" s="1345"/>
      <c r="FC67" s="1346"/>
      <c r="FD67" s="1083" t="s">
        <v>298</v>
      </c>
      <c r="FE67" s="1283">
        <f t="array" ref="FE67">IF(OR(ChoixRationComplèteEtéChevauxTrait=OUI,ChoixRationComplèteEtéChevauxTrait="",AND(ChoixChevauxTraitPréHiver=OUI,ChoixChevauxTraitPréEté=OUI)),0,IFERROR(IF(OR(AND(INDEX(Règles_chevaux_trait[Specificite],MATCH(RationEtéChevauxTrait&amp;$FD67,Règles_chevaux_trait[Ration]&amp;Règles_chevaux_trait[Aliment],0))="s1",IF($FD67=Spécificité1ChevauxTrait,1)),
AND(INDEX(Règles_chevaux_trait[Specificite],MATCH(RationEtéChevauxTrait&amp;$FD67,Règles_chevaux_trait[Ration]&amp;Règles_chevaux_trait[Aliment],0))="s2",IF($FD67=Spécificité2ChevauxTrait,1)),
INDEX(Règles_chevaux_trait[Specificite],MATCH(RationEtéChevauxTrait&amp;$FD67,Règles_chevaux_trait[Ration]&amp;Règles_chevaux_trait[Aliment],0))="c"),
INDEX(Règles_chevaux_trait[Valeur 36 et plus],MATCH(RationEtéChevauxTrait&amp;$FD67,Règles_chevaux_trait[Ration]&amp;Règles_chevaux_trait[Aliment],0)),0),0)*TotalEtalonTrait*SUM(NbreJoursNourrirChevauxTrait))</f>
        <v>0</v>
      </c>
      <c r="FF67" s="1283">
        <f t="array" ref="FF67">IF(OR(ChoixRationComplèteEtéChevauxTrait=OUI,ChoixRationComplèteEtéChevauxTrait="",AND(ChoixChevauxTraitPréHiver=OUI,ChoixChevauxTraitPréEté=OUI)),0,IFERROR(IF(OR(AND(INDEX(Règles_chevaux_trait[Specificite],MATCH(RationEtéChevauxTrait&amp;$FD67,Règles_chevaux_trait[Ration]&amp;Règles_chevaux_trait[Aliment],0))="s1",IF($FD67=Spécificité1ChevauxTrait,1)),
AND(INDEX(Règles_chevaux_trait[Specificite],MATCH(RationEtéChevauxTrait&amp;$FD67,Règles_chevaux_trait[Ration]&amp;Règles_chevaux_trait[Aliment],0))="s2",IF($FD67=Spécificité2ChevauxTrait,1)),
INDEX(Règles_chevaux_trait[Specificite],MATCH(RationEtéChevauxTrait&amp;$FD67,Règles_chevaux_trait[Ration]&amp;Règles_chevaux_trait[Aliment],0))="c"),
INDEX(Règles_chevaux_trait[Valeur 24-36],MATCH(RationEtéChevauxTrait&amp;$FD67,Règles_chevaux_trait[Ration]&amp;Règles_chevaux_trait[Aliment],0)),0),0)*TotalJeuneEtalonTrait_24_36_mois*SUM(NbreJoursNourrirChevauxTrait))</f>
        <v>0</v>
      </c>
      <c r="FG67" s="1283">
        <f t="array" ref="FG67">IF(OR(ChoixRationComplèteEtéChevauxTrait=OUI,ChoixRationComplèteEtéChevauxTrait="",AND(ChoixChevauxTraitPréHiver=OUI,ChoixChevauxTraitPréEté=OUI)),0,IFERROR(IF(OR(AND(INDEX(Règles_chevaux_trait[Specificite],MATCH(RationEtéChevauxTrait&amp;$FD67,Règles_chevaux_trait[Ration]&amp;Règles_chevaux_trait[Aliment],0))="s1",IF($FD67=Spécificité1ChevauxTrait,1)),
AND(INDEX(Règles_chevaux_trait[Specificite],MATCH(RationEtéChevauxTrait&amp;$FD67,Règles_chevaux_trait[Ration]&amp;Règles_chevaux_trait[Aliment],0))="s2",IF($FD67=Spécificité2ChevauxTrait,1)),
INDEX(Règles_chevaux_trait[Specificite],MATCH(RationEtéChevauxTrait&amp;$FD67,Règles_chevaux_trait[Ration]&amp;Règles_chevaux_trait[Aliment],0))="c"),
INDEX(Règles_chevaux_trait[Valeur 12-24],MATCH(RationEtéChevauxTrait&amp;$FD67,Règles_chevaux_trait[Ration]&amp;Règles_chevaux_trait[Aliment],0)),0),0)*TotalJeuneEtalonTrait_12_24_mois*SUM(NbreJoursNourrirChevauxTrait))</f>
        <v>0</v>
      </c>
      <c r="FH67" s="1286">
        <f t="array" ref="FH67">IF(OR(ChoixRationComplèteEtéChevauxTrait=OUI,ChoixRationComplèteEtéChevauxTrait="",AND(ChoixChevauxTraitPréHiver=OUI,ChoixChevauxTraitPréEté=OUI)),0,IFERROR(IF(OR(AND(INDEX(Règles_chevaux_trait[Specificite],MATCH(RationEtéChevauxTrait&amp;$FD67,Règles_chevaux_trait[Ration]&amp;Règles_chevaux_trait[Aliment],0))="s1",IF($FD67=Spécificité1ChevauxTrait,1)),
AND(INDEX(Règles_chevaux_trait[Specificite],MATCH(RationEtéChevauxTrait&amp;$FD67,Règles_chevaux_trait[Ration]&amp;Règles_chevaux_trait[Aliment],0))="s2",IF($FD67=Spécificité2ChevauxTrait,1)),
INDEX(Règles_chevaux_trait[Specificite],MATCH(RationEtéChevauxTrait&amp;$FD67,Règles_chevaux_trait[Ration]&amp;Règles_chevaux_trait[Aliment],0))="c"),
INDEX(Règles_chevaux_trait[Valeur 0-12],MATCH(RationEtéChevauxTrait&amp;$FD67,Règles_chevaux_trait[Ration]&amp;Règles_chevaux_trait[Aliment],0)),0),0)*TotalPoulainTrait_0_12_mois*SUM(NbreJoursNourrirChevauxTrait))</f>
        <v>0</v>
      </c>
      <c r="FI67" s="1286">
        <f t="shared" si="15"/>
        <v>0</v>
      </c>
      <c r="FJ67" s="1345"/>
      <c r="FK67" s="1345"/>
      <c r="FL67" s="1345"/>
      <c r="FM67" s="1346"/>
      <c r="FN67" s="1082" t="s">
        <v>219</v>
      </c>
      <c r="FO67" s="1282">
        <f t="array" ref="FO67">IF(OR(ChoixRationComplèteEtéPoneys=OUI,ChoixRationComplèteEtéPoneys="",AND(ChoixPoneysPréHiver=OUI,ChoixPoneysPréEté=OUI)),0,IFERROR(IF(OR(AND(INDEX(Règles_poneys[Specificite],MATCH(RationEtéPoneys&amp;$FN67,Règles_poneys[Ration]&amp;Règles_poneys[Aliment],0))="s1",IF($FN67=Spécificité1Poneys,1)),
AND(INDEX(Règles_poneys[Specificite],MATCH(RationEtéPoneys&amp;$FN67,Règles_poneys[Ration]&amp;Règles_poneys[Aliment],0))="s2",IF($FN67=Spécificité2Poneys,1)),
INDEX(Règles_poneys[Specificite],MATCH(RationEtéPoneys&amp;$FN67,Règles_poneys[Ration]&amp;Règles_poneys[Aliment],0))="c"),
INDEX(Règles_poneys[Valeur 36 et plus],MATCH(RationEtéPoneys&amp;$FN67,Règles_poneys[Ration]&amp;Règles_poneys[Aliment],0)),0),0)*TotalEtalonPoney*SUM(NbreJoursNourrirPoneys))</f>
        <v>0</v>
      </c>
      <c r="FP67" s="1282">
        <f t="array" ref="FP67">IF(OR(ChoixRationComplèteEtéPoneys=OUI,ChoixRationComplèteEtéPoneys="",AND(ChoixPoneysPréHiver=OUI,ChoixPoneysPréEté=OUI)),0,IFERROR(IF(OR(AND(INDEX(Règles_poneys[Specificite],MATCH(RationEtéPoneys&amp;$FN67,Règles_poneys[Ration]&amp;Règles_poneys[Aliment],0))="s1",IF($FN67=Spécificité1Poneys,1)),
AND(INDEX(Règles_poneys[Specificite],MATCH(RationEtéPoneys&amp;$FN67,Règles_poneys[Ration]&amp;Règles_poneys[Aliment],0))="s2",IF($FN67=Spécificité2Poneys,1)),
INDEX(Règles_poneys[Specificite],MATCH(RationEtéPoneys&amp;$FN67,Règles_poneys[Ration]&amp;Règles_poneys[Aliment],0))="c"),
INDEX(Règles_poneys[Valeur 36 et plus],MATCH(RationEtéPoneys&amp;$FN67,Règles_poneys[Ration]&amp;Règles_poneys[Aliment],0)),0),0)*TotalJeuneEtalonPoney_24_36_mois*SUM(NbreJoursNourrirPoneys))</f>
        <v>0</v>
      </c>
      <c r="FQ67" s="1282">
        <f t="array" ref="FQ67">IF(OR(ChoixRationComplèteEtéPoneys=OUI,ChoixRationComplèteEtéPoneys="",AND(ChoixPoneysPréHiver=OUI,ChoixPoneysPréEté=OUI)),0,IFERROR(IF(OR(AND(INDEX(Règles_poneys[Specificite],MATCH(RationEtéPoneys&amp;$FN67,Règles_poneys[Ration]&amp;Règles_poneys[Aliment],0))="s1",IF($FN67=Spécificité1Poneys,1)),
AND(INDEX(Règles_poneys[Specificite],MATCH(RationEtéPoneys&amp;$FN67,Règles_poneys[Ration]&amp;Règles_poneys[Aliment],0))="s2",IF($FN67=Spécificité2Poneys,1)),
INDEX(Règles_poneys[Specificite],MATCH(RationEtéPoneys&amp;$FN67,Règles_poneys[Ration]&amp;Règles_poneys[Aliment],0))="c"),
INDEX(Règles_poneys[Valeur 36 et plus],MATCH(RationEtéPoneys&amp;$FN67,Règles_poneys[Ration]&amp;Règles_poneys[Aliment],0)),0),0)*TotalJeuneEtalonPoney_12_24_mois*SUM(NbreJoursNourrirPoneys))</f>
        <v>0</v>
      </c>
      <c r="FR67" s="1285">
        <f t="array" ref="FR67">IF(OR(ChoixRationComplèteEtéPoneys=OUI,ChoixRationComplèteEtéPoneys="",AND(ChoixPoneysPréHiver=OUI,ChoixPoneysPréEté=OUI)),0,IFERROR(IF(OR(AND(INDEX(Règles_poneys[Specificite],MATCH(RationEtéPoneys&amp;$FN67,Règles_poneys[Ration]&amp;Règles_poneys[Aliment],0))="s1",IF($FN67=Spécificité1Poneys,1)),
AND(INDEX(Règles_poneys[Specificite],MATCH(RationEtéPoneys&amp;$FN67,Règles_poneys[Ration]&amp;Règles_poneys[Aliment],0))="s2",IF($FN67=Spécificité2Poneys,1)),
INDEX(Règles_poneys[Specificite],MATCH(RationEtéPoneys&amp;$FN67,Règles_poneys[Ration]&amp;Règles_poneys[Aliment],0))="c"),
INDEX(Règles_poneys[Valeur 36 et plus],MATCH(RationEtéPoneys&amp;$FN67,Règles_poneys[Ration]&amp;Règles_poneys[Aliment],0)),0),0)*TotalPoulainPoney_0_12_mois*SUM(NbreJoursNourrirPoneys))</f>
        <v>0</v>
      </c>
      <c r="FS67" s="1285">
        <f t="shared" si="14"/>
        <v>0</v>
      </c>
      <c r="FT67" s="1345"/>
      <c r="FU67" s="1345"/>
      <c r="FV67" s="1345"/>
      <c r="FW67" s="823" t="s">
        <v>1272</v>
      </c>
      <c r="FX67" s="828">
        <f t="array" ref="FX6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67" s="828">
        <f t="array" ref="FY6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67" s="828">
        <f t="array" ref="FZ6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67" s="828">
        <f t="array" ref="GA6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67" s="829">
        <f>SUM(AlimentsGavageOies[[#This Row],[Valeur 3 et plus]:[Valeur 0-1]])</f>
        <v>0</v>
      </c>
      <c r="GC67" s="1364"/>
      <c r="GD67" s="1321"/>
      <c r="GE67" s="1149" t="s">
        <v>8</v>
      </c>
      <c r="GF67" s="1321"/>
      <c r="GG67" s="1321" t="s">
        <v>1349</v>
      </c>
      <c r="GH67" s="1321" t="s">
        <v>1349</v>
      </c>
      <c r="GI67" s="1321" t="s">
        <v>1349</v>
      </c>
      <c r="GJ67" s="1321" t="s">
        <v>1349</v>
      </c>
      <c r="GK67" s="1321" t="s">
        <v>1349</v>
      </c>
      <c r="GL67" s="1321" t="s">
        <v>1349</v>
      </c>
      <c r="GM67" s="1321" t="s">
        <v>1349</v>
      </c>
      <c r="GN67" s="1321" t="s">
        <v>1349</v>
      </c>
      <c r="GO67" s="1321" t="s">
        <v>1349</v>
      </c>
      <c r="GP67" s="1321" t="s">
        <v>1349</v>
      </c>
      <c r="GQ67" s="1321" t="s">
        <v>1349</v>
      </c>
      <c r="GR67" s="1321" t="s">
        <v>1349</v>
      </c>
      <c r="GS67" s="1321" t="s">
        <v>1349</v>
      </c>
      <c r="GT67" s="1321" t="s">
        <v>1349</v>
      </c>
      <c r="GU67" s="1321" t="s">
        <v>1349</v>
      </c>
      <c r="GV67" s="1321" t="s">
        <v>1349</v>
      </c>
      <c r="GW67" s="1321"/>
      <c r="GX67" s="1321"/>
      <c r="GY67" s="1082" t="str">
        <f t="shared" si="11"/>
        <v>semences de moutarde</v>
      </c>
      <c r="GZ67" s="1082"/>
      <c r="HA67" s="1085"/>
      <c r="HB67" s="1085">
        <f>IF(COUNTIF(TypeArticleDansEntrepôt,GY67)=0,0,SUMIF(TypeArticleDansEntrepôt,GY67,QtéArticleDansEntrepôt)*VLOOKUP(GY67,place_necessaire_entrepots_aire_paille[],2,FALSE))</f>
        <v>0</v>
      </c>
      <c r="HC67" s="1321"/>
      <c r="HD67" s="1321"/>
      <c r="HE67" s="1321"/>
      <c r="HF67" s="1321"/>
      <c r="HG67" s="1321"/>
      <c r="HH67" s="1321"/>
      <c r="HI67" s="1321"/>
      <c r="HJ67" s="1321"/>
      <c r="HK67" s="1321"/>
      <c r="HL67" s="1321"/>
      <c r="HM67" s="1321"/>
      <c r="HN67" s="1085" t="str">
        <f>IF(parcelles!B115="","",(VLOOKUP(parcelles!C115,BDD!$HN$5:$HU$38,2,FALSE))*parcelles!E115)</f>
        <v/>
      </c>
      <c r="HO67" s="1085" t="str">
        <f>IF(parcelles!B115="","",IF(OR(parcelles!C115=Moutarde,parcelles!C115=Phacélie),0,IF(parcelles!C115=Luzerne,10*parcelles!E115*VLOOKUP(parcelles!C115,BDD!$HN$5:$HU$38,3,FALSE),IF(parcelles!C115=Miscanthus,10.5*parcelles!E115*VLOOKUP(parcelles!C115,BDD!$HN$5:$HU$38,3,FALSE),INDEX(parcelles!$C$56:'parcelles'!$Y$77,MATCH(parcelles!B115,parcelles!$B$56:'parcelles'!$B$77,0),MATCH(parcelles!C115,parcelles!$C$53:'parcelles'!$Y$53,0))*parcelles!E115*VLOOKUP(parcelles!C115,BDD!$HN$5:$HU$38,3,FALSE)))))</f>
        <v/>
      </c>
      <c r="HP67" s="1085" t="str">
        <f>IF(parcelles!B115="","",IF(OR(parcelles!C115=Moutarde,parcelles!C115=Phacélie),0,IF(parcelles!C115=Luzerne,10*parcelles!E115*VLOOKUP(parcelles!C115,BDD!$HN$5:$HU$38,4,FALSE),IF(parcelles!C115=Miscanthus,10.5*parcelles!E115*VLOOKUP(parcelles!C115,BDD!$HN$5:$HU$38,4,FALSE),INDEX(parcelles!$C$56:'parcelles'!$Y$77,MATCH(parcelles!B115,parcelles!$B$56:'parcelles'!$B$77,0),MATCH(parcelles!C115,parcelles!$C$53:'parcelles'!$Y$53,0))*parcelles!E115*VLOOKUP(parcelles!C115,BDD!$HN$5:$HU$38,4,FALSE)))))</f>
        <v/>
      </c>
      <c r="HQ67" s="1085" t="str">
        <f>IF(parcelles!B115="","",IF(OR(parcelles!C115=Moutarde,parcelles!C115=Phacélie),0,IF(parcelles!C115=Luzerne,10*parcelles!E115*VLOOKUP(parcelles!C115,BDD!$HN$5:$HU$38,5,FALSE),IF(parcelles!C115=Miscanthus,10.5*parcelles!E115*VLOOKUP(parcelles!C115,BDD!$HN$5:$HU$38,5,FALSE),INDEX(parcelles!$C$56:'parcelles'!$Y$77,MATCH(parcelles!B115,parcelles!$B$56:'parcelles'!$B$77,0),MATCH(parcelles!C115,parcelles!$C$53:'parcelles'!$Y$53,0))*parcelles!E115*VLOOKUP(parcelles!C115,BDD!$HN$5:$HU$38,5,FALSE)))))</f>
        <v/>
      </c>
      <c r="HR67" s="1085" t="str">
        <f>IF(parcelles!B115="","",IF(OR(parcelles!C115=Moutarde,parcelles!C115=Phacélie),0,IF(parcelles!C115=Luzerne,10*parcelles!E115*VLOOKUP(parcelles!C115,BDD!$HN$5:$HU$38,6,FALSE),IF(parcelles!C115=Miscanthus,10.5*parcelles!E115*VLOOKUP(parcelles!C115,BDD!$HN$5:$HU$38,6,FALSE),INDEX(parcelles!$C$56:'parcelles'!$Y$77,MATCH(parcelles!B115,parcelles!$B$56:'parcelles'!$B$77,0),MATCH(parcelles!C115,parcelles!$C$53:'parcelles'!$Y$53,0))*parcelles!E115*VLOOKUP(parcelles!C115,BDD!$HN$5:$HU$38,6,FALSE)))))</f>
        <v/>
      </c>
      <c r="HS67" s="1085" t="str">
        <f>IF(parcelles!B115="","",IF(OR(parcelles!C115=Moutarde,parcelles!C115=Phacélie),0,IF(parcelles!C115=Luzerne,10*parcelles!E115*VLOOKUP(parcelles!C115,BDD!$HN$5:$HU$38,7,FALSE),IF(parcelles!C115=Miscanthus,10.5*parcelles!E115*VLOOKUP(parcelles!C115,BDD!$HN$5:$HU$38,7,FALSE),INDEX(parcelles!$C$56:'parcelles'!$Y$77,MATCH(parcelles!B115,parcelles!$B$56:'parcelles'!$B$77,0),MATCH(parcelles!C115,parcelles!$C$53:'parcelles'!$Y$53,0))*parcelles!E115*VLOOKUP(parcelles!C115,BDD!$HN$5:$HU$38,7,FALSE)))))</f>
        <v/>
      </c>
      <c r="HT67" s="1085" t="str">
        <f>IF(parcelles!B115="","",IF(OR(parcelles!C115=Moutarde,parcelles!C115=Phacélie),0,IF(parcelles!C115=Luzerne,10*parcelles!E115*VLOOKUP(parcelles!C115,BDD!$HN$5:$HU$38,8,FALSE),IF(parcelles!C115=Miscanthus,10.5*parcelles!E115*VLOOKUP(parcelles!C115,BDD!$HN$5:$HU$38,8,FALSE),INDEX(parcelles!$C$56:'parcelles'!$Y$77,MATCH(parcelles!B115,parcelles!$B$56:'parcelles'!$B$77,0),MATCH(parcelles!C115,parcelles!$C$53:'parcelles'!$Y$53,0))*parcelles!E115*VLOOKUP(parcelles!C115,BDD!$HN$5:$HU$38,8,FALSE)))))</f>
        <v/>
      </c>
      <c r="HU67" s="1085" t="str">
        <f>IF(parcelles!B115="","",IF(OR(parcelles!C115=Moutarde,parcelles!C115=Phacélie),0,1.6*parcelles!E115))</f>
        <v/>
      </c>
      <c r="HV67" s="1085" t="str">
        <f>IF(parcelles!B115="","",IF(OR(parcelles!C115=Moutarde,parcelles!C115=Phacélie),0,1.6*parcelles!E115))</f>
        <v/>
      </c>
      <c r="HW67" s="1085" t="str">
        <f>IF(parcelles!B115="","",IF(OR(parcelles!C115=Moutarde,parcelles!C115=Phacélie),0,1.6*parcelles!E115))</f>
        <v/>
      </c>
      <c r="HX67" s="1092" t="str">
        <f>IF(parcelles!D115="","",IF(parcelles!C115=ChanvreIndustriel,INDEX(parcelles!$C$56:$Y$77,MATCH(parcelles!B115,parcelles!$B$56:$B$77,0),MATCH(parcelles!C115,parcelles!$C$53:$Y$53,0))*parcelles!E115*SUMIF(ListeCulturesBDD,parcelles!C115,PrixVenteCulturesConventionnel)+RIGHT(BDD!$HM$7,3)*7*parcelles!E115,IF(parcelles!C115=Luzerne,parcelles!E115*10*VLOOKUP(parcelles!C115,TarifsCoopCultures,2,FALSE),IF(parcelles!C115=Miscanthus,parcelles!E115*10.5*VLOOKUP(Luzerne,TarifsCoopCultures,2,FALSE),INDEX(parcelles!$C$56:$Y$77,MATCH(parcelles!B115,parcelles!$B$56:$B$77,0),MATCH(parcelles!C115,parcelles!$C$53:$Y$53,0))*parcelles!E115*SUMIF(ListeCulturesBDD,parcelles!C115,PrixVenteCulturesConventionnel)))))</f>
        <v/>
      </c>
      <c r="HY67" s="1085" t="str">
        <f>IF(parcelles!D115="","",IF(parcelles!F115=0,"",IF(parcelles!C115=ChanvreIndustriel,"soit "&amp;parcelles!E115*0.8&amp;"t de grain et "&amp;parcelles!E115*7&amp;"t de paille",IF(parcelles!C115=Luzerne,"soit "&amp;10*parcelles!E115&amp;"t/an",IF(parcelles!C115=Miscanthus,"soit "&amp;10.5*parcelles!E115&amp;"t/an","soit "&amp;INDEX(parcelles!$C$56:$Y$77,MATCH(parcelles!B115,parcelles!$B$56:$B$77,0),MATCH(parcelles!C115,parcelles!$C$53:$Y$53,0))*parcelles!E115&amp;"t")))))</f>
        <v/>
      </c>
      <c r="HZ67" s="1085" t="str">
        <f>IF(parcelles!D115="","",IF(parcelles!F115=0,"",IF(parcelles!C115=ChanvreIndustriel,"soit "&amp;parcelles!E115*0.8*0.8&amp;"t de grain et "&amp;parcelles!E115*7*0.8&amp;"t de paille",IF(parcelles!C115=Luzerne,"soit "&amp;10*0.8*parcelles!E115&amp;"t/an",IF(parcelles!C115=Miscanthus,"soit "&amp;10.5*0.8*parcelles!E115&amp;"t/an","soit "&amp;INDEX(parcelles!$C$56:$Y$77,MATCH(parcelles!B115,parcelles!$B$56:$B$77,0),MATCH(parcelles!C115,parcelles!$C$53:$Y$53,0))*0.8*parcelles!E115&amp;"t")))))</f>
        <v/>
      </c>
      <c r="IA67" s="1085" t="str">
        <f>IF(parcelles!L115="","",(VLOOKUP(parcelles!M115,BDD!$HN$5:$HU$38,2,FALSE))*parcelles!O115)</f>
        <v/>
      </c>
      <c r="IB67" s="1085" t="str">
        <f>IF(parcelles!L115="","",IF(OR(parcelles!M115=Moutarde,parcelles!M115=Phacélie),0,IF(parcelles!M115=Luzerne,10*parcelles!O115*VLOOKUP(parcelles!M115,BDD!$HN$5:$HU$38,3,FALSE),IF(parcelles!M115=Miscanthus,10.5*parcelles!O115*VLOOKUP(parcelles!M115,BDD!$HN$5:$HU$38,3,FALSE),INDEX(parcelles!$C$56:'parcelles'!$Y$77,MATCH(parcelles!L115,parcelles!$B$56:'parcelles'!$B$77,0),MATCH(parcelles!M115,parcelles!$C$53:'parcelles'!$Y$53,0))*parcelles!O115*VLOOKUP(parcelles!M115,BDD!$HN$5:$HU$38,3,FALSE)))))</f>
        <v/>
      </c>
      <c r="IC67" s="1085" t="str">
        <f>IF(parcelles!L115="","",IF(OR(parcelles!M115=Moutarde,parcelles!M115=Phacélie),0,IF(parcelles!M115=Luzerne,10*parcelles!O115*VLOOKUP(parcelles!M115,BDD!$HN$5:$HU$38,4,FALSE),IF(parcelles!M115=Miscanthus,10.5*parcelles!O115*VLOOKUP(parcelles!M115,BDD!$HN$5:$HU$38,4,FALSE),INDEX(parcelles!$C$56:'parcelles'!$Y$77,MATCH(parcelles!L115,parcelles!$B$56:'parcelles'!$B$77,0),MATCH(parcelles!M115,parcelles!$C$53:'parcelles'!$Y$53,0))*parcelles!O115*VLOOKUP(parcelles!M115,BDD!$HN$5:$HU$38,4,FALSE)))))</f>
        <v/>
      </c>
      <c r="ID67" s="1085" t="str">
        <f>IF(parcelles!L115="","",IF(OR(parcelles!M115=Moutarde,parcelles!M115=Phacélie),0,IF(parcelles!M115=Luzerne,10*parcelles!O115*VLOOKUP(parcelles!M115,BDD!$HN$5:$HU$38,5,FALSE),IF(parcelles!M115=Miscanthus,10.5*parcelles!O115*VLOOKUP(parcelles!M115,BDD!$HN$5:$HU$38,5,FALSE),INDEX(parcelles!$C$56:'parcelles'!$Y$77,MATCH(parcelles!L115,parcelles!$B$56:'parcelles'!$B$77,0),MATCH(parcelles!M115,parcelles!$C$53:'parcelles'!$Y$53,0))*parcelles!O115*VLOOKUP(parcelles!M115,BDD!$HN$5:$HU$38,5,FALSE)))))</f>
        <v/>
      </c>
      <c r="IE67" s="1085" t="str">
        <f>IF(parcelles!L115="","",IF(OR(parcelles!M115=Moutarde,parcelles!M115=Phacélie),0,IF(parcelles!M115=Luzerne,10*parcelles!O115*VLOOKUP(parcelles!M115,BDD!$HN$5:$HU$38,6,FALSE),IF(parcelles!M115=Miscanthus,10.5*parcelles!O115*VLOOKUP(parcelles!M115,BDD!$HN$5:$HU$38,6,FALSE),INDEX(parcelles!$C$56:'parcelles'!$Y$77,MATCH(parcelles!L115,parcelles!$B$56:'parcelles'!$B$77,0),MATCH(parcelles!M115,parcelles!$C$53:'parcelles'!$Y$53,0))*parcelles!O115*VLOOKUP(parcelles!M115,BDD!$HN$5:$HU$38,6,FALSE)))))</f>
        <v/>
      </c>
      <c r="IF67" s="1085" t="str">
        <f>IF(parcelles!L115="","",IF(OR(parcelles!M115=Moutarde,parcelles!M115=Phacélie),0,IF(parcelles!M115=Luzerne,10*parcelles!O115*VLOOKUP(parcelles!M115,BDD!$HN$5:$HU$38,7,FALSE),IF(parcelles!M115=Miscanthus,10.5*parcelles!O115*VLOOKUP(parcelles!M115,BDD!$HN$5:$HU$38,7,FALSE),INDEX(parcelles!$C$56:'parcelles'!$Y$77,MATCH(parcelles!L115,parcelles!$B$56:'parcelles'!$B$77,0),MATCH(parcelles!M115,parcelles!$C$53:'parcelles'!$Y$53,0))*parcelles!O115*VLOOKUP(parcelles!M115,BDD!$HN$5:$HU$38,7,FALSE)))))</f>
        <v/>
      </c>
      <c r="IG67" s="1085" t="str">
        <f>IF(parcelles!L115="","",IF(OR(parcelles!M115=Moutarde,parcelles!M115=Phacélie),0,IF(parcelles!M115=Luzerne,10*parcelles!O115*VLOOKUP(parcelles!M115,BDD!$HN$5:$HU$38,8,FALSE),IF(parcelles!M115=Miscanthus,10.5*parcelles!O115*VLOOKUP(parcelles!M115,BDD!$HN$5:$HU$38,8,FALSE),INDEX(parcelles!$C$56:'parcelles'!$Y$77,MATCH(parcelles!L115,parcelles!$B$56:'parcelles'!$B$77,0),MATCH(parcelles!M115,parcelles!$C$53:'parcelles'!$Y$53,0))*parcelles!O115*VLOOKUP(parcelles!M115,BDD!$HN$5:$HU$38,8,FALSE)))))</f>
        <v/>
      </c>
      <c r="IH67" s="1085" t="str">
        <f>IF(parcelles!L115="","",IF(OR(parcelles!L115=Moutarde,parcelles!L115=Phacélie),0,1.6*parcelles!O115))</f>
        <v/>
      </c>
      <c r="II67" s="1085" t="str">
        <f>IF(parcelles!L115="","",IF(OR(parcelles!L115=Moutarde,parcelles!L115=Phacélie),0,1.6*parcelles!O115))</f>
        <v/>
      </c>
      <c r="IJ67" s="1085" t="str">
        <f>IF(parcelles!L115="","",IF(OR(parcelles!L115=Moutarde,parcelles!L115=Phacélie),0,1.6*parcelles!O115))</f>
        <v/>
      </c>
      <c r="IK67" s="1085" t="str">
        <f>IF(parcelles!P115="","",IF(parcelles!R115=0,"",IF(parcelles!O115=ChanvreIndustriel,"soit "&amp;parcelles!Q115*0.8&amp;"t de grain et "&amp;parcelles!Q115*7&amp;"t de paille",IF(parcelles!O115=Luzerne,"soit "&amp;10*parcelles!Q115&amp;"t/an",IF(parcelles!O115=Miscanthus,"soit "&amp;10.5*parcelles!Q115&amp;"t/an","soit "&amp;INDEX(parcelles!$C$56:$Y$77,MATCH(parcelles!N115,parcelles!$B$56:$B$77,0),MATCH(parcelles!O115,parcelles!$C$53:$Y$53,0))*parcelles!Q115&amp;"t")))))</f>
        <v/>
      </c>
      <c r="IL67" s="1085" t="str">
        <f>IF(parcelles!P115="","",IF(parcelles!R115=0,"",IF(parcelles!O115=ChanvreIndustriel,"soit "&amp;parcelles!Q115*0.8*0.8&amp;"t de grain et "&amp;parcelles!Q115*7*0.8&amp;"t de paille",IF(parcelles!O115=Luzerne,"soit "&amp;10*0.8*parcelles!Q115&amp;"t/an",IF(parcelles!O115=Miscanthus,"soit "&amp;10.5*0.8*parcelles!Q115&amp;"t/an","soit "&amp;INDEX(parcelles!$C$56:$Y$77,MATCH(parcelles!N115,parcelles!$B$56:$B$77,0),MATCH(parcelles!O115,parcelles!$C$53:$Y$53,0))*0.8*parcelles!Q115&amp;"t")))))</f>
        <v/>
      </c>
      <c r="IM67" s="1085" t="str">
        <f>IF(parcelles!S115="","",IF(parcelles!U115=0,"",IF(parcelles!R115=ChanvreIndustriel,parcelles!T115*0.8*0.8+parcelles!T115*7*0.8,IF(parcelles!R115=Luzerne,10*0.8*parcelles!T115,IF(parcelles!R115=Miscanthus,10.5*0.8*parcelles!T115,INDEX(parcelles!$C$56:$Y$77,MATCH(parcelles!Q115,parcelles!$B$56:$B$77,0),MATCH(parcelles!R115,parcelles!$C$53:$Y$53,0))*0.8*parcelles!T115)))))</f>
        <v/>
      </c>
      <c r="IN67" s="1368"/>
    </row>
    <row r="68" spans="1:248" ht="12.75" customHeight="1" x14ac:dyDescent="0.2">
      <c r="A68" s="1307" t="s">
        <v>301</v>
      </c>
      <c r="B68" s="1241">
        <f t="shared" si="17"/>
        <v>1E-3</v>
      </c>
      <c r="C68" s="1321"/>
      <c r="D68" s="1321"/>
      <c r="E68" s="1321"/>
      <c r="F68" s="1328" t="s">
        <v>1034</v>
      </c>
      <c r="G68" s="1321"/>
      <c r="H68" s="1321"/>
      <c r="I68" s="1321"/>
      <c r="J68" s="1321"/>
      <c r="K68" s="1321"/>
      <c r="L68" s="1321"/>
      <c r="M68" s="1321"/>
      <c r="N68" s="1321"/>
      <c r="O68" s="1224" t="s">
        <v>1152</v>
      </c>
      <c r="P68" s="1224" t="str">
        <f t="shared" ref="P68:U68" si="20">P64</f>
        <v>Blé</v>
      </c>
      <c r="Q68" s="1224" t="str">
        <f t="shared" si="20"/>
        <v>Orge d'hiver</v>
      </c>
      <c r="R68" s="1224" t="str">
        <f t="shared" si="20"/>
        <v>Orge de printemps</v>
      </c>
      <c r="S68" s="1224" t="str">
        <f t="shared" si="20"/>
        <v>Avoine d'hiver</v>
      </c>
      <c r="T68" s="1224" t="str">
        <f t="shared" si="20"/>
        <v>Avoine de printemps</v>
      </c>
      <c r="U68" s="1224" t="str">
        <f t="shared" si="20"/>
        <v>Triticale</v>
      </c>
      <c r="V68" s="1224"/>
      <c r="W68" s="1224" t="str">
        <f t="shared" ref="W68:AG68" si="21">W64</f>
        <v>Maïs grain</v>
      </c>
      <c r="X68" s="1224" t="str">
        <f t="shared" si="21"/>
        <v>Maïs ensilé</v>
      </c>
      <c r="Y68" s="1224" t="str">
        <f t="shared" si="21"/>
        <v>Betterave</v>
      </c>
      <c r="Z68" s="1224" t="str">
        <f t="shared" si="21"/>
        <v>Colza</v>
      </c>
      <c r="AA68" s="1224" t="str">
        <f t="shared" si="21"/>
        <v>Tournesol</v>
      </c>
      <c r="AB68" s="1224" t="str">
        <f t="shared" si="21"/>
        <v>Pois</v>
      </c>
      <c r="AC68" s="1224" t="str">
        <f t="shared" si="21"/>
        <v>Féverole</v>
      </c>
      <c r="AD68" s="1224" t="str">
        <f t="shared" si="21"/>
        <v>Soja</v>
      </c>
      <c r="AE68" s="1224" t="str">
        <f t="shared" si="21"/>
        <v>Lin</v>
      </c>
      <c r="AF68" s="1224" t="str">
        <f t="shared" si="21"/>
        <v>Pomme de terre</v>
      </c>
      <c r="AG68" s="1739" t="str">
        <f t="shared" si="21"/>
        <v>Chanvre Industriel</v>
      </c>
      <c r="AH68" s="1739"/>
      <c r="AI68" s="1224" t="str">
        <f>AI64</f>
        <v>Epinard</v>
      </c>
      <c r="AJ68" s="1224" t="str">
        <f>AJ64</f>
        <v>Haricot vert</v>
      </c>
      <c r="AK68" s="1224" t="str">
        <f>AK64</f>
        <v>Lentille</v>
      </c>
      <c r="AL68" s="1224" t="str">
        <f>AL64</f>
        <v>Sorgho ensilé</v>
      </c>
      <c r="AM68" s="1224"/>
      <c r="AN68" s="1224" t="str">
        <f>AN64</f>
        <v>Tabac</v>
      </c>
      <c r="AO68" s="1224" t="s">
        <v>1567</v>
      </c>
      <c r="AP68" s="1224" t="s">
        <v>1568</v>
      </c>
      <c r="AQ68" s="1224" t="s">
        <v>1569</v>
      </c>
      <c r="AR68" s="1224" t="s">
        <v>1570</v>
      </c>
      <c r="AS68" s="1224" t="s">
        <v>1571</v>
      </c>
      <c r="AT68" s="1224" t="s">
        <v>1572</v>
      </c>
      <c r="AU68" s="1224" t="s">
        <v>1628</v>
      </c>
      <c r="AV68" s="1224" t="s">
        <v>1629</v>
      </c>
      <c r="AW68" s="1224" t="s">
        <v>1630</v>
      </c>
      <c r="AX68" s="1224" t="s">
        <v>1631</v>
      </c>
      <c r="AY68" s="1224" t="s">
        <v>1632</v>
      </c>
      <c r="AZ68" s="1321"/>
      <c r="BA68" s="1321"/>
      <c r="BB68" s="1236" t="s">
        <v>724</v>
      </c>
      <c r="BC68" s="1190" t="s">
        <v>1271</v>
      </c>
      <c r="BD68" s="1190" t="s">
        <v>1252</v>
      </c>
      <c r="BE68" s="1237">
        <v>1</v>
      </c>
      <c r="BF68" s="1237">
        <v>0.8</v>
      </c>
      <c r="BG68" s="1237">
        <v>0.6</v>
      </c>
      <c r="BH68" s="1237">
        <v>0.4</v>
      </c>
      <c r="BI68" s="1237">
        <v>0.4</v>
      </c>
      <c r="BJ68" s="1237">
        <v>0.4</v>
      </c>
      <c r="BK68" s="1238">
        <v>0</v>
      </c>
      <c r="BL68" s="1348"/>
      <c r="BM68" s="1076" t="s">
        <v>76</v>
      </c>
      <c r="BN68" s="1076">
        <f t="array" ref="BN68">IF(Ration_hivernale_complète_bisons[somme]&gt;0,0,IFERROR(IF(OR(AND(INDEX(Règles_bison[Specificite],MATCH(ChoixRationBisons&amp;$BM68,Règles_bison[Ration]&amp;Règles_bison[Aliment],0))="s1",IF($BM68=ChoixSpécificité1Bisons,1)),
AND(INDEX(Règles_bison[Specificite],MATCH(ChoixRationBisons&amp;$BM68,Règles_bison[Ration]&amp;Règles_bison[Aliment],0))="s2",IF($BM68=ChoixSpécificité2Bisons,1)),INDEX(Règles_bison[Specificite],MATCH(ChoixRationBisons&amp;$BM68,Règles_bison[Ration]&amp;Règles_bison[Aliment],0))="c"),
INDEX(Règles_bison[Valeur 36 et plus],MATCH(ChoixRationBisons&amp;$BM68,Règles_bison[Ration]&amp;Règles_bison[Aliment],0)),0),0)*TotalBisonsMalesAdultes*SUM(NbreJoursNourrirBisonsDaims))</f>
        <v>0</v>
      </c>
      <c r="BO68" s="1076">
        <f t="array" ref="BO68">IF(Ration_hivernale_complète_bisons[somme]&gt;0,0,IFERROR(IF(OR(AND(INDEX(Règles_bison[Specificite],MATCH(ChoixRationBisons&amp;$BM68,Règles_bison[Ration]&amp;Règles_bison[Aliment],0))="s1",IF($BM68=ChoixSpécificité1Bisons,1)),
AND(INDEX(Règles_bison[Specificite],MATCH(ChoixRationBisons&amp;$BM68,Règles_bison[Ration]&amp;Règles_bison[Aliment],0))="s2",IF($BM68=ChoixSpécificité2Bisons,1)),INDEX(Règles_bison[Specificite],MATCH(ChoixRationBisons&amp;$BM68,Règles_bison[Ration]&amp;Règles_bison[Aliment],0))="c"),
INDEX(Règles_bison[Valeur 24-36],MATCH(ChoixRationBisons&amp;$BM68,Règles_bison[Ration]&amp;Règles_bison[Aliment],0)),0),0)*TotalBisonsMales_24_36_mois*SUM(NbreJoursNourrirBisonsDaims))</f>
        <v>0</v>
      </c>
      <c r="BP68" s="1076">
        <f t="array" ref="BP68">IF(Ration_hivernale_complète_bisons[somme]&gt;0,0,IFERROR(IF(OR(AND(INDEX(Règles_bison[Specificite],MATCH(ChoixRationBisons&amp;$BM68,Règles_bison[Ration]&amp;Règles_bison[Aliment],0))="s1",IF($BM68=ChoixSpécificité1Bisons,1)),
AND(INDEX(Règles_bison[Specificite],MATCH(ChoixRationBisons&amp;$BM68,Règles_bison[Ration]&amp;Règles_bison[Aliment],0))="s2",IF($BM68=ChoixSpécificité2Bisons,1)),INDEX(Règles_bison[Specificite],MATCH(ChoixRationBisons&amp;$BM68,Règles_bison[Ration]&amp;Règles_bison[Aliment],0))="c"),
INDEX(Règles_bison[Valeur 18-24],MATCH(ChoixRationBisons&amp;$BM68,Règles_bison[Ration]&amp;Règles_bison[Aliment],0)),0),0)*TotalBisonsMales_18_24_mois*SUM(NbreJoursNourrirBisonsDaims))</f>
        <v>0</v>
      </c>
      <c r="BQ68" s="1076">
        <f t="array" ref="BQ68">IF(Ration_hivernale_complète_bisons[somme]&gt;0,0,IFERROR(IF(OR(AND(INDEX(Règles_bison[Specificite],MATCH(ChoixRationBisons&amp;$BM68,Règles_bison[Ration]&amp;Règles_bison[Aliment],0))="s1",IF($BM68=ChoixSpécificité1Bisons,1)),
AND(INDEX(Règles_bison[Specificite],MATCH(ChoixRationBisons&amp;$BM68,Règles_bison[Ration]&amp;Règles_bison[Aliment],0))="s2",IF($BM68=ChoixSpécificité2Bisons,1)),INDEX(Règles_bison[Specificite],MATCH(ChoixRationBisons&amp;$BM68,Règles_bison[Ration]&amp;Règles_bison[Aliment],0))="c"),
INDEX(Règles_bison[Valeur 12-18],MATCH(ChoixRationBisons&amp;$BM68,Règles_bison[Ration]&amp;Règles_bison[Aliment],0)),0),0)*TotalBisonsMales_12_18_mois*SUM(NbreJoursNourrirBisonsDaims))</f>
        <v>0</v>
      </c>
      <c r="BR68" s="1076">
        <f t="array" ref="BR68">IF(Ration_hivernale_complète_bisons[somme]&gt;0,0,IFERROR(IF(OR(AND(INDEX(Règles_bison[Specificite],MATCH(ChoixRationBisons&amp;$BM68,Règles_bison[Ration]&amp;Règles_bison[Aliment],0))="s1",IF($BM68=ChoixSpécificité1Bisons,1)),
AND(INDEX(Règles_bison[Specificite],MATCH(ChoixRationBisons&amp;$BM68,Règles_bison[Ration]&amp;Règles_bison[Aliment],0))="s2",IF($BM68=ChoixSpécificité2Bisons,1)),INDEX(Règles_bison[Specificite],MATCH(ChoixRationBisons&amp;$BM68,Règles_bison[Ration]&amp;Règles_bison[Aliment],0))="c"),
INDEX(Règles_bison[Valeur 6-12],MATCH(ChoixRationBisons&amp;$BM68,Règles_bison[Ration]&amp;Règles_bison[Aliment],0)),0),0)*TotalBisonsMales_6_12_mois*SUM(NbreJoursNourrirBisonsDaims))</f>
        <v>0</v>
      </c>
      <c r="BS68" s="1076">
        <f t="array" ref="BS68">IF(Ration_hivernale_complète_bisons[somme]&gt;0,0,IFERROR(IF(OR(AND(INDEX(Règles_bison[Specificite],MATCH(ChoixRationBisons&amp;$BM68,Règles_bison[Ration]&amp;Règles_bison[Aliment],0))="s1",IF($BM68=ChoixSpécificité1Bisons,1)),
AND(INDEX(Règles_bison[Specificite],MATCH(ChoixRationBisons&amp;$BM68,Règles_bison[Ration]&amp;Règles_bison[Aliment],0))="s2",IF($BM68=ChoixSpécificité2Bisons,1)),INDEX(Règles_bison[Specificite],MATCH(ChoixRationBisons&amp;$BM68,Règles_bison[Ration]&amp;Règles_bison[Aliment],0))="c"),
INDEX(Règles_bison[Valeur 3-6],MATCH(ChoixRationBisons&amp;$BM68,Règles_bison[Ration]&amp;Règles_bison[Aliment],0)),0),0)*TotalBisonsMales_3_6_mois*SUM(NbreJoursNourrirBisonsDaims))</f>
        <v>0</v>
      </c>
      <c r="BT68" s="1076">
        <f t="array" ref="BT68">IF(Ration_hivernale_complète_bisons[somme]&gt;0,0,IFERROR(IF(OR(AND(INDEX(Règles_bison[Specificite],MATCH(ChoixRationBisons&amp;$BM68,Règles_bison[Ration]&amp;Règles_bison[Aliment],0))="s1",IF($BM68=ChoixSpécificité1Bisons,1)),
AND(INDEX(Règles_bison[Specificite],MATCH(ChoixRationBisons&amp;$BM68,Règles_bison[Ration]&amp;Règles_bison[Aliment],0))="s2",IF($BM68=ChoixSpécificité2Bisons,1)),INDEX(Règles_bison[Specificite],MATCH(ChoixRationBisons&amp;$BM68,Règles_bison[Ration]&amp;Règles_bison[Aliment],0))="c"),
INDEX(Règles_bison[Valeur 0-3],MATCH(ChoixRationBisons&amp;$BM68,Règles_bison[Ration]&amp;Règles_bison[Aliment],0)),0),0)*TotalBisonsMales_0_3_mois*SUM(NbreJoursNourrirBisonsDaims))</f>
        <v>0</v>
      </c>
      <c r="BU68" s="1275">
        <f t="shared" si="10"/>
        <v>0</v>
      </c>
      <c r="BV68" s="1345"/>
      <c r="BW68" s="1345"/>
      <c r="BX68" s="1176" t="s">
        <v>219</v>
      </c>
      <c r="BY68" s="1177" t="s">
        <v>285</v>
      </c>
      <c r="BZ68" s="1177" t="s">
        <v>1253</v>
      </c>
      <c r="CA68" s="1177">
        <v>1.6</v>
      </c>
      <c r="CB68" s="1177">
        <v>1.4</v>
      </c>
      <c r="CC68" s="1177">
        <v>1.2</v>
      </c>
      <c r="CD68" s="1199">
        <v>1</v>
      </c>
      <c r="CE68" s="1350"/>
      <c r="CF68" s="1350"/>
      <c r="CG68" s="1350"/>
      <c r="CH68" s="1350"/>
      <c r="CI68" s="1321"/>
      <c r="CJ68" s="808" t="s">
        <v>339</v>
      </c>
      <c r="CK68" s="788">
        <f t="array" ref="CK6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68" s="788">
        <f t="array" ref="CL6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68" s="788">
        <f t="array" ref="CM6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68" s="788">
        <f t="array" ref="CN6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68" s="788">
        <f t="array" ref="CO6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68" s="812">
        <f>SUM(AlimentsRationPorcinsMâles[[#This Row],[Valeur 12 et plus]:[Valeur 0-1]])</f>
        <v>0</v>
      </c>
      <c r="CQ68" s="1321"/>
      <c r="CR68" s="1321"/>
      <c r="CS68" s="808" t="s">
        <v>733</v>
      </c>
      <c r="CT68" s="817">
        <f t="array" ref="CT68">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68" s="817">
        <f t="array" ref="CU68">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68" s="817">
        <f t="array" ref="CV68">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68" s="818">
        <f>SUM(AlimentsRationLapinsMâles[[#This Row],[Valeur 3 et plus]:[Valeur 0-1]])</f>
        <v>0</v>
      </c>
      <c r="CX68" s="1321"/>
      <c r="CY68" s="1321"/>
      <c r="CZ68" s="808" t="s">
        <v>733</v>
      </c>
      <c r="DA68" s="817">
        <f t="array" ref="DA68">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68" s="817">
        <f t="array" ref="DB68">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68" s="817">
        <f t="array" ref="DC68">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68" s="818">
        <f>SUM(AlimentsRationVolaillesMâles[[#This Row],[Valeur 6 et plus]:[Valeur 0-1]])</f>
        <v>0</v>
      </c>
      <c r="DE68" s="1364"/>
      <c r="DF68" s="1321"/>
      <c r="DG68" s="808" t="s">
        <v>672</v>
      </c>
      <c r="DH68" s="817">
        <f t="array" ref="DH6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68" s="817">
        <f t="array" ref="DI6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68" s="817">
        <f t="array" ref="DJ6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68" s="818">
        <f>SUM(AlimentsRationPintadesMâles[[#This Row],[Valeur 9 et plus]:[Valeur 0-1]])</f>
        <v>0</v>
      </c>
      <c r="DL68" s="1364"/>
      <c r="DM68" s="1364"/>
      <c r="DN68" s="1176" t="s">
        <v>724</v>
      </c>
      <c r="DO68" s="1177" t="s">
        <v>340</v>
      </c>
      <c r="DP68" s="1177" t="s">
        <v>1252</v>
      </c>
      <c r="DQ68" s="1181">
        <v>16</v>
      </c>
      <c r="DR68" s="1181">
        <v>12</v>
      </c>
      <c r="DS68" s="1181">
        <v>8</v>
      </c>
      <c r="DT68" s="1243">
        <v>0</v>
      </c>
      <c r="DU68" s="1346"/>
      <c r="DV68" s="1076"/>
      <c r="DW68" s="1267">
        <f t="array" ref="DW68">IF(ChoixRationComplèteDaims=OUI,0,IFERROR(IF(OR(AND(INDEX(Règles_daims[Specificite],MATCH(ChoixRationDaims&amp;DV68,Règles_daims[Ration]&amp;Règles_daims[Aliment],0))="s1",IF(DV68=Spécificité1Daims,1)),
AND(INDEX(Règles_daims[Specificite],MATCH(ChoixRationDaims&amp;DV68,Règles_daims[Ration]&amp;Règles_daims[Aliment],0))="s2",IF(DV68=Spécificité2Daims,1)),
INDEX(Règles_daims[Specificite],MATCH(ChoixRationDaims&amp;DV68,Règles_daims[Ration]&amp;Règles_daims[Aliment],0))="c"),
INDEX(Règles_daims[Valeur 36 et plus],MATCH(ChoixRationDaims&amp;DV68,Règles_daims[Ration]&amp;Règles_daims[Aliment],0)),0),0)*SUM(TotalDaimsAdultes)*SUM(NbreJoursNourrirBisonsDaims))</f>
        <v>0</v>
      </c>
      <c r="DX68" s="1267">
        <f t="array" ref="DX68">IF(ChoixRationComplèteDaims=OUI,0,IFERROR(IF(OR(AND(INDEX(Règles_daims[Specificite],MATCH(ChoixRationDaims&amp;DV68,Règles_daims[Ration]&amp;Règles_daims[Aliment],0))="s1",IF(DV68=Spécificité1Daims,1)),
AND(INDEX(Règles_daims[Specificite],MATCH(ChoixRationDaims&amp;DV68,Règles_daims[Ration]&amp;Règles_daims[Aliment],0))="s2",IF(DV68=Spécificité2Daims,1)),
INDEX(Règles_daims[Specificite],MATCH(ChoixRationDaims&amp;DV68,Règles_daims[Ration]&amp;Règles_daims[Aliment],0))="c"),
INDEX(Règles_daims[Valeur 24-36],MATCH(ChoixRationDaims&amp;DV68,Règles_daims[Ration]&amp;Règles_daims[Aliment],0)),0),0)*SUM(TotalDaims24_36)*SUM(NbreJoursNourrirBisonsDaims))</f>
        <v>0</v>
      </c>
      <c r="DY68" s="1267">
        <f t="array" ref="DY68">IF(ChoixRationComplèteDaims=OUI,0,IFERROR(IF(OR(AND(INDEX(Règles_daims[Specificite],MATCH(ChoixRationDaims&amp;DV68,Règles_daims[Ration]&amp;Règles_daims[Aliment],0))="s1",IF(DV68=Spécificité1Daims,1)),
AND(INDEX(Règles_daims[Specificite],MATCH(ChoixRationDaims&amp;DV68,Règles_daims[Ration]&amp;Règles_daims[Aliment],0))="s2",IF(DV68=Spécificité2Daims,1)),
INDEX(Règles_daims[Specificite],MATCH(ChoixRationDaims&amp;DV68,Règles_daims[Ration]&amp;Règles_daims[Aliment],0))="c"),
INDEX(Règles_daims[Valeur 18-24],MATCH(ChoixRationDaims&amp;DV68,Règles_daims[Ration]&amp;Règles_daims[Aliment],0)),0),0)*SUM(TotalDaims18_24)*SUM(NbreJoursNourrirBisonsDaims))</f>
        <v>0</v>
      </c>
      <c r="DZ68" s="1279">
        <f t="array" ref="DZ68">IF(ChoixRationComplèteDaims=OUI,0,IFERROR(IF(OR(AND(INDEX(Règles_daims[Specificite],MATCH(ChoixRationDaims&amp;DV68,Règles_daims[Ration]&amp;Règles_daims[Aliment],0))="s1",IF(DV68=Spécificité1Daims,1)),
AND(INDEX(Règles_daims[Specificite],MATCH(ChoixRationDaims&amp;DV68,Règles_daims[Ration]&amp;Règles_daims[Aliment],0))="s2",IF(DV68=Spécificité2Daims,1)),
INDEX(Règles_daims[Specificite],MATCH(ChoixRationDaims&amp;DV68,Règles_daims[Ration]&amp;Règles_daims[Aliment],0))="c"),
INDEX(Règles_daims[Valeur 12-18],MATCH(ChoixRationDaims&amp;DV68,Règles_daims[Ration]&amp;Règles_daims[Aliment],0)),0),0)*SUM(TotalDaims12_18)*SUM(NbreJoursNourrirBisonsDaims))</f>
        <v>0</v>
      </c>
      <c r="EA68" s="1279">
        <f t="array" ref="EA68">IF(ChoixRationComplèteDaims=OUI,0,IFERROR(IF(OR(AND(INDEX(Règles_daims[Specificite],MATCH(ChoixRationDaims&amp;DV68,Règles_daims[Ration]&amp;Règles_daims[Aliment],0))="s1",IF(DV68=Spécificité1Daims,1)),
AND(INDEX(Règles_daims[Specificite],MATCH(ChoixRationDaims&amp;DV68,Règles_daims[Ration]&amp;Règles_daims[Aliment],0))="s2",IF(DV68=Spécificité2Daims,1)),
INDEX(Règles_daims[Specificite],MATCH(ChoixRationDaims&amp;DV68,Règles_daims[Ration]&amp;Règles_daims[Aliment],0))="c"),
INDEX(Règles_daims[Valeur 6-12],MATCH(ChoixRationDaims&amp;DV68,Règles_daims[Ration]&amp;Règles_daims[Aliment],0)),0),0)*SUM(TotalDaims6_12)*SUM(NbreJoursNourrirBisonsDaims))</f>
        <v>0</v>
      </c>
      <c r="EB68" s="1279">
        <f t="array" ref="EB68">IF(ChoixRationComplèteDaims=OUI,0,IFERROR(IF(OR(AND(INDEX(Règles_daims[Specificite],MATCH(ChoixRationDaims&amp;DV68,Règles_daims[Ration]&amp;Règles_daims[Aliment],0))="s1",IF(DV68=Spécificité1Daims,1)),
AND(INDEX(Règles_daims[Specificite],MATCH(ChoixRationDaims&amp;DV68,Règles_daims[Ration]&amp;Règles_daims[Aliment],0))="s2",IF(DV68=Spécificité2Daims,1)),
INDEX(Règles_daims[Specificite],MATCH(ChoixRationDaims&amp;DV68,Règles_daims[Ration]&amp;Règles_daims[Aliment],0))="c"),
INDEX(Règles_daims[Valeur 3-6],MATCH(ChoixRationDaims&amp;DV68,Règles_daims[Ration]&amp;Règles_daims[Aliment],0)),0),0)*SUM(TotalDaims3_6)*SUM(NbreJoursNourrirBisonsDaims))</f>
        <v>0</v>
      </c>
      <c r="EC68" s="1279">
        <f t="array" ref="EC68">IF(ChoixRationComplèteDaims=OUI,0,IFERROR(IF(OR(AND(INDEX(Règles_daims[Specificite],MATCH(ChoixRationDaims&amp;DV68,Règles_daims[Ration]&amp;Règles_daims[Aliment],0))="s1",IF(DV68=Spécificité1Daims,1)),
AND(INDEX(Règles_daims[Specificite],MATCH(ChoixRationDaims&amp;DV68,Règles_daims[Ration]&amp;Règles_daims[Aliment],0))="s2",IF(DV68=Spécificité2Daims,1)),
INDEX(Règles_daims[Specificite],MATCH(ChoixRationDaims&amp;DV68,Règles_daims[Ration]&amp;Règles_daims[Aliment],0))="c"),
INDEX(Règles_daims[Valeur 0-3],MATCH(ChoixRationDaims&amp;DV68,Règles_daims[Ration]&amp;Règles_daims[Aliment],0)),0),0)*SUM(TotalDaims0_3)*SUM(NbreJoursNourrirBisonsDaims))</f>
        <v>0</v>
      </c>
      <c r="ED68" s="1279">
        <f t="shared" si="9"/>
        <v>0</v>
      </c>
      <c r="EE68" s="1345"/>
      <c r="EF68" s="1321"/>
      <c r="EG68" s="808" t="s">
        <v>332</v>
      </c>
      <c r="EH68" s="817">
        <f t="array" ref="EH6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68" s="817">
        <f t="array" ref="EI6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68" s="817">
        <f t="array" ref="EJ6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68" s="818">
        <f>SUM(AlimentsRationOiesMâles[[#This Row],[Valeur 6 et plus]:[Valeur 0-3]])</f>
        <v>0</v>
      </c>
      <c r="EL68" s="1364"/>
      <c r="EM68" s="1321"/>
      <c r="EN68" s="808" t="s">
        <v>333</v>
      </c>
      <c r="EO68" s="817">
        <f t="array" ref="EO6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68" s="817">
        <f t="array" ref="EP6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68" s="817">
        <f t="array" ref="EQ6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68" s="818">
        <f>SUM(Ration_canards_Mâles[[#This Row],[Valeur 6 et plus]:[Valeur 0-3]])</f>
        <v>0</v>
      </c>
      <c r="ES68" s="1364"/>
      <c r="ET68" s="1321"/>
      <c r="EU68" s="1082" t="s">
        <v>1719</v>
      </c>
      <c r="EV68" s="1282">
        <f t="array" ref="EV68">IF(OR(ChoixRationComplèteEtéChevauxSelle=OUI,ChoixRationComplèteEtéChevauxSelle="",AND(ChoixChevauxSellePréHiver=OUI,ChoixChevauxSellePréEté=OUI)),0,IFERROR(IF(OR(AND(INDEX(Règles_chevaux_selle[Specificite],MATCH(RationEtéChevauxSelle&amp;$EU68,Règles_chevaux_selle[Ration]&amp;Règles_chevaux_selle[Aliment],0))="s1",IF($EU68=Spécificité1ChevauxSelle,1)),
AND(INDEX(Règles_chevaux_selle[Specificite],MATCH(RationEtéChevauxSelle&amp;$EU68,Règles_chevaux_selle[Ration]&amp;Règles_chevaux_selle[Aliment],0))="s2",IF($EU68=Spécificité2ChevauxSelle,1)),
INDEX(Règles_chevaux_selle[Specificite],MATCH(RationEtéChevauxSelle&amp;$EU68,Règles_chevaux_selle[Ration]&amp;Règles_chevaux_selle[Aliment],0))="c"),
INDEX(Règles_chevaux_selle[Valeur 36 et plus],MATCH(RationEtéChevauxSelle&amp;$EU68,Règles_chevaux_selle[Ration]&amp;Règles_chevaux_selle[Aliment],0)),0),0)*TotalEtalonSelle*SUM(NbreJoursNourrirChevauxSelle))</f>
        <v>0</v>
      </c>
      <c r="EW68" s="1282">
        <f t="array" ref="EW68">IF(OR(ChoixRationComplèteEtéChevauxSelle=OUI,ChoixRationComplèteEtéChevauxSelle="",AND(ChoixChevauxSellePréHiver=OUI,ChoixChevauxSellePréEté=OUI)),0,IFERROR(IF(OR(AND(INDEX(Règles_chevaux_selle[Specificite],MATCH(RationEtéChevauxSelle&amp;$EU68,Règles_chevaux_selle[Ration]&amp;Règles_chevaux_selle[Aliment],0))="s1",IF($EU68=Spécificité1ChevauxSelle,1)),
AND(INDEX(Règles_chevaux_selle[Specificite],MATCH(RationEtéChevauxSelle&amp;$EU68,Règles_chevaux_selle[Ration]&amp;Règles_chevaux_selle[Aliment],0))="s2",IF($EU68=Spécificité2ChevauxSelle,1)),
INDEX(Règles_chevaux_selle[Specificite],MATCH(RationEtéChevauxSelle&amp;$EU68,Règles_chevaux_selle[Ration]&amp;Règles_chevaux_selle[Aliment],0))="c"),
INDEX(Règles_chevaux_selle[Valeur 24-36],MATCH(RationEtéChevauxSelle&amp;$EU68,Règles_chevaux_selle[Ration]&amp;Règles_chevaux_selle[Aliment],0)),0),0)*TotalJeuneEtalonSelle_24_36_mois*SUM(NbreJoursNourrirChevauxSelle))</f>
        <v>0</v>
      </c>
      <c r="EX68" s="1282">
        <f t="array" ref="EX68">IF(OR(ChoixRationComplèteEtéChevauxSelle=OUI,ChoixRationComplèteEtéChevauxSelle="",AND(ChoixChevauxSellePréHiver=OUI,ChoixChevauxSellePréEté=OUI)),0,IFERROR(IF(OR(AND(INDEX(Règles_chevaux_selle[Specificite],MATCH(RationEtéChevauxSelle&amp;$EU68,Règles_chevaux_selle[Ration]&amp;Règles_chevaux_selle[Aliment],0))="s1",IF($EU68=Spécificité1ChevauxSelle,1)),
AND(INDEX(Règles_chevaux_selle[Specificite],MATCH(RationEtéChevauxSelle&amp;$EU68,Règles_chevaux_selle[Ration]&amp;Règles_chevaux_selle[Aliment],0))="s2",IF($EU68=Spécificité2ChevauxSelle,1)),
INDEX(Règles_chevaux_selle[Specificite],MATCH(RationEtéChevauxSelle&amp;$EU68,Règles_chevaux_selle[Ration]&amp;Règles_chevaux_selle[Aliment],0))="c"),
INDEX(Règles_chevaux_selle[Valeur 12-24],MATCH(RationEtéChevauxSelle&amp;$EU68,Règles_chevaux_selle[Ration]&amp;Règles_chevaux_selle[Aliment],0)),0),0)*TotalJeuneEtalonSelle_12_24_mois*SUM(NbreJoursNourrirChevauxSelle))</f>
        <v>0</v>
      </c>
      <c r="EY68" s="1285">
        <f t="array" ref="EY68">IF(OR(ChoixRationComplèteEtéChevauxSelle=OUI,ChoixRationComplèteEtéChevauxSelle="",AND(ChoixChevauxSellePréHiver=OUI,ChoixChevauxSellePréEté=OUI)),0,IFERROR(IF(OR(AND(INDEX(Règles_chevaux_selle[Specificite],MATCH(RationEtéChevauxSelle&amp;$EU68,Règles_chevaux_selle[Ration]&amp;Règles_chevaux_selle[Aliment],0))="s1",IF($EU68=Spécificité1ChevauxSelle,1)),
AND(INDEX(Règles_chevaux_selle[Specificite],MATCH(RationEtéChevauxSelle&amp;$EU68,Règles_chevaux_selle[Ration]&amp;Règles_chevaux_selle[Aliment],0))="s2",IF($EU68=Spécificité2ChevauxSelle,1)),
INDEX(Règles_chevaux_selle[Specificite],MATCH(RationEtéChevauxSelle&amp;$EU68,Règles_chevaux_selle[Ration]&amp;Règles_chevaux_selle[Aliment],0))="c"),
INDEX(Règles_chevaux_selle[Valeur 0-12],MATCH(RationEtéChevauxSelle&amp;$EU68,Règles_chevaux_selle[Ration]&amp;Règles_chevaux_selle[Aliment],0)),0),0)*TotalPoulainSelle_0_12_mois*SUM(NbreJoursNourrirChevauxSelle))</f>
        <v>0</v>
      </c>
      <c r="EZ68" s="1285">
        <f t="shared" si="16"/>
        <v>0</v>
      </c>
      <c r="FA68" s="1345"/>
      <c r="FB68" s="1345"/>
      <c r="FC68" s="1346"/>
      <c r="FD68" s="1082" t="s">
        <v>219</v>
      </c>
      <c r="FE68" s="1282">
        <f t="array" ref="FE68">IF(OR(ChoixRationComplèteEtéChevauxTrait=OUI,ChoixRationComplèteEtéChevauxTrait="",AND(ChoixChevauxTraitPréHiver=OUI,ChoixChevauxTraitPréEté=OUI)),0,IFERROR(IF(OR(AND(INDEX(Règles_chevaux_trait[Specificite],MATCH(RationEtéChevauxTrait&amp;$FD68,Règles_chevaux_trait[Ration]&amp;Règles_chevaux_trait[Aliment],0))="s1",IF($FD68=Spécificité1ChevauxTrait,1)),
AND(INDEX(Règles_chevaux_trait[Specificite],MATCH(RationEtéChevauxTrait&amp;$FD68,Règles_chevaux_trait[Ration]&amp;Règles_chevaux_trait[Aliment],0))="s2",IF($FD68=Spécificité2ChevauxTrait,1)),
INDEX(Règles_chevaux_trait[Specificite],MATCH(RationEtéChevauxTrait&amp;$FD68,Règles_chevaux_trait[Ration]&amp;Règles_chevaux_trait[Aliment],0))="c"),
INDEX(Règles_chevaux_trait[Valeur 36 et plus],MATCH(RationEtéChevauxTrait&amp;$FD68,Règles_chevaux_trait[Ration]&amp;Règles_chevaux_trait[Aliment],0)),0),0)*TotalEtalonTrait*SUM(NbreJoursNourrirChevauxTrait))</f>
        <v>0</v>
      </c>
      <c r="FF68" s="1282">
        <f t="array" ref="FF68">IF(OR(ChoixRationComplèteEtéChevauxTrait=OUI,ChoixRationComplèteEtéChevauxTrait="",AND(ChoixChevauxTraitPréHiver=OUI,ChoixChevauxTraitPréEté=OUI)),0,IFERROR(IF(OR(AND(INDEX(Règles_chevaux_trait[Specificite],MATCH(RationEtéChevauxTrait&amp;$FD68,Règles_chevaux_trait[Ration]&amp;Règles_chevaux_trait[Aliment],0))="s1",IF($FD68=Spécificité1ChevauxTrait,1)),
AND(INDEX(Règles_chevaux_trait[Specificite],MATCH(RationEtéChevauxTrait&amp;$FD68,Règles_chevaux_trait[Ration]&amp;Règles_chevaux_trait[Aliment],0))="s2",IF($FD68=Spécificité2ChevauxTrait,1)),
INDEX(Règles_chevaux_trait[Specificite],MATCH(RationEtéChevauxTrait&amp;$FD68,Règles_chevaux_trait[Ration]&amp;Règles_chevaux_trait[Aliment],0))="c"),
INDEX(Règles_chevaux_trait[Valeur 24-36],MATCH(RationEtéChevauxTrait&amp;$FD68,Règles_chevaux_trait[Ration]&amp;Règles_chevaux_trait[Aliment],0)),0),0)*TotalJeuneEtalonTrait_24_36_mois*SUM(NbreJoursNourrirChevauxTrait))</f>
        <v>0</v>
      </c>
      <c r="FG68" s="1282">
        <f t="array" ref="FG68">IF(OR(ChoixRationComplèteEtéChevauxTrait=OUI,ChoixRationComplèteEtéChevauxTrait="",AND(ChoixChevauxTraitPréHiver=OUI,ChoixChevauxTraitPréEté=OUI)),0,IFERROR(IF(OR(AND(INDEX(Règles_chevaux_trait[Specificite],MATCH(RationEtéChevauxTrait&amp;$FD68,Règles_chevaux_trait[Ration]&amp;Règles_chevaux_trait[Aliment],0))="s1",IF($FD68=Spécificité1ChevauxTrait,1)),
AND(INDEX(Règles_chevaux_trait[Specificite],MATCH(RationEtéChevauxTrait&amp;$FD68,Règles_chevaux_trait[Ration]&amp;Règles_chevaux_trait[Aliment],0))="s2",IF($FD68=Spécificité2ChevauxTrait,1)),
INDEX(Règles_chevaux_trait[Specificite],MATCH(RationEtéChevauxTrait&amp;$FD68,Règles_chevaux_trait[Ration]&amp;Règles_chevaux_trait[Aliment],0))="c"),
INDEX(Règles_chevaux_trait[Valeur 12-24],MATCH(RationEtéChevauxTrait&amp;$FD68,Règles_chevaux_trait[Ration]&amp;Règles_chevaux_trait[Aliment],0)),0),0)*TotalJeuneEtalonTrait_12_24_mois*SUM(NbreJoursNourrirChevauxTrait))</f>
        <v>0</v>
      </c>
      <c r="FH68" s="1285">
        <f t="array" ref="FH68">IF(OR(ChoixRationComplèteEtéChevauxTrait=OUI,ChoixRationComplèteEtéChevauxTrait="",AND(ChoixChevauxTraitPréHiver=OUI,ChoixChevauxTraitPréEté=OUI)),0,IFERROR(IF(OR(AND(INDEX(Règles_chevaux_trait[Specificite],MATCH(RationEtéChevauxTrait&amp;$FD68,Règles_chevaux_trait[Ration]&amp;Règles_chevaux_trait[Aliment],0))="s1",IF($FD68=Spécificité1ChevauxTrait,1)),
AND(INDEX(Règles_chevaux_trait[Specificite],MATCH(RationEtéChevauxTrait&amp;$FD68,Règles_chevaux_trait[Ration]&amp;Règles_chevaux_trait[Aliment],0))="s2",IF($FD68=Spécificité2ChevauxTrait,1)),
INDEX(Règles_chevaux_trait[Specificite],MATCH(RationEtéChevauxTrait&amp;$FD68,Règles_chevaux_trait[Ration]&amp;Règles_chevaux_trait[Aliment],0))="c"),
INDEX(Règles_chevaux_trait[Valeur 0-12],MATCH(RationEtéChevauxTrait&amp;$FD68,Règles_chevaux_trait[Ration]&amp;Règles_chevaux_trait[Aliment],0)),0),0)*TotalPoulainTrait_0_12_mois*SUM(NbreJoursNourrirChevauxTrait))</f>
        <v>0</v>
      </c>
      <c r="FI68" s="1285">
        <f t="shared" si="15"/>
        <v>0</v>
      </c>
      <c r="FJ68" s="1345"/>
      <c r="FK68" s="1345"/>
      <c r="FL68" s="1345"/>
      <c r="FM68" s="1346"/>
      <c r="FN68" s="1083" t="s">
        <v>332</v>
      </c>
      <c r="FO68" s="1283">
        <f t="array" ref="FO68">IF(OR(ChoixRationComplèteEtéPoneys=OUI,ChoixRationComplèteEtéPoneys="",AND(ChoixPoneysPréHiver=OUI,ChoixPoneysPréEté=OUI)),0,IFERROR(IF(OR(AND(INDEX(Règles_poneys[Specificite],MATCH(RationEtéPoneys&amp;$FN68,Règles_poneys[Ration]&amp;Règles_poneys[Aliment],0))="s1",IF($FN68=Spécificité1Poneys,1)),
AND(INDEX(Règles_poneys[Specificite],MATCH(RationEtéPoneys&amp;$FN68,Règles_poneys[Ration]&amp;Règles_poneys[Aliment],0))="s2",IF($FN68=Spécificité2Poneys,1)),
INDEX(Règles_poneys[Specificite],MATCH(RationEtéPoneys&amp;$FN68,Règles_poneys[Ration]&amp;Règles_poneys[Aliment],0))="c"),
INDEX(Règles_poneys[Valeur 36 et plus],MATCH(RationEtéPoneys&amp;$FN68,Règles_poneys[Ration]&amp;Règles_poneys[Aliment],0)),0),0)*TotalEtalonPoney*SUM(NbreJoursNourrirPoneys))</f>
        <v>0</v>
      </c>
      <c r="FP68" s="1283">
        <f t="array" ref="FP68">IF(OR(ChoixRationComplèteEtéPoneys=OUI,ChoixRationComplèteEtéPoneys="",AND(ChoixPoneysPréHiver=OUI,ChoixPoneysPréEté=OUI)),0,IFERROR(IF(OR(AND(INDEX(Règles_poneys[Specificite],MATCH(RationEtéPoneys&amp;$FN68,Règles_poneys[Ration]&amp;Règles_poneys[Aliment],0))="s1",IF($FN68=Spécificité1Poneys,1)),
AND(INDEX(Règles_poneys[Specificite],MATCH(RationEtéPoneys&amp;$FN68,Règles_poneys[Ration]&amp;Règles_poneys[Aliment],0))="s2",IF($FN68=Spécificité2Poneys,1)),
INDEX(Règles_poneys[Specificite],MATCH(RationEtéPoneys&amp;$FN68,Règles_poneys[Ration]&amp;Règles_poneys[Aliment],0))="c"),
INDEX(Règles_poneys[Valeur 36 et plus],MATCH(RationEtéPoneys&amp;$FN68,Règles_poneys[Ration]&amp;Règles_poneys[Aliment],0)),0),0)*TotalJeuneEtalonPoney_24_36_mois*SUM(NbreJoursNourrirPoneys))</f>
        <v>0</v>
      </c>
      <c r="FQ68" s="1283">
        <f t="array" ref="FQ68">IF(OR(ChoixRationComplèteEtéPoneys=OUI,ChoixRationComplèteEtéPoneys="",AND(ChoixPoneysPréHiver=OUI,ChoixPoneysPréEté=OUI)),0,IFERROR(IF(OR(AND(INDEX(Règles_poneys[Specificite],MATCH(RationEtéPoneys&amp;$FN68,Règles_poneys[Ration]&amp;Règles_poneys[Aliment],0))="s1",IF($FN68=Spécificité1Poneys,1)),
AND(INDEX(Règles_poneys[Specificite],MATCH(RationEtéPoneys&amp;$FN68,Règles_poneys[Ration]&amp;Règles_poneys[Aliment],0))="s2",IF($FN68=Spécificité2Poneys,1)),
INDEX(Règles_poneys[Specificite],MATCH(RationEtéPoneys&amp;$FN68,Règles_poneys[Ration]&amp;Règles_poneys[Aliment],0))="c"),
INDEX(Règles_poneys[Valeur 36 et plus],MATCH(RationEtéPoneys&amp;$FN68,Règles_poneys[Ration]&amp;Règles_poneys[Aliment],0)),0),0)*TotalJeuneEtalonPoney_12_24_mois*SUM(NbreJoursNourrirPoneys))</f>
        <v>0</v>
      </c>
      <c r="FR68" s="1286">
        <f t="array" ref="FR68">IF(OR(ChoixRationComplèteEtéPoneys=OUI,ChoixRationComplèteEtéPoneys="",AND(ChoixPoneysPréHiver=OUI,ChoixPoneysPréEté=OUI)),0,IFERROR(IF(OR(AND(INDEX(Règles_poneys[Specificite],MATCH(RationEtéPoneys&amp;$FN68,Règles_poneys[Ration]&amp;Règles_poneys[Aliment],0))="s1",IF($FN68=Spécificité1Poneys,1)),
AND(INDEX(Règles_poneys[Specificite],MATCH(RationEtéPoneys&amp;$FN68,Règles_poneys[Ration]&amp;Règles_poneys[Aliment],0))="s2",IF($FN68=Spécificité2Poneys,1)),
INDEX(Règles_poneys[Specificite],MATCH(RationEtéPoneys&amp;$FN68,Règles_poneys[Ration]&amp;Règles_poneys[Aliment],0))="c"),
INDEX(Règles_poneys[Valeur 36 et plus],MATCH(RationEtéPoneys&amp;$FN68,Règles_poneys[Ration]&amp;Règles_poneys[Aliment],0)),0),0)*TotalPoulainPoney_0_12_mois*SUM(NbreJoursNourrirPoneys))</f>
        <v>0</v>
      </c>
      <c r="FS68" s="1286">
        <f t="shared" si="14"/>
        <v>0</v>
      </c>
      <c r="FT68" s="1345"/>
      <c r="FU68" s="1345"/>
      <c r="FV68" s="1345"/>
      <c r="FW68" s="823" t="s">
        <v>723</v>
      </c>
      <c r="FX68" s="828">
        <f t="array" ref="FX6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68" s="828">
        <f t="array" ref="FY6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68" s="828">
        <f t="array" ref="FZ6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68" s="828">
        <f t="array" ref="GA6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68" s="829">
        <f>SUM(AlimentsGavageOies[[#This Row],[Valeur 3 et plus]:[Valeur 0-1]])</f>
        <v>0</v>
      </c>
      <c r="GC68" s="1364"/>
      <c r="GD68" s="1321"/>
      <c r="GE68" s="1143" t="s">
        <v>250</v>
      </c>
      <c r="GF68" s="1321"/>
      <c r="GG68" s="1321" t="s">
        <v>1349</v>
      </c>
      <c r="GH68" s="1321" t="s">
        <v>1349</v>
      </c>
      <c r="GI68" s="1321" t="s">
        <v>1349</v>
      </c>
      <c r="GJ68" s="1321" t="s">
        <v>1349</v>
      </c>
      <c r="GK68" s="1321" t="s">
        <v>1349</v>
      </c>
      <c r="GL68" s="1321" t="s">
        <v>1349</v>
      </c>
      <c r="GM68" s="1321" t="s">
        <v>1349</v>
      </c>
      <c r="GN68" s="1321" t="s">
        <v>1349</v>
      </c>
      <c r="GO68" s="1321" t="s">
        <v>1349</v>
      </c>
      <c r="GP68" s="1321" t="s">
        <v>1349</v>
      </c>
      <c r="GQ68" s="1321" t="s">
        <v>1349</v>
      </c>
      <c r="GR68" s="1321" t="s">
        <v>1349</v>
      </c>
      <c r="GS68" s="1321" t="s">
        <v>1349</v>
      </c>
      <c r="GT68" s="1321" t="s">
        <v>1349</v>
      </c>
      <c r="GU68" s="1321" t="s">
        <v>1349</v>
      </c>
      <c r="GV68" s="1321" t="s">
        <v>1349</v>
      </c>
      <c r="GW68" s="1321"/>
      <c r="GX68" s="1321"/>
      <c r="GY68" s="1083" t="str">
        <f t="shared" si="11"/>
        <v>semences de phacélie</v>
      </c>
      <c r="GZ68" s="1083"/>
      <c r="HA68" s="1084"/>
      <c r="HB68" s="1084">
        <f>IF(COUNTIF(TypeArticleDansEntrepôt,GY68)=0,0,SUMIF(TypeArticleDansEntrepôt,GY68,QtéArticleDansEntrepôt)*VLOOKUP(GY68,place_necessaire_entrepots_aire_paille[],2,FALSE))</f>
        <v>0</v>
      </c>
      <c r="HC68" s="1321"/>
      <c r="HD68" s="1321"/>
      <c r="HE68" s="1321"/>
      <c r="HF68" s="1321"/>
      <c r="HG68" s="1321"/>
      <c r="HH68" s="1321"/>
      <c r="HI68" s="1321"/>
      <c r="HJ68" s="1321"/>
      <c r="HK68" s="1321"/>
      <c r="HL68" s="1321"/>
      <c r="HM68" s="1321"/>
      <c r="HN68" s="1084" t="str">
        <f>IF(parcelles!B116="","",(VLOOKUP(parcelles!C116,BDD!$HN$5:$HU$38,2,FALSE))*parcelles!E116)</f>
        <v/>
      </c>
      <c r="HO68" s="1084" t="str">
        <f>IF(parcelles!B116="","",IF(OR(parcelles!C116=Moutarde,parcelles!C116=Phacélie),0,IF(parcelles!C116=Luzerne,10*parcelles!E116*VLOOKUP(parcelles!C116,BDD!$HN$5:$HU$38,3,FALSE),IF(parcelles!C116=Miscanthus,10.5*parcelles!E116*VLOOKUP(parcelles!C116,BDD!$HN$5:$HU$38,3,FALSE),INDEX(parcelles!$C$56:'parcelles'!$Y$77,MATCH(parcelles!B116,parcelles!$B$56:'parcelles'!$B$77,0),MATCH(parcelles!C116,parcelles!$C$53:'parcelles'!$Y$53,0))*parcelles!E116*VLOOKUP(parcelles!C116,BDD!$HN$5:$HU$38,3,FALSE)))))</f>
        <v/>
      </c>
      <c r="HP68" s="1084" t="str">
        <f>IF(parcelles!B116="","",IF(OR(parcelles!C116=Moutarde,parcelles!C116=Phacélie),0,IF(parcelles!C116=Luzerne,10*parcelles!E116*VLOOKUP(parcelles!C116,BDD!$HN$5:$HU$38,4,FALSE),IF(parcelles!C116=Miscanthus,10.5*parcelles!E116*VLOOKUP(parcelles!C116,BDD!$HN$5:$HU$38,4,FALSE),INDEX(parcelles!$C$56:'parcelles'!$Y$77,MATCH(parcelles!B116,parcelles!$B$56:'parcelles'!$B$77,0),MATCH(parcelles!C116,parcelles!$C$53:'parcelles'!$Y$53,0))*parcelles!E116*VLOOKUP(parcelles!C116,BDD!$HN$5:$HU$38,4,FALSE)))))</f>
        <v/>
      </c>
      <c r="HQ68" s="1084" t="str">
        <f>IF(parcelles!B116="","",IF(OR(parcelles!C116=Moutarde,parcelles!C116=Phacélie),0,IF(parcelles!C116=Luzerne,10*parcelles!E116*VLOOKUP(parcelles!C116,BDD!$HN$5:$HU$38,5,FALSE),IF(parcelles!C116=Miscanthus,10.5*parcelles!E116*VLOOKUP(parcelles!C116,BDD!$HN$5:$HU$38,5,FALSE),INDEX(parcelles!$C$56:'parcelles'!$Y$77,MATCH(parcelles!B116,parcelles!$B$56:'parcelles'!$B$77,0),MATCH(parcelles!C116,parcelles!$C$53:'parcelles'!$Y$53,0))*parcelles!E116*VLOOKUP(parcelles!C116,BDD!$HN$5:$HU$38,5,FALSE)))))</f>
        <v/>
      </c>
      <c r="HR68" s="1084" t="str">
        <f>IF(parcelles!B116="","",IF(OR(parcelles!C116=Moutarde,parcelles!C116=Phacélie),0,IF(parcelles!C116=Luzerne,10*parcelles!E116*VLOOKUP(parcelles!C116,BDD!$HN$5:$HU$38,6,FALSE),IF(parcelles!C116=Miscanthus,10.5*parcelles!E116*VLOOKUP(parcelles!C116,BDD!$HN$5:$HU$38,6,FALSE),INDEX(parcelles!$C$56:'parcelles'!$Y$77,MATCH(parcelles!B116,parcelles!$B$56:'parcelles'!$B$77,0),MATCH(parcelles!C116,parcelles!$C$53:'parcelles'!$Y$53,0))*parcelles!E116*VLOOKUP(parcelles!C116,BDD!$HN$5:$HU$38,6,FALSE)))))</f>
        <v/>
      </c>
      <c r="HS68" s="1084" t="str">
        <f>IF(parcelles!B116="","",IF(OR(parcelles!C116=Moutarde,parcelles!C116=Phacélie),0,IF(parcelles!C116=Luzerne,10*parcelles!E116*VLOOKUP(parcelles!C116,BDD!$HN$5:$HU$38,7,FALSE),IF(parcelles!C116=Miscanthus,10.5*parcelles!E116*VLOOKUP(parcelles!C116,BDD!$HN$5:$HU$38,7,FALSE),INDEX(parcelles!$C$56:'parcelles'!$Y$77,MATCH(parcelles!B116,parcelles!$B$56:'parcelles'!$B$77,0),MATCH(parcelles!C116,parcelles!$C$53:'parcelles'!$Y$53,0))*parcelles!E116*VLOOKUP(parcelles!C116,BDD!$HN$5:$HU$38,7,FALSE)))))</f>
        <v/>
      </c>
      <c r="HT68" s="1084" t="str">
        <f>IF(parcelles!B116="","",IF(OR(parcelles!C116=Moutarde,parcelles!C116=Phacélie),0,IF(parcelles!C116=Luzerne,10*parcelles!E116*VLOOKUP(parcelles!C116,BDD!$HN$5:$HU$38,8,FALSE),IF(parcelles!C116=Miscanthus,10.5*parcelles!E116*VLOOKUP(parcelles!C116,BDD!$HN$5:$HU$38,8,FALSE),INDEX(parcelles!$C$56:'parcelles'!$Y$77,MATCH(parcelles!B116,parcelles!$B$56:'parcelles'!$B$77,0),MATCH(parcelles!C116,parcelles!$C$53:'parcelles'!$Y$53,0))*parcelles!E116*VLOOKUP(parcelles!C116,BDD!$HN$5:$HU$38,8,FALSE)))))</f>
        <v/>
      </c>
      <c r="HU68" s="1084" t="str">
        <f>IF(parcelles!B116="","",IF(OR(parcelles!C116=Moutarde,parcelles!C116=Phacélie),0,1.6*parcelles!E116))</f>
        <v/>
      </c>
      <c r="HV68" s="1084" t="str">
        <f>IF(parcelles!B116="","",IF(OR(parcelles!C116=Moutarde,parcelles!C116=Phacélie),0,1.6*parcelles!E116))</f>
        <v/>
      </c>
      <c r="HW68" s="1084" t="str">
        <f>IF(parcelles!B116="","",IF(OR(parcelles!C116=Moutarde,parcelles!C116=Phacélie),0,1.6*parcelles!E116))</f>
        <v/>
      </c>
      <c r="HX68" s="1095" t="str">
        <f>IF(parcelles!D116="","",IF(parcelles!C116=ChanvreIndustriel,INDEX(parcelles!$C$56:$Y$77,MATCH(parcelles!B116,parcelles!$B$56:$B$77,0),MATCH(parcelles!C116,parcelles!$C$53:$Y$53,0))*parcelles!E116*SUMIF(ListeCulturesBDD,parcelles!C116,PrixVenteCulturesConventionnel)+RIGHT(BDD!$HM$7,3)*7*parcelles!E116,IF(parcelles!C116=Luzerne,parcelles!E116*10*VLOOKUP(parcelles!C116,TarifsCoopCultures,2,FALSE),IF(parcelles!C116=Miscanthus,parcelles!E116*10.5*VLOOKUP(Luzerne,TarifsCoopCultures,2,FALSE),INDEX(parcelles!$C$56:$Y$77,MATCH(parcelles!B116,parcelles!$B$56:$B$77,0),MATCH(parcelles!C116,parcelles!$C$53:$Y$53,0))*parcelles!E116*SUMIF(ListeCulturesBDD,parcelles!C116,PrixVenteCulturesConventionnel)))))</f>
        <v/>
      </c>
      <c r="HY68" s="1084" t="str">
        <f>IF(parcelles!D116="","",IF(parcelles!F116=0,"",IF(parcelles!C116=ChanvreIndustriel,"soit "&amp;parcelles!E116*0.8&amp;"t de grain et "&amp;parcelles!E116*7&amp;"t de paille",IF(parcelles!C116=Luzerne,"soit "&amp;10*parcelles!E116&amp;"t/an",IF(parcelles!C116=Miscanthus,"soit "&amp;10.5*parcelles!E116&amp;"t/an","soit "&amp;INDEX(parcelles!$C$56:$Y$77,MATCH(parcelles!B116,parcelles!$B$56:$B$77,0),MATCH(parcelles!C116,parcelles!$C$53:$Y$53,0))*parcelles!E116&amp;"t")))))</f>
        <v/>
      </c>
      <c r="HZ68" s="1084" t="str">
        <f>IF(parcelles!D116="","",IF(parcelles!F116=0,"",IF(parcelles!C116=ChanvreIndustriel,"soit "&amp;parcelles!E116*0.8*0.8&amp;"t de grain et "&amp;parcelles!E116*7*0.8&amp;"t de paille",IF(parcelles!C116=Luzerne,"soit "&amp;10*0.8*parcelles!E116&amp;"t/an",IF(parcelles!C116=Miscanthus,"soit "&amp;10.5*0.8*parcelles!E116&amp;"t/an","soit "&amp;INDEX(parcelles!$C$56:$Y$77,MATCH(parcelles!B116,parcelles!$B$56:$B$77,0),MATCH(parcelles!C116,parcelles!$C$53:$Y$53,0))*0.8*parcelles!E116&amp;"t")))))</f>
        <v/>
      </c>
      <c r="IA68" s="1084" t="str">
        <f>IF(parcelles!L116="","",(VLOOKUP(parcelles!M116,BDD!$HN$5:$HU$38,2,FALSE))*parcelles!O116)</f>
        <v/>
      </c>
      <c r="IB68" s="1084" t="str">
        <f>IF(parcelles!L116="","",IF(OR(parcelles!M116=Moutarde,parcelles!M116=Phacélie),0,IF(parcelles!M116=Luzerne,10*parcelles!O116*VLOOKUP(parcelles!M116,BDD!$HN$5:$HU$38,3,FALSE),IF(parcelles!M116=Miscanthus,10.5*parcelles!O116*VLOOKUP(parcelles!M116,BDD!$HN$5:$HU$38,3,FALSE),INDEX(parcelles!$C$56:'parcelles'!$Y$77,MATCH(parcelles!L116,parcelles!$B$56:'parcelles'!$B$77,0),MATCH(parcelles!M116,parcelles!$C$53:'parcelles'!$Y$53,0))*parcelles!O116*VLOOKUP(parcelles!M116,BDD!$HN$5:$HU$38,3,FALSE)))))</f>
        <v/>
      </c>
      <c r="IC68" s="1084" t="str">
        <f>IF(parcelles!L116="","",IF(OR(parcelles!M116=Moutarde,parcelles!M116=Phacélie),0,IF(parcelles!M116=Luzerne,10*parcelles!O116*VLOOKUP(parcelles!M116,BDD!$HN$5:$HU$38,4,FALSE),IF(parcelles!M116=Miscanthus,10.5*parcelles!O116*VLOOKUP(parcelles!M116,BDD!$HN$5:$HU$38,4,FALSE),INDEX(parcelles!$C$56:'parcelles'!$Y$77,MATCH(parcelles!L116,parcelles!$B$56:'parcelles'!$B$77,0),MATCH(parcelles!M116,parcelles!$C$53:'parcelles'!$Y$53,0))*parcelles!O116*VLOOKUP(parcelles!M116,BDD!$HN$5:$HU$38,4,FALSE)))))</f>
        <v/>
      </c>
      <c r="ID68" s="1084" t="str">
        <f>IF(parcelles!L116="","",IF(OR(parcelles!M116=Moutarde,parcelles!M116=Phacélie),0,IF(parcelles!M116=Luzerne,10*parcelles!O116*VLOOKUP(parcelles!M116,BDD!$HN$5:$HU$38,5,FALSE),IF(parcelles!M116=Miscanthus,10.5*parcelles!O116*VLOOKUP(parcelles!M116,BDD!$HN$5:$HU$38,5,FALSE),INDEX(parcelles!$C$56:'parcelles'!$Y$77,MATCH(parcelles!L116,parcelles!$B$56:'parcelles'!$B$77,0),MATCH(parcelles!M116,parcelles!$C$53:'parcelles'!$Y$53,0))*parcelles!O116*VLOOKUP(parcelles!M116,BDD!$HN$5:$HU$38,5,FALSE)))))</f>
        <v/>
      </c>
      <c r="IE68" s="1084" t="str">
        <f>IF(parcelles!L116="","",IF(OR(parcelles!M116=Moutarde,parcelles!M116=Phacélie),0,IF(parcelles!M116=Luzerne,10*parcelles!O116*VLOOKUP(parcelles!M116,BDD!$HN$5:$HU$38,6,FALSE),IF(parcelles!M116=Miscanthus,10.5*parcelles!O116*VLOOKUP(parcelles!M116,BDD!$HN$5:$HU$38,6,FALSE),INDEX(parcelles!$C$56:'parcelles'!$Y$77,MATCH(parcelles!L116,parcelles!$B$56:'parcelles'!$B$77,0),MATCH(parcelles!M116,parcelles!$C$53:'parcelles'!$Y$53,0))*parcelles!O116*VLOOKUP(parcelles!M116,BDD!$HN$5:$HU$38,6,FALSE)))))</f>
        <v/>
      </c>
      <c r="IF68" s="1084" t="str">
        <f>IF(parcelles!L116="","",IF(OR(parcelles!M116=Moutarde,parcelles!M116=Phacélie),0,IF(parcelles!M116=Luzerne,10*parcelles!O116*VLOOKUP(parcelles!M116,BDD!$HN$5:$HU$38,7,FALSE),IF(parcelles!M116=Miscanthus,10.5*parcelles!O116*VLOOKUP(parcelles!M116,BDD!$HN$5:$HU$38,7,FALSE),INDEX(parcelles!$C$56:'parcelles'!$Y$77,MATCH(parcelles!L116,parcelles!$B$56:'parcelles'!$B$77,0),MATCH(parcelles!M116,parcelles!$C$53:'parcelles'!$Y$53,0))*parcelles!O116*VLOOKUP(parcelles!M116,BDD!$HN$5:$HU$38,7,FALSE)))))</f>
        <v/>
      </c>
      <c r="IG68" s="1084" t="str">
        <f>IF(parcelles!L116="","",IF(OR(parcelles!M116=Moutarde,parcelles!M116=Phacélie),0,IF(parcelles!M116=Luzerne,10*parcelles!O116*VLOOKUP(parcelles!M116,BDD!$HN$5:$HU$38,8,FALSE),IF(parcelles!M116=Miscanthus,10.5*parcelles!O116*VLOOKUP(parcelles!M116,BDD!$HN$5:$HU$38,8,FALSE),INDEX(parcelles!$C$56:'parcelles'!$Y$77,MATCH(parcelles!L116,parcelles!$B$56:'parcelles'!$B$77,0),MATCH(parcelles!M116,parcelles!$C$53:'parcelles'!$Y$53,0))*parcelles!O116*VLOOKUP(parcelles!M116,BDD!$HN$5:$HU$38,8,FALSE)))))</f>
        <v/>
      </c>
      <c r="IH68" s="1084" t="str">
        <f>IF(parcelles!L116="","",IF(OR(parcelles!L116=Moutarde,parcelles!L116=Phacélie),0,1.6*parcelles!O116))</f>
        <v/>
      </c>
      <c r="II68" s="1084" t="str">
        <f>IF(parcelles!L116="","",IF(OR(parcelles!L116=Moutarde,parcelles!L116=Phacélie),0,1.6*parcelles!O116))</f>
        <v/>
      </c>
      <c r="IJ68" s="1084" t="str">
        <f>IF(parcelles!L116="","",IF(OR(parcelles!L116=Moutarde,parcelles!L116=Phacélie),0,1.6*parcelles!O116))</f>
        <v/>
      </c>
      <c r="IK68" s="1084" t="str">
        <f>IF(parcelles!P116="","",IF(parcelles!R116=0,"",IF(parcelles!O116=ChanvreIndustriel,"soit "&amp;parcelles!Q116*0.8&amp;"t de grain et "&amp;parcelles!Q116*7&amp;"t de paille",IF(parcelles!O116=Luzerne,"soit "&amp;10*parcelles!Q116&amp;"t/an",IF(parcelles!O116=Miscanthus,"soit "&amp;10.5*parcelles!Q116&amp;"t/an","soit "&amp;INDEX(parcelles!$C$56:$Y$77,MATCH(parcelles!N116,parcelles!$B$56:$B$77,0),MATCH(parcelles!O116,parcelles!$C$53:$Y$53,0))*parcelles!Q116&amp;"t")))))</f>
        <v/>
      </c>
      <c r="IL68" s="1084" t="str">
        <f>IF(parcelles!P116="","",IF(parcelles!R116=0,"",IF(parcelles!O116=ChanvreIndustriel,"soit "&amp;parcelles!Q116*0.8*0.8&amp;"t de grain et "&amp;parcelles!Q116*7*0.8&amp;"t de paille",IF(parcelles!O116=Luzerne,"soit "&amp;10*0.8*parcelles!Q116&amp;"t/an",IF(parcelles!O116=Miscanthus,"soit "&amp;10.5*0.8*parcelles!Q116&amp;"t/an","soit "&amp;INDEX(parcelles!$C$56:$Y$77,MATCH(parcelles!N116,parcelles!$B$56:$B$77,0),MATCH(parcelles!O116,parcelles!$C$53:$Y$53,0))*0.8*parcelles!Q116&amp;"t")))))</f>
        <v/>
      </c>
      <c r="IM68" s="1084" t="str">
        <f>IF(parcelles!S116="","",IF(parcelles!U116=0,"",IF(parcelles!R116=ChanvreIndustriel,parcelles!T116*0.8*0.8+parcelles!T116*7*0.8,IF(parcelles!R116=Luzerne,10*0.8*parcelles!T116,IF(parcelles!R116=Miscanthus,10.5*0.8*parcelles!T116,INDEX(parcelles!$C$56:$Y$77,MATCH(parcelles!Q116,parcelles!$B$56:$B$77,0),MATCH(parcelles!R116,parcelles!$C$53:$Y$53,0))*0.8*parcelles!T116)))))</f>
        <v/>
      </c>
      <c r="IN68" s="1368"/>
    </row>
    <row r="69" spans="1:248" ht="12.75" customHeight="1" x14ac:dyDescent="0.2">
      <c r="A69" s="1307" t="s">
        <v>223</v>
      </c>
      <c r="B69" s="1241">
        <f t="shared" si="17"/>
        <v>1E-3</v>
      </c>
      <c r="C69" s="1321"/>
      <c r="D69" s="1321"/>
      <c r="E69" s="1321"/>
      <c r="F69" s="1139" t="s">
        <v>1035</v>
      </c>
      <c r="G69" s="1139" t="s">
        <v>861</v>
      </c>
      <c r="H69" s="1139" t="s">
        <v>862</v>
      </c>
      <c r="I69" s="1139" t="s">
        <v>863</v>
      </c>
      <c r="J69" s="1139" t="s">
        <v>864</v>
      </c>
      <c r="K69" s="1139" t="s">
        <v>865</v>
      </c>
      <c r="L69" s="1139" t="s">
        <v>866</v>
      </c>
      <c r="M69" s="1321"/>
      <c r="N69" s="1321"/>
      <c r="O69" s="1143" t="s">
        <v>405</v>
      </c>
      <c r="P69" s="1143">
        <v>5.9</v>
      </c>
      <c r="Q69" s="1143">
        <v>5.8</v>
      </c>
      <c r="R69" s="1143">
        <v>5</v>
      </c>
      <c r="S69" s="1143">
        <v>5.0999999999999996</v>
      </c>
      <c r="T69" s="1143">
        <v>5</v>
      </c>
      <c r="U69" s="1143">
        <v>5.7</v>
      </c>
      <c r="V69" s="1143"/>
      <c r="W69" s="1143">
        <v>8.8000000000000007</v>
      </c>
      <c r="X69" s="1143">
        <v>15</v>
      </c>
      <c r="Y69" s="1143">
        <v>63</v>
      </c>
      <c r="Z69" s="1143">
        <v>3</v>
      </c>
      <c r="AA69" s="1143">
        <v>2.8</v>
      </c>
      <c r="AB69" s="1143">
        <v>4.4000000000000004</v>
      </c>
      <c r="AC69" s="1143">
        <v>3.5</v>
      </c>
      <c r="AD69" s="1143">
        <v>2.7</v>
      </c>
      <c r="AE69" s="1143">
        <v>0</v>
      </c>
      <c r="AF69" s="1143">
        <v>43</v>
      </c>
      <c r="AG69" s="1143">
        <v>0.8</v>
      </c>
      <c r="AH69" s="1143">
        <v>7</v>
      </c>
      <c r="AI69" s="1143">
        <v>13</v>
      </c>
      <c r="AJ69" s="1143">
        <v>0</v>
      </c>
      <c r="AK69" s="1143">
        <v>0</v>
      </c>
      <c r="AL69" s="1143">
        <v>0</v>
      </c>
      <c r="AM69" s="1143"/>
      <c r="AN69" s="1143">
        <v>2.1</v>
      </c>
      <c r="AO69" s="1143">
        <v>38</v>
      </c>
      <c r="AP69" s="1143">
        <v>24</v>
      </c>
      <c r="AQ69" s="1143">
        <v>0</v>
      </c>
      <c r="AR69" s="1143">
        <v>0</v>
      </c>
      <c r="AS69" s="1143">
        <v>7</v>
      </c>
      <c r="AT69" s="1143">
        <v>0</v>
      </c>
      <c r="AU69" s="1143">
        <v>0</v>
      </c>
      <c r="AV69" s="1143">
        <v>0</v>
      </c>
      <c r="AW69" s="1143">
        <v>8.5</v>
      </c>
      <c r="AX69" s="1143">
        <v>10</v>
      </c>
      <c r="AY69" s="1143">
        <v>10</v>
      </c>
      <c r="AZ69" s="1321"/>
      <c r="BA69" s="1321"/>
      <c r="BB69" s="1236" t="s">
        <v>724</v>
      </c>
      <c r="BC69" s="1190" t="s">
        <v>1718</v>
      </c>
      <c r="BD69" s="1190" t="s">
        <v>1252</v>
      </c>
      <c r="BE69" s="1237">
        <v>0</v>
      </c>
      <c r="BF69" s="1237">
        <v>0</v>
      </c>
      <c r="BG69" s="1237">
        <v>0</v>
      </c>
      <c r="BH69" s="1237">
        <v>0</v>
      </c>
      <c r="BI69" s="1237">
        <v>0</v>
      </c>
      <c r="BJ69" s="1237">
        <v>0</v>
      </c>
      <c r="BK69" s="1238">
        <v>8</v>
      </c>
      <c r="BL69" s="1348"/>
      <c r="BM69" s="1276"/>
      <c r="BN69" s="1075">
        <f t="array" ref="BN69">IF(Ration_hivernale_complète_bisons[somme]&gt;0,0,IFERROR(IF(OR(AND(INDEX(Règles_bison[Specificite],MATCH(ChoixRationBisons&amp;$BM69,Règles_bison[Ration]&amp;Règles_bison[Aliment],0))="s1",IF($BM69=ChoixSpécificité1Bisons,1)),
AND(INDEX(Règles_bison[Specificite],MATCH(ChoixRationBisons&amp;$BM69,Règles_bison[Ration]&amp;Règles_bison[Aliment],0))="s2",IF($BM69=ChoixSpécificité2Bisons,1)),INDEX(Règles_bison[Specificite],MATCH(ChoixRationBisons&amp;$BM69,Règles_bison[Ration]&amp;Règles_bison[Aliment],0))="c"),
INDEX(Règles_bison[Valeur 36 et plus],MATCH(ChoixRationBisons&amp;$BM69,Règles_bison[Ration]&amp;Règles_bison[Aliment],0)),0),0)*TotalBisonsMalesAdultes*SUM(NbreJoursNourrirBisonsDaims))</f>
        <v>0</v>
      </c>
      <c r="BO69" s="1075">
        <f t="array" ref="BO69">IF(Ration_hivernale_complète_bisons[somme]&gt;0,0,IFERROR(IF(OR(AND(INDEX(Règles_bison[Specificite],MATCH(ChoixRationBisons&amp;$BM69,Règles_bison[Ration]&amp;Règles_bison[Aliment],0))="s1",IF($BM69=ChoixSpécificité1Bisons,1)),
AND(INDEX(Règles_bison[Specificite],MATCH(ChoixRationBisons&amp;$BM69,Règles_bison[Ration]&amp;Règles_bison[Aliment],0))="s2",IF($BM69=ChoixSpécificité2Bisons,1)),INDEX(Règles_bison[Specificite],MATCH(ChoixRationBisons&amp;$BM69,Règles_bison[Ration]&amp;Règles_bison[Aliment],0))="c"),
INDEX(Règles_bison[Valeur 24-36],MATCH(ChoixRationBisons&amp;$BM69,Règles_bison[Ration]&amp;Règles_bison[Aliment],0)),0),0)*TotalBisonsMales_24_36_mois*SUM(NbreJoursNourrirBisonsDaims))</f>
        <v>0</v>
      </c>
      <c r="BP69" s="1075">
        <f t="array" ref="BP69">IF(Ration_hivernale_complète_bisons[somme]&gt;0,0,IFERROR(IF(OR(AND(INDEX(Règles_bison[Specificite],MATCH(ChoixRationBisons&amp;$BM69,Règles_bison[Ration]&amp;Règles_bison[Aliment],0))="s1",IF($BM69=ChoixSpécificité1Bisons,1)),
AND(INDEX(Règles_bison[Specificite],MATCH(ChoixRationBisons&amp;$BM69,Règles_bison[Ration]&amp;Règles_bison[Aliment],0))="s2",IF($BM69=ChoixSpécificité2Bisons,1)),INDEX(Règles_bison[Specificite],MATCH(ChoixRationBisons&amp;$BM69,Règles_bison[Ration]&amp;Règles_bison[Aliment],0))="c"),
INDEX(Règles_bison[Valeur 18-24],MATCH(ChoixRationBisons&amp;$BM69,Règles_bison[Ration]&amp;Règles_bison[Aliment],0)),0),0)*TotalBisonsMales_18_24_mois*SUM(NbreJoursNourrirBisonsDaims))</f>
        <v>0</v>
      </c>
      <c r="BQ69" s="1075">
        <f t="array" ref="BQ69">IF(Ration_hivernale_complète_bisons[somme]&gt;0,0,IFERROR(IF(OR(AND(INDEX(Règles_bison[Specificite],MATCH(ChoixRationBisons&amp;$BM69,Règles_bison[Ration]&amp;Règles_bison[Aliment],0))="s1",IF($BM69=ChoixSpécificité1Bisons,1)),
AND(INDEX(Règles_bison[Specificite],MATCH(ChoixRationBisons&amp;$BM69,Règles_bison[Ration]&amp;Règles_bison[Aliment],0))="s2",IF($BM69=ChoixSpécificité2Bisons,1)),INDEX(Règles_bison[Specificite],MATCH(ChoixRationBisons&amp;$BM69,Règles_bison[Ration]&amp;Règles_bison[Aliment],0))="c"),
INDEX(Règles_bison[Valeur 12-18],MATCH(ChoixRationBisons&amp;$BM69,Règles_bison[Ration]&amp;Règles_bison[Aliment],0)),0),0)*TotalBisonsMales_12_18_mois*SUM(NbreJoursNourrirBisonsDaims))</f>
        <v>0</v>
      </c>
      <c r="BR69" s="1075">
        <f t="array" ref="BR69">IF(Ration_hivernale_complète_bisons[somme]&gt;0,0,IFERROR(IF(OR(AND(INDEX(Règles_bison[Specificite],MATCH(ChoixRationBisons&amp;$BM69,Règles_bison[Ration]&amp;Règles_bison[Aliment],0))="s1",IF($BM69=ChoixSpécificité1Bisons,1)),
AND(INDEX(Règles_bison[Specificite],MATCH(ChoixRationBisons&amp;$BM69,Règles_bison[Ration]&amp;Règles_bison[Aliment],0))="s2",IF($BM69=ChoixSpécificité2Bisons,1)),INDEX(Règles_bison[Specificite],MATCH(ChoixRationBisons&amp;$BM69,Règles_bison[Ration]&amp;Règles_bison[Aliment],0))="c"),
INDEX(Règles_bison[Valeur 6-12],MATCH(ChoixRationBisons&amp;$BM69,Règles_bison[Ration]&amp;Règles_bison[Aliment],0)),0),0)*TotalBisonsMales_6_12_mois*SUM(NbreJoursNourrirBisonsDaims))</f>
        <v>0</v>
      </c>
      <c r="BS69" s="1075">
        <f t="array" ref="BS69">IF(Ration_hivernale_complète_bisons[somme]&gt;0,0,IFERROR(IF(OR(AND(INDEX(Règles_bison[Specificite],MATCH(ChoixRationBisons&amp;$BM69,Règles_bison[Ration]&amp;Règles_bison[Aliment],0))="s1",IF($BM69=ChoixSpécificité1Bisons,1)),
AND(INDEX(Règles_bison[Specificite],MATCH(ChoixRationBisons&amp;$BM69,Règles_bison[Ration]&amp;Règles_bison[Aliment],0))="s2",IF($BM69=ChoixSpécificité2Bisons,1)),INDEX(Règles_bison[Specificite],MATCH(ChoixRationBisons&amp;$BM69,Règles_bison[Ration]&amp;Règles_bison[Aliment],0))="c"),
INDEX(Règles_bison[Valeur 3-6],MATCH(ChoixRationBisons&amp;$BM69,Règles_bison[Ration]&amp;Règles_bison[Aliment],0)),0),0)*TotalBisonsMales_3_6_mois*SUM(NbreJoursNourrirBisonsDaims))</f>
        <v>0</v>
      </c>
      <c r="BT69" s="1075">
        <f t="array" ref="BT69">IF(Ration_hivernale_complète_bisons[somme]&gt;0,0,IFERROR(IF(OR(AND(INDEX(Règles_bison[Specificite],MATCH(ChoixRationBisons&amp;$BM69,Règles_bison[Ration]&amp;Règles_bison[Aliment],0))="s1",IF($BM69=ChoixSpécificité1Bisons,1)),
AND(INDEX(Règles_bison[Specificite],MATCH(ChoixRationBisons&amp;$BM69,Règles_bison[Ration]&amp;Règles_bison[Aliment],0))="s2",IF($BM69=ChoixSpécificité2Bisons,1)),INDEX(Règles_bison[Specificite],MATCH(ChoixRationBisons&amp;$BM69,Règles_bison[Ration]&amp;Règles_bison[Aliment],0))="c"),
INDEX(Règles_bison[Valeur 0-3],MATCH(ChoixRationBisons&amp;$BM69,Règles_bison[Ration]&amp;Règles_bison[Aliment],0)),0),0)*TotalBisonsMales_0_3_mois*SUM(NbreJoursNourrirBisonsDaims))</f>
        <v>0</v>
      </c>
      <c r="BU69" s="1274">
        <f t="shared" si="10"/>
        <v>0</v>
      </c>
      <c r="BV69" s="1345"/>
      <c r="BW69" s="1345"/>
      <c r="BX69" s="1176" t="s">
        <v>219</v>
      </c>
      <c r="BY69" s="1177" t="s">
        <v>76</v>
      </c>
      <c r="BZ69" s="1177" t="s">
        <v>1253</v>
      </c>
      <c r="CA69" s="1177">
        <v>1.6</v>
      </c>
      <c r="CB69" s="1177">
        <v>1.4</v>
      </c>
      <c r="CC69" s="1177">
        <v>1.2</v>
      </c>
      <c r="CD69" s="1199">
        <v>1</v>
      </c>
      <c r="CE69" s="1350"/>
      <c r="CF69" s="1350"/>
      <c r="CG69" s="1350"/>
      <c r="CH69" s="1350"/>
      <c r="CI69" s="1321"/>
      <c r="CJ69" s="808" t="s">
        <v>1271</v>
      </c>
      <c r="CK69" s="788">
        <f t="array" ref="CK6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69" s="788">
        <f t="array" ref="CL6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69" s="788">
        <f t="array" ref="CM6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69" s="788">
        <f t="array" ref="CN6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69" s="788">
        <f t="array" ref="CO6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69" s="812">
        <f>SUM(AlimentsRationPorcinsMâles[[#This Row],[Valeur 12 et plus]:[Valeur 0-1]])</f>
        <v>0</v>
      </c>
      <c r="CQ69" s="1321"/>
      <c r="CR69" s="1321"/>
      <c r="CS69" s="808" t="s">
        <v>331</v>
      </c>
      <c r="CT69" s="817">
        <f t="array" ref="CT6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69" s="817">
        <f t="array" ref="CU6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69" s="817">
        <f t="array" ref="CV6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69" s="818">
        <f>SUM(AlimentsRationLapinsMâles[[#This Row],[Valeur 3 et plus]:[Valeur 0-1]])</f>
        <v>0</v>
      </c>
      <c r="CX69" s="1321"/>
      <c r="CY69" s="1321"/>
      <c r="CZ69" s="808" t="s">
        <v>331</v>
      </c>
      <c r="DA69" s="817">
        <f t="array" ref="DA6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69" s="817">
        <f t="array" ref="DB6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69" s="817">
        <f t="array" ref="DC6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69" s="818">
        <f>SUM(AlimentsRationVolaillesMâles[[#This Row],[Valeur 6 et plus]:[Valeur 0-1]])</f>
        <v>0</v>
      </c>
      <c r="DE69" s="1364"/>
      <c r="DF69" s="1321"/>
      <c r="DG69" s="808" t="s">
        <v>725</v>
      </c>
      <c r="DH69" s="817">
        <f t="array" ref="DH69">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69" s="817">
        <f t="array" ref="DI69">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69" s="817">
        <f t="array" ref="DJ69">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69" s="818">
        <f>SUM(AlimentsRationPintadesMâles[[#This Row],[Valeur 9 et plus]:[Valeur 0-1]])</f>
        <v>0</v>
      </c>
      <c r="DL69" s="1364"/>
      <c r="DM69" s="1364"/>
      <c r="DN69" s="1176" t="s">
        <v>724</v>
      </c>
      <c r="DO69" s="1177" t="s">
        <v>672</v>
      </c>
      <c r="DP69" s="1177" t="s">
        <v>1253</v>
      </c>
      <c r="DQ69" s="1181">
        <v>1.6</v>
      </c>
      <c r="DR69" s="1181">
        <v>1.4</v>
      </c>
      <c r="DS69" s="1181">
        <v>1.2</v>
      </c>
      <c r="DT69" s="1243">
        <v>1</v>
      </c>
      <c r="DU69" s="1346"/>
      <c r="DV69" s="1075"/>
      <c r="DW69" s="1269">
        <f t="array" ref="DW69">IF(ChoixRationComplèteDaims=OUI,0,IFERROR(IF(OR(AND(INDEX(Règles_daims[Specificite],MATCH(ChoixRationDaims&amp;DV69,Règles_daims[Ration]&amp;Règles_daims[Aliment],0))="s1",IF(DV69=Spécificité1Daims,1)),
AND(INDEX(Règles_daims[Specificite],MATCH(ChoixRationDaims&amp;DV69,Règles_daims[Ration]&amp;Règles_daims[Aliment],0))="s2",IF(DV69=Spécificité2Daims,1)),
INDEX(Règles_daims[Specificite],MATCH(ChoixRationDaims&amp;DV69,Règles_daims[Ration]&amp;Règles_daims[Aliment],0))="c"),
INDEX(Règles_daims[Valeur 36 et plus],MATCH(ChoixRationDaims&amp;DV69,Règles_daims[Ration]&amp;Règles_daims[Aliment],0)),0),0)*SUM(TotalDaimsAdultes)*SUM(NbreJoursNourrirBisonsDaims))</f>
        <v>0</v>
      </c>
      <c r="DX69" s="1269">
        <f t="array" ref="DX69">IF(ChoixRationComplèteDaims=OUI,0,IFERROR(IF(OR(AND(INDEX(Règles_daims[Specificite],MATCH(ChoixRationDaims&amp;DV69,Règles_daims[Ration]&amp;Règles_daims[Aliment],0))="s1",IF(DV69=Spécificité1Daims,1)),
AND(INDEX(Règles_daims[Specificite],MATCH(ChoixRationDaims&amp;DV69,Règles_daims[Ration]&amp;Règles_daims[Aliment],0))="s2",IF(DV69=Spécificité2Daims,1)),
INDEX(Règles_daims[Specificite],MATCH(ChoixRationDaims&amp;DV69,Règles_daims[Ration]&amp;Règles_daims[Aliment],0))="c"),
INDEX(Règles_daims[Valeur 24-36],MATCH(ChoixRationDaims&amp;DV69,Règles_daims[Ration]&amp;Règles_daims[Aliment],0)),0),0)*SUM(TotalDaims24_36)*SUM(NbreJoursNourrirBisonsDaims))</f>
        <v>0</v>
      </c>
      <c r="DY69" s="1269">
        <f t="array" ref="DY69">IF(ChoixRationComplèteDaims=OUI,0,IFERROR(IF(OR(AND(INDEX(Règles_daims[Specificite],MATCH(ChoixRationDaims&amp;DV69,Règles_daims[Ration]&amp;Règles_daims[Aliment],0))="s1",IF(DV69=Spécificité1Daims,1)),
AND(INDEX(Règles_daims[Specificite],MATCH(ChoixRationDaims&amp;DV69,Règles_daims[Ration]&amp;Règles_daims[Aliment],0))="s2",IF(DV69=Spécificité2Daims,1)),
INDEX(Règles_daims[Specificite],MATCH(ChoixRationDaims&amp;DV69,Règles_daims[Ration]&amp;Règles_daims[Aliment],0))="c"),
INDEX(Règles_daims[Valeur 18-24],MATCH(ChoixRationDaims&amp;DV69,Règles_daims[Ration]&amp;Règles_daims[Aliment],0)),0),0)*SUM(TotalDaims18_24)*SUM(NbreJoursNourrirBisonsDaims))</f>
        <v>0</v>
      </c>
      <c r="DZ69" s="1280">
        <f t="array" ref="DZ69">IF(ChoixRationComplèteDaims=OUI,0,IFERROR(IF(OR(AND(INDEX(Règles_daims[Specificite],MATCH(ChoixRationDaims&amp;DV69,Règles_daims[Ration]&amp;Règles_daims[Aliment],0))="s1",IF(DV69=Spécificité1Daims,1)),
AND(INDEX(Règles_daims[Specificite],MATCH(ChoixRationDaims&amp;DV69,Règles_daims[Ration]&amp;Règles_daims[Aliment],0))="s2",IF(DV69=Spécificité2Daims,1)),
INDEX(Règles_daims[Specificite],MATCH(ChoixRationDaims&amp;DV69,Règles_daims[Ration]&amp;Règles_daims[Aliment],0))="c"),
INDEX(Règles_daims[Valeur 12-18],MATCH(ChoixRationDaims&amp;DV69,Règles_daims[Ration]&amp;Règles_daims[Aliment],0)),0),0)*SUM(TotalDaims12_18)*SUM(NbreJoursNourrirBisonsDaims))</f>
        <v>0</v>
      </c>
      <c r="EA69" s="1280">
        <f t="array" ref="EA69">IF(ChoixRationComplèteDaims=OUI,0,IFERROR(IF(OR(AND(INDEX(Règles_daims[Specificite],MATCH(ChoixRationDaims&amp;DV69,Règles_daims[Ration]&amp;Règles_daims[Aliment],0))="s1",IF(DV69=Spécificité1Daims,1)),
AND(INDEX(Règles_daims[Specificite],MATCH(ChoixRationDaims&amp;DV69,Règles_daims[Ration]&amp;Règles_daims[Aliment],0))="s2",IF(DV69=Spécificité2Daims,1)),
INDEX(Règles_daims[Specificite],MATCH(ChoixRationDaims&amp;DV69,Règles_daims[Ration]&amp;Règles_daims[Aliment],0))="c"),
INDEX(Règles_daims[Valeur 6-12],MATCH(ChoixRationDaims&amp;DV69,Règles_daims[Ration]&amp;Règles_daims[Aliment],0)),0),0)*SUM(TotalDaims6_12)*SUM(NbreJoursNourrirBisonsDaims))</f>
        <v>0</v>
      </c>
      <c r="EB69" s="1280">
        <f t="array" ref="EB69">IF(ChoixRationComplèteDaims=OUI,0,IFERROR(IF(OR(AND(INDEX(Règles_daims[Specificite],MATCH(ChoixRationDaims&amp;DV69,Règles_daims[Ration]&amp;Règles_daims[Aliment],0))="s1",IF(DV69=Spécificité1Daims,1)),
AND(INDEX(Règles_daims[Specificite],MATCH(ChoixRationDaims&amp;DV69,Règles_daims[Ration]&amp;Règles_daims[Aliment],0))="s2",IF(DV69=Spécificité2Daims,1)),
INDEX(Règles_daims[Specificite],MATCH(ChoixRationDaims&amp;DV69,Règles_daims[Ration]&amp;Règles_daims[Aliment],0))="c"),
INDEX(Règles_daims[Valeur 3-6],MATCH(ChoixRationDaims&amp;DV69,Règles_daims[Ration]&amp;Règles_daims[Aliment],0)),0),0)*SUM(TotalDaims3_6)*SUM(NbreJoursNourrirBisonsDaims))</f>
        <v>0</v>
      </c>
      <c r="EC69" s="1280">
        <f t="array" ref="EC69">IF(ChoixRationComplèteDaims=OUI,0,IFERROR(IF(OR(AND(INDEX(Règles_daims[Specificite],MATCH(ChoixRationDaims&amp;DV69,Règles_daims[Ration]&amp;Règles_daims[Aliment],0))="s1",IF(DV69=Spécificité1Daims,1)),
AND(INDEX(Règles_daims[Specificite],MATCH(ChoixRationDaims&amp;DV69,Règles_daims[Ration]&amp;Règles_daims[Aliment],0))="s2",IF(DV69=Spécificité2Daims,1)),
INDEX(Règles_daims[Specificite],MATCH(ChoixRationDaims&amp;DV69,Règles_daims[Ration]&amp;Règles_daims[Aliment],0))="c"),
INDEX(Règles_daims[Valeur 0-3],MATCH(ChoixRationDaims&amp;DV69,Règles_daims[Ration]&amp;Règles_daims[Aliment],0)),0),0)*SUM(TotalDaims0_3)*SUM(NbreJoursNourrirBisonsDaims))</f>
        <v>0</v>
      </c>
      <c r="ED69" s="1280">
        <f t="shared" si="9"/>
        <v>0</v>
      </c>
      <c r="EE69" s="1345"/>
      <c r="EF69" s="1321"/>
      <c r="EG69" s="808" t="s">
        <v>333</v>
      </c>
      <c r="EH69" s="817">
        <f t="array" ref="EH6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69" s="817">
        <f t="array" ref="EI6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69" s="817">
        <f t="array" ref="EJ6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69" s="818">
        <f>SUM(AlimentsRationOiesMâles[[#This Row],[Valeur 6 et plus]:[Valeur 0-3]])</f>
        <v>0</v>
      </c>
      <c r="EL69" s="1364"/>
      <c r="EM69" s="1321"/>
      <c r="EN69" s="808" t="s">
        <v>340</v>
      </c>
      <c r="EO69" s="817">
        <f t="array" ref="EO6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69" s="817">
        <f t="array" ref="EP6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69" s="817">
        <f t="array" ref="EQ6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69" s="818">
        <f>SUM(Ration_canards_Mâles[[#This Row],[Valeur 6 et plus]:[Valeur 0-3]])</f>
        <v>0</v>
      </c>
      <c r="ES69" s="1364"/>
      <c r="ET69" s="1321"/>
      <c r="EU69" s="1083" t="s">
        <v>1717</v>
      </c>
      <c r="EV69" s="1283">
        <f t="array" ref="EV69">IF(OR(ChoixRationComplèteEtéChevauxSelle=OUI,ChoixRationComplèteEtéChevauxSelle="",AND(ChoixChevauxSellePréHiver=OUI,ChoixChevauxSellePréEté=OUI)),0,IFERROR(IF(OR(AND(INDEX(Règles_chevaux_selle[Specificite],MATCH(RationEtéChevauxSelle&amp;$EU69,Règles_chevaux_selle[Ration]&amp;Règles_chevaux_selle[Aliment],0))="s1",IF($EU69=Spécificité1ChevauxSelle,1)),
AND(INDEX(Règles_chevaux_selle[Specificite],MATCH(RationEtéChevauxSelle&amp;$EU69,Règles_chevaux_selle[Ration]&amp;Règles_chevaux_selle[Aliment],0))="s2",IF($EU69=Spécificité2ChevauxSelle,1)),
INDEX(Règles_chevaux_selle[Specificite],MATCH(RationEtéChevauxSelle&amp;$EU69,Règles_chevaux_selle[Ration]&amp;Règles_chevaux_selle[Aliment],0))="c"),
INDEX(Règles_chevaux_selle[Valeur 36 et plus],MATCH(RationEtéChevauxSelle&amp;$EU69,Règles_chevaux_selle[Ration]&amp;Règles_chevaux_selle[Aliment],0)),0),0)*TotalEtalonSelle*SUM(NbreJoursNourrirChevauxSelle))</f>
        <v>0</v>
      </c>
      <c r="EW69" s="1283">
        <f t="array" ref="EW69">IF(OR(ChoixRationComplèteEtéChevauxSelle=OUI,ChoixRationComplèteEtéChevauxSelle="",AND(ChoixChevauxSellePréHiver=OUI,ChoixChevauxSellePréEté=OUI)),0,IFERROR(IF(OR(AND(INDEX(Règles_chevaux_selle[Specificite],MATCH(RationEtéChevauxSelle&amp;$EU69,Règles_chevaux_selle[Ration]&amp;Règles_chevaux_selle[Aliment],0))="s1",IF($EU69=Spécificité1ChevauxSelle,1)),
AND(INDEX(Règles_chevaux_selle[Specificite],MATCH(RationEtéChevauxSelle&amp;$EU69,Règles_chevaux_selle[Ration]&amp;Règles_chevaux_selle[Aliment],0))="s2",IF($EU69=Spécificité2ChevauxSelle,1)),
INDEX(Règles_chevaux_selle[Specificite],MATCH(RationEtéChevauxSelle&amp;$EU69,Règles_chevaux_selle[Ration]&amp;Règles_chevaux_selle[Aliment],0))="c"),
INDEX(Règles_chevaux_selle[Valeur 24-36],MATCH(RationEtéChevauxSelle&amp;$EU69,Règles_chevaux_selle[Ration]&amp;Règles_chevaux_selle[Aliment],0)),0),0)*TotalJeuneEtalonSelle_24_36_mois*SUM(NbreJoursNourrirChevauxSelle))</f>
        <v>0</v>
      </c>
      <c r="EX69" s="1283">
        <f t="array" ref="EX69">IF(OR(ChoixRationComplèteEtéChevauxSelle=OUI,ChoixRationComplèteEtéChevauxSelle="",AND(ChoixChevauxSellePréHiver=OUI,ChoixChevauxSellePréEté=OUI)),0,IFERROR(IF(OR(AND(INDEX(Règles_chevaux_selle[Specificite],MATCH(RationEtéChevauxSelle&amp;$EU69,Règles_chevaux_selle[Ration]&amp;Règles_chevaux_selle[Aliment],0))="s1",IF($EU69=Spécificité1ChevauxSelle,1)),
AND(INDEX(Règles_chevaux_selle[Specificite],MATCH(RationEtéChevauxSelle&amp;$EU69,Règles_chevaux_selle[Ration]&amp;Règles_chevaux_selle[Aliment],0))="s2",IF($EU69=Spécificité2ChevauxSelle,1)),
INDEX(Règles_chevaux_selle[Specificite],MATCH(RationEtéChevauxSelle&amp;$EU69,Règles_chevaux_selle[Ration]&amp;Règles_chevaux_selle[Aliment],0))="c"),
INDEX(Règles_chevaux_selle[Valeur 12-24],MATCH(RationEtéChevauxSelle&amp;$EU69,Règles_chevaux_selle[Ration]&amp;Règles_chevaux_selle[Aliment],0)),0),0)*TotalJeuneEtalonSelle_12_24_mois*SUM(NbreJoursNourrirChevauxSelle))</f>
        <v>0</v>
      </c>
      <c r="EY69" s="1286">
        <f t="array" ref="EY69">IF(OR(ChoixRationComplèteEtéChevauxSelle=OUI,ChoixRationComplèteEtéChevauxSelle="",AND(ChoixChevauxSellePréHiver=OUI,ChoixChevauxSellePréEté=OUI)),0,IFERROR(IF(OR(AND(INDEX(Règles_chevaux_selle[Specificite],MATCH(RationEtéChevauxSelle&amp;$EU69,Règles_chevaux_selle[Ration]&amp;Règles_chevaux_selle[Aliment],0))="s1",IF($EU69=Spécificité1ChevauxSelle,1)),
AND(INDEX(Règles_chevaux_selle[Specificite],MATCH(RationEtéChevauxSelle&amp;$EU69,Règles_chevaux_selle[Ration]&amp;Règles_chevaux_selle[Aliment],0))="s2",IF($EU69=Spécificité2ChevauxSelle,1)),
INDEX(Règles_chevaux_selle[Specificite],MATCH(RationEtéChevauxSelle&amp;$EU69,Règles_chevaux_selle[Ration]&amp;Règles_chevaux_selle[Aliment],0))="c"),
INDEX(Règles_chevaux_selle[Valeur 0-12],MATCH(RationEtéChevauxSelle&amp;$EU69,Règles_chevaux_selle[Ration]&amp;Règles_chevaux_selle[Aliment],0)),0),0)*TotalPoulainSelle_0_12_mois*SUM(NbreJoursNourrirChevauxSelle))</f>
        <v>0</v>
      </c>
      <c r="EZ69" s="1286">
        <f t="shared" si="16"/>
        <v>0</v>
      </c>
      <c r="FA69" s="1345"/>
      <c r="FB69" s="1345"/>
      <c r="FC69" s="1346"/>
      <c r="FD69" s="1083" t="s">
        <v>332</v>
      </c>
      <c r="FE69" s="1283">
        <f t="array" ref="FE69">IF(OR(ChoixRationComplèteEtéChevauxTrait=OUI,ChoixRationComplèteEtéChevauxTrait="",AND(ChoixChevauxTraitPréHiver=OUI,ChoixChevauxTraitPréEté=OUI)),0,IFERROR(IF(OR(AND(INDEX(Règles_chevaux_trait[Specificite],MATCH(RationEtéChevauxTrait&amp;$FD69,Règles_chevaux_trait[Ration]&amp;Règles_chevaux_trait[Aliment],0))="s1",IF($FD69=Spécificité1ChevauxTrait,1)),
AND(INDEX(Règles_chevaux_trait[Specificite],MATCH(RationEtéChevauxTrait&amp;$FD69,Règles_chevaux_trait[Ration]&amp;Règles_chevaux_trait[Aliment],0))="s2",IF($FD69=Spécificité2ChevauxTrait,1)),
INDEX(Règles_chevaux_trait[Specificite],MATCH(RationEtéChevauxTrait&amp;$FD69,Règles_chevaux_trait[Ration]&amp;Règles_chevaux_trait[Aliment],0))="c"),
INDEX(Règles_chevaux_trait[Valeur 36 et plus],MATCH(RationEtéChevauxTrait&amp;$FD69,Règles_chevaux_trait[Ration]&amp;Règles_chevaux_trait[Aliment],0)),0),0)*TotalEtalonTrait*SUM(NbreJoursNourrirChevauxTrait))</f>
        <v>0</v>
      </c>
      <c r="FF69" s="1283">
        <f t="array" ref="FF69">IF(OR(ChoixRationComplèteEtéChevauxTrait=OUI,ChoixRationComplèteEtéChevauxTrait="",AND(ChoixChevauxTraitPréHiver=OUI,ChoixChevauxTraitPréEté=OUI)),0,IFERROR(IF(OR(AND(INDEX(Règles_chevaux_trait[Specificite],MATCH(RationEtéChevauxTrait&amp;$FD69,Règles_chevaux_trait[Ration]&amp;Règles_chevaux_trait[Aliment],0))="s1",IF($FD69=Spécificité1ChevauxTrait,1)),
AND(INDEX(Règles_chevaux_trait[Specificite],MATCH(RationEtéChevauxTrait&amp;$FD69,Règles_chevaux_trait[Ration]&amp;Règles_chevaux_trait[Aliment],0))="s2",IF($FD69=Spécificité2ChevauxTrait,1)),
INDEX(Règles_chevaux_trait[Specificite],MATCH(RationEtéChevauxTrait&amp;$FD69,Règles_chevaux_trait[Ration]&amp;Règles_chevaux_trait[Aliment],0))="c"),
INDEX(Règles_chevaux_trait[Valeur 24-36],MATCH(RationEtéChevauxTrait&amp;$FD69,Règles_chevaux_trait[Ration]&amp;Règles_chevaux_trait[Aliment],0)),0),0)*TotalJeuneEtalonTrait_24_36_mois*SUM(NbreJoursNourrirChevauxTrait))</f>
        <v>0</v>
      </c>
      <c r="FG69" s="1283">
        <f t="array" ref="FG69">IF(OR(ChoixRationComplèteEtéChevauxTrait=OUI,ChoixRationComplèteEtéChevauxTrait="",AND(ChoixChevauxTraitPréHiver=OUI,ChoixChevauxTraitPréEté=OUI)),0,IFERROR(IF(OR(AND(INDEX(Règles_chevaux_trait[Specificite],MATCH(RationEtéChevauxTrait&amp;$FD69,Règles_chevaux_trait[Ration]&amp;Règles_chevaux_trait[Aliment],0))="s1",IF($FD69=Spécificité1ChevauxTrait,1)),
AND(INDEX(Règles_chevaux_trait[Specificite],MATCH(RationEtéChevauxTrait&amp;$FD69,Règles_chevaux_trait[Ration]&amp;Règles_chevaux_trait[Aliment],0))="s2",IF($FD69=Spécificité2ChevauxTrait,1)),
INDEX(Règles_chevaux_trait[Specificite],MATCH(RationEtéChevauxTrait&amp;$FD69,Règles_chevaux_trait[Ration]&amp;Règles_chevaux_trait[Aliment],0))="c"),
INDEX(Règles_chevaux_trait[Valeur 12-24],MATCH(RationEtéChevauxTrait&amp;$FD69,Règles_chevaux_trait[Ration]&amp;Règles_chevaux_trait[Aliment],0)),0),0)*TotalJeuneEtalonTrait_12_24_mois*SUM(NbreJoursNourrirChevauxTrait))</f>
        <v>0</v>
      </c>
      <c r="FH69" s="1286">
        <f t="array" ref="FH69">IF(OR(ChoixRationComplèteEtéChevauxTrait=OUI,ChoixRationComplèteEtéChevauxTrait="",AND(ChoixChevauxTraitPréHiver=OUI,ChoixChevauxTraitPréEté=OUI)),0,IFERROR(IF(OR(AND(INDEX(Règles_chevaux_trait[Specificite],MATCH(RationEtéChevauxTrait&amp;$FD69,Règles_chevaux_trait[Ration]&amp;Règles_chevaux_trait[Aliment],0))="s1",IF($FD69=Spécificité1ChevauxTrait,1)),
AND(INDEX(Règles_chevaux_trait[Specificite],MATCH(RationEtéChevauxTrait&amp;$FD69,Règles_chevaux_trait[Ration]&amp;Règles_chevaux_trait[Aliment],0))="s2",IF($FD69=Spécificité2ChevauxTrait,1)),
INDEX(Règles_chevaux_trait[Specificite],MATCH(RationEtéChevauxTrait&amp;$FD69,Règles_chevaux_trait[Ration]&amp;Règles_chevaux_trait[Aliment],0))="c"),
INDEX(Règles_chevaux_trait[Valeur 0-12],MATCH(RationEtéChevauxTrait&amp;$FD69,Règles_chevaux_trait[Ration]&amp;Règles_chevaux_trait[Aliment],0)),0),0)*TotalPoulainTrait_0_12_mois*SUM(NbreJoursNourrirChevauxTrait))</f>
        <v>0</v>
      </c>
      <c r="FI69" s="1286">
        <f t="shared" si="15"/>
        <v>0</v>
      </c>
      <c r="FJ69" s="1345"/>
      <c r="FK69" s="1345"/>
      <c r="FL69" s="1345"/>
      <c r="FM69" s="1346"/>
      <c r="FN69" s="1082" t="s">
        <v>333</v>
      </c>
      <c r="FO69" s="1282">
        <f t="array" ref="FO69">IF(OR(ChoixRationComplèteEtéPoneys=OUI,ChoixRationComplèteEtéPoneys="",AND(ChoixPoneysPréHiver=OUI,ChoixPoneysPréEté=OUI)),0,IFERROR(IF(OR(AND(INDEX(Règles_poneys[Specificite],MATCH(RationEtéPoneys&amp;$FN69,Règles_poneys[Ration]&amp;Règles_poneys[Aliment],0))="s1",IF($FN69=Spécificité1Poneys,1)),
AND(INDEX(Règles_poneys[Specificite],MATCH(RationEtéPoneys&amp;$FN69,Règles_poneys[Ration]&amp;Règles_poneys[Aliment],0))="s2",IF($FN69=Spécificité2Poneys,1)),
INDEX(Règles_poneys[Specificite],MATCH(RationEtéPoneys&amp;$FN69,Règles_poneys[Ration]&amp;Règles_poneys[Aliment],0))="c"),
INDEX(Règles_poneys[Valeur 36 et plus],MATCH(RationEtéPoneys&amp;$FN69,Règles_poneys[Ration]&amp;Règles_poneys[Aliment],0)),0),0)*TotalEtalonPoney*SUM(NbreJoursNourrirPoneys))</f>
        <v>0</v>
      </c>
      <c r="FP69" s="1282">
        <f t="array" ref="FP69">IF(OR(ChoixRationComplèteEtéPoneys=OUI,ChoixRationComplèteEtéPoneys="",AND(ChoixPoneysPréHiver=OUI,ChoixPoneysPréEté=OUI)),0,IFERROR(IF(OR(AND(INDEX(Règles_poneys[Specificite],MATCH(RationEtéPoneys&amp;$FN69,Règles_poneys[Ration]&amp;Règles_poneys[Aliment],0))="s1",IF($FN69=Spécificité1Poneys,1)),
AND(INDEX(Règles_poneys[Specificite],MATCH(RationEtéPoneys&amp;$FN69,Règles_poneys[Ration]&amp;Règles_poneys[Aliment],0))="s2",IF($FN69=Spécificité2Poneys,1)),
INDEX(Règles_poneys[Specificite],MATCH(RationEtéPoneys&amp;$FN69,Règles_poneys[Ration]&amp;Règles_poneys[Aliment],0))="c"),
INDEX(Règles_poneys[Valeur 36 et plus],MATCH(RationEtéPoneys&amp;$FN69,Règles_poneys[Ration]&amp;Règles_poneys[Aliment],0)),0),0)*TotalJeuneEtalonPoney_24_36_mois*SUM(NbreJoursNourrirPoneys))</f>
        <v>0</v>
      </c>
      <c r="FQ69" s="1282">
        <f t="array" ref="FQ69">IF(OR(ChoixRationComplèteEtéPoneys=OUI,ChoixRationComplèteEtéPoneys="",AND(ChoixPoneysPréHiver=OUI,ChoixPoneysPréEté=OUI)),0,IFERROR(IF(OR(AND(INDEX(Règles_poneys[Specificite],MATCH(RationEtéPoneys&amp;$FN69,Règles_poneys[Ration]&amp;Règles_poneys[Aliment],0))="s1",IF($FN69=Spécificité1Poneys,1)),
AND(INDEX(Règles_poneys[Specificite],MATCH(RationEtéPoneys&amp;$FN69,Règles_poneys[Ration]&amp;Règles_poneys[Aliment],0))="s2",IF($FN69=Spécificité2Poneys,1)),
INDEX(Règles_poneys[Specificite],MATCH(RationEtéPoneys&amp;$FN69,Règles_poneys[Ration]&amp;Règles_poneys[Aliment],0))="c"),
INDEX(Règles_poneys[Valeur 36 et plus],MATCH(RationEtéPoneys&amp;$FN69,Règles_poneys[Ration]&amp;Règles_poneys[Aliment],0)),0),0)*TotalJeuneEtalonPoney_12_24_mois*SUM(NbreJoursNourrirPoneys))</f>
        <v>0</v>
      </c>
      <c r="FR69" s="1285">
        <f t="array" ref="FR69">IF(OR(ChoixRationComplèteEtéPoneys=OUI,ChoixRationComplèteEtéPoneys="",AND(ChoixPoneysPréHiver=OUI,ChoixPoneysPréEté=OUI)),0,IFERROR(IF(OR(AND(INDEX(Règles_poneys[Specificite],MATCH(RationEtéPoneys&amp;$FN69,Règles_poneys[Ration]&amp;Règles_poneys[Aliment],0))="s1",IF($FN69=Spécificité1Poneys,1)),
AND(INDEX(Règles_poneys[Specificite],MATCH(RationEtéPoneys&amp;$FN69,Règles_poneys[Ration]&amp;Règles_poneys[Aliment],0))="s2",IF($FN69=Spécificité2Poneys,1)),
INDEX(Règles_poneys[Specificite],MATCH(RationEtéPoneys&amp;$FN69,Règles_poneys[Ration]&amp;Règles_poneys[Aliment],0))="c"),
INDEX(Règles_poneys[Valeur 36 et plus],MATCH(RationEtéPoneys&amp;$FN69,Règles_poneys[Ration]&amp;Règles_poneys[Aliment],0)),0),0)*TotalPoulainPoney_0_12_mois*SUM(NbreJoursNourrirPoneys))</f>
        <v>0</v>
      </c>
      <c r="FS69" s="1285">
        <f t="shared" si="14"/>
        <v>0</v>
      </c>
      <c r="FT69" s="1345"/>
      <c r="FU69" s="1345"/>
      <c r="FV69" s="1345"/>
      <c r="FW69" s="823" t="s">
        <v>500</v>
      </c>
      <c r="FX69" s="828">
        <f t="array" ref="FX6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69" s="828">
        <f t="array" ref="FY6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69" s="828">
        <f t="array" ref="FZ6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69" s="828">
        <f t="array" ref="GA6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69" s="829">
        <f>SUM(AlimentsGavageOies[[#This Row],[Valeur 3 et plus]:[Valeur 0-1]])</f>
        <v>0</v>
      </c>
      <c r="GC69" s="1364"/>
      <c r="GD69" s="1321"/>
      <c r="GE69" s="1149" t="s">
        <v>303</v>
      </c>
      <c r="GF69" s="1321"/>
      <c r="GG69" s="1321" t="s">
        <v>1349</v>
      </c>
      <c r="GH69" s="1321" t="s">
        <v>1349</v>
      </c>
      <c r="GI69" s="1321" t="s">
        <v>1349</v>
      </c>
      <c r="GJ69" s="1321" t="s">
        <v>1349</v>
      </c>
      <c r="GK69" s="1321" t="s">
        <v>1349</v>
      </c>
      <c r="GL69" s="1321" t="s">
        <v>1349</v>
      </c>
      <c r="GM69" s="1321" t="s">
        <v>1349</v>
      </c>
      <c r="GN69" s="1321" t="s">
        <v>1349</v>
      </c>
      <c r="GO69" s="1321" t="s">
        <v>1349</v>
      </c>
      <c r="GP69" s="1321" t="s">
        <v>1349</v>
      </c>
      <c r="GQ69" s="1321" t="s">
        <v>1349</v>
      </c>
      <c r="GR69" s="1321" t="s">
        <v>1349</v>
      </c>
      <c r="GS69" s="1321" t="s">
        <v>1349</v>
      </c>
      <c r="GT69" s="1321" t="s">
        <v>1349</v>
      </c>
      <c r="GU69" s="1321" t="s">
        <v>1349</v>
      </c>
      <c r="GV69" s="1321" t="s">
        <v>1349</v>
      </c>
      <c r="GW69" s="1321"/>
      <c r="GX69" s="1321"/>
      <c r="GY69" s="1082" t="str">
        <f t="shared" si="11"/>
        <v>semences de pois (G)</v>
      </c>
      <c r="GZ69" s="1082"/>
      <c r="HA69" s="1085"/>
      <c r="HB69" s="1085">
        <f>IF(COUNTIF(TypeArticleDansEntrepôt,GY69)=0,0,SUMIF(TypeArticleDansEntrepôt,GY69,QtéArticleDansEntrepôt)*VLOOKUP(GY69,place_necessaire_entrepots_aire_paille[],2,FALSE))</f>
        <v>0</v>
      </c>
      <c r="HC69" s="1321"/>
      <c r="HD69" s="1321"/>
      <c r="HE69" s="1321"/>
      <c r="HF69" s="1321"/>
      <c r="HG69" s="1321"/>
      <c r="HH69" s="1321"/>
      <c r="HI69" s="1321"/>
      <c r="HJ69" s="1321"/>
      <c r="HK69" s="1321"/>
      <c r="HL69" s="1321"/>
      <c r="HM69" s="1321"/>
      <c r="HN69" s="1085" t="str">
        <f>IF(parcelles!B117="","",(VLOOKUP(parcelles!C117,BDD!$HN$5:$HU$38,2,FALSE))*parcelles!E117)</f>
        <v/>
      </c>
      <c r="HO69" s="1085" t="str">
        <f>IF(parcelles!B117="","",IF(OR(parcelles!C117=Moutarde,parcelles!C117=Phacélie),0,IF(parcelles!C117=Luzerne,10*parcelles!E117*VLOOKUP(parcelles!C117,BDD!$HN$5:$HU$38,3,FALSE),IF(parcelles!C117=Miscanthus,10.5*parcelles!E117*VLOOKUP(parcelles!C117,BDD!$HN$5:$HU$38,3,FALSE),INDEX(parcelles!$C$56:'parcelles'!$Y$77,MATCH(parcelles!B117,parcelles!$B$56:'parcelles'!$B$77,0),MATCH(parcelles!C117,parcelles!$C$53:'parcelles'!$Y$53,0))*parcelles!E117*VLOOKUP(parcelles!C117,BDD!$HN$5:$HU$38,3,FALSE)))))</f>
        <v/>
      </c>
      <c r="HP69" s="1085" t="str">
        <f>IF(parcelles!B117="","",IF(OR(parcelles!C117=Moutarde,parcelles!C117=Phacélie),0,IF(parcelles!C117=Luzerne,10*parcelles!E117*VLOOKUP(parcelles!C117,BDD!$HN$5:$HU$38,4,FALSE),IF(parcelles!C117=Miscanthus,10.5*parcelles!E117*VLOOKUP(parcelles!C117,BDD!$HN$5:$HU$38,4,FALSE),INDEX(parcelles!$C$56:'parcelles'!$Y$77,MATCH(parcelles!B117,parcelles!$B$56:'parcelles'!$B$77,0),MATCH(parcelles!C117,parcelles!$C$53:'parcelles'!$Y$53,0))*parcelles!E117*VLOOKUP(parcelles!C117,BDD!$HN$5:$HU$38,4,FALSE)))))</f>
        <v/>
      </c>
      <c r="HQ69" s="1085" t="str">
        <f>IF(parcelles!B117="","",IF(OR(parcelles!C117=Moutarde,parcelles!C117=Phacélie),0,IF(parcelles!C117=Luzerne,10*parcelles!E117*VLOOKUP(parcelles!C117,BDD!$HN$5:$HU$38,5,FALSE),IF(parcelles!C117=Miscanthus,10.5*parcelles!E117*VLOOKUP(parcelles!C117,BDD!$HN$5:$HU$38,5,FALSE),INDEX(parcelles!$C$56:'parcelles'!$Y$77,MATCH(parcelles!B117,parcelles!$B$56:'parcelles'!$B$77,0),MATCH(parcelles!C117,parcelles!$C$53:'parcelles'!$Y$53,0))*parcelles!E117*VLOOKUP(parcelles!C117,BDD!$HN$5:$HU$38,5,FALSE)))))</f>
        <v/>
      </c>
      <c r="HR69" s="1085" t="str">
        <f>IF(parcelles!B117="","",IF(OR(parcelles!C117=Moutarde,parcelles!C117=Phacélie),0,IF(parcelles!C117=Luzerne,10*parcelles!E117*VLOOKUP(parcelles!C117,BDD!$HN$5:$HU$38,6,FALSE),IF(parcelles!C117=Miscanthus,10.5*parcelles!E117*VLOOKUP(parcelles!C117,BDD!$HN$5:$HU$38,6,FALSE),INDEX(parcelles!$C$56:'parcelles'!$Y$77,MATCH(parcelles!B117,parcelles!$B$56:'parcelles'!$B$77,0),MATCH(parcelles!C117,parcelles!$C$53:'parcelles'!$Y$53,0))*parcelles!E117*VLOOKUP(parcelles!C117,BDD!$HN$5:$HU$38,6,FALSE)))))</f>
        <v/>
      </c>
      <c r="HS69" s="1085" t="str">
        <f>IF(parcelles!B117="","",IF(OR(parcelles!C117=Moutarde,parcelles!C117=Phacélie),0,IF(parcelles!C117=Luzerne,10*parcelles!E117*VLOOKUP(parcelles!C117,BDD!$HN$5:$HU$38,7,FALSE),IF(parcelles!C117=Miscanthus,10.5*parcelles!E117*VLOOKUP(parcelles!C117,BDD!$HN$5:$HU$38,7,FALSE),INDEX(parcelles!$C$56:'parcelles'!$Y$77,MATCH(parcelles!B117,parcelles!$B$56:'parcelles'!$B$77,0),MATCH(parcelles!C117,parcelles!$C$53:'parcelles'!$Y$53,0))*parcelles!E117*VLOOKUP(parcelles!C117,BDD!$HN$5:$HU$38,7,FALSE)))))</f>
        <v/>
      </c>
      <c r="HT69" s="1085" t="str">
        <f>IF(parcelles!B117="","",IF(OR(parcelles!C117=Moutarde,parcelles!C117=Phacélie),0,IF(parcelles!C117=Luzerne,10*parcelles!E117*VLOOKUP(parcelles!C117,BDD!$HN$5:$HU$38,8,FALSE),IF(parcelles!C117=Miscanthus,10.5*parcelles!E117*VLOOKUP(parcelles!C117,BDD!$HN$5:$HU$38,8,FALSE),INDEX(parcelles!$C$56:'parcelles'!$Y$77,MATCH(parcelles!B117,parcelles!$B$56:'parcelles'!$B$77,0),MATCH(parcelles!C117,parcelles!$C$53:'parcelles'!$Y$53,0))*parcelles!E117*VLOOKUP(parcelles!C117,BDD!$HN$5:$HU$38,8,FALSE)))))</f>
        <v/>
      </c>
      <c r="HU69" s="1085" t="str">
        <f>IF(parcelles!B117="","",IF(OR(parcelles!C117=Moutarde,parcelles!C117=Phacélie),0,1.6*parcelles!E117))</f>
        <v/>
      </c>
      <c r="HV69" s="1085" t="str">
        <f>IF(parcelles!B117="","",IF(OR(parcelles!C117=Moutarde,parcelles!C117=Phacélie),0,1.6*parcelles!E117))</f>
        <v/>
      </c>
      <c r="HW69" s="1085" t="str">
        <f>IF(parcelles!B117="","",IF(OR(parcelles!C117=Moutarde,parcelles!C117=Phacélie),0,1.6*parcelles!E117))</f>
        <v/>
      </c>
      <c r="HX69" s="1092" t="str">
        <f>IF(parcelles!D117="","",IF(parcelles!C117=ChanvreIndustriel,INDEX(parcelles!$C$56:$Y$77,MATCH(parcelles!B117,parcelles!$B$56:$B$77,0),MATCH(parcelles!C117,parcelles!$C$53:$Y$53,0))*parcelles!E117*SUMIF(ListeCulturesBDD,parcelles!C117,PrixVenteCulturesConventionnel)+RIGHT(BDD!$HM$7,3)*7*parcelles!E117,IF(parcelles!C117=Luzerne,parcelles!E117*10*VLOOKUP(parcelles!C117,TarifsCoopCultures,2,FALSE),IF(parcelles!C117=Miscanthus,parcelles!E117*10.5*VLOOKUP(Luzerne,TarifsCoopCultures,2,FALSE),INDEX(parcelles!$C$56:$Y$77,MATCH(parcelles!B117,parcelles!$B$56:$B$77,0),MATCH(parcelles!C117,parcelles!$C$53:$Y$53,0))*parcelles!E117*SUMIF(ListeCulturesBDD,parcelles!C117,PrixVenteCulturesConventionnel)))))</f>
        <v/>
      </c>
      <c r="HY69" s="1085" t="str">
        <f>IF(parcelles!D117="","",IF(parcelles!F117=0,"",IF(parcelles!C117=ChanvreIndustriel,"soit "&amp;parcelles!E117*0.8&amp;"t de grain et "&amp;parcelles!E117*7&amp;"t de paille",IF(parcelles!C117=Luzerne,"soit "&amp;10*parcelles!E117&amp;"t/an",IF(parcelles!C117=Miscanthus,"soit "&amp;10.5*parcelles!E117&amp;"t/an","soit "&amp;INDEX(parcelles!$C$56:$Y$77,MATCH(parcelles!B117,parcelles!$B$56:$B$77,0),MATCH(parcelles!C117,parcelles!$C$53:$Y$53,0))*parcelles!E117&amp;"t")))))</f>
        <v/>
      </c>
      <c r="HZ69" s="1085" t="str">
        <f>IF(parcelles!D117="","",IF(parcelles!F117=0,"",IF(parcelles!C117=ChanvreIndustriel,"soit "&amp;parcelles!E117*0.8*0.8&amp;"t de grain et "&amp;parcelles!E117*7*0.8&amp;"t de paille",IF(parcelles!C117=Luzerne,"soit "&amp;10*0.8*parcelles!E117&amp;"t/an",IF(parcelles!C117=Miscanthus,"soit "&amp;10.5*0.8*parcelles!E117&amp;"t/an","soit "&amp;INDEX(parcelles!$C$56:$Y$77,MATCH(parcelles!B117,parcelles!$B$56:$B$77,0),MATCH(parcelles!C117,parcelles!$C$53:$Y$53,0))*0.8*parcelles!E117&amp;"t")))))</f>
        <v/>
      </c>
      <c r="IA69" s="1085" t="str">
        <f>IF(parcelles!L117="","",(VLOOKUP(parcelles!M117,BDD!$HN$5:$HU$38,2,FALSE))*parcelles!O117)</f>
        <v/>
      </c>
      <c r="IB69" s="1085" t="str">
        <f>IF(parcelles!L117="","",IF(OR(parcelles!M117=Moutarde,parcelles!M117=Phacélie),0,IF(parcelles!M117=Luzerne,10*parcelles!O117*VLOOKUP(parcelles!M117,BDD!$HN$5:$HU$38,3,FALSE),IF(parcelles!M117=Miscanthus,10.5*parcelles!O117*VLOOKUP(parcelles!M117,BDD!$HN$5:$HU$38,3,FALSE),INDEX(parcelles!$C$56:'parcelles'!$Y$77,MATCH(parcelles!L117,parcelles!$B$56:'parcelles'!$B$77,0),MATCH(parcelles!M117,parcelles!$C$53:'parcelles'!$Y$53,0))*parcelles!O117*VLOOKUP(parcelles!M117,BDD!$HN$5:$HU$38,3,FALSE)))))</f>
        <v/>
      </c>
      <c r="IC69" s="1085" t="str">
        <f>IF(parcelles!L117="","",IF(OR(parcelles!M117=Moutarde,parcelles!M117=Phacélie),0,IF(parcelles!M117=Luzerne,10*parcelles!O117*VLOOKUP(parcelles!M117,BDD!$HN$5:$HU$38,4,FALSE),IF(parcelles!M117=Miscanthus,10.5*parcelles!O117*VLOOKUP(parcelles!M117,BDD!$HN$5:$HU$38,4,FALSE),INDEX(parcelles!$C$56:'parcelles'!$Y$77,MATCH(parcelles!L117,parcelles!$B$56:'parcelles'!$B$77,0),MATCH(parcelles!M117,parcelles!$C$53:'parcelles'!$Y$53,0))*parcelles!O117*VLOOKUP(parcelles!M117,BDD!$HN$5:$HU$38,4,FALSE)))))</f>
        <v/>
      </c>
      <c r="ID69" s="1085" t="str">
        <f>IF(parcelles!L117="","",IF(OR(parcelles!M117=Moutarde,parcelles!M117=Phacélie),0,IF(parcelles!M117=Luzerne,10*parcelles!O117*VLOOKUP(parcelles!M117,BDD!$HN$5:$HU$38,5,FALSE),IF(parcelles!M117=Miscanthus,10.5*parcelles!O117*VLOOKUP(parcelles!M117,BDD!$HN$5:$HU$38,5,FALSE),INDEX(parcelles!$C$56:'parcelles'!$Y$77,MATCH(parcelles!L117,parcelles!$B$56:'parcelles'!$B$77,0),MATCH(parcelles!M117,parcelles!$C$53:'parcelles'!$Y$53,0))*parcelles!O117*VLOOKUP(parcelles!M117,BDD!$HN$5:$HU$38,5,FALSE)))))</f>
        <v/>
      </c>
      <c r="IE69" s="1085" t="str">
        <f>IF(parcelles!L117="","",IF(OR(parcelles!M117=Moutarde,parcelles!M117=Phacélie),0,IF(parcelles!M117=Luzerne,10*parcelles!O117*VLOOKUP(parcelles!M117,BDD!$HN$5:$HU$38,6,FALSE),IF(parcelles!M117=Miscanthus,10.5*parcelles!O117*VLOOKUP(parcelles!M117,BDD!$HN$5:$HU$38,6,FALSE),INDEX(parcelles!$C$56:'parcelles'!$Y$77,MATCH(parcelles!L117,parcelles!$B$56:'parcelles'!$B$77,0),MATCH(parcelles!M117,parcelles!$C$53:'parcelles'!$Y$53,0))*parcelles!O117*VLOOKUP(parcelles!M117,BDD!$HN$5:$HU$38,6,FALSE)))))</f>
        <v/>
      </c>
      <c r="IF69" s="1085" t="str">
        <f>IF(parcelles!L117="","",IF(OR(parcelles!M117=Moutarde,parcelles!M117=Phacélie),0,IF(parcelles!M117=Luzerne,10*parcelles!O117*VLOOKUP(parcelles!M117,BDD!$HN$5:$HU$38,7,FALSE),IF(parcelles!M117=Miscanthus,10.5*parcelles!O117*VLOOKUP(parcelles!M117,BDD!$HN$5:$HU$38,7,FALSE),INDEX(parcelles!$C$56:'parcelles'!$Y$77,MATCH(parcelles!L117,parcelles!$B$56:'parcelles'!$B$77,0),MATCH(parcelles!M117,parcelles!$C$53:'parcelles'!$Y$53,0))*parcelles!O117*VLOOKUP(parcelles!M117,BDD!$HN$5:$HU$38,7,FALSE)))))</f>
        <v/>
      </c>
      <c r="IG69" s="1085" t="str">
        <f>IF(parcelles!L117="","",IF(OR(parcelles!M117=Moutarde,parcelles!M117=Phacélie),0,IF(parcelles!M117=Luzerne,10*parcelles!O117*VLOOKUP(parcelles!M117,BDD!$HN$5:$HU$38,8,FALSE),IF(parcelles!M117=Miscanthus,10.5*parcelles!O117*VLOOKUP(parcelles!M117,BDD!$HN$5:$HU$38,8,FALSE),INDEX(parcelles!$C$56:'parcelles'!$Y$77,MATCH(parcelles!L117,parcelles!$B$56:'parcelles'!$B$77,0),MATCH(parcelles!M117,parcelles!$C$53:'parcelles'!$Y$53,0))*parcelles!O117*VLOOKUP(parcelles!M117,BDD!$HN$5:$HU$38,8,FALSE)))))</f>
        <v/>
      </c>
      <c r="IH69" s="1085" t="str">
        <f>IF(parcelles!L117="","",IF(OR(parcelles!L117=Moutarde,parcelles!L117=Phacélie),0,1.6*parcelles!O117))</f>
        <v/>
      </c>
      <c r="II69" s="1085" t="str">
        <f>IF(parcelles!L117="","",IF(OR(parcelles!L117=Moutarde,parcelles!L117=Phacélie),0,1.6*parcelles!O117))</f>
        <v/>
      </c>
      <c r="IJ69" s="1085" t="str">
        <f>IF(parcelles!L117="","",IF(OR(parcelles!L117=Moutarde,parcelles!L117=Phacélie),0,1.6*parcelles!O117))</f>
        <v/>
      </c>
      <c r="IK69" s="1085" t="str">
        <f>IF(parcelles!P117="","",IF(parcelles!R117=0,"",IF(parcelles!O117=ChanvreIndustriel,"soit "&amp;parcelles!Q117*0.8&amp;"t de grain et "&amp;parcelles!Q117*7&amp;"t de paille",IF(parcelles!O117=Luzerne,"soit "&amp;10*parcelles!Q117&amp;"t/an",IF(parcelles!O117=Miscanthus,"soit "&amp;10.5*parcelles!Q117&amp;"t/an","soit "&amp;INDEX(parcelles!$C$56:$Y$77,MATCH(parcelles!N117,parcelles!$B$56:$B$77,0),MATCH(parcelles!O117,parcelles!$C$53:$Y$53,0))*parcelles!Q117&amp;"t")))))</f>
        <v/>
      </c>
      <c r="IL69" s="1085" t="str">
        <f>IF(parcelles!P117="","",IF(parcelles!R117=0,"",IF(parcelles!O117=ChanvreIndustriel,"soit "&amp;parcelles!Q117*0.8*0.8&amp;"t de grain et "&amp;parcelles!Q117*7*0.8&amp;"t de paille",IF(parcelles!O117=Luzerne,"soit "&amp;10*0.8*parcelles!Q117&amp;"t/an",IF(parcelles!O117=Miscanthus,"soit "&amp;10.5*0.8*parcelles!Q117&amp;"t/an","soit "&amp;INDEX(parcelles!$C$56:$Y$77,MATCH(parcelles!N117,parcelles!$B$56:$B$77,0),MATCH(parcelles!O117,parcelles!$C$53:$Y$53,0))*0.8*parcelles!Q117&amp;"t")))))</f>
        <v/>
      </c>
      <c r="IM69" s="1085" t="str">
        <f>IF(parcelles!S117="","",IF(parcelles!U117=0,"",IF(parcelles!R117=ChanvreIndustriel,parcelles!T117*0.8*0.8+parcelles!T117*7*0.8,IF(parcelles!R117=Luzerne,10*0.8*parcelles!T117,IF(parcelles!R117=Miscanthus,10.5*0.8*parcelles!T117,INDEX(parcelles!$C$56:$Y$77,MATCH(parcelles!Q117,parcelles!$B$56:$B$77,0),MATCH(parcelles!R117,parcelles!$C$53:$Y$53,0))*0.8*parcelles!T117)))))</f>
        <v/>
      </c>
      <c r="IN69" s="1368"/>
    </row>
    <row r="70" spans="1:248" ht="12.75" customHeight="1" x14ac:dyDescent="0.2">
      <c r="A70" s="1307" t="s">
        <v>226</v>
      </c>
      <c r="B70" s="1241">
        <f t="shared" si="17"/>
        <v>1E-3</v>
      </c>
      <c r="C70" s="1321"/>
      <c r="D70" s="1321"/>
      <c r="E70" s="1321"/>
      <c r="F70" s="1143" t="s">
        <v>1036</v>
      </c>
      <c r="G70" s="1143" t="s">
        <v>1037</v>
      </c>
      <c r="H70" s="1143">
        <v>65</v>
      </c>
      <c r="I70" s="1143">
        <v>180</v>
      </c>
      <c r="J70" s="1143">
        <v>75</v>
      </c>
      <c r="K70" s="1143">
        <v>50</v>
      </c>
      <c r="L70" s="1143">
        <v>70</v>
      </c>
      <c r="M70" s="1321"/>
      <c r="N70" s="1321"/>
      <c r="O70" s="1149" t="s">
        <v>1153</v>
      </c>
      <c r="P70" s="1149">
        <v>6</v>
      </c>
      <c r="Q70" s="1149">
        <v>5.9</v>
      </c>
      <c r="R70" s="1149">
        <v>5.2</v>
      </c>
      <c r="S70" s="1149">
        <v>5.3</v>
      </c>
      <c r="T70" s="1149">
        <v>5.0999999999999996</v>
      </c>
      <c r="U70" s="1149">
        <v>6</v>
      </c>
      <c r="V70" s="1149"/>
      <c r="W70" s="1149">
        <v>9.1999999999999993</v>
      </c>
      <c r="X70" s="1149">
        <v>15.5</v>
      </c>
      <c r="Y70" s="1149">
        <v>66</v>
      </c>
      <c r="Z70" s="1149">
        <v>3.2</v>
      </c>
      <c r="AA70" s="1149">
        <v>3</v>
      </c>
      <c r="AB70" s="1149">
        <v>4.5</v>
      </c>
      <c r="AC70" s="1149">
        <v>3.6</v>
      </c>
      <c r="AD70" s="1149">
        <v>2.8</v>
      </c>
      <c r="AE70" s="1149">
        <v>0</v>
      </c>
      <c r="AF70" s="1149">
        <v>45</v>
      </c>
      <c r="AG70" s="1149">
        <v>0.8</v>
      </c>
      <c r="AH70" s="1149">
        <v>7</v>
      </c>
      <c r="AI70" s="1149">
        <v>13</v>
      </c>
      <c r="AJ70" s="1149">
        <v>0</v>
      </c>
      <c r="AK70" s="1149">
        <v>0</v>
      </c>
      <c r="AL70" s="1149">
        <v>0</v>
      </c>
      <c r="AM70" s="1149"/>
      <c r="AN70" s="1149">
        <v>1.9</v>
      </c>
      <c r="AO70" s="1149">
        <v>40</v>
      </c>
      <c r="AP70" s="1149">
        <v>26</v>
      </c>
      <c r="AQ70" s="1149">
        <v>0</v>
      </c>
      <c r="AR70" s="1149">
        <v>0</v>
      </c>
      <c r="AS70" s="1149">
        <v>7</v>
      </c>
      <c r="AT70" s="1149">
        <v>0</v>
      </c>
      <c r="AU70" s="1149">
        <v>0</v>
      </c>
      <c r="AV70" s="1149">
        <v>0</v>
      </c>
      <c r="AW70" s="1149">
        <v>8.5</v>
      </c>
      <c r="AX70" s="1149">
        <v>10</v>
      </c>
      <c r="AY70" s="1149">
        <v>10</v>
      </c>
      <c r="AZ70" s="1321"/>
      <c r="BA70" s="1321"/>
      <c r="BB70" s="1236" t="s">
        <v>724</v>
      </c>
      <c r="BC70" s="1190" t="s">
        <v>733</v>
      </c>
      <c r="BD70" s="1190" t="s">
        <v>1252</v>
      </c>
      <c r="BE70" s="1237">
        <v>200</v>
      </c>
      <c r="BF70" s="1237">
        <v>100</v>
      </c>
      <c r="BG70" s="1237">
        <v>80</v>
      </c>
      <c r="BH70" s="1237">
        <v>60</v>
      </c>
      <c r="BI70" s="1237">
        <v>40</v>
      </c>
      <c r="BJ70" s="1237">
        <v>28</v>
      </c>
      <c r="BK70" s="1238">
        <v>12</v>
      </c>
      <c r="BL70" s="1348"/>
      <c r="BM70" s="1349"/>
      <c r="BN70" s="1336"/>
      <c r="BO70" s="1336"/>
      <c r="BP70" s="1336"/>
      <c r="BQ70" s="1336"/>
      <c r="BR70" s="1336"/>
      <c r="BS70" s="1336"/>
      <c r="BT70" s="1336"/>
      <c r="BU70" s="1354"/>
      <c r="BV70" s="1345"/>
      <c r="BW70" s="1345"/>
      <c r="BX70" s="1176" t="s">
        <v>219</v>
      </c>
      <c r="BY70" s="1177" t="s">
        <v>1271</v>
      </c>
      <c r="BZ70" s="1177" t="s">
        <v>1252</v>
      </c>
      <c r="CA70" s="1177">
        <v>0.08</v>
      </c>
      <c r="CB70" s="1177">
        <v>0.04</v>
      </c>
      <c r="CC70" s="1177">
        <v>0.04</v>
      </c>
      <c r="CD70" s="1199">
        <v>0.04</v>
      </c>
      <c r="CE70" s="1350"/>
      <c r="CF70" s="1350"/>
      <c r="CG70" s="1350"/>
      <c r="CH70" s="1350"/>
      <c r="CI70" s="1321"/>
      <c r="CJ70" s="808" t="s">
        <v>672</v>
      </c>
      <c r="CK70" s="788">
        <f t="array" ref="CK7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70" s="788">
        <f t="array" ref="CL7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70" s="788">
        <f t="array" ref="CM7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70" s="788">
        <f t="array" ref="CN7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70" s="788">
        <f t="array" ref="CO7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70" s="812">
        <f>SUM(AlimentsRationPorcinsMâles[[#This Row],[Valeur 12 et plus]:[Valeur 0-1]])</f>
        <v>0</v>
      </c>
      <c r="CQ70" s="1321"/>
      <c r="CR70" s="1321"/>
      <c r="CS70" s="808" t="s">
        <v>298</v>
      </c>
      <c r="CT70" s="817">
        <f t="array" ref="CT7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70" s="817">
        <f t="array" ref="CU7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70" s="817">
        <f t="array" ref="CV7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70" s="818">
        <f>SUM(AlimentsRationLapinsMâles[[#This Row],[Valeur 3 et plus]:[Valeur 0-1]])</f>
        <v>0</v>
      </c>
      <c r="CX70" s="1321"/>
      <c r="CY70" s="1321"/>
      <c r="CZ70" s="808" t="s">
        <v>298</v>
      </c>
      <c r="DA70" s="817">
        <f t="array" ref="DA7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70" s="817">
        <f t="array" ref="DB7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70" s="817">
        <f t="array" ref="DC7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70" s="818">
        <f>SUM(AlimentsRationVolaillesMâles[[#This Row],[Valeur 6 et plus]:[Valeur 0-1]])</f>
        <v>0</v>
      </c>
      <c r="DE70" s="1364"/>
      <c r="DF70" s="1321"/>
      <c r="DG70" s="808" t="s">
        <v>297</v>
      </c>
      <c r="DH70" s="817">
        <f t="array" ref="DH7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70" s="817">
        <f t="array" ref="DI7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70" s="817">
        <f t="array" ref="DJ7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70" s="818">
        <f>SUM(AlimentsRationPintadesMâles[[#This Row],[Valeur 9 et plus]:[Valeur 0-1]])</f>
        <v>0</v>
      </c>
      <c r="DL70" s="1364"/>
      <c r="DM70" s="1364"/>
      <c r="DN70" s="1176" t="s">
        <v>724</v>
      </c>
      <c r="DO70" s="1177" t="s">
        <v>285</v>
      </c>
      <c r="DP70" s="1177" t="s">
        <v>1253</v>
      </c>
      <c r="DQ70" s="1181">
        <v>1.6</v>
      </c>
      <c r="DR70" s="1181">
        <v>1.4</v>
      </c>
      <c r="DS70" s="1181">
        <v>1.2</v>
      </c>
      <c r="DT70" s="1243">
        <v>1</v>
      </c>
      <c r="DU70" s="1346"/>
      <c r="DV70" s="1076"/>
      <c r="DW70" s="1267">
        <f t="array" ref="DW70">IF(ChoixRationComplèteDaims=OUI,0,IFERROR(IF(OR(AND(INDEX(Règles_daims[Specificite],MATCH(ChoixRationDaims&amp;DV70,Règles_daims[Ration]&amp;Règles_daims[Aliment],0))="s1",IF(DV70=Spécificité1Daims,1)),
AND(INDEX(Règles_daims[Specificite],MATCH(ChoixRationDaims&amp;DV70,Règles_daims[Ration]&amp;Règles_daims[Aliment],0))="s2",IF(DV70=Spécificité2Daims,1)),
INDEX(Règles_daims[Specificite],MATCH(ChoixRationDaims&amp;DV70,Règles_daims[Ration]&amp;Règles_daims[Aliment],0))="c"),
INDEX(Règles_daims[Valeur 36 et plus],MATCH(ChoixRationDaims&amp;DV70,Règles_daims[Ration]&amp;Règles_daims[Aliment],0)),0),0)*SUM(TotalDaimsAdultes)*SUM(NbreJoursNourrirBisonsDaims))</f>
        <v>0</v>
      </c>
      <c r="DX70" s="1267">
        <f t="array" ref="DX70">IF(ChoixRationComplèteDaims=OUI,0,IFERROR(IF(OR(AND(INDEX(Règles_daims[Specificite],MATCH(ChoixRationDaims&amp;DV70,Règles_daims[Ration]&amp;Règles_daims[Aliment],0))="s1",IF(DV70=Spécificité1Daims,1)),
AND(INDEX(Règles_daims[Specificite],MATCH(ChoixRationDaims&amp;DV70,Règles_daims[Ration]&amp;Règles_daims[Aliment],0))="s2",IF(DV70=Spécificité2Daims,1)),
INDEX(Règles_daims[Specificite],MATCH(ChoixRationDaims&amp;DV70,Règles_daims[Ration]&amp;Règles_daims[Aliment],0))="c"),
INDEX(Règles_daims[Valeur 24-36],MATCH(ChoixRationDaims&amp;DV70,Règles_daims[Ration]&amp;Règles_daims[Aliment],0)),0),0)*SUM(TotalDaims24_36)*SUM(NbreJoursNourrirBisonsDaims))</f>
        <v>0</v>
      </c>
      <c r="DY70" s="1267">
        <f t="array" ref="DY70">IF(ChoixRationComplèteDaims=OUI,0,IFERROR(IF(OR(AND(INDEX(Règles_daims[Specificite],MATCH(ChoixRationDaims&amp;DV70,Règles_daims[Ration]&amp;Règles_daims[Aliment],0))="s1",IF(DV70=Spécificité1Daims,1)),
AND(INDEX(Règles_daims[Specificite],MATCH(ChoixRationDaims&amp;DV70,Règles_daims[Ration]&amp;Règles_daims[Aliment],0))="s2",IF(DV70=Spécificité2Daims,1)),
INDEX(Règles_daims[Specificite],MATCH(ChoixRationDaims&amp;DV70,Règles_daims[Ration]&amp;Règles_daims[Aliment],0))="c"),
INDEX(Règles_daims[Valeur 18-24],MATCH(ChoixRationDaims&amp;DV70,Règles_daims[Ration]&amp;Règles_daims[Aliment],0)),0),0)*SUM(TotalDaims18_24)*SUM(NbreJoursNourrirBisonsDaims))</f>
        <v>0</v>
      </c>
      <c r="DZ70" s="1279">
        <f t="array" ref="DZ70">IF(ChoixRationComplèteDaims=OUI,0,IFERROR(IF(OR(AND(INDEX(Règles_daims[Specificite],MATCH(ChoixRationDaims&amp;DV70,Règles_daims[Ration]&amp;Règles_daims[Aliment],0))="s1",IF(DV70=Spécificité1Daims,1)),
AND(INDEX(Règles_daims[Specificite],MATCH(ChoixRationDaims&amp;DV70,Règles_daims[Ration]&amp;Règles_daims[Aliment],0))="s2",IF(DV70=Spécificité2Daims,1)),
INDEX(Règles_daims[Specificite],MATCH(ChoixRationDaims&amp;DV70,Règles_daims[Ration]&amp;Règles_daims[Aliment],0))="c"),
INDEX(Règles_daims[Valeur 12-18],MATCH(ChoixRationDaims&amp;DV70,Règles_daims[Ration]&amp;Règles_daims[Aliment],0)),0),0)*SUM(TotalDaims12_18)*SUM(NbreJoursNourrirBisonsDaims))</f>
        <v>0</v>
      </c>
      <c r="EA70" s="1279">
        <f t="array" ref="EA70">IF(ChoixRationComplèteDaims=OUI,0,IFERROR(IF(OR(AND(INDEX(Règles_daims[Specificite],MATCH(ChoixRationDaims&amp;DV70,Règles_daims[Ration]&amp;Règles_daims[Aliment],0))="s1",IF(DV70=Spécificité1Daims,1)),
AND(INDEX(Règles_daims[Specificite],MATCH(ChoixRationDaims&amp;DV70,Règles_daims[Ration]&amp;Règles_daims[Aliment],0))="s2",IF(DV70=Spécificité2Daims,1)),
INDEX(Règles_daims[Specificite],MATCH(ChoixRationDaims&amp;DV70,Règles_daims[Ration]&amp;Règles_daims[Aliment],0))="c"),
INDEX(Règles_daims[Valeur 6-12],MATCH(ChoixRationDaims&amp;DV70,Règles_daims[Ration]&amp;Règles_daims[Aliment],0)),0),0)*SUM(TotalDaims6_12)*SUM(NbreJoursNourrirBisonsDaims))</f>
        <v>0</v>
      </c>
      <c r="EB70" s="1279">
        <f t="array" ref="EB70">IF(ChoixRationComplèteDaims=OUI,0,IFERROR(IF(OR(AND(INDEX(Règles_daims[Specificite],MATCH(ChoixRationDaims&amp;DV70,Règles_daims[Ration]&amp;Règles_daims[Aliment],0))="s1",IF(DV70=Spécificité1Daims,1)),
AND(INDEX(Règles_daims[Specificite],MATCH(ChoixRationDaims&amp;DV70,Règles_daims[Ration]&amp;Règles_daims[Aliment],0))="s2",IF(DV70=Spécificité2Daims,1)),
INDEX(Règles_daims[Specificite],MATCH(ChoixRationDaims&amp;DV70,Règles_daims[Ration]&amp;Règles_daims[Aliment],0))="c"),
INDEX(Règles_daims[Valeur 3-6],MATCH(ChoixRationDaims&amp;DV70,Règles_daims[Ration]&amp;Règles_daims[Aliment],0)),0),0)*SUM(TotalDaims3_6)*SUM(NbreJoursNourrirBisonsDaims))</f>
        <v>0</v>
      </c>
      <c r="EC70" s="1279">
        <f t="array" ref="EC70">IF(ChoixRationComplèteDaims=OUI,0,IFERROR(IF(OR(AND(INDEX(Règles_daims[Specificite],MATCH(ChoixRationDaims&amp;DV70,Règles_daims[Ration]&amp;Règles_daims[Aliment],0))="s1",IF(DV70=Spécificité1Daims,1)),
AND(INDEX(Règles_daims[Specificite],MATCH(ChoixRationDaims&amp;DV70,Règles_daims[Ration]&amp;Règles_daims[Aliment],0))="s2",IF(DV70=Spécificité2Daims,1)),
INDEX(Règles_daims[Specificite],MATCH(ChoixRationDaims&amp;DV70,Règles_daims[Ration]&amp;Règles_daims[Aliment],0))="c"),
INDEX(Règles_daims[Valeur 0-3],MATCH(ChoixRationDaims&amp;DV70,Règles_daims[Ration]&amp;Règles_daims[Aliment],0)),0),0)*SUM(TotalDaims0_3)*SUM(NbreJoursNourrirBisonsDaims))</f>
        <v>0</v>
      </c>
      <c r="ED70" s="1279">
        <f t="shared" si="9"/>
        <v>0</v>
      </c>
      <c r="EE70" s="1345"/>
      <c r="EF70" s="1321"/>
      <c r="EG70" s="808" t="s">
        <v>340</v>
      </c>
      <c r="EH70" s="817">
        <f t="array" ref="EH7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70" s="817">
        <f t="array" ref="EI7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70" s="817">
        <f t="array" ref="EJ7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70" s="818">
        <f>SUM(AlimentsRationOiesMâles[[#This Row],[Valeur 6 et plus]:[Valeur 0-3]])</f>
        <v>0</v>
      </c>
      <c r="EL70" s="1364"/>
      <c r="EM70" s="1321"/>
      <c r="EN70" s="808" t="s">
        <v>339</v>
      </c>
      <c r="EO70" s="817">
        <f t="array" ref="EO7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70" s="817">
        <f t="array" ref="EP7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70" s="817">
        <f t="array" ref="EQ7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70" s="818">
        <f>SUM(Ration_canards_Mâles[[#This Row],[Valeur 6 et plus]:[Valeur 0-3]])</f>
        <v>0</v>
      </c>
      <c r="ES70" s="1364"/>
      <c r="ET70" s="1321"/>
      <c r="EU70" s="1082" t="s">
        <v>728</v>
      </c>
      <c r="EV70" s="1282">
        <f t="array" ref="EV70">IF(OR(ChoixRationComplèteEtéChevauxSelle=OUI,ChoixRationComplèteEtéChevauxSelle="",AND(ChoixChevauxSellePréHiver=OUI,ChoixChevauxSellePréEté=OUI)),0,IFERROR(IF(OR(AND(INDEX(Règles_chevaux_selle[Specificite],MATCH(RationEtéChevauxSelle&amp;$EU70,Règles_chevaux_selle[Ration]&amp;Règles_chevaux_selle[Aliment],0))="s1",IF($EU70=Spécificité1ChevauxSelle,1)),
AND(INDEX(Règles_chevaux_selle[Specificite],MATCH(RationEtéChevauxSelle&amp;$EU70,Règles_chevaux_selle[Ration]&amp;Règles_chevaux_selle[Aliment],0))="s2",IF($EU70=Spécificité2ChevauxSelle,1)),
INDEX(Règles_chevaux_selle[Specificite],MATCH(RationEtéChevauxSelle&amp;$EU70,Règles_chevaux_selle[Ration]&amp;Règles_chevaux_selle[Aliment],0))="c"),
INDEX(Règles_chevaux_selle[Valeur 36 et plus],MATCH(RationEtéChevauxSelle&amp;$EU70,Règles_chevaux_selle[Ration]&amp;Règles_chevaux_selle[Aliment],0)),0),0)*TotalEtalonSelle*SUM(NbreJoursNourrirChevauxSelle))</f>
        <v>0</v>
      </c>
      <c r="EW70" s="1282">
        <f t="array" ref="EW70">IF(OR(ChoixRationComplèteEtéChevauxSelle=OUI,ChoixRationComplèteEtéChevauxSelle="",AND(ChoixChevauxSellePréHiver=OUI,ChoixChevauxSellePréEté=OUI)),0,IFERROR(IF(OR(AND(INDEX(Règles_chevaux_selle[Specificite],MATCH(RationEtéChevauxSelle&amp;$EU70,Règles_chevaux_selle[Ration]&amp;Règles_chevaux_selle[Aliment],0))="s1",IF($EU70=Spécificité1ChevauxSelle,1)),
AND(INDEX(Règles_chevaux_selle[Specificite],MATCH(RationEtéChevauxSelle&amp;$EU70,Règles_chevaux_selle[Ration]&amp;Règles_chevaux_selle[Aliment],0))="s2",IF($EU70=Spécificité2ChevauxSelle,1)),
INDEX(Règles_chevaux_selle[Specificite],MATCH(RationEtéChevauxSelle&amp;$EU70,Règles_chevaux_selle[Ration]&amp;Règles_chevaux_selle[Aliment],0))="c"),
INDEX(Règles_chevaux_selle[Valeur 24-36],MATCH(RationEtéChevauxSelle&amp;$EU70,Règles_chevaux_selle[Ration]&amp;Règles_chevaux_selle[Aliment],0)),0),0)*TotalJeuneEtalonSelle_24_36_mois*SUM(NbreJoursNourrirChevauxSelle))</f>
        <v>0</v>
      </c>
      <c r="EX70" s="1282">
        <f t="array" ref="EX70">IF(OR(ChoixRationComplèteEtéChevauxSelle=OUI,ChoixRationComplèteEtéChevauxSelle="",AND(ChoixChevauxSellePréHiver=OUI,ChoixChevauxSellePréEté=OUI)),0,IFERROR(IF(OR(AND(INDEX(Règles_chevaux_selle[Specificite],MATCH(RationEtéChevauxSelle&amp;$EU70,Règles_chevaux_selle[Ration]&amp;Règles_chevaux_selle[Aliment],0))="s1",IF($EU70=Spécificité1ChevauxSelle,1)),
AND(INDEX(Règles_chevaux_selle[Specificite],MATCH(RationEtéChevauxSelle&amp;$EU70,Règles_chevaux_selle[Ration]&amp;Règles_chevaux_selle[Aliment],0))="s2",IF($EU70=Spécificité2ChevauxSelle,1)),
INDEX(Règles_chevaux_selle[Specificite],MATCH(RationEtéChevauxSelle&amp;$EU70,Règles_chevaux_selle[Ration]&amp;Règles_chevaux_selle[Aliment],0))="c"),
INDEX(Règles_chevaux_selle[Valeur 12-24],MATCH(RationEtéChevauxSelle&amp;$EU70,Règles_chevaux_selle[Ration]&amp;Règles_chevaux_selle[Aliment],0)),0),0)*TotalJeuneEtalonSelle_12_24_mois*SUM(NbreJoursNourrirChevauxSelle))</f>
        <v>0</v>
      </c>
      <c r="EY70" s="1285">
        <f t="array" ref="EY70">IF(OR(ChoixRationComplèteEtéChevauxSelle=OUI,ChoixRationComplèteEtéChevauxSelle="",AND(ChoixChevauxSellePréHiver=OUI,ChoixChevauxSellePréEté=OUI)),0,IFERROR(IF(OR(AND(INDEX(Règles_chevaux_selle[Specificite],MATCH(RationEtéChevauxSelle&amp;$EU70,Règles_chevaux_selle[Ration]&amp;Règles_chevaux_selle[Aliment],0))="s1",IF($EU70=Spécificité1ChevauxSelle,1)),
AND(INDEX(Règles_chevaux_selle[Specificite],MATCH(RationEtéChevauxSelle&amp;$EU70,Règles_chevaux_selle[Ration]&amp;Règles_chevaux_selle[Aliment],0))="s2",IF($EU70=Spécificité2ChevauxSelle,1)),
INDEX(Règles_chevaux_selle[Specificite],MATCH(RationEtéChevauxSelle&amp;$EU70,Règles_chevaux_selle[Ration]&amp;Règles_chevaux_selle[Aliment],0))="c"),
INDEX(Règles_chevaux_selle[Valeur 0-12],MATCH(RationEtéChevauxSelle&amp;$EU70,Règles_chevaux_selle[Ration]&amp;Règles_chevaux_selle[Aliment],0)),0),0)*TotalPoulainSelle_0_12_mois*SUM(NbreJoursNourrirChevauxSelle))</f>
        <v>0</v>
      </c>
      <c r="EZ70" s="1285">
        <f t="shared" si="16"/>
        <v>0</v>
      </c>
      <c r="FA70" s="1345"/>
      <c r="FB70" s="1345"/>
      <c r="FC70" s="1346"/>
      <c r="FD70" s="1082" t="s">
        <v>333</v>
      </c>
      <c r="FE70" s="1282">
        <f t="array" ref="FE70">IF(OR(ChoixRationComplèteEtéChevauxTrait=OUI,ChoixRationComplèteEtéChevauxTrait="",AND(ChoixChevauxTraitPréHiver=OUI,ChoixChevauxTraitPréEté=OUI)),0,IFERROR(IF(OR(AND(INDEX(Règles_chevaux_trait[Specificite],MATCH(RationEtéChevauxTrait&amp;$FD70,Règles_chevaux_trait[Ration]&amp;Règles_chevaux_trait[Aliment],0))="s1",IF($FD70=Spécificité1ChevauxTrait,1)),
AND(INDEX(Règles_chevaux_trait[Specificite],MATCH(RationEtéChevauxTrait&amp;$FD70,Règles_chevaux_trait[Ration]&amp;Règles_chevaux_trait[Aliment],0))="s2",IF($FD70=Spécificité2ChevauxTrait,1)),
INDEX(Règles_chevaux_trait[Specificite],MATCH(RationEtéChevauxTrait&amp;$FD70,Règles_chevaux_trait[Ration]&amp;Règles_chevaux_trait[Aliment],0))="c"),
INDEX(Règles_chevaux_trait[Valeur 36 et plus],MATCH(RationEtéChevauxTrait&amp;$FD70,Règles_chevaux_trait[Ration]&amp;Règles_chevaux_trait[Aliment],0)),0),0)*TotalEtalonTrait*SUM(NbreJoursNourrirChevauxTrait))</f>
        <v>0</v>
      </c>
      <c r="FF70" s="1282">
        <f t="array" ref="FF70">IF(OR(ChoixRationComplèteEtéChevauxTrait=OUI,ChoixRationComplèteEtéChevauxTrait="",AND(ChoixChevauxTraitPréHiver=OUI,ChoixChevauxTraitPréEté=OUI)),0,IFERROR(IF(OR(AND(INDEX(Règles_chevaux_trait[Specificite],MATCH(RationEtéChevauxTrait&amp;$FD70,Règles_chevaux_trait[Ration]&amp;Règles_chevaux_trait[Aliment],0))="s1",IF($FD70=Spécificité1ChevauxTrait,1)),
AND(INDEX(Règles_chevaux_trait[Specificite],MATCH(RationEtéChevauxTrait&amp;$FD70,Règles_chevaux_trait[Ration]&amp;Règles_chevaux_trait[Aliment],0))="s2",IF($FD70=Spécificité2ChevauxTrait,1)),
INDEX(Règles_chevaux_trait[Specificite],MATCH(RationEtéChevauxTrait&amp;$FD70,Règles_chevaux_trait[Ration]&amp;Règles_chevaux_trait[Aliment],0))="c"),
INDEX(Règles_chevaux_trait[Valeur 24-36],MATCH(RationEtéChevauxTrait&amp;$FD70,Règles_chevaux_trait[Ration]&amp;Règles_chevaux_trait[Aliment],0)),0),0)*TotalJeuneEtalonTrait_24_36_mois*SUM(NbreJoursNourrirChevauxTrait))</f>
        <v>0</v>
      </c>
      <c r="FG70" s="1282">
        <f t="array" ref="FG70">IF(OR(ChoixRationComplèteEtéChevauxTrait=OUI,ChoixRationComplèteEtéChevauxTrait="",AND(ChoixChevauxTraitPréHiver=OUI,ChoixChevauxTraitPréEté=OUI)),0,IFERROR(IF(OR(AND(INDEX(Règles_chevaux_trait[Specificite],MATCH(RationEtéChevauxTrait&amp;$FD70,Règles_chevaux_trait[Ration]&amp;Règles_chevaux_trait[Aliment],0))="s1",IF($FD70=Spécificité1ChevauxTrait,1)),
AND(INDEX(Règles_chevaux_trait[Specificite],MATCH(RationEtéChevauxTrait&amp;$FD70,Règles_chevaux_trait[Ration]&amp;Règles_chevaux_trait[Aliment],0))="s2",IF($FD70=Spécificité2ChevauxTrait,1)),
INDEX(Règles_chevaux_trait[Specificite],MATCH(RationEtéChevauxTrait&amp;$FD70,Règles_chevaux_trait[Ration]&amp;Règles_chevaux_trait[Aliment],0))="c"),
INDEX(Règles_chevaux_trait[Valeur 12-24],MATCH(RationEtéChevauxTrait&amp;$FD70,Règles_chevaux_trait[Ration]&amp;Règles_chevaux_trait[Aliment],0)),0),0)*TotalJeuneEtalonTrait_12_24_mois*SUM(NbreJoursNourrirChevauxTrait))</f>
        <v>0</v>
      </c>
      <c r="FH70" s="1285">
        <f t="array" ref="FH70">IF(OR(ChoixRationComplèteEtéChevauxTrait=OUI,ChoixRationComplèteEtéChevauxTrait="",AND(ChoixChevauxTraitPréHiver=OUI,ChoixChevauxTraitPréEté=OUI)),0,IFERROR(IF(OR(AND(INDEX(Règles_chevaux_trait[Specificite],MATCH(RationEtéChevauxTrait&amp;$FD70,Règles_chevaux_trait[Ration]&amp;Règles_chevaux_trait[Aliment],0))="s1",IF($FD70=Spécificité1ChevauxTrait,1)),
AND(INDEX(Règles_chevaux_trait[Specificite],MATCH(RationEtéChevauxTrait&amp;$FD70,Règles_chevaux_trait[Ration]&amp;Règles_chevaux_trait[Aliment],0))="s2",IF($FD70=Spécificité2ChevauxTrait,1)),
INDEX(Règles_chevaux_trait[Specificite],MATCH(RationEtéChevauxTrait&amp;$FD70,Règles_chevaux_trait[Ration]&amp;Règles_chevaux_trait[Aliment],0))="c"),
INDEX(Règles_chevaux_trait[Valeur 0-12],MATCH(RationEtéChevauxTrait&amp;$FD70,Règles_chevaux_trait[Ration]&amp;Règles_chevaux_trait[Aliment],0)),0),0)*TotalPoulainTrait_0_12_mois*SUM(NbreJoursNourrirChevauxTrait))</f>
        <v>0</v>
      </c>
      <c r="FI70" s="1285">
        <f t="shared" si="15"/>
        <v>0</v>
      </c>
      <c r="FJ70" s="1345"/>
      <c r="FK70" s="1345"/>
      <c r="FL70" s="1345"/>
      <c r="FM70" s="1346"/>
      <c r="FN70" s="1083" t="s">
        <v>340</v>
      </c>
      <c r="FO70" s="1283">
        <f t="array" ref="FO70">IF(OR(ChoixRationComplèteEtéPoneys=OUI,ChoixRationComplèteEtéPoneys="",AND(ChoixPoneysPréHiver=OUI,ChoixPoneysPréEté=OUI)),0,IFERROR(IF(OR(AND(INDEX(Règles_poneys[Specificite],MATCH(RationEtéPoneys&amp;$FN70,Règles_poneys[Ration]&amp;Règles_poneys[Aliment],0))="s1",IF($FN70=Spécificité1Poneys,1)),
AND(INDEX(Règles_poneys[Specificite],MATCH(RationEtéPoneys&amp;$FN70,Règles_poneys[Ration]&amp;Règles_poneys[Aliment],0))="s2",IF($FN70=Spécificité2Poneys,1)),
INDEX(Règles_poneys[Specificite],MATCH(RationEtéPoneys&amp;$FN70,Règles_poneys[Ration]&amp;Règles_poneys[Aliment],0))="c"),
INDEX(Règles_poneys[Valeur 36 et plus],MATCH(RationEtéPoneys&amp;$FN70,Règles_poneys[Ration]&amp;Règles_poneys[Aliment],0)),0),0)*TotalEtalonPoney*SUM(NbreJoursNourrirPoneys))</f>
        <v>0</v>
      </c>
      <c r="FP70" s="1283">
        <f t="array" ref="FP70">IF(OR(ChoixRationComplèteEtéPoneys=OUI,ChoixRationComplèteEtéPoneys="",AND(ChoixPoneysPréHiver=OUI,ChoixPoneysPréEté=OUI)),0,IFERROR(IF(OR(AND(INDEX(Règles_poneys[Specificite],MATCH(RationEtéPoneys&amp;$FN70,Règles_poneys[Ration]&amp;Règles_poneys[Aliment],0))="s1",IF($FN70=Spécificité1Poneys,1)),
AND(INDEX(Règles_poneys[Specificite],MATCH(RationEtéPoneys&amp;$FN70,Règles_poneys[Ration]&amp;Règles_poneys[Aliment],0))="s2",IF($FN70=Spécificité2Poneys,1)),
INDEX(Règles_poneys[Specificite],MATCH(RationEtéPoneys&amp;$FN70,Règles_poneys[Ration]&amp;Règles_poneys[Aliment],0))="c"),
INDEX(Règles_poneys[Valeur 36 et plus],MATCH(RationEtéPoneys&amp;$FN70,Règles_poneys[Ration]&amp;Règles_poneys[Aliment],0)),0),0)*TotalJeuneEtalonPoney_24_36_mois*SUM(NbreJoursNourrirPoneys))</f>
        <v>0</v>
      </c>
      <c r="FQ70" s="1283">
        <f t="array" ref="FQ70">IF(OR(ChoixRationComplèteEtéPoneys=OUI,ChoixRationComplèteEtéPoneys="",AND(ChoixPoneysPréHiver=OUI,ChoixPoneysPréEté=OUI)),0,IFERROR(IF(OR(AND(INDEX(Règles_poneys[Specificite],MATCH(RationEtéPoneys&amp;$FN70,Règles_poneys[Ration]&amp;Règles_poneys[Aliment],0))="s1",IF($FN70=Spécificité1Poneys,1)),
AND(INDEX(Règles_poneys[Specificite],MATCH(RationEtéPoneys&amp;$FN70,Règles_poneys[Ration]&amp;Règles_poneys[Aliment],0))="s2",IF($FN70=Spécificité2Poneys,1)),
INDEX(Règles_poneys[Specificite],MATCH(RationEtéPoneys&amp;$FN70,Règles_poneys[Ration]&amp;Règles_poneys[Aliment],0))="c"),
INDEX(Règles_poneys[Valeur 36 et plus],MATCH(RationEtéPoneys&amp;$FN70,Règles_poneys[Ration]&amp;Règles_poneys[Aliment],0)),0),0)*TotalJeuneEtalonPoney_12_24_mois*SUM(NbreJoursNourrirPoneys))</f>
        <v>0</v>
      </c>
      <c r="FR70" s="1286">
        <f t="array" ref="FR70">IF(OR(ChoixRationComplèteEtéPoneys=OUI,ChoixRationComplèteEtéPoneys="",AND(ChoixPoneysPréHiver=OUI,ChoixPoneysPréEté=OUI)),0,IFERROR(IF(OR(AND(INDEX(Règles_poneys[Specificite],MATCH(RationEtéPoneys&amp;$FN70,Règles_poneys[Ration]&amp;Règles_poneys[Aliment],0))="s1",IF($FN70=Spécificité1Poneys,1)),
AND(INDEX(Règles_poneys[Specificite],MATCH(RationEtéPoneys&amp;$FN70,Règles_poneys[Ration]&amp;Règles_poneys[Aliment],0))="s2",IF($FN70=Spécificité2Poneys,1)),
INDEX(Règles_poneys[Specificite],MATCH(RationEtéPoneys&amp;$FN70,Règles_poneys[Ration]&amp;Règles_poneys[Aliment],0))="c"),
INDEX(Règles_poneys[Valeur 36 et plus],MATCH(RationEtéPoneys&amp;$FN70,Règles_poneys[Ration]&amp;Règles_poneys[Aliment],0)),0),0)*TotalPoulainPoney_0_12_mois*SUM(NbreJoursNourrirPoneys))</f>
        <v>0</v>
      </c>
      <c r="FS70" s="1286">
        <f t="shared" si="14"/>
        <v>0</v>
      </c>
      <c r="FT70" s="1345"/>
      <c r="FU70" s="1345"/>
      <c r="FV70" s="1345"/>
      <c r="FW70" s="823" t="s">
        <v>63</v>
      </c>
      <c r="FX70" s="828">
        <f t="array" ref="FX7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70" s="828">
        <f t="array" ref="FY7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70" s="828">
        <f t="array" ref="FZ7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70" s="828">
        <f t="array" ref="GA7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70" s="829">
        <f>SUM(AlimentsGavageOies[[#This Row],[Valeur 3 et plus]:[Valeur 0-1]])</f>
        <v>0</v>
      </c>
      <c r="GC70" s="1364"/>
      <c r="GD70" s="1321"/>
      <c r="GE70" s="1143" t="s">
        <v>244</v>
      </c>
      <c r="GF70" s="1321"/>
      <c r="GG70" s="1321" t="s">
        <v>1349</v>
      </c>
      <c r="GH70" s="1321" t="s">
        <v>1349</v>
      </c>
      <c r="GI70" s="1321" t="s">
        <v>1349</v>
      </c>
      <c r="GJ70" s="1321" t="s">
        <v>1349</v>
      </c>
      <c r="GK70" s="1321" t="s">
        <v>1349</v>
      </c>
      <c r="GL70" s="1321" t="s">
        <v>1349</v>
      </c>
      <c r="GM70" s="1321" t="s">
        <v>1349</v>
      </c>
      <c r="GN70" s="1321" t="s">
        <v>1349</v>
      </c>
      <c r="GO70" s="1321" t="s">
        <v>1349</v>
      </c>
      <c r="GP70" s="1321" t="s">
        <v>1349</v>
      </c>
      <c r="GQ70" s="1321" t="s">
        <v>1349</v>
      </c>
      <c r="GR70" s="1321" t="s">
        <v>1349</v>
      </c>
      <c r="GS70" s="1321" t="s">
        <v>1349</v>
      </c>
      <c r="GT70" s="1321" t="s">
        <v>1349</v>
      </c>
      <c r="GU70" s="1321" t="s">
        <v>1349</v>
      </c>
      <c r="GV70" s="1321" t="s">
        <v>1349</v>
      </c>
      <c r="GW70" s="1321"/>
      <c r="GX70" s="1321"/>
      <c r="GY70" s="1083" t="str">
        <f t="shared" si="11"/>
        <v>semences de pois (GP)</v>
      </c>
      <c r="GZ70" s="1083"/>
      <c r="HA70" s="1084"/>
      <c r="HB70" s="1084">
        <f>IF(COUNTIF(TypeArticleDansEntrepôt,GY70)=0,0,SUMIF(TypeArticleDansEntrepôt,GY70,QtéArticleDansEntrepôt)*VLOOKUP(GY70,place_necessaire_entrepots_aire_paille[],2,FALSE))</f>
        <v>0</v>
      </c>
      <c r="HC70" s="1321"/>
      <c r="HD70" s="1321"/>
      <c r="HE70" s="1321"/>
      <c r="HF70" s="1321"/>
      <c r="HG70" s="1321"/>
      <c r="HH70" s="1321"/>
      <c r="HI70" s="1321"/>
      <c r="HJ70" s="1321"/>
      <c r="HK70" s="1321"/>
      <c r="HL70" s="1321"/>
      <c r="HM70" s="1321"/>
      <c r="HN70" s="1084" t="str">
        <f>IF(parcelles!B118="","",(VLOOKUP(parcelles!C118,BDD!$HN$5:$HU$38,2,FALSE))*parcelles!E118)</f>
        <v/>
      </c>
      <c r="HO70" s="1084" t="str">
        <f>IF(parcelles!B118="","",IF(OR(parcelles!C118=Moutarde,parcelles!C118=Phacélie),0,IF(parcelles!C118=Luzerne,10*parcelles!E118*VLOOKUP(parcelles!C118,BDD!$HN$5:$HU$38,3,FALSE),IF(parcelles!C118=Miscanthus,10.5*parcelles!E118*VLOOKUP(parcelles!C118,BDD!$HN$5:$HU$38,3,FALSE),INDEX(parcelles!$C$56:'parcelles'!$Y$77,MATCH(parcelles!B118,parcelles!$B$56:'parcelles'!$B$77,0),MATCH(parcelles!C118,parcelles!$C$53:'parcelles'!$Y$53,0))*parcelles!E118*VLOOKUP(parcelles!C118,BDD!$HN$5:$HU$38,3,FALSE)))))</f>
        <v/>
      </c>
      <c r="HP70" s="1084" t="str">
        <f>IF(parcelles!B118="","",IF(OR(parcelles!C118=Moutarde,parcelles!C118=Phacélie),0,IF(parcelles!C118=Luzerne,10*parcelles!E118*VLOOKUP(parcelles!C118,BDD!$HN$5:$HU$38,4,FALSE),IF(parcelles!C118=Miscanthus,10.5*parcelles!E118*VLOOKUP(parcelles!C118,BDD!$HN$5:$HU$38,4,FALSE),INDEX(parcelles!$C$56:'parcelles'!$Y$77,MATCH(parcelles!B118,parcelles!$B$56:'parcelles'!$B$77,0),MATCH(parcelles!C118,parcelles!$C$53:'parcelles'!$Y$53,0))*parcelles!E118*VLOOKUP(parcelles!C118,BDD!$HN$5:$HU$38,4,FALSE)))))</f>
        <v/>
      </c>
      <c r="HQ70" s="1084" t="str">
        <f>IF(parcelles!B118="","",IF(OR(parcelles!C118=Moutarde,parcelles!C118=Phacélie),0,IF(parcelles!C118=Luzerne,10*parcelles!E118*VLOOKUP(parcelles!C118,BDD!$HN$5:$HU$38,5,FALSE),IF(parcelles!C118=Miscanthus,10.5*parcelles!E118*VLOOKUP(parcelles!C118,BDD!$HN$5:$HU$38,5,FALSE),INDEX(parcelles!$C$56:'parcelles'!$Y$77,MATCH(parcelles!B118,parcelles!$B$56:'parcelles'!$B$77,0),MATCH(parcelles!C118,parcelles!$C$53:'parcelles'!$Y$53,0))*parcelles!E118*VLOOKUP(parcelles!C118,BDD!$HN$5:$HU$38,5,FALSE)))))</f>
        <v/>
      </c>
      <c r="HR70" s="1084" t="str">
        <f>IF(parcelles!B118="","",IF(OR(parcelles!C118=Moutarde,parcelles!C118=Phacélie),0,IF(parcelles!C118=Luzerne,10*parcelles!E118*VLOOKUP(parcelles!C118,BDD!$HN$5:$HU$38,6,FALSE),IF(parcelles!C118=Miscanthus,10.5*parcelles!E118*VLOOKUP(parcelles!C118,BDD!$HN$5:$HU$38,6,FALSE),INDEX(parcelles!$C$56:'parcelles'!$Y$77,MATCH(parcelles!B118,parcelles!$B$56:'parcelles'!$B$77,0),MATCH(parcelles!C118,parcelles!$C$53:'parcelles'!$Y$53,0))*parcelles!E118*VLOOKUP(parcelles!C118,BDD!$HN$5:$HU$38,6,FALSE)))))</f>
        <v/>
      </c>
      <c r="HS70" s="1084" t="str">
        <f>IF(parcelles!B118="","",IF(OR(parcelles!C118=Moutarde,parcelles!C118=Phacélie),0,IF(parcelles!C118=Luzerne,10*parcelles!E118*VLOOKUP(parcelles!C118,BDD!$HN$5:$HU$38,7,FALSE),IF(parcelles!C118=Miscanthus,10.5*parcelles!E118*VLOOKUP(parcelles!C118,BDD!$HN$5:$HU$38,7,FALSE),INDEX(parcelles!$C$56:'parcelles'!$Y$77,MATCH(parcelles!B118,parcelles!$B$56:'parcelles'!$B$77,0),MATCH(parcelles!C118,parcelles!$C$53:'parcelles'!$Y$53,0))*parcelles!E118*VLOOKUP(parcelles!C118,BDD!$HN$5:$HU$38,7,FALSE)))))</f>
        <v/>
      </c>
      <c r="HT70" s="1084" t="str">
        <f>IF(parcelles!B118="","",IF(OR(parcelles!C118=Moutarde,parcelles!C118=Phacélie),0,IF(parcelles!C118=Luzerne,10*parcelles!E118*VLOOKUP(parcelles!C118,BDD!$HN$5:$HU$38,8,FALSE),IF(parcelles!C118=Miscanthus,10.5*parcelles!E118*VLOOKUP(parcelles!C118,BDD!$HN$5:$HU$38,8,FALSE),INDEX(parcelles!$C$56:'parcelles'!$Y$77,MATCH(parcelles!B118,parcelles!$B$56:'parcelles'!$B$77,0),MATCH(parcelles!C118,parcelles!$C$53:'parcelles'!$Y$53,0))*parcelles!E118*VLOOKUP(parcelles!C118,BDD!$HN$5:$HU$38,8,FALSE)))))</f>
        <v/>
      </c>
      <c r="HU70" s="1084" t="str">
        <f>IF(parcelles!B118="","",IF(OR(parcelles!C118=Moutarde,parcelles!C118=Phacélie),0,1.6*parcelles!E118))</f>
        <v/>
      </c>
      <c r="HV70" s="1084" t="str">
        <f>IF(parcelles!B118="","",IF(OR(parcelles!C118=Moutarde,parcelles!C118=Phacélie),0,1.6*parcelles!E118))</f>
        <v/>
      </c>
      <c r="HW70" s="1084" t="str">
        <f>IF(parcelles!B118="","",IF(OR(parcelles!C118=Moutarde,parcelles!C118=Phacélie),0,1.6*parcelles!E118))</f>
        <v/>
      </c>
      <c r="HX70" s="1095" t="str">
        <f>IF(parcelles!D118="","",IF(parcelles!C118=ChanvreIndustriel,INDEX(parcelles!$C$56:$Y$77,MATCH(parcelles!B118,parcelles!$B$56:$B$77,0),MATCH(parcelles!C118,parcelles!$C$53:$Y$53,0))*parcelles!E118*SUMIF(ListeCulturesBDD,parcelles!C118,PrixVenteCulturesConventionnel)+RIGHT(BDD!$HM$7,3)*7*parcelles!E118,IF(parcelles!C118=Luzerne,parcelles!E118*10*VLOOKUP(parcelles!C118,TarifsCoopCultures,2,FALSE),IF(parcelles!C118=Miscanthus,parcelles!E118*10.5*VLOOKUP(Luzerne,TarifsCoopCultures,2,FALSE),INDEX(parcelles!$C$56:$Y$77,MATCH(parcelles!B118,parcelles!$B$56:$B$77,0),MATCH(parcelles!C118,parcelles!$C$53:$Y$53,0))*parcelles!E118*SUMIF(ListeCulturesBDD,parcelles!C118,PrixVenteCulturesConventionnel)))))</f>
        <v/>
      </c>
      <c r="HY70" s="1084" t="str">
        <f>IF(parcelles!D118="","",IF(parcelles!F118=0,"",IF(parcelles!C118=ChanvreIndustriel,"soit "&amp;parcelles!E118*0.8&amp;"t de grain et "&amp;parcelles!E118*7&amp;"t de paille",IF(parcelles!C118=Luzerne,"soit "&amp;10*parcelles!E118&amp;"t/an",IF(parcelles!C118=Miscanthus,"soit "&amp;10.5*parcelles!E118&amp;"t/an","soit "&amp;INDEX(parcelles!$C$56:$Y$77,MATCH(parcelles!B118,parcelles!$B$56:$B$77,0),MATCH(parcelles!C118,parcelles!$C$53:$Y$53,0))*parcelles!E118&amp;"t")))))</f>
        <v/>
      </c>
      <c r="HZ70" s="1084" t="str">
        <f>IF(parcelles!D118="","",IF(parcelles!F118=0,"",IF(parcelles!C118=ChanvreIndustriel,"soit "&amp;parcelles!E118*0.8*0.8&amp;"t de grain et "&amp;parcelles!E118*7*0.8&amp;"t de paille",IF(parcelles!C118=Luzerne,"soit "&amp;10*0.8*parcelles!E118&amp;"t/an",IF(parcelles!C118=Miscanthus,"soit "&amp;10.5*0.8*parcelles!E118&amp;"t/an","soit "&amp;INDEX(parcelles!$C$56:$Y$77,MATCH(parcelles!B118,parcelles!$B$56:$B$77,0),MATCH(parcelles!C118,parcelles!$C$53:$Y$53,0))*0.8*parcelles!E118&amp;"t")))))</f>
        <v/>
      </c>
      <c r="IA70" s="1084" t="str">
        <f>IF(parcelles!L118="","",(VLOOKUP(parcelles!M118,BDD!$HN$5:$HU$38,2,FALSE))*parcelles!O118)</f>
        <v/>
      </c>
      <c r="IB70" s="1084" t="str">
        <f>IF(parcelles!L118="","",IF(OR(parcelles!M118=Moutarde,parcelles!M118=Phacélie),0,IF(parcelles!M118=Luzerne,10*parcelles!O118*VLOOKUP(parcelles!M118,BDD!$HN$5:$HU$38,3,FALSE),IF(parcelles!M118=Miscanthus,10.5*parcelles!O118*VLOOKUP(parcelles!M118,BDD!$HN$5:$HU$38,3,FALSE),INDEX(parcelles!$C$56:'parcelles'!$Y$77,MATCH(parcelles!L118,parcelles!$B$56:'parcelles'!$B$77,0),MATCH(parcelles!M118,parcelles!$C$53:'parcelles'!$Y$53,0))*parcelles!O118*VLOOKUP(parcelles!M118,BDD!$HN$5:$HU$38,3,FALSE)))))</f>
        <v/>
      </c>
      <c r="IC70" s="1084" t="str">
        <f>IF(parcelles!L118="","",IF(OR(parcelles!M118=Moutarde,parcelles!M118=Phacélie),0,IF(parcelles!M118=Luzerne,10*parcelles!O118*VLOOKUP(parcelles!M118,BDD!$HN$5:$HU$38,4,FALSE),IF(parcelles!M118=Miscanthus,10.5*parcelles!O118*VLOOKUP(parcelles!M118,BDD!$HN$5:$HU$38,4,FALSE),INDEX(parcelles!$C$56:'parcelles'!$Y$77,MATCH(parcelles!L118,parcelles!$B$56:'parcelles'!$B$77,0),MATCH(parcelles!M118,parcelles!$C$53:'parcelles'!$Y$53,0))*parcelles!O118*VLOOKUP(parcelles!M118,BDD!$HN$5:$HU$38,4,FALSE)))))</f>
        <v/>
      </c>
      <c r="ID70" s="1084" t="str">
        <f>IF(parcelles!L118="","",IF(OR(parcelles!M118=Moutarde,parcelles!M118=Phacélie),0,IF(parcelles!M118=Luzerne,10*parcelles!O118*VLOOKUP(parcelles!M118,BDD!$HN$5:$HU$38,5,FALSE),IF(parcelles!M118=Miscanthus,10.5*parcelles!O118*VLOOKUP(parcelles!M118,BDD!$HN$5:$HU$38,5,FALSE),INDEX(parcelles!$C$56:'parcelles'!$Y$77,MATCH(parcelles!L118,parcelles!$B$56:'parcelles'!$B$77,0),MATCH(parcelles!M118,parcelles!$C$53:'parcelles'!$Y$53,0))*parcelles!O118*VLOOKUP(parcelles!M118,BDD!$HN$5:$HU$38,5,FALSE)))))</f>
        <v/>
      </c>
      <c r="IE70" s="1084" t="str">
        <f>IF(parcelles!L118="","",IF(OR(parcelles!M118=Moutarde,parcelles!M118=Phacélie),0,IF(parcelles!M118=Luzerne,10*parcelles!O118*VLOOKUP(parcelles!M118,BDD!$HN$5:$HU$38,6,FALSE),IF(parcelles!M118=Miscanthus,10.5*parcelles!O118*VLOOKUP(parcelles!M118,BDD!$HN$5:$HU$38,6,FALSE),INDEX(parcelles!$C$56:'parcelles'!$Y$77,MATCH(parcelles!L118,parcelles!$B$56:'parcelles'!$B$77,0),MATCH(parcelles!M118,parcelles!$C$53:'parcelles'!$Y$53,0))*parcelles!O118*VLOOKUP(parcelles!M118,BDD!$HN$5:$HU$38,6,FALSE)))))</f>
        <v/>
      </c>
      <c r="IF70" s="1084" t="str">
        <f>IF(parcelles!L118="","",IF(OR(parcelles!M118=Moutarde,parcelles!M118=Phacélie),0,IF(parcelles!M118=Luzerne,10*parcelles!O118*VLOOKUP(parcelles!M118,BDD!$HN$5:$HU$38,7,FALSE),IF(parcelles!M118=Miscanthus,10.5*parcelles!O118*VLOOKUP(parcelles!M118,BDD!$HN$5:$HU$38,7,FALSE),INDEX(parcelles!$C$56:'parcelles'!$Y$77,MATCH(parcelles!L118,parcelles!$B$56:'parcelles'!$B$77,0),MATCH(parcelles!M118,parcelles!$C$53:'parcelles'!$Y$53,0))*parcelles!O118*VLOOKUP(parcelles!M118,BDD!$HN$5:$HU$38,7,FALSE)))))</f>
        <v/>
      </c>
      <c r="IG70" s="1084" t="str">
        <f>IF(parcelles!L118="","",IF(OR(parcelles!M118=Moutarde,parcelles!M118=Phacélie),0,IF(parcelles!M118=Luzerne,10*parcelles!O118*VLOOKUP(parcelles!M118,BDD!$HN$5:$HU$38,8,FALSE),IF(parcelles!M118=Miscanthus,10.5*parcelles!O118*VLOOKUP(parcelles!M118,BDD!$HN$5:$HU$38,8,FALSE),INDEX(parcelles!$C$56:'parcelles'!$Y$77,MATCH(parcelles!L118,parcelles!$B$56:'parcelles'!$B$77,0),MATCH(parcelles!M118,parcelles!$C$53:'parcelles'!$Y$53,0))*parcelles!O118*VLOOKUP(parcelles!M118,BDD!$HN$5:$HU$38,8,FALSE)))))</f>
        <v/>
      </c>
      <c r="IH70" s="1084" t="str">
        <f>IF(parcelles!L118="","",IF(OR(parcelles!L118=Moutarde,parcelles!L118=Phacélie),0,1.6*parcelles!O118))</f>
        <v/>
      </c>
      <c r="II70" s="1084" t="str">
        <f>IF(parcelles!L118="","",IF(OR(parcelles!L118=Moutarde,parcelles!L118=Phacélie),0,1.6*parcelles!O118))</f>
        <v/>
      </c>
      <c r="IJ70" s="1084" t="str">
        <f>IF(parcelles!L118="","",IF(OR(parcelles!L118=Moutarde,parcelles!L118=Phacélie),0,1.6*parcelles!O118))</f>
        <v/>
      </c>
      <c r="IK70" s="1084" t="str">
        <f>IF(parcelles!P118="","",IF(parcelles!R118=0,"",IF(parcelles!O118=ChanvreIndustriel,"soit "&amp;parcelles!Q118*0.8&amp;"t de grain et "&amp;parcelles!Q118*7&amp;"t de paille",IF(parcelles!O118=Luzerne,"soit "&amp;10*parcelles!Q118&amp;"t/an",IF(parcelles!O118=Miscanthus,"soit "&amp;10.5*parcelles!Q118&amp;"t/an","soit "&amp;INDEX(parcelles!$C$56:$Y$77,MATCH(parcelles!N118,parcelles!$B$56:$B$77,0),MATCH(parcelles!O118,parcelles!$C$53:$Y$53,0))*parcelles!Q118&amp;"t")))))</f>
        <v/>
      </c>
      <c r="IL70" s="1084" t="str">
        <f>IF(parcelles!P118="","",IF(parcelles!R118=0,"",IF(parcelles!O118=ChanvreIndustriel,"soit "&amp;parcelles!Q118*0.8*0.8&amp;"t de grain et "&amp;parcelles!Q118*7*0.8&amp;"t de paille",IF(parcelles!O118=Luzerne,"soit "&amp;10*0.8*parcelles!Q118&amp;"t/an",IF(parcelles!O118=Miscanthus,"soit "&amp;10.5*0.8*parcelles!Q118&amp;"t/an","soit "&amp;INDEX(parcelles!$C$56:$Y$77,MATCH(parcelles!N118,parcelles!$B$56:$B$77,0),MATCH(parcelles!O118,parcelles!$C$53:$Y$53,0))*0.8*parcelles!Q118&amp;"t")))))</f>
        <v/>
      </c>
      <c r="IM70" s="1084" t="str">
        <f>IF(parcelles!S118="","",IF(parcelles!U118=0,"",IF(parcelles!R118=ChanvreIndustriel,parcelles!T118*0.8*0.8+parcelles!T118*7*0.8,IF(parcelles!R118=Luzerne,10*0.8*parcelles!T118,IF(parcelles!R118=Miscanthus,10.5*0.8*parcelles!T118,INDEX(parcelles!$C$56:$Y$77,MATCH(parcelles!Q118,parcelles!$B$56:$B$77,0),MATCH(parcelles!R118,parcelles!$C$53:$Y$53,0))*0.8*parcelles!T118)))))</f>
        <v/>
      </c>
      <c r="IN70" s="1368"/>
    </row>
    <row r="71" spans="1:248" ht="12.75" customHeight="1" x14ac:dyDescent="0.2">
      <c r="A71" s="1307" t="s">
        <v>227</v>
      </c>
      <c r="B71" s="1241">
        <f t="shared" si="17"/>
        <v>1E-3</v>
      </c>
      <c r="C71" s="1321"/>
      <c r="D71" s="1321"/>
      <c r="E71" s="1321"/>
      <c r="F71" s="1321"/>
      <c r="G71" s="1321"/>
      <c r="H71" s="1321"/>
      <c r="I71" s="1321"/>
      <c r="J71" s="1321"/>
      <c r="K71" s="1321"/>
      <c r="L71" s="1321"/>
      <c r="M71" s="1321"/>
      <c r="N71" s="1321"/>
      <c r="O71" s="1143" t="s">
        <v>220</v>
      </c>
      <c r="P71" s="1143">
        <v>0</v>
      </c>
      <c r="Q71" s="1143">
        <v>5.8</v>
      </c>
      <c r="R71" s="1143">
        <v>5.0999999999999996</v>
      </c>
      <c r="S71" s="1143">
        <v>0</v>
      </c>
      <c r="T71" s="1143">
        <v>0</v>
      </c>
      <c r="U71" s="1143">
        <v>5.8</v>
      </c>
      <c r="V71" s="1143"/>
      <c r="W71" s="1143">
        <v>9</v>
      </c>
      <c r="X71" s="1143">
        <v>15</v>
      </c>
      <c r="Y71" s="1143">
        <v>0</v>
      </c>
      <c r="Z71" s="1143">
        <v>0</v>
      </c>
      <c r="AA71" s="1143">
        <v>0</v>
      </c>
      <c r="AB71" s="1143">
        <v>4.5</v>
      </c>
      <c r="AC71" s="1143">
        <v>3.5</v>
      </c>
      <c r="AD71" s="1143">
        <v>2.7</v>
      </c>
      <c r="AE71" s="1143">
        <v>0</v>
      </c>
      <c r="AF71" s="1143">
        <v>44</v>
      </c>
      <c r="AG71" s="1143">
        <v>0.8</v>
      </c>
      <c r="AH71" s="1143">
        <v>7</v>
      </c>
      <c r="AI71" s="1143">
        <v>13</v>
      </c>
      <c r="AJ71" s="1143">
        <v>0</v>
      </c>
      <c r="AK71" s="1143">
        <v>0</v>
      </c>
      <c r="AL71" s="1143">
        <v>0</v>
      </c>
      <c r="AM71" s="1143"/>
      <c r="AN71" s="1143">
        <v>0</v>
      </c>
      <c r="AO71" s="1143">
        <v>0</v>
      </c>
      <c r="AP71" s="1143">
        <v>0</v>
      </c>
      <c r="AQ71" s="1143">
        <v>0</v>
      </c>
      <c r="AR71" s="1143">
        <v>0</v>
      </c>
      <c r="AS71" s="1143">
        <v>7</v>
      </c>
      <c r="AT71" s="1143">
        <v>0</v>
      </c>
      <c r="AU71" s="1143">
        <v>0</v>
      </c>
      <c r="AV71" s="1143">
        <v>0</v>
      </c>
      <c r="AW71" s="1143">
        <v>8.5</v>
      </c>
      <c r="AX71" s="1143">
        <v>10</v>
      </c>
      <c r="AY71" s="1143">
        <v>10</v>
      </c>
      <c r="AZ71" s="1321"/>
      <c r="BA71" s="1321"/>
      <c r="BB71" s="1236" t="s">
        <v>726</v>
      </c>
      <c r="BC71" s="1190" t="s">
        <v>723</v>
      </c>
      <c r="BD71" s="1190" t="s">
        <v>1277</v>
      </c>
      <c r="BE71" s="1237">
        <v>137</v>
      </c>
      <c r="BF71" s="1237">
        <v>117</v>
      </c>
      <c r="BG71" s="1237">
        <v>91</v>
      </c>
      <c r="BH71" s="1237">
        <v>69</v>
      </c>
      <c r="BI71" s="1237">
        <v>47</v>
      </c>
      <c r="BJ71" s="1237">
        <v>23</v>
      </c>
      <c r="BK71" s="1238">
        <v>0</v>
      </c>
      <c r="BL71" s="1348"/>
      <c r="BM71" s="1349" t="s">
        <v>1705</v>
      </c>
      <c r="BN71" s="1336"/>
      <c r="BO71" s="1336"/>
      <c r="BP71" s="1336"/>
      <c r="BQ71" s="1336"/>
      <c r="BR71" s="1336"/>
      <c r="BS71" s="1336"/>
      <c r="BT71" s="1336"/>
      <c r="BU71" s="1336"/>
      <c r="BV71" s="1345"/>
      <c r="BW71" s="1345"/>
      <c r="BX71" s="1176" t="s">
        <v>219</v>
      </c>
      <c r="BY71" s="1177" t="s">
        <v>733</v>
      </c>
      <c r="BZ71" s="1177" t="s">
        <v>1252</v>
      </c>
      <c r="CA71" s="1177">
        <v>20</v>
      </c>
      <c r="CB71" s="1177">
        <v>12</v>
      </c>
      <c r="CC71" s="1177">
        <v>8</v>
      </c>
      <c r="CD71" s="1199">
        <v>4</v>
      </c>
      <c r="CE71" s="1350"/>
      <c r="CF71" s="1350"/>
      <c r="CG71" s="1350"/>
      <c r="CH71" s="1350"/>
      <c r="CI71" s="1321"/>
      <c r="CJ71" s="808" t="s">
        <v>725</v>
      </c>
      <c r="CK71" s="788">
        <f t="array" ref="CK7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71" s="788">
        <f t="array" ref="CL7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71" s="788">
        <f t="array" ref="CM7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71" s="788">
        <f t="array" ref="CN7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71" s="788">
        <f t="array" ref="CO7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71" s="812">
        <f>SUM(AlimentsRationPorcinsMâles[[#This Row],[Valeur 12 et plus]:[Valeur 0-1]])</f>
        <v>0</v>
      </c>
      <c r="CQ71" s="1321"/>
      <c r="CR71" s="1321"/>
      <c r="CS71" s="808" t="s">
        <v>219</v>
      </c>
      <c r="CT71" s="817">
        <f t="array" ref="CT7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71" s="817">
        <f t="array" ref="CU7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71" s="817">
        <f t="array" ref="CV7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71" s="818">
        <f>SUM(AlimentsRationLapinsMâles[[#This Row],[Valeur 3 et plus]:[Valeur 0-1]])</f>
        <v>0</v>
      </c>
      <c r="CX71" s="1321"/>
      <c r="CY71" s="1321"/>
      <c r="CZ71" s="808" t="s">
        <v>219</v>
      </c>
      <c r="DA71" s="817">
        <f t="array" ref="DA7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71" s="817">
        <f t="array" ref="DB7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71" s="817">
        <f t="array" ref="DC7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71" s="818">
        <f>SUM(AlimentsRationVolaillesMâles[[#This Row],[Valeur 6 et plus]:[Valeur 0-1]])</f>
        <v>0</v>
      </c>
      <c r="DE71" s="1364"/>
      <c r="DF71" s="1321"/>
      <c r="DG71" s="808" t="s">
        <v>65</v>
      </c>
      <c r="DH71" s="817">
        <f t="array" ref="DH7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71" s="817">
        <f t="array" ref="DI7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71" s="817">
        <f t="array" ref="DJ7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71" s="818">
        <f>SUM(AlimentsRationPintadesMâles[[#This Row],[Valeur 9 et plus]:[Valeur 0-1]])</f>
        <v>0</v>
      </c>
      <c r="DL71" s="1364"/>
      <c r="DM71" s="1364"/>
      <c r="DN71" s="1176" t="s">
        <v>724</v>
      </c>
      <c r="DO71" s="1177" t="s">
        <v>76</v>
      </c>
      <c r="DP71" s="1177" t="s">
        <v>1253</v>
      </c>
      <c r="DQ71" s="1181">
        <v>1.6</v>
      </c>
      <c r="DR71" s="1181">
        <v>1.4</v>
      </c>
      <c r="DS71" s="1181">
        <v>1.2</v>
      </c>
      <c r="DT71" s="1243">
        <v>1</v>
      </c>
      <c r="DU71" s="1346"/>
      <c r="DV71" s="1336"/>
      <c r="DW71" s="1336"/>
      <c r="DX71" s="1336"/>
      <c r="DY71" s="1336"/>
      <c r="DZ71" s="1336"/>
      <c r="EA71" s="1336"/>
      <c r="EB71" s="1336"/>
      <c r="EC71" s="1336"/>
      <c r="ED71" s="1359"/>
      <c r="EE71" s="1345"/>
      <c r="EF71" s="1321"/>
      <c r="EG71" s="808" t="s">
        <v>339</v>
      </c>
      <c r="EH71" s="817">
        <f t="array" ref="EH7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71" s="817">
        <f t="array" ref="EI7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71" s="817">
        <f t="array" ref="EJ7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71" s="818">
        <f>SUM(AlimentsRationOiesMâles[[#This Row],[Valeur 6 et plus]:[Valeur 0-3]])</f>
        <v>0</v>
      </c>
      <c r="EL71" s="1364"/>
      <c r="EM71" s="1321"/>
      <c r="EN71" s="808" t="s">
        <v>1271</v>
      </c>
      <c r="EO71" s="817">
        <f t="array" ref="EO71">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71" s="817">
        <f t="array" ref="EP71">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71" s="817">
        <f t="array" ref="EQ71">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71" s="818">
        <f>SUM(Ration_canards_Mâles[[#This Row],[Valeur 6 et plus]:[Valeur 0-3]])</f>
        <v>0</v>
      </c>
      <c r="ES71" s="1364"/>
      <c r="ET71" s="1321"/>
      <c r="EU71" s="1083" t="s">
        <v>733</v>
      </c>
      <c r="EV71" s="1283">
        <f t="array" ref="EV71">IFERROR(IF(OR(AND(INDEX(Règles_chevaux_selle[Specificite],MATCH(RationEtéChevauxSelle&amp;$EU71,Règles_chevaux_selle[Ration]&amp;Règles_chevaux_selle[Aliment],0))="s1",IF($EU71=Spécificité1ChevauxSelle,1)),
AND(INDEX(Règles_chevaux_selle[Specificite],MATCH(RationEtéChevauxSelle&amp;$EU71,Règles_chevaux_selle[Ration]&amp;Règles_chevaux_selle[Aliment],0))="s2",IF($EU71=Spécificité2ChevauxSelle,1)),
INDEX(Règles_chevaux_selle[Specificite],MATCH(RationEtéChevauxSelle&amp;$EU71,Règles_chevaux_selle[Ration]&amp;Règles_chevaux_selle[Aliment],0))="c"),
INDEX(Règles_chevaux_selle[Valeur 36 et plus],MATCH(RationEtéChevauxSelle&amp;$EU71,Règles_chevaux_selle[Ration]&amp;Règles_chevaux_selle[Aliment],0)),0),0)*TotalEtalonSelle*SUM(NbreJoursNourrirChevauxSelle)</f>
        <v>0</v>
      </c>
      <c r="EW71" s="1283">
        <f t="array" ref="EW71">IFERROR(IF(OR(AND(INDEX(Règles_chevaux_selle[Specificite],MATCH(RationEtéChevauxSelle&amp;$EU71,Règles_chevaux_selle[Ration]&amp;Règles_chevaux_selle[Aliment],0))="s1",IF($EU71=Spécificité1ChevauxSelle,1)),
AND(INDEX(Règles_chevaux_selle[Specificite],MATCH(RationEtéChevauxSelle&amp;$EU71,Règles_chevaux_selle[Ration]&amp;Règles_chevaux_selle[Aliment],0))="s2",IF($EU71=Spécificité2ChevauxSelle,1)),
INDEX(Règles_chevaux_selle[Specificite],MATCH(RationEtéChevauxSelle&amp;$EU71,Règles_chevaux_selle[Ration]&amp;Règles_chevaux_selle[Aliment],0))="c"),
INDEX(Règles_chevaux_selle[Valeur 24-36],MATCH(RationEtéChevauxSelle&amp;$EU71,Règles_chevaux_selle[Ration]&amp;Règles_chevaux_selle[Aliment],0)),0),0)*TotalJeuneEtalonSelle_24_36_mois*SUM(NbreJoursNourrirChevauxSelle)</f>
        <v>0</v>
      </c>
      <c r="EX71" s="1283">
        <f t="array" ref="EX71">IFERROR(IF(OR(AND(INDEX(Règles_chevaux_selle[Specificite],MATCH(RationEtéChevauxSelle&amp;$EU71,Règles_chevaux_selle[Ration]&amp;Règles_chevaux_selle[Aliment],0))="s1",IF($EU71=Spécificité1ChevauxSelle,1)),
AND(INDEX(Règles_chevaux_selle[Specificite],MATCH(RationEtéChevauxSelle&amp;$EU71,Règles_chevaux_selle[Ration]&amp;Règles_chevaux_selle[Aliment],0))="s2",IF($EU71=Spécificité2ChevauxSelle,1)),
INDEX(Règles_chevaux_selle[Specificite],MATCH(RationEtéChevauxSelle&amp;$EU71,Règles_chevaux_selle[Ration]&amp;Règles_chevaux_selle[Aliment],0))="c"),
INDEX(Règles_chevaux_selle[Valeur 12-24],MATCH(RationEtéChevauxSelle&amp;$EU71,Règles_chevaux_selle[Ration]&amp;Règles_chevaux_selle[Aliment],0)),0),0)*TotalJeuneEtalonSelle_12_24_mois*SUM(NbreJoursNourrirChevauxSelle)</f>
        <v>0</v>
      </c>
      <c r="EY71" s="1286">
        <f t="array" ref="EY71">IFERROR(IF(OR(AND(INDEX(Règles_chevaux_selle[Specificite],MATCH(RationEtéChevauxSelle&amp;$EU71,Règles_chevaux_selle[Ration]&amp;Règles_chevaux_selle[Aliment],0))="s1",IF($EU71=Spécificité1ChevauxSelle,1)),
AND(INDEX(Règles_chevaux_selle[Specificite],MATCH(RationEtéChevauxSelle&amp;$EU71,Règles_chevaux_selle[Ration]&amp;Règles_chevaux_selle[Aliment],0))="s2",IF($EU71=Spécificité2ChevauxSelle,1)),
INDEX(Règles_chevaux_selle[Specificite],MATCH(RationEtéChevauxSelle&amp;$EU71,Règles_chevaux_selle[Ration]&amp;Règles_chevaux_selle[Aliment],0))="c"),
INDEX(Règles_chevaux_selle[Valeur 0-12],MATCH(RationEtéChevauxSelle&amp;$EU71,Règles_chevaux_selle[Ration]&amp;Règles_chevaux_selle[Aliment],0)),0),0)*TotalPoulainSelle_0_12_mois*SUM(NbreJoursNourrirChevauxSelle)</f>
        <v>0</v>
      </c>
      <c r="EZ71" s="1286">
        <f t="shared" si="16"/>
        <v>0</v>
      </c>
      <c r="FA71" s="1345"/>
      <c r="FB71" s="1345"/>
      <c r="FC71" s="1346"/>
      <c r="FD71" s="1083" t="s">
        <v>340</v>
      </c>
      <c r="FE71" s="1283">
        <f t="array" ref="FE71">IF(OR(ChoixRationComplèteEtéChevauxTrait=OUI,ChoixRationComplèteEtéChevauxTrait="",AND(ChoixChevauxTraitPréHiver=OUI,ChoixChevauxTraitPréEté=OUI)),0,IFERROR(IF(OR(AND(INDEX(Règles_chevaux_trait[Specificite],MATCH(RationEtéChevauxTrait&amp;$FD71,Règles_chevaux_trait[Ration]&amp;Règles_chevaux_trait[Aliment],0))="s1",IF($FD71=Spécificité1ChevauxTrait,1)),
AND(INDEX(Règles_chevaux_trait[Specificite],MATCH(RationEtéChevauxTrait&amp;$FD71,Règles_chevaux_trait[Ration]&amp;Règles_chevaux_trait[Aliment],0))="s2",IF($FD71=Spécificité2ChevauxTrait,1)),
INDEX(Règles_chevaux_trait[Specificite],MATCH(RationEtéChevauxTrait&amp;$FD71,Règles_chevaux_trait[Ration]&amp;Règles_chevaux_trait[Aliment],0))="c"),
INDEX(Règles_chevaux_trait[Valeur 36 et plus],MATCH(RationEtéChevauxTrait&amp;$FD71,Règles_chevaux_trait[Ration]&amp;Règles_chevaux_trait[Aliment],0)),0),0)*TotalEtalonTrait*SUM(NbreJoursNourrirChevauxTrait))</f>
        <v>0</v>
      </c>
      <c r="FF71" s="1283">
        <f t="array" ref="FF71">IF(OR(ChoixRationComplèteEtéChevauxTrait=OUI,ChoixRationComplèteEtéChevauxTrait="",AND(ChoixChevauxTraitPréHiver=OUI,ChoixChevauxTraitPréEté=OUI)),0,IFERROR(IF(OR(AND(INDEX(Règles_chevaux_trait[Specificite],MATCH(RationEtéChevauxTrait&amp;$FD71,Règles_chevaux_trait[Ration]&amp;Règles_chevaux_trait[Aliment],0))="s1",IF($FD71=Spécificité1ChevauxTrait,1)),
AND(INDEX(Règles_chevaux_trait[Specificite],MATCH(RationEtéChevauxTrait&amp;$FD71,Règles_chevaux_trait[Ration]&amp;Règles_chevaux_trait[Aliment],0))="s2",IF($FD71=Spécificité2ChevauxTrait,1)),
INDEX(Règles_chevaux_trait[Specificite],MATCH(RationEtéChevauxTrait&amp;$FD71,Règles_chevaux_trait[Ration]&amp;Règles_chevaux_trait[Aliment],0))="c"),
INDEX(Règles_chevaux_trait[Valeur 24-36],MATCH(RationEtéChevauxTrait&amp;$FD71,Règles_chevaux_trait[Ration]&amp;Règles_chevaux_trait[Aliment],0)),0),0)*TotalJeuneEtalonTrait_24_36_mois*SUM(NbreJoursNourrirChevauxTrait))</f>
        <v>0</v>
      </c>
      <c r="FG71" s="1283">
        <f t="array" ref="FG71">IF(OR(ChoixRationComplèteEtéChevauxTrait=OUI,ChoixRationComplèteEtéChevauxTrait="",AND(ChoixChevauxTraitPréHiver=OUI,ChoixChevauxTraitPréEté=OUI)),0,IFERROR(IF(OR(AND(INDEX(Règles_chevaux_trait[Specificite],MATCH(RationEtéChevauxTrait&amp;$FD71,Règles_chevaux_trait[Ration]&amp;Règles_chevaux_trait[Aliment],0))="s1",IF($FD71=Spécificité1ChevauxTrait,1)),
AND(INDEX(Règles_chevaux_trait[Specificite],MATCH(RationEtéChevauxTrait&amp;$FD71,Règles_chevaux_trait[Ration]&amp;Règles_chevaux_trait[Aliment],0))="s2",IF($FD71=Spécificité2ChevauxTrait,1)),
INDEX(Règles_chevaux_trait[Specificite],MATCH(RationEtéChevauxTrait&amp;$FD71,Règles_chevaux_trait[Ration]&amp;Règles_chevaux_trait[Aliment],0))="c"),
INDEX(Règles_chevaux_trait[Valeur 12-24],MATCH(RationEtéChevauxTrait&amp;$FD71,Règles_chevaux_trait[Ration]&amp;Règles_chevaux_trait[Aliment],0)),0),0)*TotalJeuneEtalonTrait_12_24_mois*SUM(NbreJoursNourrirChevauxTrait))</f>
        <v>0</v>
      </c>
      <c r="FH71" s="1286">
        <f t="array" ref="FH71">IF(OR(ChoixRationComplèteEtéChevauxTrait=OUI,ChoixRationComplèteEtéChevauxTrait="",AND(ChoixChevauxTraitPréHiver=OUI,ChoixChevauxTraitPréEté=OUI)),0,IFERROR(IF(OR(AND(INDEX(Règles_chevaux_trait[Specificite],MATCH(RationEtéChevauxTrait&amp;$FD71,Règles_chevaux_trait[Ration]&amp;Règles_chevaux_trait[Aliment],0))="s1",IF($FD71=Spécificité1ChevauxTrait,1)),
AND(INDEX(Règles_chevaux_trait[Specificite],MATCH(RationEtéChevauxTrait&amp;$FD71,Règles_chevaux_trait[Ration]&amp;Règles_chevaux_trait[Aliment],0))="s2",IF($FD71=Spécificité2ChevauxTrait,1)),
INDEX(Règles_chevaux_trait[Specificite],MATCH(RationEtéChevauxTrait&amp;$FD71,Règles_chevaux_trait[Ration]&amp;Règles_chevaux_trait[Aliment],0))="c"),
INDEX(Règles_chevaux_trait[Valeur 0-12],MATCH(RationEtéChevauxTrait&amp;$FD71,Règles_chevaux_trait[Ration]&amp;Règles_chevaux_trait[Aliment],0)),0),0)*TotalPoulainTrait_0_12_mois*SUM(NbreJoursNourrirChevauxTrait))</f>
        <v>0</v>
      </c>
      <c r="FI71" s="1286">
        <f t="shared" si="15"/>
        <v>0</v>
      </c>
      <c r="FJ71" s="1345"/>
      <c r="FK71" s="1345"/>
      <c r="FL71" s="1345"/>
      <c r="FM71" s="1346"/>
      <c r="FN71" s="1082" t="s">
        <v>339</v>
      </c>
      <c r="FO71" s="1282">
        <f t="array" ref="FO71">IF(OR(ChoixRationComplèteEtéPoneys=OUI,ChoixRationComplèteEtéPoneys="",AND(ChoixPoneysPréHiver=OUI,ChoixPoneysPréEté=OUI)),0,IFERROR(IF(OR(AND(INDEX(Règles_poneys[Specificite],MATCH(RationEtéPoneys&amp;$FN71,Règles_poneys[Ration]&amp;Règles_poneys[Aliment],0))="s1",IF($FN71=Spécificité1Poneys,1)),
AND(INDEX(Règles_poneys[Specificite],MATCH(RationEtéPoneys&amp;$FN71,Règles_poneys[Ration]&amp;Règles_poneys[Aliment],0))="s2",IF($FN71=Spécificité2Poneys,1)),
INDEX(Règles_poneys[Specificite],MATCH(RationEtéPoneys&amp;$FN71,Règles_poneys[Ration]&amp;Règles_poneys[Aliment],0))="c"),
INDEX(Règles_poneys[Valeur 36 et plus],MATCH(RationEtéPoneys&amp;$FN71,Règles_poneys[Ration]&amp;Règles_poneys[Aliment],0)),0),0)*TotalEtalonPoney*SUM(NbreJoursNourrirPoneys))</f>
        <v>0</v>
      </c>
      <c r="FP71" s="1282">
        <f t="array" ref="FP71">IF(OR(ChoixRationComplèteEtéPoneys=OUI,ChoixRationComplèteEtéPoneys="",AND(ChoixPoneysPréHiver=OUI,ChoixPoneysPréEté=OUI)),0,IFERROR(IF(OR(AND(INDEX(Règles_poneys[Specificite],MATCH(RationEtéPoneys&amp;$FN71,Règles_poneys[Ration]&amp;Règles_poneys[Aliment],0))="s1",IF($FN71=Spécificité1Poneys,1)),
AND(INDEX(Règles_poneys[Specificite],MATCH(RationEtéPoneys&amp;$FN71,Règles_poneys[Ration]&amp;Règles_poneys[Aliment],0))="s2",IF($FN71=Spécificité2Poneys,1)),
INDEX(Règles_poneys[Specificite],MATCH(RationEtéPoneys&amp;$FN71,Règles_poneys[Ration]&amp;Règles_poneys[Aliment],0))="c"),
INDEX(Règles_poneys[Valeur 36 et plus],MATCH(RationEtéPoneys&amp;$FN71,Règles_poneys[Ration]&amp;Règles_poneys[Aliment],0)),0),0)*TotalJeuneEtalonPoney_24_36_mois*SUM(NbreJoursNourrirPoneys))</f>
        <v>0</v>
      </c>
      <c r="FQ71" s="1282">
        <f t="array" ref="FQ71">IF(OR(ChoixRationComplèteEtéPoneys=OUI,ChoixRationComplèteEtéPoneys="",AND(ChoixPoneysPréHiver=OUI,ChoixPoneysPréEté=OUI)),0,IFERROR(IF(OR(AND(INDEX(Règles_poneys[Specificite],MATCH(RationEtéPoneys&amp;$FN71,Règles_poneys[Ration]&amp;Règles_poneys[Aliment],0))="s1",IF($FN71=Spécificité1Poneys,1)),
AND(INDEX(Règles_poneys[Specificite],MATCH(RationEtéPoneys&amp;$FN71,Règles_poneys[Ration]&amp;Règles_poneys[Aliment],0))="s2",IF($FN71=Spécificité2Poneys,1)),
INDEX(Règles_poneys[Specificite],MATCH(RationEtéPoneys&amp;$FN71,Règles_poneys[Ration]&amp;Règles_poneys[Aliment],0))="c"),
INDEX(Règles_poneys[Valeur 36 et plus],MATCH(RationEtéPoneys&amp;$FN71,Règles_poneys[Ration]&amp;Règles_poneys[Aliment],0)),0),0)*TotalJeuneEtalonPoney_12_24_mois*SUM(NbreJoursNourrirPoneys))</f>
        <v>0</v>
      </c>
      <c r="FR71" s="1285">
        <f t="array" ref="FR71">IF(OR(ChoixRationComplèteEtéPoneys=OUI,ChoixRationComplèteEtéPoneys="",AND(ChoixPoneysPréHiver=OUI,ChoixPoneysPréEté=OUI)),0,IFERROR(IF(OR(AND(INDEX(Règles_poneys[Specificite],MATCH(RationEtéPoneys&amp;$FN71,Règles_poneys[Ration]&amp;Règles_poneys[Aliment],0))="s1",IF($FN71=Spécificité1Poneys,1)),
AND(INDEX(Règles_poneys[Specificite],MATCH(RationEtéPoneys&amp;$FN71,Règles_poneys[Ration]&amp;Règles_poneys[Aliment],0))="s2",IF($FN71=Spécificité2Poneys,1)),
INDEX(Règles_poneys[Specificite],MATCH(RationEtéPoneys&amp;$FN71,Règles_poneys[Ration]&amp;Règles_poneys[Aliment],0))="c"),
INDEX(Règles_poneys[Valeur 36 et plus],MATCH(RationEtéPoneys&amp;$FN71,Règles_poneys[Ration]&amp;Règles_poneys[Aliment],0)),0),0)*TotalPoulainPoney_0_12_mois*SUM(NbreJoursNourrirPoneys))</f>
        <v>0</v>
      </c>
      <c r="FS71" s="1285">
        <f t="shared" si="14"/>
        <v>0</v>
      </c>
      <c r="FT71" s="1345"/>
      <c r="FU71" s="1345"/>
      <c r="FV71" s="1345"/>
      <c r="FW71" s="823" t="s">
        <v>671</v>
      </c>
      <c r="FX71" s="828">
        <f t="array" ref="FX7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71" s="828">
        <f t="array" ref="FY7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71" s="828">
        <f t="array" ref="FZ7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71" s="828">
        <f t="array" ref="GA7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71" s="829">
        <f>SUM(AlimentsGavageOies[[#This Row],[Valeur 3 et plus]:[Valeur 0-1]])</f>
        <v>0</v>
      </c>
      <c r="GC71" s="1364"/>
      <c r="GD71" s="1321"/>
      <c r="GE71" s="1149" t="s">
        <v>247</v>
      </c>
      <c r="GF71" s="1321"/>
      <c r="GG71" s="1321" t="s">
        <v>1349</v>
      </c>
      <c r="GH71" s="1321" t="s">
        <v>1349</v>
      </c>
      <c r="GI71" s="1321" t="s">
        <v>1349</v>
      </c>
      <c r="GJ71" s="1321" t="s">
        <v>1349</v>
      </c>
      <c r="GK71" s="1321" t="s">
        <v>1349</v>
      </c>
      <c r="GL71" s="1321" t="s">
        <v>1349</v>
      </c>
      <c r="GM71" s="1321" t="s">
        <v>1349</v>
      </c>
      <c r="GN71" s="1321" t="s">
        <v>1349</v>
      </c>
      <c r="GO71" s="1321" t="s">
        <v>1349</v>
      </c>
      <c r="GP71" s="1321" t="s">
        <v>1349</v>
      </c>
      <c r="GQ71" s="1321" t="s">
        <v>1349</v>
      </c>
      <c r="GR71" s="1321" t="s">
        <v>1349</v>
      </c>
      <c r="GS71" s="1321" t="s">
        <v>1349</v>
      </c>
      <c r="GT71" s="1321" t="s">
        <v>1349</v>
      </c>
      <c r="GU71" s="1321" t="s">
        <v>1349</v>
      </c>
      <c r="GV71" s="1321" t="s">
        <v>1349</v>
      </c>
      <c r="GW71" s="1321"/>
      <c r="GX71" s="1321"/>
      <c r="GY71" s="1082" t="str">
        <f t="shared" si="11"/>
        <v>semences de pois (P)</v>
      </c>
      <c r="GZ71" s="1082"/>
      <c r="HA71" s="1085"/>
      <c r="HB71" s="1085">
        <f>IF(COUNTIF(TypeArticleDansEntrepôt,GY71)=0,0,SUMIF(TypeArticleDansEntrepôt,GY71,QtéArticleDansEntrepôt)*VLOOKUP(GY71,place_necessaire_entrepots_aire_paille[],2,FALSE))</f>
        <v>0</v>
      </c>
      <c r="HC71" s="1321"/>
      <c r="HD71" s="1321"/>
      <c r="HE71" s="1321"/>
      <c r="HF71" s="1321"/>
      <c r="HG71" s="1321"/>
      <c r="HH71" s="1321"/>
      <c r="HI71" s="1321"/>
      <c r="HJ71" s="1321"/>
      <c r="HK71" s="1321"/>
      <c r="HL71" s="1321"/>
      <c r="HM71" s="1321"/>
      <c r="HN71" s="1085" t="str">
        <f>IF(parcelles!B119="","",(VLOOKUP(parcelles!C119,BDD!$HN$5:$HU$38,2,FALSE))*parcelles!E119)</f>
        <v/>
      </c>
      <c r="HO71" s="1085" t="str">
        <f>IF(parcelles!B119="","",IF(OR(parcelles!C119=Moutarde,parcelles!C119=Phacélie),0,IF(parcelles!C119=Luzerne,10*parcelles!E119*VLOOKUP(parcelles!C119,BDD!$HN$5:$HU$38,3,FALSE),IF(parcelles!C119=Miscanthus,10.5*parcelles!E119*VLOOKUP(parcelles!C119,BDD!$HN$5:$HU$38,3,FALSE),INDEX(parcelles!$C$56:'parcelles'!$Y$77,MATCH(parcelles!B119,parcelles!$B$56:'parcelles'!$B$77,0),MATCH(parcelles!C119,parcelles!$C$53:'parcelles'!$Y$53,0))*parcelles!E119*VLOOKUP(parcelles!C119,BDD!$HN$5:$HU$38,3,FALSE)))))</f>
        <v/>
      </c>
      <c r="HP71" s="1085" t="str">
        <f>IF(parcelles!B119="","",IF(OR(parcelles!C119=Moutarde,parcelles!C119=Phacélie),0,IF(parcelles!C119=Luzerne,10*parcelles!E119*VLOOKUP(parcelles!C119,BDD!$HN$5:$HU$38,4,FALSE),IF(parcelles!C119=Miscanthus,10.5*parcelles!E119*VLOOKUP(parcelles!C119,BDD!$HN$5:$HU$38,4,FALSE),INDEX(parcelles!$C$56:'parcelles'!$Y$77,MATCH(parcelles!B119,parcelles!$B$56:'parcelles'!$B$77,0),MATCH(parcelles!C119,parcelles!$C$53:'parcelles'!$Y$53,0))*parcelles!E119*VLOOKUP(parcelles!C119,BDD!$HN$5:$HU$38,4,FALSE)))))</f>
        <v/>
      </c>
      <c r="HQ71" s="1085" t="str">
        <f>IF(parcelles!B119="","",IF(OR(parcelles!C119=Moutarde,parcelles!C119=Phacélie),0,IF(parcelles!C119=Luzerne,10*parcelles!E119*VLOOKUP(parcelles!C119,BDD!$HN$5:$HU$38,5,FALSE),IF(parcelles!C119=Miscanthus,10.5*parcelles!E119*VLOOKUP(parcelles!C119,BDD!$HN$5:$HU$38,5,FALSE),INDEX(parcelles!$C$56:'parcelles'!$Y$77,MATCH(parcelles!B119,parcelles!$B$56:'parcelles'!$B$77,0),MATCH(parcelles!C119,parcelles!$C$53:'parcelles'!$Y$53,0))*parcelles!E119*VLOOKUP(parcelles!C119,BDD!$HN$5:$HU$38,5,FALSE)))))</f>
        <v/>
      </c>
      <c r="HR71" s="1085" t="str">
        <f>IF(parcelles!B119="","",IF(OR(parcelles!C119=Moutarde,parcelles!C119=Phacélie),0,IF(parcelles!C119=Luzerne,10*parcelles!E119*VLOOKUP(parcelles!C119,BDD!$HN$5:$HU$38,6,FALSE),IF(parcelles!C119=Miscanthus,10.5*parcelles!E119*VLOOKUP(parcelles!C119,BDD!$HN$5:$HU$38,6,FALSE),INDEX(parcelles!$C$56:'parcelles'!$Y$77,MATCH(parcelles!B119,parcelles!$B$56:'parcelles'!$B$77,0),MATCH(parcelles!C119,parcelles!$C$53:'parcelles'!$Y$53,0))*parcelles!E119*VLOOKUP(parcelles!C119,BDD!$HN$5:$HU$38,6,FALSE)))))</f>
        <v/>
      </c>
      <c r="HS71" s="1085" t="str">
        <f>IF(parcelles!B119="","",IF(OR(parcelles!C119=Moutarde,parcelles!C119=Phacélie),0,IF(parcelles!C119=Luzerne,10*parcelles!E119*VLOOKUP(parcelles!C119,BDD!$HN$5:$HU$38,7,FALSE),IF(parcelles!C119=Miscanthus,10.5*parcelles!E119*VLOOKUP(parcelles!C119,BDD!$HN$5:$HU$38,7,FALSE),INDEX(parcelles!$C$56:'parcelles'!$Y$77,MATCH(parcelles!B119,parcelles!$B$56:'parcelles'!$B$77,0),MATCH(parcelles!C119,parcelles!$C$53:'parcelles'!$Y$53,0))*parcelles!E119*VLOOKUP(parcelles!C119,BDD!$HN$5:$HU$38,7,FALSE)))))</f>
        <v/>
      </c>
      <c r="HT71" s="1085" t="str">
        <f>IF(parcelles!B119="","",IF(OR(parcelles!C119=Moutarde,parcelles!C119=Phacélie),0,IF(parcelles!C119=Luzerne,10*parcelles!E119*VLOOKUP(parcelles!C119,BDD!$HN$5:$HU$38,8,FALSE),IF(parcelles!C119=Miscanthus,10.5*parcelles!E119*VLOOKUP(parcelles!C119,BDD!$HN$5:$HU$38,8,FALSE),INDEX(parcelles!$C$56:'parcelles'!$Y$77,MATCH(parcelles!B119,parcelles!$B$56:'parcelles'!$B$77,0),MATCH(parcelles!C119,parcelles!$C$53:'parcelles'!$Y$53,0))*parcelles!E119*VLOOKUP(parcelles!C119,BDD!$HN$5:$HU$38,8,FALSE)))))</f>
        <v/>
      </c>
      <c r="HU71" s="1085" t="str">
        <f>IF(parcelles!B119="","",IF(OR(parcelles!C119=Moutarde,parcelles!C119=Phacélie),0,1.6*parcelles!E119))</f>
        <v/>
      </c>
      <c r="HV71" s="1085" t="str">
        <f>IF(parcelles!B119="","",IF(OR(parcelles!C119=Moutarde,parcelles!C119=Phacélie),0,1.6*parcelles!E119))</f>
        <v/>
      </c>
      <c r="HW71" s="1085" t="str">
        <f>IF(parcelles!B119="","",IF(OR(parcelles!C119=Moutarde,parcelles!C119=Phacélie),0,1.6*parcelles!E119))</f>
        <v/>
      </c>
      <c r="HX71" s="1092" t="str">
        <f>IF(parcelles!D119="","",IF(parcelles!C119=ChanvreIndustriel,INDEX(parcelles!$C$56:$Y$77,MATCH(parcelles!B119,parcelles!$B$56:$B$77,0),MATCH(parcelles!C119,parcelles!$C$53:$Y$53,0))*parcelles!E119*SUMIF(ListeCulturesBDD,parcelles!C119,PrixVenteCulturesConventionnel)+RIGHT(BDD!$HM$7,3)*7*parcelles!E119,IF(parcelles!C119=Luzerne,parcelles!E119*10*VLOOKUP(parcelles!C119,TarifsCoopCultures,2,FALSE),IF(parcelles!C119=Miscanthus,parcelles!E119*10.5*VLOOKUP(Luzerne,TarifsCoopCultures,2,FALSE),INDEX(parcelles!$C$56:$Y$77,MATCH(parcelles!B119,parcelles!$B$56:$B$77,0),MATCH(parcelles!C119,parcelles!$C$53:$Y$53,0))*parcelles!E119*SUMIF(ListeCulturesBDD,parcelles!C119,PrixVenteCulturesConventionnel)))))</f>
        <v/>
      </c>
      <c r="HY71" s="1085" t="str">
        <f>IF(parcelles!D119="","",IF(parcelles!F119=0,"",IF(parcelles!C119=ChanvreIndustriel,"soit "&amp;parcelles!E119*0.8&amp;"t de grain et "&amp;parcelles!E119*7&amp;"t de paille",IF(parcelles!C119=Luzerne,"soit "&amp;10*parcelles!E119&amp;"t/an",IF(parcelles!C119=Miscanthus,"soit "&amp;10.5*parcelles!E119&amp;"t/an","soit "&amp;INDEX(parcelles!$C$56:$Y$77,MATCH(parcelles!B119,parcelles!$B$56:$B$77,0),MATCH(parcelles!C119,parcelles!$C$53:$Y$53,0))*parcelles!E119&amp;"t")))))</f>
        <v/>
      </c>
      <c r="HZ71" s="1085" t="str">
        <f>IF(parcelles!D119="","",IF(parcelles!F119=0,"",IF(parcelles!C119=ChanvreIndustriel,"soit "&amp;parcelles!E119*0.8*0.8&amp;"t de grain et "&amp;parcelles!E119*7*0.8&amp;"t de paille",IF(parcelles!C119=Luzerne,"soit "&amp;10*0.8*parcelles!E119&amp;"t/an",IF(parcelles!C119=Miscanthus,"soit "&amp;10.5*0.8*parcelles!E119&amp;"t/an","soit "&amp;INDEX(parcelles!$C$56:$Y$77,MATCH(parcelles!B119,parcelles!$B$56:$B$77,0),MATCH(parcelles!C119,parcelles!$C$53:$Y$53,0))*0.8*parcelles!E119&amp;"t")))))</f>
        <v/>
      </c>
      <c r="IA71" s="1085" t="str">
        <f>IF(parcelles!L119="","",(VLOOKUP(parcelles!M119,BDD!$HN$5:$HU$38,2,FALSE))*parcelles!O119)</f>
        <v/>
      </c>
      <c r="IB71" s="1085" t="str">
        <f>IF(parcelles!L119="","",IF(OR(parcelles!M119=Moutarde,parcelles!M119=Phacélie),0,IF(parcelles!M119=Luzerne,10*parcelles!O119*VLOOKUP(parcelles!M119,BDD!$HN$5:$HU$38,3,FALSE),IF(parcelles!M119=Miscanthus,10.5*parcelles!O119*VLOOKUP(parcelles!M119,BDD!$HN$5:$HU$38,3,FALSE),INDEX(parcelles!$C$56:'parcelles'!$Y$77,MATCH(parcelles!L119,parcelles!$B$56:'parcelles'!$B$77,0),MATCH(parcelles!M119,parcelles!$C$53:'parcelles'!$Y$53,0))*parcelles!O119*VLOOKUP(parcelles!M119,BDD!$HN$5:$HU$38,3,FALSE)))))</f>
        <v/>
      </c>
      <c r="IC71" s="1085" t="str">
        <f>IF(parcelles!L119="","",IF(OR(parcelles!M119=Moutarde,parcelles!M119=Phacélie),0,IF(parcelles!M119=Luzerne,10*parcelles!O119*VLOOKUP(parcelles!M119,BDD!$HN$5:$HU$38,4,FALSE),IF(parcelles!M119=Miscanthus,10.5*parcelles!O119*VLOOKUP(parcelles!M119,BDD!$HN$5:$HU$38,4,FALSE),INDEX(parcelles!$C$56:'parcelles'!$Y$77,MATCH(parcelles!L119,parcelles!$B$56:'parcelles'!$B$77,0),MATCH(parcelles!M119,parcelles!$C$53:'parcelles'!$Y$53,0))*parcelles!O119*VLOOKUP(parcelles!M119,BDD!$HN$5:$HU$38,4,FALSE)))))</f>
        <v/>
      </c>
      <c r="ID71" s="1085" t="str">
        <f>IF(parcelles!L119="","",IF(OR(parcelles!M119=Moutarde,parcelles!M119=Phacélie),0,IF(parcelles!M119=Luzerne,10*parcelles!O119*VLOOKUP(parcelles!M119,BDD!$HN$5:$HU$38,5,FALSE),IF(parcelles!M119=Miscanthus,10.5*parcelles!O119*VLOOKUP(parcelles!M119,BDD!$HN$5:$HU$38,5,FALSE),INDEX(parcelles!$C$56:'parcelles'!$Y$77,MATCH(parcelles!L119,parcelles!$B$56:'parcelles'!$B$77,0),MATCH(parcelles!M119,parcelles!$C$53:'parcelles'!$Y$53,0))*parcelles!O119*VLOOKUP(parcelles!M119,BDD!$HN$5:$HU$38,5,FALSE)))))</f>
        <v/>
      </c>
      <c r="IE71" s="1085" t="str">
        <f>IF(parcelles!L119="","",IF(OR(parcelles!M119=Moutarde,parcelles!M119=Phacélie),0,IF(parcelles!M119=Luzerne,10*parcelles!O119*VLOOKUP(parcelles!M119,BDD!$HN$5:$HU$38,6,FALSE),IF(parcelles!M119=Miscanthus,10.5*parcelles!O119*VLOOKUP(parcelles!M119,BDD!$HN$5:$HU$38,6,FALSE),INDEX(parcelles!$C$56:'parcelles'!$Y$77,MATCH(parcelles!L119,parcelles!$B$56:'parcelles'!$B$77,0),MATCH(parcelles!M119,parcelles!$C$53:'parcelles'!$Y$53,0))*parcelles!O119*VLOOKUP(parcelles!M119,BDD!$HN$5:$HU$38,6,FALSE)))))</f>
        <v/>
      </c>
      <c r="IF71" s="1085" t="str">
        <f>IF(parcelles!L119="","",IF(OR(parcelles!M119=Moutarde,parcelles!M119=Phacélie),0,IF(parcelles!M119=Luzerne,10*parcelles!O119*VLOOKUP(parcelles!M119,BDD!$HN$5:$HU$38,7,FALSE),IF(parcelles!M119=Miscanthus,10.5*parcelles!O119*VLOOKUP(parcelles!M119,BDD!$HN$5:$HU$38,7,FALSE),INDEX(parcelles!$C$56:'parcelles'!$Y$77,MATCH(parcelles!L119,parcelles!$B$56:'parcelles'!$B$77,0),MATCH(parcelles!M119,parcelles!$C$53:'parcelles'!$Y$53,0))*parcelles!O119*VLOOKUP(parcelles!M119,BDD!$HN$5:$HU$38,7,FALSE)))))</f>
        <v/>
      </c>
      <c r="IG71" s="1085" t="str">
        <f>IF(parcelles!L119="","",IF(OR(parcelles!M119=Moutarde,parcelles!M119=Phacélie),0,IF(parcelles!M119=Luzerne,10*parcelles!O119*VLOOKUP(parcelles!M119,BDD!$HN$5:$HU$38,8,FALSE),IF(parcelles!M119=Miscanthus,10.5*parcelles!O119*VLOOKUP(parcelles!M119,BDD!$HN$5:$HU$38,8,FALSE),INDEX(parcelles!$C$56:'parcelles'!$Y$77,MATCH(parcelles!L119,parcelles!$B$56:'parcelles'!$B$77,0),MATCH(parcelles!M119,parcelles!$C$53:'parcelles'!$Y$53,0))*parcelles!O119*VLOOKUP(parcelles!M119,BDD!$HN$5:$HU$38,8,FALSE)))))</f>
        <v/>
      </c>
      <c r="IH71" s="1085" t="str">
        <f>IF(parcelles!L119="","",IF(OR(parcelles!L119=Moutarde,parcelles!L119=Phacélie),0,1.6*parcelles!O119))</f>
        <v/>
      </c>
      <c r="II71" s="1085" t="str">
        <f>IF(parcelles!L119="","",IF(OR(parcelles!L119=Moutarde,parcelles!L119=Phacélie),0,1.6*parcelles!O119))</f>
        <v/>
      </c>
      <c r="IJ71" s="1085" t="str">
        <f>IF(parcelles!L119="","",IF(OR(parcelles!L119=Moutarde,parcelles!L119=Phacélie),0,1.6*parcelles!O119))</f>
        <v/>
      </c>
      <c r="IK71" s="1085" t="str">
        <f>IF(parcelles!P119="","",IF(parcelles!R119=0,"",IF(parcelles!O119=ChanvreIndustriel,"soit "&amp;parcelles!Q119*0.8&amp;"t de grain et "&amp;parcelles!Q119*7&amp;"t de paille",IF(parcelles!O119=Luzerne,"soit "&amp;10*parcelles!Q119&amp;"t/an",IF(parcelles!O119=Miscanthus,"soit "&amp;10.5*parcelles!Q119&amp;"t/an","soit "&amp;INDEX(parcelles!$C$56:$Y$77,MATCH(parcelles!N119,parcelles!$B$56:$B$77,0),MATCH(parcelles!O119,parcelles!$C$53:$Y$53,0))*parcelles!Q119&amp;"t")))))</f>
        <v/>
      </c>
      <c r="IL71" s="1085" t="str">
        <f>IF(parcelles!P119="","",IF(parcelles!R119=0,"",IF(parcelles!O119=ChanvreIndustriel,"soit "&amp;parcelles!Q119*0.8*0.8&amp;"t de grain et "&amp;parcelles!Q119*7*0.8&amp;"t de paille",IF(parcelles!O119=Luzerne,"soit "&amp;10*0.8*parcelles!Q119&amp;"t/an",IF(parcelles!O119=Miscanthus,"soit "&amp;10.5*0.8*parcelles!Q119&amp;"t/an","soit "&amp;INDEX(parcelles!$C$56:$Y$77,MATCH(parcelles!N119,parcelles!$B$56:$B$77,0),MATCH(parcelles!O119,parcelles!$C$53:$Y$53,0))*0.8*parcelles!Q119&amp;"t")))))</f>
        <v/>
      </c>
      <c r="IM71" s="1085" t="str">
        <f>IF(parcelles!S119="","",IF(parcelles!U119=0,"",IF(parcelles!R119=ChanvreIndustriel,parcelles!T119*0.8*0.8+parcelles!T119*7*0.8,IF(parcelles!R119=Luzerne,10*0.8*parcelles!T119,IF(parcelles!R119=Miscanthus,10.5*0.8*parcelles!T119,INDEX(parcelles!$C$56:$Y$77,MATCH(parcelles!Q119,parcelles!$B$56:$B$77,0),MATCH(parcelles!R119,parcelles!$C$53:$Y$53,0))*0.8*parcelles!T119)))))</f>
        <v/>
      </c>
      <c r="IN71" s="1368"/>
    </row>
    <row r="72" spans="1:248" ht="12.75" customHeight="1" x14ac:dyDescent="0.2">
      <c r="A72" s="1307" t="s">
        <v>228</v>
      </c>
      <c r="B72" s="1241">
        <f t="shared" si="17"/>
        <v>1E-3</v>
      </c>
      <c r="C72" s="1321"/>
      <c r="D72" s="1321"/>
      <c r="E72" s="1321"/>
      <c r="F72" s="1328" t="s">
        <v>1038</v>
      </c>
      <c r="G72" s="1321"/>
      <c r="H72" s="1321"/>
      <c r="I72" s="1321"/>
      <c r="J72" s="1321"/>
      <c r="K72" s="1321"/>
      <c r="L72" s="1321"/>
      <c r="M72" s="1321"/>
      <c r="N72" s="1321"/>
      <c r="O72" s="1321"/>
      <c r="P72" s="1321"/>
      <c r="Q72" s="1321"/>
      <c r="R72" s="1321"/>
      <c r="S72" s="1321"/>
      <c r="T72" s="1321"/>
      <c r="U72" s="1321"/>
      <c r="V72" s="1321"/>
      <c r="W72" s="1321"/>
      <c r="X72" s="1321"/>
      <c r="Y72" s="1321"/>
      <c r="Z72" s="1321"/>
      <c r="AA72" s="1321"/>
      <c r="AB72" s="1321"/>
      <c r="AC72" s="1321"/>
      <c r="AD72" s="1321"/>
      <c r="AE72" s="1321"/>
      <c r="AF72" s="1321"/>
      <c r="AG72" s="1321"/>
      <c r="AH72" s="1321"/>
      <c r="AI72" s="1321"/>
      <c r="AJ72" s="1321"/>
      <c r="AK72" s="1321"/>
      <c r="AL72" s="1321"/>
      <c r="AM72" s="1321"/>
      <c r="AN72" s="1321"/>
      <c r="AO72" s="1321"/>
      <c r="AP72" s="1321"/>
      <c r="AQ72" s="1321"/>
      <c r="AR72" s="1321"/>
      <c r="AS72" s="1321"/>
      <c r="AT72" s="1321"/>
      <c r="AU72" s="1321"/>
      <c r="AV72" s="1321"/>
      <c r="AW72" s="1321"/>
      <c r="AX72" s="1321"/>
      <c r="AY72" s="1321"/>
      <c r="AZ72" s="1321"/>
      <c r="BA72" s="1321"/>
      <c r="BB72" s="1236" t="s">
        <v>726</v>
      </c>
      <c r="BC72" s="1190" t="s">
        <v>725</v>
      </c>
      <c r="BD72" s="1190" t="s">
        <v>1252</v>
      </c>
      <c r="BE72" s="1237">
        <v>28</v>
      </c>
      <c r="BF72" s="1237">
        <v>24</v>
      </c>
      <c r="BG72" s="1237">
        <v>20</v>
      </c>
      <c r="BH72" s="1237">
        <v>16</v>
      </c>
      <c r="BI72" s="1237">
        <v>8</v>
      </c>
      <c r="BJ72" s="1237">
        <v>4</v>
      </c>
      <c r="BK72" s="1238">
        <v>0</v>
      </c>
      <c r="BL72" s="1348"/>
      <c r="BM72" s="1272" t="s">
        <v>1276</v>
      </c>
      <c r="BN72" s="1079" t="s">
        <v>1261</v>
      </c>
      <c r="BO72" s="1079" t="s">
        <v>1260</v>
      </c>
      <c r="BP72" s="1079" t="s">
        <v>1259</v>
      </c>
      <c r="BQ72" s="1079" t="s">
        <v>1258</v>
      </c>
      <c r="BR72" s="1079" t="s">
        <v>1257</v>
      </c>
      <c r="BS72" s="1079" t="s">
        <v>1256</v>
      </c>
      <c r="BT72" s="1273" t="s">
        <v>1255</v>
      </c>
      <c r="BU72" s="1079" t="s">
        <v>1269</v>
      </c>
      <c r="BV72" s="1345"/>
      <c r="BW72" s="1345"/>
      <c r="BX72" s="1176" t="s">
        <v>729</v>
      </c>
      <c r="BY72" s="1177" t="s">
        <v>723</v>
      </c>
      <c r="BZ72" s="1177" t="s">
        <v>1277</v>
      </c>
      <c r="CA72" s="1177">
        <v>0</v>
      </c>
      <c r="CB72" s="1177">
        <v>0</v>
      </c>
      <c r="CC72" s="1177">
        <v>0</v>
      </c>
      <c r="CD72" s="1199">
        <v>0</v>
      </c>
      <c r="CE72" s="1350"/>
      <c r="CF72" s="1350"/>
      <c r="CG72" s="1350"/>
      <c r="CH72" s="1350"/>
      <c r="CI72" s="1321"/>
      <c r="CJ72" s="808" t="s">
        <v>297</v>
      </c>
      <c r="CK72" s="788">
        <f t="array" ref="CK7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72" s="788">
        <f t="array" ref="CL7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72" s="788">
        <f t="array" ref="CM7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72" s="788">
        <f t="array" ref="CN7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72" s="788">
        <f t="array" ref="CO7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72" s="812">
        <f>SUM(AlimentsRationPorcinsMâles[[#This Row],[Valeur 12 et plus]:[Valeur 0-1]])</f>
        <v>0</v>
      </c>
      <c r="CQ72" s="1321"/>
      <c r="CR72" s="1321"/>
      <c r="CS72" s="808" t="s">
        <v>332</v>
      </c>
      <c r="CT72" s="817">
        <f t="array" ref="CT7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72" s="817">
        <f t="array" ref="CU7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72" s="817">
        <f t="array" ref="CV7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72" s="818">
        <f>SUM(AlimentsRationLapinsMâles[[#This Row],[Valeur 3 et plus]:[Valeur 0-1]])</f>
        <v>0</v>
      </c>
      <c r="CX72" s="1321"/>
      <c r="CY72" s="1321"/>
      <c r="CZ72" s="808" t="s">
        <v>332</v>
      </c>
      <c r="DA72" s="817">
        <f t="array" ref="DA7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72" s="817">
        <f t="array" ref="DB7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72" s="817">
        <f t="array" ref="DC7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72" s="818">
        <f>SUM(AlimentsRationVolaillesMâles[[#This Row],[Valeur 6 et plus]:[Valeur 0-1]])</f>
        <v>0</v>
      </c>
      <c r="DE72" s="1364"/>
      <c r="DF72" s="1321"/>
      <c r="DG72" s="808" t="s">
        <v>1272</v>
      </c>
      <c r="DH72" s="817">
        <f t="array" ref="DH7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72" s="817">
        <f t="array" ref="DI7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72" s="817">
        <f t="array" ref="DJ7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72" s="818">
        <f>SUM(AlimentsRationPintadesMâles[[#This Row],[Valeur 9 et plus]:[Valeur 0-1]])</f>
        <v>0</v>
      </c>
      <c r="DL72" s="1364"/>
      <c r="DM72" s="1364"/>
      <c r="DN72" s="1176" t="s">
        <v>724</v>
      </c>
      <c r="DO72" s="1177" t="s">
        <v>1273</v>
      </c>
      <c r="DP72" s="1177" t="s">
        <v>1252</v>
      </c>
      <c r="DQ72" s="1181">
        <v>1.2</v>
      </c>
      <c r="DR72" s="1181">
        <v>0.8</v>
      </c>
      <c r="DS72" s="1181">
        <v>0.6</v>
      </c>
      <c r="DT72" s="1243">
        <v>0.4</v>
      </c>
      <c r="DU72" s="1346"/>
      <c r="DV72" s="1336" t="s">
        <v>1278</v>
      </c>
      <c r="DW72" s="1341"/>
      <c r="DX72" s="1341"/>
      <c r="DY72" s="1341"/>
      <c r="DZ72" s="1336"/>
      <c r="EA72" s="1336"/>
      <c r="EB72" s="1336"/>
      <c r="EC72" s="1336"/>
      <c r="ED72" s="1359"/>
      <c r="EE72" s="1345"/>
      <c r="EF72" s="1321"/>
      <c r="EG72" s="808" t="s">
        <v>1271</v>
      </c>
      <c r="EH72" s="817">
        <f t="array" ref="EH72">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72" s="817">
        <f t="array" ref="EI72">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72" s="817">
        <f t="array" ref="EJ72">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72" s="818">
        <f>SUM(AlimentsRationOiesMâles[[#This Row],[Valeur 6 et plus]:[Valeur 0-3]])</f>
        <v>0</v>
      </c>
      <c r="EL72" s="1364"/>
      <c r="EM72" s="1321"/>
      <c r="EN72" s="808" t="s">
        <v>672</v>
      </c>
      <c r="EO72" s="817">
        <f t="array" ref="EO72">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72" s="817">
        <f t="array" ref="EP72">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72" s="817">
        <f t="array" ref="EQ72">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72" s="818">
        <f>SUM(Ration_canards_Mâles[[#This Row],[Valeur 6 et plus]:[Valeur 0-3]])</f>
        <v>0</v>
      </c>
      <c r="ES72" s="1364"/>
      <c r="ET72" s="1346"/>
      <c r="EU72" s="1082" t="s">
        <v>331</v>
      </c>
      <c r="EV72" s="1282">
        <f t="array" ref="EV72">IF(OR(ChoixRationComplèteEtéChevauxSelle=OUI,ChoixRationComplèteEtéChevauxSelle="",AND(ChoixChevauxSellePréHiver=OUI,ChoixChevauxSellePréEté=OUI)),0,IFERROR(IF(OR(AND(INDEX(Règles_chevaux_selle[Specificite],MATCH(RationEtéChevauxSelle&amp;$EU72,Règles_chevaux_selle[Ration]&amp;Règles_chevaux_selle[Aliment],0))="s1",IF($EU72=Spécificité1ChevauxSelle,1)),
AND(INDEX(Règles_chevaux_selle[Specificite],MATCH(RationEtéChevauxSelle&amp;$EU72,Règles_chevaux_selle[Ration]&amp;Règles_chevaux_selle[Aliment],0))="s2",IF($EU72=Spécificité2ChevauxSelle,1)),
INDEX(Règles_chevaux_selle[Specificite],MATCH(RationEtéChevauxSelle&amp;$EU72,Règles_chevaux_selle[Ration]&amp;Règles_chevaux_selle[Aliment],0))="c"),
INDEX(Règles_chevaux_selle[Valeur 36 et plus],MATCH(RationEtéChevauxSelle&amp;$EU72,Règles_chevaux_selle[Ration]&amp;Règles_chevaux_selle[Aliment],0)),0),0)*TotalEtalonSelle*SUM(NbreJoursNourrirChevauxSelle))</f>
        <v>0</v>
      </c>
      <c r="EW72" s="1282">
        <f t="array" ref="EW72">IF(OR(ChoixRationComplèteEtéChevauxSelle=OUI,ChoixRationComplèteEtéChevauxSelle="",AND(ChoixChevauxSellePréHiver=OUI,ChoixChevauxSellePréEté=OUI)),0,IFERROR(IF(OR(AND(INDEX(Règles_chevaux_selle[Specificite],MATCH(RationEtéChevauxSelle&amp;$EU72,Règles_chevaux_selle[Ration]&amp;Règles_chevaux_selle[Aliment],0))="s1",IF($EU72=Spécificité1ChevauxSelle,1)),
AND(INDEX(Règles_chevaux_selle[Specificite],MATCH(RationEtéChevauxSelle&amp;$EU72,Règles_chevaux_selle[Ration]&amp;Règles_chevaux_selle[Aliment],0))="s2",IF($EU72=Spécificité2ChevauxSelle,1)),
INDEX(Règles_chevaux_selle[Specificite],MATCH(RationEtéChevauxSelle&amp;$EU72,Règles_chevaux_selle[Ration]&amp;Règles_chevaux_selle[Aliment],0))="c"),
INDEX(Règles_chevaux_selle[Valeur 24-36],MATCH(RationEtéChevauxSelle&amp;$EU72,Règles_chevaux_selle[Ration]&amp;Règles_chevaux_selle[Aliment],0)),0),0)*TotalJeuneEtalonSelle_24_36_mois*SUM(NbreJoursNourrirChevauxSelle))</f>
        <v>0</v>
      </c>
      <c r="EX72" s="1282">
        <f t="array" ref="EX72">IF(OR(ChoixRationComplèteEtéChevauxSelle=OUI,ChoixRationComplèteEtéChevauxSelle="",AND(ChoixChevauxSellePréHiver=OUI,ChoixChevauxSellePréEté=OUI)),0,IFERROR(IF(OR(AND(INDEX(Règles_chevaux_selle[Specificite],MATCH(RationEtéChevauxSelle&amp;$EU72,Règles_chevaux_selle[Ration]&amp;Règles_chevaux_selle[Aliment],0))="s1",IF($EU72=Spécificité1ChevauxSelle,1)),
AND(INDEX(Règles_chevaux_selle[Specificite],MATCH(RationEtéChevauxSelle&amp;$EU72,Règles_chevaux_selle[Ration]&amp;Règles_chevaux_selle[Aliment],0))="s2",IF($EU72=Spécificité2ChevauxSelle,1)),
INDEX(Règles_chevaux_selle[Specificite],MATCH(RationEtéChevauxSelle&amp;$EU72,Règles_chevaux_selle[Ration]&amp;Règles_chevaux_selle[Aliment],0))="c"),
INDEX(Règles_chevaux_selle[Valeur 12-24],MATCH(RationEtéChevauxSelle&amp;$EU72,Règles_chevaux_selle[Ration]&amp;Règles_chevaux_selle[Aliment],0)),0),0)*TotalJeuneEtalonSelle_12_24_mois*SUM(NbreJoursNourrirChevauxSelle))</f>
        <v>0</v>
      </c>
      <c r="EY72" s="1285">
        <f t="array" ref="EY72">IF(OR(ChoixRationComplèteEtéChevauxSelle=OUI,ChoixRationComplèteEtéChevauxSelle="",AND(ChoixChevauxSellePréHiver=OUI,ChoixChevauxSellePréEté=OUI)),0,IFERROR(IF(OR(AND(INDEX(Règles_chevaux_selle[Specificite],MATCH(RationEtéChevauxSelle&amp;$EU72,Règles_chevaux_selle[Ration]&amp;Règles_chevaux_selle[Aliment],0))="s1",IF($EU72=Spécificité1ChevauxSelle,1)),
AND(INDEX(Règles_chevaux_selle[Specificite],MATCH(RationEtéChevauxSelle&amp;$EU72,Règles_chevaux_selle[Ration]&amp;Règles_chevaux_selle[Aliment],0))="s2",IF($EU72=Spécificité2ChevauxSelle,1)),
INDEX(Règles_chevaux_selle[Specificite],MATCH(RationEtéChevauxSelle&amp;$EU72,Règles_chevaux_selle[Ration]&amp;Règles_chevaux_selle[Aliment],0))="c"),
INDEX(Règles_chevaux_selle[Valeur 0-12],MATCH(RationEtéChevauxSelle&amp;$EU72,Règles_chevaux_selle[Ration]&amp;Règles_chevaux_selle[Aliment],0)),0),0)*TotalPoulainSelle_0_12_mois*SUM(NbreJoursNourrirChevauxSelle))</f>
        <v>0</v>
      </c>
      <c r="EZ72" s="1285">
        <f t="shared" si="16"/>
        <v>0</v>
      </c>
      <c r="FA72" s="1345"/>
      <c r="FB72" s="1345"/>
      <c r="FC72" s="1346"/>
      <c r="FD72" s="1082" t="s">
        <v>339</v>
      </c>
      <c r="FE72" s="1282">
        <f t="array" ref="FE72">IF(OR(ChoixRationComplèteEtéChevauxTrait=OUI,ChoixRationComplèteEtéChevauxTrait="",AND(ChoixChevauxTraitPréHiver=OUI,ChoixChevauxTraitPréEté=OUI)),0,IFERROR(IF(OR(AND(INDEX(Règles_chevaux_trait[Specificite],MATCH(RationEtéChevauxTrait&amp;$FD72,Règles_chevaux_trait[Ration]&amp;Règles_chevaux_trait[Aliment],0))="s1",IF($FD72=Spécificité1ChevauxTrait,1)),
AND(INDEX(Règles_chevaux_trait[Specificite],MATCH(RationEtéChevauxTrait&amp;$FD72,Règles_chevaux_trait[Ration]&amp;Règles_chevaux_trait[Aliment],0))="s2",IF($FD72=Spécificité2ChevauxTrait,1)),
INDEX(Règles_chevaux_trait[Specificite],MATCH(RationEtéChevauxTrait&amp;$FD72,Règles_chevaux_trait[Ration]&amp;Règles_chevaux_trait[Aliment],0))="c"),
INDEX(Règles_chevaux_trait[Valeur 36 et plus],MATCH(RationEtéChevauxTrait&amp;$FD72,Règles_chevaux_trait[Ration]&amp;Règles_chevaux_trait[Aliment],0)),0),0)*TotalEtalonTrait*SUM(NbreJoursNourrirChevauxTrait))</f>
        <v>0</v>
      </c>
      <c r="FF72" s="1282">
        <f t="array" ref="FF72">IF(OR(ChoixRationComplèteEtéChevauxTrait=OUI,ChoixRationComplèteEtéChevauxTrait="",AND(ChoixChevauxTraitPréHiver=OUI,ChoixChevauxTraitPréEté=OUI)),0,IFERROR(IF(OR(AND(INDEX(Règles_chevaux_trait[Specificite],MATCH(RationEtéChevauxTrait&amp;$FD72,Règles_chevaux_trait[Ration]&amp;Règles_chevaux_trait[Aliment],0))="s1",IF($FD72=Spécificité1ChevauxTrait,1)),
AND(INDEX(Règles_chevaux_trait[Specificite],MATCH(RationEtéChevauxTrait&amp;$FD72,Règles_chevaux_trait[Ration]&amp;Règles_chevaux_trait[Aliment],0))="s2",IF($FD72=Spécificité2ChevauxTrait,1)),
INDEX(Règles_chevaux_trait[Specificite],MATCH(RationEtéChevauxTrait&amp;$FD72,Règles_chevaux_trait[Ration]&amp;Règles_chevaux_trait[Aliment],0))="c"),
INDEX(Règles_chevaux_trait[Valeur 24-36],MATCH(RationEtéChevauxTrait&amp;$FD72,Règles_chevaux_trait[Ration]&amp;Règles_chevaux_trait[Aliment],0)),0),0)*TotalJeuneEtalonTrait_24_36_mois*SUM(NbreJoursNourrirChevauxTrait))</f>
        <v>0</v>
      </c>
      <c r="FG72" s="1282">
        <f t="array" ref="FG72">IF(OR(ChoixRationComplèteEtéChevauxTrait=OUI,ChoixRationComplèteEtéChevauxTrait="",AND(ChoixChevauxTraitPréHiver=OUI,ChoixChevauxTraitPréEté=OUI)),0,IFERROR(IF(OR(AND(INDEX(Règles_chevaux_trait[Specificite],MATCH(RationEtéChevauxTrait&amp;$FD72,Règles_chevaux_trait[Ration]&amp;Règles_chevaux_trait[Aliment],0))="s1",IF($FD72=Spécificité1ChevauxTrait,1)),
AND(INDEX(Règles_chevaux_trait[Specificite],MATCH(RationEtéChevauxTrait&amp;$FD72,Règles_chevaux_trait[Ration]&amp;Règles_chevaux_trait[Aliment],0))="s2",IF($FD72=Spécificité2ChevauxTrait,1)),
INDEX(Règles_chevaux_trait[Specificite],MATCH(RationEtéChevauxTrait&amp;$FD72,Règles_chevaux_trait[Ration]&amp;Règles_chevaux_trait[Aliment],0))="c"),
INDEX(Règles_chevaux_trait[Valeur 12-24],MATCH(RationEtéChevauxTrait&amp;$FD72,Règles_chevaux_trait[Ration]&amp;Règles_chevaux_trait[Aliment],0)),0),0)*TotalJeuneEtalonTrait_12_24_mois*SUM(NbreJoursNourrirChevauxTrait))</f>
        <v>0</v>
      </c>
      <c r="FH72" s="1285">
        <f t="array" ref="FH72">IF(OR(ChoixRationComplèteEtéChevauxTrait=OUI,ChoixRationComplèteEtéChevauxTrait="",AND(ChoixChevauxTraitPréHiver=OUI,ChoixChevauxTraitPréEté=OUI)),0,IFERROR(IF(OR(AND(INDEX(Règles_chevaux_trait[Specificite],MATCH(RationEtéChevauxTrait&amp;$FD72,Règles_chevaux_trait[Ration]&amp;Règles_chevaux_trait[Aliment],0))="s1",IF($FD72=Spécificité1ChevauxTrait,1)),
AND(INDEX(Règles_chevaux_trait[Specificite],MATCH(RationEtéChevauxTrait&amp;$FD72,Règles_chevaux_trait[Ration]&amp;Règles_chevaux_trait[Aliment],0))="s2",IF($FD72=Spécificité2ChevauxTrait,1)),
INDEX(Règles_chevaux_trait[Specificite],MATCH(RationEtéChevauxTrait&amp;$FD72,Règles_chevaux_trait[Ration]&amp;Règles_chevaux_trait[Aliment],0))="c"),
INDEX(Règles_chevaux_trait[Valeur 0-12],MATCH(RationEtéChevauxTrait&amp;$FD72,Règles_chevaux_trait[Ration]&amp;Règles_chevaux_trait[Aliment],0)),0),0)*TotalPoulainTrait_0_12_mois*SUM(NbreJoursNourrirChevauxTrait))</f>
        <v>0</v>
      </c>
      <c r="FI72" s="1285">
        <f t="shared" si="15"/>
        <v>0</v>
      </c>
      <c r="FJ72" s="1345"/>
      <c r="FK72" s="1345"/>
      <c r="FL72" s="1345"/>
      <c r="FM72" s="1346"/>
      <c r="FN72" s="1083" t="s">
        <v>1271</v>
      </c>
      <c r="FO72" s="1283">
        <f t="array" ref="FO72">IF(OR(ChoixRationComplèteEtéPoneys=OUI,ChoixRationComplèteEtéPoneys="",AND(ChoixPoneysPréHiver=OUI,ChoixPoneysPréEté=OUI)),0,IFERROR(IF(OR(AND(INDEX(Règles_poneys[Specificite],MATCH(RationEtéPoneys&amp;$FN72,Règles_poneys[Ration]&amp;Règles_poneys[Aliment],0))="s1",IF($FN72=Spécificité1Poneys,1)),
AND(INDEX(Règles_poneys[Specificite],MATCH(RationEtéPoneys&amp;$FN72,Règles_poneys[Ration]&amp;Règles_poneys[Aliment],0))="s2",IF($FN72=Spécificité2Poneys,1)),
INDEX(Règles_poneys[Specificite],MATCH(RationEtéPoneys&amp;$FN72,Règles_poneys[Ration]&amp;Règles_poneys[Aliment],0))="c"),
INDEX(Règles_poneys[Valeur 36 et plus],MATCH(RationEtéPoneys&amp;$FN72,Règles_poneys[Ration]&amp;Règles_poneys[Aliment],0)),0),0)*TotalEtalonPoney*SUM(NbreJoursNourrirPoneys))</f>
        <v>0</v>
      </c>
      <c r="FP72" s="1283">
        <f t="array" ref="FP72">IF(OR(ChoixRationComplèteEtéPoneys=OUI,ChoixRationComplèteEtéPoneys="",AND(ChoixPoneysPréHiver=OUI,ChoixPoneysPréEté=OUI)),0,IFERROR(IF(OR(AND(INDEX(Règles_poneys[Specificite],MATCH(RationEtéPoneys&amp;$FN72,Règles_poneys[Ration]&amp;Règles_poneys[Aliment],0))="s1",IF($FN72=Spécificité1Poneys,1)),
AND(INDEX(Règles_poneys[Specificite],MATCH(RationEtéPoneys&amp;$FN72,Règles_poneys[Ration]&amp;Règles_poneys[Aliment],0))="s2",IF($FN72=Spécificité2Poneys,1)),
INDEX(Règles_poneys[Specificite],MATCH(RationEtéPoneys&amp;$FN72,Règles_poneys[Ration]&amp;Règles_poneys[Aliment],0))="c"),
INDEX(Règles_poneys[Valeur 36 et plus],MATCH(RationEtéPoneys&amp;$FN72,Règles_poneys[Ration]&amp;Règles_poneys[Aliment],0)),0),0)*TotalJeuneEtalonPoney_24_36_mois*SUM(NbreJoursNourrirPoneys))</f>
        <v>0</v>
      </c>
      <c r="FQ72" s="1283">
        <f t="array" ref="FQ72">IF(OR(ChoixRationComplèteEtéPoneys=OUI,ChoixRationComplèteEtéPoneys="",AND(ChoixPoneysPréHiver=OUI,ChoixPoneysPréEté=OUI)),0,IFERROR(IF(OR(AND(INDEX(Règles_poneys[Specificite],MATCH(RationEtéPoneys&amp;$FN72,Règles_poneys[Ration]&amp;Règles_poneys[Aliment],0))="s1",IF($FN72=Spécificité1Poneys,1)),
AND(INDEX(Règles_poneys[Specificite],MATCH(RationEtéPoneys&amp;$FN72,Règles_poneys[Ration]&amp;Règles_poneys[Aliment],0))="s2",IF($FN72=Spécificité2Poneys,1)),
INDEX(Règles_poneys[Specificite],MATCH(RationEtéPoneys&amp;$FN72,Règles_poneys[Ration]&amp;Règles_poneys[Aliment],0))="c"),
INDEX(Règles_poneys[Valeur 36 et plus],MATCH(RationEtéPoneys&amp;$FN72,Règles_poneys[Ration]&amp;Règles_poneys[Aliment],0)),0),0)*TotalJeuneEtalonPoney_12_24_mois*SUM(NbreJoursNourrirPoneys))</f>
        <v>0</v>
      </c>
      <c r="FR72" s="1286">
        <f t="array" ref="FR72">IF(OR(ChoixRationComplèteEtéPoneys=OUI,ChoixRationComplèteEtéPoneys="",AND(ChoixPoneysPréHiver=OUI,ChoixPoneysPréEté=OUI)),0,IFERROR(IF(OR(AND(INDEX(Règles_poneys[Specificite],MATCH(RationEtéPoneys&amp;$FN72,Règles_poneys[Ration]&amp;Règles_poneys[Aliment],0))="s1",IF($FN72=Spécificité1Poneys,1)),
AND(INDEX(Règles_poneys[Specificite],MATCH(RationEtéPoneys&amp;$FN72,Règles_poneys[Ration]&amp;Règles_poneys[Aliment],0))="s2",IF($FN72=Spécificité2Poneys,1)),
INDEX(Règles_poneys[Specificite],MATCH(RationEtéPoneys&amp;$FN72,Règles_poneys[Ration]&amp;Règles_poneys[Aliment],0))="c"),
INDEX(Règles_poneys[Valeur 36 et plus],MATCH(RationEtéPoneys&amp;$FN72,Règles_poneys[Ration]&amp;Règles_poneys[Aliment],0)),0),0)*TotalPoulainPoney_0_12_mois*SUM(NbreJoursNourrirPoneys))</f>
        <v>0</v>
      </c>
      <c r="FS72" s="1286">
        <f t="shared" si="14"/>
        <v>0</v>
      </c>
      <c r="FT72" s="1345"/>
      <c r="FU72" s="1345"/>
      <c r="FV72" s="1345"/>
      <c r="FW72" s="823" t="s">
        <v>296</v>
      </c>
      <c r="FX72" s="828">
        <f t="array" ref="FX7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72" s="828">
        <f t="array" ref="FY7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72" s="828">
        <f t="array" ref="FZ7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72" s="828">
        <f t="array" ref="GA72">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72" s="829">
        <f>SUM(AlimentsGavageOies[[#This Row],[Valeur 3 et plus]:[Valeur 0-1]])</f>
        <v>0</v>
      </c>
      <c r="GC72" s="1364"/>
      <c r="GD72" s="1321"/>
      <c r="GE72" s="1143" t="s">
        <v>305</v>
      </c>
      <c r="GF72" s="1321"/>
      <c r="GG72" s="1321" t="s">
        <v>1349</v>
      </c>
      <c r="GH72" s="1321" t="s">
        <v>1349</v>
      </c>
      <c r="GI72" s="1321" t="s">
        <v>1349</v>
      </c>
      <c r="GJ72" s="1321" t="s">
        <v>1349</v>
      </c>
      <c r="GK72" s="1321" t="s">
        <v>1349</v>
      </c>
      <c r="GL72" s="1321" t="s">
        <v>1349</v>
      </c>
      <c r="GM72" s="1321" t="s">
        <v>1349</v>
      </c>
      <c r="GN72" s="1321" t="s">
        <v>1349</v>
      </c>
      <c r="GO72" s="1321" t="s">
        <v>1349</v>
      </c>
      <c r="GP72" s="1321" t="s">
        <v>1349</v>
      </c>
      <c r="GQ72" s="1321" t="s">
        <v>1349</v>
      </c>
      <c r="GR72" s="1321" t="s">
        <v>1349</v>
      </c>
      <c r="GS72" s="1321" t="s">
        <v>1349</v>
      </c>
      <c r="GT72" s="1321" t="s">
        <v>1349</v>
      </c>
      <c r="GU72" s="1321" t="s">
        <v>1349</v>
      </c>
      <c r="GV72" s="1321" t="s">
        <v>1349</v>
      </c>
      <c r="GW72" s="1321"/>
      <c r="GX72" s="1321"/>
      <c r="GY72" s="1083" t="str">
        <f t="shared" si="11"/>
        <v>semences de seigle (G)</v>
      </c>
      <c r="GZ72" s="1083"/>
      <c r="HA72" s="1084"/>
      <c r="HB72" s="1084">
        <f>IF(COUNTIF(TypeArticleDansEntrepôt,GY72)=0,0,SUMIF(TypeArticleDansEntrepôt,GY72,QtéArticleDansEntrepôt)*VLOOKUP(GY72,place_necessaire_entrepots_aire_paille[],2,FALSE))</f>
        <v>0</v>
      </c>
      <c r="HC72" s="1321"/>
      <c r="HD72" s="1321"/>
      <c r="HE72" s="1321"/>
      <c r="HF72" s="1321"/>
      <c r="HG72" s="1321"/>
      <c r="HH72" s="1321"/>
      <c r="HI72" s="1321"/>
      <c r="HJ72" s="1321"/>
      <c r="HK72" s="1321"/>
      <c r="HL72" s="1321"/>
      <c r="HM72" s="1321"/>
      <c r="HN72" s="1084" t="str">
        <f>IF(parcelles!B120="","",(VLOOKUP(parcelles!C120,BDD!$HN$5:$HU$38,2,FALSE))*parcelles!E120)</f>
        <v/>
      </c>
      <c r="HO72" s="1084" t="str">
        <f>IF(parcelles!B120="","",IF(OR(parcelles!C120=Moutarde,parcelles!C120=Phacélie),0,IF(parcelles!C120=Luzerne,10*parcelles!E120*VLOOKUP(parcelles!C120,BDD!$HN$5:$HU$38,3,FALSE),IF(parcelles!C120=Miscanthus,10.5*parcelles!E120*VLOOKUP(parcelles!C120,BDD!$HN$5:$HU$38,3,FALSE),INDEX(parcelles!$C$56:'parcelles'!$Y$77,MATCH(parcelles!B120,parcelles!$B$56:'parcelles'!$B$77,0),MATCH(parcelles!C120,parcelles!$C$53:'parcelles'!$Y$53,0))*parcelles!E120*VLOOKUP(parcelles!C120,BDD!$HN$5:$HU$38,3,FALSE)))))</f>
        <v/>
      </c>
      <c r="HP72" s="1084" t="str">
        <f>IF(parcelles!B120="","",IF(OR(parcelles!C120=Moutarde,parcelles!C120=Phacélie),0,IF(parcelles!C120=Luzerne,10*parcelles!E120*VLOOKUP(parcelles!C120,BDD!$HN$5:$HU$38,4,FALSE),IF(parcelles!C120=Miscanthus,10.5*parcelles!E120*VLOOKUP(parcelles!C120,BDD!$HN$5:$HU$38,4,FALSE),INDEX(parcelles!$C$56:'parcelles'!$Y$77,MATCH(parcelles!B120,parcelles!$B$56:'parcelles'!$B$77,0),MATCH(parcelles!C120,parcelles!$C$53:'parcelles'!$Y$53,0))*parcelles!E120*VLOOKUP(parcelles!C120,BDD!$HN$5:$HU$38,4,FALSE)))))</f>
        <v/>
      </c>
      <c r="HQ72" s="1084" t="str">
        <f>IF(parcelles!B120="","",IF(OR(parcelles!C120=Moutarde,parcelles!C120=Phacélie),0,IF(parcelles!C120=Luzerne,10*parcelles!E120*VLOOKUP(parcelles!C120,BDD!$HN$5:$HU$38,5,FALSE),IF(parcelles!C120=Miscanthus,10.5*parcelles!E120*VLOOKUP(parcelles!C120,BDD!$HN$5:$HU$38,5,FALSE),INDEX(parcelles!$C$56:'parcelles'!$Y$77,MATCH(parcelles!B120,parcelles!$B$56:'parcelles'!$B$77,0),MATCH(parcelles!C120,parcelles!$C$53:'parcelles'!$Y$53,0))*parcelles!E120*VLOOKUP(parcelles!C120,BDD!$HN$5:$HU$38,5,FALSE)))))</f>
        <v/>
      </c>
      <c r="HR72" s="1084" t="str">
        <f>IF(parcelles!B120="","",IF(OR(parcelles!C120=Moutarde,parcelles!C120=Phacélie),0,IF(parcelles!C120=Luzerne,10*parcelles!E120*VLOOKUP(parcelles!C120,BDD!$HN$5:$HU$38,6,FALSE),IF(parcelles!C120=Miscanthus,10.5*parcelles!E120*VLOOKUP(parcelles!C120,BDD!$HN$5:$HU$38,6,FALSE),INDEX(parcelles!$C$56:'parcelles'!$Y$77,MATCH(parcelles!B120,parcelles!$B$56:'parcelles'!$B$77,0),MATCH(parcelles!C120,parcelles!$C$53:'parcelles'!$Y$53,0))*parcelles!E120*VLOOKUP(parcelles!C120,BDD!$HN$5:$HU$38,6,FALSE)))))</f>
        <v/>
      </c>
      <c r="HS72" s="1084" t="str">
        <f>IF(parcelles!B120="","",IF(OR(parcelles!C120=Moutarde,parcelles!C120=Phacélie),0,IF(parcelles!C120=Luzerne,10*parcelles!E120*VLOOKUP(parcelles!C120,BDD!$HN$5:$HU$38,7,FALSE),IF(parcelles!C120=Miscanthus,10.5*parcelles!E120*VLOOKUP(parcelles!C120,BDD!$HN$5:$HU$38,7,FALSE),INDEX(parcelles!$C$56:'parcelles'!$Y$77,MATCH(parcelles!B120,parcelles!$B$56:'parcelles'!$B$77,0),MATCH(parcelles!C120,parcelles!$C$53:'parcelles'!$Y$53,0))*parcelles!E120*VLOOKUP(parcelles!C120,BDD!$HN$5:$HU$38,7,FALSE)))))</f>
        <v/>
      </c>
      <c r="HT72" s="1084" t="str">
        <f>IF(parcelles!B120="","",IF(OR(parcelles!C120=Moutarde,parcelles!C120=Phacélie),0,IF(parcelles!C120=Luzerne,10*parcelles!E120*VLOOKUP(parcelles!C120,BDD!$HN$5:$HU$38,8,FALSE),IF(parcelles!C120=Miscanthus,10.5*parcelles!E120*VLOOKUP(parcelles!C120,BDD!$HN$5:$HU$38,8,FALSE),INDEX(parcelles!$C$56:'parcelles'!$Y$77,MATCH(parcelles!B120,parcelles!$B$56:'parcelles'!$B$77,0),MATCH(parcelles!C120,parcelles!$C$53:'parcelles'!$Y$53,0))*parcelles!E120*VLOOKUP(parcelles!C120,BDD!$HN$5:$HU$38,8,FALSE)))))</f>
        <v/>
      </c>
      <c r="HU72" s="1084" t="str">
        <f>IF(parcelles!B120="","",IF(OR(parcelles!C120=Moutarde,parcelles!C120=Phacélie),0,1.6*parcelles!E120))</f>
        <v/>
      </c>
      <c r="HV72" s="1084" t="str">
        <f>IF(parcelles!B120="","",IF(OR(parcelles!C120=Moutarde,parcelles!C120=Phacélie),0,1.6*parcelles!E120))</f>
        <v/>
      </c>
      <c r="HW72" s="1084" t="str">
        <f>IF(parcelles!B120="","",IF(OR(parcelles!C120=Moutarde,parcelles!C120=Phacélie),0,1.6*parcelles!E120))</f>
        <v/>
      </c>
      <c r="HX72" s="1095" t="str">
        <f>IF(parcelles!D120="","",IF(parcelles!C120=ChanvreIndustriel,INDEX(parcelles!$C$56:$Y$77,MATCH(parcelles!B120,parcelles!$B$56:$B$77,0),MATCH(parcelles!C120,parcelles!$C$53:$Y$53,0))*parcelles!E120*SUMIF(ListeCulturesBDD,parcelles!C120,PrixVenteCulturesConventionnel)+RIGHT(BDD!$HM$7,3)*7*parcelles!E120,IF(parcelles!C120=Luzerne,parcelles!E120*10*VLOOKUP(parcelles!C120,TarifsCoopCultures,2,FALSE),IF(parcelles!C120=Miscanthus,parcelles!E120*10.5*VLOOKUP(Luzerne,TarifsCoopCultures,2,FALSE),INDEX(parcelles!$C$56:$Y$77,MATCH(parcelles!B120,parcelles!$B$56:$B$77,0),MATCH(parcelles!C120,parcelles!$C$53:$Y$53,0))*parcelles!E120*SUMIF(ListeCulturesBDD,parcelles!C120,PrixVenteCulturesConventionnel)))))</f>
        <v/>
      </c>
      <c r="HY72" s="1084" t="str">
        <f>IF(parcelles!D120="","",IF(parcelles!F120=0,"",IF(parcelles!C120=ChanvreIndustriel,"soit "&amp;parcelles!E120*0.8&amp;"t de grain et "&amp;parcelles!E120*7&amp;"t de paille",IF(parcelles!C120=Luzerne,"soit "&amp;10*parcelles!E120&amp;"t/an",IF(parcelles!C120=Miscanthus,"soit "&amp;10.5*parcelles!E120&amp;"t/an","soit "&amp;INDEX(parcelles!$C$56:$Y$77,MATCH(parcelles!B120,parcelles!$B$56:$B$77,0),MATCH(parcelles!C120,parcelles!$C$53:$Y$53,0))*parcelles!E120&amp;"t")))))</f>
        <v/>
      </c>
      <c r="HZ72" s="1084" t="str">
        <f>IF(parcelles!D120="","",IF(parcelles!F120=0,"",IF(parcelles!C120=ChanvreIndustriel,"soit "&amp;parcelles!E120*0.8*0.8&amp;"t de grain et "&amp;parcelles!E120*7*0.8&amp;"t de paille",IF(parcelles!C120=Luzerne,"soit "&amp;10*0.8*parcelles!E120&amp;"t/an",IF(parcelles!C120=Miscanthus,"soit "&amp;10.5*0.8*parcelles!E120&amp;"t/an","soit "&amp;INDEX(parcelles!$C$56:$Y$77,MATCH(parcelles!B120,parcelles!$B$56:$B$77,0),MATCH(parcelles!C120,parcelles!$C$53:$Y$53,0))*0.8*parcelles!E120&amp;"t")))))</f>
        <v/>
      </c>
      <c r="IA72" s="1084" t="str">
        <f>IF(parcelles!L120="","",(VLOOKUP(parcelles!M120,BDD!$HN$5:$HU$38,2,FALSE))*parcelles!O120)</f>
        <v/>
      </c>
      <c r="IB72" s="1084" t="str">
        <f>IF(parcelles!L120="","",IF(OR(parcelles!M120=Moutarde,parcelles!M120=Phacélie),0,IF(parcelles!M120=Luzerne,10*parcelles!O120*VLOOKUP(parcelles!M120,BDD!$HN$5:$HU$38,3,FALSE),IF(parcelles!M120=Miscanthus,10.5*parcelles!O120*VLOOKUP(parcelles!M120,BDD!$HN$5:$HU$38,3,FALSE),INDEX(parcelles!$C$56:'parcelles'!$Y$77,MATCH(parcelles!L120,parcelles!$B$56:'parcelles'!$B$77,0),MATCH(parcelles!M120,parcelles!$C$53:'parcelles'!$Y$53,0))*parcelles!O120*VLOOKUP(parcelles!M120,BDD!$HN$5:$HU$38,3,FALSE)))))</f>
        <v/>
      </c>
      <c r="IC72" s="1084" t="str">
        <f>IF(parcelles!L120="","",IF(OR(parcelles!M120=Moutarde,parcelles!M120=Phacélie),0,IF(parcelles!M120=Luzerne,10*parcelles!O120*VLOOKUP(parcelles!M120,BDD!$HN$5:$HU$38,4,FALSE),IF(parcelles!M120=Miscanthus,10.5*parcelles!O120*VLOOKUP(parcelles!M120,BDD!$HN$5:$HU$38,4,FALSE),INDEX(parcelles!$C$56:'parcelles'!$Y$77,MATCH(parcelles!L120,parcelles!$B$56:'parcelles'!$B$77,0),MATCH(parcelles!M120,parcelles!$C$53:'parcelles'!$Y$53,0))*parcelles!O120*VLOOKUP(parcelles!M120,BDD!$HN$5:$HU$38,4,FALSE)))))</f>
        <v/>
      </c>
      <c r="ID72" s="1084" t="str">
        <f>IF(parcelles!L120="","",IF(OR(parcelles!M120=Moutarde,parcelles!M120=Phacélie),0,IF(parcelles!M120=Luzerne,10*parcelles!O120*VLOOKUP(parcelles!M120,BDD!$HN$5:$HU$38,5,FALSE),IF(parcelles!M120=Miscanthus,10.5*parcelles!O120*VLOOKUP(parcelles!M120,BDD!$HN$5:$HU$38,5,FALSE),INDEX(parcelles!$C$56:'parcelles'!$Y$77,MATCH(parcelles!L120,parcelles!$B$56:'parcelles'!$B$77,0),MATCH(parcelles!M120,parcelles!$C$53:'parcelles'!$Y$53,0))*parcelles!O120*VLOOKUP(parcelles!M120,BDD!$HN$5:$HU$38,5,FALSE)))))</f>
        <v/>
      </c>
      <c r="IE72" s="1084" t="str">
        <f>IF(parcelles!L120="","",IF(OR(parcelles!M120=Moutarde,parcelles!M120=Phacélie),0,IF(parcelles!M120=Luzerne,10*parcelles!O120*VLOOKUP(parcelles!M120,BDD!$HN$5:$HU$38,6,FALSE),IF(parcelles!M120=Miscanthus,10.5*parcelles!O120*VLOOKUP(parcelles!M120,BDD!$HN$5:$HU$38,6,FALSE),INDEX(parcelles!$C$56:'parcelles'!$Y$77,MATCH(parcelles!L120,parcelles!$B$56:'parcelles'!$B$77,0),MATCH(parcelles!M120,parcelles!$C$53:'parcelles'!$Y$53,0))*parcelles!O120*VLOOKUP(parcelles!M120,BDD!$HN$5:$HU$38,6,FALSE)))))</f>
        <v/>
      </c>
      <c r="IF72" s="1084" t="str">
        <f>IF(parcelles!L120="","",IF(OR(parcelles!M120=Moutarde,parcelles!M120=Phacélie),0,IF(parcelles!M120=Luzerne,10*parcelles!O120*VLOOKUP(parcelles!M120,BDD!$HN$5:$HU$38,7,FALSE),IF(parcelles!M120=Miscanthus,10.5*parcelles!O120*VLOOKUP(parcelles!M120,BDD!$HN$5:$HU$38,7,FALSE),INDEX(parcelles!$C$56:'parcelles'!$Y$77,MATCH(parcelles!L120,parcelles!$B$56:'parcelles'!$B$77,0),MATCH(parcelles!M120,parcelles!$C$53:'parcelles'!$Y$53,0))*parcelles!O120*VLOOKUP(parcelles!M120,BDD!$HN$5:$HU$38,7,FALSE)))))</f>
        <v/>
      </c>
      <c r="IG72" s="1084" t="str">
        <f>IF(parcelles!L120="","",IF(OR(parcelles!M120=Moutarde,parcelles!M120=Phacélie),0,IF(parcelles!M120=Luzerne,10*parcelles!O120*VLOOKUP(parcelles!M120,BDD!$HN$5:$HU$38,8,FALSE),IF(parcelles!M120=Miscanthus,10.5*parcelles!O120*VLOOKUP(parcelles!M120,BDD!$HN$5:$HU$38,8,FALSE),INDEX(parcelles!$C$56:'parcelles'!$Y$77,MATCH(parcelles!L120,parcelles!$B$56:'parcelles'!$B$77,0),MATCH(parcelles!M120,parcelles!$C$53:'parcelles'!$Y$53,0))*parcelles!O120*VLOOKUP(parcelles!M120,BDD!$HN$5:$HU$38,8,FALSE)))))</f>
        <v/>
      </c>
      <c r="IH72" s="1084" t="str">
        <f>IF(parcelles!L120="","",IF(OR(parcelles!L120=Moutarde,parcelles!L120=Phacélie),0,1.6*parcelles!O120))</f>
        <v/>
      </c>
      <c r="II72" s="1084" t="str">
        <f>IF(parcelles!L120="","",IF(OR(parcelles!L120=Moutarde,parcelles!L120=Phacélie),0,1.6*parcelles!O120))</f>
        <v/>
      </c>
      <c r="IJ72" s="1084" t="str">
        <f>IF(parcelles!L120="","",IF(OR(parcelles!L120=Moutarde,parcelles!L120=Phacélie),0,1.6*parcelles!O120))</f>
        <v/>
      </c>
      <c r="IK72" s="1084" t="str">
        <f>IF(parcelles!P120="","",IF(parcelles!R120=0,"",IF(parcelles!O120=ChanvreIndustriel,"soit "&amp;parcelles!Q120*0.8&amp;"t de grain et "&amp;parcelles!Q120*7&amp;"t de paille",IF(parcelles!O120=Luzerne,"soit "&amp;10*parcelles!Q120&amp;"t/an",IF(parcelles!O120=Miscanthus,"soit "&amp;10.5*parcelles!Q120&amp;"t/an","soit "&amp;INDEX(parcelles!$C$56:$Y$77,MATCH(parcelles!N120,parcelles!$B$56:$B$77,0),MATCH(parcelles!O120,parcelles!$C$53:$Y$53,0))*parcelles!Q120&amp;"t")))))</f>
        <v/>
      </c>
      <c r="IL72" s="1084" t="str">
        <f>IF(parcelles!P120="","",IF(parcelles!R120=0,"",IF(parcelles!O120=ChanvreIndustriel,"soit "&amp;parcelles!Q120*0.8*0.8&amp;"t de grain et "&amp;parcelles!Q120*7*0.8&amp;"t de paille",IF(parcelles!O120=Luzerne,"soit "&amp;10*0.8*parcelles!Q120&amp;"t/an",IF(parcelles!O120=Miscanthus,"soit "&amp;10.5*0.8*parcelles!Q120&amp;"t/an","soit "&amp;INDEX(parcelles!$C$56:$Y$77,MATCH(parcelles!N120,parcelles!$B$56:$B$77,0),MATCH(parcelles!O120,parcelles!$C$53:$Y$53,0))*0.8*parcelles!Q120&amp;"t")))))</f>
        <v/>
      </c>
      <c r="IM72" s="1084" t="str">
        <f>IF(parcelles!S120="","",IF(parcelles!U120=0,"",IF(parcelles!R120=ChanvreIndustriel,parcelles!T120*0.8*0.8+parcelles!T120*7*0.8,IF(parcelles!R120=Luzerne,10*0.8*parcelles!T120,IF(parcelles!R120=Miscanthus,10.5*0.8*parcelles!T120,INDEX(parcelles!$C$56:$Y$77,MATCH(parcelles!Q120,parcelles!$B$56:$B$77,0),MATCH(parcelles!R120,parcelles!$C$53:$Y$53,0))*0.8*parcelles!T120)))))</f>
        <v/>
      </c>
      <c r="IN72" s="1368"/>
    </row>
    <row r="73" spans="1:248" ht="12.75" customHeight="1" x14ac:dyDescent="0.2">
      <c r="A73" s="1307" t="s">
        <v>167</v>
      </c>
      <c r="B73" s="1241">
        <f t="shared" si="17"/>
        <v>1E-3</v>
      </c>
      <c r="C73" s="1321"/>
      <c r="D73" s="1321"/>
      <c r="E73" s="1321"/>
      <c r="F73" s="1139" t="s">
        <v>1035</v>
      </c>
      <c r="G73" s="1139" t="s">
        <v>861</v>
      </c>
      <c r="H73" s="1139" t="s">
        <v>862</v>
      </c>
      <c r="I73" s="1139" t="s">
        <v>863</v>
      </c>
      <c r="J73" s="1139" t="s">
        <v>864</v>
      </c>
      <c r="K73" s="1139" t="s">
        <v>865</v>
      </c>
      <c r="L73" s="1139" t="s">
        <v>866</v>
      </c>
      <c r="M73" s="1321"/>
      <c r="N73" s="1321"/>
      <c r="O73" s="1321"/>
      <c r="P73" s="1321"/>
      <c r="Q73" s="1321"/>
      <c r="R73" s="1321"/>
      <c r="S73" s="1321"/>
      <c r="T73" s="1321"/>
      <c r="U73" s="1321"/>
      <c r="V73" s="1321"/>
      <c r="W73" s="1321"/>
      <c r="X73" s="1321"/>
      <c r="Y73" s="1321"/>
      <c r="Z73" s="1321"/>
      <c r="AA73" s="1321"/>
      <c r="AB73" s="1321"/>
      <c r="AC73" s="1321"/>
      <c r="AD73" s="1321"/>
      <c r="AE73" s="1321"/>
      <c r="AF73" s="1321"/>
      <c r="AG73" s="1321"/>
      <c r="AH73" s="1321"/>
      <c r="AI73" s="1321"/>
      <c r="AJ73" s="1321"/>
      <c r="AK73" s="1321"/>
      <c r="AL73" s="1321"/>
      <c r="AM73" s="1321"/>
      <c r="AN73" s="1321"/>
      <c r="AO73" s="1321"/>
      <c r="AP73" s="1321"/>
      <c r="AQ73" s="1321"/>
      <c r="AR73" s="1321"/>
      <c r="AS73" s="1321"/>
      <c r="AT73" s="1321"/>
      <c r="AU73" s="1321"/>
      <c r="AV73" s="1321"/>
      <c r="AW73" s="1321"/>
      <c r="AX73" s="1321"/>
      <c r="AY73" s="1321"/>
      <c r="AZ73" s="1321"/>
      <c r="BA73" s="1321"/>
      <c r="BB73" s="1236" t="s">
        <v>726</v>
      </c>
      <c r="BC73" s="1190" t="s">
        <v>340</v>
      </c>
      <c r="BD73" s="1190" t="s">
        <v>1252</v>
      </c>
      <c r="BE73" s="1237">
        <v>96</v>
      </c>
      <c r="BF73" s="1237">
        <v>80</v>
      </c>
      <c r="BG73" s="1237">
        <v>60</v>
      </c>
      <c r="BH73" s="1237">
        <v>44</v>
      </c>
      <c r="BI73" s="1237">
        <v>28</v>
      </c>
      <c r="BJ73" s="1237">
        <v>12</v>
      </c>
      <c r="BK73" s="1238">
        <v>0</v>
      </c>
      <c r="BL73" s="1348"/>
      <c r="BM73" s="1076" t="str">
        <f>BM36</f>
        <v>Avoine</v>
      </c>
      <c r="BN73" s="1076">
        <f t="array" ref="BN73">IF(Ration_hivernale_complète_bisons[somme]&gt;0,0,IFERROR(IF(OR(AND(INDEX(Règles_bison[Specificite],MATCH(ChoixRationBisons&amp;$BM73,Règles_bison[Ration]&amp;Règles_bison[Aliment],0))="s1",IF($BM73=ChoixSpécificité1Bisons,1)),
AND(INDEX(Règles_bison[Specificite],MATCH(ChoixRationBisons&amp;$BM73,Règles_bison[Ration]&amp;Règles_bison[Aliment],0))="s2",IF($BM73=ChoixSpécificité2Bisons,1)),INDEX(Règles_bison[Specificite],MATCH(ChoixRationBisons&amp;$BM73,Règles_bison[Ration]&amp;Règles_bison[Aliment],0))="c"),
INDEX(Règles_bison[Valeur 36 et plus],MATCH(ChoixRationBisons&amp;$BM73,Règles_bison[Ration]&amp;Règles_bison[Aliment],0)),0),0)*TotalBisonnes*SUM(NbreJoursNourrirBisonsDaims))</f>
        <v>0</v>
      </c>
      <c r="BO73" s="1076">
        <f t="array" ref="BO73">IF(Ration_hivernale_complète_bisons[somme]&gt;0,0,IFERROR(IF(OR(AND(INDEX(Règles_bison[Specificite],MATCH(ChoixRationBisons&amp;$BM73,Règles_bison[Ration]&amp;Règles_bison[Aliment],0))="s1",IF($BM73=ChoixSpécificité1Bisons,1)),
AND(INDEX(Règles_bison[Specificite],MATCH(ChoixRationBisons&amp;$BM73,Règles_bison[Ration]&amp;Règles_bison[Aliment],0))="s2",IF($BM73=ChoixSpécificité2Bisons,1)),INDEX(Règles_bison[Specificite],MATCH(ChoixRationBisons&amp;$BM73,Règles_bison[Ration]&amp;Règles_bison[Aliment],0))="c"),
INDEX(Règles_bison[Valeur 24-36],MATCH(ChoixRationBisons&amp;$BM73,Règles_bison[Ration]&amp;Règles_bison[Aliment],0)),0),0)*TotalBisonsFemelles_24_36_mois*SUM(NbreJoursNourrirBisonsDaims))</f>
        <v>0</v>
      </c>
      <c r="BP73" s="1076">
        <f t="array" ref="BP73">IF(Ration_hivernale_complète_bisons[somme]&gt;0,0,IFERROR(IF(OR(AND(INDEX(Règles_bison[Specificite],MATCH(ChoixRationBisons&amp;$BM73,Règles_bison[Ration]&amp;Règles_bison[Aliment],0))="s1",IF($BM73=ChoixSpécificité1Bisons,1)),
AND(INDEX(Règles_bison[Specificite],MATCH(ChoixRationBisons&amp;$BM73,Règles_bison[Ration]&amp;Règles_bison[Aliment],0))="s2",IF($BM73=ChoixSpécificité2Bisons,1)),INDEX(Règles_bison[Specificite],MATCH(ChoixRationBisons&amp;$BM73,Règles_bison[Ration]&amp;Règles_bison[Aliment],0))="c"),
INDEX(Règles_bison[Valeur 18-24],MATCH(ChoixRationBisons&amp;$BM73,Règles_bison[Ration]&amp;Règles_bison[Aliment],0)),0),0)*TotalBisonsFemelles_18_24_mois*SUM(NbreJoursNourrirBisonsDaims))</f>
        <v>0</v>
      </c>
      <c r="BQ73" s="1076">
        <f t="array" ref="BQ73">IF(Ration_hivernale_complète_bisons[somme]&gt;0,0,IFERROR(IF(OR(AND(INDEX(Règles_bison[Specificite],MATCH(ChoixRationBisons&amp;$BM73,Règles_bison[Ration]&amp;Règles_bison[Aliment],0))="s1",IF($BM73=ChoixSpécificité1Bisons,1)),
AND(INDEX(Règles_bison[Specificite],MATCH(ChoixRationBisons&amp;$BM73,Règles_bison[Ration]&amp;Règles_bison[Aliment],0))="s2",IF($BM73=ChoixSpécificité2Bisons,1)),INDEX(Règles_bison[Specificite],MATCH(ChoixRationBisons&amp;$BM73,Règles_bison[Ration]&amp;Règles_bison[Aliment],0))="c"),
INDEX(Règles_bison[Valeur 12-18],MATCH(ChoixRationBisons&amp;$BM73,Règles_bison[Ration]&amp;Règles_bison[Aliment],0)),0),0)*TotalBisonsFemelles_12_18_mois*SUM(NbreJoursNourrirBisonsDaims))</f>
        <v>0</v>
      </c>
      <c r="BR73" s="1076">
        <f t="array" ref="BR73">IF(Ration_hivernale_complète_bisons[somme]&gt;0,0,IFERROR(IF(OR(AND(INDEX(Règles_bison[Specificite],MATCH(ChoixRationBisons&amp;$BM73,Règles_bison[Ration]&amp;Règles_bison[Aliment],0))="s1",IF($BM73=ChoixSpécificité1Bisons,1)),
AND(INDEX(Règles_bison[Specificite],MATCH(ChoixRationBisons&amp;$BM73,Règles_bison[Ration]&amp;Règles_bison[Aliment],0))="s2",IF($BM73=ChoixSpécificité2Bisons,1)),INDEX(Règles_bison[Specificite],MATCH(ChoixRationBisons&amp;$BM73,Règles_bison[Ration]&amp;Règles_bison[Aliment],0))="c"),
INDEX(Règles_bison[Valeur 6-12],MATCH(ChoixRationBisons&amp;$BM73,Règles_bison[Ration]&amp;Règles_bison[Aliment],0)),0),0)*TotalBisonsFemelles_6_12_mois*SUM(NbreJoursNourrirBisonsDaims))</f>
        <v>0</v>
      </c>
      <c r="BS73" s="1076">
        <f t="array" ref="BS73">IF(Ration_hivernale_complète_bisons[somme]&gt;0,0,IFERROR(IF(OR(AND(INDEX(Règles_bison[Specificite],MATCH(ChoixRationBisons&amp;$BM73,Règles_bison[Ration]&amp;Règles_bison[Aliment],0))="s1",IF($BM73=ChoixSpécificité1Bisons,1)),
AND(INDEX(Règles_bison[Specificite],MATCH(ChoixRationBisons&amp;$BM73,Règles_bison[Ration]&amp;Règles_bison[Aliment],0))="s2",IF($BM73=ChoixSpécificité2Bisons,1)),INDEX(Règles_bison[Specificite],MATCH(ChoixRationBisons&amp;$BM73,Règles_bison[Ration]&amp;Règles_bison[Aliment],0))="c"),
INDEX(Règles_bison[Valeur 3-6],MATCH(ChoixRationBisons&amp;$BM73,Règles_bison[Ration]&amp;Règles_bison[Aliment],0)),0),0)*TotalBisonsFemelles_3_6_mois*SUM(NbreJoursNourrirBisonsDaims))</f>
        <v>0</v>
      </c>
      <c r="BT73" s="1076">
        <f t="array" ref="BT73">IF(Ration_hivernale_complète_bisons[somme]&gt;0,0,IFERROR(IF(OR(AND(INDEX(Règles_bison[Specificite],MATCH(ChoixRationBisons&amp;$BM73,Règles_bison[Ration]&amp;Règles_bison[Aliment],0))="s1",IF($BM73=ChoixSpécificité1Bisons,1)),
AND(INDEX(Règles_bison[Specificite],MATCH(ChoixRationBisons&amp;$BM73,Règles_bison[Ration]&amp;Règles_bison[Aliment],0))="s2",IF($BM73=ChoixSpécificité2Bisons,1)),INDEX(Règles_bison[Specificite],MATCH(ChoixRationBisons&amp;$BM73,Règles_bison[Ration]&amp;Règles_bison[Aliment],0))="c"),
INDEX(Règles_bison[Valeur 0-3],MATCH(ChoixRationBisons&amp;$BM73,Règles_bison[Ration]&amp;Règles_bison[Aliment],0)),0),0)*TotalBisonsFemelles_0_3_mois*SUM(NbreJoursNourrirBisonsDaims))</f>
        <v>0</v>
      </c>
      <c r="BU73" s="1076">
        <f t="shared" ref="BU73:BU106" si="22">SUM($BN73:$BT73)</f>
        <v>0</v>
      </c>
      <c r="BV73" s="1345"/>
      <c r="BW73" s="1345"/>
      <c r="BX73" s="1176" t="s">
        <v>729</v>
      </c>
      <c r="BY73" s="1177" t="s">
        <v>219</v>
      </c>
      <c r="BZ73" s="1177" t="s">
        <v>1252</v>
      </c>
      <c r="CA73" s="1177">
        <v>1.2</v>
      </c>
      <c r="CB73" s="1177">
        <v>1.2</v>
      </c>
      <c r="CC73" s="1177">
        <v>0.8</v>
      </c>
      <c r="CD73" s="1199">
        <v>2.8</v>
      </c>
      <c r="CE73" s="1350"/>
      <c r="CF73" s="1350"/>
      <c r="CG73" s="1350"/>
      <c r="CH73" s="1350"/>
      <c r="CI73" s="1321"/>
      <c r="CJ73" s="808" t="s">
        <v>65</v>
      </c>
      <c r="CK73" s="788">
        <f t="array" ref="CK7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73" s="788">
        <f t="array" ref="CL7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73" s="788">
        <f t="array" ref="CM7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73" s="788">
        <f t="array" ref="CN7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73" s="788">
        <f t="array" ref="CO7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73" s="812">
        <f>SUM(AlimentsRationPorcinsMâles[[#This Row],[Valeur 12 et plus]:[Valeur 0-1]])</f>
        <v>0</v>
      </c>
      <c r="CQ73" s="1321"/>
      <c r="CR73" s="1321"/>
      <c r="CS73" s="808" t="s">
        <v>333</v>
      </c>
      <c r="CT73" s="817">
        <f t="array" ref="CT7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73" s="817">
        <f t="array" ref="CU7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73" s="817">
        <f t="array" ref="CV7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73" s="818">
        <f>SUM(AlimentsRationLapinsMâles[[#This Row],[Valeur 3 et plus]:[Valeur 0-1]])</f>
        <v>0</v>
      </c>
      <c r="CX73" s="1321"/>
      <c r="CY73" s="1321"/>
      <c r="CZ73" s="808" t="s">
        <v>333</v>
      </c>
      <c r="DA73" s="817">
        <f t="array" ref="DA7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73" s="817">
        <f t="array" ref="DB7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73" s="817">
        <f t="array" ref="DC7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73" s="818">
        <f>SUM(AlimentsRationVolaillesMâles[[#This Row],[Valeur 6 et plus]:[Valeur 0-1]])</f>
        <v>0</v>
      </c>
      <c r="DE73" s="1364"/>
      <c r="DF73" s="1321"/>
      <c r="DG73" s="808" t="s">
        <v>723</v>
      </c>
      <c r="DH73" s="817">
        <f t="array" ref="DH7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73" s="817">
        <f t="array" ref="DI7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73" s="817">
        <f t="array" ref="DJ7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73" s="818">
        <f>SUM(AlimentsRationPintadesMâles[[#This Row],[Valeur 9 et plus]:[Valeur 0-1]])</f>
        <v>0</v>
      </c>
      <c r="DL73" s="1364"/>
      <c r="DM73" s="1364"/>
      <c r="DN73" s="1176" t="s">
        <v>724</v>
      </c>
      <c r="DO73" s="1177" t="s">
        <v>715</v>
      </c>
      <c r="DP73" s="1177" t="s">
        <v>1252</v>
      </c>
      <c r="DQ73" s="1181">
        <v>1.2</v>
      </c>
      <c r="DR73" s="1181">
        <v>0.8</v>
      </c>
      <c r="DS73" s="1181">
        <v>0.6</v>
      </c>
      <c r="DT73" s="1243">
        <v>0.4</v>
      </c>
      <c r="DU73" s="1346"/>
      <c r="DV73" s="789" t="s">
        <v>1276</v>
      </c>
      <c r="DW73" s="790" t="s">
        <v>1261</v>
      </c>
      <c r="DX73" s="790" t="s">
        <v>1260</v>
      </c>
      <c r="DY73" s="790" t="s">
        <v>1259</v>
      </c>
      <c r="DZ73" s="790" t="s">
        <v>1258</v>
      </c>
      <c r="EA73" s="790" t="s">
        <v>1257</v>
      </c>
      <c r="EB73" s="827" t="s">
        <v>1256</v>
      </c>
      <c r="EC73" s="827" t="s">
        <v>1255</v>
      </c>
      <c r="ED73" s="791" t="s">
        <v>1269</v>
      </c>
      <c r="EE73" s="1345"/>
      <c r="EF73" s="1321"/>
      <c r="EG73" s="808" t="s">
        <v>672</v>
      </c>
      <c r="EH73" s="817">
        <f t="array" ref="EH7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73" s="817">
        <f t="array" ref="EI7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73" s="817">
        <f t="array" ref="EJ7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73" s="818">
        <f>SUM(AlimentsRationOiesMâles[[#This Row],[Valeur 6 et plus]:[Valeur 0-3]])</f>
        <v>0</v>
      </c>
      <c r="EL73" s="1364"/>
      <c r="EM73" s="1321"/>
      <c r="EN73" s="808" t="s">
        <v>725</v>
      </c>
      <c r="EO73" s="817">
        <f t="array" ref="EO73">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73" s="817">
        <f t="array" ref="EP73">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73" s="817">
        <f t="array" ref="EQ73">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73" s="818">
        <f>SUM(Ration_canards_Mâles[[#This Row],[Valeur 6 et plus]:[Valeur 0-3]])</f>
        <v>0</v>
      </c>
      <c r="ES73" s="1364"/>
      <c r="ET73" s="1346"/>
      <c r="EU73" s="1083" t="s">
        <v>298</v>
      </c>
      <c r="EV73" s="1283">
        <f t="array" ref="EV73">IF(OR(ChoixRationComplèteEtéChevauxSelle=OUI,ChoixRationComplèteEtéChevauxSelle="",AND(ChoixChevauxSellePréHiver=OUI,ChoixChevauxSellePréEté=OUI)),0,IFERROR(IF(OR(AND(INDEX(Règles_chevaux_selle[Specificite],MATCH(RationEtéChevauxSelle&amp;$EU73,Règles_chevaux_selle[Ration]&amp;Règles_chevaux_selle[Aliment],0))="s1",IF($EU73=Spécificité1ChevauxSelle,1)),
AND(INDEX(Règles_chevaux_selle[Specificite],MATCH(RationEtéChevauxSelle&amp;$EU73,Règles_chevaux_selle[Ration]&amp;Règles_chevaux_selle[Aliment],0))="s2",IF($EU73=Spécificité2ChevauxSelle,1)),
INDEX(Règles_chevaux_selle[Specificite],MATCH(RationEtéChevauxSelle&amp;$EU73,Règles_chevaux_selle[Ration]&amp;Règles_chevaux_selle[Aliment],0))="c"),
INDEX(Règles_chevaux_selle[Valeur 36 et plus],MATCH(RationEtéChevauxSelle&amp;$EU73,Règles_chevaux_selle[Ration]&amp;Règles_chevaux_selle[Aliment],0)),0),0)*TotalEtalonSelle*SUM(NbreJoursNourrirChevauxSelle))</f>
        <v>0</v>
      </c>
      <c r="EW73" s="1283">
        <f t="array" ref="EW73">IF(OR(ChoixRationComplèteEtéChevauxSelle=OUI,ChoixRationComplèteEtéChevauxSelle="",AND(ChoixChevauxSellePréHiver=OUI,ChoixChevauxSellePréEté=OUI)),0,IFERROR(IF(OR(AND(INDEX(Règles_chevaux_selle[Specificite],MATCH(RationEtéChevauxSelle&amp;$EU73,Règles_chevaux_selle[Ration]&amp;Règles_chevaux_selle[Aliment],0))="s1",IF($EU73=Spécificité1ChevauxSelle,1)),
AND(INDEX(Règles_chevaux_selle[Specificite],MATCH(RationEtéChevauxSelle&amp;$EU73,Règles_chevaux_selle[Ration]&amp;Règles_chevaux_selle[Aliment],0))="s2",IF($EU73=Spécificité2ChevauxSelle,1)),
INDEX(Règles_chevaux_selle[Specificite],MATCH(RationEtéChevauxSelle&amp;$EU73,Règles_chevaux_selle[Ration]&amp;Règles_chevaux_selle[Aliment],0))="c"),
INDEX(Règles_chevaux_selle[Valeur 24-36],MATCH(RationEtéChevauxSelle&amp;$EU73,Règles_chevaux_selle[Ration]&amp;Règles_chevaux_selle[Aliment],0)),0),0)*TotalJeuneEtalonSelle_24_36_mois*SUM(NbreJoursNourrirChevauxSelle))</f>
        <v>0</v>
      </c>
      <c r="EX73" s="1283">
        <f t="array" ref="EX73">IF(OR(ChoixRationComplèteEtéChevauxSelle=OUI,ChoixRationComplèteEtéChevauxSelle="",AND(ChoixChevauxSellePréHiver=OUI,ChoixChevauxSellePréEté=OUI)),0,IFERROR(IF(OR(AND(INDEX(Règles_chevaux_selle[Specificite],MATCH(RationEtéChevauxSelle&amp;$EU73,Règles_chevaux_selle[Ration]&amp;Règles_chevaux_selle[Aliment],0))="s1",IF($EU73=Spécificité1ChevauxSelle,1)),
AND(INDEX(Règles_chevaux_selle[Specificite],MATCH(RationEtéChevauxSelle&amp;$EU73,Règles_chevaux_selle[Ration]&amp;Règles_chevaux_selle[Aliment],0))="s2",IF($EU73=Spécificité2ChevauxSelle,1)),
INDEX(Règles_chevaux_selle[Specificite],MATCH(RationEtéChevauxSelle&amp;$EU73,Règles_chevaux_selle[Ration]&amp;Règles_chevaux_selle[Aliment],0))="c"),
INDEX(Règles_chevaux_selle[Valeur 12-24],MATCH(RationEtéChevauxSelle&amp;$EU73,Règles_chevaux_selle[Ration]&amp;Règles_chevaux_selle[Aliment],0)),0),0)*TotalJeuneEtalonSelle_12_24_mois*SUM(NbreJoursNourrirChevauxSelle))</f>
        <v>0</v>
      </c>
      <c r="EY73" s="1286">
        <f t="array" ref="EY73">IF(OR(ChoixRationComplèteEtéChevauxSelle=OUI,ChoixRationComplèteEtéChevauxSelle="",AND(ChoixChevauxSellePréHiver=OUI,ChoixChevauxSellePréEté=OUI)),0,IFERROR(IF(OR(AND(INDEX(Règles_chevaux_selle[Specificite],MATCH(RationEtéChevauxSelle&amp;$EU73,Règles_chevaux_selle[Ration]&amp;Règles_chevaux_selle[Aliment],0))="s1",IF($EU73=Spécificité1ChevauxSelle,1)),
AND(INDEX(Règles_chevaux_selle[Specificite],MATCH(RationEtéChevauxSelle&amp;$EU73,Règles_chevaux_selle[Ration]&amp;Règles_chevaux_selle[Aliment],0))="s2",IF($EU73=Spécificité2ChevauxSelle,1)),
INDEX(Règles_chevaux_selle[Specificite],MATCH(RationEtéChevauxSelle&amp;$EU73,Règles_chevaux_selle[Ration]&amp;Règles_chevaux_selle[Aliment],0))="c"),
INDEX(Règles_chevaux_selle[Valeur 0-12],MATCH(RationEtéChevauxSelle&amp;$EU73,Règles_chevaux_selle[Ration]&amp;Règles_chevaux_selle[Aliment],0)),0),0)*TotalPoulainSelle_0_12_mois*SUM(NbreJoursNourrirChevauxSelle))</f>
        <v>0</v>
      </c>
      <c r="EZ73" s="1286">
        <f t="shared" si="16"/>
        <v>0</v>
      </c>
      <c r="FA73" s="1345"/>
      <c r="FB73" s="1345"/>
      <c r="FC73" s="1346"/>
      <c r="FD73" s="1083" t="s">
        <v>1271</v>
      </c>
      <c r="FE73" s="1283">
        <f t="array" ref="FE73">IF(OR(ChoixRationComplèteEtéChevauxTrait=OUI,ChoixRationComplèteEtéChevauxTrait="",AND(ChoixChevauxTraitPréHiver=OUI,ChoixChevauxTraitPréEté=OUI)),0,IFERROR(IF(OR(AND(INDEX(Règles_chevaux_trait[Specificite],MATCH(RationEtéChevauxTrait&amp;$FD73,Règles_chevaux_trait[Ration]&amp;Règles_chevaux_trait[Aliment],0))="s1",IF($FD73=Spécificité1ChevauxTrait,1)),
AND(INDEX(Règles_chevaux_trait[Specificite],MATCH(RationEtéChevauxTrait&amp;$FD73,Règles_chevaux_trait[Ration]&amp;Règles_chevaux_trait[Aliment],0))="s2",IF($FD73=Spécificité2ChevauxTrait,1)),
INDEX(Règles_chevaux_trait[Specificite],MATCH(RationEtéChevauxTrait&amp;$FD73,Règles_chevaux_trait[Ration]&amp;Règles_chevaux_trait[Aliment],0))="c"),
INDEX(Règles_chevaux_trait[Valeur 36 et plus],MATCH(RationEtéChevauxTrait&amp;$FD73,Règles_chevaux_trait[Ration]&amp;Règles_chevaux_trait[Aliment],0)),0),0)*TotalEtalonTrait*SUM(NbreJoursNourrirChevauxTrait))</f>
        <v>0</v>
      </c>
      <c r="FF73" s="1283">
        <f t="array" ref="FF73">IF(OR(ChoixRationComplèteEtéChevauxTrait=OUI,ChoixRationComplèteEtéChevauxTrait="",AND(ChoixChevauxTraitPréHiver=OUI,ChoixChevauxTraitPréEté=OUI)),0,IFERROR(IF(OR(AND(INDEX(Règles_chevaux_trait[Specificite],MATCH(RationEtéChevauxTrait&amp;$FD73,Règles_chevaux_trait[Ration]&amp;Règles_chevaux_trait[Aliment],0))="s1",IF($FD73=Spécificité1ChevauxTrait,1)),
AND(INDEX(Règles_chevaux_trait[Specificite],MATCH(RationEtéChevauxTrait&amp;$FD73,Règles_chevaux_trait[Ration]&amp;Règles_chevaux_trait[Aliment],0))="s2",IF($FD73=Spécificité2ChevauxTrait,1)),
INDEX(Règles_chevaux_trait[Specificite],MATCH(RationEtéChevauxTrait&amp;$FD73,Règles_chevaux_trait[Ration]&amp;Règles_chevaux_trait[Aliment],0))="c"),
INDEX(Règles_chevaux_trait[Valeur 24-36],MATCH(RationEtéChevauxTrait&amp;$FD73,Règles_chevaux_trait[Ration]&amp;Règles_chevaux_trait[Aliment],0)),0),0)*TotalJeuneEtalonTrait_24_36_mois*SUM(NbreJoursNourrirChevauxTrait))</f>
        <v>0</v>
      </c>
      <c r="FG73" s="1283">
        <f t="array" ref="FG73">IF(OR(ChoixRationComplèteEtéChevauxTrait=OUI,ChoixRationComplèteEtéChevauxTrait="",AND(ChoixChevauxTraitPréHiver=OUI,ChoixChevauxTraitPréEté=OUI)),0,IFERROR(IF(OR(AND(INDEX(Règles_chevaux_trait[Specificite],MATCH(RationEtéChevauxTrait&amp;$FD73,Règles_chevaux_trait[Ration]&amp;Règles_chevaux_trait[Aliment],0))="s1",IF($FD73=Spécificité1ChevauxTrait,1)),
AND(INDEX(Règles_chevaux_trait[Specificite],MATCH(RationEtéChevauxTrait&amp;$FD73,Règles_chevaux_trait[Ration]&amp;Règles_chevaux_trait[Aliment],0))="s2",IF($FD73=Spécificité2ChevauxTrait,1)),
INDEX(Règles_chevaux_trait[Specificite],MATCH(RationEtéChevauxTrait&amp;$FD73,Règles_chevaux_trait[Ration]&amp;Règles_chevaux_trait[Aliment],0))="c"),
INDEX(Règles_chevaux_trait[Valeur 12-24],MATCH(RationEtéChevauxTrait&amp;$FD73,Règles_chevaux_trait[Ration]&amp;Règles_chevaux_trait[Aliment],0)),0),0)*TotalJeuneEtalonTrait_12_24_mois*SUM(NbreJoursNourrirChevauxTrait))</f>
        <v>0</v>
      </c>
      <c r="FH73" s="1286">
        <f t="array" ref="FH73">IF(OR(ChoixRationComplèteEtéChevauxTrait=OUI,ChoixRationComplèteEtéChevauxTrait="",AND(ChoixChevauxTraitPréHiver=OUI,ChoixChevauxTraitPréEté=OUI)),0,IFERROR(IF(OR(AND(INDEX(Règles_chevaux_trait[Specificite],MATCH(RationEtéChevauxTrait&amp;$FD73,Règles_chevaux_trait[Ration]&amp;Règles_chevaux_trait[Aliment],0))="s1",IF($FD73=Spécificité1ChevauxTrait,1)),
AND(INDEX(Règles_chevaux_trait[Specificite],MATCH(RationEtéChevauxTrait&amp;$FD73,Règles_chevaux_trait[Ration]&amp;Règles_chevaux_trait[Aliment],0))="s2",IF($FD73=Spécificité2ChevauxTrait,1)),
INDEX(Règles_chevaux_trait[Specificite],MATCH(RationEtéChevauxTrait&amp;$FD73,Règles_chevaux_trait[Ration]&amp;Règles_chevaux_trait[Aliment],0))="c"),
INDEX(Règles_chevaux_trait[Valeur 0-12],MATCH(RationEtéChevauxTrait&amp;$FD73,Règles_chevaux_trait[Ration]&amp;Règles_chevaux_trait[Aliment],0)),0),0)*TotalPoulainTrait_0_12_mois*SUM(NbreJoursNourrirChevauxTrait))</f>
        <v>0</v>
      </c>
      <c r="FI73" s="1286">
        <f t="shared" si="15"/>
        <v>0</v>
      </c>
      <c r="FJ73" s="1345"/>
      <c r="FK73" s="1345"/>
      <c r="FL73" s="1345"/>
      <c r="FM73" s="1321"/>
      <c r="FN73" s="1082" t="s">
        <v>672</v>
      </c>
      <c r="FO73" s="1282">
        <f t="array" ref="FO73">IF(OR(ChoixRationComplèteEtéPoneys=OUI,ChoixRationComplèteEtéPoneys="",AND(ChoixPoneysPréHiver=OUI,ChoixPoneysPréEté=OUI)),0,IFERROR(IF(OR(AND(INDEX(Règles_poneys[Specificite],MATCH(RationEtéPoneys&amp;$FN73,Règles_poneys[Ration]&amp;Règles_poneys[Aliment],0))="s1",IF($FN73=Spécificité1Poneys,1)),
AND(INDEX(Règles_poneys[Specificite],MATCH(RationEtéPoneys&amp;$FN73,Règles_poneys[Ration]&amp;Règles_poneys[Aliment],0))="s2",IF($FN73=Spécificité2Poneys,1)),
INDEX(Règles_poneys[Specificite],MATCH(RationEtéPoneys&amp;$FN73,Règles_poneys[Ration]&amp;Règles_poneys[Aliment],0))="c"),
INDEX(Règles_poneys[Valeur 36 et plus],MATCH(RationEtéPoneys&amp;$FN73,Règles_poneys[Ration]&amp;Règles_poneys[Aliment],0)),0),0)*TotalEtalonPoney*SUM(NbreJoursNourrirPoneys))</f>
        <v>0</v>
      </c>
      <c r="FP73" s="1282">
        <f t="array" ref="FP73">IF(OR(ChoixRationComplèteEtéPoneys=OUI,ChoixRationComplèteEtéPoneys="",AND(ChoixPoneysPréHiver=OUI,ChoixPoneysPréEté=OUI)),0,IFERROR(IF(OR(AND(INDEX(Règles_poneys[Specificite],MATCH(RationEtéPoneys&amp;$FN73,Règles_poneys[Ration]&amp;Règles_poneys[Aliment],0))="s1",IF($FN73=Spécificité1Poneys,1)),
AND(INDEX(Règles_poneys[Specificite],MATCH(RationEtéPoneys&amp;$FN73,Règles_poneys[Ration]&amp;Règles_poneys[Aliment],0))="s2",IF($FN73=Spécificité2Poneys,1)),
INDEX(Règles_poneys[Specificite],MATCH(RationEtéPoneys&amp;$FN73,Règles_poneys[Ration]&amp;Règles_poneys[Aliment],0))="c"),
INDEX(Règles_poneys[Valeur 36 et plus],MATCH(RationEtéPoneys&amp;$FN73,Règles_poneys[Ration]&amp;Règles_poneys[Aliment],0)),0),0)*TotalJeuneEtalonPoney_24_36_mois*SUM(NbreJoursNourrirPoneys))</f>
        <v>0</v>
      </c>
      <c r="FQ73" s="1282">
        <f t="array" ref="FQ73">IF(OR(ChoixRationComplèteEtéPoneys=OUI,ChoixRationComplèteEtéPoneys="",AND(ChoixPoneysPréHiver=OUI,ChoixPoneysPréEté=OUI)),0,IFERROR(IF(OR(AND(INDEX(Règles_poneys[Specificite],MATCH(RationEtéPoneys&amp;$FN73,Règles_poneys[Ration]&amp;Règles_poneys[Aliment],0))="s1",IF($FN73=Spécificité1Poneys,1)),
AND(INDEX(Règles_poneys[Specificite],MATCH(RationEtéPoneys&amp;$FN73,Règles_poneys[Ration]&amp;Règles_poneys[Aliment],0))="s2",IF($FN73=Spécificité2Poneys,1)),
INDEX(Règles_poneys[Specificite],MATCH(RationEtéPoneys&amp;$FN73,Règles_poneys[Ration]&amp;Règles_poneys[Aliment],0))="c"),
INDEX(Règles_poneys[Valeur 36 et plus],MATCH(RationEtéPoneys&amp;$FN73,Règles_poneys[Ration]&amp;Règles_poneys[Aliment],0)),0),0)*TotalJeuneEtalonPoney_12_24_mois*SUM(NbreJoursNourrirPoneys))</f>
        <v>0</v>
      </c>
      <c r="FR73" s="1285">
        <f t="array" ref="FR73">IF(OR(ChoixRationComplèteEtéPoneys=OUI,ChoixRationComplèteEtéPoneys="",AND(ChoixPoneysPréHiver=OUI,ChoixPoneysPréEté=OUI)),0,IFERROR(IF(OR(AND(INDEX(Règles_poneys[Specificite],MATCH(RationEtéPoneys&amp;$FN73,Règles_poneys[Ration]&amp;Règles_poneys[Aliment],0))="s1",IF($FN73=Spécificité1Poneys,1)),
AND(INDEX(Règles_poneys[Specificite],MATCH(RationEtéPoneys&amp;$FN73,Règles_poneys[Ration]&amp;Règles_poneys[Aliment],0))="s2",IF($FN73=Spécificité2Poneys,1)),
INDEX(Règles_poneys[Specificite],MATCH(RationEtéPoneys&amp;$FN73,Règles_poneys[Ration]&amp;Règles_poneys[Aliment],0))="c"),
INDEX(Règles_poneys[Valeur 36 et plus],MATCH(RationEtéPoneys&amp;$FN73,Règles_poneys[Ration]&amp;Règles_poneys[Aliment],0)),0),0)*TotalPoulainPoney_0_12_mois*SUM(NbreJoursNourrirPoneys))</f>
        <v>0</v>
      </c>
      <c r="FS73" s="1285">
        <f t="shared" si="14"/>
        <v>0</v>
      </c>
      <c r="FT73" s="1345"/>
      <c r="FU73" s="1345"/>
      <c r="FV73" s="1345"/>
      <c r="FW73" s="823" t="s">
        <v>1273</v>
      </c>
      <c r="FX73" s="828">
        <f t="array" ref="FX7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73" s="828">
        <f t="array" ref="FY7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73" s="828">
        <f t="array" ref="FZ7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73" s="828">
        <f t="array" ref="GA73">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73" s="829">
        <f>SUM(AlimentsGavageOies[[#This Row],[Valeur 3 et plus]:[Valeur 0-1]])</f>
        <v>0</v>
      </c>
      <c r="GC73" s="1364"/>
      <c r="GD73" s="1321"/>
      <c r="GE73" s="1321"/>
      <c r="GF73" s="1321"/>
      <c r="GG73" s="1321" t="s">
        <v>1349</v>
      </c>
      <c r="GH73" s="1321" t="s">
        <v>1349</v>
      </c>
      <c r="GI73" s="1321" t="s">
        <v>1349</v>
      </c>
      <c r="GJ73" s="1321" t="s">
        <v>1349</v>
      </c>
      <c r="GK73" s="1321" t="s">
        <v>1349</v>
      </c>
      <c r="GL73" s="1321" t="s">
        <v>1349</v>
      </c>
      <c r="GM73" s="1321" t="s">
        <v>1349</v>
      </c>
      <c r="GN73" s="1321" t="s">
        <v>1349</v>
      </c>
      <c r="GO73" s="1321" t="s">
        <v>1349</v>
      </c>
      <c r="GP73" s="1321" t="s">
        <v>1349</v>
      </c>
      <c r="GQ73" s="1321" t="s">
        <v>1349</v>
      </c>
      <c r="GR73" s="1321" t="s">
        <v>1349</v>
      </c>
      <c r="GS73" s="1321" t="s">
        <v>1349</v>
      </c>
      <c r="GT73" s="1321" t="s">
        <v>1349</v>
      </c>
      <c r="GU73" s="1321" t="s">
        <v>1349</v>
      </c>
      <c r="GV73" s="1321" t="s">
        <v>1349</v>
      </c>
      <c r="GW73" s="1321"/>
      <c r="GX73" s="1321"/>
      <c r="GY73" s="1082" t="str">
        <f t="shared" si="11"/>
        <v>semences de seigle (GP)</v>
      </c>
      <c r="GZ73" s="1082"/>
      <c r="HA73" s="1085"/>
      <c r="HB73" s="1085">
        <f>IF(COUNTIF(TypeArticleDansEntrepôt,GY73)=0,0,SUMIF(TypeArticleDansEntrepôt,GY73,QtéArticleDansEntrepôt)*VLOOKUP(GY73,place_necessaire_entrepots_aire_paille[],2,FALSE))</f>
        <v>0</v>
      </c>
      <c r="HC73" s="1321"/>
      <c r="HD73" s="1321"/>
      <c r="HE73" s="1321"/>
      <c r="HF73" s="1321"/>
      <c r="HG73" s="1321"/>
      <c r="HH73" s="1321"/>
      <c r="HI73" s="1321"/>
      <c r="HJ73" s="1321"/>
      <c r="HK73" s="1321"/>
      <c r="HL73" s="1321"/>
      <c r="HM73" s="1321"/>
      <c r="HN73" s="1085" t="str">
        <f>IF(parcelles!B121="","",(VLOOKUP(parcelles!C121,BDD!$HN$5:$HU$38,2,FALSE))*parcelles!E121)</f>
        <v/>
      </c>
      <c r="HO73" s="1085" t="str">
        <f>IF(parcelles!B121="","",IF(OR(parcelles!C121=Moutarde,parcelles!C121=Phacélie),0,IF(parcelles!C121=Luzerne,10*parcelles!E121*VLOOKUP(parcelles!C121,BDD!$HN$5:$HU$38,3,FALSE),IF(parcelles!C121=Miscanthus,10.5*parcelles!E121*VLOOKUP(parcelles!C121,BDD!$HN$5:$HU$38,3,FALSE),INDEX(parcelles!$C$56:'parcelles'!$Y$77,MATCH(parcelles!B121,parcelles!$B$56:'parcelles'!$B$77,0),MATCH(parcelles!C121,parcelles!$C$53:'parcelles'!$Y$53,0))*parcelles!E121*VLOOKUP(parcelles!C121,BDD!$HN$5:$HU$38,3,FALSE)))))</f>
        <v/>
      </c>
      <c r="HP73" s="1085" t="str">
        <f>IF(parcelles!B121="","",IF(OR(parcelles!C121=Moutarde,parcelles!C121=Phacélie),0,IF(parcelles!C121=Luzerne,10*parcelles!E121*VLOOKUP(parcelles!C121,BDD!$HN$5:$HU$38,4,FALSE),IF(parcelles!C121=Miscanthus,10.5*parcelles!E121*VLOOKUP(parcelles!C121,BDD!$HN$5:$HU$38,4,FALSE),INDEX(parcelles!$C$56:'parcelles'!$Y$77,MATCH(parcelles!B121,parcelles!$B$56:'parcelles'!$B$77,0),MATCH(parcelles!C121,parcelles!$C$53:'parcelles'!$Y$53,0))*parcelles!E121*VLOOKUP(parcelles!C121,BDD!$HN$5:$HU$38,4,FALSE)))))</f>
        <v/>
      </c>
      <c r="HQ73" s="1085" t="str">
        <f>IF(parcelles!B121="","",IF(OR(parcelles!C121=Moutarde,parcelles!C121=Phacélie),0,IF(parcelles!C121=Luzerne,10*parcelles!E121*VLOOKUP(parcelles!C121,BDD!$HN$5:$HU$38,5,FALSE),IF(parcelles!C121=Miscanthus,10.5*parcelles!E121*VLOOKUP(parcelles!C121,BDD!$HN$5:$HU$38,5,FALSE),INDEX(parcelles!$C$56:'parcelles'!$Y$77,MATCH(parcelles!B121,parcelles!$B$56:'parcelles'!$B$77,0),MATCH(parcelles!C121,parcelles!$C$53:'parcelles'!$Y$53,0))*parcelles!E121*VLOOKUP(parcelles!C121,BDD!$HN$5:$HU$38,5,FALSE)))))</f>
        <v/>
      </c>
      <c r="HR73" s="1085" t="str">
        <f>IF(parcelles!B121="","",IF(OR(parcelles!C121=Moutarde,parcelles!C121=Phacélie),0,IF(parcelles!C121=Luzerne,10*parcelles!E121*VLOOKUP(parcelles!C121,BDD!$HN$5:$HU$38,6,FALSE),IF(parcelles!C121=Miscanthus,10.5*parcelles!E121*VLOOKUP(parcelles!C121,BDD!$HN$5:$HU$38,6,FALSE),INDEX(parcelles!$C$56:'parcelles'!$Y$77,MATCH(parcelles!B121,parcelles!$B$56:'parcelles'!$B$77,0),MATCH(parcelles!C121,parcelles!$C$53:'parcelles'!$Y$53,0))*parcelles!E121*VLOOKUP(parcelles!C121,BDD!$HN$5:$HU$38,6,FALSE)))))</f>
        <v/>
      </c>
      <c r="HS73" s="1085" t="str">
        <f>IF(parcelles!B121="","",IF(OR(parcelles!C121=Moutarde,parcelles!C121=Phacélie),0,IF(parcelles!C121=Luzerne,10*parcelles!E121*VLOOKUP(parcelles!C121,BDD!$HN$5:$HU$38,7,FALSE),IF(parcelles!C121=Miscanthus,10.5*parcelles!E121*VLOOKUP(parcelles!C121,BDD!$HN$5:$HU$38,7,FALSE),INDEX(parcelles!$C$56:'parcelles'!$Y$77,MATCH(parcelles!B121,parcelles!$B$56:'parcelles'!$B$77,0),MATCH(parcelles!C121,parcelles!$C$53:'parcelles'!$Y$53,0))*parcelles!E121*VLOOKUP(parcelles!C121,BDD!$HN$5:$HU$38,7,FALSE)))))</f>
        <v/>
      </c>
      <c r="HT73" s="1085" t="str">
        <f>IF(parcelles!B121="","",IF(OR(parcelles!C121=Moutarde,parcelles!C121=Phacélie),0,IF(parcelles!C121=Luzerne,10*parcelles!E121*VLOOKUP(parcelles!C121,BDD!$HN$5:$HU$38,8,FALSE),IF(parcelles!C121=Miscanthus,10.5*parcelles!E121*VLOOKUP(parcelles!C121,BDD!$HN$5:$HU$38,8,FALSE),INDEX(parcelles!$C$56:'parcelles'!$Y$77,MATCH(parcelles!B121,parcelles!$B$56:'parcelles'!$B$77,0),MATCH(parcelles!C121,parcelles!$C$53:'parcelles'!$Y$53,0))*parcelles!E121*VLOOKUP(parcelles!C121,BDD!$HN$5:$HU$38,8,FALSE)))))</f>
        <v/>
      </c>
      <c r="HU73" s="1085" t="str">
        <f>IF(parcelles!B121="","",IF(OR(parcelles!C121=Moutarde,parcelles!C121=Phacélie),0,1.6*parcelles!E121))</f>
        <v/>
      </c>
      <c r="HV73" s="1085" t="str">
        <f>IF(parcelles!B121="","",IF(OR(parcelles!C121=Moutarde,parcelles!C121=Phacélie),0,1.6*parcelles!E121))</f>
        <v/>
      </c>
      <c r="HW73" s="1085" t="str">
        <f>IF(parcelles!B121="","",IF(OR(parcelles!C121=Moutarde,parcelles!C121=Phacélie),0,1.6*parcelles!E121))</f>
        <v/>
      </c>
      <c r="HX73" s="1092" t="str">
        <f>IF(parcelles!D121="","",IF(parcelles!C121=ChanvreIndustriel,INDEX(parcelles!$C$56:$Y$77,MATCH(parcelles!B121,parcelles!$B$56:$B$77,0),MATCH(parcelles!C121,parcelles!$C$53:$Y$53,0))*parcelles!E121*SUMIF(ListeCulturesBDD,parcelles!C121,PrixVenteCulturesConventionnel)+RIGHT(BDD!$HM$7,3)*7*parcelles!E121,IF(parcelles!C121=Luzerne,parcelles!E121*10*VLOOKUP(parcelles!C121,TarifsCoopCultures,2,FALSE),IF(parcelles!C121=Miscanthus,parcelles!E121*10.5*VLOOKUP(Luzerne,TarifsCoopCultures,2,FALSE),INDEX(parcelles!$C$56:$Y$77,MATCH(parcelles!B121,parcelles!$B$56:$B$77,0),MATCH(parcelles!C121,parcelles!$C$53:$Y$53,0))*parcelles!E121*SUMIF(ListeCulturesBDD,parcelles!C121,PrixVenteCulturesConventionnel)))))</f>
        <v/>
      </c>
      <c r="HY73" s="1085" t="str">
        <f>IF(parcelles!D121="","",IF(parcelles!F121=0,"",IF(parcelles!C121=ChanvreIndustriel,"soit "&amp;parcelles!E121*0.8&amp;"t de grain et "&amp;parcelles!E121*7&amp;"t de paille",IF(parcelles!C121=Luzerne,"soit "&amp;10*parcelles!E121&amp;"t/an",IF(parcelles!C121=Miscanthus,"soit "&amp;10.5*parcelles!E121&amp;"t/an","soit "&amp;INDEX(parcelles!$C$56:$Y$77,MATCH(parcelles!B121,parcelles!$B$56:$B$77,0),MATCH(parcelles!C121,parcelles!$C$53:$Y$53,0))*parcelles!E121&amp;"t")))))</f>
        <v/>
      </c>
      <c r="HZ73" s="1085" t="str">
        <f>IF(parcelles!D121="","",IF(parcelles!F121=0,"",IF(parcelles!C121=ChanvreIndustriel,"soit "&amp;parcelles!E121*0.8*0.8&amp;"t de grain et "&amp;parcelles!E121*7*0.8&amp;"t de paille",IF(parcelles!C121=Luzerne,"soit "&amp;10*0.8*parcelles!E121&amp;"t/an",IF(parcelles!C121=Miscanthus,"soit "&amp;10.5*0.8*parcelles!E121&amp;"t/an","soit "&amp;INDEX(parcelles!$C$56:$Y$77,MATCH(parcelles!B121,parcelles!$B$56:$B$77,0),MATCH(parcelles!C121,parcelles!$C$53:$Y$53,0))*0.8*parcelles!E121&amp;"t")))))</f>
        <v/>
      </c>
      <c r="IA73" s="1085" t="str">
        <f>IF(parcelles!L121="","",(VLOOKUP(parcelles!M121,BDD!$HN$5:$HU$38,2,FALSE))*parcelles!O121)</f>
        <v/>
      </c>
      <c r="IB73" s="1085" t="str">
        <f>IF(parcelles!L121="","",IF(OR(parcelles!M121=Moutarde,parcelles!M121=Phacélie),0,IF(parcelles!M121=Luzerne,10*parcelles!O121*VLOOKUP(parcelles!M121,BDD!$HN$5:$HU$38,3,FALSE),IF(parcelles!M121=Miscanthus,10.5*parcelles!O121*VLOOKUP(parcelles!M121,BDD!$HN$5:$HU$38,3,FALSE),INDEX(parcelles!$C$56:'parcelles'!$Y$77,MATCH(parcelles!L121,parcelles!$B$56:'parcelles'!$B$77,0),MATCH(parcelles!M121,parcelles!$C$53:'parcelles'!$Y$53,0))*parcelles!O121*VLOOKUP(parcelles!M121,BDD!$HN$5:$HU$38,3,FALSE)))))</f>
        <v/>
      </c>
      <c r="IC73" s="1085" t="str">
        <f>IF(parcelles!L121="","",IF(OR(parcelles!M121=Moutarde,parcelles!M121=Phacélie),0,IF(parcelles!M121=Luzerne,10*parcelles!O121*VLOOKUP(parcelles!M121,BDD!$HN$5:$HU$38,4,FALSE),IF(parcelles!M121=Miscanthus,10.5*parcelles!O121*VLOOKUP(parcelles!M121,BDD!$HN$5:$HU$38,4,FALSE),INDEX(parcelles!$C$56:'parcelles'!$Y$77,MATCH(parcelles!L121,parcelles!$B$56:'parcelles'!$B$77,0),MATCH(parcelles!M121,parcelles!$C$53:'parcelles'!$Y$53,0))*parcelles!O121*VLOOKUP(parcelles!M121,BDD!$HN$5:$HU$38,4,FALSE)))))</f>
        <v/>
      </c>
      <c r="ID73" s="1085" t="str">
        <f>IF(parcelles!L121="","",IF(OR(parcelles!M121=Moutarde,parcelles!M121=Phacélie),0,IF(parcelles!M121=Luzerne,10*parcelles!O121*VLOOKUP(parcelles!M121,BDD!$HN$5:$HU$38,5,FALSE),IF(parcelles!M121=Miscanthus,10.5*parcelles!O121*VLOOKUP(parcelles!M121,BDD!$HN$5:$HU$38,5,FALSE),INDEX(parcelles!$C$56:'parcelles'!$Y$77,MATCH(parcelles!L121,parcelles!$B$56:'parcelles'!$B$77,0),MATCH(parcelles!M121,parcelles!$C$53:'parcelles'!$Y$53,0))*parcelles!O121*VLOOKUP(parcelles!M121,BDD!$HN$5:$HU$38,5,FALSE)))))</f>
        <v/>
      </c>
      <c r="IE73" s="1085" t="str">
        <f>IF(parcelles!L121="","",IF(OR(parcelles!M121=Moutarde,parcelles!M121=Phacélie),0,IF(parcelles!M121=Luzerne,10*parcelles!O121*VLOOKUP(parcelles!M121,BDD!$HN$5:$HU$38,6,FALSE),IF(parcelles!M121=Miscanthus,10.5*parcelles!O121*VLOOKUP(parcelles!M121,BDD!$HN$5:$HU$38,6,FALSE),INDEX(parcelles!$C$56:'parcelles'!$Y$77,MATCH(parcelles!L121,parcelles!$B$56:'parcelles'!$B$77,0),MATCH(parcelles!M121,parcelles!$C$53:'parcelles'!$Y$53,0))*parcelles!O121*VLOOKUP(parcelles!M121,BDD!$HN$5:$HU$38,6,FALSE)))))</f>
        <v/>
      </c>
      <c r="IF73" s="1085" t="str">
        <f>IF(parcelles!L121="","",IF(OR(parcelles!M121=Moutarde,parcelles!M121=Phacélie),0,IF(parcelles!M121=Luzerne,10*parcelles!O121*VLOOKUP(parcelles!M121,BDD!$HN$5:$HU$38,7,FALSE),IF(parcelles!M121=Miscanthus,10.5*parcelles!O121*VLOOKUP(parcelles!M121,BDD!$HN$5:$HU$38,7,FALSE),INDEX(parcelles!$C$56:'parcelles'!$Y$77,MATCH(parcelles!L121,parcelles!$B$56:'parcelles'!$B$77,0),MATCH(parcelles!M121,parcelles!$C$53:'parcelles'!$Y$53,0))*parcelles!O121*VLOOKUP(parcelles!M121,BDD!$HN$5:$HU$38,7,FALSE)))))</f>
        <v/>
      </c>
      <c r="IG73" s="1085" t="str">
        <f>IF(parcelles!L121="","",IF(OR(parcelles!M121=Moutarde,parcelles!M121=Phacélie),0,IF(parcelles!M121=Luzerne,10*parcelles!O121*VLOOKUP(parcelles!M121,BDD!$HN$5:$HU$38,8,FALSE),IF(parcelles!M121=Miscanthus,10.5*parcelles!O121*VLOOKUP(parcelles!M121,BDD!$HN$5:$HU$38,8,FALSE),INDEX(parcelles!$C$56:'parcelles'!$Y$77,MATCH(parcelles!L121,parcelles!$B$56:'parcelles'!$B$77,0),MATCH(parcelles!M121,parcelles!$C$53:'parcelles'!$Y$53,0))*parcelles!O121*VLOOKUP(parcelles!M121,BDD!$HN$5:$HU$38,8,FALSE)))))</f>
        <v/>
      </c>
      <c r="IH73" s="1085" t="str">
        <f>IF(parcelles!L121="","",IF(OR(parcelles!L121=Moutarde,parcelles!L121=Phacélie),0,1.6*parcelles!O121))</f>
        <v/>
      </c>
      <c r="II73" s="1085" t="str">
        <f>IF(parcelles!L121="","",IF(OR(parcelles!L121=Moutarde,parcelles!L121=Phacélie),0,1.6*parcelles!O121))</f>
        <v/>
      </c>
      <c r="IJ73" s="1085" t="str">
        <f>IF(parcelles!L121="","",IF(OR(parcelles!L121=Moutarde,parcelles!L121=Phacélie),0,1.6*parcelles!O121))</f>
        <v/>
      </c>
      <c r="IK73" s="1085" t="str">
        <f>IF(parcelles!P121="","",IF(parcelles!R121=0,"",IF(parcelles!O121=ChanvreIndustriel,"soit "&amp;parcelles!Q121*0.8&amp;"t de grain et "&amp;parcelles!Q121*7&amp;"t de paille",IF(parcelles!O121=Luzerne,"soit "&amp;10*parcelles!Q121&amp;"t/an",IF(parcelles!O121=Miscanthus,"soit "&amp;10.5*parcelles!Q121&amp;"t/an","soit "&amp;INDEX(parcelles!$C$56:$Y$77,MATCH(parcelles!N121,parcelles!$B$56:$B$77,0),MATCH(parcelles!O121,parcelles!$C$53:$Y$53,0))*parcelles!Q121&amp;"t")))))</f>
        <v/>
      </c>
      <c r="IL73" s="1085" t="str">
        <f>IF(parcelles!P121="","",IF(parcelles!R121=0,"",IF(parcelles!O121=ChanvreIndustriel,"soit "&amp;parcelles!Q121*0.8*0.8&amp;"t de grain et "&amp;parcelles!Q121*7*0.8&amp;"t de paille",IF(parcelles!O121=Luzerne,"soit "&amp;10*0.8*parcelles!Q121&amp;"t/an",IF(parcelles!O121=Miscanthus,"soit "&amp;10.5*0.8*parcelles!Q121&amp;"t/an","soit "&amp;INDEX(parcelles!$C$56:$Y$77,MATCH(parcelles!N121,parcelles!$B$56:$B$77,0),MATCH(parcelles!O121,parcelles!$C$53:$Y$53,0))*0.8*parcelles!Q121&amp;"t")))))</f>
        <v/>
      </c>
      <c r="IM73" s="1085" t="str">
        <f>IF(parcelles!S121="","",IF(parcelles!U121=0,"",IF(parcelles!R121=ChanvreIndustriel,parcelles!T121*0.8*0.8+parcelles!T121*7*0.8,IF(parcelles!R121=Luzerne,10*0.8*parcelles!T121,IF(parcelles!R121=Miscanthus,10.5*0.8*parcelles!T121,INDEX(parcelles!$C$56:$Y$77,MATCH(parcelles!Q121,parcelles!$B$56:$B$77,0),MATCH(parcelles!R121,parcelles!$C$53:$Y$53,0))*0.8*parcelles!T121)))))</f>
        <v/>
      </c>
      <c r="IN73" s="1368"/>
    </row>
    <row r="74" spans="1:248" ht="12.75" customHeight="1" x14ac:dyDescent="0.2">
      <c r="A74" s="1307" t="s">
        <v>380</v>
      </c>
      <c r="B74" s="1241">
        <f t="shared" si="17"/>
        <v>1E-3</v>
      </c>
      <c r="C74" s="1321"/>
      <c r="D74" s="1321"/>
      <c r="E74" s="1321"/>
      <c r="F74" s="1143" t="s">
        <v>1039</v>
      </c>
      <c r="G74" s="1143">
        <v>75</v>
      </c>
      <c r="H74" s="1143">
        <v>60</v>
      </c>
      <c r="I74" s="1143">
        <v>45</v>
      </c>
      <c r="J74" s="1143">
        <v>45</v>
      </c>
      <c r="K74" s="1143">
        <v>15</v>
      </c>
      <c r="L74" s="1143">
        <v>35</v>
      </c>
      <c r="M74" s="1321"/>
      <c r="N74" s="1321"/>
      <c r="O74" s="1321"/>
      <c r="P74" s="1321"/>
      <c r="Q74" s="1321"/>
      <c r="R74" s="1321"/>
      <c r="S74" s="1321"/>
      <c r="T74" s="1321"/>
      <c r="U74" s="1321"/>
      <c r="V74" s="1321"/>
      <c r="W74" s="1321"/>
      <c r="X74" s="1321"/>
      <c r="Y74" s="1336" t="s">
        <v>1639</v>
      </c>
      <c r="Z74" s="1321"/>
      <c r="AA74" s="1321"/>
      <c r="AB74" s="1321"/>
      <c r="AC74" s="1321"/>
      <c r="AD74" s="1321"/>
      <c r="AE74" s="1321"/>
      <c r="AF74" s="1321"/>
      <c r="AG74" s="1321"/>
      <c r="AH74" s="1321"/>
      <c r="AI74" s="1321"/>
      <c r="AJ74" s="1321"/>
      <c r="AK74" s="1321"/>
      <c r="AL74" s="1321"/>
      <c r="AM74" s="1321"/>
      <c r="AN74" s="1321"/>
      <c r="AO74" s="1321"/>
      <c r="AP74" s="1321"/>
      <c r="AQ74" s="1321"/>
      <c r="AR74" s="1321"/>
      <c r="AS74" s="1321"/>
      <c r="AT74" s="1321"/>
      <c r="AU74" s="1321"/>
      <c r="AV74" s="1321"/>
      <c r="AW74" s="1321"/>
      <c r="AX74" s="1321"/>
      <c r="AY74" s="1321"/>
      <c r="AZ74" s="1321"/>
      <c r="BA74" s="1321"/>
      <c r="BB74" s="1236" t="s">
        <v>726</v>
      </c>
      <c r="BC74" s="1190" t="s">
        <v>672</v>
      </c>
      <c r="BD74" s="1190" t="s">
        <v>1253</v>
      </c>
      <c r="BE74" s="1237">
        <v>7.2</v>
      </c>
      <c r="BF74" s="1237">
        <v>6</v>
      </c>
      <c r="BG74" s="1237">
        <v>4</v>
      </c>
      <c r="BH74" s="1237">
        <v>2</v>
      </c>
      <c r="BI74" s="1237">
        <v>1.2</v>
      </c>
      <c r="BJ74" s="1237">
        <v>0.6</v>
      </c>
      <c r="BK74" s="1238">
        <v>0</v>
      </c>
      <c r="BL74" s="1348"/>
      <c r="BM74" s="1075" t="str">
        <f t="shared" ref="BM74:BM106" si="23">BM37</f>
        <v>Betterave</v>
      </c>
      <c r="BN74" s="1075">
        <f t="array" ref="BN74">IF(Ration_hivernale_complète_bisons[somme]&gt;0,0,IFERROR(IF(OR(AND(INDEX(Règles_bison[Specificite],MATCH(ChoixRationBisons&amp;$BM74,Règles_bison[Ration]&amp;Règles_bison[Aliment],0))="s1",IF($BM74=ChoixSpécificité1Bisons,1)),
AND(INDEX(Règles_bison[Specificite],MATCH(ChoixRationBisons&amp;$BM74,Règles_bison[Ration]&amp;Règles_bison[Aliment],0))="s2",IF($BM74=ChoixSpécificité2Bisons,1)),INDEX(Règles_bison[Specificite],MATCH(ChoixRationBisons&amp;$BM74,Règles_bison[Ration]&amp;Règles_bison[Aliment],0))="c"),
INDEX(Règles_bison[Valeur 36 et plus],MATCH(ChoixRationBisons&amp;$BM74,Règles_bison[Ration]&amp;Règles_bison[Aliment],0)),0),0)*TotalBisonnes*SUM(NbreJoursNourrirBisonsDaims))</f>
        <v>0</v>
      </c>
      <c r="BO74" s="1075">
        <f t="array" ref="BO74">IF(Ration_hivernale_complète_bisons[somme]&gt;0,0,IFERROR(IF(OR(AND(INDEX(Règles_bison[Specificite],MATCH(ChoixRationBisons&amp;$BM74,Règles_bison[Ration]&amp;Règles_bison[Aliment],0))="s1",IF($BM74=ChoixSpécificité1Bisons,1)),
AND(INDEX(Règles_bison[Specificite],MATCH(ChoixRationBisons&amp;$BM74,Règles_bison[Ration]&amp;Règles_bison[Aliment],0))="s2",IF($BM74=ChoixSpécificité2Bisons,1)),INDEX(Règles_bison[Specificite],MATCH(ChoixRationBisons&amp;$BM74,Règles_bison[Ration]&amp;Règles_bison[Aliment],0))="c"),
INDEX(Règles_bison[Valeur 24-36],MATCH(ChoixRationBisons&amp;$BM74,Règles_bison[Ration]&amp;Règles_bison[Aliment],0)),0),0)*TotalBisonsFemelles_24_36_mois*SUM(NbreJoursNourrirBisonsDaims))</f>
        <v>0</v>
      </c>
      <c r="BP74" s="1075">
        <f t="array" ref="BP74">IF(Ration_hivernale_complète_bisons[somme]&gt;0,0,IFERROR(IF(OR(AND(INDEX(Règles_bison[Specificite],MATCH(ChoixRationBisons&amp;$BM74,Règles_bison[Ration]&amp;Règles_bison[Aliment],0))="s1",IF($BM74=ChoixSpécificité1Bisons,1)),
AND(INDEX(Règles_bison[Specificite],MATCH(ChoixRationBisons&amp;$BM74,Règles_bison[Ration]&amp;Règles_bison[Aliment],0))="s2",IF($BM74=ChoixSpécificité2Bisons,1)),INDEX(Règles_bison[Specificite],MATCH(ChoixRationBisons&amp;$BM74,Règles_bison[Ration]&amp;Règles_bison[Aliment],0))="c"),
INDEX(Règles_bison[Valeur 18-24],MATCH(ChoixRationBisons&amp;$BM74,Règles_bison[Ration]&amp;Règles_bison[Aliment],0)),0),0)*TotalBisonsFemelles_18_24_mois*SUM(NbreJoursNourrirBisonsDaims))</f>
        <v>0</v>
      </c>
      <c r="BQ74" s="1075">
        <f t="array" ref="BQ74">IF(Ration_hivernale_complète_bisons[somme]&gt;0,0,IFERROR(IF(OR(AND(INDEX(Règles_bison[Specificite],MATCH(ChoixRationBisons&amp;$BM74,Règles_bison[Ration]&amp;Règles_bison[Aliment],0))="s1",IF($BM74=ChoixSpécificité1Bisons,1)),
AND(INDEX(Règles_bison[Specificite],MATCH(ChoixRationBisons&amp;$BM74,Règles_bison[Ration]&amp;Règles_bison[Aliment],0))="s2",IF($BM74=ChoixSpécificité2Bisons,1)),INDEX(Règles_bison[Specificite],MATCH(ChoixRationBisons&amp;$BM74,Règles_bison[Ration]&amp;Règles_bison[Aliment],0))="c"),
INDEX(Règles_bison[Valeur 12-18],MATCH(ChoixRationBisons&amp;$BM74,Règles_bison[Ration]&amp;Règles_bison[Aliment],0)),0),0)*TotalBisonsFemelles_12_18_mois*SUM(NbreJoursNourrirBisonsDaims))</f>
        <v>0</v>
      </c>
      <c r="BR74" s="1075">
        <f t="array" ref="BR74">IF(Ration_hivernale_complète_bisons[somme]&gt;0,0,IFERROR(IF(OR(AND(INDEX(Règles_bison[Specificite],MATCH(ChoixRationBisons&amp;$BM74,Règles_bison[Ration]&amp;Règles_bison[Aliment],0))="s1",IF($BM74=ChoixSpécificité1Bisons,1)),
AND(INDEX(Règles_bison[Specificite],MATCH(ChoixRationBisons&amp;$BM74,Règles_bison[Ration]&amp;Règles_bison[Aliment],0))="s2",IF($BM74=ChoixSpécificité2Bisons,1)),INDEX(Règles_bison[Specificite],MATCH(ChoixRationBisons&amp;$BM74,Règles_bison[Ration]&amp;Règles_bison[Aliment],0))="c"),
INDEX(Règles_bison[Valeur 6-12],MATCH(ChoixRationBisons&amp;$BM74,Règles_bison[Ration]&amp;Règles_bison[Aliment],0)),0),0)*TotalBisonsFemelles_6_12_mois*SUM(NbreJoursNourrirBisonsDaims))</f>
        <v>0</v>
      </c>
      <c r="BS74" s="1075">
        <f t="array" ref="BS74">IF(Ration_hivernale_complète_bisons[somme]&gt;0,0,IFERROR(IF(OR(AND(INDEX(Règles_bison[Specificite],MATCH(ChoixRationBisons&amp;$BM74,Règles_bison[Ration]&amp;Règles_bison[Aliment],0))="s1",IF($BM74=ChoixSpécificité1Bisons,1)),
AND(INDEX(Règles_bison[Specificite],MATCH(ChoixRationBisons&amp;$BM74,Règles_bison[Ration]&amp;Règles_bison[Aliment],0))="s2",IF($BM74=ChoixSpécificité2Bisons,1)),INDEX(Règles_bison[Specificite],MATCH(ChoixRationBisons&amp;$BM74,Règles_bison[Ration]&amp;Règles_bison[Aliment],0))="c"),
INDEX(Règles_bison[Valeur 3-6],MATCH(ChoixRationBisons&amp;$BM74,Règles_bison[Ration]&amp;Règles_bison[Aliment],0)),0),0)*TotalBisonsFemelles_3_6_mois*SUM(NbreJoursNourrirBisonsDaims))</f>
        <v>0</v>
      </c>
      <c r="BT74" s="1075">
        <f t="array" ref="BT74">IF(Ration_hivernale_complète_bisons[somme]&gt;0,0,IFERROR(IF(OR(AND(INDEX(Règles_bison[Specificite],MATCH(ChoixRationBisons&amp;$BM74,Règles_bison[Ration]&amp;Règles_bison[Aliment],0))="s1",IF($BM74=ChoixSpécificité1Bisons,1)),
AND(INDEX(Règles_bison[Specificite],MATCH(ChoixRationBisons&amp;$BM74,Règles_bison[Ration]&amp;Règles_bison[Aliment],0))="s2",IF($BM74=ChoixSpécificité2Bisons,1)),INDEX(Règles_bison[Specificite],MATCH(ChoixRationBisons&amp;$BM74,Règles_bison[Ration]&amp;Règles_bison[Aliment],0))="c"),
INDEX(Règles_bison[Valeur 0-3],MATCH(ChoixRationBisons&amp;$BM74,Règles_bison[Ration]&amp;Règles_bison[Aliment],0)),0),0)*TotalBisonsFemelles_0_3_mois*SUM(NbreJoursNourrirBisonsDaims))</f>
        <v>0</v>
      </c>
      <c r="BU74" s="1075">
        <f t="shared" si="22"/>
        <v>0</v>
      </c>
      <c r="BV74" s="1345"/>
      <c r="BW74" s="1345"/>
      <c r="BX74" s="1176" t="s">
        <v>729</v>
      </c>
      <c r="BY74" s="1177" t="s">
        <v>340</v>
      </c>
      <c r="BZ74" s="1177" t="s">
        <v>1252</v>
      </c>
      <c r="CA74" s="1177">
        <v>10</v>
      </c>
      <c r="CB74" s="1177">
        <v>8</v>
      </c>
      <c r="CC74" s="1177">
        <v>6</v>
      </c>
      <c r="CD74" s="1199">
        <v>0</v>
      </c>
      <c r="CE74" s="1350"/>
      <c r="CF74" s="1350"/>
      <c r="CG74" s="1350"/>
      <c r="CH74" s="1350"/>
      <c r="CI74" s="1321"/>
      <c r="CJ74" s="808" t="s">
        <v>1272</v>
      </c>
      <c r="CK74" s="788">
        <f t="array" ref="CK7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74" s="788">
        <f t="array" ref="CL7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74" s="788">
        <f t="array" ref="CM7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74" s="788">
        <f t="array" ref="CN7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74" s="788">
        <f t="array" ref="CO7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74" s="812">
        <f>SUM(AlimentsRationPorcinsMâles[[#This Row],[Valeur 12 et plus]:[Valeur 0-1]])</f>
        <v>0</v>
      </c>
      <c r="CQ74" s="1321"/>
      <c r="CR74" s="1321"/>
      <c r="CS74" s="808" t="s">
        <v>340</v>
      </c>
      <c r="CT74" s="817">
        <f t="array" ref="CT7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74" s="817">
        <f t="array" ref="CU7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74" s="817">
        <f t="array" ref="CV7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74" s="818">
        <f>SUM(AlimentsRationLapinsMâles[[#This Row],[Valeur 3 et plus]:[Valeur 0-1]])</f>
        <v>0</v>
      </c>
      <c r="CX74" s="1321"/>
      <c r="CY74" s="1321"/>
      <c r="CZ74" s="808" t="s">
        <v>340</v>
      </c>
      <c r="DA74" s="817">
        <f t="array" ref="DA7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74" s="817">
        <f t="array" ref="DB7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74" s="817">
        <f t="array" ref="DC7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74" s="818">
        <f>SUM(AlimentsRationVolaillesMâles[[#This Row],[Valeur 6 et plus]:[Valeur 0-1]])</f>
        <v>0</v>
      </c>
      <c r="DE74" s="1364"/>
      <c r="DF74" s="1321"/>
      <c r="DG74" s="808" t="s">
        <v>500</v>
      </c>
      <c r="DH74" s="817">
        <f t="array" ref="DH7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74" s="817">
        <f t="array" ref="DI7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74" s="817">
        <f t="array" ref="DJ7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74" s="818">
        <f>SUM(AlimentsRationPintadesMâles[[#This Row],[Valeur 9 et plus]:[Valeur 0-1]])</f>
        <v>0</v>
      </c>
      <c r="DL74" s="1364"/>
      <c r="DM74" s="1364"/>
      <c r="DN74" s="1176" t="s">
        <v>724</v>
      </c>
      <c r="DO74" s="1177" t="s">
        <v>1271</v>
      </c>
      <c r="DP74" s="1177" t="s">
        <v>1252</v>
      </c>
      <c r="DQ74" s="1181">
        <v>0.14000000000000001</v>
      </c>
      <c r="DR74" s="1181">
        <v>0.08</v>
      </c>
      <c r="DS74" s="1181">
        <v>0.04</v>
      </c>
      <c r="DT74" s="1243">
        <v>0.04</v>
      </c>
      <c r="DU74" s="1346"/>
      <c r="DV74" s="792" t="s">
        <v>723</v>
      </c>
      <c r="DW74" s="793">
        <f t="array" ref="DW74">IF(ChoixRationComplèteDaims=NON,0,IFERROR(IF(OR(AND(INDEX(Règles_daims[Specificite],MATCH(ChoixRationDaims&amp;Ration_complète_daims[aliment],Règles_daims[Ration]&amp;Règles_daims[Aliment],0))="s1",IF(Ration_complète_daims[aliment]=Spécificité1Daims,1)),
AND(INDEX(Règles_daims[Specificite],MATCH(ChoixRationDaims&amp;Ration_complète_daims[aliment],Règles_daims[Ration]&amp;Règles_daims[Aliment],0))="s2",IF(Ration_complète_daims[aliment]=Spécificité2Daims,1)),
INDEX(Règles_daims[Specificite],MATCH(ChoixRationDaims&amp;Ration_complète_daims[aliment],Règles_daims[Ration]&amp;Règles_daims[Aliment],0))="c",INDEX(Règles_daims[Specificite],MATCH(ChoixRationDaims&amp;Ration_complète_daims[aliment],Règles_daims[Ration]&amp;Règles_daims[Aliment],0))="complet"),
INDEX(Règles_daims[Valeur 36 et plus],MATCH(ChoixRationDaims&amp;Ration_complète_daims[aliment],Règles_daims[Ration]&amp;Règles_daims[Aliment],0)),0),0)*SUM(TotalDaimsAdultes)*SUM(AB76:AB100))</f>
        <v>0</v>
      </c>
      <c r="DX74" s="793">
        <f t="array" ref="DX74">IF(ChoixRationComplèteDaims=NON,0,IFERROR(IF(OR(AND(INDEX(Règles_daims[Specificite],MATCH(ChoixRationDaims&amp;Ration_complète_daims[aliment],Règles_daims[Ration]&amp;Règles_daims[Aliment],0))="s1",IF(Ration_complète_daims[aliment]=Spécificité1Daims,1)),
AND(INDEX(Règles_daims[Specificite],MATCH(ChoixRationDaims&amp;Ration_complète_daims[aliment],Règles_daims[Ration]&amp;Règles_daims[Aliment],0))="s2",IF(Ration_complète_daims[aliment]=Spécificité2Daims,1)),
INDEX(Règles_daims[Specificite],MATCH(ChoixRationDaims&amp;Ration_complète_daims[aliment],Règles_daims[Ration]&amp;Règles_daims[Aliment],0))="c",INDEX(Règles_daims[Specificite],MATCH(ChoixRationDaims&amp;Ration_complète_daims[aliment],Règles_daims[Ration]&amp;Règles_daims[Aliment],0))="complet"),
INDEX(Règles_daims[Valeur 24-36],MATCH(ChoixRationDaims&amp;Ration_complète_daims[aliment],Règles_daims[Ration]&amp;Règles_daims[Aliment],0)),0),0)*SUM(TotalDaims24_36)*SUM(AB76:AB100))</f>
        <v>0</v>
      </c>
      <c r="DY74" s="793">
        <f t="array" ref="DY74">IF(ChoixRationComplèteDaims=NON,0,IFERROR(IF(OR(AND(INDEX(Règles_daims[Specificite],MATCH(ChoixRationDaims&amp;Ration_complète_daims[aliment],Règles_daims[Ration]&amp;Règles_daims[Aliment],0))="s1",IF(Ration_complète_daims[aliment]=Spécificité1Daims,1)),
AND(INDEX(Règles_daims[Specificite],MATCH(ChoixRationDaims&amp;Ration_complète_daims[aliment],Règles_daims[Ration]&amp;Règles_daims[Aliment],0))="s2",IF(Ration_complète_daims[aliment]=Spécificité2Daims,1)),
INDEX(Règles_daims[Specificite],MATCH(ChoixRationDaims&amp;Ration_complète_daims[aliment],Règles_daims[Ration]&amp;Règles_daims[Aliment],0))="c",INDEX(Règles_daims[Specificite],MATCH(ChoixRationDaims&amp;Ration_complète_daims[aliment],Règles_daims[Ration]&amp;Règles_daims[Aliment],0))="complet"),
INDEX(Règles_daims[Valeur 18-24],MATCH(ChoixRationDaims&amp;Ration_complète_daims[aliment],Règles_daims[Ration]&amp;Règles_daims[Aliment],0)),0),0)*SUM(TotalDaims18_24)*SUM(AB76:AB100))</f>
        <v>0</v>
      </c>
      <c r="DZ74" s="793">
        <f t="array" ref="DZ74">IF(ChoixRationComplèteDaims=NON,0,IFERROR(IF(OR(AND(INDEX(Règles_daims[Specificite],MATCH(ChoixRationDaims&amp;Ration_complète_daims[aliment],Règles_daims[Ration]&amp;Règles_daims[Aliment],0))="s1",IF(Ration_complète_daims[aliment]=Spécificité1Daims,1)),
AND(INDEX(Règles_daims[Specificite],MATCH(ChoixRationDaims&amp;Ration_complète_daims[aliment],Règles_daims[Ration]&amp;Règles_daims[Aliment],0))="s2",IF(Ration_complète_daims[aliment]=Spécificité2Daims,1)),
INDEX(Règles_daims[Specificite],MATCH(ChoixRationDaims&amp;Ration_complète_daims[aliment],Règles_daims[Ration]&amp;Règles_daims[Aliment],0))="c",INDEX(Règles_daims[Specificite],MATCH(ChoixRationDaims&amp;Ration_complète_daims[aliment],Règles_daims[Ration]&amp;Règles_daims[Aliment],0))="complet"),
INDEX(Règles_daims[Valeur 12-18],MATCH(ChoixRationDaims&amp;Ration_complète_daims[aliment],Règles_daims[Ration]&amp;Règles_daims[Aliment],0)),0),0)*SUM(TotalDaims12_18)*SUM(AB76:AB100))</f>
        <v>0</v>
      </c>
      <c r="EA74" s="793">
        <f t="array" ref="EA74">IF(ChoixRationComplèteDaims=NON,0,IFERROR(IF(OR(AND(INDEX(Règles_daims[Specificite],MATCH(ChoixRationDaims&amp;Ration_complète_daims[aliment],Règles_daims[Ration]&amp;Règles_daims[Aliment],0))="s1",IF(Ration_complète_daims[aliment]=Spécificité1Daims,1)),
AND(INDEX(Règles_daims[Specificite],MATCH(ChoixRationDaims&amp;Ration_complète_daims[aliment],Règles_daims[Ration]&amp;Règles_daims[Aliment],0))="s2",IF(Ration_complète_daims[aliment]=Spécificité2Daims,1)),
INDEX(Règles_daims[Specificite],MATCH(ChoixRationDaims&amp;Ration_complète_daims[aliment],Règles_daims[Ration]&amp;Règles_daims[Aliment],0))="c",INDEX(Règles_daims[Specificite],MATCH(ChoixRationDaims&amp;Ration_complète_daims[aliment],Règles_daims[Ration]&amp;Règles_daims[Aliment],0))="complet"),
INDEX(Règles_daims[Valeur 6-12],MATCH(ChoixRationDaims&amp;Ration_complète_daims[aliment],Règles_daims[Ration]&amp;Règles_daims[Aliment],0)),0),0)*SUM(TotalDaims6_12)*SUM(AB76:AB100))</f>
        <v>0</v>
      </c>
      <c r="EB74" s="793">
        <f t="array" ref="EB74">IF(ChoixRationComplèteDaims=NON,0,IFERROR(IF(OR(AND(INDEX(Règles_daims[Specificite],MATCH(ChoixRationDaims&amp;Ration_complète_daims[aliment],Règles_daims[Ration]&amp;Règles_daims[Aliment],0))="s1",IF(Ration_complète_daims[aliment]=Spécificité1Daims,1)),
AND(INDEX(Règles_daims[Specificite],MATCH(ChoixRationDaims&amp;Ration_complète_daims[aliment],Règles_daims[Ration]&amp;Règles_daims[Aliment],0))="s2",IF(Ration_complète_daims[aliment]=Spécificité2Daims,1)),
INDEX(Règles_daims[Specificite],MATCH(ChoixRationDaims&amp;Ration_complète_daims[aliment],Règles_daims[Ration]&amp;Règles_daims[Aliment],0))="c",INDEX(Règles_daims[Specificite],MATCH(ChoixRationDaims&amp;Ration_complète_daims[aliment],Règles_daims[Ration]&amp;Règles_daims[Aliment],0))="complet"),
INDEX(Règles_daims[Valeur 3-6],MATCH(ChoixRationDaims&amp;Ration_complète_daims[aliment],Règles_daims[Ration]&amp;Règles_daims[Aliment],0)),0),0)*SUM(TotalDaims3_6)*SUM(AB76:AB100))</f>
        <v>0</v>
      </c>
      <c r="EC74" s="793">
        <f t="array" ref="EC74">IF(ChoixRationComplèteDaims=NON,0,IFERROR(IF(OR(AND(INDEX(Règles_daims[Specificite],MATCH(ChoixRationDaims&amp;Ration_complète_daims[aliment],Règles_daims[Ration]&amp;Règles_daims[Aliment],0))="s1",IF(Ration_complète_daims[aliment]=Spécificité1Daims,1)),
AND(INDEX(Règles_daims[Specificite],MATCH(ChoixRationDaims&amp;Ration_complète_daims[aliment],Règles_daims[Ration]&amp;Règles_daims[Aliment],0))="s2",IF(Ration_complète_daims[aliment]=Spécificité2Daims,1)),
INDEX(Règles_daims[Specificite],MATCH(ChoixRationDaims&amp;Ration_complète_daims[aliment],Règles_daims[Ration]&amp;Règles_daims[Aliment],0))="c",INDEX(Règles_daims[Specificite],MATCH(ChoixRationDaims&amp;Ration_complète_daims[aliment],Règles_daims[Ration]&amp;Règles_daims[Aliment],0))="complet"),
INDEX(Règles_daims[Valeur 0-3],MATCH(ChoixRationDaims&amp;Ration_complète_daims[aliment],Règles_daims[Ration]&amp;Règles_daims[Aliment],0)),0),0)*SUM(TotalDaims0_3)*SUM(AB76:AB100))</f>
        <v>0</v>
      </c>
      <c r="ED74" s="820">
        <f>SUM(Ration_complète_daims[[Valeur 36 et plus]:[Valeur 0-3]])</f>
        <v>0</v>
      </c>
      <c r="EE74" s="1345"/>
      <c r="EF74" s="1321"/>
      <c r="EG74" s="808" t="s">
        <v>725</v>
      </c>
      <c r="EH74" s="817">
        <f t="array" ref="EH74">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74" s="817">
        <f t="array" ref="EI74">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74" s="817">
        <f t="array" ref="EJ74">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74" s="818">
        <f>SUM(AlimentsRationOiesMâles[[#This Row],[Valeur 6 et plus]:[Valeur 0-3]])</f>
        <v>0</v>
      </c>
      <c r="EL74" s="1364"/>
      <c r="EM74" s="1321"/>
      <c r="EN74" s="808" t="s">
        <v>297</v>
      </c>
      <c r="EO74" s="817">
        <f t="array" ref="EO7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74" s="817">
        <f t="array" ref="EP7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74" s="817">
        <f t="array" ref="EQ7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74" s="818">
        <f>SUM(Ration_canards_Mâles[[#This Row],[Valeur 6 et plus]:[Valeur 0-3]])</f>
        <v>0</v>
      </c>
      <c r="ES74" s="1364"/>
      <c r="ET74" s="1346"/>
      <c r="EU74" s="1082" t="s">
        <v>219</v>
      </c>
      <c r="EV74" s="1282">
        <f t="array" ref="EV74">IF(OR(ChoixRationComplèteEtéChevauxSelle=OUI,ChoixRationComplèteEtéChevauxSelle="",AND(ChoixChevauxSellePréHiver=OUI,ChoixChevauxSellePréEté=OUI)),0,IFERROR(IF(OR(AND(INDEX(Règles_chevaux_selle[Specificite],MATCH(RationEtéChevauxSelle&amp;$EU74,Règles_chevaux_selle[Ration]&amp;Règles_chevaux_selle[Aliment],0))="s1",IF($EU74=Spécificité1ChevauxSelle,1)),
AND(INDEX(Règles_chevaux_selle[Specificite],MATCH(RationEtéChevauxSelle&amp;$EU74,Règles_chevaux_selle[Ration]&amp;Règles_chevaux_selle[Aliment],0))="s2",IF($EU74=Spécificité2ChevauxSelle,1)),
INDEX(Règles_chevaux_selle[Specificite],MATCH(RationEtéChevauxSelle&amp;$EU74,Règles_chevaux_selle[Ration]&amp;Règles_chevaux_selle[Aliment],0))="c"),
INDEX(Règles_chevaux_selle[Valeur 36 et plus],MATCH(RationEtéChevauxSelle&amp;$EU74,Règles_chevaux_selle[Ration]&amp;Règles_chevaux_selle[Aliment],0)),0),0)*TotalEtalonSelle*SUM(NbreJoursNourrirChevauxSelle))</f>
        <v>0</v>
      </c>
      <c r="EW74" s="1282">
        <f t="array" ref="EW74">IF(OR(ChoixRationComplèteEtéChevauxSelle=OUI,ChoixRationComplèteEtéChevauxSelle="",AND(ChoixChevauxSellePréHiver=OUI,ChoixChevauxSellePréEté=OUI)),0,IFERROR(IF(OR(AND(INDEX(Règles_chevaux_selle[Specificite],MATCH(RationEtéChevauxSelle&amp;$EU74,Règles_chevaux_selle[Ration]&amp;Règles_chevaux_selle[Aliment],0))="s1",IF($EU74=Spécificité1ChevauxSelle,1)),
AND(INDEX(Règles_chevaux_selle[Specificite],MATCH(RationEtéChevauxSelle&amp;$EU74,Règles_chevaux_selle[Ration]&amp;Règles_chevaux_selle[Aliment],0))="s2",IF($EU74=Spécificité2ChevauxSelle,1)),
INDEX(Règles_chevaux_selle[Specificite],MATCH(RationEtéChevauxSelle&amp;$EU74,Règles_chevaux_selle[Ration]&amp;Règles_chevaux_selle[Aliment],0))="c"),
INDEX(Règles_chevaux_selle[Valeur 24-36],MATCH(RationEtéChevauxSelle&amp;$EU74,Règles_chevaux_selle[Ration]&amp;Règles_chevaux_selle[Aliment],0)),0),0)*TotalJeuneEtalonSelle_24_36_mois*SUM(NbreJoursNourrirChevauxSelle))</f>
        <v>0</v>
      </c>
      <c r="EX74" s="1282">
        <f t="array" ref="EX74">IF(OR(ChoixRationComplèteEtéChevauxSelle=OUI,ChoixRationComplèteEtéChevauxSelle="",AND(ChoixChevauxSellePréHiver=OUI,ChoixChevauxSellePréEté=OUI)),0,IFERROR(IF(OR(AND(INDEX(Règles_chevaux_selle[Specificite],MATCH(RationEtéChevauxSelle&amp;$EU74,Règles_chevaux_selle[Ration]&amp;Règles_chevaux_selle[Aliment],0))="s1",IF($EU74=Spécificité1ChevauxSelle,1)),
AND(INDEX(Règles_chevaux_selle[Specificite],MATCH(RationEtéChevauxSelle&amp;$EU74,Règles_chevaux_selle[Ration]&amp;Règles_chevaux_selle[Aliment],0))="s2",IF($EU74=Spécificité2ChevauxSelle,1)),
INDEX(Règles_chevaux_selle[Specificite],MATCH(RationEtéChevauxSelle&amp;$EU74,Règles_chevaux_selle[Ration]&amp;Règles_chevaux_selle[Aliment],0))="c"),
INDEX(Règles_chevaux_selle[Valeur 12-24],MATCH(RationEtéChevauxSelle&amp;$EU74,Règles_chevaux_selle[Ration]&amp;Règles_chevaux_selle[Aliment],0)),0),0)*TotalJeuneEtalonSelle_12_24_mois*SUM(NbreJoursNourrirChevauxSelle))</f>
        <v>0</v>
      </c>
      <c r="EY74" s="1285">
        <f t="array" ref="EY74">IF(OR(ChoixRationComplèteEtéChevauxSelle=OUI,ChoixRationComplèteEtéChevauxSelle="",AND(ChoixChevauxSellePréHiver=OUI,ChoixChevauxSellePréEté=OUI)),0,IFERROR(IF(OR(AND(INDEX(Règles_chevaux_selle[Specificite],MATCH(RationEtéChevauxSelle&amp;$EU74,Règles_chevaux_selle[Ration]&amp;Règles_chevaux_selle[Aliment],0))="s1",IF($EU74=Spécificité1ChevauxSelle,1)),
AND(INDEX(Règles_chevaux_selle[Specificite],MATCH(RationEtéChevauxSelle&amp;$EU74,Règles_chevaux_selle[Ration]&amp;Règles_chevaux_selle[Aliment],0))="s2",IF($EU74=Spécificité2ChevauxSelle,1)),
INDEX(Règles_chevaux_selle[Specificite],MATCH(RationEtéChevauxSelle&amp;$EU74,Règles_chevaux_selle[Ration]&amp;Règles_chevaux_selle[Aliment],0))="c"),
INDEX(Règles_chevaux_selle[Valeur 0-12],MATCH(RationEtéChevauxSelle&amp;$EU74,Règles_chevaux_selle[Ration]&amp;Règles_chevaux_selle[Aliment],0)),0),0)*TotalPoulainSelle_0_12_mois*SUM(NbreJoursNourrirChevauxSelle))</f>
        <v>0</v>
      </c>
      <c r="EZ74" s="1285">
        <f t="shared" si="16"/>
        <v>0</v>
      </c>
      <c r="FA74" s="1345"/>
      <c r="FB74" s="1345"/>
      <c r="FC74" s="1346"/>
      <c r="FD74" s="1082" t="s">
        <v>672</v>
      </c>
      <c r="FE74" s="1282">
        <f t="array" ref="FE74">IF(OR(ChoixRationComplèteEtéChevauxTrait=OUI,ChoixRationComplèteEtéChevauxTrait="",AND(ChoixChevauxTraitPréHiver=OUI,ChoixChevauxTraitPréEté=OUI)),0,IFERROR(IF(OR(AND(INDEX(Règles_chevaux_trait[Specificite],MATCH(RationEtéChevauxTrait&amp;$FD74,Règles_chevaux_trait[Ration]&amp;Règles_chevaux_trait[Aliment],0))="s1",IF($FD74=Spécificité1ChevauxTrait,1)),
AND(INDEX(Règles_chevaux_trait[Specificite],MATCH(RationEtéChevauxTrait&amp;$FD74,Règles_chevaux_trait[Ration]&amp;Règles_chevaux_trait[Aliment],0))="s2",IF($FD74=Spécificité2ChevauxTrait,1)),
INDEX(Règles_chevaux_trait[Specificite],MATCH(RationEtéChevauxTrait&amp;$FD74,Règles_chevaux_trait[Ration]&amp;Règles_chevaux_trait[Aliment],0))="c"),
INDEX(Règles_chevaux_trait[Valeur 36 et plus],MATCH(RationEtéChevauxTrait&amp;$FD74,Règles_chevaux_trait[Ration]&amp;Règles_chevaux_trait[Aliment],0)),0),0)*TotalEtalonTrait*SUM(NbreJoursNourrirChevauxTrait))</f>
        <v>0</v>
      </c>
      <c r="FF74" s="1282">
        <f t="array" ref="FF74">IF(OR(ChoixRationComplèteEtéChevauxTrait=OUI,ChoixRationComplèteEtéChevauxTrait="",AND(ChoixChevauxTraitPréHiver=OUI,ChoixChevauxTraitPréEté=OUI)),0,IFERROR(IF(OR(AND(INDEX(Règles_chevaux_trait[Specificite],MATCH(RationEtéChevauxTrait&amp;$FD74,Règles_chevaux_trait[Ration]&amp;Règles_chevaux_trait[Aliment],0))="s1",IF($FD74=Spécificité1ChevauxTrait,1)),
AND(INDEX(Règles_chevaux_trait[Specificite],MATCH(RationEtéChevauxTrait&amp;$FD74,Règles_chevaux_trait[Ration]&amp;Règles_chevaux_trait[Aliment],0))="s2",IF($FD74=Spécificité2ChevauxTrait,1)),
INDEX(Règles_chevaux_trait[Specificite],MATCH(RationEtéChevauxTrait&amp;$FD74,Règles_chevaux_trait[Ration]&amp;Règles_chevaux_trait[Aliment],0))="c"),
INDEX(Règles_chevaux_trait[Valeur 24-36],MATCH(RationEtéChevauxTrait&amp;$FD74,Règles_chevaux_trait[Ration]&amp;Règles_chevaux_trait[Aliment],0)),0),0)*TotalJeuneEtalonTrait_24_36_mois*SUM(NbreJoursNourrirChevauxTrait))</f>
        <v>0</v>
      </c>
      <c r="FG74" s="1282">
        <f t="array" ref="FG74">IF(OR(ChoixRationComplèteEtéChevauxTrait=OUI,ChoixRationComplèteEtéChevauxTrait="",AND(ChoixChevauxTraitPréHiver=OUI,ChoixChevauxTraitPréEté=OUI)),0,IFERROR(IF(OR(AND(INDEX(Règles_chevaux_trait[Specificite],MATCH(RationEtéChevauxTrait&amp;$FD74,Règles_chevaux_trait[Ration]&amp;Règles_chevaux_trait[Aliment],0))="s1",IF($FD74=Spécificité1ChevauxTrait,1)),
AND(INDEX(Règles_chevaux_trait[Specificite],MATCH(RationEtéChevauxTrait&amp;$FD74,Règles_chevaux_trait[Ration]&amp;Règles_chevaux_trait[Aliment],0))="s2",IF($FD74=Spécificité2ChevauxTrait,1)),
INDEX(Règles_chevaux_trait[Specificite],MATCH(RationEtéChevauxTrait&amp;$FD74,Règles_chevaux_trait[Ration]&amp;Règles_chevaux_trait[Aliment],0))="c"),
INDEX(Règles_chevaux_trait[Valeur 12-24],MATCH(RationEtéChevauxTrait&amp;$FD74,Règles_chevaux_trait[Ration]&amp;Règles_chevaux_trait[Aliment],0)),0),0)*TotalJeuneEtalonTrait_12_24_mois*SUM(NbreJoursNourrirChevauxTrait))</f>
        <v>0</v>
      </c>
      <c r="FH74" s="1285">
        <f t="array" ref="FH74">IF(OR(ChoixRationComplèteEtéChevauxTrait=OUI,ChoixRationComplèteEtéChevauxTrait="",AND(ChoixChevauxTraitPréHiver=OUI,ChoixChevauxTraitPréEté=OUI)),0,IFERROR(IF(OR(AND(INDEX(Règles_chevaux_trait[Specificite],MATCH(RationEtéChevauxTrait&amp;$FD74,Règles_chevaux_trait[Ration]&amp;Règles_chevaux_trait[Aliment],0))="s1",IF($FD74=Spécificité1ChevauxTrait,1)),
AND(INDEX(Règles_chevaux_trait[Specificite],MATCH(RationEtéChevauxTrait&amp;$FD74,Règles_chevaux_trait[Ration]&amp;Règles_chevaux_trait[Aliment],0))="s2",IF($FD74=Spécificité2ChevauxTrait,1)),
INDEX(Règles_chevaux_trait[Specificite],MATCH(RationEtéChevauxTrait&amp;$FD74,Règles_chevaux_trait[Ration]&amp;Règles_chevaux_trait[Aliment],0))="c"),
INDEX(Règles_chevaux_trait[Valeur 0-12],MATCH(RationEtéChevauxTrait&amp;$FD74,Règles_chevaux_trait[Ration]&amp;Règles_chevaux_trait[Aliment],0)),0),0)*TotalPoulainTrait_0_12_mois*SUM(NbreJoursNourrirChevauxTrait))</f>
        <v>0</v>
      </c>
      <c r="FI74" s="1285">
        <f t="shared" si="15"/>
        <v>0</v>
      </c>
      <c r="FJ74" s="1345"/>
      <c r="FK74" s="1345"/>
      <c r="FL74" s="1345"/>
      <c r="FM74" s="1321"/>
      <c r="FN74" s="1083" t="s">
        <v>725</v>
      </c>
      <c r="FO74" s="1283">
        <f t="array" ref="FO74">IF(OR(ChoixRationComplèteEtéPoneys=OUI,ChoixRationComplèteEtéPoneys="",AND(ChoixPoneysPréHiver=OUI,ChoixPoneysPréEté=OUI)),0,IFERROR(IF(OR(AND(INDEX(Règles_poneys[Specificite],MATCH(RationEtéPoneys&amp;$FN74,Règles_poneys[Ration]&amp;Règles_poneys[Aliment],0))="s1",IF($FN74=Spécificité1Poneys,1)),
AND(INDEX(Règles_poneys[Specificite],MATCH(RationEtéPoneys&amp;$FN74,Règles_poneys[Ration]&amp;Règles_poneys[Aliment],0))="s2",IF($FN74=Spécificité2Poneys,1)),
INDEX(Règles_poneys[Specificite],MATCH(RationEtéPoneys&amp;$FN74,Règles_poneys[Ration]&amp;Règles_poneys[Aliment],0))="c"),
INDEX(Règles_poneys[Valeur 36 et plus],MATCH(RationEtéPoneys&amp;$FN74,Règles_poneys[Ration]&amp;Règles_poneys[Aliment],0)),0),0)*TotalEtalonPoney*SUM(NbreJoursNourrirPoneys))</f>
        <v>0</v>
      </c>
      <c r="FP74" s="1283">
        <f t="array" ref="FP74">IF(OR(ChoixRationComplèteEtéPoneys=OUI,ChoixRationComplèteEtéPoneys="",AND(ChoixPoneysPréHiver=OUI,ChoixPoneysPréEté=OUI)),0,IFERROR(IF(OR(AND(INDEX(Règles_poneys[Specificite],MATCH(RationEtéPoneys&amp;$FN74,Règles_poneys[Ration]&amp;Règles_poneys[Aliment],0))="s1",IF($FN74=Spécificité1Poneys,1)),
AND(INDEX(Règles_poneys[Specificite],MATCH(RationEtéPoneys&amp;$FN74,Règles_poneys[Ration]&amp;Règles_poneys[Aliment],0))="s2",IF($FN74=Spécificité2Poneys,1)),
INDEX(Règles_poneys[Specificite],MATCH(RationEtéPoneys&amp;$FN74,Règles_poneys[Ration]&amp;Règles_poneys[Aliment],0))="c"),
INDEX(Règles_poneys[Valeur 36 et plus],MATCH(RationEtéPoneys&amp;$FN74,Règles_poneys[Ration]&amp;Règles_poneys[Aliment],0)),0),0)*TotalJeuneEtalonPoney_24_36_mois*SUM(NbreJoursNourrirPoneys))</f>
        <v>0</v>
      </c>
      <c r="FQ74" s="1283">
        <f t="array" ref="FQ74">IF(OR(ChoixRationComplèteEtéPoneys=OUI,ChoixRationComplèteEtéPoneys="",AND(ChoixPoneysPréHiver=OUI,ChoixPoneysPréEté=OUI)),0,IFERROR(IF(OR(AND(INDEX(Règles_poneys[Specificite],MATCH(RationEtéPoneys&amp;$FN74,Règles_poneys[Ration]&amp;Règles_poneys[Aliment],0))="s1",IF($FN74=Spécificité1Poneys,1)),
AND(INDEX(Règles_poneys[Specificite],MATCH(RationEtéPoneys&amp;$FN74,Règles_poneys[Ration]&amp;Règles_poneys[Aliment],0))="s2",IF($FN74=Spécificité2Poneys,1)),
INDEX(Règles_poneys[Specificite],MATCH(RationEtéPoneys&amp;$FN74,Règles_poneys[Ration]&amp;Règles_poneys[Aliment],0))="c"),
INDEX(Règles_poneys[Valeur 36 et plus],MATCH(RationEtéPoneys&amp;$FN74,Règles_poneys[Ration]&amp;Règles_poneys[Aliment],0)),0),0)*TotalJeuneEtalonPoney_12_24_mois*SUM(NbreJoursNourrirPoneys))</f>
        <v>0</v>
      </c>
      <c r="FR74" s="1286">
        <f t="array" ref="FR74">IF(OR(ChoixRationComplèteEtéPoneys=OUI,ChoixRationComplèteEtéPoneys="",AND(ChoixPoneysPréHiver=OUI,ChoixPoneysPréEté=OUI)),0,IFERROR(IF(OR(AND(INDEX(Règles_poneys[Specificite],MATCH(RationEtéPoneys&amp;$FN74,Règles_poneys[Ration]&amp;Règles_poneys[Aliment],0))="s1",IF($FN74=Spécificité1Poneys,1)),
AND(INDEX(Règles_poneys[Specificite],MATCH(RationEtéPoneys&amp;$FN74,Règles_poneys[Ration]&amp;Règles_poneys[Aliment],0))="s2",IF($FN74=Spécificité2Poneys,1)),
INDEX(Règles_poneys[Specificite],MATCH(RationEtéPoneys&amp;$FN74,Règles_poneys[Ration]&amp;Règles_poneys[Aliment],0))="c"),
INDEX(Règles_poneys[Valeur 36 et plus],MATCH(RationEtéPoneys&amp;$FN74,Règles_poneys[Ration]&amp;Règles_poneys[Aliment],0)),0),0)*TotalPoulainPoney_0_12_mois*SUM(NbreJoursNourrirPoneys))</f>
        <v>0</v>
      </c>
      <c r="FS74" s="1286">
        <f t="shared" si="14"/>
        <v>0</v>
      </c>
      <c r="FT74" s="1345"/>
      <c r="FU74" s="1345"/>
      <c r="FV74" s="1345"/>
      <c r="FW74" s="823" t="s">
        <v>1274</v>
      </c>
      <c r="FX74" s="828">
        <f t="array" ref="FX7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74" s="828">
        <f t="array" ref="FY7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74" s="828">
        <f t="array" ref="FZ7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74" s="828">
        <f t="array" ref="GA74">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74" s="829">
        <f>SUM(AlimentsGavageOies[[#This Row],[Valeur 3 et plus]:[Valeur 0-1]])</f>
        <v>0</v>
      </c>
      <c r="GC74" s="1364"/>
      <c r="GD74" s="1321"/>
      <c r="GE74" s="1321"/>
      <c r="GF74" s="1321"/>
      <c r="GG74" s="1321" t="s">
        <v>1349</v>
      </c>
      <c r="GH74" s="1321" t="s">
        <v>1349</v>
      </c>
      <c r="GI74" s="1321" t="s">
        <v>1349</v>
      </c>
      <c r="GJ74" s="1321" t="s">
        <v>1349</v>
      </c>
      <c r="GK74" s="1321" t="s">
        <v>1349</v>
      </c>
      <c r="GL74" s="1321" t="s">
        <v>1349</v>
      </c>
      <c r="GM74" s="1321" t="s">
        <v>1349</v>
      </c>
      <c r="GN74" s="1321" t="s">
        <v>1349</v>
      </c>
      <c r="GO74" s="1321" t="s">
        <v>1349</v>
      </c>
      <c r="GP74" s="1321" t="s">
        <v>1349</v>
      </c>
      <c r="GQ74" s="1321" t="s">
        <v>1349</v>
      </c>
      <c r="GR74" s="1321" t="s">
        <v>1349</v>
      </c>
      <c r="GS74" s="1321" t="s">
        <v>1349</v>
      </c>
      <c r="GT74" s="1321" t="s">
        <v>1349</v>
      </c>
      <c r="GU74" s="1321" t="s">
        <v>1349</v>
      </c>
      <c r="GV74" s="1321" t="s">
        <v>1349</v>
      </c>
      <c r="GW74" s="1321"/>
      <c r="GX74" s="1321"/>
      <c r="GY74" s="1083" t="str">
        <f t="shared" si="11"/>
        <v>semences de seigle (P)</v>
      </c>
      <c r="GZ74" s="1083"/>
      <c r="HA74" s="1084"/>
      <c r="HB74" s="1084">
        <f>IF(COUNTIF(TypeArticleDansEntrepôt,GY74)=0,0,SUMIF(TypeArticleDansEntrepôt,GY74,QtéArticleDansEntrepôt)*VLOOKUP(GY74,place_necessaire_entrepots_aire_paille[],2,FALSE))</f>
        <v>0</v>
      </c>
      <c r="HC74" s="1321"/>
      <c r="HD74" s="1321"/>
      <c r="HE74" s="1321"/>
      <c r="HF74" s="1321"/>
      <c r="HG74" s="1321"/>
      <c r="HH74" s="1321"/>
      <c r="HI74" s="1321"/>
      <c r="HJ74" s="1321"/>
      <c r="HK74" s="1321"/>
      <c r="HL74" s="1321"/>
      <c r="HM74" s="1321"/>
      <c r="HN74" s="1084" t="str">
        <f>IF(parcelles!B122="","",(VLOOKUP(parcelles!C122,BDD!$HN$5:$HU$38,2,FALSE))*parcelles!E122)</f>
        <v/>
      </c>
      <c r="HO74" s="1084" t="str">
        <f>IF(parcelles!B122="","",IF(OR(parcelles!C122=Moutarde,parcelles!C122=Phacélie),0,IF(parcelles!C122=Luzerne,10*parcelles!E122*VLOOKUP(parcelles!C122,BDD!$HN$5:$HU$38,3,FALSE),IF(parcelles!C122=Miscanthus,10.5*parcelles!E122*VLOOKUP(parcelles!C122,BDD!$HN$5:$HU$38,3,FALSE),INDEX(parcelles!$C$56:'parcelles'!$Y$77,MATCH(parcelles!B122,parcelles!$B$56:'parcelles'!$B$77,0),MATCH(parcelles!C122,parcelles!$C$53:'parcelles'!$Y$53,0))*parcelles!E122*VLOOKUP(parcelles!C122,BDD!$HN$5:$HU$38,3,FALSE)))))</f>
        <v/>
      </c>
      <c r="HP74" s="1084" t="str">
        <f>IF(parcelles!B122="","",IF(OR(parcelles!C122=Moutarde,parcelles!C122=Phacélie),0,IF(parcelles!C122=Luzerne,10*parcelles!E122*VLOOKUP(parcelles!C122,BDD!$HN$5:$HU$38,4,FALSE),IF(parcelles!C122=Miscanthus,10.5*parcelles!E122*VLOOKUP(parcelles!C122,BDD!$HN$5:$HU$38,4,FALSE),INDEX(parcelles!$C$56:'parcelles'!$Y$77,MATCH(parcelles!B122,parcelles!$B$56:'parcelles'!$B$77,0),MATCH(parcelles!C122,parcelles!$C$53:'parcelles'!$Y$53,0))*parcelles!E122*VLOOKUP(parcelles!C122,BDD!$HN$5:$HU$38,4,FALSE)))))</f>
        <v/>
      </c>
      <c r="HQ74" s="1084" t="str">
        <f>IF(parcelles!B122="","",IF(OR(parcelles!C122=Moutarde,parcelles!C122=Phacélie),0,IF(parcelles!C122=Luzerne,10*parcelles!E122*VLOOKUP(parcelles!C122,BDD!$HN$5:$HU$38,5,FALSE),IF(parcelles!C122=Miscanthus,10.5*parcelles!E122*VLOOKUP(parcelles!C122,BDD!$HN$5:$HU$38,5,FALSE),INDEX(parcelles!$C$56:'parcelles'!$Y$77,MATCH(parcelles!B122,parcelles!$B$56:'parcelles'!$B$77,0),MATCH(parcelles!C122,parcelles!$C$53:'parcelles'!$Y$53,0))*parcelles!E122*VLOOKUP(parcelles!C122,BDD!$HN$5:$HU$38,5,FALSE)))))</f>
        <v/>
      </c>
      <c r="HR74" s="1084" t="str">
        <f>IF(parcelles!B122="","",IF(OR(parcelles!C122=Moutarde,parcelles!C122=Phacélie),0,IF(parcelles!C122=Luzerne,10*parcelles!E122*VLOOKUP(parcelles!C122,BDD!$HN$5:$HU$38,6,FALSE),IF(parcelles!C122=Miscanthus,10.5*parcelles!E122*VLOOKUP(parcelles!C122,BDD!$HN$5:$HU$38,6,FALSE),INDEX(parcelles!$C$56:'parcelles'!$Y$77,MATCH(parcelles!B122,parcelles!$B$56:'parcelles'!$B$77,0),MATCH(parcelles!C122,parcelles!$C$53:'parcelles'!$Y$53,0))*parcelles!E122*VLOOKUP(parcelles!C122,BDD!$HN$5:$HU$38,6,FALSE)))))</f>
        <v/>
      </c>
      <c r="HS74" s="1084" t="str">
        <f>IF(parcelles!B122="","",IF(OR(parcelles!C122=Moutarde,parcelles!C122=Phacélie),0,IF(parcelles!C122=Luzerne,10*parcelles!E122*VLOOKUP(parcelles!C122,BDD!$HN$5:$HU$38,7,FALSE),IF(parcelles!C122=Miscanthus,10.5*parcelles!E122*VLOOKUP(parcelles!C122,BDD!$HN$5:$HU$38,7,FALSE),INDEX(parcelles!$C$56:'parcelles'!$Y$77,MATCH(parcelles!B122,parcelles!$B$56:'parcelles'!$B$77,0),MATCH(parcelles!C122,parcelles!$C$53:'parcelles'!$Y$53,0))*parcelles!E122*VLOOKUP(parcelles!C122,BDD!$HN$5:$HU$38,7,FALSE)))))</f>
        <v/>
      </c>
      <c r="HT74" s="1084" t="str">
        <f>IF(parcelles!B122="","",IF(OR(parcelles!C122=Moutarde,parcelles!C122=Phacélie),0,IF(parcelles!C122=Luzerne,10*parcelles!E122*VLOOKUP(parcelles!C122,BDD!$HN$5:$HU$38,8,FALSE),IF(parcelles!C122=Miscanthus,10.5*parcelles!E122*VLOOKUP(parcelles!C122,BDD!$HN$5:$HU$38,8,FALSE),INDEX(parcelles!$C$56:'parcelles'!$Y$77,MATCH(parcelles!B122,parcelles!$B$56:'parcelles'!$B$77,0),MATCH(parcelles!C122,parcelles!$C$53:'parcelles'!$Y$53,0))*parcelles!E122*VLOOKUP(parcelles!C122,BDD!$HN$5:$HU$38,8,FALSE)))))</f>
        <v/>
      </c>
      <c r="HU74" s="1084" t="str">
        <f>IF(parcelles!B122="","",IF(OR(parcelles!C122=Moutarde,parcelles!C122=Phacélie),0,1.6*parcelles!E122))</f>
        <v/>
      </c>
      <c r="HV74" s="1084" t="str">
        <f>IF(parcelles!B122="","",IF(OR(parcelles!C122=Moutarde,parcelles!C122=Phacélie),0,1.6*parcelles!E122))</f>
        <v/>
      </c>
      <c r="HW74" s="1084" t="str">
        <f>IF(parcelles!B122="","",IF(OR(parcelles!C122=Moutarde,parcelles!C122=Phacélie),0,1.6*parcelles!E122))</f>
        <v/>
      </c>
      <c r="HX74" s="1095" t="str">
        <f>IF(parcelles!D122="","",IF(parcelles!C122=ChanvreIndustriel,INDEX(parcelles!$C$56:$Y$77,MATCH(parcelles!B122,parcelles!$B$56:$B$77,0),MATCH(parcelles!C122,parcelles!$C$53:$Y$53,0))*parcelles!E122*SUMIF(ListeCulturesBDD,parcelles!C122,PrixVenteCulturesConventionnel)+RIGHT(BDD!$HM$7,3)*7*parcelles!E122,IF(parcelles!C122=Luzerne,parcelles!E122*10*VLOOKUP(parcelles!C122,TarifsCoopCultures,2,FALSE),IF(parcelles!C122=Miscanthus,parcelles!E122*10.5*VLOOKUP(Luzerne,TarifsCoopCultures,2,FALSE),INDEX(parcelles!$C$56:$Y$77,MATCH(parcelles!B122,parcelles!$B$56:$B$77,0),MATCH(parcelles!C122,parcelles!$C$53:$Y$53,0))*parcelles!E122*SUMIF(ListeCulturesBDD,parcelles!C122,PrixVenteCulturesConventionnel)))))</f>
        <v/>
      </c>
      <c r="HY74" s="1084" t="str">
        <f>IF(parcelles!D122="","",IF(parcelles!F122=0,"",IF(parcelles!C122=ChanvreIndustriel,"soit "&amp;parcelles!E122*0.8&amp;"t de grain et "&amp;parcelles!E122*7&amp;"t de paille",IF(parcelles!C122=Luzerne,"soit "&amp;10*parcelles!E122&amp;"t/an",IF(parcelles!C122=Miscanthus,"soit "&amp;10.5*parcelles!E122&amp;"t/an","soit "&amp;INDEX(parcelles!$C$56:$Y$77,MATCH(parcelles!B122,parcelles!$B$56:$B$77,0),MATCH(parcelles!C122,parcelles!$C$53:$Y$53,0))*parcelles!E122&amp;"t")))))</f>
        <v/>
      </c>
      <c r="HZ74" s="1084" t="str">
        <f>IF(parcelles!D122="","",IF(parcelles!F122=0,"",IF(parcelles!C122=ChanvreIndustriel,"soit "&amp;parcelles!E122*0.8*0.8&amp;"t de grain et "&amp;parcelles!E122*7*0.8&amp;"t de paille",IF(parcelles!C122=Luzerne,"soit "&amp;10*0.8*parcelles!E122&amp;"t/an",IF(parcelles!C122=Miscanthus,"soit "&amp;10.5*0.8*parcelles!E122&amp;"t/an","soit "&amp;INDEX(parcelles!$C$56:$Y$77,MATCH(parcelles!B122,parcelles!$B$56:$B$77,0),MATCH(parcelles!C122,parcelles!$C$53:$Y$53,0))*0.8*parcelles!E122&amp;"t")))))</f>
        <v/>
      </c>
      <c r="IA74" s="1084" t="str">
        <f>IF(parcelles!L122="","",(VLOOKUP(parcelles!M122,BDD!$HN$5:$HU$38,2,FALSE))*parcelles!O122)</f>
        <v/>
      </c>
      <c r="IB74" s="1084" t="str">
        <f>IF(parcelles!L122="","",IF(OR(parcelles!M122=Moutarde,parcelles!M122=Phacélie),0,IF(parcelles!M122=Luzerne,10*parcelles!O122*VLOOKUP(parcelles!M122,BDD!$HN$5:$HU$38,3,FALSE),IF(parcelles!M122=Miscanthus,10.5*parcelles!O122*VLOOKUP(parcelles!M122,BDD!$HN$5:$HU$38,3,FALSE),INDEX(parcelles!$C$56:'parcelles'!$Y$77,MATCH(parcelles!L122,parcelles!$B$56:'parcelles'!$B$77,0),MATCH(parcelles!M122,parcelles!$C$53:'parcelles'!$Y$53,0))*parcelles!O122*VLOOKUP(parcelles!M122,BDD!$HN$5:$HU$38,3,FALSE)))))</f>
        <v/>
      </c>
      <c r="IC74" s="1084" t="str">
        <f>IF(parcelles!L122="","",IF(OR(parcelles!M122=Moutarde,parcelles!M122=Phacélie),0,IF(parcelles!M122=Luzerne,10*parcelles!O122*VLOOKUP(parcelles!M122,BDD!$HN$5:$HU$38,4,FALSE),IF(parcelles!M122=Miscanthus,10.5*parcelles!O122*VLOOKUP(parcelles!M122,BDD!$HN$5:$HU$38,4,FALSE),INDEX(parcelles!$C$56:'parcelles'!$Y$77,MATCH(parcelles!L122,parcelles!$B$56:'parcelles'!$B$77,0),MATCH(parcelles!M122,parcelles!$C$53:'parcelles'!$Y$53,0))*parcelles!O122*VLOOKUP(parcelles!M122,BDD!$HN$5:$HU$38,4,FALSE)))))</f>
        <v/>
      </c>
      <c r="ID74" s="1084" t="str">
        <f>IF(parcelles!L122="","",IF(OR(parcelles!M122=Moutarde,parcelles!M122=Phacélie),0,IF(parcelles!M122=Luzerne,10*parcelles!O122*VLOOKUP(parcelles!M122,BDD!$HN$5:$HU$38,5,FALSE),IF(parcelles!M122=Miscanthus,10.5*parcelles!O122*VLOOKUP(parcelles!M122,BDD!$HN$5:$HU$38,5,FALSE),INDEX(parcelles!$C$56:'parcelles'!$Y$77,MATCH(parcelles!L122,parcelles!$B$56:'parcelles'!$B$77,0),MATCH(parcelles!M122,parcelles!$C$53:'parcelles'!$Y$53,0))*parcelles!O122*VLOOKUP(parcelles!M122,BDD!$HN$5:$HU$38,5,FALSE)))))</f>
        <v/>
      </c>
      <c r="IE74" s="1084" t="str">
        <f>IF(parcelles!L122="","",IF(OR(parcelles!M122=Moutarde,parcelles!M122=Phacélie),0,IF(parcelles!M122=Luzerne,10*parcelles!O122*VLOOKUP(parcelles!M122,BDD!$HN$5:$HU$38,6,FALSE),IF(parcelles!M122=Miscanthus,10.5*parcelles!O122*VLOOKUP(parcelles!M122,BDD!$HN$5:$HU$38,6,FALSE),INDEX(parcelles!$C$56:'parcelles'!$Y$77,MATCH(parcelles!L122,parcelles!$B$56:'parcelles'!$B$77,0),MATCH(parcelles!M122,parcelles!$C$53:'parcelles'!$Y$53,0))*parcelles!O122*VLOOKUP(parcelles!M122,BDD!$HN$5:$HU$38,6,FALSE)))))</f>
        <v/>
      </c>
      <c r="IF74" s="1084" t="str">
        <f>IF(parcelles!L122="","",IF(OR(parcelles!M122=Moutarde,parcelles!M122=Phacélie),0,IF(parcelles!M122=Luzerne,10*parcelles!O122*VLOOKUP(parcelles!M122,BDD!$HN$5:$HU$38,7,FALSE),IF(parcelles!M122=Miscanthus,10.5*parcelles!O122*VLOOKUP(parcelles!M122,BDD!$HN$5:$HU$38,7,FALSE),INDEX(parcelles!$C$56:'parcelles'!$Y$77,MATCH(parcelles!L122,parcelles!$B$56:'parcelles'!$B$77,0),MATCH(parcelles!M122,parcelles!$C$53:'parcelles'!$Y$53,0))*parcelles!O122*VLOOKUP(parcelles!M122,BDD!$HN$5:$HU$38,7,FALSE)))))</f>
        <v/>
      </c>
      <c r="IG74" s="1084" t="str">
        <f>IF(parcelles!L122="","",IF(OR(parcelles!M122=Moutarde,parcelles!M122=Phacélie),0,IF(parcelles!M122=Luzerne,10*parcelles!O122*VLOOKUP(parcelles!M122,BDD!$HN$5:$HU$38,8,FALSE),IF(parcelles!M122=Miscanthus,10.5*parcelles!O122*VLOOKUP(parcelles!M122,BDD!$HN$5:$HU$38,8,FALSE),INDEX(parcelles!$C$56:'parcelles'!$Y$77,MATCH(parcelles!L122,parcelles!$B$56:'parcelles'!$B$77,0),MATCH(parcelles!M122,parcelles!$C$53:'parcelles'!$Y$53,0))*parcelles!O122*VLOOKUP(parcelles!M122,BDD!$HN$5:$HU$38,8,FALSE)))))</f>
        <v/>
      </c>
      <c r="IH74" s="1084" t="str">
        <f>IF(parcelles!L122="","",IF(OR(parcelles!L122=Moutarde,parcelles!L122=Phacélie),0,1.6*parcelles!O122))</f>
        <v/>
      </c>
      <c r="II74" s="1084" t="str">
        <f>IF(parcelles!L122="","",IF(OR(parcelles!L122=Moutarde,parcelles!L122=Phacélie),0,1.6*parcelles!O122))</f>
        <v/>
      </c>
      <c r="IJ74" s="1084" t="str">
        <f>IF(parcelles!L122="","",IF(OR(parcelles!L122=Moutarde,parcelles!L122=Phacélie),0,1.6*parcelles!O122))</f>
        <v/>
      </c>
      <c r="IK74" s="1084" t="str">
        <f>IF(parcelles!P122="","",IF(parcelles!R122=0,"",IF(parcelles!O122=ChanvreIndustriel,"soit "&amp;parcelles!Q122*0.8&amp;"t de grain et "&amp;parcelles!Q122*7&amp;"t de paille",IF(parcelles!O122=Luzerne,"soit "&amp;10*parcelles!Q122&amp;"t/an",IF(parcelles!O122=Miscanthus,"soit "&amp;10.5*parcelles!Q122&amp;"t/an","soit "&amp;INDEX(parcelles!$C$56:$Y$77,MATCH(parcelles!N122,parcelles!$B$56:$B$77,0),MATCH(parcelles!O122,parcelles!$C$53:$Y$53,0))*parcelles!Q122&amp;"t")))))</f>
        <v/>
      </c>
      <c r="IL74" s="1084" t="str">
        <f>IF(parcelles!P122="","",IF(parcelles!R122=0,"",IF(parcelles!O122=ChanvreIndustriel,"soit "&amp;parcelles!Q122*0.8*0.8&amp;"t de grain et "&amp;parcelles!Q122*7*0.8&amp;"t de paille",IF(parcelles!O122=Luzerne,"soit "&amp;10*0.8*parcelles!Q122&amp;"t/an",IF(parcelles!O122=Miscanthus,"soit "&amp;10.5*0.8*parcelles!Q122&amp;"t/an","soit "&amp;INDEX(parcelles!$C$56:$Y$77,MATCH(parcelles!N122,parcelles!$B$56:$B$77,0),MATCH(parcelles!O122,parcelles!$C$53:$Y$53,0))*0.8*parcelles!Q122&amp;"t")))))</f>
        <v/>
      </c>
      <c r="IM74" s="1084" t="str">
        <f>IF(parcelles!S122="","",IF(parcelles!U122=0,"",IF(parcelles!R122=ChanvreIndustriel,parcelles!T122*0.8*0.8+parcelles!T122*7*0.8,IF(parcelles!R122=Luzerne,10*0.8*parcelles!T122,IF(parcelles!R122=Miscanthus,10.5*0.8*parcelles!T122,INDEX(parcelles!$C$56:$Y$77,MATCH(parcelles!Q122,parcelles!$B$56:$B$77,0),MATCH(parcelles!R122,parcelles!$C$53:$Y$53,0))*0.8*parcelles!T122)))))</f>
        <v/>
      </c>
      <c r="IN74" s="1368"/>
    </row>
    <row r="75" spans="1:248" ht="12.75" customHeight="1" x14ac:dyDescent="0.2">
      <c r="A75" s="1307" t="s">
        <v>508</v>
      </c>
      <c r="B75" s="1241">
        <f t="shared" si="17"/>
        <v>1E-3</v>
      </c>
      <c r="C75" s="1321"/>
      <c r="D75" s="1321"/>
      <c r="E75" s="1321"/>
      <c r="F75" s="1321"/>
      <c r="G75" s="1321"/>
      <c r="H75" s="1321"/>
      <c r="I75" s="1321"/>
      <c r="J75" s="1321"/>
      <c r="K75" s="1321"/>
      <c r="L75" s="1321"/>
      <c r="M75" s="1321"/>
      <c r="N75" s="1321"/>
      <c r="O75" s="1321"/>
      <c r="P75" s="1320"/>
      <c r="Q75" s="1320"/>
      <c r="R75" s="1320"/>
      <c r="S75" s="1320"/>
      <c r="T75" s="1320"/>
      <c r="U75" s="1320"/>
      <c r="V75" s="1320"/>
      <c r="W75" s="1320"/>
      <c r="X75" s="1321"/>
      <c r="Y75" s="1266"/>
      <c r="Z75" s="1266" t="s">
        <v>1691</v>
      </c>
      <c r="AA75" s="1266" t="s">
        <v>114</v>
      </c>
      <c r="AB75" s="1266" t="s">
        <v>657</v>
      </c>
      <c r="AC75" s="1266" t="s">
        <v>115</v>
      </c>
      <c r="AD75" s="1266" t="s">
        <v>116</v>
      </c>
      <c r="AE75" s="1266" t="s">
        <v>1625</v>
      </c>
      <c r="AF75" s="1266" t="s">
        <v>1626</v>
      </c>
      <c r="AG75" s="1266" t="s">
        <v>21</v>
      </c>
      <c r="AH75" s="1321"/>
      <c r="AI75" s="1321"/>
      <c r="AJ75" s="1321"/>
      <c r="AK75" s="1321"/>
      <c r="AL75" s="1321"/>
      <c r="AM75" s="1321"/>
      <c r="AN75" s="1321"/>
      <c r="AO75" s="1321"/>
      <c r="AP75" s="1321"/>
      <c r="AQ75" s="1321"/>
      <c r="AR75" s="1321"/>
      <c r="AS75" s="1321"/>
      <c r="AT75" s="1321"/>
      <c r="AU75" s="1321"/>
      <c r="AV75" s="1321"/>
      <c r="AW75" s="1321"/>
      <c r="AX75" s="1321"/>
      <c r="AY75" s="1321"/>
      <c r="AZ75" s="1321"/>
      <c r="BA75" s="1321"/>
      <c r="BB75" s="1236" t="s">
        <v>726</v>
      </c>
      <c r="BC75" s="1190" t="s">
        <v>285</v>
      </c>
      <c r="BD75" s="1190" t="s">
        <v>1253</v>
      </c>
      <c r="BE75" s="1237">
        <v>7.2</v>
      </c>
      <c r="BF75" s="1237">
        <v>6</v>
      </c>
      <c r="BG75" s="1237">
        <v>4</v>
      </c>
      <c r="BH75" s="1237">
        <v>2</v>
      </c>
      <c r="BI75" s="1237">
        <v>1.2</v>
      </c>
      <c r="BJ75" s="1237">
        <v>0.6</v>
      </c>
      <c r="BK75" s="1238">
        <v>0</v>
      </c>
      <c r="BL75" s="1348"/>
      <c r="BM75" s="1076" t="str">
        <f t="shared" si="23"/>
        <v>Blé</v>
      </c>
      <c r="BN75" s="1076">
        <f t="array" ref="BN75">IF(Ration_hivernale_complète_bisons[somme]&gt;0,0,IFERROR(IF(OR(AND(INDEX(Règles_bison[Specificite],MATCH(ChoixRationBisons&amp;$BM75,Règles_bison[Ration]&amp;Règles_bison[Aliment],0))="s1",IF($BM75=ChoixSpécificité1Bisons,1)),
AND(INDEX(Règles_bison[Specificite],MATCH(ChoixRationBisons&amp;$BM75,Règles_bison[Ration]&amp;Règles_bison[Aliment],0))="s2",IF($BM75=ChoixSpécificité2Bisons,1)),INDEX(Règles_bison[Specificite],MATCH(ChoixRationBisons&amp;$BM75,Règles_bison[Ration]&amp;Règles_bison[Aliment],0))="c"),
INDEX(Règles_bison[Valeur 36 et plus],MATCH(ChoixRationBisons&amp;$BM75,Règles_bison[Ration]&amp;Règles_bison[Aliment],0)),0),0)*TotalBisonnes*SUM(NbreJoursNourrirBisonsDaims))</f>
        <v>0</v>
      </c>
      <c r="BO75" s="1076">
        <f t="array" ref="BO75">IF(Ration_hivernale_complète_bisons[somme]&gt;0,0,IFERROR(IF(OR(AND(INDEX(Règles_bison[Specificite],MATCH(ChoixRationBisons&amp;$BM75,Règles_bison[Ration]&amp;Règles_bison[Aliment],0))="s1",IF($BM75=ChoixSpécificité1Bisons,1)),
AND(INDEX(Règles_bison[Specificite],MATCH(ChoixRationBisons&amp;$BM75,Règles_bison[Ration]&amp;Règles_bison[Aliment],0))="s2",IF($BM75=ChoixSpécificité2Bisons,1)),INDEX(Règles_bison[Specificite],MATCH(ChoixRationBisons&amp;$BM75,Règles_bison[Ration]&amp;Règles_bison[Aliment],0))="c"),
INDEX(Règles_bison[Valeur 24-36],MATCH(ChoixRationBisons&amp;$BM75,Règles_bison[Ration]&amp;Règles_bison[Aliment],0)),0),0)*TotalBisonsFemelles_24_36_mois*SUM(NbreJoursNourrirBisonsDaims))</f>
        <v>0</v>
      </c>
      <c r="BP75" s="1076">
        <f t="array" ref="BP75">IF(Ration_hivernale_complète_bisons[somme]&gt;0,0,IFERROR(IF(OR(AND(INDEX(Règles_bison[Specificite],MATCH(ChoixRationBisons&amp;$BM75,Règles_bison[Ration]&amp;Règles_bison[Aliment],0))="s1",IF($BM75=ChoixSpécificité1Bisons,1)),
AND(INDEX(Règles_bison[Specificite],MATCH(ChoixRationBisons&amp;$BM75,Règles_bison[Ration]&amp;Règles_bison[Aliment],0))="s2",IF($BM75=ChoixSpécificité2Bisons,1)),INDEX(Règles_bison[Specificite],MATCH(ChoixRationBisons&amp;$BM75,Règles_bison[Ration]&amp;Règles_bison[Aliment],0))="c"),
INDEX(Règles_bison[Valeur 18-24],MATCH(ChoixRationBisons&amp;$BM75,Règles_bison[Ration]&amp;Règles_bison[Aliment],0)),0),0)*TotalBisonsFemelles_18_24_mois*SUM(NbreJoursNourrirBisonsDaims))</f>
        <v>0</v>
      </c>
      <c r="BQ75" s="1076">
        <f t="array" ref="BQ75">IF(Ration_hivernale_complète_bisons[somme]&gt;0,0,IFERROR(IF(OR(AND(INDEX(Règles_bison[Specificite],MATCH(ChoixRationBisons&amp;$BM75,Règles_bison[Ration]&amp;Règles_bison[Aliment],0))="s1",IF($BM75=ChoixSpécificité1Bisons,1)),
AND(INDEX(Règles_bison[Specificite],MATCH(ChoixRationBisons&amp;$BM75,Règles_bison[Ration]&amp;Règles_bison[Aliment],0))="s2",IF($BM75=ChoixSpécificité2Bisons,1)),INDEX(Règles_bison[Specificite],MATCH(ChoixRationBisons&amp;$BM75,Règles_bison[Ration]&amp;Règles_bison[Aliment],0))="c"),
INDEX(Règles_bison[Valeur 12-18],MATCH(ChoixRationBisons&amp;$BM75,Règles_bison[Ration]&amp;Règles_bison[Aliment],0)),0),0)*TotalBisonsFemelles_12_18_mois*SUM(NbreJoursNourrirBisonsDaims))</f>
        <v>0</v>
      </c>
      <c r="BR75" s="1076">
        <f t="array" ref="BR75">IF(Ration_hivernale_complète_bisons[somme]&gt;0,0,IFERROR(IF(OR(AND(INDEX(Règles_bison[Specificite],MATCH(ChoixRationBisons&amp;$BM75,Règles_bison[Ration]&amp;Règles_bison[Aliment],0))="s1",IF($BM75=ChoixSpécificité1Bisons,1)),
AND(INDEX(Règles_bison[Specificite],MATCH(ChoixRationBisons&amp;$BM75,Règles_bison[Ration]&amp;Règles_bison[Aliment],0))="s2",IF($BM75=ChoixSpécificité2Bisons,1)),INDEX(Règles_bison[Specificite],MATCH(ChoixRationBisons&amp;$BM75,Règles_bison[Ration]&amp;Règles_bison[Aliment],0))="c"),
INDEX(Règles_bison[Valeur 6-12],MATCH(ChoixRationBisons&amp;$BM75,Règles_bison[Ration]&amp;Règles_bison[Aliment],0)),0),0)*TotalBisonsFemelles_6_12_mois*SUM(NbreJoursNourrirBisonsDaims))</f>
        <v>0</v>
      </c>
      <c r="BS75" s="1076">
        <f t="array" ref="BS75">IF(Ration_hivernale_complète_bisons[somme]&gt;0,0,IFERROR(IF(OR(AND(INDEX(Règles_bison[Specificite],MATCH(ChoixRationBisons&amp;$BM75,Règles_bison[Ration]&amp;Règles_bison[Aliment],0))="s1",IF($BM75=ChoixSpécificité1Bisons,1)),
AND(INDEX(Règles_bison[Specificite],MATCH(ChoixRationBisons&amp;$BM75,Règles_bison[Ration]&amp;Règles_bison[Aliment],0))="s2",IF($BM75=ChoixSpécificité2Bisons,1)),INDEX(Règles_bison[Specificite],MATCH(ChoixRationBisons&amp;$BM75,Règles_bison[Ration]&amp;Règles_bison[Aliment],0))="c"),
INDEX(Règles_bison[Valeur 3-6],MATCH(ChoixRationBisons&amp;$BM75,Règles_bison[Ration]&amp;Règles_bison[Aliment],0)),0),0)*TotalBisonsFemelles_3_6_mois*SUM(NbreJoursNourrirBisonsDaims))</f>
        <v>0</v>
      </c>
      <c r="BT75" s="1076">
        <f t="array" ref="BT75">IF(Ration_hivernale_complète_bisons[somme]&gt;0,0,IFERROR(IF(OR(AND(INDEX(Règles_bison[Specificite],MATCH(ChoixRationBisons&amp;$BM75,Règles_bison[Ration]&amp;Règles_bison[Aliment],0))="s1",IF($BM75=ChoixSpécificité1Bisons,1)),
AND(INDEX(Règles_bison[Specificite],MATCH(ChoixRationBisons&amp;$BM75,Règles_bison[Ration]&amp;Règles_bison[Aliment],0))="s2",IF($BM75=ChoixSpécificité2Bisons,1)),INDEX(Règles_bison[Specificite],MATCH(ChoixRationBisons&amp;$BM75,Règles_bison[Ration]&amp;Règles_bison[Aliment],0))="c"),
INDEX(Règles_bison[Valeur 0-3],MATCH(ChoixRationBisons&amp;$BM75,Règles_bison[Ration]&amp;Règles_bison[Aliment],0)),0),0)*TotalBisonsFemelles_0_3_mois*SUM(NbreJoursNourrirBisonsDaims))</f>
        <v>0</v>
      </c>
      <c r="BU75" s="1076">
        <f t="shared" si="22"/>
        <v>0</v>
      </c>
      <c r="BV75" s="1345"/>
      <c r="BW75" s="1345"/>
      <c r="BX75" s="1176" t="s">
        <v>729</v>
      </c>
      <c r="BY75" s="1177" t="s">
        <v>763</v>
      </c>
      <c r="BZ75" s="1177" t="s">
        <v>1252</v>
      </c>
      <c r="CA75" s="1177">
        <v>6</v>
      </c>
      <c r="CB75" s="1177">
        <v>4</v>
      </c>
      <c r="CC75" s="1177">
        <v>2</v>
      </c>
      <c r="CD75" s="1199">
        <v>0</v>
      </c>
      <c r="CE75" s="1350"/>
      <c r="CF75" s="1350"/>
      <c r="CG75" s="1350"/>
      <c r="CH75" s="1350"/>
      <c r="CI75" s="1321"/>
      <c r="CJ75" s="808" t="s">
        <v>723</v>
      </c>
      <c r="CK75" s="788">
        <f t="array" ref="CK7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75" s="788">
        <f t="array" ref="CL7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75" s="788">
        <f t="array" ref="CM7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75" s="788">
        <f t="array" ref="CN7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75" s="788">
        <f t="array" ref="CO75">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75" s="812">
        <f>SUM(AlimentsRationPorcinsMâles[[#This Row],[Valeur 12 et plus]:[Valeur 0-1]])</f>
        <v>0</v>
      </c>
      <c r="CQ75" s="1321"/>
      <c r="CR75" s="1321"/>
      <c r="CS75" s="808" t="s">
        <v>339</v>
      </c>
      <c r="CT75" s="817">
        <f t="array" ref="CT7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75" s="817">
        <f t="array" ref="CU7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75" s="817">
        <f t="array" ref="CV7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75" s="818">
        <f>SUM(AlimentsRationLapinsMâles[[#This Row],[Valeur 3 et plus]:[Valeur 0-1]])</f>
        <v>0</v>
      </c>
      <c r="CX75" s="1321"/>
      <c r="CY75" s="1321"/>
      <c r="CZ75" s="808" t="s">
        <v>339</v>
      </c>
      <c r="DA75" s="817">
        <f t="array" ref="DA7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75" s="817">
        <f t="array" ref="DB7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75" s="817">
        <f t="array" ref="DC7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75" s="818">
        <f>SUM(AlimentsRationVolaillesMâles[[#This Row],[Valeur 6 et plus]:[Valeur 0-1]])</f>
        <v>0</v>
      </c>
      <c r="DE75" s="1364"/>
      <c r="DF75" s="1321"/>
      <c r="DG75" s="808" t="s">
        <v>63</v>
      </c>
      <c r="DH75" s="817">
        <f t="array" ref="DH7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75" s="817">
        <f t="array" ref="DI7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75" s="817">
        <f t="array" ref="DJ7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75" s="818">
        <f>SUM(AlimentsRationPintadesMâles[[#This Row],[Valeur 9 et plus]:[Valeur 0-1]])</f>
        <v>0</v>
      </c>
      <c r="DL75" s="1364"/>
      <c r="DM75" s="1364"/>
      <c r="DN75" s="1176" t="s">
        <v>724</v>
      </c>
      <c r="DO75" s="1177" t="s">
        <v>733</v>
      </c>
      <c r="DP75" s="1177" t="s">
        <v>1252</v>
      </c>
      <c r="DQ75" s="1181">
        <v>20</v>
      </c>
      <c r="DR75" s="1181">
        <v>12</v>
      </c>
      <c r="DS75" s="1181">
        <v>8</v>
      </c>
      <c r="DT75" s="1243">
        <v>4</v>
      </c>
      <c r="DU75" s="1346"/>
      <c r="DV75" s="1345"/>
      <c r="DW75" s="1345"/>
      <c r="DX75" s="1345"/>
      <c r="DY75" s="1345"/>
      <c r="DZ75" s="1345"/>
      <c r="EA75" s="1345"/>
      <c r="EB75" s="1345"/>
      <c r="EC75" s="1345"/>
      <c r="ED75" s="1345"/>
      <c r="EE75" s="1345"/>
      <c r="EF75" s="1321"/>
      <c r="EG75" s="808" t="s">
        <v>297</v>
      </c>
      <c r="EH75" s="817">
        <f t="array" ref="EH7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75" s="817">
        <f t="array" ref="EI7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75" s="817">
        <f t="array" ref="EJ7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75" s="818">
        <f>SUM(AlimentsRationOiesMâles[[#This Row],[Valeur 6 et plus]:[Valeur 0-3]])</f>
        <v>0</v>
      </c>
      <c r="EL75" s="1364"/>
      <c r="EM75" s="1321"/>
      <c r="EN75" s="808" t="s">
        <v>65</v>
      </c>
      <c r="EO75" s="817">
        <f t="array" ref="EO7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75" s="817">
        <f t="array" ref="EP7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75" s="817">
        <f t="array" ref="EQ7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75" s="818">
        <f>SUM(Ration_canards_Mâles[[#This Row],[Valeur 6 et plus]:[Valeur 0-3]])</f>
        <v>0</v>
      </c>
      <c r="ES75" s="1364"/>
      <c r="ET75" s="1346"/>
      <c r="EU75" s="1083" t="s">
        <v>332</v>
      </c>
      <c r="EV75" s="1283">
        <f t="array" ref="EV75">IF(OR(ChoixRationComplèteEtéChevauxSelle=OUI,ChoixRationComplèteEtéChevauxSelle="",AND(ChoixChevauxSellePréHiver=OUI,ChoixChevauxSellePréEté=OUI)),0,IFERROR(IF(OR(AND(INDEX(Règles_chevaux_selle[Specificite],MATCH(RationEtéChevauxSelle&amp;$EU75,Règles_chevaux_selle[Ration]&amp;Règles_chevaux_selle[Aliment],0))="s1",IF($EU75=Spécificité1ChevauxSelle,1)),
AND(INDEX(Règles_chevaux_selle[Specificite],MATCH(RationEtéChevauxSelle&amp;$EU75,Règles_chevaux_selle[Ration]&amp;Règles_chevaux_selle[Aliment],0))="s2",IF($EU75=Spécificité2ChevauxSelle,1)),
INDEX(Règles_chevaux_selle[Specificite],MATCH(RationEtéChevauxSelle&amp;$EU75,Règles_chevaux_selle[Ration]&amp;Règles_chevaux_selle[Aliment],0))="c"),
INDEX(Règles_chevaux_selle[Valeur 36 et plus],MATCH(RationEtéChevauxSelle&amp;$EU75,Règles_chevaux_selle[Ration]&amp;Règles_chevaux_selle[Aliment],0)),0),0)*TotalEtalonSelle*SUM(NbreJoursNourrirChevauxSelle))</f>
        <v>0</v>
      </c>
      <c r="EW75" s="1283">
        <f t="array" ref="EW75">IF(OR(ChoixRationComplèteEtéChevauxSelle=OUI,ChoixRationComplèteEtéChevauxSelle="",AND(ChoixChevauxSellePréHiver=OUI,ChoixChevauxSellePréEté=OUI)),0,IFERROR(IF(OR(AND(INDEX(Règles_chevaux_selle[Specificite],MATCH(RationEtéChevauxSelle&amp;$EU75,Règles_chevaux_selle[Ration]&amp;Règles_chevaux_selle[Aliment],0))="s1",IF($EU75=Spécificité1ChevauxSelle,1)),
AND(INDEX(Règles_chevaux_selle[Specificite],MATCH(RationEtéChevauxSelle&amp;$EU75,Règles_chevaux_selle[Ration]&amp;Règles_chevaux_selle[Aliment],0))="s2",IF($EU75=Spécificité2ChevauxSelle,1)),
INDEX(Règles_chevaux_selle[Specificite],MATCH(RationEtéChevauxSelle&amp;$EU75,Règles_chevaux_selle[Ration]&amp;Règles_chevaux_selle[Aliment],0))="c"),
INDEX(Règles_chevaux_selle[Valeur 24-36],MATCH(RationEtéChevauxSelle&amp;$EU75,Règles_chevaux_selle[Ration]&amp;Règles_chevaux_selle[Aliment],0)),0),0)*TotalJeuneEtalonSelle_24_36_mois*SUM(NbreJoursNourrirChevauxSelle))</f>
        <v>0</v>
      </c>
      <c r="EX75" s="1283">
        <f t="array" ref="EX75">IF(OR(ChoixRationComplèteEtéChevauxSelle=OUI,ChoixRationComplèteEtéChevauxSelle="",AND(ChoixChevauxSellePréHiver=OUI,ChoixChevauxSellePréEté=OUI)),0,IFERROR(IF(OR(AND(INDEX(Règles_chevaux_selle[Specificite],MATCH(RationEtéChevauxSelle&amp;$EU75,Règles_chevaux_selle[Ration]&amp;Règles_chevaux_selle[Aliment],0))="s1",IF($EU75=Spécificité1ChevauxSelle,1)),
AND(INDEX(Règles_chevaux_selle[Specificite],MATCH(RationEtéChevauxSelle&amp;$EU75,Règles_chevaux_selle[Ration]&amp;Règles_chevaux_selle[Aliment],0))="s2",IF($EU75=Spécificité2ChevauxSelle,1)),
INDEX(Règles_chevaux_selle[Specificite],MATCH(RationEtéChevauxSelle&amp;$EU75,Règles_chevaux_selle[Ration]&amp;Règles_chevaux_selle[Aliment],0))="c"),
INDEX(Règles_chevaux_selle[Valeur 12-24],MATCH(RationEtéChevauxSelle&amp;$EU75,Règles_chevaux_selle[Ration]&amp;Règles_chevaux_selle[Aliment],0)),0),0)*TotalJeuneEtalonSelle_12_24_mois*SUM(NbreJoursNourrirChevauxSelle))</f>
        <v>0</v>
      </c>
      <c r="EY75" s="1286">
        <f t="array" ref="EY75">IF(OR(ChoixRationComplèteEtéChevauxSelle=OUI,ChoixRationComplèteEtéChevauxSelle="",AND(ChoixChevauxSellePréHiver=OUI,ChoixChevauxSellePréEté=OUI)),0,IFERROR(IF(OR(AND(INDEX(Règles_chevaux_selle[Specificite],MATCH(RationEtéChevauxSelle&amp;$EU75,Règles_chevaux_selle[Ration]&amp;Règles_chevaux_selle[Aliment],0))="s1",IF($EU75=Spécificité1ChevauxSelle,1)),
AND(INDEX(Règles_chevaux_selle[Specificite],MATCH(RationEtéChevauxSelle&amp;$EU75,Règles_chevaux_selle[Ration]&amp;Règles_chevaux_selle[Aliment],0))="s2",IF($EU75=Spécificité2ChevauxSelle,1)),
INDEX(Règles_chevaux_selle[Specificite],MATCH(RationEtéChevauxSelle&amp;$EU75,Règles_chevaux_selle[Ration]&amp;Règles_chevaux_selle[Aliment],0))="c"),
INDEX(Règles_chevaux_selle[Valeur 0-12],MATCH(RationEtéChevauxSelle&amp;$EU75,Règles_chevaux_selle[Ration]&amp;Règles_chevaux_selle[Aliment],0)),0),0)*TotalPoulainSelle_0_12_mois*SUM(NbreJoursNourrirChevauxSelle))</f>
        <v>0</v>
      </c>
      <c r="EZ75" s="1286">
        <f t="shared" si="16"/>
        <v>0</v>
      </c>
      <c r="FA75" s="1345"/>
      <c r="FB75" s="1345"/>
      <c r="FC75" s="1321"/>
      <c r="FD75" s="1083" t="s">
        <v>725</v>
      </c>
      <c r="FE75" s="1283">
        <f t="array" ref="FE75">IF(OR(ChoixRationComplèteEtéChevauxTrait=OUI,ChoixRationComplèteEtéChevauxTrait="",AND(ChoixChevauxTraitPréHiver=OUI,ChoixChevauxTraitPréEté=OUI)),0,IFERROR(IF(OR(AND(INDEX(Règles_chevaux_trait[Specificite],MATCH(RationEtéChevauxTrait&amp;$FD75,Règles_chevaux_trait[Ration]&amp;Règles_chevaux_trait[Aliment],0))="s1",IF($FD75=Spécificité1ChevauxTrait,1)),
AND(INDEX(Règles_chevaux_trait[Specificite],MATCH(RationEtéChevauxTrait&amp;$FD75,Règles_chevaux_trait[Ration]&amp;Règles_chevaux_trait[Aliment],0))="s2",IF($FD75=Spécificité2ChevauxTrait,1)),
INDEX(Règles_chevaux_trait[Specificite],MATCH(RationEtéChevauxTrait&amp;$FD75,Règles_chevaux_trait[Ration]&amp;Règles_chevaux_trait[Aliment],0))="c"),
INDEX(Règles_chevaux_trait[Valeur 36 et plus],MATCH(RationEtéChevauxTrait&amp;$FD75,Règles_chevaux_trait[Ration]&amp;Règles_chevaux_trait[Aliment],0)),0),0)*TotalEtalonTrait*SUM(NbreJoursNourrirChevauxTrait))</f>
        <v>0</v>
      </c>
      <c r="FF75" s="1283">
        <f t="array" ref="FF75">IF(OR(ChoixRationComplèteEtéChevauxTrait=OUI,ChoixRationComplèteEtéChevauxTrait="",AND(ChoixChevauxTraitPréHiver=OUI,ChoixChevauxTraitPréEté=OUI)),0,IFERROR(IF(OR(AND(INDEX(Règles_chevaux_trait[Specificite],MATCH(RationEtéChevauxTrait&amp;$FD75,Règles_chevaux_trait[Ration]&amp;Règles_chevaux_trait[Aliment],0))="s1",IF($FD75=Spécificité1ChevauxTrait,1)),
AND(INDEX(Règles_chevaux_trait[Specificite],MATCH(RationEtéChevauxTrait&amp;$FD75,Règles_chevaux_trait[Ration]&amp;Règles_chevaux_trait[Aliment],0))="s2",IF($FD75=Spécificité2ChevauxTrait,1)),
INDEX(Règles_chevaux_trait[Specificite],MATCH(RationEtéChevauxTrait&amp;$FD75,Règles_chevaux_trait[Ration]&amp;Règles_chevaux_trait[Aliment],0))="c"),
INDEX(Règles_chevaux_trait[Valeur 24-36],MATCH(RationEtéChevauxTrait&amp;$FD75,Règles_chevaux_trait[Ration]&amp;Règles_chevaux_trait[Aliment],0)),0),0)*TotalJeuneEtalonTrait_24_36_mois*SUM(NbreJoursNourrirChevauxTrait))</f>
        <v>0</v>
      </c>
      <c r="FG75" s="1283">
        <f t="array" ref="FG75">IF(OR(ChoixRationComplèteEtéChevauxTrait=OUI,ChoixRationComplèteEtéChevauxTrait="",AND(ChoixChevauxTraitPréHiver=OUI,ChoixChevauxTraitPréEté=OUI)),0,IFERROR(IF(OR(AND(INDEX(Règles_chevaux_trait[Specificite],MATCH(RationEtéChevauxTrait&amp;$FD75,Règles_chevaux_trait[Ration]&amp;Règles_chevaux_trait[Aliment],0))="s1",IF($FD75=Spécificité1ChevauxTrait,1)),
AND(INDEX(Règles_chevaux_trait[Specificite],MATCH(RationEtéChevauxTrait&amp;$FD75,Règles_chevaux_trait[Ration]&amp;Règles_chevaux_trait[Aliment],0))="s2",IF($FD75=Spécificité2ChevauxTrait,1)),
INDEX(Règles_chevaux_trait[Specificite],MATCH(RationEtéChevauxTrait&amp;$FD75,Règles_chevaux_trait[Ration]&amp;Règles_chevaux_trait[Aliment],0))="c"),
INDEX(Règles_chevaux_trait[Valeur 12-24],MATCH(RationEtéChevauxTrait&amp;$FD75,Règles_chevaux_trait[Ration]&amp;Règles_chevaux_trait[Aliment],0)),0),0)*TotalJeuneEtalonTrait_12_24_mois*SUM(NbreJoursNourrirChevauxTrait))</f>
        <v>0</v>
      </c>
      <c r="FH75" s="1286">
        <f t="array" ref="FH75">IF(OR(ChoixRationComplèteEtéChevauxTrait=OUI,ChoixRationComplèteEtéChevauxTrait="",AND(ChoixChevauxTraitPréHiver=OUI,ChoixChevauxTraitPréEté=OUI)),0,IFERROR(IF(OR(AND(INDEX(Règles_chevaux_trait[Specificite],MATCH(RationEtéChevauxTrait&amp;$FD75,Règles_chevaux_trait[Ration]&amp;Règles_chevaux_trait[Aliment],0))="s1",IF($FD75=Spécificité1ChevauxTrait,1)),
AND(INDEX(Règles_chevaux_trait[Specificite],MATCH(RationEtéChevauxTrait&amp;$FD75,Règles_chevaux_trait[Ration]&amp;Règles_chevaux_trait[Aliment],0))="s2",IF($FD75=Spécificité2ChevauxTrait,1)),
INDEX(Règles_chevaux_trait[Specificite],MATCH(RationEtéChevauxTrait&amp;$FD75,Règles_chevaux_trait[Ration]&amp;Règles_chevaux_trait[Aliment],0))="c"),
INDEX(Règles_chevaux_trait[Valeur 0-12],MATCH(RationEtéChevauxTrait&amp;$FD75,Règles_chevaux_trait[Ration]&amp;Règles_chevaux_trait[Aliment],0)),0),0)*TotalPoulainTrait_0_12_mois*SUM(NbreJoursNourrirChevauxTrait))</f>
        <v>0</v>
      </c>
      <c r="FI75" s="1286">
        <f t="shared" si="15"/>
        <v>0</v>
      </c>
      <c r="FJ75" s="1345"/>
      <c r="FK75" s="1345"/>
      <c r="FL75" s="1345"/>
      <c r="FM75" s="1345"/>
      <c r="FN75" s="1082" t="s">
        <v>297</v>
      </c>
      <c r="FO75" s="1282">
        <f t="array" ref="FO75">IF(OR(ChoixRationComplèteEtéPoneys=OUI,ChoixRationComplèteEtéPoneys="",AND(ChoixPoneysPréHiver=OUI,ChoixPoneysPréEté=OUI)),0,IFERROR(IF(OR(AND(INDEX(Règles_poneys[Specificite],MATCH(RationEtéPoneys&amp;$FN75,Règles_poneys[Ration]&amp;Règles_poneys[Aliment],0))="s1",IF($FN75=Spécificité1Poneys,1)),
AND(INDEX(Règles_poneys[Specificite],MATCH(RationEtéPoneys&amp;$FN75,Règles_poneys[Ration]&amp;Règles_poneys[Aliment],0))="s2",IF($FN75=Spécificité2Poneys,1)),
INDEX(Règles_poneys[Specificite],MATCH(RationEtéPoneys&amp;$FN75,Règles_poneys[Ration]&amp;Règles_poneys[Aliment],0))="c"),
INDEX(Règles_poneys[Valeur 36 et plus],MATCH(RationEtéPoneys&amp;$FN75,Règles_poneys[Ration]&amp;Règles_poneys[Aliment],0)),0),0)*TotalEtalonPoney*SUM(NbreJoursNourrirPoneys))</f>
        <v>0</v>
      </c>
      <c r="FP75" s="1282">
        <f t="array" ref="FP75">IF(OR(ChoixRationComplèteEtéPoneys=OUI,ChoixRationComplèteEtéPoneys="",AND(ChoixPoneysPréHiver=OUI,ChoixPoneysPréEté=OUI)),0,IFERROR(IF(OR(AND(INDEX(Règles_poneys[Specificite],MATCH(RationEtéPoneys&amp;$FN75,Règles_poneys[Ration]&amp;Règles_poneys[Aliment],0))="s1",IF($FN75=Spécificité1Poneys,1)),
AND(INDEX(Règles_poneys[Specificite],MATCH(RationEtéPoneys&amp;$FN75,Règles_poneys[Ration]&amp;Règles_poneys[Aliment],0))="s2",IF($FN75=Spécificité2Poneys,1)),
INDEX(Règles_poneys[Specificite],MATCH(RationEtéPoneys&amp;$FN75,Règles_poneys[Ration]&amp;Règles_poneys[Aliment],0))="c"),
INDEX(Règles_poneys[Valeur 36 et plus],MATCH(RationEtéPoneys&amp;$FN75,Règles_poneys[Ration]&amp;Règles_poneys[Aliment],0)),0),0)*TotalJeuneEtalonPoney_24_36_mois*SUM(NbreJoursNourrirPoneys))</f>
        <v>0</v>
      </c>
      <c r="FQ75" s="1282">
        <f t="array" ref="FQ75">IF(OR(ChoixRationComplèteEtéPoneys=OUI,ChoixRationComplèteEtéPoneys="",AND(ChoixPoneysPréHiver=OUI,ChoixPoneysPréEté=OUI)),0,IFERROR(IF(OR(AND(INDEX(Règles_poneys[Specificite],MATCH(RationEtéPoneys&amp;$FN75,Règles_poneys[Ration]&amp;Règles_poneys[Aliment],0))="s1",IF($FN75=Spécificité1Poneys,1)),
AND(INDEX(Règles_poneys[Specificite],MATCH(RationEtéPoneys&amp;$FN75,Règles_poneys[Ration]&amp;Règles_poneys[Aliment],0))="s2",IF($FN75=Spécificité2Poneys,1)),
INDEX(Règles_poneys[Specificite],MATCH(RationEtéPoneys&amp;$FN75,Règles_poneys[Ration]&amp;Règles_poneys[Aliment],0))="c"),
INDEX(Règles_poneys[Valeur 36 et plus],MATCH(RationEtéPoneys&amp;$FN75,Règles_poneys[Ration]&amp;Règles_poneys[Aliment],0)),0),0)*TotalJeuneEtalonPoney_12_24_mois*SUM(NbreJoursNourrirPoneys))</f>
        <v>0</v>
      </c>
      <c r="FR75" s="1285">
        <f t="array" ref="FR75">IF(OR(ChoixRationComplèteEtéPoneys=OUI,ChoixRationComplèteEtéPoneys="",AND(ChoixPoneysPréHiver=OUI,ChoixPoneysPréEté=OUI)),0,IFERROR(IF(OR(AND(INDEX(Règles_poneys[Specificite],MATCH(RationEtéPoneys&amp;$FN75,Règles_poneys[Ration]&amp;Règles_poneys[Aliment],0))="s1",IF($FN75=Spécificité1Poneys,1)),
AND(INDEX(Règles_poneys[Specificite],MATCH(RationEtéPoneys&amp;$FN75,Règles_poneys[Ration]&amp;Règles_poneys[Aliment],0))="s2",IF($FN75=Spécificité2Poneys,1)),
INDEX(Règles_poneys[Specificite],MATCH(RationEtéPoneys&amp;$FN75,Règles_poneys[Ration]&amp;Règles_poneys[Aliment],0))="c"),
INDEX(Règles_poneys[Valeur 36 et plus],MATCH(RationEtéPoneys&amp;$FN75,Règles_poneys[Ration]&amp;Règles_poneys[Aliment],0)),0),0)*TotalPoulainPoney_0_12_mois*SUM(NbreJoursNourrirPoneys))</f>
        <v>0</v>
      </c>
      <c r="FS75" s="1285">
        <f t="shared" si="14"/>
        <v>0</v>
      </c>
      <c r="FT75" s="1345"/>
      <c r="FU75" s="1345"/>
      <c r="FV75" s="1345"/>
      <c r="FW75" s="823" t="s">
        <v>76</v>
      </c>
      <c r="FX75" s="828">
        <f t="array" ref="FX7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75" s="828">
        <f t="array" ref="FY7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75" s="828">
        <f t="array" ref="FZ7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75" s="828">
        <f t="array" ref="GA75">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75" s="829">
        <f>SUM(AlimentsGavageOies[[#This Row],[Valeur 3 et plus]:[Valeur 0-1]])</f>
        <v>0</v>
      </c>
      <c r="GC75" s="1364"/>
      <c r="GD75" s="1321"/>
      <c r="GE75" s="1321"/>
      <c r="GF75" s="1321"/>
      <c r="GG75" s="1321" t="s">
        <v>1349</v>
      </c>
      <c r="GH75" s="1321" t="s">
        <v>1349</v>
      </c>
      <c r="GI75" s="1321" t="s">
        <v>1349</v>
      </c>
      <c r="GJ75" s="1321" t="s">
        <v>1349</v>
      </c>
      <c r="GK75" s="1321" t="s">
        <v>1349</v>
      </c>
      <c r="GL75" s="1321" t="s">
        <v>1349</v>
      </c>
      <c r="GM75" s="1321" t="s">
        <v>1349</v>
      </c>
      <c r="GN75" s="1321" t="s">
        <v>1349</v>
      </c>
      <c r="GO75" s="1321" t="s">
        <v>1349</v>
      </c>
      <c r="GP75" s="1321" t="s">
        <v>1349</v>
      </c>
      <c r="GQ75" s="1321" t="s">
        <v>1349</v>
      </c>
      <c r="GR75" s="1321" t="s">
        <v>1349</v>
      </c>
      <c r="GS75" s="1321" t="s">
        <v>1349</v>
      </c>
      <c r="GT75" s="1321" t="s">
        <v>1349</v>
      </c>
      <c r="GU75" s="1321" t="s">
        <v>1349</v>
      </c>
      <c r="GV75" s="1321" t="s">
        <v>1349</v>
      </c>
      <c r="GW75" s="1321"/>
      <c r="GX75" s="1321"/>
      <c r="GY75" s="1082" t="str">
        <f t="shared" si="11"/>
        <v>semences de soja</v>
      </c>
      <c r="GZ75" s="1082"/>
      <c r="HA75" s="1085"/>
      <c r="HB75" s="1085">
        <f>IF(COUNTIF(TypeArticleDansEntrepôt,GY75)=0,0,SUMIF(TypeArticleDansEntrepôt,GY75,QtéArticleDansEntrepôt)*VLOOKUP(GY75,place_necessaire_entrepots_aire_paille[],2,FALSE))</f>
        <v>0</v>
      </c>
      <c r="HC75" s="1321"/>
      <c r="HD75" s="1321"/>
      <c r="HE75" s="1321"/>
      <c r="HF75" s="1321"/>
      <c r="HG75" s="1321"/>
      <c r="HH75" s="1321"/>
      <c r="HI75" s="1321"/>
      <c r="HJ75" s="1321"/>
      <c r="HK75" s="1321"/>
      <c r="HL75" s="1321"/>
      <c r="HM75" s="1321"/>
      <c r="HN75" s="1085" t="str">
        <f>IF(parcelles!B123="","",(VLOOKUP(parcelles!C123,BDD!$HN$5:$HU$38,2,FALSE))*parcelles!E123)</f>
        <v/>
      </c>
      <c r="HO75" s="1085" t="str">
        <f>IF(parcelles!B123="","",IF(OR(parcelles!C123=Moutarde,parcelles!C123=Phacélie),0,IF(parcelles!C123=Luzerne,10*parcelles!E123*VLOOKUP(parcelles!C123,BDD!$HN$5:$HU$38,3,FALSE),IF(parcelles!C123=Miscanthus,10.5*parcelles!E123*VLOOKUP(parcelles!C123,BDD!$HN$5:$HU$38,3,FALSE),INDEX(parcelles!$C$56:'parcelles'!$Y$77,MATCH(parcelles!B123,parcelles!$B$56:'parcelles'!$B$77,0),MATCH(parcelles!C123,parcelles!$C$53:'parcelles'!$Y$53,0))*parcelles!E123*VLOOKUP(parcelles!C123,BDD!$HN$5:$HU$38,3,FALSE)))))</f>
        <v/>
      </c>
      <c r="HP75" s="1085" t="str">
        <f>IF(parcelles!B123="","",IF(OR(parcelles!C123=Moutarde,parcelles!C123=Phacélie),0,IF(parcelles!C123=Luzerne,10*parcelles!E123*VLOOKUP(parcelles!C123,BDD!$HN$5:$HU$38,4,FALSE),IF(parcelles!C123=Miscanthus,10.5*parcelles!E123*VLOOKUP(parcelles!C123,BDD!$HN$5:$HU$38,4,FALSE),INDEX(parcelles!$C$56:'parcelles'!$Y$77,MATCH(parcelles!B123,parcelles!$B$56:'parcelles'!$B$77,0),MATCH(parcelles!C123,parcelles!$C$53:'parcelles'!$Y$53,0))*parcelles!E123*VLOOKUP(parcelles!C123,BDD!$HN$5:$HU$38,4,FALSE)))))</f>
        <v/>
      </c>
      <c r="HQ75" s="1085" t="str">
        <f>IF(parcelles!B123="","",IF(OR(parcelles!C123=Moutarde,parcelles!C123=Phacélie),0,IF(parcelles!C123=Luzerne,10*parcelles!E123*VLOOKUP(parcelles!C123,BDD!$HN$5:$HU$38,5,FALSE),IF(parcelles!C123=Miscanthus,10.5*parcelles!E123*VLOOKUP(parcelles!C123,BDD!$HN$5:$HU$38,5,FALSE),INDEX(parcelles!$C$56:'parcelles'!$Y$77,MATCH(parcelles!B123,parcelles!$B$56:'parcelles'!$B$77,0),MATCH(parcelles!C123,parcelles!$C$53:'parcelles'!$Y$53,0))*parcelles!E123*VLOOKUP(parcelles!C123,BDD!$HN$5:$HU$38,5,FALSE)))))</f>
        <v/>
      </c>
      <c r="HR75" s="1085" t="str">
        <f>IF(parcelles!B123="","",IF(OR(parcelles!C123=Moutarde,parcelles!C123=Phacélie),0,IF(parcelles!C123=Luzerne,10*parcelles!E123*VLOOKUP(parcelles!C123,BDD!$HN$5:$HU$38,6,FALSE),IF(parcelles!C123=Miscanthus,10.5*parcelles!E123*VLOOKUP(parcelles!C123,BDD!$HN$5:$HU$38,6,FALSE),INDEX(parcelles!$C$56:'parcelles'!$Y$77,MATCH(parcelles!B123,parcelles!$B$56:'parcelles'!$B$77,0),MATCH(parcelles!C123,parcelles!$C$53:'parcelles'!$Y$53,0))*parcelles!E123*VLOOKUP(parcelles!C123,BDD!$HN$5:$HU$38,6,FALSE)))))</f>
        <v/>
      </c>
      <c r="HS75" s="1085" t="str">
        <f>IF(parcelles!B123="","",IF(OR(parcelles!C123=Moutarde,parcelles!C123=Phacélie),0,IF(parcelles!C123=Luzerne,10*parcelles!E123*VLOOKUP(parcelles!C123,BDD!$HN$5:$HU$38,7,FALSE),IF(parcelles!C123=Miscanthus,10.5*parcelles!E123*VLOOKUP(parcelles!C123,BDD!$HN$5:$HU$38,7,FALSE),INDEX(parcelles!$C$56:'parcelles'!$Y$77,MATCH(parcelles!B123,parcelles!$B$56:'parcelles'!$B$77,0),MATCH(parcelles!C123,parcelles!$C$53:'parcelles'!$Y$53,0))*parcelles!E123*VLOOKUP(parcelles!C123,BDD!$HN$5:$HU$38,7,FALSE)))))</f>
        <v/>
      </c>
      <c r="HT75" s="1085" t="str">
        <f>IF(parcelles!B123="","",IF(OR(parcelles!C123=Moutarde,parcelles!C123=Phacélie),0,IF(parcelles!C123=Luzerne,10*parcelles!E123*VLOOKUP(parcelles!C123,BDD!$HN$5:$HU$38,8,FALSE),IF(parcelles!C123=Miscanthus,10.5*parcelles!E123*VLOOKUP(parcelles!C123,BDD!$HN$5:$HU$38,8,FALSE),INDEX(parcelles!$C$56:'parcelles'!$Y$77,MATCH(parcelles!B123,parcelles!$B$56:'parcelles'!$B$77,0),MATCH(parcelles!C123,parcelles!$C$53:'parcelles'!$Y$53,0))*parcelles!E123*VLOOKUP(parcelles!C123,BDD!$HN$5:$HU$38,8,FALSE)))))</f>
        <v/>
      </c>
      <c r="HU75" s="1085" t="str">
        <f>IF(parcelles!B123="","",IF(OR(parcelles!C123=Moutarde,parcelles!C123=Phacélie),0,1.6*parcelles!E123))</f>
        <v/>
      </c>
      <c r="HV75" s="1085" t="str">
        <f>IF(parcelles!B123="","",IF(OR(parcelles!C123=Moutarde,parcelles!C123=Phacélie),0,1.6*parcelles!E123))</f>
        <v/>
      </c>
      <c r="HW75" s="1085" t="str">
        <f>IF(parcelles!B123="","",IF(OR(parcelles!C123=Moutarde,parcelles!C123=Phacélie),0,1.6*parcelles!E123))</f>
        <v/>
      </c>
      <c r="HX75" s="1092" t="str">
        <f>IF(parcelles!D123="","",IF(parcelles!C123=ChanvreIndustriel,INDEX(parcelles!$C$56:$Y$77,MATCH(parcelles!B123,parcelles!$B$56:$B$77,0),MATCH(parcelles!C123,parcelles!$C$53:$Y$53,0))*parcelles!E123*SUMIF(ListeCulturesBDD,parcelles!C123,PrixVenteCulturesConventionnel)+RIGHT(BDD!$HM$7,3)*7*parcelles!E123,IF(parcelles!C123=Luzerne,parcelles!E123*10*VLOOKUP(parcelles!C123,TarifsCoopCultures,2,FALSE),IF(parcelles!C123=Miscanthus,parcelles!E123*10.5*VLOOKUP(Luzerne,TarifsCoopCultures,2,FALSE),INDEX(parcelles!$C$56:$Y$77,MATCH(parcelles!B123,parcelles!$B$56:$B$77,0),MATCH(parcelles!C123,parcelles!$C$53:$Y$53,0))*parcelles!E123*SUMIF(ListeCulturesBDD,parcelles!C123,PrixVenteCulturesConventionnel)))))</f>
        <v/>
      </c>
      <c r="HY75" s="1085" t="str">
        <f>IF(parcelles!D123="","",IF(parcelles!F123=0,"",IF(parcelles!C123=ChanvreIndustriel,"soit "&amp;parcelles!E123*0.8&amp;"t de grain et "&amp;parcelles!E123*7&amp;"t de paille",IF(parcelles!C123=Luzerne,"soit "&amp;10*parcelles!E123&amp;"t/an",IF(parcelles!C123=Miscanthus,"soit "&amp;10.5*parcelles!E123&amp;"t/an","soit "&amp;INDEX(parcelles!$C$56:$Y$77,MATCH(parcelles!B123,parcelles!$B$56:$B$77,0),MATCH(parcelles!C123,parcelles!$C$53:$Y$53,0))*parcelles!E123&amp;"t")))))</f>
        <v/>
      </c>
      <c r="HZ75" s="1085" t="str">
        <f>IF(parcelles!D123="","",IF(parcelles!F123=0,"",IF(parcelles!C123=ChanvreIndustriel,"soit "&amp;parcelles!E123*0.8*0.8&amp;"t de grain et "&amp;parcelles!E123*7*0.8&amp;"t de paille",IF(parcelles!C123=Luzerne,"soit "&amp;10*0.8*parcelles!E123&amp;"t/an",IF(parcelles!C123=Miscanthus,"soit "&amp;10.5*0.8*parcelles!E123&amp;"t/an","soit "&amp;INDEX(parcelles!$C$56:$Y$77,MATCH(parcelles!B123,parcelles!$B$56:$B$77,0),MATCH(parcelles!C123,parcelles!$C$53:$Y$53,0))*0.8*parcelles!E123&amp;"t")))))</f>
        <v/>
      </c>
      <c r="IA75" s="1085" t="str">
        <f>IF(parcelles!L123="","",(VLOOKUP(parcelles!M123,BDD!$HN$5:$HU$38,2,FALSE))*parcelles!O123)</f>
        <v/>
      </c>
      <c r="IB75" s="1085" t="str">
        <f>IF(parcelles!L123="","",IF(OR(parcelles!M123=Moutarde,parcelles!M123=Phacélie),0,IF(parcelles!M123=Luzerne,10*parcelles!O123*VLOOKUP(parcelles!M123,BDD!$HN$5:$HU$38,3,FALSE),IF(parcelles!M123=Miscanthus,10.5*parcelles!O123*VLOOKUP(parcelles!M123,BDD!$HN$5:$HU$38,3,FALSE),INDEX(parcelles!$C$56:'parcelles'!$Y$77,MATCH(parcelles!L123,parcelles!$B$56:'parcelles'!$B$77,0),MATCH(parcelles!M123,parcelles!$C$53:'parcelles'!$Y$53,0))*parcelles!O123*VLOOKUP(parcelles!M123,BDD!$HN$5:$HU$38,3,FALSE)))))</f>
        <v/>
      </c>
      <c r="IC75" s="1085" t="str">
        <f>IF(parcelles!L123="","",IF(OR(parcelles!M123=Moutarde,parcelles!M123=Phacélie),0,IF(parcelles!M123=Luzerne,10*parcelles!O123*VLOOKUP(parcelles!M123,BDD!$HN$5:$HU$38,4,FALSE),IF(parcelles!M123=Miscanthus,10.5*parcelles!O123*VLOOKUP(parcelles!M123,BDD!$HN$5:$HU$38,4,FALSE),INDEX(parcelles!$C$56:'parcelles'!$Y$77,MATCH(parcelles!L123,parcelles!$B$56:'parcelles'!$B$77,0),MATCH(parcelles!M123,parcelles!$C$53:'parcelles'!$Y$53,0))*parcelles!O123*VLOOKUP(parcelles!M123,BDD!$HN$5:$HU$38,4,FALSE)))))</f>
        <v/>
      </c>
      <c r="ID75" s="1085" t="str">
        <f>IF(parcelles!L123="","",IF(OR(parcelles!M123=Moutarde,parcelles!M123=Phacélie),0,IF(parcelles!M123=Luzerne,10*parcelles!O123*VLOOKUP(parcelles!M123,BDD!$HN$5:$HU$38,5,FALSE),IF(parcelles!M123=Miscanthus,10.5*parcelles!O123*VLOOKUP(parcelles!M123,BDD!$HN$5:$HU$38,5,FALSE),INDEX(parcelles!$C$56:'parcelles'!$Y$77,MATCH(parcelles!L123,parcelles!$B$56:'parcelles'!$B$77,0),MATCH(parcelles!M123,parcelles!$C$53:'parcelles'!$Y$53,0))*parcelles!O123*VLOOKUP(parcelles!M123,BDD!$HN$5:$HU$38,5,FALSE)))))</f>
        <v/>
      </c>
      <c r="IE75" s="1085" t="str">
        <f>IF(parcelles!L123="","",IF(OR(parcelles!M123=Moutarde,parcelles!M123=Phacélie),0,IF(parcelles!M123=Luzerne,10*parcelles!O123*VLOOKUP(parcelles!M123,BDD!$HN$5:$HU$38,6,FALSE),IF(parcelles!M123=Miscanthus,10.5*parcelles!O123*VLOOKUP(parcelles!M123,BDD!$HN$5:$HU$38,6,FALSE),INDEX(parcelles!$C$56:'parcelles'!$Y$77,MATCH(parcelles!L123,parcelles!$B$56:'parcelles'!$B$77,0),MATCH(parcelles!M123,parcelles!$C$53:'parcelles'!$Y$53,0))*parcelles!O123*VLOOKUP(parcelles!M123,BDD!$HN$5:$HU$38,6,FALSE)))))</f>
        <v/>
      </c>
      <c r="IF75" s="1085" t="str">
        <f>IF(parcelles!L123="","",IF(OR(parcelles!M123=Moutarde,parcelles!M123=Phacélie),0,IF(parcelles!M123=Luzerne,10*parcelles!O123*VLOOKUP(parcelles!M123,BDD!$HN$5:$HU$38,7,FALSE),IF(parcelles!M123=Miscanthus,10.5*parcelles!O123*VLOOKUP(parcelles!M123,BDD!$HN$5:$HU$38,7,FALSE),INDEX(parcelles!$C$56:'parcelles'!$Y$77,MATCH(parcelles!L123,parcelles!$B$56:'parcelles'!$B$77,0),MATCH(parcelles!M123,parcelles!$C$53:'parcelles'!$Y$53,0))*parcelles!O123*VLOOKUP(parcelles!M123,BDD!$HN$5:$HU$38,7,FALSE)))))</f>
        <v/>
      </c>
      <c r="IG75" s="1085" t="str">
        <f>IF(parcelles!L123="","",IF(OR(parcelles!M123=Moutarde,parcelles!M123=Phacélie),0,IF(parcelles!M123=Luzerne,10*parcelles!O123*VLOOKUP(parcelles!M123,BDD!$HN$5:$HU$38,8,FALSE),IF(parcelles!M123=Miscanthus,10.5*parcelles!O123*VLOOKUP(parcelles!M123,BDD!$HN$5:$HU$38,8,FALSE),INDEX(parcelles!$C$56:'parcelles'!$Y$77,MATCH(parcelles!L123,parcelles!$B$56:'parcelles'!$B$77,0),MATCH(parcelles!M123,parcelles!$C$53:'parcelles'!$Y$53,0))*parcelles!O123*VLOOKUP(parcelles!M123,BDD!$HN$5:$HU$38,8,FALSE)))))</f>
        <v/>
      </c>
      <c r="IH75" s="1085" t="str">
        <f>IF(parcelles!L123="","",IF(OR(parcelles!L123=Moutarde,parcelles!L123=Phacélie),0,1.6*parcelles!O123))</f>
        <v/>
      </c>
      <c r="II75" s="1085" t="str">
        <f>IF(parcelles!L123="","",IF(OR(parcelles!L123=Moutarde,parcelles!L123=Phacélie),0,1.6*parcelles!O123))</f>
        <v/>
      </c>
      <c r="IJ75" s="1085" t="str">
        <f>IF(parcelles!L123="","",IF(OR(parcelles!L123=Moutarde,parcelles!L123=Phacélie),0,1.6*parcelles!O123))</f>
        <v/>
      </c>
      <c r="IK75" s="1085" t="str">
        <f>IF(parcelles!P123="","",IF(parcelles!R123=0,"",IF(parcelles!O123=ChanvreIndustriel,"soit "&amp;parcelles!Q123*0.8&amp;"t de grain et "&amp;parcelles!Q123*7&amp;"t de paille",IF(parcelles!O123=Luzerne,"soit "&amp;10*parcelles!Q123&amp;"t/an",IF(parcelles!O123=Miscanthus,"soit "&amp;10.5*parcelles!Q123&amp;"t/an","soit "&amp;INDEX(parcelles!$C$56:$Y$77,MATCH(parcelles!N123,parcelles!$B$56:$B$77,0),MATCH(parcelles!O123,parcelles!$C$53:$Y$53,0))*parcelles!Q123&amp;"t")))))</f>
        <v/>
      </c>
      <c r="IL75" s="1085" t="str">
        <f>IF(parcelles!P123="","",IF(parcelles!R123=0,"",IF(parcelles!O123=ChanvreIndustriel,"soit "&amp;parcelles!Q123*0.8*0.8&amp;"t de grain et "&amp;parcelles!Q123*7*0.8&amp;"t de paille",IF(parcelles!O123=Luzerne,"soit "&amp;10*0.8*parcelles!Q123&amp;"t/an",IF(parcelles!O123=Miscanthus,"soit "&amp;10.5*0.8*parcelles!Q123&amp;"t/an","soit "&amp;INDEX(parcelles!$C$56:$Y$77,MATCH(parcelles!N123,parcelles!$B$56:$B$77,0),MATCH(parcelles!O123,parcelles!$C$53:$Y$53,0))*0.8*parcelles!Q123&amp;"t")))))</f>
        <v/>
      </c>
      <c r="IM75" s="1085" t="str">
        <f>IF(parcelles!S123="","",IF(parcelles!U123=0,"",IF(parcelles!R123=ChanvreIndustriel,parcelles!T123*0.8*0.8+parcelles!T123*7*0.8,IF(parcelles!R123=Luzerne,10*0.8*parcelles!T123,IF(parcelles!R123=Miscanthus,10.5*0.8*parcelles!T123,INDEX(parcelles!$C$56:$Y$77,MATCH(parcelles!Q123,parcelles!$B$56:$B$77,0),MATCH(parcelles!R123,parcelles!$C$53:$Y$53,0))*0.8*parcelles!T123)))))</f>
        <v/>
      </c>
      <c r="IN75" s="1368"/>
    </row>
    <row r="76" spans="1:248" ht="12.75" customHeight="1" x14ac:dyDescent="0.2">
      <c r="A76" s="1307" t="s">
        <v>366</v>
      </c>
      <c r="B76" s="1241">
        <f t="shared" si="17"/>
        <v>1E-3</v>
      </c>
      <c r="C76" s="1321"/>
      <c r="D76" s="1321"/>
      <c r="E76" s="1321"/>
      <c r="F76" s="1328" t="s">
        <v>1169</v>
      </c>
      <c r="G76" s="1321"/>
      <c r="H76" s="1321"/>
      <c r="I76" s="1321"/>
      <c r="J76" s="1321"/>
      <c r="K76" s="1321"/>
      <c r="L76" s="1321"/>
      <c r="M76" s="1321"/>
      <c r="N76" s="1321"/>
      <c r="O76" s="1321"/>
      <c r="P76" s="1320"/>
      <c r="Q76" s="1320"/>
      <c r="R76" s="1320"/>
      <c r="S76" s="1320"/>
      <c r="T76" s="1320"/>
      <c r="U76" s="1320"/>
      <c r="V76" s="1320"/>
      <c r="W76" s="1320"/>
      <c r="X76" s="1321"/>
      <c r="Y76" s="1081" t="s">
        <v>1667</v>
      </c>
      <c r="Z76" s="1081">
        <f>IF('coût alimentation'!$B$6=$Y$76,1,0)</f>
        <v>0</v>
      </c>
      <c r="AA76" s="1081">
        <f>IF('coût alimentation'!$B$6=$Y$76,1,0)</f>
        <v>0</v>
      </c>
      <c r="AB76" s="1081">
        <f>IF('coût alimentation'!$B$6=$Y$76,1,0)</f>
        <v>0</v>
      </c>
      <c r="AC76" s="1081">
        <f>IF('coût alimentation'!$B$6=$Y$76,1,0)</f>
        <v>0</v>
      </c>
      <c r="AD76" s="1081">
        <f>IF('coût alimentation'!$B$6=$Y$76,1,0)</f>
        <v>0</v>
      </c>
      <c r="AE76" s="1081">
        <f>IF('coût alimentation'!$B$6=$Y$76,1,0)</f>
        <v>0</v>
      </c>
      <c r="AF76" s="1081">
        <f>IF('coût alimentation'!$B$6=$Y$76,1,0)</f>
        <v>0</v>
      </c>
      <c r="AG76" s="1081">
        <f>IF('coût alimentation'!$B$6=$Y$76,1,0)</f>
        <v>0</v>
      </c>
      <c r="AH76" s="1321"/>
      <c r="AI76" s="1321"/>
      <c r="AJ76" s="1321"/>
      <c r="AK76" s="1321"/>
      <c r="AL76" s="1321"/>
      <c r="AM76" s="1321"/>
      <c r="AN76" s="1321"/>
      <c r="AO76" s="1321"/>
      <c r="AP76" s="1321"/>
      <c r="AQ76" s="1321"/>
      <c r="AR76" s="1321"/>
      <c r="AS76" s="1321"/>
      <c r="AT76" s="1321"/>
      <c r="AU76" s="1321"/>
      <c r="AV76" s="1321"/>
      <c r="AW76" s="1321"/>
      <c r="AX76" s="1321"/>
      <c r="AY76" s="1321"/>
      <c r="AZ76" s="1321"/>
      <c r="BA76" s="1321"/>
      <c r="BB76" s="1236" t="s">
        <v>726</v>
      </c>
      <c r="BC76" s="1190" t="s">
        <v>76</v>
      </c>
      <c r="BD76" s="1190" t="s">
        <v>1253</v>
      </c>
      <c r="BE76" s="1237">
        <v>7.2</v>
      </c>
      <c r="BF76" s="1237">
        <v>6</v>
      </c>
      <c r="BG76" s="1237">
        <v>4</v>
      </c>
      <c r="BH76" s="1237">
        <v>2</v>
      </c>
      <c r="BI76" s="1237">
        <v>1.2</v>
      </c>
      <c r="BJ76" s="1237">
        <v>0.6</v>
      </c>
      <c r="BK76" s="1238">
        <v>0</v>
      </c>
      <c r="BL76" s="1348"/>
      <c r="BM76" s="1075" t="str">
        <f t="shared" si="23"/>
        <v>Bouchons luzerne</v>
      </c>
      <c r="BN76" s="1075">
        <f t="array" ref="BN76">IF(Ration_hivernale_complète_bisons[somme]&gt;0,0,IFERROR(IF(OR(AND(INDEX(Règles_bison[Specificite],MATCH(ChoixRationBisons&amp;$BM76,Règles_bison[Ration]&amp;Règles_bison[Aliment],0))="s1",IF($BM76=ChoixSpécificité1Bisons,1)),
AND(INDEX(Règles_bison[Specificite],MATCH(ChoixRationBisons&amp;$BM76,Règles_bison[Ration]&amp;Règles_bison[Aliment],0))="s2",IF($BM76=ChoixSpécificité2Bisons,1)),INDEX(Règles_bison[Specificite],MATCH(ChoixRationBisons&amp;$BM76,Règles_bison[Ration]&amp;Règles_bison[Aliment],0))="c"),
INDEX(Règles_bison[Valeur 36 et plus],MATCH(ChoixRationBisons&amp;$BM76,Règles_bison[Ration]&amp;Règles_bison[Aliment],0)),0),0)*TotalBisonnes*SUM(NbreJoursNourrirBisonsDaims))</f>
        <v>0</v>
      </c>
      <c r="BO76" s="1075">
        <f t="array" ref="BO76">IF(Ration_hivernale_complète_bisons[somme]&gt;0,0,IFERROR(IF(OR(AND(INDEX(Règles_bison[Specificite],MATCH(ChoixRationBisons&amp;$BM76,Règles_bison[Ration]&amp;Règles_bison[Aliment],0))="s1",IF($BM76=ChoixSpécificité1Bisons,1)),
AND(INDEX(Règles_bison[Specificite],MATCH(ChoixRationBisons&amp;$BM76,Règles_bison[Ration]&amp;Règles_bison[Aliment],0))="s2",IF($BM76=ChoixSpécificité2Bisons,1)),INDEX(Règles_bison[Specificite],MATCH(ChoixRationBisons&amp;$BM76,Règles_bison[Ration]&amp;Règles_bison[Aliment],0))="c"),
INDEX(Règles_bison[Valeur 24-36],MATCH(ChoixRationBisons&amp;$BM76,Règles_bison[Ration]&amp;Règles_bison[Aliment],0)),0),0)*TotalBisonsFemelles_24_36_mois*SUM(NbreJoursNourrirBisonsDaims))</f>
        <v>0</v>
      </c>
      <c r="BP76" s="1075">
        <f t="array" ref="BP76">IF(Ration_hivernale_complète_bisons[somme]&gt;0,0,IFERROR(IF(OR(AND(INDEX(Règles_bison[Specificite],MATCH(ChoixRationBisons&amp;$BM76,Règles_bison[Ration]&amp;Règles_bison[Aliment],0))="s1",IF($BM76=ChoixSpécificité1Bisons,1)),
AND(INDEX(Règles_bison[Specificite],MATCH(ChoixRationBisons&amp;$BM76,Règles_bison[Ration]&amp;Règles_bison[Aliment],0))="s2",IF($BM76=ChoixSpécificité2Bisons,1)),INDEX(Règles_bison[Specificite],MATCH(ChoixRationBisons&amp;$BM76,Règles_bison[Ration]&amp;Règles_bison[Aliment],0))="c"),
INDEX(Règles_bison[Valeur 18-24],MATCH(ChoixRationBisons&amp;$BM76,Règles_bison[Ration]&amp;Règles_bison[Aliment],0)),0),0)*TotalBisonsFemelles_18_24_mois*SUM(NbreJoursNourrirBisonsDaims))</f>
        <v>0</v>
      </c>
      <c r="BQ76" s="1075">
        <f t="array" ref="BQ76">IF(Ration_hivernale_complète_bisons[somme]&gt;0,0,IFERROR(IF(OR(AND(INDEX(Règles_bison[Specificite],MATCH(ChoixRationBisons&amp;$BM76,Règles_bison[Ration]&amp;Règles_bison[Aliment],0))="s1",IF($BM76=ChoixSpécificité1Bisons,1)),
AND(INDEX(Règles_bison[Specificite],MATCH(ChoixRationBisons&amp;$BM76,Règles_bison[Ration]&amp;Règles_bison[Aliment],0))="s2",IF($BM76=ChoixSpécificité2Bisons,1)),INDEX(Règles_bison[Specificite],MATCH(ChoixRationBisons&amp;$BM76,Règles_bison[Ration]&amp;Règles_bison[Aliment],0))="c"),
INDEX(Règles_bison[Valeur 12-18],MATCH(ChoixRationBisons&amp;$BM76,Règles_bison[Ration]&amp;Règles_bison[Aliment],0)),0),0)*TotalBisonsFemelles_12_18_mois*SUM(NbreJoursNourrirBisonsDaims))</f>
        <v>0</v>
      </c>
      <c r="BR76" s="1075">
        <f t="array" ref="BR76">IF(Ration_hivernale_complète_bisons[somme]&gt;0,0,IFERROR(IF(OR(AND(INDEX(Règles_bison[Specificite],MATCH(ChoixRationBisons&amp;$BM76,Règles_bison[Ration]&amp;Règles_bison[Aliment],0))="s1",IF($BM76=ChoixSpécificité1Bisons,1)),
AND(INDEX(Règles_bison[Specificite],MATCH(ChoixRationBisons&amp;$BM76,Règles_bison[Ration]&amp;Règles_bison[Aliment],0))="s2",IF($BM76=ChoixSpécificité2Bisons,1)),INDEX(Règles_bison[Specificite],MATCH(ChoixRationBisons&amp;$BM76,Règles_bison[Ration]&amp;Règles_bison[Aliment],0))="c"),
INDEX(Règles_bison[Valeur 6-12],MATCH(ChoixRationBisons&amp;$BM76,Règles_bison[Ration]&amp;Règles_bison[Aliment],0)),0),0)*TotalBisonsFemelles_6_12_mois*SUM(NbreJoursNourrirBisonsDaims))</f>
        <v>0</v>
      </c>
      <c r="BS76" s="1075">
        <f t="array" ref="BS76">IF(Ration_hivernale_complète_bisons[somme]&gt;0,0,IFERROR(IF(OR(AND(INDEX(Règles_bison[Specificite],MATCH(ChoixRationBisons&amp;$BM76,Règles_bison[Ration]&amp;Règles_bison[Aliment],0))="s1",IF($BM76=ChoixSpécificité1Bisons,1)),
AND(INDEX(Règles_bison[Specificite],MATCH(ChoixRationBisons&amp;$BM76,Règles_bison[Ration]&amp;Règles_bison[Aliment],0))="s2",IF($BM76=ChoixSpécificité2Bisons,1)),INDEX(Règles_bison[Specificite],MATCH(ChoixRationBisons&amp;$BM76,Règles_bison[Ration]&amp;Règles_bison[Aliment],0))="c"),
INDEX(Règles_bison[Valeur 3-6],MATCH(ChoixRationBisons&amp;$BM76,Règles_bison[Ration]&amp;Règles_bison[Aliment],0)),0),0)*TotalBisonsFemelles_3_6_mois*SUM(NbreJoursNourrirBisonsDaims))</f>
        <v>0</v>
      </c>
      <c r="BT76" s="1075">
        <f t="array" ref="BT76">IF(Ration_hivernale_complète_bisons[somme]&gt;0,0,IFERROR(IF(OR(AND(INDEX(Règles_bison[Specificite],MATCH(ChoixRationBisons&amp;$BM76,Règles_bison[Ration]&amp;Règles_bison[Aliment],0))="s1",IF($BM76=ChoixSpécificité1Bisons,1)),
AND(INDEX(Règles_bison[Specificite],MATCH(ChoixRationBisons&amp;$BM76,Règles_bison[Ration]&amp;Règles_bison[Aliment],0))="s2",IF($BM76=ChoixSpécificité2Bisons,1)),INDEX(Règles_bison[Specificite],MATCH(ChoixRationBisons&amp;$BM76,Règles_bison[Ration]&amp;Règles_bison[Aliment],0))="c"),
INDEX(Règles_bison[Valeur 0-3],MATCH(ChoixRationBisons&amp;$BM76,Règles_bison[Ration]&amp;Règles_bison[Aliment],0)),0),0)*TotalBisonsFemelles_0_3_mois*SUM(NbreJoursNourrirBisonsDaims))</f>
        <v>0</v>
      </c>
      <c r="BU76" s="1075">
        <f t="shared" si="22"/>
        <v>0</v>
      </c>
      <c r="BV76" s="1345"/>
      <c r="BW76" s="1346"/>
      <c r="BX76" s="1176" t="s">
        <v>729</v>
      </c>
      <c r="BY76" s="1177" t="s">
        <v>672</v>
      </c>
      <c r="BZ76" s="1177" t="s">
        <v>1252</v>
      </c>
      <c r="CA76" s="1177">
        <v>1.6</v>
      </c>
      <c r="CB76" s="1177">
        <v>1.4</v>
      </c>
      <c r="CC76" s="1177">
        <v>1.2</v>
      </c>
      <c r="CD76" s="1199">
        <v>1</v>
      </c>
      <c r="CE76" s="1350"/>
      <c r="CF76" s="1350"/>
      <c r="CG76" s="1350"/>
      <c r="CH76" s="1350"/>
      <c r="CI76" s="1321"/>
      <c r="CJ76" s="808" t="s">
        <v>500</v>
      </c>
      <c r="CK76" s="788">
        <f t="array" ref="CK7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76" s="788">
        <f t="array" ref="CL7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76" s="788">
        <f t="array" ref="CM7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76" s="788">
        <f t="array" ref="CN7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76" s="788">
        <f t="array" ref="CO76">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76" s="812">
        <f>SUM(AlimentsRationPorcinsMâles[[#This Row],[Valeur 12 et plus]:[Valeur 0-1]])</f>
        <v>0</v>
      </c>
      <c r="CQ76" s="1321"/>
      <c r="CR76" s="1321"/>
      <c r="CS76" s="808" t="s">
        <v>1271</v>
      </c>
      <c r="CT76" s="817">
        <f t="array" ref="CT76">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76" s="817">
        <f t="array" ref="CU76">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76" s="817">
        <f t="array" ref="CV76">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76" s="818">
        <f>SUM(AlimentsRationLapinsMâles[[#This Row],[Valeur 3 et plus]:[Valeur 0-1]])</f>
        <v>0</v>
      </c>
      <c r="CX76" s="1321"/>
      <c r="CY76" s="1321"/>
      <c r="CZ76" s="808" t="s">
        <v>1271</v>
      </c>
      <c r="DA76" s="817">
        <f t="array" ref="DA76">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76" s="817">
        <f t="array" ref="DB76">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76" s="817">
        <f t="array" ref="DC76">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76" s="818">
        <f>SUM(AlimentsRationVolaillesMâles[[#This Row],[Valeur 6 et plus]:[Valeur 0-1]])</f>
        <v>0</v>
      </c>
      <c r="DE76" s="1364"/>
      <c r="DF76" s="1321"/>
      <c r="DG76" s="808" t="s">
        <v>671</v>
      </c>
      <c r="DH76" s="817">
        <f t="array" ref="DH7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76" s="817">
        <f t="array" ref="DI7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76" s="817">
        <f t="array" ref="DJ7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76" s="818">
        <f>SUM(AlimentsRationPintadesMâles[[#This Row],[Valeur 9 et plus]:[Valeur 0-1]])</f>
        <v>0</v>
      </c>
      <c r="DL76" s="1364"/>
      <c r="DM76" s="1364"/>
      <c r="DN76" s="1176" t="s">
        <v>836</v>
      </c>
      <c r="DO76" s="1177" t="s">
        <v>723</v>
      </c>
      <c r="DP76" s="1177" t="s">
        <v>1252</v>
      </c>
      <c r="DQ76" s="1181"/>
      <c r="DR76" s="1181"/>
      <c r="DS76" s="1181"/>
      <c r="DT76" s="1243"/>
      <c r="DU76" s="1345"/>
      <c r="DV76" s="1336" t="s">
        <v>1749</v>
      </c>
      <c r="DW76" s="1336"/>
      <c r="DX76" s="1336"/>
      <c r="DY76" s="1336"/>
      <c r="DZ76" s="1345"/>
      <c r="EA76" s="1345"/>
      <c r="EB76" s="1345"/>
      <c r="EC76" s="1345"/>
      <c r="ED76" s="1345"/>
      <c r="EE76" s="1365"/>
      <c r="EF76" s="1321"/>
      <c r="EG76" s="808" t="s">
        <v>65</v>
      </c>
      <c r="EH76" s="817">
        <f t="array" ref="EH7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76" s="817">
        <f t="array" ref="EI7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76" s="817">
        <f t="array" ref="EJ7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76" s="818">
        <f>SUM(AlimentsRationOiesMâles[[#This Row],[Valeur 6 et plus]:[Valeur 0-3]])</f>
        <v>0</v>
      </c>
      <c r="EL76" s="1364"/>
      <c r="EM76" s="1321"/>
      <c r="EN76" s="808" t="s">
        <v>1272</v>
      </c>
      <c r="EO76" s="817">
        <f t="array" ref="EO7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76" s="817">
        <f t="array" ref="EP7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76" s="817">
        <f t="array" ref="EQ7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76" s="818">
        <f>SUM(Ration_canards_Mâles[[#This Row],[Valeur 6 et plus]:[Valeur 0-3]])</f>
        <v>0</v>
      </c>
      <c r="ES76" s="1364"/>
      <c r="ET76" s="1346"/>
      <c r="EU76" s="1082" t="s">
        <v>333</v>
      </c>
      <c r="EV76" s="1282">
        <f t="array" ref="EV76">IF(OR(ChoixRationComplèteEtéChevauxSelle=OUI,ChoixRationComplèteEtéChevauxSelle="",AND(ChoixChevauxSellePréHiver=OUI,ChoixChevauxSellePréEté=OUI)),0,IFERROR(IF(OR(AND(INDEX(Règles_chevaux_selle[Specificite],MATCH(RationEtéChevauxSelle&amp;$EU76,Règles_chevaux_selle[Ration]&amp;Règles_chevaux_selle[Aliment],0))="s1",IF($EU76=Spécificité1ChevauxSelle,1)),
AND(INDEX(Règles_chevaux_selle[Specificite],MATCH(RationEtéChevauxSelle&amp;$EU76,Règles_chevaux_selle[Ration]&amp;Règles_chevaux_selle[Aliment],0))="s2",IF($EU76=Spécificité2ChevauxSelle,1)),
INDEX(Règles_chevaux_selle[Specificite],MATCH(RationEtéChevauxSelle&amp;$EU76,Règles_chevaux_selle[Ration]&amp;Règles_chevaux_selle[Aliment],0))="c"),
INDEX(Règles_chevaux_selle[Valeur 36 et plus],MATCH(RationEtéChevauxSelle&amp;$EU76,Règles_chevaux_selle[Ration]&amp;Règles_chevaux_selle[Aliment],0)),0),0)*TotalEtalonSelle*SUM(NbreJoursNourrirChevauxSelle))</f>
        <v>0</v>
      </c>
      <c r="EW76" s="1282">
        <f t="array" ref="EW76">IF(OR(ChoixRationComplèteEtéChevauxSelle=OUI,ChoixRationComplèteEtéChevauxSelle="",AND(ChoixChevauxSellePréHiver=OUI,ChoixChevauxSellePréEté=OUI)),0,IFERROR(IF(OR(AND(INDEX(Règles_chevaux_selle[Specificite],MATCH(RationEtéChevauxSelle&amp;$EU76,Règles_chevaux_selle[Ration]&amp;Règles_chevaux_selle[Aliment],0))="s1",IF($EU76=Spécificité1ChevauxSelle,1)),
AND(INDEX(Règles_chevaux_selle[Specificite],MATCH(RationEtéChevauxSelle&amp;$EU76,Règles_chevaux_selle[Ration]&amp;Règles_chevaux_selle[Aliment],0))="s2",IF($EU76=Spécificité2ChevauxSelle,1)),
INDEX(Règles_chevaux_selle[Specificite],MATCH(RationEtéChevauxSelle&amp;$EU76,Règles_chevaux_selle[Ration]&amp;Règles_chevaux_selle[Aliment],0))="c"),
INDEX(Règles_chevaux_selle[Valeur 24-36],MATCH(RationEtéChevauxSelle&amp;$EU76,Règles_chevaux_selle[Ration]&amp;Règles_chevaux_selle[Aliment],0)),0),0)*TotalJeuneEtalonSelle_24_36_mois*SUM(NbreJoursNourrirChevauxSelle))</f>
        <v>0</v>
      </c>
      <c r="EX76" s="1282">
        <f t="array" ref="EX76">IF(OR(ChoixRationComplèteEtéChevauxSelle=OUI,ChoixRationComplèteEtéChevauxSelle="",AND(ChoixChevauxSellePréHiver=OUI,ChoixChevauxSellePréEté=OUI)),0,IFERROR(IF(OR(AND(INDEX(Règles_chevaux_selle[Specificite],MATCH(RationEtéChevauxSelle&amp;$EU76,Règles_chevaux_selle[Ration]&amp;Règles_chevaux_selle[Aliment],0))="s1",IF($EU76=Spécificité1ChevauxSelle,1)),
AND(INDEX(Règles_chevaux_selle[Specificite],MATCH(RationEtéChevauxSelle&amp;$EU76,Règles_chevaux_selle[Ration]&amp;Règles_chevaux_selle[Aliment],0))="s2",IF($EU76=Spécificité2ChevauxSelle,1)),
INDEX(Règles_chevaux_selle[Specificite],MATCH(RationEtéChevauxSelle&amp;$EU76,Règles_chevaux_selle[Ration]&amp;Règles_chevaux_selle[Aliment],0))="c"),
INDEX(Règles_chevaux_selle[Valeur 12-24],MATCH(RationEtéChevauxSelle&amp;$EU76,Règles_chevaux_selle[Ration]&amp;Règles_chevaux_selle[Aliment],0)),0),0)*TotalJeuneEtalonSelle_12_24_mois*SUM(NbreJoursNourrirChevauxSelle))</f>
        <v>0</v>
      </c>
      <c r="EY76" s="1285">
        <f t="array" ref="EY76">IF(OR(ChoixRationComplèteEtéChevauxSelle=OUI,ChoixRationComplèteEtéChevauxSelle="",AND(ChoixChevauxSellePréHiver=OUI,ChoixChevauxSellePréEté=OUI)),0,IFERROR(IF(OR(AND(INDEX(Règles_chevaux_selle[Specificite],MATCH(RationEtéChevauxSelle&amp;$EU76,Règles_chevaux_selle[Ration]&amp;Règles_chevaux_selle[Aliment],0))="s1",IF($EU76=Spécificité1ChevauxSelle,1)),
AND(INDEX(Règles_chevaux_selle[Specificite],MATCH(RationEtéChevauxSelle&amp;$EU76,Règles_chevaux_selle[Ration]&amp;Règles_chevaux_selle[Aliment],0))="s2",IF($EU76=Spécificité2ChevauxSelle,1)),
INDEX(Règles_chevaux_selle[Specificite],MATCH(RationEtéChevauxSelle&amp;$EU76,Règles_chevaux_selle[Ration]&amp;Règles_chevaux_selle[Aliment],0))="c"),
INDEX(Règles_chevaux_selle[Valeur 0-12],MATCH(RationEtéChevauxSelle&amp;$EU76,Règles_chevaux_selle[Ration]&amp;Règles_chevaux_selle[Aliment],0)),0),0)*TotalPoulainSelle_0_12_mois*SUM(NbreJoursNourrirChevauxSelle))</f>
        <v>0</v>
      </c>
      <c r="EZ76" s="1285">
        <f t="shared" si="16"/>
        <v>0</v>
      </c>
      <c r="FA76" s="1345"/>
      <c r="FB76" s="1345"/>
      <c r="FC76" s="1321"/>
      <c r="FD76" s="1082" t="s">
        <v>297</v>
      </c>
      <c r="FE76" s="1282">
        <f t="array" ref="FE76">IF(OR(ChoixRationComplèteEtéChevauxTrait=OUI,ChoixRationComplèteEtéChevauxTrait="",AND(ChoixChevauxTraitPréHiver=OUI,ChoixChevauxTraitPréEté=OUI)),0,IFERROR(IF(OR(AND(INDEX(Règles_chevaux_trait[Specificite],MATCH(RationEtéChevauxTrait&amp;$FD76,Règles_chevaux_trait[Ration]&amp;Règles_chevaux_trait[Aliment],0))="s1",IF($FD76=Spécificité1ChevauxTrait,1)),
AND(INDEX(Règles_chevaux_trait[Specificite],MATCH(RationEtéChevauxTrait&amp;$FD76,Règles_chevaux_trait[Ration]&amp;Règles_chevaux_trait[Aliment],0))="s2",IF($FD76=Spécificité2ChevauxTrait,1)),
INDEX(Règles_chevaux_trait[Specificite],MATCH(RationEtéChevauxTrait&amp;$FD76,Règles_chevaux_trait[Ration]&amp;Règles_chevaux_trait[Aliment],0))="c"),
INDEX(Règles_chevaux_trait[Valeur 36 et plus],MATCH(RationEtéChevauxTrait&amp;$FD76,Règles_chevaux_trait[Ration]&amp;Règles_chevaux_trait[Aliment],0)),0),0)*TotalEtalonTrait*SUM(NbreJoursNourrirChevauxTrait))</f>
        <v>0</v>
      </c>
      <c r="FF76" s="1282">
        <f t="array" ref="FF76">IF(OR(ChoixRationComplèteEtéChevauxTrait=OUI,ChoixRationComplèteEtéChevauxTrait="",AND(ChoixChevauxTraitPréHiver=OUI,ChoixChevauxTraitPréEté=OUI)),0,IFERROR(IF(OR(AND(INDEX(Règles_chevaux_trait[Specificite],MATCH(RationEtéChevauxTrait&amp;$FD76,Règles_chevaux_trait[Ration]&amp;Règles_chevaux_trait[Aliment],0))="s1",IF($FD76=Spécificité1ChevauxTrait,1)),
AND(INDEX(Règles_chevaux_trait[Specificite],MATCH(RationEtéChevauxTrait&amp;$FD76,Règles_chevaux_trait[Ration]&amp;Règles_chevaux_trait[Aliment],0))="s2",IF($FD76=Spécificité2ChevauxTrait,1)),
INDEX(Règles_chevaux_trait[Specificite],MATCH(RationEtéChevauxTrait&amp;$FD76,Règles_chevaux_trait[Ration]&amp;Règles_chevaux_trait[Aliment],0))="c"),
INDEX(Règles_chevaux_trait[Valeur 24-36],MATCH(RationEtéChevauxTrait&amp;$FD76,Règles_chevaux_trait[Ration]&amp;Règles_chevaux_trait[Aliment],0)),0),0)*TotalJeuneEtalonTrait_24_36_mois*SUM(NbreJoursNourrirChevauxTrait))</f>
        <v>0</v>
      </c>
      <c r="FG76" s="1282">
        <f t="array" ref="FG76">IF(OR(ChoixRationComplèteEtéChevauxTrait=OUI,ChoixRationComplèteEtéChevauxTrait="",AND(ChoixChevauxTraitPréHiver=OUI,ChoixChevauxTraitPréEté=OUI)),0,IFERROR(IF(OR(AND(INDEX(Règles_chevaux_trait[Specificite],MATCH(RationEtéChevauxTrait&amp;$FD76,Règles_chevaux_trait[Ration]&amp;Règles_chevaux_trait[Aliment],0))="s1",IF($FD76=Spécificité1ChevauxTrait,1)),
AND(INDEX(Règles_chevaux_trait[Specificite],MATCH(RationEtéChevauxTrait&amp;$FD76,Règles_chevaux_trait[Ration]&amp;Règles_chevaux_trait[Aliment],0))="s2",IF($FD76=Spécificité2ChevauxTrait,1)),
INDEX(Règles_chevaux_trait[Specificite],MATCH(RationEtéChevauxTrait&amp;$FD76,Règles_chevaux_trait[Ration]&amp;Règles_chevaux_trait[Aliment],0))="c"),
INDEX(Règles_chevaux_trait[Valeur 12-24],MATCH(RationEtéChevauxTrait&amp;$FD76,Règles_chevaux_trait[Ration]&amp;Règles_chevaux_trait[Aliment],0)),0),0)*TotalJeuneEtalonTrait_12_24_mois*SUM(NbreJoursNourrirChevauxTrait))</f>
        <v>0</v>
      </c>
      <c r="FH76" s="1285">
        <f t="array" ref="FH76">IF(OR(ChoixRationComplèteEtéChevauxTrait=OUI,ChoixRationComplèteEtéChevauxTrait="",AND(ChoixChevauxTraitPréHiver=OUI,ChoixChevauxTraitPréEté=OUI)),0,IFERROR(IF(OR(AND(INDEX(Règles_chevaux_trait[Specificite],MATCH(RationEtéChevauxTrait&amp;$FD76,Règles_chevaux_trait[Ration]&amp;Règles_chevaux_trait[Aliment],0))="s1",IF($FD76=Spécificité1ChevauxTrait,1)),
AND(INDEX(Règles_chevaux_trait[Specificite],MATCH(RationEtéChevauxTrait&amp;$FD76,Règles_chevaux_trait[Ration]&amp;Règles_chevaux_trait[Aliment],0))="s2",IF($FD76=Spécificité2ChevauxTrait,1)),
INDEX(Règles_chevaux_trait[Specificite],MATCH(RationEtéChevauxTrait&amp;$FD76,Règles_chevaux_trait[Ration]&amp;Règles_chevaux_trait[Aliment],0))="c"),
INDEX(Règles_chevaux_trait[Valeur 0-12],MATCH(RationEtéChevauxTrait&amp;$FD76,Règles_chevaux_trait[Ration]&amp;Règles_chevaux_trait[Aliment],0)),0),0)*TotalPoulainTrait_0_12_mois*SUM(NbreJoursNourrirChevauxTrait))</f>
        <v>0</v>
      </c>
      <c r="FI76" s="1285">
        <f t="shared" si="15"/>
        <v>0</v>
      </c>
      <c r="FJ76" s="1345"/>
      <c r="FK76" s="1345"/>
      <c r="FL76" s="1345"/>
      <c r="FM76" s="1321"/>
      <c r="FN76" s="1083" t="s">
        <v>65</v>
      </c>
      <c r="FO76" s="1283">
        <f t="array" ref="FO76">IF(OR(ChoixRationComplèteEtéPoneys=OUI,ChoixRationComplèteEtéPoneys="",AND(ChoixPoneysPréHiver=OUI,ChoixPoneysPréEté=OUI)),0,IFERROR(IF(OR(AND(INDEX(Règles_poneys[Specificite],MATCH(RationEtéPoneys&amp;$FN76,Règles_poneys[Ration]&amp;Règles_poneys[Aliment],0))="s1",IF($FN76=Spécificité1Poneys,1)),
AND(INDEX(Règles_poneys[Specificite],MATCH(RationEtéPoneys&amp;$FN76,Règles_poneys[Ration]&amp;Règles_poneys[Aliment],0))="s2",IF($FN76=Spécificité2Poneys,1)),
INDEX(Règles_poneys[Specificite],MATCH(RationEtéPoneys&amp;$FN76,Règles_poneys[Ration]&amp;Règles_poneys[Aliment],0))="c"),
INDEX(Règles_poneys[Valeur 36 et plus],MATCH(RationEtéPoneys&amp;$FN76,Règles_poneys[Ration]&amp;Règles_poneys[Aliment],0)),0),0)*TotalEtalonPoney*SUM(NbreJoursNourrirPoneys))</f>
        <v>0</v>
      </c>
      <c r="FP76" s="1283">
        <f t="array" ref="FP76">IF(OR(ChoixRationComplèteEtéPoneys=OUI,ChoixRationComplèteEtéPoneys="",AND(ChoixPoneysPréHiver=OUI,ChoixPoneysPréEté=OUI)),0,IFERROR(IF(OR(AND(INDEX(Règles_poneys[Specificite],MATCH(RationEtéPoneys&amp;$FN76,Règles_poneys[Ration]&amp;Règles_poneys[Aliment],0))="s1",IF($FN76=Spécificité1Poneys,1)),
AND(INDEX(Règles_poneys[Specificite],MATCH(RationEtéPoneys&amp;$FN76,Règles_poneys[Ration]&amp;Règles_poneys[Aliment],0))="s2",IF($FN76=Spécificité2Poneys,1)),
INDEX(Règles_poneys[Specificite],MATCH(RationEtéPoneys&amp;$FN76,Règles_poneys[Ration]&amp;Règles_poneys[Aliment],0))="c"),
INDEX(Règles_poneys[Valeur 36 et plus],MATCH(RationEtéPoneys&amp;$FN76,Règles_poneys[Ration]&amp;Règles_poneys[Aliment],0)),0),0)*TotalJeuneEtalonPoney_24_36_mois*SUM(NbreJoursNourrirPoneys))</f>
        <v>0</v>
      </c>
      <c r="FQ76" s="1283">
        <f t="array" ref="FQ76">IF(OR(ChoixRationComplèteEtéPoneys=OUI,ChoixRationComplèteEtéPoneys="",AND(ChoixPoneysPréHiver=OUI,ChoixPoneysPréEté=OUI)),0,IFERROR(IF(OR(AND(INDEX(Règles_poneys[Specificite],MATCH(RationEtéPoneys&amp;$FN76,Règles_poneys[Ration]&amp;Règles_poneys[Aliment],0))="s1",IF($FN76=Spécificité1Poneys,1)),
AND(INDEX(Règles_poneys[Specificite],MATCH(RationEtéPoneys&amp;$FN76,Règles_poneys[Ration]&amp;Règles_poneys[Aliment],0))="s2",IF($FN76=Spécificité2Poneys,1)),
INDEX(Règles_poneys[Specificite],MATCH(RationEtéPoneys&amp;$FN76,Règles_poneys[Ration]&amp;Règles_poneys[Aliment],0))="c"),
INDEX(Règles_poneys[Valeur 36 et plus],MATCH(RationEtéPoneys&amp;$FN76,Règles_poneys[Ration]&amp;Règles_poneys[Aliment],0)),0),0)*TotalJeuneEtalonPoney_12_24_mois*SUM(NbreJoursNourrirPoneys))</f>
        <v>0</v>
      </c>
      <c r="FR76" s="1286">
        <f t="array" ref="FR76">IF(OR(ChoixRationComplèteEtéPoneys=OUI,ChoixRationComplèteEtéPoneys="",AND(ChoixPoneysPréHiver=OUI,ChoixPoneysPréEté=OUI)),0,IFERROR(IF(OR(AND(INDEX(Règles_poneys[Specificite],MATCH(RationEtéPoneys&amp;$FN76,Règles_poneys[Ration]&amp;Règles_poneys[Aliment],0))="s1",IF($FN76=Spécificité1Poneys,1)),
AND(INDEX(Règles_poneys[Specificite],MATCH(RationEtéPoneys&amp;$FN76,Règles_poneys[Ration]&amp;Règles_poneys[Aliment],0))="s2",IF($FN76=Spécificité2Poneys,1)),
INDEX(Règles_poneys[Specificite],MATCH(RationEtéPoneys&amp;$FN76,Règles_poneys[Ration]&amp;Règles_poneys[Aliment],0))="c"),
INDEX(Règles_poneys[Valeur 36 et plus],MATCH(RationEtéPoneys&amp;$FN76,Règles_poneys[Ration]&amp;Règles_poneys[Aliment],0)),0),0)*TotalPoulainPoney_0_12_mois*SUM(NbreJoursNourrirPoneys))</f>
        <v>0</v>
      </c>
      <c r="FS76" s="1286">
        <f t="shared" si="14"/>
        <v>0</v>
      </c>
      <c r="FT76" s="1345"/>
      <c r="FU76" s="1345"/>
      <c r="FV76" s="1345"/>
      <c r="FW76" s="823"/>
      <c r="FX76" s="828">
        <f t="array" ref="FX7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76" s="828">
        <f t="array" ref="FY7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76" s="828">
        <f t="array" ref="FZ7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76" s="828">
        <f t="array" ref="GA76">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76" s="829">
        <f>SUM(AlimentsGavageOies[[#This Row],[Valeur 3 et plus]:[Valeur 0-1]])</f>
        <v>0</v>
      </c>
      <c r="GC76" s="1364"/>
      <c r="GD76" s="1321"/>
      <c r="GE76" s="1321"/>
      <c r="GF76" s="1321"/>
      <c r="GG76" s="1321" t="s">
        <v>1349</v>
      </c>
      <c r="GH76" s="1321" t="s">
        <v>1349</v>
      </c>
      <c r="GI76" s="1321" t="s">
        <v>1349</v>
      </c>
      <c r="GJ76" s="1321" t="s">
        <v>1349</v>
      </c>
      <c r="GK76" s="1321" t="s">
        <v>1349</v>
      </c>
      <c r="GL76" s="1321" t="s">
        <v>1349</v>
      </c>
      <c r="GM76" s="1321" t="s">
        <v>1349</v>
      </c>
      <c r="GN76" s="1321" t="s">
        <v>1349</v>
      </c>
      <c r="GO76" s="1321" t="s">
        <v>1349</v>
      </c>
      <c r="GP76" s="1321" t="s">
        <v>1349</v>
      </c>
      <c r="GQ76" s="1321" t="s">
        <v>1349</v>
      </c>
      <c r="GR76" s="1321" t="s">
        <v>1349</v>
      </c>
      <c r="GS76" s="1321" t="s">
        <v>1349</v>
      </c>
      <c r="GT76" s="1321" t="s">
        <v>1349</v>
      </c>
      <c r="GU76" s="1321" t="s">
        <v>1349</v>
      </c>
      <c r="GV76" s="1321" t="s">
        <v>1349</v>
      </c>
      <c r="GW76" s="1321"/>
      <c r="GX76" s="1321"/>
      <c r="GY76" s="1083" t="str">
        <f t="shared" si="11"/>
        <v>semences de tabac</v>
      </c>
      <c r="GZ76" s="1083"/>
      <c r="HA76" s="1084"/>
      <c r="HB76" s="1084">
        <f>IF(COUNTIF(TypeArticleDansEntrepôt,GY76)=0,0,SUMIF(TypeArticleDansEntrepôt,GY76,QtéArticleDansEntrepôt)*VLOOKUP(GY76,place_necessaire_entrepots_aire_paille[],2,FALSE))</f>
        <v>0</v>
      </c>
      <c r="HC76" s="1321"/>
      <c r="HD76" s="1321"/>
      <c r="HE76" s="1321"/>
      <c r="HF76" s="1321"/>
      <c r="HG76" s="1321"/>
      <c r="HH76" s="1321"/>
      <c r="HI76" s="1321"/>
      <c r="HJ76" s="1321"/>
      <c r="HK76" s="1321"/>
      <c r="HL76" s="1321"/>
      <c r="HM76" s="1321"/>
      <c r="HN76" s="1084" t="str">
        <f>IF(parcelles!B124="","",(VLOOKUP(parcelles!C124,BDD!$HN$5:$HU$38,2,FALSE))*parcelles!E124)</f>
        <v/>
      </c>
      <c r="HO76" s="1084" t="str">
        <f>IF(parcelles!B124="","",IF(OR(parcelles!C124=Moutarde,parcelles!C124=Phacélie),0,IF(parcelles!C124=Luzerne,10*parcelles!E124*VLOOKUP(parcelles!C124,BDD!$HN$5:$HU$38,3,FALSE),IF(parcelles!C124=Miscanthus,10.5*parcelles!E124*VLOOKUP(parcelles!C124,BDD!$HN$5:$HU$38,3,FALSE),INDEX(parcelles!$C$56:'parcelles'!$Y$77,MATCH(parcelles!B124,parcelles!$B$56:'parcelles'!$B$77,0),MATCH(parcelles!C124,parcelles!$C$53:'parcelles'!$Y$53,0))*parcelles!E124*VLOOKUP(parcelles!C124,BDD!$HN$5:$HU$38,3,FALSE)))))</f>
        <v/>
      </c>
      <c r="HP76" s="1084" t="str">
        <f>IF(parcelles!B124="","",IF(OR(parcelles!C124=Moutarde,parcelles!C124=Phacélie),0,IF(parcelles!C124=Luzerne,10*parcelles!E124*VLOOKUP(parcelles!C124,BDD!$HN$5:$HU$38,4,FALSE),IF(parcelles!C124=Miscanthus,10.5*parcelles!E124*VLOOKUP(parcelles!C124,BDD!$HN$5:$HU$38,4,FALSE),INDEX(parcelles!$C$56:'parcelles'!$Y$77,MATCH(parcelles!B124,parcelles!$B$56:'parcelles'!$B$77,0),MATCH(parcelles!C124,parcelles!$C$53:'parcelles'!$Y$53,0))*parcelles!E124*VLOOKUP(parcelles!C124,BDD!$HN$5:$HU$38,4,FALSE)))))</f>
        <v/>
      </c>
      <c r="HQ76" s="1084" t="str">
        <f>IF(parcelles!B124="","",IF(OR(parcelles!C124=Moutarde,parcelles!C124=Phacélie),0,IF(parcelles!C124=Luzerne,10*parcelles!E124*VLOOKUP(parcelles!C124,BDD!$HN$5:$HU$38,5,FALSE),IF(parcelles!C124=Miscanthus,10.5*parcelles!E124*VLOOKUP(parcelles!C124,BDD!$HN$5:$HU$38,5,FALSE),INDEX(parcelles!$C$56:'parcelles'!$Y$77,MATCH(parcelles!B124,parcelles!$B$56:'parcelles'!$B$77,0),MATCH(parcelles!C124,parcelles!$C$53:'parcelles'!$Y$53,0))*parcelles!E124*VLOOKUP(parcelles!C124,BDD!$HN$5:$HU$38,5,FALSE)))))</f>
        <v/>
      </c>
      <c r="HR76" s="1084" t="str">
        <f>IF(parcelles!B124="","",IF(OR(parcelles!C124=Moutarde,parcelles!C124=Phacélie),0,IF(parcelles!C124=Luzerne,10*parcelles!E124*VLOOKUP(parcelles!C124,BDD!$HN$5:$HU$38,6,FALSE),IF(parcelles!C124=Miscanthus,10.5*parcelles!E124*VLOOKUP(parcelles!C124,BDD!$HN$5:$HU$38,6,FALSE),INDEX(parcelles!$C$56:'parcelles'!$Y$77,MATCH(parcelles!B124,parcelles!$B$56:'parcelles'!$B$77,0),MATCH(parcelles!C124,parcelles!$C$53:'parcelles'!$Y$53,0))*parcelles!E124*VLOOKUP(parcelles!C124,BDD!$HN$5:$HU$38,6,FALSE)))))</f>
        <v/>
      </c>
      <c r="HS76" s="1084" t="str">
        <f>IF(parcelles!B124="","",IF(OR(parcelles!C124=Moutarde,parcelles!C124=Phacélie),0,IF(parcelles!C124=Luzerne,10*parcelles!E124*VLOOKUP(parcelles!C124,BDD!$HN$5:$HU$38,7,FALSE),IF(parcelles!C124=Miscanthus,10.5*parcelles!E124*VLOOKUP(parcelles!C124,BDD!$HN$5:$HU$38,7,FALSE),INDEX(parcelles!$C$56:'parcelles'!$Y$77,MATCH(parcelles!B124,parcelles!$B$56:'parcelles'!$B$77,0),MATCH(parcelles!C124,parcelles!$C$53:'parcelles'!$Y$53,0))*parcelles!E124*VLOOKUP(parcelles!C124,BDD!$HN$5:$HU$38,7,FALSE)))))</f>
        <v/>
      </c>
      <c r="HT76" s="1084" t="str">
        <f>IF(parcelles!B124="","",IF(OR(parcelles!C124=Moutarde,parcelles!C124=Phacélie),0,IF(parcelles!C124=Luzerne,10*parcelles!E124*VLOOKUP(parcelles!C124,BDD!$HN$5:$HU$38,8,FALSE),IF(parcelles!C124=Miscanthus,10.5*parcelles!E124*VLOOKUP(parcelles!C124,BDD!$HN$5:$HU$38,8,FALSE),INDEX(parcelles!$C$56:'parcelles'!$Y$77,MATCH(parcelles!B124,parcelles!$B$56:'parcelles'!$B$77,0),MATCH(parcelles!C124,parcelles!$C$53:'parcelles'!$Y$53,0))*parcelles!E124*VLOOKUP(parcelles!C124,BDD!$HN$5:$HU$38,8,FALSE)))))</f>
        <v/>
      </c>
      <c r="HU76" s="1084" t="str">
        <f>IF(parcelles!B124="","",IF(OR(parcelles!C124=Moutarde,parcelles!C124=Phacélie),0,1.6*parcelles!E124))</f>
        <v/>
      </c>
      <c r="HV76" s="1084" t="str">
        <f>IF(parcelles!B124="","",IF(OR(parcelles!C124=Moutarde,parcelles!C124=Phacélie),0,1.6*parcelles!E124))</f>
        <v/>
      </c>
      <c r="HW76" s="1084" t="str">
        <f>IF(parcelles!B124="","",IF(OR(parcelles!C124=Moutarde,parcelles!C124=Phacélie),0,1.6*parcelles!E124))</f>
        <v/>
      </c>
      <c r="HX76" s="1095" t="str">
        <f>IF(parcelles!D124="","",IF(parcelles!C124=ChanvreIndustriel,INDEX(parcelles!$C$56:$Y$77,MATCH(parcelles!B124,parcelles!$B$56:$B$77,0),MATCH(parcelles!C124,parcelles!$C$53:$Y$53,0))*parcelles!E124*SUMIF(ListeCulturesBDD,parcelles!C124,PrixVenteCulturesConventionnel)+RIGHT(BDD!$HM$7,3)*7*parcelles!E124,IF(parcelles!C124=Luzerne,parcelles!E124*10*VLOOKUP(parcelles!C124,TarifsCoopCultures,2,FALSE),IF(parcelles!C124=Miscanthus,parcelles!E124*10.5*VLOOKUP(Luzerne,TarifsCoopCultures,2,FALSE),INDEX(parcelles!$C$56:$Y$77,MATCH(parcelles!B124,parcelles!$B$56:$B$77,0),MATCH(parcelles!C124,parcelles!$C$53:$Y$53,0))*parcelles!E124*SUMIF(ListeCulturesBDD,parcelles!C124,PrixVenteCulturesConventionnel)))))</f>
        <v/>
      </c>
      <c r="HY76" s="1084" t="str">
        <f>IF(parcelles!D124="","",IF(parcelles!F124=0,"",IF(parcelles!C124=ChanvreIndustriel,"soit "&amp;parcelles!E124*0.8&amp;"t de grain et "&amp;parcelles!E124*7&amp;"t de paille",IF(parcelles!C124=Luzerne,"soit "&amp;10*parcelles!E124&amp;"t/an",IF(parcelles!C124=Miscanthus,"soit "&amp;10.5*parcelles!E124&amp;"t/an","soit "&amp;INDEX(parcelles!$C$56:$Y$77,MATCH(parcelles!B124,parcelles!$B$56:$B$77,0),MATCH(parcelles!C124,parcelles!$C$53:$Y$53,0))*parcelles!E124&amp;"t")))))</f>
        <v/>
      </c>
      <c r="HZ76" s="1084" t="str">
        <f>IF(parcelles!D124="","",IF(parcelles!F124=0,"",IF(parcelles!C124=ChanvreIndustriel,"soit "&amp;parcelles!E124*0.8*0.8&amp;"t de grain et "&amp;parcelles!E124*7*0.8&amp;"t de paille",IF(parcelles!C124=Luzerne,"soit "&amp;10*0.8*parcelles!E124&amp;"t/an",IF(parcelles!C124=Miscanthus,"soit "&amp;10.5*0.8*parcelles!E124&amp;"t/an","soit "&amp;INDEX(parcelles!$C$56:$Y$77,MATCH(parcelles!B124,parcelles!$B$56:$B$77,0),MATCH(parcelles!C124,parcelles!$C$53:$Y$53,0))*0.8*parcelles!E124&amp;"t")))))</f>
        <v/>
      </c>
      <c r="IA76" s="1084" t="str">
        <f>IF(parcelles!L124="","",(VLOOKUP(parcelles!M124,BDD!$HN$5:$HU$38,2,FALSE))*parcelles!O124)</f>
        <v/>
      </c>
      <c r="IB76" s="1084" t="str">
        <f>IF(parcelles!L124="","",IF(OR(parcelles!M124=Moutarde,parcelles!M124=Phacélie),0,IF(parcelles!M124=Luzerne,10*parcelles!O124*VLOOKUP(parcelles!M124,BDD!$HN$5:$HU$38,3,FALSE),IF(parcelles!M124=Miscanthus,10.5*parcelles!O124*VLOOKUP(parcelles!M124,BDD!$HN$5:$HU$38,3,FALSE),INDEX(parcelles!$C$56:'parcelles'!$Y$77,MATCH(parcelles!L124,parcelles!$B$56:'parcelles'!$B$77,0),MATCH(parcelles!M124,parcelles!$C$53:'parcelles'!$Y$53,0))*parcelles!O124*VLOOKUP(parcelles!M124,BDD!$HN$5:$HU$38,3,FALSE)))))</f>
        <v/>
      </c>
      <c r="IC76" s="1084" t="str">
        <f>IF(parcelles!L124="","",IF(OR(parcelles!M124=Moutarde,parcelles!M124=Phacélie),0,IF(parcelles!M124=Luzerne,10*parcelles!O124*VLOOKUP(parcelles!M124,BDD!$HN$5:$HU$38,4,FALSE),IF(parcelles!M124=Miscanthus,10.5*parcelles!O124*VLOOKUP(parcelles!M124,BDD!$HN$5:$HU$38,4,FALSE),INDEX(parcelles!$C$56:'parcelles'!$Y$77,MATCH(parcelles!L124,parcelles!$B$56:'parcelles'!$B$77,0),MATCH(parcelles!M124,parcelles!$C$53:'parcelles'!$Y$53,0))*parcelles!O124*VLOOKUP(parcelles!M124,BDD!$HN$5:$HU$38,4,FALSE)))))</f>
        <v/>
      </c>
      <c r="ID76" s="1084" t="str">
        <f>IF(parcelles!L124="","",IF(OR(parcelles!M124=Moutarde,parcelles!M124=Phacélie),0,IF(parcelles!M124=Luzerne,10*parcelles!O124*VLOOKUP(parcelles!M124,BDD!$HN$5:$HU$38,5,FALSE),IF(parcelles!M124=Miscanthus,10.5*parcelles!O124*VLOOKUP(parcelles!M124,BDD!$HN$5:$HU$38,5,FALSE),INDEX(parcelles!$C$56:'parcelles'!$Y$77,MATCH(parcelles!L124,parcelles!$B$56:'parcelles'!$B$77,0),MATCH(parcelles!M124,parcelles!$C$53:'parcelles'!$Y$53,0))*parcelles!O124*VLOOKUP(parcelles!M124,BDD!$HN$5:$HU$38,5,FALSE)))))</f>
        <v/>
      </c>
      <c r="IE76" s="1084" t="str">
        <f>IF(parcelles!L124="","",IF(OR(parcelles!M124=Moutarde,parcelles!M124=Phacélie),0,IF(parcelles!M124=Luzerne,10*parcelles!O124*VLOOKUP(parcelles!M124,BDD!$HN$5:$HU$38,6,FALSE),IF(parcelles!M124=Miscanthus,10.5*parcelles!O124*VLOOKUP(parcelles!M124,BDD!$HN$5:$HU$38,6,FALSE),INDEX(parcelles!$C$56:'parcelles'!$Y$77,MATCH(parcelles!L124,parcelles!$B$56:'parcelles'!$B$77,0),MATCH(parcelles!M124,parcelles!$C$53:'parcelles'!$Y$53,0))*parcelles!O124*VLOOKUP(parcelles!M124,BDD!$HN$5:$HU$38,6,FALSE)))))</f>
        <v/>
      </c>
      <c r="IF76" s="1084" t="str">
        <f>IF(parcelles!L124="","",IF(OR(parcelles!M124=Moutarde,parcelles!M124=Phacélie),0,IF(parcelles!M124=Luzerne,10*parcelles!O124*VLOOKUP(parcelles!M124,BDD!$HN$5:$HU$38,7,FALSE),IF(parcelles!M124=Miscanthus,10.5*parcelles!O124*VLOOKUP(parcelles!M124,BDD!$HN$5:$HU$38,7,FALSE),INDEX(parcelles!$C$56:'parcelles'!$Y$77,MATCH(parcelles!L124,parcelles!$B$56:'parcelles'!$B$77,0),MATCH(parcelles!M124,parcelles!$C$53:'parcelles'!$Y$53,0))*parcelles!O124*VLOOKUP(parcelles!M124,BDD!$HN$5:$HU$38,7,FALSE)))))</f>
        <v/>
      </c>
      <c r="IG76" s="1084" t="str">
        <f>IF(parcelles!L124="","",IF(OR(parcelles!M124=Moutarde,parcelles!M124=Phacélie),0,IF(parcelles!M124=Luzerne,10*parcelles!O124*VLOOKUP(parcelles!M124,BDD!$HN$5:$HU$38,8,FALSE),IF(parcelles!M124=Miscanthus,10.5*parcelles!O124*VLOOKUP(parcelles!M124,BDD!$HN$5:$HU$38,8,FALSE),INDEX(parcelles!$C$56:'parcelles'!$Y$77,MATCH(parcelles!L124,parcelles!$B$56:'parcelles'!$B$77,0),MATCH(parcelles!M124,parcelles!$C$53:'parcelles'!$Y$53,0))*parcelles!O124*VLOOKUP(parcelles!M124,BDD!$HN$5:$HU$38,8,FALSE)))))</f>
        <v/>
      </c>
      <c r="IH76" s="1084" t="str">
        <f>IF(parcelles!L124="","",IF(OR(parcelles!L124=Moutarde,parcelles!L124=Phacélie),0,1.6*parcelles!O124))</f>
        <v/>
      </c>
      <c r="II76" s="1084" t="str">
        <f>IF(parcelles!L124="","",IF(OR(parcelles!L124=Moutarde,parcelles!L124=Phacélie),0,1.6*parcelles!O124))</f>
        <v/>
      </c>
      <c r="IJ76" s="1084" t="str">
        <f>IF(parcelles!L124="","",IF(OR(parcelles!L124=Moutarde,parcelles!L124=Phacélie),0,1.6*parcelles!O124))</f>
        <v/>
      </c>
      <c r="IK76" s="1084" t="str">
        <f>IF(parcelles!P124="","",IF(parcelles!R124=0,"",IF(parcelles!O124=ChanvreIndustriel,"soit "&amp;parcelles!Q124*0.8&amp;"t de grain et "&amp;parcelles!Q124*7&amp;"t de paille",IF(parcelles!O124=Luzerne,"soit "&amp;10*parcelles!Q124&amp;"t/an",IF(parcelles!O124=Miscanthus,"soit "&amp;10.5*parcelles!Q124&amp;"t/an","soit "&amp;INDEX(parcelles!$C$56:$Y$77,MATCH(parcelles!N124,parcelles!$B$56:$B$77,0),MATCH(parcelles!O124,parcelles!$C$53:$Y$53,0))*parcelles!Q124&amp;"t")))))</f>
        <v/>
      </c>
      <c r="IL76" s="1084" t="str">
        <f>IF(parcelles!P124="","",IF(parcelles!R124=0,"",IF(parcelles!O124=ChanvreIndustriel,"soit "&amp;parcelles!Q124*0.8*0.8&amp;"t de grain et "&amp;parcelles!Q124*7*0.8&amp;"t de paille",IF(parcelles!O124=Luzerne,"soit "&amp;10*0.8*parcelles!Q124&amp;"t/an",IF(parcelles!O124=Miscanthus,"soit "&amp;10.5*0.8*parcelles!Q124&amp;"t/an","soit "&amp;INDEX(parcelles!$C$56:$Y$77,MATCH(parcelles!N124,parcelles!$B$56:$B$77,0),MATCH(parcelles!O124,parcelles!$C$53:$Y$53,0))*0.8*parcelles!Q124&amp;"t")))))</f>
        <v/>
      </c>
      <c r="IM76" s="1084" t="str">
        <f>IF(parcelles!S124="","",IF(parcelles!U124=0,"",IF(parcelles!R124=ChanvreIndustriel,parcelles!T124*0.8*0.8+parcelles!T124*7*0.8,IF(parcelles!R124=Luzerne,10*0.8*parcelles!T124,IF(parcelles!R124=Miscanthus,10.5*0.8*parcelles!T124,INDEX(parcelles!$C$56:$Y$77,MATCH(parcelles!Q124,parcelles!$B$56:$B$77,0),MATCH(parcelles!R124,parcelles!$C$53:$Y$53,0))*0.8*parcelles!T124)))))</f>
        <v/>
      </c>
      <c r="IN76" s="1368"/>
    </row>
    <row r="77" spans="1:248" ht="12.75" customHeight="1" x14ac:dyDescent="0.2">
      <c r="A77" s="1307" t="s">
        <v>367</v>
      </c>
      <c r="B77" s="1241">
        <f t="shared" si="17"/>
        <v>1E-3</v>
      </c>
      <c r="C77" s="1321"/>
      <c r="D77" s="1321"/>
      <c r="E77" s="1321"/>
      <c r="F77" s="1139" t="s">
        <v>1170</v>
      </c>
      <c r="G77" s="1139" t="s">
        <v>861</v>
      </c>
      <c r="H77" s="1139" t="s">
        <v>1171</v>
      </c>
      <c r="I77" s="1139" t="s">
        <v>863</v>
      </c>
      <c r="J77" s="1139" t="s">
        <v>864</v>
      </c>
      <c r="K77" s="1139" t="s">
        <v>1172</v>
      </c>
      <c r="L77" s="1139" t="s">
        <v>866</v>
      </c>
      <c r="M77" s="1321"/>
      <c r="N77" s="1321"/>
      <c r="O77" s="1321"/>
      <c r="P77" s="1321"/>
      <c r="Q77" s="1321"/>
      <c r="R77" s="1321"/>
      <c r="S77" s="1321"/>
      <c r="T77" s="1321"/>
      <c r="U77" s="1321"/>
      <c r="V77" s="1321"/>
      <c r="W77" s="1321"/>
      <c r="X77" s="1321"/>
      <c r="Y77" s="1080" t="s">
        <v>1668</v>
      </c>
      <c r="Z77" s="1080">
        <f>IF('coût alimentation'!$B$6=$Y$77,2,0)</f>
        <v>0</v>
      </c>
      <c r="AA77" s="1080">
        <f>IF('coût alimentation'!$B$6=$Y$77,2,0)</f>
        <v>0</v>
      </c>
      <c r="AB77" s="1080">
        <f>IF('coût alimentation'!$B$6=$Y$77,2,0)</f>
        <v>0</v>
      </c>
      <c r="AC77" s="1080">
        <f>IF('coût alimentation'!$B$6=$Y$77,2,0)</f>
        <v>0</v>
      </c>
      <c r="AD77" s="1080">
        <f>IF('coût alimentation'!$B$6=$Y$77,2,0)</f>
        <v>0</v>
      </c>
      <c r="AE77" s="1080">
        <f>IF('coût alimentation'!$B$6=$Y$77,2,0)</f>
        <v>0</v>
      </c>
      <c r="AF77" s="1080">
        <f>IF('coût alimentation'!$B$6=$Y$77,2,0)</f>
        <v>0</v>
      </c>
      <c r="AG77" s="1080">
        <f>IF('coût alimentation'!$B$6=$Y$77,2,0)</f>
        <v>0</v>
      </c>
      <c r="AH77" s="1321"/>
      <c r="AI77" s="1321"/>
      <c r="AJ77" s="1321"/>
      <c r="AK77" s="1321"/>
      <c r="AL77" s="1321"/>
      <c r="AM77" s="1321"/>
      <c r="AN77" s="1321"/>
      <c r="AO77" s="1321"/>
      <c r="AP77" s="1321"/>
      <c r="AQ77" s="1321"/>
      <c r="AR77" s="1321"/>
      <c r="AS77" s="1321"/>
      <c r="AT77" s="1321"/>
      <c r="AU77" s="1321"/>
      <c r="AV77" s="1321"/>
      <c r="AW77" s="1321"/>
      <c r="AX77" s="1321"/>
      <c r="AY77" s="1321"/>
      <c r="AZ77" s="1321"/>
      <c r="BA77" s="1321"/>
      <c r="BB77" s="1236" t="s">
        <v>726</v>
      </c>
      <c r="BC77" s="1190" t="s">
        <v>1273</v>
      </c>
      <c r="BD77" s="1190" t="s">
        <v>1254</v>
      </c>
      <c r="BE77" s="1237">
        <v>4.8</v>
      </c>
      <c r="BF77" s="1237">
        <v>4</v>
      </c>
      <c r="BG77" s="1237">
        <v>4</v>
      </c>
      <c r="BH77" s="1237">
        <v>4</v>
      </c>
      <c r="BI77" s="1237">
        <v>2</v>
      </c>
      <c r="BJ77" s="1237">
        <v>1.2</v>
      </c>
      <c r="BK77" s="1238">
        <v>0</v>
      </c>
      <c r="BL77" s="1348"/>
      <c r="BM77" s="1076" t="str">
        <f t="shared" si="23"/>
        <v>Chanvre</v>
      </c>
      <c r="BN77" s="1076">
        <f t="array" ref="BN77">IF(Ration_hivernale_complète_bisons[somme]&gt;0,0,IFERROR(IF(OR(AND(INDEX(Règles_bison[Specificite],MATCH(ChoixRationBisons&amp;$BM77,Règles_bison[Ration]&amp;Règles_bison[Aliment],0))="s1",IF($BM77=ChoixSpécificité1Bisons,1)),
AND(INDEX(Règles_bison[Specificite],MATCH(ChoixRationBisons&amp;$BM77,Règles_bison[Ration]&amp;Règles_bison[Aliment],0))="s2",IF($BM77=ChoixSpécificité2Bisons,1)),INDEX(Règles_bison[Specificite],MATCH(ChoixRationBisons&amp;$BM77,Règles_bison[Ration]&amp;Règles_bison[Aliment],0))="c"),
INDEX(Règles_bison[Valeur 36 et plus],MATCH(ChoixRationBisons&amp;$BM77,Règles_bison[Ration]&amp;Règles_bison[Aliment],0)),0),0)*TotalBisonnes*SUM(NbreJoursNourrirBisonsDaims))</f>
        <v>0</v>
      </c>
      <c r="BO77" s="1076">
        <f t="array" ref="BO77">IF(Ration_hivernale_complète_bisons[somme]&gt;0,0,IFERROR(IF(OR(AND(INDEX(Règles_bison[Specificite],MATCH(ChoixRationBisons&amp;$BM77,Règles_bison[Ration]&amp;Règles_bison[Aliment],0))="s1",IF($BM77=ChoixSpécificité1Bisons,1)),
AND(INDEX(Règles_bison[Specificite],MATCH(ChoixRationBisons&amp;$BM77,Règles_bison[Ration]&amp;Règles_bison[Aliment],0))="s2",IF($BM77=ChoixSpécificité2Bisons,1)),INDEX(Règles_bison[Specificite],MATCH(ChoixRationBisons&amp;$BM77,Règles_bison[Ration]&amp;Règles_bison[Aliment],0))="c"),
INDEX(Règles_bison[Valeur 24-36],MATCH(ChoixRationBisons&amp;$BM77,Règles_bison[Ration]&amp;Règles_bison[Aliment],0)),0),0)*TotalBisonsFemelles_24_36_mois*SUM(NbreJoursNourrirBisonsDaims))</f>
        <v>0</v>
      </c>
      <c r="BP77" s="1076">
        <f t="array" ref="BP77">IF(Ration_hivernale_complète_bisons[somme]&gt;0,0,IFERROR(IF(OR(AND(INDEX(Règles_bison[Specificite],MATCH(ChoixRationBisons&amp;$BM77,Règles_bison[Ration]&amp;Règles_bison[Aliment],0))="s1",IF($BM77=ChoixSpécificité1Bisons,1)),
AND(INDEX(Règles_bison[Specificite],MATCH(ChoixRationBisons&amp;$BM77,Règles_bison[Ration]&amp;Règles_bison[Aliment],0))="s2",IF($BM77=ChoixSpécificité2Bisons,1)),INDEX(Règles_bison[Specificite],MATCH(ChoixRationBisons&amp;$BM77,Règles_bison[Ration]&amp;Règles_bison[Aliment],0))="c"),
INDEX(Règles_bison[Valeur 18-24],MATCH(ChoixRationBisons&amp;$BM77,Règles_bison[Ration]&amp;Règles_bison[Aliment],0)),0),0)*TotalBisonsFemelles_18_24_mois*SUM(NbreJoursNourrirBisonsDaims))</f>
        <v>0</v>
      </c>
      <c r="BQ77" s="1076">
        <f t="array" ref="BQ77">IF(Ration_hivernale_complète_bisons[somme]&gt;0,0,IFERROR(IF(OR(AND(INDEX(Règles_bison[Specificite],MATCH(ChoixRationBisons&amp;$BM77,Règles_bison[Ration]&amp;Règles_bison[Aliment],0))="s1",IF($BM77=ChoixSpécificité1Bisons,1)),
AND(INDEX(Règles_bison[Specificite],MATCH(ChoixRationBisons&amp;$BM77,Règles_bison[Ration]&amp;Règles_bison[Aliment],0))="s2",IF($BM77=ChoixSpécificité2Bisons,1)),INDEX(Règles_bison[Specificite],MATCH(ChoixRationBisons&amp;$BM77,Règles_bison[Ration]&amp;Règles_bison[Aliment],0))="c"),
INDEX(Règles_bison[Valeur 12-18],MATCH(ChoixRationBisons&amp;$BM77,Règles_bison[Ration]&amp;Règles_bison[Aliment],0)),0),0)*TotalBisonsFemelles_12_18_mois*SUM(NbreJoursNourrirBisonsDaims))</f>
        <v>0</v>
      </c>
      <c r="BR77" s="1076">
        <f t="array" ref="BR77">IF(Ration_hivernale_complète_bisons[somme]&gt;0,0,IFERROR(IF(OR(AND(INDEX(Règles_bison[Specificite],MATCH(ChoixRationBisons&amp;$BM77,Règles_bison[Ration]&amp;Règles_bison[Aliment],0))="s1",IF($BM77=ChoixSpécificité1Bisons,1)),
AND(INDEX(Règles_bison[Specificite],MATCH(ChoixRationBisons&amp;$BM77,Règles_bison[Ration]&amp;Règles_bison[Aliment],0))="s2",IF($BM77=ChoixSpécificité2Bisons,1)),INDEX(Règles_bison[Specificite],MATCH(ChoixRationBisons&amp;$BM77,Règles_bison[Ration]&amp;Règles_bison[Aliment],0))="c"),
INDEX(Règles_bison[Valeur 6-12],MATCH(ChoixRationBisons&amp;$BM77,Règles_bison[Ration]&amp;Règles_bison[Aliment],0)),0),0)*TotalBisonsFemelles_6_12_mois*SUM(NbreJoursNourrirBisonsDaims))</f>
        <v>0</v>
      </c>
      <c r="BS77" s="1076">
        <f t="array" ref="BS77">IF(Ration_hivernale_complète_bisons[somme]&gt;0,0,IFERROR(IF(OR(AND(INDEX(Règles_bison[Specificite],MATCH(ChoixRationBisons&amp;$BM77,Règles_bison[Ration]&amp;Règles_bison[Aliment],0))="s1",IF($BM77=ChoixSpécificité1Bisons,1)),
AND(INDEX(Règles_bison[Specificite],MATCH(ChoixRationBisons&amp;$BM77,Règles_bison[Ration]&amp;Règles_bison[Aliment],0))="s2",IF($BM77=ChoixSpécificité2Bisons,1)),INDEX(Règles_bison[Specificite],MATCH(ChoixRationBisons&amp;$BM77,Règles_bison[Ration]&amp;Règles_bison[Aliment],0))="c"),
INDEX(Règles_bison[Valeur 3-6],MATCH(ChoixRationBisons&amp;$BM77,Règles_bison[Ration]&amp;Règles_bison[Aliment],0)),0),0)*TotalBisonsFemelles_3_6_mois*SUM(NbreJoursNourrirBisonsDaims))</f>
        <v>0</v>
      </c>
      <c r="BT77" s="1076">
        <f t="array" ref="BT77">IF(Ration_hivernale_complète_bisons[somme]&gt;0,0,IFERROR(IF(OR(AND(INDEX(Règles_bison[Specificite],MATCH(ChoixRationBisons&amp;$BM77,Règles_bison[Ration]&amp;Règles_bison[Aliment],0))="s1",IF($BM77=ChoixSpécificité1Bisons,1)),
AND(INDEX(Règles_bison[Specificite],MATCH(ChoixRationBisons&amp;$BM77,Règles_bison[Ration]&amp;Règles_bison[Aliment],0))="s2",IF($BM77=ChoixSpécificité2Bisons,1)),INDEX(Règles_bison[Specificite],MATCH(ChoixRationBisons&amp;$BM77,Règles_bison[Ration]&amp;Règles_bison[Aliment],0))="c"),
INDEX(Règles_bison[Valeur 0-3],MATCH(ChoixRationBisons&amp;$BM77,Règles_bison[Ration]&amp;Règles_bison[Aliment],0)),0),0)*TotalBisonsFemelles_0_3_mois*SUM(NbreJoursNourrirBisonsDaims))</f>
        <v>0</v>
      </c>
      <c r="BU77" s="1076">
        <f t="shared" si="22"/>
        <v>0</v>
      </c>
      <c r="BV77" s="1346"/>
      <c r="BW77" s="1346"/>
      <c r="BX77" s="1176" t="s">
        <v>729</v>
      </c>
      <c r="BY77" s="1177" t="s">
        <v>285</v>
      </c>
      <c r="BZ77" s="1177" t="s">
        <v>1253</v>
      </c>
      <c r="CA77" s="1177">
        <v>1.6</v>
      </c>
      <c r="CB77" s="1177">
        <v>1.4</v>
      </c>
      <c r="CC77" s="1177">
        <v>1.2</v>
      </c>
      <c r="CD77" s="1199">
        <v>1</v>
      </c>
      <c r="CE77" s="1350"/>
      <c r="CF77" s="1350"/>
      <c r="CG77" s="1350"/>
      <c r="CH77" s="1350"/>
      <c r="CI77" s="1321"/>
      <c r="CJ77" s="808" t="s">
        <v>63</v>
      </c>
      <c r="CK77" s="788">
        <f t="array" ref="CK7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77" s="788">
        <f t="array" ref="CL7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77" s="788">
        <f t="array" ref="CM7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77" s="788">
        <f t="array" ref="CN7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77" s="788">
        <f t="array" ref="CO77">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77" s="812">
        <f>SUM(AlimentsRationPorcinsMâles[[#This Row],[Valeur 12 et plus]:[Valeur 0-1]])</f>
        <v>0</v>
      </c>
      <c r="CQ77" s="1321"/>
      <c r="CR77" s="1321"/>
      <c r="CS77" s="808" t="s">
        <v>672</v>
      </c>
      <c r="CT77" s="817">
        <f t="array" ref="CT7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77" s="817">
        <f t="array" ref="CU7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77" s="817">
        <f t="array" ref="CV7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77" s="818">
        <f>SUM(AlimentsRationLapinsMâles[[#This Row],[Valeur 3 et plus]:[Valeur 0-1]])</f>
        <v>0</v>
      </c>
      <c r="CX77" s="1321"/>
      <c r="CY77" s="1321"/>
      <c r="CZ77" s="808" t="s">
        <v>672</v>
      </c>
      <c r="DA77" s="817">
        <f t="array" ref="DA7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77" s="817">
        <f t="array" ref="DB7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77" s="817">
        <f t="array" ref="DC7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77" s="818">
        <f>SUM(AlimentsRationVolaillesMâles[[#This Row],[Valeur 6 et plus]:[Valeur 0-1]])</f>
        <v>0</v>
      </c>
      <c r="DE77" s="1364"/>
      <c r="DF77" s="1321"/>
      <c r="DG77" s="808" t="s">
        <v>296</v>
      </c>
      <c r="DH77" s="817">
        <f t="array" ref="DH77">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77" s="817">
        <f t="array" ref="DI77">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77" s="817">
        <f t="array" ref="DJ77">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77" s="818">
        <f>SUM(AlimentsRationPintadesMâles[[#This Row],[Valeur 9 et plus]:[Valeur 0-1]])</f>
        <v>0</v>
      </c>
      <c r="DL77" s="1364"/>
      <c r="DM77" s="1364"/>
      <c r="DN77" s="1176" t="s">
        <v>836</v>
      </c>
      <c r="DO77" s="1177" t="s">
        <v>219</v>
      </c>
      <c r="DP77" s="1177" t="s">
        <v>1252</v>
      </c>
      <c r="DQ77" s="1181">
        <v>8</v>
      </c>
      <c r="DR77" s="1181">
        <v>6</v>
      </c>
      <c r="DS77" s="1181">
        <v>4</v>
      </c>
      <c r="DT77" s="1243">
        <v>0</v>
      </c>
      <c r="DU77" s="1345"/>
      <c r="DV77" s="1079" t="s">
        <v>1276</v>
      </c>
      <c r="DW77" s="1271" t="s">
        <v>1746</v>
      </c>
      <c r="DX77" s="1271" t="s">
        <v>1747</v>
      </c>
      <c r="DY77" s="1271" t="s">
        <v>1748</v>
      </c>
      <c r="DZ77" s="1345"/>
      <c r="EA77" s="1345"/>
      <c r="EB77" s="1345"/>
      <c r="EC77" s="1345"/>
      <c r="ED77" s="1345"/>
      <c r="EE77" s="1345"/>
      <c r="EF77" s="1321"/>
      <c r="EG77" s="808" t="s">
        <v>1272</v>
      </c>
      <c r="EH77" s="817">
        <f t="array" ref="EH7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77" s="817">
        <f t="array" ref="EI7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77" s="817">
        <f t="array" ref="EJ7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77" s="818">
        <f>SUM(AlimentsRationOiesMâles[[#This Row],[Valeur 6 et plus]:[Valeur 0-3]])</f>
        <v>0</v>
      </c>
      <c r="EL77" s="1364"/>
      <c r="EM77" s="1321"/>
      <c r="EN77" s="808" t="s">
        <v>723</v>
      </c>
      <c r="EO77" s="817">
        <f t="array" ref="EO77">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77" s="817">
        <f t="array" ref="EP77">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77" s="817">
        <f t="array" ref="EQ77">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77" s="818">
        <f>SUM(Ration_canards_Mâles[[#This Row],[Valeur 6 et plus]:[Valeur 0-3]])</f>
        <v>0</v>
      </c>
      <c r="ES77" s="1364"/>
      <c r="ET77" s="1346"/>
      <c r="EU77" s="1083" t="s">
        <v>340</v>
      </c>
      <c r="EV77" s="1283">
        <f t="array" ref="EV77">IF(OR(ChoixRationComplèteEtéChevauxSelle=OUI,ChoixRationComplèteEtéChevauxSelle="",AND(ChoixChevauxSellePréHiver=OUI,ChoixChevauxSellePréEté=OUI)),0,IFERROR(IF(OR(AND(INDEX(Règles_chevaux_selle[Specificite],MATCH(RationEtéChevauxSelle&amp;$EU77,Règles_chevaux_selle[Ration]&amp;Règles_chevaux_selle[Aliment],0))="s1",IF($EU77=Spécificité1ChevauxSelle,1)),
AND(INDEX(Règles_chevaux_selle[Specificite],MATCH(RationEtéChevauxSelle&amp;$EU77,Règles_chevaux_selle[Ration]&amp;Règles_chevaux_selle[Aliment],0))="s2",IF($EU77=Spécificité2ChevauxSelle,1)),
INDEX(Règles_chevaux_selle[Specificite],MATCH(RationEtéChevauxSelle&amp;$EU77,Règles_chevaux_selle[Ration]&amp;Règles_chevaux_selle[Aliment],0))="c"),
INDEX(Règles_chevaux_selle[Valeur 36 et plus],MATCH(RationEtéChevauxSelle&amp;$EU77,Règles_chevaux_selle[Ration]&amp;Règles_chevaux_selle[Aliment],0)),0),0)*TotalEtalonSelle*SUM(NbreJoursNourrirChevauxSelle))</f>
        <v>0</v>
      </c>
      <c r="EW77" s="1283">
        <f t="array" ref="EW77">IF(OR(ChoixRationComplèteEtéChevauxSelle=OUI,ChoixRationComplèteEtéChevauxSelle="",AND(ChoixChevauxSellePréHiver=OUI,ChoixChevauxSellePréEté=OUI)),0,IFERROR(IF(OR(AND(INDEX(Règles_chevaux_selle[Specificite],MATCH(RationEtéChevauxSelle&amp;$EU77,Règles_chevaux_selle[Ration]&amp;Règles_chevaux_selle[Aliment],0))="s1",IF($EU77=Spécificité1ChevauxSelle,1)),
AND(INDEX(Règles_chevaux_selle[Specificite],MATCH(RationEtéChevauxSelle&amp;$EU77,Règles_chevaux_selle[Ration]&amp;Règles_chevaux_selle[Aliment],0))="s2",IF($EU77=Spécificité2ChevauxSelle,1)),
INDEX(Règles_chevaux_selle[Specificite],MATCH(RationEtéChevauxSelle&amp;$EU77,Règles_chevaux_selle[Ration]&amp;Règles_chevaux_selle[Aliment],0))="c"),
INDEX(Règles_chevaux_selle[Valeur 24-36],MATCH(RationEtéChevauxSelle&amp;$EU77,Règles_chevaux_selle[Ration]&amp;Règles_chevaux_selle[Aliment],0)),0),0)*TotalJeuneEtalonSelle_24_36_mois*SUM(NbreJoursNourrirChevauxSelle))</f>
        <v>0</v>
      </c>
      <c r="EX77" s="1283">
        <f t="array" ref="EX77">IF(OR(ChoixRationComplèteEtéChevauxSelle=OUI,ChoixRationComplèteEtéChevauxSelle="",AND(ChoixChevauxSellePréHiver=OUI,ChoixChevauxSellePréEté=OUI)),0,IFERROR(IF(OR(AND(INDEX(Règles_chevaux_selle[Specificite],MATCH(RationEtéChevauxSelle&amp;$EU77,Règles_chevaux_selle[Ration]&amp;Règles_chevaux_selle[Aliment],0))="s1",IF($EU77=Spécificité1ChevauxSelle,1)),
AND(INDEX(Règles_chevaux_selle[Specificite],MATCH(RationEtéChevauxSelle&amp;$EU77,Règles_chevaux_selle[Ration]&amp;Règles_chevaux_selle[Aliment],0))="s2",IF($EU77=Spécificité2ChevauxSelle,1)),
INDEX(Règles_chevaux_selle[Specificite],MATCH(RationEtéChevauxSelle&amp;$EU77,Règles_chevaux_selle[Ration]&amp;Règles_chevaux_selle[Aliment],0))="c"),
INDEX(Règles_chevaux_selle[Valeur 12-24],MATCH(RationEtéChevauxSelle&amp;$EU77,Règles_chevaux_selle[Ration]&amp;Règles_chevaux_selle[Aliment],0)),0),0)*TotalJeuneEtalonSelle_12_24_mois*SUM(NbreJoursNourrirChevauxSelle))</f>
        <v>0</v>
      </c>
      <c r="EY77" s="1286">
        <f t="array" ref="EY77">IF(OR(ChoixRationComplèteEtéChevauxSelle=OUI,ChoixRationComplèteEtéChevauxSelle="",AND(ChoixChevauxSellePréHiver=OUI,ChoixChevauxSellePréEté=OUI)),0,IFERROR(IF(OR(AND(INDEX(Règles_chevaux_selle[Specificite],MATCH(RationEtéChevauxSelle&amp;$EU77,Règles_chevaux_selle[Ration]&amp;Règles_chevaux_selle[Aliment],0))="s1",IF($EU77=Spécificité1ChevauxSelle,1)),
AND(INDEX(Règles_chevaux_selle[Specificite],MATCH(RationEtéChevauxSelle&amp;$EU77,Règles_chevaux_selle[Ration]&amp;Règles_chevaux_selle[Aliment],0))="s2",IF($EU77=Spécificité2ChevauxSelle,1)),
INDEX(Règles_chevaux_selle[Specificite],MATCH(RationEtéChevauxSelle&amp;$EU77,Règles_chevaux_selle[Ration]&amp;Règles_chevaux_selle[Aliment],0))="c"),
INDEX(Règles_chevaux_selle[Valeur 0-12],MATCH(RationEtéChevauxSelle&amp;$EU77,Règles_chevaux_selle[Ration]&amp;Règles_chevaux_selle[Aliment],0)),0),0)*TotalPoulainSelle_0_12_mois*SUM(NbreJoursNourrirChevauxSelle))</f>
        <v>0</v>
      </c>
      <c r="EZ77" s="1286">
        <f t="shared" si="16"/>
        <v>0</v>
      </c>
      <c r="FA77" s="1345"/>
      <c r="FB77" s="1345"/>
      <c r="FC77" s="1321"/>
      <c r="FD77" s="1083" t="s">
        <v>65</v>
      </c>
      <c r="FE77" s="1283">
        <f t="array" ref="FE77">IF(OR(ChoixRationComplèteEtéChevauxTrait=OUI,ChoixRationComplèteEtéChevauxTrait="",AND(ChoixChevauxTraitPréHiver=OUI,ChoixChevauxTraitPréEté=OUI)),0,IFERROR(IF(OR(AND(INDEX(Règles_chevaux_trait[Specificite],MATCH(RationEtéChevauxTrait&amp;$FD77,Règles_chevaux_trait[Ration]&amp;Règles_chevaux_trait[Aliment],0))="s1",IF($FD77=Spécificité1ChevauxTrait,1)),
AND(INDEX(Règles_chevaux_trait[Specificite],MATCH(RationEtéChevauxTrait&amp;$FD77,Règles_chevaux_trait[Ration]&amp;Règles_chevaux_trait[Aliment],0))="s2",IF($FD77=Spécificité2ChevauxTrait,1)),
INDEX(Règles_chevaux_trait[Specificite],MATCH(RationEtéChevauxTrait&amp;$FD77,Règles_chevaux_trait[Ration]&amp;Règles_chevaux_trait[Aliment],0))="c"),
INDEX(Règles_chevaux_trait[Valeur 36 et plus],MATCH(RationEtéChevauxTrait&amp;$FD77,Règles_chevaux_trait[Ration]&amp;Règles_chevaux_trait[Aliment],0)),0),0)*TotalEtalonTrait*SUM(NbreJoursNourrirChevauxTrait))</f>
        <v>0</v>
      </c>
      <c r="FF77" s="1283">
        <f t="array" ref="FF77">IF(OR(ChoixRationComplèteEtéChevauxTrait=OUI,ChoixRationComplèteEtéChevauxTrait="",AND(ChoixChevauxTraitPréHiver=OUI,ChoixChevauxTraitPréEté=OUI)),0,IFERROR(IF(OR(AND(INDEX(Règles_chevaux_trait[Specificite],MATCH(RationEtéChevauxTrait&amp;$FD77,Règles_chevaux_trait[Ration]&amp;Règles_chevaux_trait[Aliment],0))="s1",IF($FD77=Spécificité1ChevauxTrait,1)),
AND(INDEX(Règles_chevaux_trait[Specificite],MATCH(RationEtéChevauxTrait&amp;$FD77,Règles_chevaux_trait[Ration]&amp;Règles_chevaux_trait[Aliment],0))="s2",IF($FD77=Spécificité2ChevauxTrait,1)),
INDEX(Règles_chevaux_trait[Specificite],MATCH(RationEtéChevauxTrait&amp;$FD77,Règles_chevaux_trait[Ration]&amp;Règles_chevaux_trait[Aliment],0))="c"),
INDEX(Règles_chevaux_trait[Valeur 24-36],MATCH(RationEtéChevauxTrait&amp;$FD77,Règles_chevaux_trait[Ration]&amp;Règles_chevaux_trait[Aliment],0)),0),0)*TotalJeuneEtalonTrait_24_36_mois*SUM(NbreJoursNourrirChevauxTrait))</f>
        <v>0</v>
      </c>
      <c r="FG77" s="1283">
        <f t="array" ref="FG77">IF(OR(ChoixRationComplèteEtéChevauxTrait=OUI,ChoixRationComplèteEtéChevauxTrait="",AND(ChoixChevauxTraitPréHiver=OUI,ChoixChevauxTraitPréEté=OUI)),0,IFERROR(IF(OR(AND(INDEX(Règles_chevaux_trait[Specificite],MATCH(RationEtéChevauxTrait&amp;$FD77,Règles_chevaux_trait[Ration]&amp;Règles_chevaux_trait[Aliment],0))="s1",IF($FD77=Spécificité1ChevauxTrait,1)),
AND(INDEX(Règles_chevaux_trait[Specificite],MATCH(RationEtéChevauxTrait&amp;$FD77,Règles_chevaux_trait[Ration]&amp;Règles_chevaux_trait[Aliment],0))="s2",IF($FD77=Spécificité2ChevauxTrait,1)),
INDEX(Règles_chevaux_trait[Specificite],MATCH(RationEtéChevauxTrait&amp;$FD77,Règles_chevaux_trait[Ration]&amp;Règles_chevaux_trait[Aliment],0))="c"),
INDEX(Règles_chevaux_trait[Valeur 12-24],MATCH(RationEtéChevauxTrait&amp;$FD77,Règles_chevaux_trait[Ration]&amp;Règles_chevaux_trait[Aliment],0)),0),0)*TotalJeuneEtalonTrait_12_24_mois*SUM(NbreJoursNourrirChevauxTrait))</f>
        <v>0</v>
      </c>
      <c r="FH77" s="1286">
        <f t="array" ref="FH77">IF(OR(ChoixRationComplèteEtéChevauxTrait=OUI,ChoixRationComplèteEtéChevauxTrait="",AND(ChoixChevauxTraitPréHiver=OUI,ChoixChevauxTraitPréEté=OUI)),0,IFERROR(IF(OR(AND(INDEX(Règles_chevaux_trait[Specificite],MATCH(RationEtéChevauxTrait&amp;$FD77,Règles_chevaux_trait[Ration]&amp;Règles_chevaux_trait[Aliment],0))="s1",IF($FD77=Spécificité1ChevauxTrait,1)),
AND(INDEX(Règles_chevaux_trait[Specificite],MATCH(RationEtéChevauxTrait&amp;$FD77,Règles_chevaux_trait[Ration]&amp;Règles_chevaux_trait[Aliment],0))="s2",IF($FD77=Spécificité2ChevauxTrait,1)),
INDEX(Règles_chevaux_trait[Specificite],MATCH(RationEtéChevauxTrait&amp;$FD77,Règles_chevaux_trait[Ration]&amp;Règles_chevaux_trait[Aliment],0))="c"),
INDEX(Règles_chevaux_trait[Valeur 0-12],MATCH(RationEtéChevauxTrait&amp;$FD77,Règles_chevaux_trait[Ration]&amp;Règles_chevaux_trait[Aliment],0)),0),0)*TotalPoulainTrait_0_12_mois*SUM(NbreJoursNourrirChevauxTrait))</f>
        <v>0</v>
      </c>
      <c r="FI77" s="1286">
        <f t="shared" si="15"/>
        <v>0</v>
      </c>
      <c r="FJ77" s="1345"/>
      <c r="FK77" s="1345"/>
      <c r="FL77" s="1345"/>
      <c r="FM77" s="1321"/>
      <c r="FN77" s="1082" t="s">
        <v>1272</v>
      </c>
      <c r="FO77" s="1282">
        <f t="array" ref="FO77">IF(OR(ChoixRationComplèteEtéPoneys=OUI,ChoixRationComplèteEtéPoneys="",AND(ChoixPoneysPréHiver=OUI,ChoixPoneysPréEté=OUI)),0,IFERROR(IF(OR(AND(INDEX(Règles_poneys[Specificite],MATCH(RationEtéPoneys&amp;$FN77,Règles_poneys[Ration]&amp;Règles_poneys[Aliment],0))="s1",IF($FN77=Spécificité1Poneys,1)),
AND(INDEX(Règles_poneys[Specificite],MATCH(RationEtéPoneys&amp;$FN77,Règles_poneys[Ration]&amp;Règles_poneys[Aliment],0))="s2",IF($FN77=Spécificité2Poneys,1)),
INDEX(Règles_poneys[Specificite],MATCH(RationEtéPoneys&amp;$FN77,Règles_poneys[Ration]&amp;Règles_poneys[Aliment],0))="c"),
INDEX(Règles_poneys[Valeur 36 et plus],MATCH(RationEtéPoneys&amp;$FN77,Règles_poneys[Ration]&amp;Règles_poneys[Aliment],0)),0),0)*TotalEtalonPoney*SUM(NbreJoursNourrirPoneys))</f>
        <v>0</v>
      </c>
      <c r="FP77" s="1282">
        <f t="array" ref="FP77">IF(OR(ChoixRationComplèteEtéPoneys=OUI,ChoixRationComplèteEtéPoneys="",AND(ChoixPoneysPréHiver=OUI,ChoixPoneysPréEté=OUI)),0,IFERROR(IF(OR(AND(INDEX(Règles_poneys[Specificite],MATCH(RationEtéPoneys&amp;$FN77,Règles_poneys[Ration]&amp;Règles_poneys[Aliment],0))="s1",IF($FN77=Spécificité1Poneys,1)),
AND(INDEX(Règles_poneys[Specificite],MATCH(RationEtéPoneys&amp;$FN77,Règles_poneys[Ration]&amp;Règles_poneys[Aliment],0))="s2",IF($FN77=Spécificité2Poneys,1)),
INDEX(Règles_poneys[Specificite],MATCH(RationEtéPoneys&amp;$FN77,Règles_poneys[Ration]&amp;Règles_poneys[Aliment],0))="c"),
INDEX(Règles_poneys[Valeur 36 et plus],MATCH(RationEtéPoneys&amp;$FN77,Règles_poneys[Ration]&amp;Règles_poneys[Aliment],0)),0),0)*TotalJeuneEtalonPoney_24_36_mois*SUM(NbreJoursNourrirPoneys))</f>
        <v>0</v>
      </c>
      <c r="FQ77" s="1282">
        <f t="array" ref="FQ77">IF(OR(ChoixRationComplèteEtéPoneys=OUI,ChoixRationComplèteEtéPoneys="",AND(ChoixPoneysPréHiver=OUI,ChoixPoneysPréEté=OUI)),0,IFERROR(IF(OR(AND(INDEX(Règles_poneys[Specificite],MATCH(RationEtéPoneys&amp;$FN77,Règles_poneys[Ration]&amp;Règles_poneys[Aliment],0))="s1",IF($FN77=Spécificité1Poneys,1)),
AND(INDEX(Règles_poneys[Specificite],MATCH(RationEtéPoneys&amp;$FN77,Règles_poneys[Ration]&amp;Règles_poneys[Aliment],0))="s2",IF($FN77=Spécificité2Poneys,1)),
INDEX(Règles_poneys[Specificite],MATCH(RationEtéPoneys&amp;$FN77,Règles_poneys[Ration]&amp;Règles_poneys[Aliment],0))="c"),
INDEX(Règles_poneys[Valeur 36 et plus],MATCH(RationEtéPoneys&amp;$FN77,Règles_poneys[Ration]&amp;Règles_poneys[Aliment],0)),0),0)*TotalJeuneEtalonPoney_12_24_mois*SUM(NbreJoursNourrirPoneys))</f>
        <v>0</v>
      </c>
      <c r="FR77" s="1285">
        <f t="array" ref="FR77">IF(OR(ChoixRationComplèteEtéPoneys=OUI,ChoixRationComplèteEtéPoneys="",AND(ChoixPoneysPréHiver=OUI,ChoixPoneysPréEté=OUI)),0,IFERROR(IF(OR(AND(INDEX(Règles_poneys[Specificite],MATCH(RationEtéPoneys&amp;$FN77,Règles_poneys[Ration]&amp;Règles_poneys[Aliment],0))="s1",IF($FN77=Spécificité1Poneys,1)),
AND(INDEX(Règles_poneys[Specificite],MATCH(RationEtéPoneys&amp;$FN77,Règles_poneys[Ration]&amp;Règles_poneys[Aliment],0))="s2",IF($FN77=Spécificité2Poneys,1)),
INDEX(Règles_poneys[Specificite],MATCH(RationEtéPoneys&amp;$FN77,Règles_poneys[Ration]&amp;Règles_poneys[Aliment],0))="c"),
INDEX(Règles_poneys[Valeur 36 et plus],MATCH(RationEtéPoneys&amp;$FN77,Règles_poneys[Ration]&amp;Règles_poneys[Aliment],0)),0),0)*TotalPoulainPoney_0_12_mois*SUM(NbreJoursNourrirPoneys))</f>
        <v>0</v>
      </c>
      <c r="FS77" s="1285">
        <f t="shared" si="14"/>
        <v>0</v>
      </c>
      <c r="FT77" s="1345"/>
      <c r="FU77" s="1345"/>
      <c r="FV77" s="1345"/>
      <c r="FW77" s="823"/>
      <c r="FX77" s="828">
        <f t="array" ref="FX7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77" s="828">
        <f t="array" ref="FY7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77" s="828">
        <f t="array" ref="FZ7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77" s="828">
        <f t="array" ref="GA77">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77" s="829">
        <f>SUM(AlimentsGavageOies[[#This Row],[Valeur 3 et plus]:[Valeur 0-1]])</f>
        <v>0</v>
      </c>
      <c r="GC77" s="1364"/>
      <c r="GD77" s="1321"/>
      <c r="GE77" s="1321"/>
      <c r="GF77" s="1321"/>
      <c r="GG77" s="1321" t="s">
        <v>1349</v>
      </c>
      <c r="GH77" s="1321" t="s">
        <v>1349</v>
      </c>
      <c r="GI77" s="1321" t="s">
        <v>1349</v>
      </c>
      <c r="GJ77" s="1321" t="s">
        <v>1349</v>
      </c>
      <c r="GK77" s="1321" t="s">
        <v>1349</v>
      </c>
      <c r="GL77" s="1321" t="s">
        <v>1349</v>
      </c>
      <c r="GM77" s="1321" t="s">
        <v>1349</v>
      </c>
      <c r="GN77" s="1321" t="s">
        <v>1349</v>
      </c>
      <c r="GO77" s="1321" t="s">
        <v>1349</v>
      </c>
      <c r="GP77" s="1321" t="s">
        <v>1349</v>
      </c>
      <c r="GQ77" s="1321" t="s">
        <v>1349</v>
      </c>
      <c r="GR77" s="1321" t="s">
        <v>1349</v>
      </c>
      <c r="GS77" s="1321" t="s">
        <v>1349</v>
      </c>
      <c r="GT77" s="1321" t="s">
        <v>1349</v>
      </c>
      <c r="GU77" s="1321" t="s">
        <v>1349</v>
      </c>
      <c r="GV77" s="1321" t="s">
        <v>1349</v>
      </c>
      <c r="GW77" s="1321"/>
      <c r="GX77" s="1321"/>
      <c r="GY77" s="1082" t="str">
        <f t="shared" si="11"/>
        <v>semences de tournesol</v>
      </c>
      <c r="GZ77" s="1082"/>
      <c r="HA77" s="1085"/>
      <c r="HB77" s="1085">
        <f>IF(COUNTIF(TypeArticleDansEntrepôt,GY77)=0,0,SUMIF(TypeArticleDansEntrepôt,GY77,QtéArticleDansEntrepôt)*VLOOKUP(GY77,place_necessaire_entrepots_aire_paille[],2,FALSE))</f>
        <v>0</v>
      </c>
      <c r="HC77" s="1321"/>
      <c r="HD77" s="1321"/>
      <c r="HE77" s="1321"/>
      <c r="HF77" s="1321"/>
      <c r="HG77" s="1321"/>
      <c r="HH77" s="1321"/>
      <c r="HI77" s="1321"/>
      <c r="HJ77" s="1321"/>
      <c r="HK77" s="1321"/>
      <c r="HL77" s="1321"/>
      <c r="HM77" s="1321"/>
      <c r="HN77" s="1085" t="str">
        <f>IF(parcelles!B125="","",(VLOOKUP(parcelles!C125,BDD!$HN$5:$HU$38,2,FALSE))*parcelles!E125)</f>
        <v/>
      </c>
      <c r="HO77" s="1085" t="str">
        <f>IF(parcelles!B125="","",IF(OR(parcelles!C125=Moutarde,parcelles!C125=Phacélie),0,IF(parcelles!C125=Luzerne,10*parcelles!E125*VLOOKUP(parcelles!C125,BDD!$HN$5:$HU$38,3,FALSE),IF(parcelles!C125=Miscanthus,10.5*parcelles!E125*VLOOKUP(parcelles!C125,BDD!$HN$5:$HU$38,3,FALSE),INDEX(parcelles!$C$56:'parcelles'!$Y$77,MATCH(parcelles!B125,parcelles!$B$56:'parcelles'!$B$77,0),MATCH(parcelles!C125,parcelles!$C$53:'parcelles'!$Y$53,0))*parcelles!E125*VLOOKUP(parcelles!C125,BDD!$HN$5:$HU$38,3,FALSE)))))</f>
        <v/>
      </c>
      <c r="HP77" s="1085" t="str">
        <f>IF(parcelles!B125="","",IF(OR(parcelles!C125=Moutarde,parcelles!C125=Phacélie),0,IF(parcelles!C125=Luzerne,10*parcelles!E125*VLOOKUP(parcelles!C125,BDD!$HN$5:$HU$38,4,FALSE),IF(parcelles!C125=Miscanthus,10.5*parcelles!E125*VLOOKUP(parcelles!C125,BDD!$HN$5:$HU$38,4,FALSE),INDEX(parcelles!$C$56:'parcelles'!$Y$77,MATCH(parcelles!B125,parcelles!$B$56:'parcelles'!$B$77,0),MATCH(parcelles!C125,parcelles!$C$53:'parcelles'!$Y$53,0))*parcelles!E125*VLOOKUP(parcelles!C125,BDD!$HN$5:$HU$38,4,FALSE)))))</f>
        <v/>
      </c>
      <c r="HQ77" s="1085" t="str">
        <f>IF(parcelles!B125="","",IF(OR(parcelles!C125=Moutarde,parcelles!C125=Phacélie),0,IF(parcelles!C125=Luzerne,10*parcelles!E125*VLOOKUP(parcelles!C125,BDD!$HN$5:$HU$38,5,FALSE),IF(parcelles!C125=Miscanthus,10.5*parcelles!E125*VLOOKUP(parcelles!C125,BDD!$HN$5:$HU$38,5,FALSE),INDEX(parcelles!$C$56:'parcelles'!$Y$77,MATCH(parcelles!B125,parcelles!$B$56:'parcelles'!$B$77,0),MATCH(parcelles!C125,parcelles!$C$53:'parcelles'!$Y$53,0))*parcelles!E125*VLOOKUP(parcelles!C125,BDD!$HN$5:$HU$38,5,FALSE)))))</f>
        <v/>
      </c>
      <c r="HR77" s="1085" t="str">
        <f>IF(parcelles!B125="","",IF(OR(parcelles!C125=Moutarde,parcelles!C125=Phacélie),0,IF(parcelles!C125=Luzerne,10*parcelles!E125*VLOOKUP(parcelles!C125,BDD!$HN$5:$HU$38,6,FALSE),IF(parcelles!C125=Miscanthus,10.5*parcelles!E125*VLOOKUP(parcelles!C125,BDD!$HN$5:$HU$38,6,FALSE),INDEX(parcelles!$C$56:'parcelles'!$Y$77,MATCH(parcelles!B125,parcelles!$B$56:'parcelles'!$B$77,0),MATCH(parcelles!C125,parcelles!$C$53:'parcelles'!$Y$53,0))*parcelles!E125*VLOOKUP(parcelles!C125,BDD!$HN$5:$HU$38,6,FALSE)))))</f>
        <v/>
      </c>
      <c r="HS77" s="1085" t="str">
        <f>IF(parcelles!B125="","",IF(OR(parcelles!C125=Moutarde,parcelles!C125=Phacélie),0,IF(parcelles!C125=Luzerne,10*parcelles!E125*VLOOKUP(parcelles!C125,BDD!$HN$5:$HU$38,7,FALSE),IF(parcelles!C125=Miscanthus,10.5*parcelles!E125*VLOOKUP(parcelles!C125,BDD!$HN$5:$HU$38,7,FALSE),INDEX(parcelles!$C$56:'parcelles'!$Y$77,MATCH(parcelles!B125,parcelles!$B$56:'parcelles'!$B$77,0),MATCH(parcelles!C125,parcelles!$C$53:'parcelles'!$Y$53,0))*parcelles!E125*VLOOKUP(parcelles!C125,BDD!$HN$5:$HU$38,7,FALSE)))))</f>
        <v/>
      </c>
      <c r="HT77" s="1085" t="str">
        <f>IF(parcelles!B125="","",IF(OR(parcelles!C125=Moutarde,parcelles!C125=Phacélie),0,IF(parcelles!C125=Luzerne,10*parcelles!E125*VLOOKUP(parcelles!C125,BDD!$HN$5:$HU$38,8,FALSE),IF(parcelles!C125=Miscanthus,10.5*parcelles!E125*VLOOKUP(parcelles!C125,BDD!$HN$5:$HU$38,8,FALSE),INDEX(parcelles!$C$56:'parcelles'!$Y$77,MATCH(parcelles!B125,parcelles!$B$56:'parcelles'!$B$77,0),MATCH(parcelles!C125,parcelles!$C$53:'parcelles'!$Y$53,0))*parcelles!E125*VLOOKUP(parcelles!C125,BDD!$HN$5:$HU$38,8,FALSE)))))</f>
        <v/>
      </c>
      <c r="HU77" s="1085" t="str">
        <f>IF(parcelles!B125="","",IF(OR(parcelles!C125=Moutarde,parcelles!C125=Phacélie),0,1.6*parcelles!E125))</f>
        <v/>
      </c>
      <c r="HV77" s="1085" t="str">
        <f>IF(parcelles!B125="","",IF(OR(parcelles!C125=Moutarde,parcelles!C125=Phacélie),0,1.6*parcelles!E125))</f>
        <v/>
      </c>
      <c r="HW77" s="1085" t="str">
        <f>IF(parcelles!B125="","",IF(OR(parcelles!C125=Moutarde,parcelles!C125=Phacélie),0,1.6*parcelles!E125))</f>
        <v/>
      </c>
      <c r="HX77" s="1092" t="str">
        <f>IF(parcelles!D125="","",IF(parcelles!C125=ChanvreIndustriel,INDEX(parcelles!$C$56:$Y$77,MATCH(parcelles!B125,parcelles!$B$56:$B$77,0),MATCH(parcelles!C125,parcelles!$C$53:$Y$53,0))*parcelles!E125*SUMIF(ListeCulturesBDD,parcelles!C125,PrixVenteCulturesConventionnel)+RIGHT(BDD!$HM$7,3)*7*parcelles!E125,IF(parcelles!C125=Luzerne,parcelles!E125*10*VLOOKUP(parcelles!C125,TarifsCoopCultures,2,FALSE),IF(parcelles!C125=Miscanthus,parcelles!E125*10.5*VLOOKUP(Luzerne,TarifsCoopCultures,2,FALSE),INDEX(parcelles!$C$56:$Y$77,MATCH(parcelles!B125,parcelles!$B$56:$B$77,0),MATCH(parcelles!C125,parcelles!$C$53:$Y$53,0))*parcelles!E125*SUMIF(ListeCulturesBDD,parcelles!C125,PrixVenteCulturesConventionnel)))))</f>
        <v/>
      </c>
      <c r="HY77" s="1085" t="str">
        <f>IF(parcelles!D125="","",IF(parcelles!F125=0,"",IF(parcelles!C125=ChanvreIndustriel,"soit "&amp;parcelles!E125*0.8&amp;"t de grain et "&amp;parcelles!E125*7&amp;"t de paille",IF(parcelles!C125=Luzerne,"soit "&amp;10*parcelles!E125&amp;"t/an",IF(parcelles!C125=Miscanthus,"soit "&amp;10.5*parcelles!E125&amp;"t/an","soit "&amp;INDEX(parcelles!$C$56:$Y$77,MATCH(parcelles!B125,parcelles!$B$56:$B$77,0),MATCH(parcelles!C125,parcelles!$C$53:$Y$53,0))*parcelles!E125&amp;"t")))))</f>
        <v/>
      </c>
      <c r="HZ77" s="1085" t="str">
        <f>IF(parcelles!D125="","",IF(parcelles!F125=0,"",IF(parcelles!C125=ChanvreIndustriel,"soit "&amp;parcelles!E125*0.8*0.8&amp;"t de grain et "&amp;parcelles!E125*7*0.8&amp;"t de paille",IF(parcelles!C125=Luzerne,"soit "&amp;10*0.8*parcelles!E125&amp;"t/an",IF(parcelles!C125=Miscanthus,"soit "&amp;10.5*0.8*parcelles!E125&amp;"t/an","soit "&amp;INDEX(parcelles!$C$56:$Y$77,MATCH(parcelles!B125,parcelles!$B$56:$B$77,0),MATCH(parcelles!C125,parcelles!$C$53:$Y$53,0))*0.8*parcelles!E125&amp;"t")))))</f>
        <v/>
      </c>
      <c r="IA77" s="1085" t="str">
        <f>IF(parcelles!L125="","",(VLOOKUP(parcelles!M125,BDD!$HN$5:$HU$38,2,FALSE))*parcelles!O125)</f>
        <v/>
      </c>
      <c r="IB77" s="1085" t="str">
        <f>IF(parcelles!L125="","",IF(OR(parcelles!M125=Moutarde,parcelles!M125=Phacélie),0,IF(parcelles!M125=Luzerne,10*parcelles!O125*VLOOKUP(parcelles!M125,BDD!$HN$5:$HU$38,3,FALSE),IF(parcelles!M125=Miscanthus,10.5*parcelles!O125*VLOOKUP(parcelles!M125,BDD!$HN$5:$HU$38,3,FALSE),INDEX(parcelles!$C$56:'parcelles'!$Y$77,MATCH(parcelles!L125,parcelles!$B$56:'parcelles'!$B$77,0),MATCH(parcelles!M125,parcelles!$C$53:'parcelles'!$Y$53,0))*parcelles!O125*VLOOKUP(parcelles!M125,BDD!$HN$5:$HU$38,3,FALSE)))))</f>
        <v/>
      </c>
      <c r="IC77" s="1085" t="str">
        <f>IF(parcelles!L125="","",IF(OR(parcelles!M125=Moutarde,parcelles!M125=Phacélie),0,IF(parcelles!M125=Luzerne,10*parcelles!O125*VLOOKUP(parcelles!M125,BDD!$HN$5:$HU$38,4,FALSE),IF(parcelles!M125=Miscanthus,10.5*parcelles!O125*VLOOKUP(parcelles!M125,BDD!$HN$5:$HU$38,4,FALSE),INDEX(parcelles!$C$56:'parcelles'!$Y$77,MATCH(parcelles!L125,parcelles!$B$56:'parcelles'!$B$77,0),MATCH(parcelles!M125,parcelles!$C$53:'parcelles'!$Y$53,0))*parcelles!O125*VLOOKUP(parcelles!M125,BDD!$HN$5:$HU$38,4,FALSE)))))</f>
        <v/>
      </c>
      <c r="ID77" s="1085" t="str">
        <f>IF(parcelles!L125="","",IF(OR(parcelles!M125=Moutarde,parcelles!M125=Phacélie),0,IF(parcelles!M125=Luzerne,10*parcelles!O125*VLOOKUP(parcelles!M125,BDD!$HN$5:$HU$38,5,FALSE),IF(parcelles!M125=Miscanthus,10.5*parcelles!O125*VLOOKUP(parcelles!M125,BDD!$HN$5:$HU$38,5,FALSE),INDEX(parcelles!$C$56:'parcelles'!$Y$77,MATCH(parcelles!L125,parcelles!$B$56:'parcelles'!$B$77,0),MATCH(parcelles!M125,parcelles!$C$53:'parcelles'!$Y$53,0))*parcelles!O125*VLOOKUP(parcelles!M125,BDD!$HN$5:$HU$38,5,FALSE)))))</f>
        <v/>
      </c>
      <c r="IE77" s="1085" t="str">
        <f>IF(parcelles!L125="","",IF(OR(parcelles!M125=Moutarde,parcelles!M125=Phacélie),0,IF(parcelles!M125=Luzerne,10*parcelles!O125*VLOOKUP(parcelles!M125,BDD!$HN$5:$HU$38,6,FALSE),IF(parcelles!M125=Miscanthus,10.5*parcelles!O125*VLOOKUP(parcelles!M125,BDD!$HN$5:$HU$38,6,FALSE),INDEX(parcelles!$C$56:'parcelles'!$Y$77,MATCH(parcelles!L125,parcelles!$B$56:'parcelles'!$B$77,0),MATCH(parcelles!M125,parcelles!$C$53:'parcelles'!$Y$53,0))*parcelles!O125*VLOOKUP(parcelles!M125,BDD!$HN$5:$HU$38,6,FALSE)))))</f>
        <v/>
      </c>
      <c r="IF77" s="1085" t="str">
        <f>IF(parcelles!L125="","",IF(OR(parcelles!M125=Moutarde,parcelles!M125=Phacélie),0,IF(parcelles!M125=Luzerne,10*parcelles!O125*VLOOKUP(parcelles!M125,BDD!$HN$5:$HU$38,7,FALSE),IF(parcelles!M125=Miscanthus,10.5*parcelles!O125*VLOOKUP(parcelles!M125,BDD!$HN$5:$HU$38,7,FALSE),INDEX(parcelles!$C$56:'parcelles'!$Y$77,MATCH(parcelles!L125,parcelles!$B$56:'parcelles'!$B$77,0),MATCH(parcelles!M125,parcelles!$C$53:'parcelles'!$Y$53,0))*parcelles!O125*VLOOKUP(parcelles!M125,BDD!$HN$5:$HU$38,7,FALSE)))))</f>
        <v/>
      </c>
      <c r="IG77" s="1085" t="str">
        <f>IF(parcelles!L125="","",IF(OR(parcelles!M125=Moutarde,parcelles!M125=Phacélie),0,IF(parcelles!M125=Luzerne,10*parcelles!O125*VLOOKUP(parcelles!M125,BDD!$HN$5:$HU$38,8,FALSE),IF(parcelles!M125=Miscanthus,10.5*parcelles!O125*VLOOKUP(parcelles!M125,BDD!$HN$5:$HU$38,8,FALSE),INDEX(parcelles!$C$56:'parcelles'!$Y$77,MATCH(parcelles!L125,parcelles!$B$56:'parcelles'!$B$77,0),MATCH(parcelles!M125,parcelles!$C$53:'parcelles'!$Y$53,0))*parcelles!O125*VLOOKUP(parcelles!M125,BDD!$HN$5:$HU$38,8,FALSE)))))</f>
        <v/>
      </c>
      <c r="IH77" s="1085" t="str">
        <f>IF(parcelles!L125="","",IF(OR(parcelles!L125=Moutarde,parcelles!L125=Phacélie),0,1.6*parcelles!O125))</f>
        <v/>
      </c>
      <c r="II77" s="1085" t="str">
        <f>IF(parcelles!L125="","",IF(OR(parcelles!L125=Moutarde,parcelles!L125=Phacélie),0,1.6*parcelles!O125))</f>
        <v/>
      </c>
      <c r="IJ77" s="1085" t="str">
        <f>IF(parcelles!L125="","",IF(OR(parcelles!L125=Moutarde,parcelles!L125=Phacélie),0,1.6*parcelles!O125))</f>
        <v/>
      </c>
      <c r="IK77" s="1085" t="str">
        <f>IF(parcelles!P125="","",IF(parcelles!R125=0,"",IF(parcelles!O125=ChanvreIndustriel,"soit "&amp;parcelles!Q125*0.8&amp;"t de grain et "&amp;parcelles!Q125*7&amp;"t de paille",IF(parcelles!O125=Luzerne,"soit "&amp;10*parcelles!Q125&amp;"t/an",IF(parcelles!O125=Miscanthus,"soit "&amp;10.5*parcelles!Q125&amp;"t/an","soit "&amp;INDEX(parcelles!$C$56:$Y$77,MATCH(parcelles!N125,parcelles!$B$56:$B$77,0),MATCH(parcelles!O125,parcelles!$C$53:$Y$53,0))*parcelles!Q125&amp;"t")))))</f>
        <v/>
      </c>
      <c r="IL77" s="1085" t="str">
        <f>IF(parcelles!P125="","",IF(parcelles!R125=0,"",IF(parcelles!O125=ChanvreIndustriel,"soit "&amp;parcelles!Q125*0.8*0.8&amp;"t de grain et "&amp;parcelles!Q125*7*0.8&amp;"t de paille",IF(parcelles!O125=Luzerne,"soit "&amp;10*0.8*parcelles!Q125&amp;"t/an",IF(parcelles!O125=Miscanthus,"soit "&amp;10.5*0.8*parcelles!Q125&amp;"t/an","soit "&amp;INDEX(parcelles!$C$56:$Y$77,MATCH(parcelles!N125,parcelles!$B$56:$B$77,0),MATCH(parcelles!O125,parcelles!$C$53:$Y$53,0))*0.8*parcelles!Q125&amp;"t")))))</f>
        <v/>
      </c>
      <c r="IM77" s="1085" t="str">
        <f>IF(parcelles!S125="","",IF(parcelles!U125=0,"",IF(parcelles!R125=ChanvreIndustriel,parcelles!T125*0.8*0.8+parcelles!T125*7*0.8,IF(parcelles!R125=Luzerne,10*0.8*parcelles!T125,IF(parcelles!R125=Miscanthus,10.5*0.8*parcelles!T125,INDEX(parcelles!$C$56:$Y$77,MATCH(parcelles!Q125,parcelles!$B$56:$B$77,0),MATCH(parcelles!R125,parcelles!$C$53:$Y$53,0))*0.8*parcelles!T125)))))</f>
        <v/>
      </c>
      <c r="IN77" s="1368"/>
    </row>
    <row r="78" spans="1:248" ht="12.75" customHeight="1" x14ac:dyDescent="0.2">
      <c r="A78" s="1307" t="s">
        <v>378</v>
      </c>
      <c r="B78" s="1241">
        <f t="shared" si="17"/>
        <v>1E-3</v>
      </c>
      <c r="C78" s="1321"/>
      <c r="D78" s="1321"/>
      <c r="E78" s="1321"/>
      <c r="F78" s="1143" t="s">
        <v>1155</v>
      </c>
      <c r="G78" s="1143" t="s">
        <v>1161</v>
      </c>
      <c r="H78" s="1244" t="s">
        <v>1166</v>
      </c>
      <c r="I78" s="1143" t="s">
        <v>1162</v>
      </c>
      <c r="J78" s="1244" t="s">
        <v>1166</v>
      </c>
      <c r="K78" s="1244" t="s">
        <v>1167</v>
      </c>
      <c r="L78" s="1244" t="s">
        <v>1167</v>
      </c>
      <c r="M78" s="1321"/>
      <c r="N78" s="1321"/>
      <c r="O78" s="1321"/>
      <c r="P78" s="1321"/>
      <c r="Q78" s="1321"/>
      <c r="R78" s="1321"/>
      <c r="S78" s="1321"/>
      <c r="T78" s="1321"/>
      <c r="U78" s="1321"/>
      <c r="V78" s="1321"/>
      <c r="W78" s="1321"/>
      <c r="X78" s="1321"/>
      <c r="Y78" s="1081" t="s">
        <v>1669</v>
      </c>
      <c r="Z78" s="1081">
        <f>IF('coût alimentation'!$B$6=$Y$78,3,0)</f>
        <v>0</v>
      </c>
      <c r="AA78" s="1081">
        <f>IF('coût alimentation'!$B$6=$Y$78,3,0)</f>
        <v>0</v>
      </c>
      <c r="AB78" s="1081">
        <f>IF('coût alimentation'!$B$6=$Y$78,3,0)</f>
        <v>0</v>
      </c>
      <c r="AC78" s="1081">
        <f>IF('coût alimentation'!$B$6=$Y$78,3,0)</f>
        <v>0</v>
      </c>
      <c r="AD78" s="1081">
        <f>IF('coût alimentation'!$B$6=$Y$78,3,0)</f>
        <v>0</v>
      </c>
      <c r="AE78" s="1081">
        <f>IF('coût alimentation'!$B$6=$Y$78,3,0)</f>
        <v>0</v>
      </c>
      <c r="AF78" s="1081">
        <f>IF('coût alimentation'!$B$6=$Y$78,3,0)</f>
        <v>0</v>
      </c>
      <c r="AG78" s="1081">
        <f>IF('coût alimentation'!$B$6=$Y$78,3,0)</f>
        <v>0</v>
      </c>
      <c r="AH78" s="1321"/>
      <c r="AI78" s="1321"/>
      <c r="AJ78" s="1321"/>
      <c r="AK78" s="1321"/>
      <c r="AL78" s="1321"/>
      <c r="AM78" s="1321"/>
      <c r="AN78" s="1321"/>
      <c r="AO78" s="1321"/>
      <c r="AP78" s="1321"/>
      <c r="AQ78" s="1321"/>
      <c r="AR78" s="1321"/>
      <c r="AS78" s="1321"/>
      <c r="AT78" s="1321"/>
      <c r="AU78" s="1321"/>
      <c r="AV78" s="1321"/>
      <c r="AW78" s="1321"/>
      <c r="AX78" s="1321"/>
      <c r="AY78" s="1321"/>
      <c r="AZ78" s="1321"/>
      <c r="BA78" s="1321"/>
      <c r="BB78" s="1236" t="s">
        <v>726</v>
      </c>
      <c r="BC78" s="1190" t="s">
        <v>715</v>
      </c>
      <c r="BD78" s="1190" t="s">
        <v>1254</v>
      </c>
      <c r="BE78" s="1237">
        <v>4.8</v>
      </c>
      <c r="BF78" s="1237">
        <v>4</v>
      </c>
      <c r="BG78" s="1237">
        <v>4</v>
      </c>
      <c r="BH78" s="1237">
        <v>4</v>
      </c>
      <c r="BI78" s="1237">
        <v>2</v>
      </c>
      <c r="BJ78" s="1237">
        <v>1.2</v>
      </c>
      <c r="BK78" s="1238">
        <v>0</v>
      </c>
      <c r="BL78" s="1348"/>
      <c r="BM78" s="1075" t="str">
        <f t="shared" si="23"/>
        <v>Canola</v>
      </c>
      <c r="BN78" s="1075">
        <f t="array" ref="BN78">IF(Ration_hivernale_complète_bisons[somme]&gt;0,0,IFERROR(IF(OR(AND(INDEX(Règles_bison[Specificite],MATCH(ChoixRationBisons&amp;$BM78,Règles_bison[Ration]&amp;Règles_bison[Aliment],0))="s1",IF($BM78=ChoixSpécificité1Bisons,1)),
AND(INDEX(Règles_bison[Specificite],MATCH(ChoixRationBisons&amp;$BM78,Règles_bison[Ration]&amp;Règles_bison[Aliment],0))="s2",IF($BM78=ChoixSpécificité2Bisons,1)),INDEX(Règles_bison[Specificite],MATCH(ChoixRationBisons&amp;$BM78,Règles_bison[Ration]&amp;Règles_bison[Aliment],0))="c"),
INDEX(Règles_bison[Valeur 36 et plus],MATCH(ChoixRationBisons&amp;$BM78,Règles_bison[Ration]&amp;Règles_bison[Aliment],0)),0),0)*TotalBisonnes*SUM(NbreJoursNourrirBisonsDaims))</f>
        <v>0</v>
      </c>
      <c r="BO78" s="1075">
        <f t="array" ref="BO78">IF(Ration_hivernale_complète_bisons[somme]&gt;0,0,IFERROR(IF(OR(AND(INDEX(Règles_bison[Specificite],MATCH(ChoixRationBisons&amp;$BM78,Règles_bison[Ration]&amp;Règles_bison[Aliment],0))="s1",IF($BM78=ChoixSpécificité1Bisons,1)),
AND(INDEX(Règles_bison[Specificite],MATCH(ChoixRationBisons&amp;$BM78,Règles_bison[Ration]&amp;Règles_bison[Aliment],0))="s2",IF($BM78=ChoixSpécificité2Bisons,1)),INDEX(Règles_bison[Specificite],MATCH(ChoixRationBisons&amp;$BM78,Règles_bison[Ration]&amp;Règles_bison[Aliment],0))="c"),
INDEX(Règles_bison[Valeur 24-36],MATCH(ChoixRationBisons&amp;$BM78,Règles_bison[Ration]&amp;Règles_bison[Aliment],0)),0),0)*TotalBisonsFemelles_24_36_mois*SUM(NbreJoursNourrirBisonsDaims))</f>
        <v>0</v>
      </c>
      <c r="BP78" s="1075">
        <f t="array" ref="BP78">IF(Ration_hivernale_complète_bisons[somme]&gt;0,0,IFERROR(IF(OR(AND(INDEX(Règles_bison[Specificite],MATCH(ChoixRationBisons&amp;$BM78,Règles_bison[Ration]&amp;Règles_bison[Aliment],0))="s1",IF($BM78=ChoixSpécificité1Bisons,1)),
AND(INDEX(Règles_bison[Specificite],MATCH(ChoixRationBisons&amp;$BM78,Règles_bison[Ration]&amp;Règles_bison[Aliment],0))="s2",IF($BM78=ChoixSpécificité2Bisons,1)),INDEX(Règles_bison[Specificite],MATCH(ChoixRationBisons&amp;$BM78,Règles_bison[Ration]&amp;Règles_bison[Aliment],0))="c"),
INDEX(Règles_bison[Valeur 18-24],MATCH(ChoixRationBisons&amp;$BM78,Règles_bison[Ration]&amp;Règles_bison[Aliment],0)),0),0)*TotalBisonsFemelles_18_24_mois*SUM(NbreJoursNourrirBisonsDaims))</f>
        <v>0</v>
      </c>
      <c r="BQ78" s="1075">
        <f t="array" ref="BQ78">IF(Ration_hivernale_complète_bisons[somme]&gt;0,0,IFERROR(IF(OR(AND(INDEX(Règles_bison[Specificite],MATCH(ChoixRationBisons&amp;$BM78,Règles_bison[Ration]&amp;Règles_bison[Aliment],0))="s1",IF($BM78=ChoixSpécificité1Bisons,1)),
AND(INDEX(Règles_bison[Specificite],MATCH(ChoixRationBisons&amp;$BM78,Règles_bison[Ration]&amp;Règles_bison[Aliment],0))="s2",IF($BM78=ChoixSpécificité2Bisons,1)),INDEX(Règles_bison[Specificite],MATCH(ChoixRationBisons&amp;$BM78,Règles_bison[Ration]&amp;Règles_bison[Aliment],0))="c"),
INDEX(Règles_bison[Valeur 12-18],MATCH(ChoixRationBisons&amp;$BM78,Règles_bison[Ration]&amp;Règles_bison[Aliment],0)),0),0)*TotalBisonsFemelles_12_18_mois*SUM(NbreJoursNourrirBisonsDaims))</f>
        <v>0</v>
      </c>
      <c r="BR78" s="1075">
        <f t="array" ref="BR78">IF(Ration_hivernale_complète_bisons[somme]&gt;0,0,IFERROR(IF(OR(AND(INDEX(Règles_bison[Specificite],MATCH(ChoixRationBisons&amp;$BM78,Règles_bison[Ration]&amp;Règles_bison[Aliment],0))="s1",IF($BM78=ChoixSpécificité1Bisons,1)),
AND(INDEX(Règles_bison[Specificite],MATCH(ChoixRationBisons&amp;$BM78,Règles_bison[Ration]&amp;Règles_bison[Aliment],0))="s2",IF($BM78=ChoixSpécificité2Bisons,1)),INDEX(Règles_bison[Specificite],MATCH(ChoixRationBisons&amp;$BM78,Règles_bison[Ration]&amp;Règles_bison[Aliment],0))="c"),
INDEX(Règles_bison[Valeur 6-12],MATCH(ChoixRationBisons&amp;$BM78,Règles_bison[Ration]&amp;Règles_bison[Aliment],0)),0),0)*TotalBisonsFemelles_6_12_mois*SUM(NbreJoursNourrirBisonsDaims))</f>
        <v>0</v>
      </c>
      <c r="BS78" s="1075">
        <f t="array" ref="BS78">IF(Ration_hivernale_complète_bisons[somme]&gt;0,0,IFERROR(IF(OR(AND(INDEX(Règles_bison[Specificite],MATCH(ChoixRationBisons&amp;$BM78,Règles_bison[Ration]&amp;Règles_bison[Aliment],0))="s1",IF($BM78=ChoixSpécificité1Bisons,1)),
AND(INDEX(Règles_bison[Specificite],MATCH(ChoixRationBisons&amp;$BM78,Règles_bison[Ration]&amp;Règles_bison[Aliment],0))="s2",IF($BM78=ChoixSpécificité2Bisons,1)),INDEX(Règles_bison[Specificite],MATCH(ChoixRationBisons&amp;$BM78,Règles_bison[Ration]&amp;Règles_bison[Aliment],0))="c"),
INDEX(Règles_bison[Valeur 3-6],MATCH(ChoixRationBisons&amp;$BM78,Règles_bison[Ration]&amp;Règles_bison[Aliment],0)),0),0)*TotalBisonsFemelles_3_6_mois*SUM(NbreJoursNourrirBisonsDaims))</f>
        <v>0</v>
      </c>
      <c r="BT78" s="1075">
        <f t="array" ref="BT78">IF(Ration_hivernale_complète_bisons[somme]&gt;0,0,IFERROR(IF(OR(AND(INDEX(Règles_bison[Specificite],MATCH(ChoixRationBisons&amp;$BM78,Règles_bison[Ration]&amp;Règles_bison[Aliment],0))="s1",IF($BM78=ChoixSpécificité1Bisons,1)),
AND(INDEX(Règles_bison[Specificite],MATCH(ChoixRationBisons&amp;$BM78,Règles_bison[Ration]&amp;Règles_bison[Aliment],0))="s2",IF($BM78=ChoixSpécificité2Bisons,1)),INDEX(Règles_bison[Specificite],MATCH(ChoixRationBisons&amp;$BM78,Règles_bison[Ration]&amp;Règles_bison[Aliment],0))="c"),
INDEX(Règles_bison[Valeur 0-3],MATCH(ChoixRationBisons&amp;$BM78,Règles_bison[Ration]&amp;Règles_bison[Aliment],0)),0),0)*TotalBisonsFemelles_0_3_mois*SUM(NbreJoursNourrirBisonsDaims))</f>
        <v>0</v>
      </c>
      <c r="BU78" s="1075">
        <f t="shared" si="22"/>
        <v>0</v>
      </c>
      <c r="BV78" s="1346"/>
      <c r="BW78" s="1346"/>
      <c r="BX78" s="1176" t="s">
        <v>729</v>
      </c>
      <c r="BY78" s="1177" t="s">
        <v>76</v>
      </c>
      <c r="BZ78" s="1177" t="s">
        <v>1253</v>
      </c>
      <c r="CA78" s="1177">
        <v>1.6</v>
      </c>
      <c r="CB78" s="1177">
        <v>1.4</v>
      </c>
      <c r="CC78" s="1177">
        <v>1.2</v>
      </c>
      <c r="CD78" s="1199">
        <v>1</v>
      </c>
      <c r="CE78" s="1350"/>
      <c r="CF78" s="1350"/>
      <c r="CG78" s="1350"/>
      <c r="CH78" s="1350"/>
      <c r="CI78" s="1321"/>
      <c r="CJ78" s="808" t="s">
        <v>671</v>
      </c>
      <c r="CK78" s="788">
        <f t="array" ref="CK7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78" s="788">
        <f t="array" ref="CL7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78" s="788">
        <f t="array" ref="CM7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78" s="788">
        <f t="array" ref="CN7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78" s="788">
        <f t="array" ref="CO78">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78" s="812">
        <f>SUM(AlimentsRationPorcinsMâles[[#This Row],[Valeur 12 et plus]:[Valeur 0-1]])</f>
        <v>0</v>
      </c>
      <c r="CQ78" s="1321"/>
      <c r="CR78" s="1321"/>
      <c r="CS78" s="808" t="s">
        <v>725</v>
      </c>
      <c r="CT78" s="817">
        <f t="array" ref="CT78">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78" s="817">
        <f t="array" ref="CU78">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78" s="817">
        <f t="array" ref="CV78">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78" s="818">
        <f>SUM(AlimentsRationLapinsMâles[[#This Row],[Valeur 3 et plus]:[Valeur 0-1]])</f>
        <v>0</v>
      </c>
      <c r="CX78" s="1321"/>
      <c r="CY78" s="1321"/>
      <c r="CZ78" s="808" t="s">
        <v>725</v>
      </c>
      <c r="DA78" s="817">
        <f t="array" ref="DA78">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78" s="817">
        <f t="array" ref="DB78">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78" s="817">
        <f t="array" ref="DC78">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78" s="818">
        <f>SUM(AlimentsRationVolaillesMâles[[#This Row],[Valeur 6 et plus]:[Valeur 0-1]])</f>
        <v>0</v>
      </c>
      <c r="DE78" s="1364"/>
      <c r="DF78" s="1321"/>
      <c r="DG78" s="808" t="s">
        <v>1273</v>
      </c>
      <c r="DH78" s="817">
        <f t="array" ref="DH7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78" s="817">
        <f t="array" ref="DI7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78" s="817">
        <f t="array" ref="DJ78">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78" s="818">
        <f>SUM(AlimentsRationPintadesMâles[[#This Row],[Valeur 9 et plus]:[Valeur 0-1]])</f>
        <v>0</v>
      </c>
      <c r="DL78" s="1364"/>
      <c r="DM78" s="1364"/>
      <c r="DN78" s="1176" t="s">
        <v>836</v>
      </c>
      <c r="DO78" s="1177" t="s">
        <v>523</v>
      </c>
      <c r="DP78" s="1177" t="s">
        <v>1252</v>
      </c>
      <c r="DQ78" s="1181">
        <v>4</v>
      </c>
      <c r="DR78" s="1181">
        <v>4</v>
      </c>
      <c r="DS78" s="1181">
        <v>4</v>
      </c>
      <c r="DT78" s="1243">
        <v>0</v>
      </c>
      <c r="DU78" s="1345"/>
      <c r="DV78" s="1076" t="str">
        <f>DV32</f>
        <v>Avoine</v>
      </c>
      <c r="DW78" s="1267">
        <f t="array" ref="DW78">SUM((IF(QualitéAlimentsFaonMâle_0_3_mois=BONNE,VLOOKUP("Avoine",AlimentsRationHivernaleDaims,8,FALSE),0)+(IF(QualitéAlimentsFaonFemelle_0_3_mois=BONNE,VLOOKUP("Avoine",AlimentsRationHivernaleDaims,8,FALSE),0)+(IF(QualitéAlimentsFaonMâle_3_6_mois=BONNE,VLOOKUP("Avoine",AlimentsRationHivernaleDaims,7,FALSE),0)+(IF(QualitéAlimentsFaonFemelle_3_6_mois=BONNE,VLOOKUP("Avoine",AlimentsRationHivernaleDaims,7,FALSE),0)+(IF(QualitéAlimentsFaonMâle_6_12_mois=BONNE,VLOOKUP("Avoine",AlimentsRationHivernaleDaims,6,FALSE),0)+(IF(QualitéAlimentsFaonFemelle_6_12_mois=BONNE,VLOOKUP("Avoine",AlimentsRationHivernaleDaims,6,FALSE),0)+(IF(QualitéAlimentsJeuneDaim_12_18_mois=BONNE,VLOOKUP("Avoine",AlimentsRationHivernaleDaims,5,FALSE),0)+(IF(QualitéAlimentsJeuneDaine_12_18_mois=BONNE,VLOOKUP("Avoine",AlimentsRationHivernaleDaims,5,FALSE),0)+(IF(QualitéAlimentsJeuneDaim_18_24_mois=BONNE,VLOOKUP("Avoine",AlimentsRationHivernaleDaims,4,FALSE),0)+(IF(QualitéAlimentsJeuneDaine_18_24_mois=BONNE,VLOOKUP("Avoine",AlimentsRationHivernaleDaims,4,FALSE),0)+(IF(QualitéAlimentsJeuneDaim_24_36_mois=BONNE,VLOOKUP("Avoine",AlimentsRationHivernaleDaims,3,FALSE),0)+(IF(QualitéAlimentsJeuneDaine_24_36_mois=BONNE,VLOOKUP("Avoine",AlimentsRationHivernaleDaims,3,FALSE),0)+(IF(QualitéAlimentsDaim=BONNE,VLOOKUP("Avoine",AlimentsRationHivernaleDaims,2,FALSE),0)+(IF(QualitéAlimentsDaine=BONNE,VLOOKUP("Avoine",AlimentsRationHivernaleDaims,2,FALSE),0))))))))))))))))</f>
        <v>0</v>
      </c>
      <c r="DX78" s="1267">
        <f t="array" ref="DX78">SUM((IF(QualitéAlimentsFaonMâle_0_3_mois=MOYENNE,VLOOKUP("Avoine",AlimentsRationHivernaleDaims,8,FALSE),0)+(IF(QualitéAlimentsFaonFemelle_0_3_mois=MOYENNE,VLOOKUP("Avoine",AlimentsRationHivernaleDaims,8,FALSE),0)+(IF(QualitéAlimentsFaonMâle_3_6_mois=MOYENNE,VLOOKUP("Avoine",AlimentsRationHivernaleDaims,7,FALSE),0)+(IF(QualitéAlimentsFaonFemelle_3_6_mois=MOYENNE,VLOOKUP("Avoine",AlimentsRationHivernaleDaims,7,FALSE),0)+(IF(QualitéAlimentsFaonMâle_6_12_mois=MOYENNE,VLOOKUP("Avoine",AlimentsRationHivernaleDaims,6,FALSE),0)+(IF(QualitéAlimentsFaonFemelle_6_12_mois=MOYENNE,VLOOKUP("Avoine",AlimentsRationHivernaleDaims,6,FALSE),0)+(IF(QualitéAlimentsJeuneDaim_12_18_mois=MOYENNE,VLOOKUP("Avoine",AlimentsRationHivernaleDaims,5,FALSE),0)+(IF(QualitéAlimentsJeuneDaine_12_18_mois=MOYENNE,VLOOKUP("Avoine",AlimentsRationHivernaleDaims,5,FALSE),0)+(IF(QualitéAlimentsJeuneDaim_18_24_mois=MOYENNE,VLOOKUP("Avoine",AlimentsRationHivernaleDaims,4,FALSE),0)+(IF(QualitéAlimentsJeuneDaine_18_24_mois=MOYENNE,VLOOKUP("Avoine",AlimentsRationHivernaleDaims,4,FALSE),0)+(IF(QualitéAlimentsJeuneDaim_24_36_mois=MOYENNE,VLOOKUP("Avoine",AlimentsRationHivernaleDaims,3,FALSE),0)+(IF(QualitéAlimentsJeuneDaine_24_36_mois=MOYENNE,VLOOKUP("Avoine",AlimentsRationHivernaleDaims,3,FALSE),0)+(IF(QualitéAlimentsDaim=MOYENNE,VLOOKUP("Avoine",AlimentsRationHivernaleDaims,2,FALSE),0)+(IF(QualitéAlimentsDaine=MOYENNE,VLOOKUP("Avoine",AlimentsRationHivernaleDaims,2,FALSE),0))))))))))))))))</f>
        <v>0</v>
      </c>
      <c r="DY78" s="1267">
        <f t="array" ref="DY78">SUM((IF(QualitéAlimentsFaonMâle_0_3_mois=MAUVAISE,VLOOKUP("Avoine",AlimentsRationHivernaleDaims,8,FALSE),0)+(IF(QualitéAlimentsFaonFemelle_0_3_mois=MAUVAISE,VLOOKUP("Avoine",AlimentsRationHivernaleDaims,8,FALSE),0)+(IF(QualitéAlimentsFaonMâle_3_6_mois=MAUVAISE,VLOOKUP("Avoine",AlimentsRationHivernaleDaims,7,FALSE),0)+(IF(QualitéAlimentsFaonFemelle_3_6_mois=MAUVAISE,VLOOKUP("Avoine",AlimentsRationHivernaleDaims,7,FALSE),0)+(IF(QualitéAlimentsFaonMâle_6_12_mois=MAUVAISE,VLOOKUP("Avoine",AlimentsRationHivernaleDaims,6,FALSE),0)+(IF(QualitéAlimentsFaonFemelle_6_12_mois=MAUVAISE,VLOOKUP("Avoine",AlimentsRationHivernaleDaims,6,FALSE),0)+(IF(QualitéAlimentsJeuneDaim_12_18_mois=MAUVAISE,VLOOKUP("Avoine",AlimentsRationHivernaleDaims,5,FALSE),0)+(IF(QualitéAlimentsJeuneDaine_12_18_mois=MAUVAISE,VLOOKUP("Avoine",AlimentsRationHivernaleDaims,5,FALSE),0)+(IF(QualitéAlimentsJeuneDaim_18_24_mois=MAUVAISE,VLOOKUP("Avoine",AlimentsRationHivernaleDaims,4,FALSE),0)+(IF(QualitéAlimentsJeuneDaine_18_24_mois=MAUVAISE,VLOOKUP("Avoine",AlimentsRationHivernaleDaims,4,FALSE),0)+(IF(QualitéAlimentsJeuneDaim_24_36_mois=MAUVAISE,VLOOKUP("Avoine",AlimentsRationHivernaleDaims,3,FALSE),0)+(IF(QualitéAlimentsJeuneDaine_24_36_mois=MAUVAISE,VLOOKUP("Avoine",AlimentsRationHivernaleDaims,3,FALSE),0)+(IF(QualitéAlimentsDaim=MAUVAISE,VLOOKUP("Avoine",AlimentsRationHivernaleDaims,2,FALSE),0)+(IF(QualitéAlimentsDaine=MAUVAISE,VLOOKUP("Avoine",AlimentsRationHivernaleDaims,2,FALSE),0))))))))))))))))</f>
        <v>0</v>
      </c>
      <c r="DZ78" s="1345"/>
      <c r="EA78" s="1345"/>
      <c r="EB78" s="1345"/>
      <c r="EC78" s="1345"/>
      <c r="ED78" s="1345"/>
      <c r="EE78" s="1345"/>
      <c r="EF78" s="1321"/>
      <c r="EG78" s="808" t="s">
        <v>723</v>
      </c>
      <c r="EH78" s="817">
        <f t="array" ref="EH7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78" s="817">
        <f t="array" ref="EI7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78" s="817">
        <f t="array" ref="EJ7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78" s="818">
        <f>SUM(AlimentsRationOiesMâles[[#This Row],[Valeur 6 et plus]:[Valeur 0-3]])</f>
        <v>0</v>
      </c>
      <c r="EL78" s="1364"/>
      <c r="EM78" s="1321"/>
      <c r="EN78" s="808" t="s">
        <v>500</v>
      </c>
      <c r="EO78" s="817">
        <f t="array" ref="EO7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78" s="817">
        <f t="array" ref="EP7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78" s="817">
        <f t="array" ref="EQ7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78" s="818">
        <f>SUM(Ration_canards_Mâles[[#This Row],[Valeur 6 et plus]:[Valeur 0-3]])</f>
        <v>0</v>
      </c>
      <c r="ES78" s="1364"/>
      <c r="ET78" s="1346"/>
      <c r="EU78" s="1082" t="s">
        <v>339</v>
      </c>
      <c r="EV78" s="1282">
        <f t="array" ref="EV78">IF(OR(ChoixRationComplèteEtéChevauxSelle=OUI,ChoixRationComplèteEtéChevauxSelle="",AND(ChoixChevauxSellePréHiver=OUI,ChoixChevauxSellePréEté=OUI)),0,IFERROR(IF(OR(AND(INDEX(Règles_chevaux_selle[Specificite],MATCH(RationEtéChevauxSelle&amp;$EU78,Règles_chevaux_selle[Ration]&amp;Règles_chevaux_selle[Aliment],0))="s1",IF($EU78=Spécificité1ChevauxSelle,1)),
AND(INDEX(Règles_chevaux_selle[Specificite],MATCH(RationEtéChevauxSelle&amp;$EU78,Règles_chevaux_selle[Ration]&amp;Règles_chevaux_selle[Aliment],0))="s2",IF($EU78=Spécificité2ChevauxSelle,1)),
INDEX(Règles_chevaux_selle[Specificite],MATCH(RationEtéChevauxSelle&amp;$EU78,Règles_chevaux_selle[Ration]&amp;Règles_chevaux_selle[Aliment],0))="c"),
INDEX(Règles_chevaux_selle[Valeur 36 et plus],MATCH(RationEtéChevauxSelle&amp;$EU78,Règles_chevaux_selle[Ration]&amp;Règles_chevaux_selle[Aliment],0)),0),0)*TotalEtalonSelle*SUM(NbreJoursNourrirChevauxSelle))</f>
        <v>0</v>
      </c>
      <c r="EW78" s="1282">
        <f t="array" ref="EW78">IF(OR(ChoixRationComplèteEtéChevauxSelle=OUI,ChoixRationComplèteEtéChevauxSelle="",AND(ChoixChevauxSellePréHiver=OUI,ChoixChevauxSellePréEté=OUI)),0,IFERROR(IF(OR(AND(INDEX(Règles_chevaux_selle[Specificite],MATCH(RationEtéChevauxSelle&amp;$EU78,Règles_chevaux_selle[Ration]&amp;Règles_chevaux_selle[Aliment],0))="s1",IF($EU78=Spécificité1ChevauxSelle,1)),
AND(INDEX(Règles_chevaux_selle[Specificite],MATCH(RationEtéChevauxSelle&amp;$EU78,Règles_chevaux_selle[Ration]&amp;Règles_chevaux_selle[Aliment],0))="s2",IF($EU78=Spécificité2ChevauxSelle,1)),
INDEX(Règles_chevaux_selle[Specificite],MATCH(RationEtéChevauxSelle&amp;$EU78,Règles_chevaux_selle[Ration]&amp;Règles_chevaux_selle[Aliment],0))="c"),
INDEX(Règles_chevaux_selle[Valeur 24-36],MATCH(RationEtéChevauxSelle&amp;$EU78,Règles_chevaux_selle[Ration]&amp;Règles_chevaux_selle[Aliment],0)),0),0)*TotalJeuneEtalonSelle_24_36_mois*SUM(NbreJoursNourrirChevauxSelle))</f>
        <v>0</v>
      </c>
      <c r="EX78" s="1282">
        <f t="array" ref="EX78">IF(OR(ChoixRationComplèteEtéChevauxSelle=OUI,ChoixRationComplèteEtéChevauxSelle="",AND(ChoixChevauxSellePréHiver=OUI,ChoixChevauxSellePréEté=OUI)),0,IFERROR(IF(OR(AND(INDEX(Règles_chevaux_selle[Specificite],MATCH(RationEtéChevauxSelle&amp;$EU78,Règles_chevaux_selle[Ration]&amp;Règles_chevaux_selle[Aliment],0))="s1",IF($EU78=Spécificité1ChevauxSelle,1)),
AND(INDEX(Règles_chevaux_selle[Specificite],MATCH(RationEtéChevauxSelle&amp;$EU78,Règles_chevaux_selle[Ration]&amp;Règles_chevaux_selle[Aliment],0))="s2",IF($EU78=Spécificité2ChevauxSelle,1)),
INDEX(Règles_chevaux_selle[Specificite],MATCH(RationEtéChevauxSelle&amp;$EU78,Règles_chevaux_selle[Ration]&amp;Règles_chevaux_selle[Aliment],0))="c"),
INDEX(Règles_chevaux_selle[Valeur 12-24],MATCH(RationEtéChevauxSelle&amp;$EU78,Règles_chevaux_selle[Ration]&amp;Règles_chevaux_selle[Aliment],0)),0),0)*TotalJeuneEtalonSelle_12_24_mois*SUM(NbreJoursNourrirChevauxSelle))</f>
        <v>0</v>
      </c>
      <c r="EY78" s="1285">
        <f t="array" ref="EY78">IF(OR(ChoixRationComplèteEtéChevauxSelle=OUI,ChoixRationComplèteEtéChevauxSelle="",AND(ChoixChevauxSellePréHiver=OUI,ChoixChevauxSellePréEté=OUI)),0,IFERROR(IF(OR(AND(INDEX(Règles_chevaux_selle[Specificite],MATCH(RationEtéChevauxSelle&amp;$EU78,Règles_chevaux_selle[Ration]&amp;Règles_chevaux_selle[Aliment],0))="s1",IF($EU78=Spécificité1ChevauxSelle,1)),
AND(INDEX(Règles_chevaux_selle[Specificite],MATCH(RationEtéChevauxSelle&amp;$EU78,Règles_chevaux_selle[Ration]&amp;Règles_chevaux_selle[Aliment],0))="s2",IF($EU78=Spécificité2ChevauxSelle,1)),
INDEX(Règles_chevaux_selle[Specificite],MATCH(RationEtéChevauxSelle&amp;$EU78,Règles_chevaux_selle[Ration]&amp;Règles_chevaux_selle[Aliment],0))="c"),
INDEX(Règles_chevaux_selle[Valeur 0-12],MATCH(RationEtéChevauxSelle&amp;$EU78,Règles_chevaux_selle[Ration]&amp;Règles_chevaux_selle[Aliment],0)),0),0)*TotalPoulainSelle_0_12_mois*SUM(NbreJoursNourrirChevauxSelle))</f>
        <v>0</v>
      </c>
      <c r="EZ78" s="1285">
        <f t="shared" si="16"/>
        <v>0</v>
      </c>
      <c r="FA78" s="1345"/>
      <c r="FB78" s="1345"/>
      <c r="FC78" s="1321"/>
      <c r="FD78" s="1082" t="s">
        <v>1272</v>
      </c>
      <c r="FE78" s="1282">
        <f t="array" ref="FE78">IF(OR(ChoixRationComplèteEtéChevauxTrait=OUI,ChoixRationComplèteEtéChevauxTrait="",AND(ChoixChevauxTraitPréHiver=OUI,ChoixChevauxTraitPréEté=OUI)),0,IFERROR(IF(OR(AND(INDEX(Règles_chevaux_trait[Specificite],MATCH(RationEtéChevauxTrait&amp;$FD78,Règles_chevaux_trait[Ration]&amp;Règles_chevaux_trait[Aliment],0))="s1",IF($FD78=Spécificité1ChevauxTrait,1)),
AND(INDEX(Règles_chevaux_trait[Specificite],MATCH(RationEtéChevauxTrait&amp;$FD78,Règles_chevaux_trait[Ration]&amp;Règles_chevaux_trait[Aliment],0))="s2",IF($FD78=Spécificité2ChevauxTrait,1)),
INDEX(Règles_chevaux_trait[Specificite],MATCH(RationEtéChevauxTrait&amp;$FD78,Règles_chevaux_trait[Ration]&amp;Règles_chevaux_trait[Aliment],0))="c"),
INDEX(Règles_chevaux_trait[Valeur 36 et plus],MATCH(RationEtéChevauxTrait&amp;$FD78,Règles_chevaux_trait[Ration]&amp;Règles_chevaux_trait[Aliment],0)),0),0)*TotalEtalonTrait*SUM(NbreJoursNourrirChevauxTrait))</f>
        <v>0</v>
      </c>
      <c r="FF78" s="1282">
        <f t="array" ref="FF78">IF(OR(ChoixRationComplèteEtéChevauxTrait=OUI,ChoixRationComplèteEtéChevauxTrait="",AND(ChoixChevauxTraitPréHiver=OUI,ChoixChevauxTraitPréEté=OUI)),0,IFERROR(IF(OR(AND(INDEX(Règles_chevaux_trait[Specificite],MATCH(RationEtéChevauxTrait&amp;$FD78,Règles_chevaux_trait[Ration]&amp;Règles_chevaux_trait[Aliment],0))="s1",IF($FD78=Spécificité1ChevauxTrait,1)),
AND(INDEX(Règles_chevaux_trait[Specificite],MATCH(RationEtéChevauxTrait&amp;$FD78,Règles_chevaux_trait[Ration]&amp;Règles_chevaux_trait[Aliment],0))="s2",IF($FD78=Spécificité2ChevauxTrait,1)),
INDEX(Règles_chevaux_trait[Specificite],MATCH(RationEtéChevauxTrait&amp;$FD78,Règles_chevaux_trait[Ration]&amp;Règles_chevaux_trait[Aliment],0))="c"),
INDEX(Règles_chevaux_trait[Valeur 24-36],MATCH(RationEtéChevauxTrait&amp;$FD78,Règles_chevaux_trait[Ration]&amp;Règles_chevaux_trait[Aliment],0)),0),0)*TotalJeuneEtalonTrait_24_36_mois*SUM(NbreJoursNourrirChevauxTrait))</f>
        <v>0</v>
      </c>
      <c r="FG78" s="1282">
        <f t="array" ref="FG78">IF(OR(ChoixRationComplèteEtéChevauxTrait=OUI,ChoixRationComplèteEtéChevauxTrait="",AND(ChoixChevauxTraitPréHiver=OUI,ChoixChevauxTraitPréEté=OUI)),0,IFERROR(IF(OR(AND(INDEX(Règles_chevaux_trait[Specificite],MATCH(RationEtéChevauxTrait&amp;$FD78,Règles_chevaux_trait[Ration]&amp;Règles_chevaux_trait[Aliment],0))="s1",IF($FD78=Spécificité1ChevauxTrait,1)),
AND(INDEX(Règles_chevaux_trait[Specificite],MATCH(RationEtéChevauxTrait&amp;$FD78,Règles_chevaux_trait[Ration]&amp;Règles_chevaux_trait[Aliment],0))="s2",IF($FD78=Spécificité2ChevauxTrait,1)),
INDEX(Règles_chevaux_trait[Specificite],MATCH(RationEtéChevauxTrait&amp;$FD78,Règles_chevaux_trait[Ration]&amp;Règles_chevaux_trait[Aliment],0))="c"),
INDEX(Règles_chevaux_trait[Valeur 12-24],MATCH(RationEtéChevauxTrait&amp;$FD78,Règles_chevaux_trait[Ration]&amp;Règles_chevaux_trait[Aliment],0)),0),0)*TotalJeuneEtalonTrait_12_24_mois*SUM(NbreJoursNourrirChevauxTrait))</f>
        <v>0</v>
      </c>
      <c r="FH78" s="1285">
        <f t="array" ref="FH78">IF(OR(ChoixRationComplèteEtéChevauxTrait=OUI,ChoixRationComplèteEtéChevauxTrait="",AND(ChoixChevauxTraitPréHiver=OUI,ChoixChevauxTraitPréEté=OUI)),0,IFERROR(IF(OR(AND(INDEX(Règles_chevaux_trait[Specificite],MATCH(RationEtéChevauxTrait&amp;$FD78,Règles_chevaux_trait[Ration]&amp;Règles_chevaux_trait[Aliment],0))="s1",IF($FD78=Spécificité1ChevauxTrait,1)),
AND(INDEX(Règles_chevaux_trait[Specificite],MATCH(RationEtéChevauxTrait&amp;$FD78,Règles_chevaux_trait[Ration]&amp;Règles_chevaux_trait[Aliment],0))="s2",IF($FD78=Spécificité2ChevauxTrait,1)),
INDEX(Règles_chevaux_trait[Specificite],MATCH(RationEtéChevauxTrait&amp;$FD78,Règles_chevaux_trait[Ration]&amp;Règles_chevaux_trait[Aliment],0))="c"),
INDEX(Règles_chevaux_trait[Valeur 0-12],MATCH(RationEtéChevauxTrait&amp;$FD78,Règles_chevaux_trait[Ration]&amp;Règles_chevaux_trait[Aliment],0)),0),0)*TotalPoulainTrait_0_12_mois*SUM(NbreJoursNourrirChevauxTrait))</f>
        <v>0</v>
      </c>
      <c r="FI78" s="1285">
        <f t="shared" si="15"/>
        <v>0</v>
      </c>
      <c r="FJ78" s="1345"/>
      <c r="FK78" s="1345"/>
      <c r="FL78" s="1345"/>
      <c r="FM78" s="1321"/>
      <c r="FN78" s="1083" t="s">
        <v>723</v>
      </c>
      <c r="FO78" s="1283">
        <f t="array" ref="FO78">IF(OR(ChoixRationComplèteEtéPoneys=OUI,ChoixRationComplèteEtéPoneys="",AND(ChoixPoneysPréHiver=OUI,ChoixPoneysPréEté=OUI)),0,IFERROR(IF(OR(AND(INDEX(Règles_poneys[Specificite],MATCH(RationEtéPoneys&amp;$FN78,Règles_poneys[Ration]&amp;Règles_poneys[Aliment],0))="s1",IF($FN78=Spécificité1Poneys,1)),
AND(INDEX(Règles_poneys[Specificite],MATCH(RationEtéPoneys&amp;$FN78,Règles_poneys[Ration]&amp;Règles_poneys[Aliment],0))="s2",IF($FN78=Spécificité2Poneys,1)),
INDEX(Règles_poneys[Specificite],MATCH(RationEtéPoneys&amp;$FN78,Règles_poneys[Ration]&amp;Règles_poneys[Aliment],0))="c"),
INDEX(Règles_poneys[Valeur 36 et plus],MATCH(RationEtéPoneys&amp;$FN78,Règles_poneys[Ration]&amp;Règles_poneys[Aliment],0)),0),0)*TotalEtalonPoney*SUM(NbreJoursNourrirPoneys))</f>
        <v>0</v>
      </c>
      <c r="FP78" s="1283">
        <f t="array" ref="FP78">IF(OR(ChoixRationComplèteEtéPoneys=OUI,ChoixRationComplèteEtéPoneys="",AND(ChoixPoneysPréHiver=OUI,ChoixPoneysPréEté=OUI)),0,IFERROR(IF(OR(AND(INDEX(Règles_poneys[Specificite],MATCH(RationEtéPoneys&amp;$FN78,Règles_poneys[Ration]&amp;Règles_poneys[Aliment],0))="s1",IF($FN78=Spécificité1Poneys,1)),
AND(INDEX(Règles_poneys[Specificite],MATCH(RationEtéPoneys&amp;$FN78,Règles_poneys[Ration]&amp;Règles_poneys[Aliment],0))="s2",IF($FN78=Spécificité2Poneys,1)),
INDEX(Règles_poneys[Specificite],MATCH(RationEtéPoneys&amp;$FN78,Règles_poneys[Ration]&amp;Règles_poneys[Aliment],0))="c"),
INDEX(Règles_poneys[Valeur 36 et plus],MATCH(RationEtéPoneys&amp;$FN78,Règles_poneys[Ration]&amp;Règles_poneys[Aliment],0)),0),0)*TotalJeuneEtalonPoney_24_36_mois*SUM(NbreJoursNourrirPoneys))</f>
        <v>0</v>
      </c>
      <c r="FQ78" s="1283">
        <f t="array" ref="FQ78">IF(OR(ChoixRationComplèteEtéPoneys=OUI,ChoixRationComplèteEtéPoneys="",AND(ChoixPoneysPréHiver=OUI,ChoixPoneysPréEté=OUI)),0,IFERROR(IF(OR(AND(INDEX(Règles_poneys[Specificite],MATCH(RationEtéPoneys&amp;$FN78,Règles_poneys[Ration]&amp;Règles_poneys[Aliment],0))="s1",IF($FN78=Spécificité1Poneys,1)),
AND(INDEX(Règles_poneys[Specificite],MATCH(RationEtéPoneys&amp;$FN78,Règles_poneys[Ration]&amp;Règles_poneys[Aliment],0))="s2",IF($FN78=Spécificité2Poneys,1)),
INDEX(Règles_poneys[Specificite],MATCH(RationEtéPoneys&amp;$FN78,Règles_poneys[Ration]&amp;Règles_poneys[Aliment],0))="c"),
INDEX(Règles_poneys[Valeur 36 et plus],MATCH(RationEtéPoneys&amp;$FN78,Règles_poneys[Ration]&amp;Règles_poneys[Aliment],0)),0),0)*TotalJeuneEtalonPoney_12_24_mois*SUM(NbreJoursNourrirPoneys))</f>
        <v>0</v>
      </c>
      <c r="FR78" s="1286">
        <f t="array" ref="FR78">IF(OR(ChoixRationComplèteEtéPoneys=OUI,ChoixRationComplèteEtéPoneys="",AND(ChoixPoneysPréHiver=OUI,ChoixPoneysPréEté=OUI)),0,IFERROR(IF(OR(AND(INDEX(Règles_poneys[Specificite],MATCH(RationEtéPoneys&amp;$FN78,Règles_poneys[Ration]&amp;Règles_poneys[Aliment],0))="s1",IF($FN78=Spécificité1Poneys,1)),
AND(INDEX(Règles_poneys[Specificite],MATCH(RationEtéPoneys&amp;$FN78,Règles_poneys[Ration]&amp;Règles_poneys[Aliment],0))="s2",IF($FN78=Spécificité2Poneys,1)),
INDEX(Règles_poneys[Specificite],MATCH(RationEtéPoneys&amp;$FN78,Règles_poneys[Ration]&amp;Règles_poneys[Aliment],0))="c"),
INDEX(Règles_poneys[Valeur 36 et plus],MATCH(RationEtéPoneys&amp;$FN78,Règles_poneys[Ration]&amp;Règles_poneys[Aliment],0)),0),0)*TotalPoulainPoney_0_12_mois*SUM(NbreJoursNourrirPoneys))</f>
        <v>0</v>
      </c>
      <c r="FS78" s="1286">
        <f t="shared" si="14"/>
        <v>0</v>
      </c>
      <c r="FT78" s="1345"/>
      <c r="FU78" s="1345"/>
      <c r="FV78" s="1345"/>
      <c r="FW78" s="823"/>
      <c r="FX78" s="828">
        <f t="array" ref="FX7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78" s="828">
        <f t="array" ref="FY7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78" s="828">
        <f t="array" ref="FZ7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78" s="828">
        <f t="array" ref="GA78">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78" s="829">
        <f>SUM(AlimentsGavageOies[[#This Row],[Valeur 3 et plus]:[Valeur 0-1]])</f>
        <v>0</v>
      </c>
      <c r="GC78" s="1364"/>
      <c r="GD78" s="1321"/>
      <c r="GE78" s="1321"/>
      <c r="GF78" s="1321"/>
      <c r="GG78" s="1321" t="s">
        <v>1349</v>
      </c>
      <c r="GH78" s="1321" t="s">
        <v>1349</v>
      </c>
      <c r="GI78" s="1321" t="s">
        <v>1349</v>
      </c>
      <c r="GJ78" s="1321" t="s">
        <v>1349</v>
      </c>
      <c r="GK78" s="1321" t="s">
        <v>1349</v>
      </c>
      <c r="GL78" s="1321" t="s">
        <v>1349</v>
      </c>
      <c r="GM78" s="1321" t="s">
        <v>1349</v>
      </c>
      <c r="GN78" s="1321" t="s">
        <v>1349</v>
      </c>
      <c r="GO78" s="1321" t="s">
        <v>1349</v>
      </c>
      <c r="GP78" s="1321" t="s">
        <v>1349</v>
      </c>
      <c r="GQ78" s="1321" t="s">
        <v>1349</v>
      </c>
      <c r="GR78" s="1321" t="s">
        <v>1349</v>
      </c>
      <c r="GS78" s="1321" t="s">
        <v>1349</v>
      </c>
      <c r="GT78" s="1321" t="s">
        <v>1349</v>
      </c>
      <c r="GU78" s="1321" t="s">
        <v>1349</v>
      </c>
      <c r="GV78" s="1321" t="s">
        <v>1349</v>
      </c>
      <c r="GW78" s="1321"/>
      <c r="GX78" s="1321"/>
      <c r="GY78" s="1083" t="str">
        <f t="shared" si="11"/>
        <v>semences de triticale (G)</v>
      </c>
      <c r="GZ78" s="1083"/>
      <c r="HA78" s="1084"/>
      <c r="HB78" s="1084">
        <f>IF(COUNTIF(TypeArticleDansEntrepôt,GY78)=0,0,SUMIF(TypeArticleDansEntrepôt,GY78,QtéArticleDansEntrepôt)*VLOOKUP(GY78,place_necessaire_entrepots_aire_paille[],2,FALSE))</f>
        <v>0</v>
      </c>
      <c r="HC78" s="1321"/>
      <c r="HD78" s="1321"/>
      <c r="HE78" s="1321"/>
      <c r="HF78" s="1321"/>
      <c r="HG78" s="1321"/>
      <c r="HH78" s="1321"/>
      <c r="HI78" s="1321"/>
      <c r="HJ78" s="1321"/>
      <c r="HK78" s="1321"/>
      <c r="HL78" s="1321"/>
      <c r="HM78" s="1321"/>
      <c r="HN78" s="1084" t="str">
        <f>IF(parcelles!B126="","",(VLOOKUP(parcelles!C126,BDD!$HN$5:$HU$38,2,FALSE))*parcelles!E126)</f>
        <v/>
      </c>
      <c r="HO78" s="1084" t="str">
        <f>IF(parcelles!B126="","",IF(OR(parcelles!C126=Moutarde,parcelles!C126=Phacélie),0,IF(parcelles!C126=Luzerne,10*parcelles!E126*VLOOKUP(parcelles!C126,BDD!$HN$5:$HU$38,3,FALSE),IF(parcelles!C126=Miscanthus,10.5*parcelles!E126*VLOOKUP(parcelles!C126,BDD!$HN$5:$HU$38,3,FALSE),INDEX(parcelles!$C$56:'parcelles'!$Y$77,MATCH(parcelles!B126,parcelles!$B$56:'parcelles'!$B$77,0),MATCH(parcelles!C126,parcelles!$C$53:'parcelles'!$Y$53,0))*parcelles!E126*VLOOKUP(parcelles!C126,BDD!$HN$5:$HU$38,3,FALSE)))))</f>
        <v/>
      </c>
      <c r="HP78" s="1084" t="str">
        <f>IF(parcelles!B126="","",IF(OR(parcelles!C126=Moutarde,parcelles!C126=Phacélie),0,IF(parcelles!C126=Luzerne,10*parcelles!E126*VLOOKUP(parcelles!C126,BDD!$HN$5:$HU$38,4,FALSE),IF(parcelles!C126=Miscanthus,10.5*parcelles!E126*VLOOKUP(parcelles!C126,BDD!$HN$5:$HU$38,4,FALSE),INDEX(parcelles!$C$56:'parcelles'!$Y$77,MATCH(parcelles!B126,parcelles!$B$56:'parcelles'!$B$77,0),MATCH(parcelles!C126,parcelles!$C$53:'parcelles'!$Y$53,0))*parcelles!E126*VLOOKUP(parcelles!C126,BDD!$HN$5:$HU$38,4,FALSE)))))</f>
        <v/>
      </c>
      <c r="HQ78" s="1084" t="str">
        <f>IF(parcelles!B126="","",IF(OR(parcelles!C126=Moutarde,parcelles!C126=Phacélie),0,IF(parcelles!C126=Luzerne,10*parcelles!E126*VLOOKUP(parcelles!C126,BDD!$HN$5:$HU$38,5,FALSE),IF(parcelles!C126=Miscanthus,10.5*parcelles!E126*VLOOKUP(parcelles!C126,BDD!$HN$5:$HU$38,5,FALSE),INDEX(parcelles!$C$56:'parcelles'!$Y$77,MATCH(parcelles!B126,parcelles!$B$56:'parcelles'!$B$77,0),MATCH(parcelles!C126,parcelles!$C$53:'parcelles'!$Y$53,0))*parcelles!E126*VLOOKUP(parcelles!C126,BDD!$HN$5:$HU$38,5,FALSE)))))</f>
        <v/>
      </c>
      <c r="HR78" s="1084" t="str">
        <f>IF(parcelles!B126="","",IF(OR(parcelles!C126=Moutarde,parcelles!C126=Phacélie),0,IF(parcelles!C126=Luzerne,10*parcelles!E126*VLOOKUP(parcelles!C126,BDD!$HN$5:$HU$38,6,FALSE),IF(parcelles!C126=Miscanthus,10.5*parcelles!E126*VLOOKUP(parcelles!C126,BDD!$HN$5:$HU$38,6,FALSE),INDEX(parcelles!$C$56:'parcelles'!$Y$77,MATCH(parcelles!B126,parcelles!$B$56:'parcelles'!$B$77,0),MATCH(parcelles!C126,parcelles!$C$53:'parcelles'!$Y$53,0))*parcelles!E126*VLOOKUP(parcelles!C126,BDD!$HN$5:$HU$38,6,FALSE)))))</f>
        <v/>
      </c>
      <c r="HS78" s="1084" t="str">
        <f>IF(parcelles!B126="","",IF(OR(parcelles!C126=Moutarde,parcelles!C126=Phacélie),0,IF(parcelles!C126=Luzerne,10*parcelles!E126*VLOOKUP(parcelles!C126,BDD!$HN$5:$HU$38,7,FALSE),IF(parcelles!C126=Miscanthus,10.5*parcelles!E126*VLOOKUP(parcelles!C126,BDD!$HN$5:$HU$38,7,FALSE),INDEX(parcelles!$C$56:'parcelles'!$Y$77,MATCH(parcelles!B126,parcelles!$B$56:'parcelles'!$B$77,0),MATCH(parcelles!C126,parcelles!$C$53:'parcelles'!$Y$53,0))*parcelles!E126*VLOOKUP(parcelles!C126,BDD!$HN$5:$HU$38,7,FALSE)))))</f>
        <v/>
      </c>
      <c r="HT78" s="1084" t="str">
        <f>IF(parcelles!B126="","",IF(OR(parcelles!C126=Moutarde,parcelles!C126=Phacélie),0,IF(parcelles!C126=Luzerne,10*parcelles!E126*VLOOKUP(parcelles!C126,BDD!$HN$5:$HU$38,8,FALSE),IF(parcelles!C126=Miscanthus,10.5*parcelles!E126*VLOOKUP(parcelles!C126,BDD!$HN$5:$HU$38,8,FALSE),INDEX(parcelles!$C$56:'parcelles'!$Y$77,MATCH(parcelles!B126,parcelles!$B$56:'parcelles'!$B$77,0),MATCH(parcelles!C126,parcelles!$C$53:'parcelles'!$Y$53,0))*parcelles!E126*VLOOKUP(parcelles!C126,BDD!$HN$5:$HU$38,8,FALSE)))))</f>
        <v/>
      </c>
      <c r="HU78" s="1084" t="str">
        <f>IF(parcelles!B126="","",IF(OR(parcelles!C126=Moutarde,parcelles!C126=Phacélie),0,1.6*parcelles!E126))</f>
        <v/>
      </c>
      <c r="HV78" s="1084" t="str">
        <f>IF(parcelles!B126="","",IF(OR(parcelles!C126=Moutarde,parcelles!C126=Phacélie),0,1.6*parcelles!E126))</f>
        <v/>
      </c>
      <c r="HW78" s="1084" t="str">
        <f>IF(parcelles!B126="","",IF(OR(parcelles!C126=Moutarde,parcelles!C126=Phacélie),0,1.6*parcelles!E126))</f>
        <v/>
      </c>
      <c r="HX78" s="1095" t="str">
        <f>IF(parcelles!D126="","",IF(parcelles!C126=ChanvreIndustriel,INDEX(parcelles!$C$56:$Y$77,MATCH(parcelles!B126,parcelles!$B$56:$B$77,0),MATCH(parcelles!C126,parcelles!$C$53:$Y$53,0))*parcelles!E126*SUMIF(ListeCulturesBDD,parcelles!C126,PrixVenteCulturesConventionnel)+RIGHT(BDD!$HM$7,3)*7*parcelles!E126,IF(parcelles!C126=Luzerne,parcelles!E126*10*VLOOKUP(parcelles!C126,TarifsCoopCultures,2,FALSE),IF(parcelles!C126=Miscanthus,parcelles!E126*10.5*VLOOKUP(Luzerne,TarifsCoopCultures,2,FALSE),INDEX(parcelles!$C$56:$Y$77,MATCH(parcelles!B126,parcelles!$B$56:$B$77,0),MATCH(parcelles!C126,parcelles!$C$53:$Y$53,0))*parcelles!E126*SUMIF(ListeCulturesBDD,parcelles!C126,PrixVenteCulturesConventionnel)))))</f>
        <v/>
      </c>
      <c r="HY78" s="1084" t="str">
        <f>IF(parcelles!D126="","",IF(parcelles!F126=0,"",IF(parcelles!C126=ChanvreIndustriel,"soit "&amp;parcelles!E126*0.8&amp;"t de grain et "&amp;parcelles!E126*7&amp;"t de paille",IF(parcelles!C126=Luzerne,"soit "&amp;10*parcelles!E126&amp;"t/an",IF(parcelles!C126=Miscanthus,"soit "&amp;10.5*parcelles!E126&amp;"t/an","soit "&amp;INDEX(parcelles!$C$56:$Y$77,MATCH(parcelles!B126,parcelles!$B$56:$B$77,0),MATCH(parcelles!C126,parcelles!$C$53:$Y$53,0))*parcelles!E126&amp;"t")))))</f>
        <v/>
      </c>
      <c r="HZ78" s="1084" t="str">
        <f>IF(parcelles!D126="","",IF(parcelles!F126=0,"",IF(parcelles!C126=ChanvreIndustriel,"soit "&amp;parcelles!E126*0.8*0.8&amp;"t de grain et "&amp;parcelles!E126*7*0.8&amp;"t de paille",IF(parcelles!C126=Luzerne,"soit "&amp;10*0.8*parcelles!E126&amp;"t/an",IF(parcelles!C126=Miscanthus,"soit "&amp;10.5*0.8*parcelles!E126&amp;"t/an","soit "&amp;INDEX(parcelles!$C$56:$Y$77,MATCH(parcelles!B126,parcelles!$B$56:$B$77,0),MATCH(parcelles!C126,parcelles!$C$53:$Y$53,0))*0.8*parcelles!E126&amp;"t")))))</f>
        <v/>
      </c>
      <c r="IA78" s="1084" t="str">
        <f>IF(parcelles!L126="","",(VLOOKUP(parcelles!M126,BDD!$HN$5:$HU$38,2,FALSE))*parcelles!O126)</f>
        <v/>
      </c>
      <c r="IB78" s="1084" t="str">
        <f>IF(parcelles!L126="","",IF(OR(parcelles!M126=Moutarde,parcelles!M126=Phacélie),0,IF(parcelles!M126=Luzerne,10*parcelles!O126*VLOOKUP(parcelles!M126,BDD!$HN$5:$HU$38,3,FALSE),IF(parcelles!M126=Miscanthus,10.5*parcelles!O126*VLOOKUP(parcelles!M126,BDD!$HN$5:$HU$38,3,FALSE),INDEX(parcelles!$C$56:'parcelles'!$Y$77,MATCH(parcelles!L126,parcelles!$B$56:'parcelles'!$B$77,0),MATCH(parcelles!M126,parcelles!$C$53:'parcelles'!$Y$53,0))*parcelles!O126*VLOOKUP(parcelles!M126,BDD!$HN$5:$HU$38,3,FALSE)))))</f>
        <v/>
      </c>
      <c r="IC78" s="1084" t="str">
        <f>IF(parcelles!L126="","",IF(OR(parcelles!M126=Moutarde,parcelles!M126=Phacélie),0,IF(parcelles!M126=Luzerne,10*parcelles!O126*VLOOKUP(parcelles!M126,BDD!$HN$5:$HU$38,4,FALSE),IF(parcelles!M126=Miscanthus,10.5*parcelles!O126*VLOOKUP(parcelles!M126,BDD!$HN$5:$HU$38,4,FALSE),INDEX(parcelles!$C$56:'parcelles'!$Y$77,MATCH(parcelles!L126,parcelles!$B$56:'parcelles'!$B$77,0),MATCH(parcelles!M126,parcelles!$C$53:'parcelles'!$Y$53,0))*parcelles!O126*VLOOKUP(parcelles!M126,BDD!$HN$5:$HU$38,4,FALSE)))))</f>
        <v/>
      </c>
      <c r="ID78" s="1084" t="str">
        <f>IF(parcelles!L126="","",IF(OR(parcelles!M126=Moutarde,parcelles!M126=Phacélie),0,IF(parcelles!M126=Luzerne,10*parcelles!O126*VLOOKUP(parcelles!M126,BDD!$HN$5:$HU$38,5,FALSE),IF(parcelles!M126=Miscanthus,10.5*parcelles!O126*VLOOKUP(parcelles!M126,BDD!$HN$5:$HU$38,5,FALSE),INDEX(parcelles!$C$56:'parcelles'!$Y$77,MATCH(parcelles!L126,parcelles!$B$56:'parcelles'!$B$77,0),MATCH(parcelles!M126,parcelles!$C$53:'parcelles'!$Y$53,0))*parcelles!O126*VLOOKUP(parcelles!M126,BDD!$HN$5:$HU$38,5,FALSE)))))</f>
        <v/>
      </c>
      <c r="IE78" s="1084" t="str">
        <f>IF(parcelles!L126="","",IF(OR(parcelles!M126=Moutarde,parcelles!M126=Phacélie),0,IF(parcelles!M126=Luzerne,10*parcelles!O126*VLOOKUP(parcelles!M126,BDD!$HN$5:$HU$38,6,FALSE),IF(parcelles!M126=Miscanthus,10.5*parcelles!O126*VLOOKUP(parcelles!M126,BDD!$HN$5:$HU$38,6,FALSE),INDEX(parcelles!$C$56:'parcelles'!$Y$77,MATCH(parcelles!L126,parcelles!$B$56:'parcelles'!$B$77,0),MATCH(parcelles!M126,parcelles!$C$53:'parcelles'!$Y$53,0))*parcelles!O126*VLOOKUP(parcelles!M126,BDD!$HN$5:$HU$38,6,FALSE)))))</f>
        <v/>
      </c>
      <c r="IF78" s="1084" t="str">
        <f>IF(parcelles!L126="","",IF(OR(parcelles!M126=Moutarde,parcelles!M126=Phacélie),0,IF(parcelles!M126=Luzerne,10*parcelles!O126*VLOOKUP(parcelles!M126,BDD!$HN$5:$HU$38,7,FALSE),IF(parcelles!M126=Miscanthus,10.5*parcelles!O126*VLOOKUP(parcelles!M126,BDD!$HN$5:$HU$38,7,FALSE),INDEX(parcelles!$C$56:'parcelles'!$Y$77,MATCH(parcelles!L126,parcelles!$B$56:'parcelles'!$B$77,0),MATCH(parcelles!M126,parcelles!$C$53:'parcelles'!$Y$53,0))*parcelles!O126*VLOOKUP(parcelles!M126,BDD!$HN$5:$HU$38,7,FALSE)))))</f>
        <v/>
      </c>
      <c r="IG78" s="1084" t="str">
        <f>IF(parcelles!L126="","",IF(OR(parcelles!M126=Moutarde,parcelles!M126=Phacélie),0,IF(parcelles!M126=Luzerne,10*parcelles!O126*VLOOKUP(parcelles!M126,BDD!$HN$5:$HU$38,8,FALSE),IF(parcelles!M126=Miscanthus,10.5*parcelles!O126*VLOOKUP(parcelles!M126,BDD!$HN$5:$HU$38,8,FALSE),INDEX(parcelles!$C$56:'parcelles'!$Y$77,MATCH(parcelles!L126,parcelles!$B$56:'parcelles'!$B$77,0),MATCH(parcelles!M126,parcelles!$C$53:'parcelles'!$Y$53,0))*parcelles!O126*VLOOKUP(parcelles!M126,BDD!$HN$5:$HU$38,8,FALSE)))))</f>
        <v/>
      </c>
      <c r="IH78" s="1084" t="str">
        <f>IF(parcelles!L126="","",IF(OR(parcelles!L126=Moutarde,parcelles!L126=Phacélie),0,1.6*parcelles!O126))</f>
        <v/>
      </c>
      <c r="II78" s="1084" t="str">
        <f>IF(parcelles!L126="","",IF(OR(parcelles!L126=Moutarde,parcelles!L126=Phacélie),0,1.6*parcelles!O126))</f>
        <v/>
      </c>
      <c r="IJ78" s="1084" t="str">
        <f>IF(parcelles!L126="","",IF(OR(parcelles!L126=Moutarde,parcelles!L126=Phacélie),0,1.6*parcelles!O126))</f>
        <v/>
      </c>
      <c r="IK78" s="1084" t="str">
        <f>IF(parcelles!P126="","",IF(parcelles!R126=0,"",IF(parcelles!O126=ChanvreIndustriel,"soit "&amp;parcelles!Q126*0.8&amp;"t de grain et "&amp;parcelles!Q126*7&amp;"t de paille",IF(parcelles!O126=Luzerne,"soit "&amp;10*parcelles!Q126&amp;"t/an",IF(parcelles!O126=Miscanthus,"soit "&amp;10.5*parcelles!Q126&amp;"t/an","soit "&amp;INDEX(parcelles!$C$56:$Y$77,MATCH(parcelles!N126,parcelles!$B$56:$B$77,0),MATCH(parcelles!O126,parcelles!$C$53:$Y$53,0))*parcelles!Q126&amp;"t")))))</f>
        <v/>
      </c>
      <c r="IL78" s="1084" t="str">
        <f>IF(parcelles!P126="","",IF(parcelles!R126=0,"",IF(parcelles!O126=ChanvreIndustriel,"soit "&amp;parcelles!Q126*0.8*0.8&amp;"t de grain et "&amp;parcelles!Q126*7*0.8&amp;"t de paille",IF(parcelles!O126=Luzerne,"soit "&amp;10*0.8*parcelles!Q126&amp;"t/an",IF(parcelles!O126=Miscanthus,"soit "&amp;10.5*0.8*parcelles!Q126&amp;"t/an","soit "&amp;INDEX(parcelles!$C$56:$Y$77,MATCH(parcelles!N126,parcelles!$B$56:$B$77,0),MATCH(parcelles!O126,parcelles!$C$53:$Y$53,0))*0.8*parcelles!Q126&amp;"t")))))</f>
        <v/>
      </c>
      <c r="IM78" s="1084" t="str">
        <f>IF(parcelles!S126="","",IF(parcelles!U126=0,"",IF(parcelles!R126=ChanvreIndustriel,parcelles!T126*0.8*0.8+parcelles!T126*7*0.8,IF(parcelles!R126=Luzerne,10*0.8*parcelles!T126,IF(parcelles!R126=Miscanthus,10.5*0.8*parcelles!T126,INDEX(parcelles!$C$56:$Y$77,MATCH(parcelles!Q126,parcelles!$B$56:$B$77,0),MATCH(parcelles!R126,parcelles!$C$53:$Y$53,0))*0.8*parcelles!T126)))))</f>
        <v/>
      </c>
      <c r="IN78" s="1368"/>
    </row>
    <row r="79" spans="1:248" ht="12.75" customHeight="1" x14ac:dyDescent="0.2">
      <c r="A79" s="1307" t="s">
        <v>379</v>
      </c>
      <c r="B79" s="1241">
        <f t="shared" si="17"/>
        <v>1E-3</v>
      </c>
      <c r="C79" s="1321"/>
      <c r="D79" s="1321"/>
      <c r="E79" s="1321"/>
      <c r="F79" s="1149" t="s">
        <v>1156</v>
      </c>
      <c r="G79" s="1149" t="s">
        <v>1161</v>
      </c>
      <c r="H79" s="1245" t="s">
        <v>1166</v>
      </c>
      <c r="I79" s="1149" t="s">
        <v>1162</v>
      </c>
      <c r="J79" s="1245" t="s">
        <v>1166</v>
      </c>
      <c r="K79" s="1245" t="s">
        <v>1167</v>
      </c>
      <c r="L79" s="1245" t="s">
        <v>1167</v>
      </c>
      <c r="M79" s="1321"/>
      <c r="N79" s="1321"/>
      <c r="O79" s="1321"/>
      <c r="P79" s="1321"/>
      <c r="Q79" s="1321"/>
      <c r="R79" s="1321"/>
      <c r="S79" s="1321"/>
      <c r="T79" s="1321"/>
      <c r="U79" s="1321"/>
      <c r="V79" s="1321"/>
      <c r="W79" s="1321"/>
      <c r="X79" s="1321"/>
      <c r="Y79" s="1080" t="s">
        <v>1670</v>
      </c>
      <c r="Z79" s="1080">
        <f>IF('coût alimentation'!$B$6=$Y$79,4,0)</f>
        <v>0</v>
      </c>
      <c r="AA79" s="1080">
        <f>IF('coût alimentation'!$B$6=$Y$79,4,0)</f>
        <v>0</v>
      </c>
      <c r="AB79" s="1080">
        <f>IF('coût alimentation'!$B$6=$Y$79,4,0)</f>
        <v>0</v>
      </c>
      <c r="AC79" s="1080">
        <f>IF('coût alimentation'!$B$6=$Y$79,4,0)</f>
        <v>0</v>
      </c>
      <c r="AD79" s="1080">
        <f>IF('coût alimentation'!$B$6=$Y$79,4,0)</f>
        <v>0</v>
      </c>
      <c r="AE79" s="1080">
        <f>IF('coût alimentation'!$B$6=$Y$79,4,0)</f>
        <v>0</v>
      </c>
      <c r="AF79" s="1080">
        <f>IF('coût alimentation'!$B$6=$Y$79,4,0)</f>
        <v>0</v>
      </c>
      <c r="AG79" s="1080">
        <f>IF('coût alimentation'!$B$6=$Y$79,4,0)</f>
        <v>0</v>
      </c>
      <c r="AH79" s="1321"/>
      <c r="AI79" s="1321"/>
      <c r="AJ79" s="1321"/>
      <c r="AK79" s="1321"/>
      <c r="AL79" s="1321"/>
      <c r="AM79" s="1321"/>
      <c r="AN79" s="1321"/>
      <c r="AO79" s="1321"/>
      <c r="AP79" s="1321"/>
      <c r="AQ79" s="1321"/>
      <c r="AR79" s="1321"/>
      <c r="AS79" s="1321"/>
      <c r="AT79" s="1321"/>
      <c r="AU79" s="1321"/>
      <c r="AV79" s="1321"/>
      <c r="AW79" s="1321"/>
      <c r="AX79" s="1321"/>
      <c r="AY79" s="1321"/>
      <c r="AZ79" s="1321"/>
      <c r="BA79" s="1321"/>
      <c r="BB79" s="1236" t="s">
        <v>726</v>
      </c>
      <c r="BC79" s="1190" t="s">
        <v>63</v>
      </c>
      <c r="BD79" s="1190" t="s">
        <v>1254</v>
      </c>
      <c r="BE79" s="1237">
        <v>4.8</v>
      </c>
      <c r="BF79" s="1237">
        <v>4</v>
      </c>
      <c r="BG79" s="1237">
        <v>4</v>
      </c>
      <c r="BH79" s="1237">
        <v>4</v>
      </c>
      <c r="BI79" s="1237">
        <v>2</v>
      </c>
      <c r="BJ79" s="1237">
        <v>1.2</v>
      </c>
      <c r="BK79" s="1238">
        <v>0</v>
      </c>
      <c r="BL79" s="1348"/>
      <c r="BM79" s="1076" t="str">
        <f t="shared" si="23"/>
        <v>Colza</v>
      </c>
      <c r="BN79" s="1076">
        <f t="array" ref="BN79">IF(Ration_hivernale_complète_bisons[somme]&gt;0,0,IFERROR(IF(OR(AND(INDEX(Règles_bison[Specificite],MATCH(ChoixRationBisons&amp;$BM79,Règles_bison[Ration]&amp;Règles_bison[Aliment],0))="s1",IF($BM79=ChoixSpécificité1Bisons,1)),
AND(INDEX(Règles_bison[Specificite],MATCH(ChoixRationBisons&amp;$BM79,Règles_bison[Ration]&amp;Règles_bison[Aliment],0))="s2",IF($BM79=ChoixSpécificité2Bisons,1)),INDEX(Règles_bison[Specificite],MATCH(ChoixRationBisons&amp;$BM79,Règles_bison[Ration]&amp;Règles_bison[Aliment],0))="c"),
INDEX(Règles_bison[Valeur 36 et plus],MATCH(ChoixRationBisons&amp;$BM79,Règles_bison[Ration]&amp;Règles_bison[Aliment],0)),0),0)*TotalBisonnes*SUM(NbreJoursNourrirBisonsDaims))</f>
        <v>0</v>
      </c>
      <c r="BO79" s="1076">
        <f t="array" ref="BO79">IF(Ration_hivernale_complète_bisons[somme]&gt;0,0,IFERROR(IF(OR(AND(INDEX(Règles_bison[Specificite],MATCH(ChoixRationBisons&amp;$BM79,Règles_bison[Ration]&amp;Règles_bison[Aliment],0))="s1",IF($BM79=ChoixSpécificité1Bisons,1)),
AND(INDEX(Règles_bison[Specificite],MATCH(ChoixRationBisons&amp;$BM79,Règles_bison[Ration]&amp;Règles_bison[Aliment],0))="s2",IF($BM79=ChoixSpécificité2Bisons,1)),INDEX(Règles_bison[Specificite],MATCH(ChoixRationBisons&amp;$BM79,Règles_bison[Ration]&amp;Règles_bison[Aliment],0))="c"),
INDEX(Règles_bison[Valeur 24-36],MATCH(ChoixRationBisons&amp;$BM79,Règles_bison[Ration]&amp;Règles_bison[Aliment],0)),0),0)*TotalBisonsFemelles_24_36_mois*SUM(NbreJoursNourrirBisonsDaims))</f>
        <v>0</v>
      </c>
      <c r="BP79" s="1076">
        <f t="array" ref="BP79">IF(Ration_hivernale_complète_bisons[somme]&gt;0,0,IFERROR(IF(OR(AND(INDEX(Règles_bison[Specificite],MATCH(ChoixRationBisons&amp;$BM79,Règles_bison[Ration]&amp;Règles_bison[Aliment],0))="s1",IF($BM79=ChoixSpécificité1Bisons,1)),
AND(INDEX(Règles_bison[Specificite],MATCH(ChoixRationBisons&amp;$BM79,Règles_bison[Ration]&amp;Règles_bison[Aliment],0))="s2",IF($BM79=ChoixSpécificité2Bisons,1)),INDEX(Règles_bison[Specificite],MATCH(ChoixRationBisons&amp;$BM79,Règles_bison[Ration]&amp;Règles_bison[Aliment],0))="c"),
INDEX(Règles_bison[Valeur 18-24],MATCH(ChoixRationBisons&amp;$BM79,Règles_bison[Ration]&amp;Règles_bison[Aliment],0)),0),0)*TotalBisonsFemelles_18_24_mois*SUM(NbreJoursNourrirBisonsDaims))</f>
        <v>0</v>
      </c>
      <c r="BQ79" s="1076">
        <f t="array" ref="BQ79">IF(Ration_hivernale_complète_bisons[somme]&gt;0,0,IFERROR(IF(OR(AND(INDEX(Règles_bison[Specificite],MATCH(ChoixRationBisons&amp;$BM79,Règles_bison[Ration]&amp;Règles_bison[Aliment],0))="s1",IF($BM79=ChoixSpécificité1Bisons,1)),
AND(INDEX(Règles_bison[Specificite],MATCH(ChoixRationBisons&amp;$BM79,Règles_bison[Ration]&amp;Règles_bison[Aliment],0))="s2",IF($BM79=ChoixSpécificité2Bisons,1)),INDEX(Règles_bison[Specificite],MATCH(ChoixRationBisons&amp;$BM79,Règles_bison[Ration]&amp;Règles_bison[Aliment],0))="c"),
INDEX(Règles_bison[Valeur 12-18],MATCH(ChoixRationBisons&amp;$BM79,Règles_bison[Ration]&amp;Règles_bison[Aliment],0)),0),0)*TotalBisonsFemelles_12_18_mois*SUM(NbreJoursNourrirBisonsDaims))</f>
        <v>0</v>
      </c>
      <c r="BR79" s="1076">
        <f t="array" ref="BR79">IF(Ration_hivernale_complète_bisons[somme]&gt;0,0,IFERROR(IF(OR(AND(INDEX(Règles_bison[Specificite],MATCH(ChoixRationBisons&amp;$BM79,Règles_bison[Ration]&amp;Règles_bison[Aliment],0))="s1",IF($BM79=ChoixSpécificité1Bisons,1)),
AND(INDEX(Règles_bison[Specificite],MATCH(ChoixRationBisons&amp;$BM79,Règles_bison[Ration]&amp;Règles_bison[Aliment],0))="s2",IF($BM79=ChoixSpécificité2Bisons,1)),INDEX(Règles_bison[Specificite],MATCH(ChoixRationBisons&amp;$BM79,Règles_bison[Ration]&amp;Règles_bison[Aliment],0))="c"),
INDEX(Règles_bison[Valeur 6-12],MATCH(ChoixRationBisons&amp;$BM79,Règles_bison[Ration]&amp;Règles_bison[Aliment],0)),0),0)*TotalBisonsFemelles_6_12_mois*SUM(NbreJoursNourrirBisonsDaims))</f>
        <v>0</v>
      </c>
      <c r="BS79" s="1076">
        <f t="array" ref="BS79">IF(Ration_hivernale_complète_bisons[somme]&gt;0,0,IFERROR(IF(OR(AND(INDEX(Règles_bison[Specificite],MATCH(ChoixRationBisons&amp;$BM79,Règles_bison[Ration]&amp;Règles_bison[Aliment],0))="s1",IF($BM79=ChoixSpécificité1Bisons,1)),
AND(INDEX(Règles_bison[Specificite],MATCH(ChoixRationBisons&amp;$BM79,Règles_bison[Ration]&amp;Règles_bison[Aliment],0))="s2",IF($BM79=ChoixSpécificité2Bisons,1)),INDEX(Règles_bison[Specificite],MATCH(ChoixRationBisons&amp;$BM79,Règles_bison[Ration]&amp;Règles_bison[Aliment],0))="c"),
INDEX(Règles_bison[Valeur 3-6],MATCH(ChoixRationBisons&amp;$BM79,Règles_bison[Ration]&amp;Règles_bison[Aliment],0)),0),0)*TotalBisonsFemelles_3_6_mois*SUM(NbreJoursNourrirBisonsDaims))</f>
        <v>0</v>
      </c>
      <c r="BT79" s="1076">
        <f t="array" ref="BT79">IF(Ration_hivernale_complète_bisons[somme]&gt;0,0,IFERROR(IF(OR(AND(INDEX(Règles_bison[Specificite],MATCH(ChoixRationBisons&amp;$BM79,Règles_bison[Ration]&amp;Règles_bison[Aliment],0))="s1",IF($BM79=ChoixSpécificité1Bisons,1)),
AND(INDEX(Règles_bison[Specificite],MATCH(ChoixRationBisons&amp;$BM79,Règles_bison[Ration]&amp;Règles_bison[Aliment],0))="s2",IF($BM79=ChoixSpécificité2Bisons,1)),INDEX(Règles_bison[Specificite],MATCH(ChoixRationBisons&amp;$BM79,Règles_bison[Ration]&amp;Règles_bison[Aliment],0))="c"),
INDEX(Règles_bison[Valeur 0-3],MATCH(ChoixRationBisons&amp;$BM79,Règles_bison[Ration]&amp;Règles_bison[Aliment],0)),0),0)*TotalBisonsFemelles_0_3_mois*SUM(NbreJoursNourrirBisonsDaims))</f>
        <v>0</v>
      </c>
      <c r="BU79" s="1076">
        <f t="shared" si="22"/>
        <v>0</v>
      </c>
      <c r="BV79" s="1346"/>
      <c r="BW79" s="1346"/>
      <c r="BX79" s="1176" t="s">
        <v>729</v>
      </c>
      <c r="BY79" s="1177" t="s">
        <v>1271</v>
      </c>
      <c r="BZ79" s="1177" t="s">
        <v>1252</v>
      </c>
      <c r="CA79" s="1177">
        <v>0.08</v>
      </c>
      <c r="CB79" s="1177">
        <v>0.04</v>
      </c>
      <c r="CC79" s="1177">
        <v>0.04</v>
      </c>
      <c r="CD79" s="1199">
        <v>0.04</v>
      </c>
      <c r="CE79" s="1350"/>
      <c r="CF79" s="1350"/>
      <c r="CG79" s="1350"/>
      <c r="CH79" s="1350"/>
      <c r="CI79" s="1321"/>
      <c r="CJ79" s="808" t="s">
        <v>296</v>
      </c>
      <c r="CK79" s="788">
        <f t="array" ref="CK7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79" s="788">
        <f t="array" ref="CL7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79" s="788">
        <f t="array" ref="CM7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79" s="788">
        <f t="array" ref="CN7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79" s="788">
        <f t="array" ref="CO79">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79" s="812">
        <f>SUM(AlimentsRationPorcinsMâles[[#This Row],[Valeur 12 et plus]:[Valeur 0-1]])</f>
        <v>0</v>
      </c>
      <c r="CQ79" s="1321"/>
      <c r="CR79" s="1321"/>
      <c r="CS79" s="808" t="s">
        <v>297</v>
      </c>
      <c r="CT79" s="817">
        <f t="array" ref="CT7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79" s="817">
        <f t="array" ref="CU7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79" s="817">
        <f t="array" ref="CV7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79" s="818">
        <f>SUM(AlimentsRationLapinsMâles[[#This Row],[Valeur 3 et plus]:[Valeur 0-1]])</f>
        <v>0</v>
      </c>
      <c r="CX79" s="1321"/>
      <c r="CY79" s="1321"/>
      <c r="CZ79" s="808" t="s">
        <v>297</v>
      </c>
      <c r="DA79" s="817">
        <f t="array" ref="DA7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79" s="817">
        <f t="array" ref="DB7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79" s="817">
        <f t="array" ref="DC7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79" s="818">
        <f>SUM(AlimentsRationVolaillesMâles[[#This Row],[Valeur 6 et plus]:[Valeur 0-1]])</f>
        <v>0</v>
      </c>
      <c r="DE79" s="1364"/>
      <c r="DF79" s="1321"/>
      <c r="DG79" s="808" t="s">
        <v>1274</v>
      </c>
      <c r="DH79" s="817">
        <f t="array" ref="DH79">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79" s="817">
        <f t="array" ref="DI79">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79" s="817">
        <f t="array" ref="DJ79">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79" s="818">
        <f>SUM(AlimentsRationPintadesMâles[[#This Row],[Valeur 9 et plus]:[Valeur 0-1]])</f>
        <v>0</v>
      </c>
      <c r="DL79" s="1364"/>
      <c r="DM79" s="1364"/>
      <c r="DN79" s="1176" t="s">
        <v>836</v>
      </c>
      <c r="DO79" s="1177" t="s">
        <v>672</v>
      </c>
      <c r="DP79" s="1177" t="s">
        <v>1253</v>
      </c>
      <c r="DQ79" s="1181">
        <v>1.6</v>
      </c>
      <c r="DR79" s="1181">
        <v>1.4</v>
      </c>
      <c r="DS79" s="1181">
        <v>1.2</v>
      </c>
      <c r="DT79" s="1243">
        <v>1</v>
      </c>
      <c r="DU79" s="1345"/>
      <c r="DV79" s="1075" t="str">
        <f t="shared" ref="DV79:DV116" si="24">DV33</f>
        <v>Betterave</v>
      </c>
      <c r="DW79" s="1269">
        <f t="array" ref="DW79">SUM((IF(QualitéAlimentsFaonMâle_0_3_mois=BONNE,VLOOKUP("Betterave",AlimentsRationHivernaleDaims,8,FALSE),0)+(IF(QualitéAlimentsFaonFemelle_0_3_mois=BONNE,VLOOKUP("Betterave",AlimentsRationHivernaleDaims,8,FALSE),0)+(IF(QualitéAlimentsFaonMâle_3_6_mois=BONNE,VLOOKUP("Betterave",AlimentsRationHivernaleDaims,7,FALSE),0)+(IF(QualitéAlimentsFaonFemelle_3_6_mois=BONNE,VLOOKUP("Betterave",AlimentsRationHivernaleDaims,7,FALSE),0)+(IF(QualitéAlimentsFaonMâle_6_12_mois=BONNE,VLOOKUP("Betterave",AlimentsRationHivernaleDaims,6,FALSE),0)+(IF(QualitéAlimentsFaonFemelle_6_12_mois=BONNE,VLOOKUP("Betterave",AlimentsRationHivernaleDaims,6,FALSE),0)+(IF(QualitéAlimentsJeuneDaim_12_18_mois=BONNE,VLOOKUP("Betterave",AlimentsRationHivernaleDaims,5,FALSE),0)+(IF(QualitéAlimentsJeuneDaine_12_18_mois=BONNE,VLOOKUP("Betterave",AlimentsRationHivernaleDaims,5,FALSE),0)+(IF(QualitéAlimentsJeuneDaim_18_24_mois=BONNE,VLOOKUP("Betterave",AlimentsRationHivernaleDaims,4,FALSE),0)+(IF(QualitéAlimentsJeuneDaine_18_24_mois=BONNE,VLOOKUP("Betterave",AlimentsRationHivernaleDaims,4,FALSE),0)+(IF(QualitéAlimentsJeuneDaim_24_36_mois=BONNE,VLOOKUP("Betterave",AlimentsRationHivernaleDaims,3,FALSE),0)+(IF(QualitéAlimentsJeuneDaine_24_36_mois=BONNE,VLOOKUP("Betterave",AlimentsRationHivernaleDaims,3,FALSE),0)+(IF(QualitéAlimentsDaim=BONNE,VLOOKUP("Betterave",AlimentsRationHivernaleDaims,2,FALSE),0)+(IF(QualitéAlimentsDaine=BONNE,VLOOKUP("Betterave",AlimentsRationHivernaleDaims,2,FALSE),0))))))))))))))))</f>
        <v>0</v>
      </c>
      <c r="DX79" s="1269">
        <f t="array" ref="DX79">SUM((IF(QualitéAlimentsFaonMâle_0_3_mois=MOYENNE,VLOOKUP("Betterave",AlimentsRationHivernaleDaims,8,FALSE),0)+(IF(QualitéAlimentsFaonFemelle_0_3_mois=MOYENNE,VLOOKUP("Betterave",AlimentsRationHivernaleDaims,8,FALSE),0)+(IF(QualitéAlimentsFaonMâle_3_6_mois=MOYENNE,VLOOKUP("Betterave",AlimentsRationHivernaleDaims,7,FALSE),0)+(IF(QualitéAlimentsFaonFemelle_3_6_mois=MOYENNE,VLOOKUP("Betterave",AlimentsRationHivernaleDaims,7,FALSE),0)+(IF(QualitéAlimentsFaonMâle_6_12_mois=MOYENNE,VLOOKUP("Betterave",AlimentsRationHivernaleDaims,6,FALSE),0)+(IF(QualitéAlimentsFaonFemelle_6_12_mois=MOYENNE,VLOOKUP("Betterave",AlimentsRationHivernaleDaims,6,FALSE),0)+(IF(QualitéAlimentsJeuneDaim_12_18_mois=MOYENNE,VLOOKUP("Betterave",AlimentsRationHivernaleDaims,5,FALSE),0)+(IF(QualitéAlimentsJeuneDaine_12_18_mois=MOYENNE,VLOOKUP("Betterave",AlimentsRationHivernaleDaims,5,FALSE),0)+(IF(QualitéAlimentsJeuneDaim_18_24_mois=MOYENNE,VLOOKUP("Betterave",AlimentsRationHivernaleDaims,4,FALSE),0)+(IF(QualitéAlimentsJeuneDaine_18_24_mois=MOYENNE,VLOOKUP("Betterave",AlimentsRationHivernaleDaims,4,FALSE),0)+(IF(QualitéAlimentsJeuneDaim_24_36_mois=MOYENNE,VLOOKUP("Betterave",AlimentsRationHivernaleDaims,3,FALSE),0)+(IF(QualitéAlimentsJeuneDaine_24_36_mois=MOYENNE,VLOOKUP("Betterave",AlimentsRationHivernaleDaims,3,FALSE),0)+(IF(QualitéAlimentsDaim=MOYENNE,VLOOKUP("Betterave",AlimentsRationHivernaleDaims,2,FALSE),0)+(IF(QualitéAlimentsDaine=MOYENNE,VLOOKUP("Betterave",AlimentsRationHivernaleDaims,2,FALSE),0))))))))))))))))</f>
        <v>0</v>
      </c>
      <c r="DY79" s="1269">
        <f t="array" ref="DY79">SUM((IF(QualitéAlimentsFaonMâle_0_3_mois=MAUVAISE,VLOOKUP("Betterave",AlimentsRationHivernaleDaims,8,FALSE),0)+(IF(QualitéAlimentsFaonFemelle_0_3_mois=MAUVAISE,VLOOKUP("Betterave",AlimentsRationHivernaleDaims,8,FALSE),0)+(IF(QualitéAlimentsFaonMâle_3_6_mois=MAUVAISE,VLOOKUP("Betterave",AlimentsRationHivernaleDaims,7,FALSE),0)+(IF(QualitéAlimentsFaonFemelle_3_6_mois=MAUVAISE,VLOOKUP("Betterave",AlimentsRationHivernaleDaims,7,FALSE),0)+(IF(QualitéAlimentsFaonMâle_6_12_mois=MAUVAISE,VLOOKUP("Betterave",AlimentsRationHivernaleDaims,6,FALSE),0)+(IF(QualitéAlimentsFaonFemelle_6_12_mois=MAUVAISE,VLOOKUP("Betterave",AlimentsRationHivernaleDaims,6,FALSE),0)+(IF(QualitéAlimentsJeuneDaim_12_18_mois=MAUVAISE,VLOOKUP("Betterave",AlimentsRationHivernaleDaims,5,FALSE),0)+(IF(QualitéAlimentsJeuneDaine_12_18_mois=MAUVAISE,VLOOKUP("Betterave",AlimentsRationHivernaleDaims,5,FALSE),0)+(IF(QualitéAlimentsJeuneDaim_18_24_mois=MAUVAISE,VLOOKUP("Betterave",AlimentsRationHivernaleDaims,4,FALSE),0)+(IF(QualitéAlimentsJeuneDaine_18_24_mois=MAUVAISE,VLOOKUP("Betterave",AlimentsRationHivernaleDaims,4,FALSE),0)+(IF(QualitéAlimentsJeuneDaim_24_36_mois=MAUVAISE,VLOOKUP("Betterave",AlimentsRationHivernaleDaims,3,FALSE),0)+(IF(QualitéAlimentsJeuneDaine_24_36_mois=MAUVAISE,VLOOKUP("Betterave",AlimentsRationHivernaleDaims,3,FALSE),0)+(IF(QualitéAlimentsDaim=MAUVAISE,VLOOKUP("Betterave",AlimentsRationHivernaleDaims,2,FALSE),0)+(IF(QualitéAlimentsDaine=MAUVAISE,VLOOKUP("Betterave",AlimentsRationHivernaleDaims,2,FALSE),0))))))))))))))))</f>
        <v>0</v>
      </c>
      <c r="DZ79" s="1345"/>
      <c r="EA79" s="1345"/>
      <c r="EB79" s="1345"/>
      <c r="EC79" s="1345"/>
      <c r="ED79" s="1345"/>
      <c r="EE79" s="1345"/>
      <c r="EF79" s="1321"/>
      <c r="EG79" s="808" t="s">
        <v>500</v>
      </c>
      <c r="EH79" s="817">
        <f t="array" ref="EH7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79" s="817">
        <f t="array" ref="EI7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79" s="817">
        <f t="array" ref="EJ7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79" s="818">
        <f>SUM(AlimentsRationOiesMâles[[#This Row],[Valeur 6 et plus]:[Valeur 0-3]])</f>
        <v>0</v>
      </c>
      <c r="EL79" s="1364"/>
      <c r="EM79" s="1321"/>
      <c r="EN79" s="808" t="s">
        <v>63</v>
      </c>
      <c r="EO79" s="817">
        <f t="array" ref="EO7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79" s="817">
        <f t="array" ref="EP7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79" s="817">
        <f t="array" ref="EQ7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79" s="818">
        <f>SUM(Ration_canards_Mâles[[#This Row],[Valeur 6 et plus]:[Valeur 0-3]])</f>
        <v>0</v>
      </c>
      <c r="ES79" s="1364"/>
      <c r="ET79" s="1346"/>
      <c r="EU79" s="1083" t="s">
        <v>1271</v>
      </c>
      <c r="EV79" s="1283">
        <f t="array" ref="EV79">IF(OR(ChoixRationComplèteEtéChevauxSelle=OUI,ChoixRationComplèteEtéChevauxSelle="",AND(ChoixChevauxSellePréHiver=OUI,ChoixChevauxSellePréEté=OUI)),0,IFERROR(IF(OR(AND(INDEX(Règles_chevaux_selle[Specificite],MATCH(RationEtéChevauxSelle&amp;$EU79,Règles_chevaux_selle[Ration]&amp;Règles_chevaux_selle[Aliment],0))="s1",IF($EU79=Spécificité1ChevauxSelle,1)),
AND(INDEX(Règles_chevaux_selle[Specificite],MATCH(RationEtéChevauxSelle&amp;$EU79,Règles_chevaux_selle[Ration]&amp;Règles_chevaux_selle[Aliment],0))="s2",IF($EU79=Spécificité2ChevauxSelle,1)),
INDEX(Règles_chevaux_selle[Specificite],MATCH(RationEtéChevauxSelle&amp;$EU79,Règles_chevaux_selle[Ration]&amp;Règles_chevaux_selle[Aliment],0))="c"),
INDEX(Règles_chevaux_selle[Valeur 36 et plus],MATCH(RationEtéChevauxSelle&amp;$EU79,Règles_chevaux_selle[Ration]&amp;Règles_chevaux_selle[Aliment],0)),0),0)*TotalEtalonSelle*SUM(NbreJoursNourrirChevauxSelle))</f>
        <v>0</v>
      </c>
      <c r="EW79" s="1283">
        <f t="array" ref="EW79">IF(OR(ChoixRationComplèteEtéChevauxSelle=OUI,ChoixRationComplèteEtéChevauxSelle="",AND(ChoixChevauxSellePréHiver=OUI,ChoixChevauxSellePréEté=OUI)),0,IFERROR(IF(OR(AND(INDEX(Règles_chevaux_selle[Specificite],MATCH(RationEtéChevauxSelle&amp;$EU79,Règles_chevaux_selle[Ration]&amp;Règles_chevaux_selle[Aliment],0))="s1",IF($EU79=Spécificité1ChevauxSelle,1)),
AND(INDEX(Règles_chevaux_selle[Specificite],MATCH(RationEtéChevauxSelle&amp;$EU79,Règles_chevaux_selle[Ration]&amp;Règles_chevaux_selle[Aliment],0))="s2",IF($EU79=Spécificité2ChevauxSelle,1)),
INDEX(Règles_chevaux_selle[Specificite],MATCH(RationEtéChevauxSelle&amp;$EU79,Règles_chevaux_selle[Ration]&amp;Règles_chevaux_selle[Aliment],0))="c"),
INDEX(Règles_chevaux_selle[Valeur 24-36],MATCH(RationEtéChevauxSelle&amp;$EU79,Règles_chevaux_selle[Ration]&amp;Règles_chevaux_selle[Aliment],0)),0),0)*TotalJeuneEtalonSelle_24_36_mois*SUM(NbreJoursNourrirChevauxSelle))</f>
        <v>0</v>
      </c>
      <c r="EX79" s="1283">
        <f t="array" ref="EX79">IF(OR(ChoixRationComplèteEtéChevauxSelle=OUI,ChoixRationComplèteEtéChevauxSelle="",AND(ChoixChevauxSellePréHiver=OUI,ChoixChevauxSellePréEté=OUI)),0,IFERROR(IF(OR(AND(INDEX(Règles_chevaux_selle[Specificite],MATCH(RationEtéChevauxSelle&amp;$EU79,Règles_chevaux_selle[Ration]&amp;Règles_chevaux_selle[Aliment],0))="s1",IF($EU79=Spécificité1ChevauxSelle,1)),
AND(INDEX(Règles_chevaux_selle[Specificite],MATCH(RationEtéChevauxSelle&amp;$EU79,Règles_chevaux_selle[Ration]&amp;Règles_chevaux_selle[Aliment],0))="s2",IF($EU79=Spécificité2ChevauxSelle,1)),
INDEX(Règles_chevaux_selle[Specificite],MATCH(RationEtéChevauxSelle&amp;$EU79,Règles_chevaux_selle[Ration]&amp;Règles_chevaux_selle[Aliment],0))="c"),
INDEX(Règles_chevaux_selle[Valeur 12-24],MATCH(RationEtéChevauxSelle&amp;$EU79,Règles_chevaux_selle[Ration]&amp;Règles_chevaux_selle[Aliment],0)),0),0)*TotalJeuneEtalonSelle_12_24_mois*SUM(NbreJoursNourrirChevauxSelle))</f>
        <v>0</v>
      </c>
      <c r="EY79" s="1286">
        <f t="array" ref="EY79">IF(OR(ChoixRationComplèteEtéChevauxSelle=OUI,ChoixRationComplèteEtéChevauxSelle="",AND(ChoixChevauxSellePréHiver=OUI,ChoixChevauxSellePréEté=OUI)),0,IFERROR(IF(OR(AND(INDEX(Règles_chevaux_selle[Specificite],MATCH(RationEtéChevauxSelle&amp;$EU79,Règles_chevaux_selle[Ration]&amp;Règles_chevaux_selle[Aliment],0))="s1",IF($EU79=Spécificité1ChevauxSelle,1)),
AND(INDEX(Règles_chevaux_selle[Specificite],MATCH(RationEtéChevauxSelle&amp;$EU79,Règles_chevaux_selle[Ration]&amp;Règles_chevaux_selle[Aliment],0))="s2",IF($EU79=Spécificité2ChevauxSelle,1)),
INDEX(Règles_chevaux_selle[Specificite],MATCH(RationEtéChevauxSelle&amp;$EU79,Règles_chevaux_selle[Ration]&amp;Règles_chevaux_selle[Aliment],0))="c"),
INDEX(Règles_chevaux_selle[Valeur 0-12],MATCH(RationEtéChevauxSelle&amp;$EU79,Règles_chevaux_selle[Ration]&amp;Règles_chevaux_selle[Aliment],0)),0),0)*TotalPoulainSelle_0_12_mois*SUM(NbreJoursNourrirChevauxSelle))</f>
        <v>0</v>
      </c>
      <c r="EZ79" s="1286">
        <f t="shared" si="16"/>
        <v>0</v>
      </c>
      <c r="FA79" s="1345"/>
      <c r="FB79" s="1345"/>
      <c r="FC79" s="1321"/>
      <c r="FD79" s="1083" t="s">
        <v>723</v>
      </c>
      <c r="FE79" s="1283">
        <f t="array" ref="FE79">IF(OR(ChoixRationComplèteEtéChevauxTrait=OUI,ChoixRationComplèteEtéChevauxTrait="",AND(ChoixChevauxTraitPréHiver=OUI,ChoixChevauxTraitPréEté=OUI)),0,IFERROR(IF(OR(AND(INDEX(Règles_chevaux_trait[Specificite],MATCH(RationEtéChevauxTrait&amp;$FD79,Règles_chevaux_trait[Ration]&amp;Règles_chevaux_trait[Aliment],0))="s1",IF($FD79=Spécificité1ChevauxTrait,1)),
AND(INDEX(Règles_chevaux_trait[Specificite],MATCH(RationEtéChevauxTrait&amp;$FD79,Règles_chevaux_trait[Ration]&amp;Règles_chevaux_trait[Aliment],0))="s2",IF($FD79=Spécificité2ChevauxTrait,1)),
INDEX(Règles_chevaux_trait[Specificite],MATCH(RationEtéChevauxTrait&amp;$FD79,Règles_chevaux_trait[Ration]&amp;Règles_chevaux_trait[Aliment],0))="c"),
INDEX(Règles_chevaux_trait[Valeur 36 et plus],MATCH(RationEtéChevauxTrait&amp;$FD79,Règles_chevaux_trait[Ration]&amp;Règles_chevaux_trait[Aliment],0)),0),0)*TotalEtalonTrait*SUM(NbreJoursNourrirChevauxTrait))</f>
        <v>0</v>
      </c>
      <c r="FF79" s="1283">
        <f t="array" ref="FF79">IF(OR(ChoixRationComplèteEtéChevauxTrait=OUI,ChoixRationComplèteEtéChevauxTrait="",AND(ChoixChevauxTraitPréHiver=OUI,ChoixChevauxTraitPréEté=OUI)),0,IFERROR(IF(OR(AND(INDEX(Règles_chevaux_trait[Specificite],MATCH(RationEtéChevauxTrait&amp;$FD79,Règles_chevaux_trait[Ration]&amp;Règles_chevaux_trait[Aliment],0))="s1",IF($FD79=Spécificité1ChevauxTrait,1)),
AND(INDEX(Règles_chevaux_trait[Specificite],MATCH(RationEtéChevauxTrait&amp;$FD79,Règles_chevaux_trait[Ration]&amp;Règles_chevaux_trait[Aliment],0))="s2",IF($FD79=Spécificité2ChevauxTrait,1)),
INDEX(Règles_chevaux_trait[Specificite],MATCH(RationEtéChevauxTrait&amp;$FD79,Règles_chevaux_trait[Ration]&amp;Règles_chevaux_trait[Aliment],0))="c"),
INDEX(Règles_chevaux_trait[Valeur 24-36],MATCH(RationEtéChevauxTrait&amp;$FD79,Règles_chevaux_trait[Ration]&amp;Règles_chevaux_trait[Aliment],0)),0),0)*TotalJeuneEtalonTrait_24_36_mois*SUM(NbreJoursNourrirChevauxTrait))</f>
        <v>0</v>
      </c>
      <c r="FG79" s="1283">
        <f t="array" ref="FG79">IF(OR(ChoixRationComplèteEtéChevauxTrait=OUI,ChoixRationComplèteEtéChevauxTrait="",AND(ChoixChevauxTraitPréHiver=OUI,ChoixChevauxTraitPréEté=OUI)),0,IFERROR(IF(OR(AND(INDEX(Règles_chevaux_trait[Specificite],MATCH(RationEtéChevauxTrait&amp;$FD79,Règles_chevaux_trait[Ration]&amp;Règles_chevaux_trait[Aliment],0))="s1",IF($FD79=Spécificité1ChevauxTrait,1)),
AND(INDEX(Règles_chevaux_trait[Specificite],MATCH(RationEtéChevauxTrait&amp;$FD79,Règles_chevaux_trait[Ration]&amp;Règles_chevaux_trait[Aliment],0))="s2",IF($FD79=Spécificité2ChevauxTrait,1)),
INDEX(Règles_chevaux_trait[Specificite],MATCH(RationEtéChevauxTrait&amp;$FD79,Règles_chevaux_trait[Ration]&amp;Règles_chevaux_trait[Aliment],0))="c"),
INDEX(Règles_chevaux_trait[Valeur 12-24],MATCH(RationEtéChevauxTrait&amp;$FD79,Règles_chevaux_trait[Ration]&amp;Règles_chevaux_trait[Aliment],0)),0),0)*TotalJeuneEtalonTrait_12_24_mois*SUM(NbreJoursNourrirChevauxTrait))</f>
        <v>0</v>
      </c>
      <c r="FH79" s="1286">
        <f t="array" ref="FH79">IF(OR(ChoixRationComplèteEtéChevauxTrait=OUI,ChoixRationComplèteEtéChevauxTrait="",AND(ChoixChevauxTraitPréHiver=OUI,ChoixChevauxTraitPréEté=OUI)),0,IFERROR(IF(OR(AND(INDEX(Règles_chevaux_trait[Specificite],MATCH(RationEtéChevauxTrait&amp;$FD79,Règles_chevaux_trait[Ration]&amp;Règles_chevaux_trait[Aliment],0))="s1",IF($FD79=Spécificité1ChevauxTrait,1)),
AND(INDEX(Règles_chevaux_trait[Specificite],MATCH(RationEtéChevauxTrait&amp;$FD79,Règles_chevaux_trait[Ration]&amp;Règles_chevaux_trait[Aliment],0))="s2",IF($FD79=Spécificité2ChevauxTrait,1)),
INDEX(Règles_chevaux_trait[Specificite],MATCH(RationEtéChevauxTrait&amp;$FD79,Règles_chevaux_trait[Ration]&amp;Règles_chevaux_trait[Aliment],0))="c"),
INDEX(Règles_chevaux_trait[Valeur 0-12],MATCH(RationEtéChevauxTrait&amp;$FD79,Règles_chevaux_trait[Ration]&amp;Règles_chevaux_trait[Aliment],0)),0),0)*TotalPoulainTrait_0_12_mois*SUM(NbreJoursNourrirChevauxTrait))</f>
        <v>0</v>
      </c>
      <c r="FI79" s="1286">
        <f t="shared" si="15"/>
        <v>0</v>
      </c>
      <c r="FJ79" s="1345"/>
      <c r="FK79" s="1345"/>
      <c r="FL79" s="1345"/>
      <c r="FM79" s="1321"/>
      <c r="FN79" s="1082" t="s">
        <v>500</v>
      </c>
      <c r="FO79" s="1282">
        <f t="array" ref="FO79">IF(OR(ChoixRationComplèteEtéPoneys=OUI,ChoixRationComplèteEtéPoneys="",AND(ChoixPoneysPréHiver=OUI,ChoixPoneysPréEté=OUI)),0,IFERROR(IF(OR(AND(INDEX(Règles_poneys[Specificite],MATCH(RationEtéPoneys&amp;$FN79,Règles_poneys[Ration]&amp;Règles_poneys[Aliment],0))="s1",IF($FN79=Spécificité1Poneys,1)),
AND(INDEX(Règles_poneys[Specificite],MATCH(RationEtéPoneys&amp;$FN79,Règles_poneys[Ration]&amp;Règles_poneys[Aliment],0))="s2",IF($FN79=Spécificité2Poneys,1)),
INDEX(Règles_poneys[Specificite],MATCH(RationEtéPoneys&amp;$FN79,Règles_poneys[Ration]&amp;Règles_poneys[Aliment],0))="c"),
INDEX(Règles_poneys[Valeur 36 et plus],MATCH(RationEtéPoneys&amp;$FN79,Règles_poneys[Ration]&amp;Règles_poneys[Aliment],0)),0),0)*TotalEtalonPoney*SUM(NbreJoursNourrirPoneys))</f>
        <v>0</v>
      </c>
      <c r="FP79" s="1282">
        <f t="array" ref="FP79">IF(OR(ChoixRationComplèteEtéPoneys=OUI,ChoixRationComplèteEtéPoneys="",AND(ChoixPoneysPréHiver=OUI,ChoixPoneysPréEté=OUI)),0,IFERROR(IF(OR(AND(INDEX(Règles_poneys[Specificite],MATCH(RationEtéPoneys&amp;$FN79,Règles_poneys[Ration]&amp;Règles_poneys[Aliment],0))="s1",IF($FN79=Spécificité1Poneys,1)),
AND(INDEX(Règles_poneys[Specificite],MATCH(RationEtéPoneys&amp;$FN79,Règles_poneys[Ration]&amp;Règles_poneys[Aliment],0))="s2",IF($FN79=Spécificité2Poneys,1)),
INDEX(Règles_poneys[Specificite],MATCH(RationEtéPoneys&amp;$FN79,Règles_poneys[Ration]&amp;Règles_poneys[Aliment],0))="c"),
INDEX(Règles_poneys[Valeur 36 et plus],MATCH(RationEtéPoneys&amp;$FN79,Règles_poneys[Ration]&amp;Règles_poneys[Aliment],0)),0),0)*TotalJeuneEtalonPoney_24_36_mois*SUM(NbreJoursNourrirPoneys))</f>
        <v>0</v>
      </c>
      <c r="FQ79" s="1282">
        <f t="array" ref="FQ79">IF(OR(ChoixRationComplèteEtéPoneys=OUI,ChoixRationComplèteEtéPoneys="",AND(ChoixPoneysPréHiver=OUI,ChoixPoneysPréEté=OUI)),0,IFERROR(IF(OR(AND(INDEX(Règles_poneys[Specificite],MATCH(RationEtéPoneys&amp;$FN79,Règles_poneys[Ration]&amp;Règles_poneys[Aliment],0))="s1",IF($FN79=Spécificité1Poneys,1)),
AND(INDEX(Règles_poneys[Specificite],MATCH(RationEtéPoneys&amp;$FN79,Règles_poneys[Ration]&amp;Règles_poneys[Aliment],0))="s2",IF($FN79=Spécificité2Poneys,1)),
INDEX(Règles_poneys[Specificite],MATCH(RationEtéPoneys&amp;$FN79,Règles_poneys[Ration]&amp;Règles_poneys[Aliment],0))="c"),
INDEX(Règles_poneys[Valeur 36 et plus],MATCH(RationEtéPoneys&amp;$FN79,Règles_poneys[Ration]&amp;Règles_poneys[Aliment],0)),0),0)*TotalJeuneEtalonPoney_12_24_mois*SUM(NbreJoursNourrirPoneys))</f>
        <v>0</v>
      </c>
      <c r="FR79" s="1285">
        <f t="array" ref="FR79">IF(OR(ChoixRationComplèteEtéPoneys=OUI,ChoixRationComplèteEtéPoneys="",AND(ChoixPoneysPréHiver=OUI,ChoixPoneysPréEté=OUI)),0,IFERROR(IF(OR(AND(INDEX(Règles_poneys[Specificite],MATCH(RationEtéPoneys&amp;$FN79,Règles_poneys[Ration]&amp;Règles_poneys[Aliment],0))="s1",IF($FN79=Spécificité1Poneys,1)),
AND(INDEX(Règles_poneys[Specificite],MATCH(RationEtéPoneys&amp;$FN79,Règles_poneys[Ration]&amp;Règles_poneys[Aliment],0))="s2",IF($FN79=Spécificité2Poneys,1)),
INDEX(Règles_poneys[Specificite],MATCH(RationEtéPoneys&amp;$FN79,Règles_poneys[Ration]&amp;Règles_poneys[Aliment],0))="c"),
INDEX(Règles_poneys[Valeur 36 et plus],MATCH(RationEtéPoneys&amp;$FN79,Règles_poneys[Ration]&amp;Règles_poneys[Aliment],0)),0),0)*TotalPoulainPoney_0_12_mois*SUM(NbreJoursNourrirPoneys))</f>
        <v>0</v>
      </c>
      <c r="FS79" s="1285">
        <f t="shared" si="14"/>
        <v>0</v>
      </c>
      <c r="FT79" s="1345"/>
      <c r="FU79" s="1345"/>
      <c r="FV79" s="1345"/>
      <c r="FW79" s="823"/>
      <c r="FX79" s="828">
        <f t="array" ref="FX7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79" s="828">
        <f t="array" ref="FY7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79" s="828">
        <f t="array" ref="FZ7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79" s="828">
        <f t="array" ref="GA79">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79" s="829">
        <f>SUM(AlimentsGavageOies[[#This Row],[Valeur 3 et plus]:[Valeur 0-1]])</f>
        <v>0</v>
      </c>
      <c r="GC79" s="1364"/>
      <c r="GD79" s="1321"/>
      <c r="GE79" s="1321"/>
      <c r="GF79" s="1321"/>
      <c r="GG79" s="1321" t="s">
        <v>1349</v>
      </c>
      <c r="GH79" s="1321" t="s">
        <v>1349</v>
      </c>
      <c r="GI79" s="1321" t="s">
        <v>1349</v>
      </c>
      <c r="GJ79" s="1321" t="s">
        <v>1349</v>
      </c>
      <c r="GK79" s="1321" t="s">
        <v>1349</v>
      </c>
      <c r="GL79" s="1321" t="s">
        <v>1349</v>
      </c>
      <c r="GM79" s="1321" t="s">
        <v>1349</v>
      </c>
      <c r="GN79" s="1321" t="s">
        <v>1349</v>
      </c>
      <c r="GO79" s="1321" t="s">
        <v>1349</v>
      </c>
      <c r="GP79" s="1321" t="s">
        <v>1349</v>
      </c>
      <c r="GQ79" s="1321" t="s">
        <v>1349</v>
      </c>
      <c r="GR79" s="1321" t="s">
        <v>1349</v>
      </c>
      <c r="GS79" s="1321" t="s">
        <v>1349</v>
      </c>
      <c r="GT79" s="1321" t="s">
        <v>1349</v>
      </c>
      <c r="GU79" s="1321" t="s">
        <v>1349</v>
      </c>
      <c r="GV79" s="1321" t="s">
        <v>1349</v>
      </c>
      <c r="GW79" s="1321"/>
      <c r="GX79" s="1321"/>
      <c r="GY79" s="1082" t="str">
        <f t="shared" si="11"/>
        <v>semences de triticale (GP)</v>
      </c>
      <c r="GZ79" s="1082"/>
      <c r="HA79" s="1085"/>
      <c r="HB79" s="1085">
        <f>IF(COUNTIF(TypeArticleDansEntrepôt,GY79)=0,0,SUMIF(TypeArticleDansEntrepôt,GY79,QtéArticleDansEntrepôt)*VLOOKUP(GY79,place_necessaire_entrepots_aire_paille[],2,FALSE))</f>
        <v>0</v>
      </c>
      <c r="HC79" s="1321"/>
      <c r="HD79" s="1321"/>
      <c r="HE79" s="1321"/>
      <c r="HF79" s="1321"/>
      <c r="HG79" s="1321"/>
      <c r="HH79" s="1321"/>
      <c r="HI79" s="1321"/>
      <c r="HJ79" s="1321"/>
      <c r="HK79" s="1321"/>
      <c r="HL79" s="1321"/>
      <c r="HM79" s="1321"/>
      <c r="HN79" s="1085" t="str">
        <f>IF(parcelles!B127="","",(VLOOKUP(parcelles!C127,BDD!$HN$5:$HU$38,2,FALSE))*parcelles!E127)</f>
        <v/>
      </c>
      <c r="HO79" s="1085" t="str">
        <f>IF(parcelles!B127="","",IF(OR(parcelles!C127=Moutarde,parcelles!C127=Phacélie),0,IF(parcelles!C127=Luzerne,10*parcelles!E127*VLOOKUP(parcelles!C127,BDD!$HN$5:$HU$38,3,FALSE),IF(parcelles!C127=Miscanthus,10.5*parcelles!E127*VLOOKUP(parcelles!C127,BDD!$HN$5:$HU$38,3,FALSE),INDEX(parcelles!$C$56:'parcelles'!$Y$77,MATCH(parcelles!B127,parcelles!$B$56:'parcelles'!$B$77,0),MATCH(parcelles!C127,parcelles!$C$53:'parcelles'!$Y$53,0))*parcelles!E127*VLOOKUP(parcelles!C127,BDD!$HN$5:$HU$38,3,FALSE)))))</f>
        <v/>
      </c>
      <c r="HP79" s="1085" t="str">
        <f>IF(parcelles!B127="","",IF(OR(parcelles!C127=Moutarde,parcelles!C127=Phacélie),0,IF(parcelles!C127=Luzerne,10*parcelles!E127*VLOOKUP(parcelles!C127,BDD!$HN$5:$HU$38,4,FALSE),IF(parcelles!C127=Miscanthus,10.5*parcelles!E127*VLOOKUP(parcelles!C127,BDD!$HN$5:$HU$38,4,FALSE),INDEX(parcelles!$C$56:'parcelles'!$Y$77,MATCH(parcelles!B127,parcelles!$B$56:'parcelles'!$B$77,0),MATCH(parcelles!C127,parcelles!$C$53:'parcelles'!$Y$53,0))*parcelles!E127*VLOOKUP(parcelles!C127,BDD!$HN$5:$HU$38,4,FALSE)))))</f>
        <v/>
      </c>
      <c r="HQ79" s="1085" t="str">
        <f>IF(parcelles!B127="","",IF(OR(parcelles!C127=Moutarde,parcelles!C127=Phacélie),0,IF(parcelles!C127=Luzerne,10*parcelles!E127*VLOOKUP(parcelles!C127,BDD!$HN$5:$HU$38,5,FALSE),IF(parcelles!C127=Miscanthus,10.5*parcelles!E127*VLOOKUP(parcelles!C127,BDD!$HN$5:$HU$38,5,FALSE),INDEX(parcelles!$C$56:'parcelles'!$Y$77,MATCH(parcelles!B127,parcelles!$B$56:'parcelles'!$B$77,0),MATCH(parcelles!C127,parcelles!$C$53:'parcelles'!$Y$53,0))*parcelles!E127*VLOOKUP(parcelles!C127,BDD!$HN$5:$HU$38,5,FALSE)))))</f>
        <v/>
      </c>
      <c r="HR79" s="1085" t="str">
        <f>IF(parcelles!B127="","",IF(OR(parcelles!C127=Moutarde,parcelles!C127=Phacélie),0,IF(parcelles!C127=Luzerne,10*parcelles!E127*VLOOKUP(parcelles!C127,BDD!$HN$5:$HU$38,6,FALSE),IF(parcelles!C127=Miscanthus,10.5*parcelles!E127*VLOOKUP(parcelles!C127,BDD!$HN$5:$HU$38,6,FALSE),INDEX(parcelles!$C$56:'parcelles'!$Y$77,MATCH(parcelles!B127,parcelles!$B$56:'parcelles'!$B$77,0),MATCH(parcelles!C127,parcelles!$C$53:'parcelles'!$Y$53,0))*parcelles!E127*VLOOKUP(parcelles!C127,BDD!$HN$5:$HU$38,6,FALSE)))))</f>
        <v/>
      </c>
      <c r="HS79" s="1085" t="str">
        <f>IF(parcelles!B127="","",IF(OR(parcelles!C127=Moutarde,parcelles!C127=Phacélie),0,IF(parcelles!C127=Luzerne,10*parcelles!E127*VLOOKUP(parcelles!C127,BDD!$HN$5:$HU$38,7,FALSE),IF(parcelles!C127=Miscanthus,10.5*parcelles!E127*VLOOKUP(parcelles!C127,BDD!$HN$5:$HU$38,7,FALSE),INDEX(parcelles!$C$56:'parcelles'!$Y$77,MATCH(parcelles!B127,parcelles!$B$56:'parcelles'!$B$77,0),MATCH(parcelles!C127,parcelles!$C$53:'parcelles'!$Y$53,0))*parcelles!E127*VLOOKUP(parcelles!C127,BDD!$HN$5:$HU$38,7,FALSE)))))</f>
        <v/>
      </c>
      <c r="HT79" s="1085" t="str">
        <f>IF(parcelles!B127="","",IF(OR(parcelles!C127=Moutarde,parcelles!C127=Phacélie),0,IF(parcelles!C127=Luzerne,10*parcelles!E127*VLOOKUP(parcelles!C127,BDD!$HN$5:$HU$38,8,FALSE),IF(parcelles!C127=Miscanthus,10.5*parcelles!E127*VLOOKUP(parcelles!C127,BDD!$HN$5:$HU$38,8,FALSE),INDEX(parcelles!$C$56:'parcelles'!$Y$77,MATCH(parcelles!B127,parcelles!$B$56:'parcelles'!$B$77,0),MATCH(parcelles!C127,parcelles!$C$53:'parcelles'!$Y$53,0))*parcelles!E127*VLOOKUP(parcelles!C127,BDD!$HN$5:$HU$38,8,FALSE)))))</f>
        <v/>
      </c>
      <c r="HU79" s="1085" t="str">
        <f>IF(parcelles!B127="","",IF(OR(parcelles!C127=Moutarde,parcelles!C127=Phacélie),0,1.6*parcelles!E127))</f>
        <v/>
      </c>
      <c r="HV79" s="1085" t="str">
        <f>IF(parcelles!B127="","",IF(OR(parcelles!C127=Moutarde,parcelles!C127=Phacélie),0,1.6*parcelles!E127))</f>
        <v/>
      </c>
      <c r="HW79" s="1085" t="str">
        <f>IF(parcelles!B127="","",IF(OR(parcelles!C127=Moutarde,parcelles!C127=Phacélie),0,1.6*parcelles!E127))</f>
        <v/>
      </c>
      <c r="HX79" s="1092" t="str">
        <f>IF(parcelles!D127="","",IF(parcelles!C127=ChanvreIndustriel,INDEX(parcelles!$C$56:$Y$77,MATCH(parcelles!B127,parcelles!$B$56:$B$77,0),MATCH(parcelles!C127,parcelles!$C$53:$Y$53,0))*parcelles!E127*SUMIF(ListeCulturesBDD,parcelles!C127,PrixVenteCulturesConventionnel)+RIGHT(BDD!$HM$7,3)*7*parcelles!E127,IF(parcelles!C127=Luzerne,parcelles!E127*10*VLOOKUP(parcelles!C127,TarifsCoopCultures,2,FALSE),IF(parcelles!C127=Miscanthus,parcelles!E127*10.5*VLOOKUP(Luzerne,TarifsCoopCultures,2,FALSE),INDEX(parcelles!$C$56:$Y$77,MATCH(parcelles!B127,parcelles!$B$56:$B$77,0),MATCH(parcelles!C127,parcelles!$C$53:$Y$53,0))*parcelles!E127*SUMIF(ListeCulturesBDD,parcelles!C127,PrixVenteCulturesConventionnel)))))</f>
        <v/>
      </c>
      <c r="HY79" s="1085" t="str">
        <f>IF(parcelles!D127="","",IF(parcelles!F127=0,"",IF(parcelles!C127=ChanvreIndustriel,"soit "&amp;parcelles!E127*0.8&amp;"t de grain et "&amp;parcelles!E127*7&amp;"t de paille",IF(parcelles!C127=Luzerne,"soit "&amp;10*parcelles!E127&amp;"t/an",IF(parcelles!C127=Miscanthus,"soit "&amp;10.5*parcelles!E127&amp;"t/an","soit "&amp;INDEX(parcelles!$C$56:$Y$77,MATCH(parcelles!B127,parcelles!$B$56:$B$77,0),MATCH(parcelles!C127,parcelles!$C$53:$Y$53,0))*parcelles!E127&amp;"t")))))</f>
        <v/>
      </c>
      <c r="HZ79" s="1085" t="str">
        <f>IF(parcelles!D127="","",IF(parcelles!F127=0,"",IF(parcelles!C127=ChanvreIndustriel,"soit "&amp;parcelles!E127*0.8*0.8&amp;"t de grain et "&amp;parcelles!E127*7*0.8&amp;"t de paille",IF(parcelles!C127=Luzerne,"soit "&amp;10*0.8*parcelles!E127&amp;"t/an",IF(parcelles!C127=Miscanthus,"soit "&amp;10.5*0.8*parcelles!E127&amp;"t/an","soit "&amp;INDEX(parcelles!$C$56:$Y$77,MATCH(parcelles!B127,parcelles!$B$56:$B$77,0),MATCH(parcelles!C127,parcelles!$C$53:$Y$53,0))*0.8*parcelles!E127&amp;"t")))))</f>
        <v/>
      </c>
      <c r="IA79" s="1085" t="str">
        <f>IF(parcelles!L127="","",(VLOOKUP(parcelles!M127,BDD!$HN$5:$HU$38,2,FALSE))*parcelles!O127)</f>
        <v/>
      </c>
      <c r="IB79" s="1085" t="str">
        <f>IF(parcelles!L127="","",IF(OR(parcelles!M127=Moutarde,parcelles!M127=Phacélie),0,IF(parcelles!M127=Luzerne,10*parcelles!O127*VLOOKUP(parcelles!M127,BDD!$HN$5:$HU$38,3,FALSE),IF(parcelles!M127=Miscanthus,10.5*parcelles!O127*VLOOKUP(parcelles!M127,BDD!$HN$5:$HU$38,3,FALSE),INDEX(parcelles!$C$56:'parcelles'!$Y$77,MATCH(parcelles!L127,parcelles!$B$56:'parcelles'!$B$77,0),MATCH(parcelles!M127,parcelles!$C$53:'parcelles'!$Y$53,0))*parcelles!O127*VLOOKUP(parcelles!M127,BDD!$HN$5:$HU$38,3,FALSE)))))</f>
        <v/>
      </c>
      <c r="IC79" s="1085" t="str">
        <f>IF(parcelles!L127="","",IF(OR(parcelles!M127=Moutarde,parcelles!M127=Phacélie),0,IF(parcelles!M127=Luzerne,10*parcelles!O127*VLOOKUP(parcelles!M127,BDD!$HN$5:$HU$38,4,FALSE),IF(parcelles!M127=Miscanthus,10.5*parcelles!O127*VLOOKUP(parcelles!M127,BDD!$HN$5:$HU$38,4,FALSE),INDEX(parcelles!$C$56:'parcelles'!$Y$77,MATCH(parcelles!L127,parcelles!$B$56:'parcelles'!$B$77,0),MATCH(parcelles!M127,parcelles!$C$53:'parcelles'!$Y$53,0))*parcelles!O127*VLOOKUP(parcelles!M127,BDD!$HN$5:$HU$38,4,FALSE)))))</f>
        <v/>
      </c>
      <c r="ID79" s="1085" t="str">
        <f>IF(parcelles!L127="","",IF(OR(parcelles!M127=Moutarde,parcelles!M127=Phacélie),0,IF(parcelles!M127=Luzerne,10*parcelles!O127*VLOOKUP(parcelles!M127,BDD!$HN$5:$HU$38,5,FALSE),IF(parcelles!M127=Miscanthus,10.5*parcelles!O127*VLOOKUP(parcelles!M127,BDD!$HN$5:$HU$38,5,FALSE),INDEX(parcelles!$C$56:'parcelles'!$Y$77,MATCH(parcelles!L127,parcelles!$B$56:'parcelles'!$B$77,0),MATCH(parcelles!M127,parcelles!$C$53:'parcelles'!$Y$53,0))*parcelles!O127*VLOOKUP(parcelles!M127,BDD!$HN$5:$HU$38,5,FALSE)))))</f>
        <v/>
      </c>
      <c r="IE79" s="1085" t="str">
        <f>IF(parcelles!L127="","",IF(OR(parcelles!M127=Moutarde,parcelles!M127=Phacélie),0,IF(parcelles!M127=Luzerne,10*parcelles!O127*VLOOKUP(parcelles!M127,BDD!$HN$5:$HU$38,6,FALSE),IF(parcelles!M127=Miscanthus,10.5*parcelles!O127*VLOOKUP(parcelles!M127,BDD!$HN$5:$HU$38,6,FALSE),INDEX(parcelles!$C$56:'parcelles'!$Y$77,MATCH(parcelles!L127,parcelles!$B$56:'parcelles'!$B$77,0),MATCH(parcelles!M127,parcelles!$C$53:'parcelles'!$Y$53,0))*parcelles!O127*VLOOKUP(parcelles!M127,BDD!$HN$5:$HU$38,6,FALSE)))))</f>
        <v/>
      </c>
      <c r="IF79" s="1085" t="str">
        <f>IF(parcelles!L127="","",IF(OR(parcelles!M127=Moutarde,parcelles!M127=Phacélie),0,IF(parcelles!M127=Luzerne,10*parcelles!O127*VLOOKUP(parcelles!M127,BDD!$HN$5:$HU$38,7,FALSE),IF(parcelles!M127=Miscanthus,10.5*parcelles!O127*VLOOKUP(parcelles!M127,BDD!$HN$5:$HU$38,7,FALSE),INDEX(parcelles!$C$56:'parcelles'!$Y$77,MATCH(parcelles!L127,parcelles!$B$56:'parcelles'!$B$77,0),MATCH(parcelles!M127,parcelles!$C$53:'parcelles'!$Y$53,0))*parcelles!O127*VLOOKUP(parcelles!M127,BDD!$HN$5:$HU$38,7,FALSE)))))</f>
        <v/>
      </c>
      <c r="IG79" s="1085" t="str">
        <f>IF(parcelles!L127="","",IF(OR(parcelles!M127=Moutarde,parcelles!M127=Phacélie),0,IF(parcelles!M127=Luzerne,10*parcelles!O127*VLOOKUP(parcelles!M127,BDD!$HN$5:$HU$38,8,FALSE),IF(parcelles!M127=Miscanthus,10.5*parcelles!O127*VLOOKUP(parcelles!M127,BDD!$HN$5:$HU$38,8,FALSE),INDEX(parcelles!$C$56:'parcelles'!$Y$77,MATCH(parcelles!L127,parcelles!$B$56:'parcelles'!$B$77,0),MATCH(parcelles!M127,parcelles!$C$53:'parcelles'!$Y$53,0))*parcelles!O127*VLOOKUP(parcelles!M127,BDD!$HN$5:$HU$38,8,FALSE)))))</f>
        <v/>
      </c>
      <c r="IH79" s="1085" t="str">
        <f>IF(parcelles!L127="","",IF(OR(parcelles!L127=Moutarde,parcelles!L127=Phacélie),0,1.6*parcelles!O127))</f>
        <v/>
      </c>
      <c r="II79" s="1085" t="str">
        <f>IF(parcelles!L127="","",IF(OR(parcelles!L127=Moutarde,parcelles!L127=Phacélie),0,1.6*parcelles!O127))</f>
        <v/>
      </c>
      <c r="IJ79" s="1085" t="str">
        <f>IF(parcelles!L127="","",IF(OR(parcelles!L127=Moutarde,parcelles!L127=Phacélie),0,1.6*parcelles!O127))</f>
        <v/>
      </c>
      <c r="IK79" s="1085" t="str">
        <f>IF(parcelles!P127="","",IF(parcelles!R127=0,"",IF(parcelles!O127=ChanvreIndustriel,"soit "&amp;parcelles!Q127*0.8&amp;"t de grain et "&amp;parcelles!Q127*7&amp;"t de paille",IF(parcelles!O127=Luzerne,"soit "&amp;10*parcelles!Q127&amp;"t/an",IF(parcelles!O127=Miscanthus,"soit "&amp;10.5*parcelles!Q127&amp;"t/an","soit "&amp;INDEX(parcelles!$C$56:$Y$77,MATCH(parcelles!N127,parcelles!$B$56:$B$77,0),MATCH(parcelles!O127,parcelles!$C$53:$Y$53,0))*parcelles!Q127&amp;"t")))))</f>
        <v/>
      </c>
      <c r="IL79" s="1085" t="str">
        <f>IF(parcelles!P127="","",IF(parcelles!R127=0,"",IF(parcelles!O127=ChanvreIndustriel,"soit "&amp;parcelles!Q127*0.8*0.8&amp;"t de grain et "&amp;parcelles!Q127*7*0.8&amp;"t de paille",IF(parcelles!O127=Luzerne,"soit "&amp;10*0.8*parcelles!Q127&amp;"t/an",IF(parcelles!O127=Miscanthus,"soit "&amp;10.5*0.8*parcelles!Q127&amp;"t/an","soit "&amp;INDEX(parcelles!$C$56:$Y$77,MATCH(parcelles!N127,parcelles!$B$56:$B$77,0),MATCH(parcelles!O127,parcelles!$C$53:$Y$53,0))*0.8*parcelles!Q127&amp;"t")))))</f>
        <v/>
      </c>
      <c r="IM79" s="1085" t="str">
        <f>IF(parcelles!S127="","",IF(parcelles!U127=0,"",IF(parcelles!R127=ChanvreIndustriel,parcelles!T127*0.8*0.8+parcelles!T127*7*0.8,IF(parcelles!R127=Luzerne,10*0.8*parcelles!T127,IF(parcelles!R127=Miscanthus,10.5*0.8*parcelles!T127,INDEX(parcelles!$C$56:$Y$77,MATCH(parcelles!Q127,parcelles!$B$56:$B$77,0),MATCH(parcelles!R127,parcelles!$C$53:$Y$53,0))*0.8*parcelles!T127)))))</f>
        <v/>
      </c>
      <c r="IN79" s="1368"/>
    </row>
    <row r="80" spans="1:248" ht="12.75" customHeight="1" x14ac:dyDescent="0.2">
      <c r="A80" s="1307" t="s">
        <v>222</v>
      </c>
      <c r="B80" s="1241">
        <f t="shared" si="17"/>
        <v>1E-3</v>
      </c>
      <c r="C80" s="1321"/>
      <c r="D80" s="1321"/>
      <c r="E80" s="1321"/>
      <c r="F80" s="1143" t="s">
        <v>1157</v>
      </c>
      <c r="G80" s="1143" t="s">
        <v>1161</v>
      </c>
      <c r="H80" s="1244" t="s">
        <v>1166</v>
      </c>
      <c r="I80" s="1143" t="s">
        <v>1162</v>
      </c>
      <c r="J80" s="1244" t="s">
        <v>1166</v>
      </c>
      <c r="K80" s="1244" t="s">
        <v>1167</v>
      </c>
      <c r="L80" s="1244" t="s">
        <v>1167</v>
      </c>
      <c r="M80" s="1321"/>
      <c r="N80" s="1321"/>
      <c r="O80" s="1321"/>
      <c r="P80" s="1321"/>
      <c r="Q80" s="1321"/>
      <c r="R80" s="1321"/>
      <c r="S80" s="1321"/>
      <c r="T80" s="1321"/>
      <c r="U80" s="1321"/>
      <c r="V80" s="1321"/>
      <c r="W80" s="1321"/>
      <c r="X80" s="1321"/>
      <c r="Y80" s="1081" t="s">
        <v>1671</v>
      </c>
      <c r="Z80" s="1081">
        <f>IF('coût alimentation'!$B$6=$Y$80,5,0)</f>
        <v>0</v>
      </c>
      <c r="AA80" s="1081">
        <f>IF('coût alimentation'!$B$6=$Y$80,5,0)</f>
        <v>0</v>
      </c>
      <c r="AB80" s="1081">
        <f>IF('coût alimentation'!$B$6=$Y$80,5,0)</f>
        <v>0</v>
      </c>
      <c r="AC80" s="1081">
        <f>IF('coût alimentation'!$B$6=$Y$80,5,0)</f>
        <v>0</v>
      </c>
      <c r="AD80" s="1081">
        <f>IF('coût alimentation'!$B$6=$Y$80,5,0)</f>
        <v>0</v>
      </c>
      <c r="AE80" s="1081">
        <f>IF('coût alimentation'!$B$6=$Y$80,5,0)</f>
        <v>0</v>
      </c>
      <c r="AF80" s="1081">
        <f>IF('coût alimentation'!$B$6=$Y$80,5,0)</f>
        <v>0</v>
      </c>
      <c r="AG80" s="1081">
        <f>IF('coût alimentation'!$B$6=$Y$80,5,0)</f>
        <v>0</v>
      </c>
      <c r="AH80" s="1321"/>
      <c r="AI80" s="1321"/>
      <c r="AJ80" s="1321"/>
      <c r="AK80" s="1321"/>
      <c r="AL80" s="1321"/>
      <c r="AM80" s="1321"/>
      <c r="AN80" s="1321"/>
      <c r="AO80" s="1321"/>
      <c r="AP80" s="1321"/>
      <c r="AQ80" s="1321"/>
      <c r="AR80" s="1321"/>
      <c r="AS80" s="1321"/>
      <c r="AT80" s="1321"/>
      <c r="AU80" s="1321"/>
      <c r="AV80" s="1321"/>
      <c r="AW80" s="1321"/>
      <c r="AX80" s="1321"/>
      <c r="AY80" s="1321"/>
      <c r="AZ80" s="1321"/>
      <c r="BA80" s="1321"/>
      <c r="BB80" s="1236" t="s">
        <v>726</v>
      </c>
      <c r="BC80" s="1190" t="s">
        <v>1271</v>
      </c>
      <c r="BD80" s="1190" t="s">
        <v>1252</v>
      </c>
      <c r="BE80" s="1237">
        <v>1</v>
      </c>
      <c r="BF80" s="1237">
        <v>0.8</v>
      </c>
      <c r="BG80" s="1237">
        <v>0.6</v>
      </c>
      <c r="BH80" s="1237">
        <v>0.4</v>
      </c>
      <c r="BI80" s="1237">
        <v>0.4</v>
      </c>
      <c r="BJ80" s="1237">
        <v>0.4</v>
      </c>
      <c r="BK80" s="1238">
        <v>0</v>
      </c>
      <c r="BL80" s="1348"/>
      <c r="BM80" s="1075" t="str">
        <f t="shared" si="23"/>
        <v>concentré jeunes bovins</v>
      </c>
      <c r="BN80" s="1075">
        <f t="array" ref="BN80">IF(Ration_hivernale_complète_bisons[somme]&gt;0,0,IFERROR(IF(OR(AND(INDEX(Règles_bison[Specificite],MATCH(ChoixRationBisons&amp;$BM80,Règles_bison[Ration]&amp;Règles_bison[Aliment],0))="s1",IF($BM80=ChoixSpécificité1Bisons,1)),
AND(INDEX(Règles_bison[Specificite],MATCH(ChoixRationBisons&amp;$BM80,Règles_bison[Ration]&amp;Règles_bison[Aliment],0))="s2",IF($BM80=ChoixSpécificité2Bisons,1)),INDEX(Règles_bison[Specificite],MATCH(ChoixRationBisons&amp;$BM80,Règles_bison[Ration]&amp;Règles_bison[Aliment],0))="c"),
INDEX(Règles_bison[Valeur 36 et plus],MATCH(ChoixRationBisons&amp;$BM80,Règles_bison[Ration]&amp;Règles_bison[Aliment],0)),0),0)*TotalBisonnes*SUM(NbreJoursNourrirBisonsDaims))</f>
        <v>0</v>
      </c>
      <c r="BO80" s="1075">
        <f t="array" ref="BO80">IF(Ration_hivernale_complète_bisons[somme]&gt;0,0,IFERROR(IF(OR(AND(INDEX(Règles_bison[Specificite],MATCH(ChoixRationBisons&amp;$BM80,Règles_bison[Ration]&amp;Règles_bison[Aliment],0))="s1",IF($BM80=ChoixSpécificité1Bisons,1)),
AND(INDEX(Règles_bison[Specificite],MATCH(ChoixRationBisons&amp;$BM80,Règles_bison[Ration]&amp;Règles_bison[Aliment],0))="s2",IF($BM80=ChoixSpécificité2Bisons,1)),INDEX(Règles_bison[Specificite],MATCH(ChoixRationBisons&amp;$BM80,Règles_bison[Ration]&amp;Règles_bison[Aliment],0))="c"),
INDEX(Règles_bison[Valeur 24-36],MATCH(ChoixRationBisons&amp;$BM80,Règles_bison[Ration]&amp;Règles_bison[Aliment],0)),0),0)*TotalBisonsFemelles_24_36_mois*SUM(NbreJoursNourrirBisonsDaims))</f>
        <v>0</v>
      </c>
      <c r="BP80" s="1075">
        <f t="array" ref="BP80">IF(Ration_hivernale_complète_bisons[somme]&gt;0,0,IFERROR(IF(OR(AND(INDEX(Règles_bison[Specificite],MATCH(ChoixRationBisons&amp;$BM80,Règles_bison[Ration]&amp;Règles_bison[Aliment],0))="s1",IF($BM80=ChoixSpécificité1Bisons,1)),
AND(INDEX(Règles_bison[Specificite],MATCH(ChoixRationBisons&amp;$BM80,Règles_bison[Ration]&amp;Règles_bison[Aliment],0))="s2",IF($BM80=ChoixSpécificité2Bisons,1)),INDEX(Règles_bison[Specificite],MATCH(ChoixRationBisons&amp;$BM80,Règles_bison[Ration]&amp;Règles_bison[Aliment],0))="c"),
INDEX(Règles_bison[Valeur 18-24],MATCH(ChoixRationBisons&amp;$BM80,Règles_bison[Ration]&amp;Règles_bison[Aliment],0)),0),0)*TotalBisonsFemelles_18_24_mois*SUM(NbreJoursNourrirBisonsDaims))</f>
        <v>0</v>
      </c>
      <c r="BQ80" s="1075">
        <f t="array" ref="BQ80">IF(Ration_hivernale_complète_bisons[somme]&gt;0,0,IFERROR(IF(OR(AND(INDEX(Règles_bison[Specificite],MATCH(ChoixRationBisons&amp;$BM80,Règles_bison[Ration]&amp;Règles_bison[Aliment],0))="s1",IF($BM80=ChoixSpécificité1Bisons,1)),
AND(INDEX(Règles_bison[Specificite],MATCH(ChoixRationBisons&amp;$BM80,Règles_bison[Ration]&amp;Règles_bison[Aliment],0))="s2",IF($BM80=ChoixSpécificité2Bisons,1)),INDEX(Règles_bison[Specificite],MATCH(ChoixRationBisons&amp;$BM80,Règles_bison[Ration]&amp;Règles_bison[Aliment],0))="c"),
INDEX(Règles_bison[Valeur 12-18],MATCH(ChoixRationBisons&amp;$BM80,Règles_bison[Ration]&amp;Règles_bison[Aliment],0)),0),0)*TotalBisonsFemelles_12_18_mois*SUM(NbreJoursNourrirBisonsDaims))</f>
        <v>0</v>
      </c>
      <c r="BR80" s="1075">
        <f t="array" ref="BR80">IF(Ration_hivernale_complète_bisons[somme]&gt;0,0,IFERROR(IF(OR(AND(INDEX(Règles_bison[Specificite],MATCH(ChoixRationBisons&amp;$BM80,Règles_bison[Ration]&amp;Règles_bison[Aliment],0))="s1",IF($BM80=ChoixSpécificité1Bisons,1)),
AND(INDEX(Règles_bison[Specificite],MATCH(ChoixRationBisons&amp;$BM80,Règles_bison[Ration]&amp;Règles_bison[Aliment],0))="s2",IF($BM80=ChoixSpécificité2Bisons,1)),INDEX(Règles_bison[Specificite],MATCH(ChoixRationBisons&amp;$BM80,Règles_bison[Ration]&amp;Règles_bison[Aliment],0))="c"),
INDEX(Règles_bison[Valeur 6-12],MATCH(ChoixRationBisons&amp;$BM80,Règles_bison[Ration]&amp;Règles_bison[Aliment],0)),0),0)*TotalBisonsFemelles_6_12_mois*SUM(NbreJoursNourrirBisonsDaims))</f>
        <v>0</v>
      </c>
      <c r="BS80" s="1075">
        <f t="array" ref="BS80">IF(Ration_hivernale_complète_bisons[somme]&gt;0,0,IFERROR(IF(OR(AND(INDEX(Règles_bison[Specificite],MATCH(ChoixRationBisons&amp;$BM80,Règles_bison[Ration]&amp;Règles_bison[Aliment],0))="s1",IF($BM80=ChoixSpécificité1Bisons,1)),
AND(INDEX(Règles_bison[Specificite],MATCH(ChoixRationBisons&amp;$BM80,Règles_bison[Ration]&amp;Règles_bison[Aliment],0))="s2",IF($BM80=ChoixSpécificité2Bisons,1)),INDEX(Règles_bison[Specificite],MATCH(ChoixRationBisons&amp;$BM80,Règles_bison[Ration]&amp;Règles_bison[Aliment],0))="c"),
INDEX(Règles_bison[Valeur 3-6],MATCH(ChoixRationBisons&amp;$BM80,Règles_bison[Ration]&amp;Règles_bison[Aliment],0)),0),0)*TotalBisonsFemelles_3_6_mois*SUM(NbreJoursNourrirBisonsDaims))</f>
        <v>0</v>
      </c>
      <c r="BT80" s="1075">
        <f t="array" ref="BT80">IF(Ration_hivernale_complète_bisons[somme]&gt;0,0,IFERROR(IF(OR(AND(INDEX(Règles_bison[Specificite],MATCH(ChoixRationBisons&amp;$BM80,Règles_bison[Ration]&amp;Règles_bison[Aliment],0))="s1",IF($BM80=ChoixSpécificité1Bisons,1)),
AND(INDEX(Règles_bison[Specificite],MATCH(ChoixRationBisons&amp;$BM80,Règles_bison[Ration]&amp;Règles_bison[Aliment],0))="s2",IF($BM80=ChoixSpécificité2Bisons,1)),INDEX(Règles_bison[Specificite],MATCH(ChoixRationBisons&amp;$BM80,Règles_bison[Ration]&amp;Règles_bison[Aliment],0))="c"),
INDEX(Règles_bison[Valeur 0-3],MATCH(ChoixRationBisons&amp;$BM80,Règles_bison[Ration]&amp;Règles_bison[Aliment],0)),0),0)*TotalBisonsFemelles_0_3_mois*SUM(NbreJoursNourrirBisonsDaims))</f>
        <v>0</v>
      </c>
      <c r="BU80" s="1075">
        <f t="shared" si="22"/>
        <v>0</v>
      </c>
      <c r="BV80" s="1346"/>
      <c r="BW80" s="1345"/>
      <c r="BX80" s="1176" t="s">
        <v>729</v>
      </c>
      <c r="BY80" s="1177" t="s">
        <v>733</v>
      </c>
      <c r="BZ80" s="1177" t="s">
        <v>1252</v>
      </c>
      <c r="CA80" s="1177">
        <v>20</v>
      </c>
      <c r="CB80" s="1177">
        <v>12</v>
      </c>
      <c r="CC80" s="1177">
        <v>8</v>
      </c>
      <c r="CD80" s="1199">
        <v>4</v>
      </c>
      <c r="CE80" s="1350"/>
      <c r="CF80" s="1350"/>
      <c r="CG80" s="1350"/>
      <c r="CH80" s="1350"/>
      <c r="CI80" s="1321"/>
      <c r="CJ80" s="808" t="s">
        <v>1273</v>
      </c>
      <c r="CK80" s="788">
        <f t="array" ref="CK8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80" s="788">
        <f t="array" ref="CL8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80" s="788">
        <f t="array" ref="CM8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80" s="788">
        <f t="array" ref="CN8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80" s="788">
        <f t="array" ref="CO80">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80" s="812">
        <f>SUM(AlimentsRationPorcinsMâles[[#This Row],[Valeur 12 et plus]:[Valeur 0-1]])</f>
        <v>0</v>
      </c>
      <c r="CQ80" s="1321"/>
      <c r="CR80" s="1321"/>
      <c r="CS80" s="808" t="s">
        <v>65</v>
      </c>
      <c r="CT80" s="817">
        <f t="array" ref="CT8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80" s="817">
        <f t="array" ref="CU8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80" s="817">
        <f t="array" ref="CV8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80" s="818">
        <f>SUM(AlimentsRationLapinsMâles[[#This Row],[Valeur 3 et plus]:[Valeur 0-1]])</f>
        <v>0</v>
      </c>
      <c r="CX80" s="1321"/>
      <c r="CY80" s="1321"/>
      <c r="CZ80" s="808" t="s">
        <v>65</v>
      </c>
      <c r="DA80" s="817">
        <f t="array" ref="DA8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80" s="817">
        <f t="array" ref="DB8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80" s="817">
        <f t="array" ref="DC8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80" s="818">
        <f>SUM(AlimentsRationVolaillesMâles[[#This Row],[Valeur 6 et plus]:[Valeur 0-1]])</f>
        <v>0</v>
      </c>
      <c r="DE80" s="1364"/>
      <c r="DF80" s="1321"/>
      <c r="DG80" s="808" t="s">
        <v>76</v>
      </c>
      <c r="DH80" s="817">
        <f t="array" ref="DH8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80" s="817">
        <f t="array" ref="DI8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80" s="817">
        <f t="array" ref="DJ80">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80" s="818">
        <f>SUM(AlimentsRationPintadesMâles[[#This Row],[Valeur 9 et plus]:[Valeur 0-1]])</f>
        <v>0</v>
      </c>
      <c r="DL80" s="1364"/>
      <c r="DM80" s="1364"/>
      <c r="DN80" s="1176" t="s">
        <v>836</v>
      </c>
      <c r="DO80" s="1177" t="s">
        <v>285</v>
      </c>
      <c r="DP80" s="1177" t="s">
        <v>1253</v>
      </c>
      <c r="DQ80" s="1181">
        <v>1.6</v>
      </c>
      <c r="DR80" s="1181">
        <v>1.4</v>
      </c>
      <c r="DS80" s="1181">
        <v>1.2</v>
      </c>
      <c r="DT80" s="1243">
        <v>1</v>
      </c>
      <c r="DU80" s="1345"/>
      <c r="DV80" s="1076" t="str">
        <f t="shared" si="24"/>
        <v>Blé</v>
      </c>
      <c r="DW80" s="1267">
        <f t="array" ref="DW80">SUM((IF(QualitéAlimentsFaonMâle_0_3_mois=BONNE,VLOOKUP("Blé",AlimentsRationHivernaleDaims,8,FALSE),0)+(IF(QualitéAlimentsFaonFemelle_0_3_mois=BONNE,VLOOKUP("Blé",AlimentsRationHivernaleDaims,8,FALSE),0)+(IF(QualitéAlimentsFaonMâle_3_6_mois=BONNE,VLOOKUP("Blé",AlimentsRationHivernaleDaims,7,FALSE),0)+(IF(QualitéAlimentsFaonFemelle_3_6_mois=BONNE,VLOOKUP("Blé",AlimentsRationHivernaleDaims,7,FALSE),0)+(IF(QualitéAlimentsFaonMâle_6_12_mois=BONNE,VLOOKUP("Blé",AlimentsRationHivernaleDaims,6,FALSE),0)+(IF(QualitéAlimentsFaonFemelle_6_12_mois=BONNE,VLOOKUP("Blé",AlimentsRationHivernaleDaims,6,FALSE),0)+(IF(QualitéAlimentsJeuneDaim_12_18_mois=BONNE,VLOOKUP("Blé",AlimentsRationHivernaleDaims,5,FALSE),0)+(IF(QualitéAlimentsJeuneDaine_12_18_mois=BONNE,VLOOKUP("Blé",AlimentsRationHivernaleDaims,5,FALSE),0)+(IF(QualitéAlimentsJeuneDaim_18_24_mois=BONNE,VLOOKUP("Blé",AlimentsRationHivernaleDaims,4,FALSE),0)+(IF(QualitéAlimentsJeuneDaine_18_24_mois=BONNE,VLOOKUP("Blé",AlimentsRationHivernaleDaims,4,FALSE),0)+(IF(QualitéAlimentsJeuneDaim_24_36_mois=BONNE,VLOOKUP("Blé",AlimentsRationHivernaleDaims,3,FALSE),0)+(IF(QualitéAlimentsJeuneDaine_24_36_mois=BONNE,VLOOKUP("Blé",AlimentsRationHivernaleDaims,3,FALSE),0)+(IF(QualitéAlimentsDaim=BONNE,VLOOKUP("Blé",AlimentsRationHivernaleDaims,2,FALSE),0)+(IF(QualitéAlimentsDaine=BONNE,VLOOKUP("Blé",AlimentsRationHivernaleDaims,2,FALSE),0))))))))))))))))</f>
        <v>0</v>
      </c>
      <c r="DX80" s="1267">
        <f t="array" ref="DX80">SUM((IF(QualitéAlimentsFaonMâle_0_3_mois=MOYENNE,VLOOKUP("Blé",AlimentsRationHivernaleDaims,8,FALSE),0)+(IF(QualitéAlimentsFaonFemelle_0_3_mois=MOYENNE,VLOOKUP("Blé",AlimentsRationHivernaleDaims,8,FALSE),0)+(IF(QualitéAlimentsFaonMâle_3_6_mois=MOYENNE,VLOOKUP("Blé",AlimentsRationHivernaleDaims,7,FALSE),0)+(IF(QualitéAlimentsFaonFemelle_3_6_mois=MOYENNE,VLOOKUP("Blé",AlimentsRationHivernaleDaims,7,FALSE),0)+(IF(QualitéAlimentsFaonMâle_6_12_mois=MOYENNE,VLOOKUP("Blé",AlimentsRationHivernaleDaims,6,FALSE),0)+(IF(QualitéAlimentsFaonFemelle_6_12_mois=MOYENNE,VLOOKUP("Blé",AlimentsRationHivernaleDaims,6,FALSE),0)+(IF(QualitéAlimentsJeuneDaim_12_18_mois=MOYENNE,VLOOKUP("Blé",AlimentsRationHivernaleDaims,5,FALSE),0)+(IF(QualitéAlimentsJeuneDaine_12_18_mois=MOYENNE,VLOOKUP("Blé",AlimentsRationHivernaleDaims,5,FALSE),0)+(IF(QualitéAlimentsJeuneDaim_18_24_mois=MOYENNE,VLOOKUP("Blé",AlimentsRationHivernaleDaims,4,FALSE),0)+(IF(QualitéAlimentsJeuneDaine_18_24_mois=MOYENNE,VLOOKUP("Blé",AlimentsRationHivernaleDaims,4,FALSE),0)+(IF(QualitéAlimentsJeuneDaim_24_36_mois=MOYENNE,VLOOKUP("Blé",AlimentsRationHivernaleDaims,3,FALSE),0)+(IF(QualitéAlimentsJeuneDaine_24_36_mois=MOYENNE,VLOOKUP("Blé",AlimentsRationHivernaleDaims,3,FALSE),0)+(IF(QualitéAlimentsDaim=MOYENNE,VLOOKUP("Blé",AlimentsRationHivernaleDaims,2,FALSE),0)+(IF(QualitéAlimentsDaine=MOYENNE,VLOOKUP("Blé",AlimentsRationHivernaleDaims,2,FALSE),0))))))))))))))))</f>
        <v>0</v>
      </c>
      <c r="DY80" s="1267">
        <f t="array" ref="DY80">SUM((IF(QualitéAlimentsFaonMâle_0_3_mois=MAUVAISE,VLOOKUP("Blé",AlimentsRationHivernaleDaims,8,FALSE),0)+(IF(QualitéAlimentsFaonFemelle_0_3_mois=MAUVAISE,VLOOKUP("Blé",AlimentsRationHivernaleDaims,8,FALSE),0)+(IF(QualitéAlimentsFaonMâle_3_6_mois=MAUVAISE,VLOOKUP("Blé",AlimentsRationHivernaleDaims,7,FALSE),0)+(IF(QualitéAlimentsFaonFemelle_3_6_mois=MAUVAISE,VLOOKUP("Blé",AlimentsRationHivernaleDaims,7,FALSE),0)+(IF(QualitéAlimentsFaonMâle_6_12_mois=MAUVAISE,VLOOKUP("Blé",AlimentsRationHivernaleDaims,6,FALSE),0)+(IF(QualitéAlimentsFaonFemelle_6_12_mois=MAUVAISE,VLOOKUP("Blé",AlimentsRationHivernaleDaims,6,FALSE),0)+(IF(QualitéAlimentsJeuneDaim_12_18_mois=MAUVAISE,VLOOKUP("Blé",AlimentsRationHivernaleDaims,5,FALSE),0)+(IF(QualitéAlimentsJeuneDaine_12_18_mois=MAUVAISE,VLOOKUP("Blé",AlimentsRationHivernaleDaims,5,FALSE),0)+(IF(QualitéAlimentsJeuneDaim_18_24_mois=MAUVAISE,VLOOKUP("Blé",AlimentsRationHivernaleDaims,4,FALSE),0)+(IF(QualitéAlimentsJeuneDaine_18_24_mois=MAUVAISE,VLOOKUP("Blé",AlimentsRationHivernaleDaims,4,FALSE),0)+(IF(QualitéAlimentsJeuneDaim_24_36_mois=MAUVAISE,VLOOKUP("Blé",AlimentsRationHivernaleDaims,3,FALSE),0)+(IF(QualitéAlimentsJeuneDaine_24_36_mois=MAUVAISE,VLOOKUP("Blé",AlimentsRationHivernaleDaims,3,FALSE),0)+(IF(QualitéAlimentsDaim=MAUVAISE,VLOOKUP("Blé",AlimentsRationHivernaleDaims,2,FALSE),0)+(IF(QualitéAlimentsDaine=MAUVAISE,VLOOKUP("Blé",AlimentsRationHivernaleDaims,2,FALSE),0))))))))))))))))</f>
        <v>0</v>
      </c>
      <c r="DZ80" s="1345"/>
      <c r="EA80" s="1345"/>
      <c r="EB80" s="1345"/>
      <c r="EC80" s="1345"/>
      <c r="ED80" s="1345"/>
      <c r="EE80" s="1345"/>
      <c r="EF80" s="1321"/>
      <c r="EG80" s="808" t="s">
        <v>63</v>
      </c>
      <c r="EH80" s="817">
        <f t="array" ref="EH8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80" s="817">
        <f t="array" ref="EI8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80" s="817">
        <f t="array" ref="EJ8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80" s="818">
        <f>SUM(AlimentsRationOiesMâles[[#This Row],[Valeur 6 et plus]:[Valeur 0-3]])</f>
        <v>0</v>
      </c>
      <c r="EL80" s="1364"/>
      <c r="EM80" s="1321"/>
      <c r="EN80" s="808" t="s">
        <v>671</v>
      </c>
      <c r="EO80" s="817">
        <f t="array" ref="EO8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80" s="817">
        <f t="array" ref="EP8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80" s="817">
        <f t="array" ref="EQ8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80" s="818">
        <f>SUM(Ration_canards_Mâles[[#This Row],[Valeur 6 et plus]:[Valeur 0-3]])</f>
        <v>0</v>
      </c>
      <c r="ES80" s="1364"/>
      <c r="ET80" s="1321"/>
      <c r="EU80" s="1082" t="s">
        <v>672</v>
      </c>
      <c r="EV80" s="1282">
        <f t="array" ref="EV80">IF(OR(ChoixRationComplèteEtéChevauxSelle=OUI,ChoixRationComplèteEtéChevauxSelle="",AND(ChoixChevauxSellePréHiver=OUI,ChoixChevauxSellePréEté=OUI)),0,IFERROR(IF(OR(AND(INDEX(Règles_chevaux_selle[Specificite],MATCH(RationEtéChevauxSelle&amp;$EU80,Règles_chevaux_selle[Ration]&amp;Règles_chevaux_selle[Aliment],0))="s1",IF($EU80=Spécificité1ChevauxSelle,1)),
AND(INDEX(Règles_chevaux_selle[Specificite],MATCH(RationEtéChevauxSelle&amp;$EU80,Règles_chevaux_selle[Ration]&amp;Règles_chevaux_selle[Aliment],0))="s2",IF($EU80=Spécificité2ChevauxSelle,1)),
INDEX(Règles_chevaux_selle[Specificite],MATCH(RationEtéChevauxSelle&amp;$EU80,Règles_chevaux_selle[Ration]&amp;Règles_chevaux_selle[Aliment],0))="c"),
INDEX(Règles_chevaux_selle[Valeur 36 et plus],MATCH(RationEtéChevauxSelle&amp;$EU80,Règles_chevaux_selle[Ration]&amp;Règles_chevaux_selle[Aliment],0)),0),0)*TotalEtalonSelle*SUM(NbreJoursNourrirChevauxSelle))</f>
        <v>0</v>
      </c>
      <c r="EW80" s="1282">
        <f t="array" ref="EW80">IF(OR(ChoixRationComplèteEtéChevauxSelle=OUI,ChoixRationComplèteEtéChevauxSelle="",AND(ChoixChevauxSellePréHiver=OUI,ChoixChevauxSellePréEté=OUI)),0,IFERROR(IF(OR(AND(INDEX(Règles_chevaux_selle[Specificite],MATCH(RationEtéChevauxSelle&amp;$EU80,Règles_chevaux_selle[Ration]&amp;Règles_chevaux_selle[Aliment],0))="s1",IF($EU80=Spécificité1ChevauxSelle,1)),
AND(INDEX(Règles_chevaux_selle[Specificite],MATCH(RationEtéChevauxSelle&amp;$EU80,Règles_chevaux_selle[Ration]&amp;Règles_chevaux_selle[Aliment],0))="s2",IF($EU80=Spécificité2ChevauxSelle,1)),
INDEX(Règles_chevaux_selle[Specificite],MATCH(RationEtéChevauxSelle&amp;$EU80,Règles_chevaux_selle[Ration]&amp;Règles_chevaux_selle[Aliment],0))="c"),
INDEX(Règles_chevaux_selle[Valeur 24-36],MATCH(RationEtéChevauxSelle&amp;$EU80,Règles_chevaux_selle[Ration]&amp;Règles_chevaux_selle[Aliment],0)),0),0)*TotalJeuneEtalonSelle_24_36_mois*SUM(NbreJoursNourrirChevauxSelle))</f>
        <v>0</v>
      </c>
      <c r="EX80" s="1282">
        <f t="array" ref="EX80">IF(OR(ChoixRationComplèteEtéChevauxSelle=OUI,ChoixRationComplèteEtéChevauxSelle="",AND(ChoixChevauxSellePréHiver=OUI,ChoixChevauxSellePréEté=OUI)),0,IFERROR(IF(OR(AND(INDEX(Règles_chevaux_selle[Specificite],MATCH(RationEtéChevauxSelle&amp;$EU80,Règles_chevaux_selle[Ration]&amp;Règles_chevaux_selle[Aliment],0))="s1",IF($EU80=Spécificité1ChevauxSelle,1)),
AND(INDEX(Règles_chevaux_selle[Specificite],MATCH(RationEtéChevauxSelle&amp;$EU80,Règles_chevaux_selle[Ration]&amp;Règles_chevaux_selle[Aliment],0))="s2",IF($EU80=Spécificité2ChevauxSelle,1)),
INDEX(Règles_chevaux_selle[Specificite],MATCH(RationEtéChevauxSelle&amp;$EU80,Règles_chevaux_selle[Ration]&amp;Règles_chevaux_selle[Aliment],0))="c"),
INDEX(Règles_chevaux_selle[Valeur 12-24],MATCH(RationEtéChevauxSelle&amp;$EU80,Règles_chevaux_selle[Ration]&amp;Règles_chevaux_selle[Aliment],0)),0),0)*TotalJeuneEtalonSelle_12_24_mois*SUM(NbreJoursNourrirChevauxSelle))</f>
        <v>0</v>
      </c>
      <c r="EY80" s="1285">
        <f t="array" ref="EY80">IF(OR(ChoixRationComplèteEtéChevauxSelle=OUI,ChoixRationComplèteEtéChevauxSelle="",AND(ChoixChevauxSellePréHiver=OUI,ChoixChevauxSellePréEté=OUI)),0,IFERROR(IF(OR(AND(INDEX(Règles_chevaux_selle[Specificite],MATCH(RationEtéChevauxSelle&amp;$EU80,Règles_chevaux_selle[Ration]&amp;Règles_chevaux_selle[Aliment],0))="s1",IF($EU80=Spécificité1ChevauxSelle,1)),
AND(INDEX(Règles_chevaux_selle[Specificite],MATCH(RationEtéChevauxSelle&amp;$EU80,Règles_chevaux_selle[Ration]&amp;Règles_chevaux_selle[Aliment],0))="s2",IF($EU80=Spécificité2ChevauxSelle,1)),
INDEX(Règles_chevaux_selle[Specificite],MATCH(RationEtéChevauxSelle&amp;$EU80,Règles_chevaux_selle[Ration]&amp;Règles_chevaux_selle[Aliment],0))="c"),
INDEX(Règles_chevaux_selle[Valeur 0-12],MATCH(RationEtéChevauxSelle&amp;$EU80,Règles_chevaux_selle[Ration]&amp;Règles_chevaux_selle[Aliment],0)),0),0)*TotalPoulainSelle_0_12_mois*SUM(NbreJoursNourrirChevauxSelle))</f>
        <v>0</v>
      </c>
      <c r="EZ80" s="1285">
        <f t="shared" si="16"/>
        <v>0</v>
      </c>
      <c r="FA80" s="1345"/>
      <c r="FB80" s="1345"/>
      <c r="FC80" s="1321"/>
      <c r="FD80" s="1082" t="s">
        <v>500</v>
      </c>
      <c r="FE80" s="1282">
        <f t="array" ref="FE80">IF(OR(ChoixRationComplèteEtéChevauxTrait=OUI,ChoixRationComplèteEtéChevauxTrait="",AND(ChoixChevauxTraitPréHiver=OUI,ChoixChevauxTraitPréEté=OUI)),0,IFERROR(IF(OR(AND(INDEX(Règles_chevaux_trait[Specificite],MATCH(RationEtéChevauxTrait&amp;$FD80,Règles_chevaux_trait[Ration]&amp;Règles_chevaux_trait[Aliment],0))="s1",IF($FD80=Spécificité1ChevauxTrait,1)),
AND(INDEX(Règles_chevaux_trait[Specificite],MATCH(RationEtéChevauxTrait&amp;$FD80,Règles_chevaux_trait[Ration]&amp;Règles_chevaux_trait[Aliment],0))="s2",IF($FD80=Spécificité2ChevauxTrait,1)),
INDEX(Règles_chevaux_trait[Specificite],MATCH(RationEtéChevauxTrait&amp;$FD80,Règles_chevaux_trait[Ration]&amp;Règles_chevaux_trait[Aliment],0))="c"),
INDEX(Règles_chevaux_trait[Valeur 36 et plus],MATCH(RationEtéChevauxTrait&amp;$FD80,Règles_chevaux_trait[Ration]&amp;Règles_chevaux_trait[Aliment],0)),0),0)*TotalEtalonTrait*SUM(NbreJoursNourrirChevauxTrait))</f>
        <v>0</v>
      </c>
      <c r="FF80" s="1282">
        <f t="array" ref="FF80">IF(OR(ChoixRationComplèteEtéChevauxTrait=OUI,ChoixRationComplèteEtéChevauxTrait="",AND(ChoixChevauxTraitPréHiver=OUI,ChoixChevauxTraitPréEté=OUI)),0,IFERROR(IF(OR(AND(INDEX(Règles_chevaux_trait[Specificite],MATCH(RationEtéChevauxTrait&amp;$FD80,Règles_chevaux_trait[Ration]&amp;Règles_chevaux_trait[Aliment],0))="s1",IF($FD80=Spécificité1ChevauxTrait,1)),
AND(INDEX(Règles_chevaux_trait[Specificite],MATCH(RationEtéChevauxTrait&amp;$FD80,Règles_chevaux_trait[Ration]&amp;Règles_chevaux_trait[Aliment],0))="s2",IF($FD80=Spécificité2ChevauxTrait,1)),
INDEX(Règles_chevaux_trait[Specificite],MATCH(RationEtéChevauxTrait&amp;$FD80,Règles_chevaux_trait[Ration]&amp;Règles_chevaux_trait[Aliment],0))="c"),
INDEX(Règles_chevaux_trait[Valeur 24-36],MATCH(RationEtéChevauxTrait&amp;$FD80,Règles_chevaux_trait[Ration]&amp;Règles_chevaux_trait[Aliment],0)),0),0)*TotalJeuneEtalonTrait_24_36_mois*SUM(NbreJoursNourrirChevauxTrait))</f>
        <v>0</v>
      </c>
      <c r="FG80" s="1282">
        <f t="array" ref="FG80">IF(OR(ChoixRationComplèteEtéChevauxTrait=OUI,ChoixRationComplèteEtéChevauxTrait="",AND(ChoixChevauxTraitPréHiver=OUI,ChoixChevauxTraitPréEté=OUI)),0,IFERROR(IF(OR(AND(INDEX(Règles_chevaux_trait[Specificite],MATCH(RationEtéChevauxTrait&amp;$FD80,Règles_chevaux_trait[Ration]&amp;Règles_chevaux_trait[Aliment],0))="s1",IF($FD80=Spécificité1ChevauxTrait,1)),
AND(INDEX(Règles_chevaux_trait[Specificite],MATCH(RationEtéChevauxTrait&amp;$FD80,Règles_chevaux_trait[Ration]&amp;Règles_chevaux_trait[Aliment],0))="s2",IF($FD80=Spécificité2ChevauxTrait,1)),
INDEX(Règles_chevaux_trait[Specificite],MATCH(RationEtéChevauxTrait&amp;$FD80,Règles_chevaux_trait[Ration]&amp;Règles_chevaux_trait[Aliment],0))="c"),
INDEX(Règles_chevaux_trait[Valeur 12-24],MATCH(RationEtéChevauxTrait&amp;$FD80,Règles_chevaux_trait[Ration]&amp;Règles_chevaux_trait[Aliment],0)),0),0)*TotalJeuneEtalonTrait_12_24_mois*SUM(NbreJoursNourrirChevauxTrait))</f>
        <v>0</v>
      </c>
      <c r="FH80" s="1285">
        <f t="array" ref="FH80">IF(OR(ChoixRationComplèteEtéChevauxTrait=OUI,ChoixRationComplèteEtéChevauxTrait="",AND(ChoixChevauxTraitPréHiver=OUI,ChoixChevauxTraitPréEté=OUI)),0,IFERROR(IF(OR(AND(INDEX(Règles_chevaux_trait[Specificite],MATCH(RationEtéChevauxTrait&amp;$FD80,Règles_chevaux_trait[Ration]&amp;Règles_chevaux_trait[Aliment],0))="s1",IF($FD80=Spécificité1ChevauxTrait,1)),
AND(INDEX(Règles_chevaux_trait[Specificite],MATCH(RationEtéChevauxTrait&amp;$FD80,Règles_chevaux_trait[Ration]&amp;Règles_chevaux_trait[Aliment],0))="s2",IF($FD80=Spécificité2ChevauxTrait,1)),
INDEX(Règles_chevaux_trait[Specificite],MATCH(RationEtéChevauxTrait&amp;$FD80,Règles_chevaux_trait[Ration]&amp;Règles_chevaux_trait[Aliment],0))="c"),
INDEX(Règles_chevaux_trait[Valeur 0-12],MATCH(RationEtéChevauxTrait&amp;$FD80,Règles_chevaux_trait[Ration]&amp;Règles_chevaux_trait[Aliment],0)),0),0)*TotalPoulainTrait_0_12_mois*SUM(NbreJoursNourrirChevauxTrait))</f>
        <v>0</v>
      </c>
      <c r="FI80" s="1285">
        <f t="shared" si="15"/>
        <v>0</v>
      </c>
      <c r="FJ80" s="1345"/>
      <c r="FK80" s="1345"/>
      <c r="FL80" s="1345"/>
      <c r="FM80" s="1321"/>
      <c r="FN80" s="1083" t="s">
        <v>63</v>
      </c>
      <c r="FO80" s="1283">
        <f t="array" ref="FO80">IF(OR(ChoixRationComplèteEtéPoneys=OUI,ChoixRationComplèteEtéPoneys="",AND(ChoixPoneysPréHiver=OUI,ChoixPoneysPréEté=OUI)),0,IFERROR(IF(OR(AND(INDEX(Règles_poneys[Specificite],MATCH(RationEtéPoneys&amp;$FN80,Règles_poneys[Ration]&amp;Règles_poneys[Aliment],0))="s1",IF($FN80=Spécificité1Poneys,1)),
AND(INDEX(Règles_poneys[Specificite],MATCH(RationEtéPoneys&amp;$FN80,Règles_poneys[Ration]&amp;Règles_poneys[Aliment],0))="s2",IF($FN80=Spécificité2Poneys,1)),
INDEX(Règles_poneys[Specificite],MATCH(RationEtéPoneys&amp;$FN80,Règles_poneys[Ration]&amp;Règles_poneys[Aliment],0))="c"),
INDEX(Règles_poneys[Valeur 36 et plus],MATCH(RationEtéPoneys&amp;$FN80,Règles_poneys[Ration]&amp;Règles_poneys[Aliment],0)),0),0)*TotalEtalonPoney*SUM(NbreJoursNourrirPoneys))</f>
        <v>0</v>
      </c>
      <c r="FP80" s="1283">
        <f t="array" ref="FP80">IF(OR(ChoixRationComplèteEtéPoneys=OUI,ChoixRationComplèteEtéPoneys="",AND(ChoixPoneysPréHiver=OUI,ChoixPoneysPréEté=OUI)),0,IFERROR(IF(OR(AND(INDEX(Règles_poneys[Specificite],MATCH(RationEtéPoneys&amp;$FN80,Règles_poneys[Ration]&amp;Règles_poneys[Aliment],0))="s1",IF($FN80=Spécificité1Poneys,1)),
AND(INDEX(Règles_poneys[Specificite],MATCH(RationEtéPoneys&amp;$FN80,Règles_poneys[Ration]&amp;Règles_poneys[Aliment],0))="s2",IF($FN80=Spécificité2Poneys,1)),
INDEX(Règles_poneys[Specificite],MATCH(RationEtéPoneys&amp;$FN80,Règles_poneys[Ration]&amp;Règles_poneys[Aliment],0))="c"),
INDEX(Règles_poneys[Valeur 36 et plus],MATCH(RationEtéPoneys&amp;$FN80,Règles_poneys[Ration]&amp;Règles_poneys[Aliment],0)),0),0)*TotalJeuneEtalonPoney_24_36_mois*SUM(NbreJoursNourrirPoneys))</f>
        <v>0</v>
      </c>
      <c r="FQ80" s="1283">
        <f t="array" ref="FQ80">IF(OR(ChoixRationComplèteEtéPoneys=OUI,ChoixRationComplèteEtéPoneys="",AND(ChoixPoneysPréHiver=OUI,ChoixPoneysPréEté=OUI)),0,IFERROR(IF(OR(AND(INDEX(Règles_poneys[Specificite],MATCH(RationEtéPoneys&amp;$FN80,Règles_poneys[Ration]&amp;Règles_poneys[Aliment],0))="s1",IF($FN80=Spécificité1Poneys,1)),
AND(INDEX(Règles_poneys[Specificite],MATCH(RationEtéPoneys&amp;$FN80,Règles_poneys[Ration]&amp;Règles_poneys[Aliment],0))="s2",IF($FN80=Spécificité2Poneys,1)),
INDEX(Règles_poneys[Specificite],MATCH(RationEtéPoneys&amp;$FN80,Règles_poneys[Ration]&amp;Règles_poneys[Aliment],0))="c"),
INDEX(Règles_poneys[Valeur 36 et plus],MATCH(RationEtéPoneys&amp;$FN80,Règles_poneys[Ration]&amp;Règles_poneys[Aliment],0)),0),0)*TotalJeuneEtalonPoney_12_24_mois*SUM(NbreJoursNourrirPoneys))</f>
        <v>0</v>
      </c>
      <c r="FR80" s="1286">
        <f t="array" ref="FR80">IF(OR(ChoixRationComplèteEtéPoneys=OUI,ChoixRationComplèteEtéPoneys="",AND(ChoixPoneysPréHiver=OUI,ChoixPoneysPréEté=OUI)),0,IFERROR(IF(OR(AND(INDEX(Règles_poneys[Specificite],MATCH(RationEtéPoneys&amp;$FN80,Règles_poneys[Ration]&amp;Règles_poneys[Aliment],0))="s1",IF($FN80=Spécificité1Poneys,1)),
AND(INDEX(Règles_poneys[Specificite],MATCH(RationEtéPoneys&amp;$FN80,Règles_poneys[Ration]&amp;Règles_poneys[Aliment],0))="s2",IF($FN80=Spécificité2Poneys,1)),
INDEX(Règles_poneys[Specificite],MATCH(RationEtéPoneys&amp;$FN80,Règles_poneys[Ration]&amp;Règles_poneys[Aliment],0))="c"),
INDEX(Règles_poneys[Valeur 36 et plus],MATCH(RationEtéPoneys&amp;$FN80,Règles_poneys[Ration]&amp;Règles_poneys[Aliment],0)),0),0)*TotalPoulainPoney_0_12_mois*SUM(NbreJoursNourrirPoneys))</f>
        <v>0</v>
      </c>
      <c r="FS80" s="1286">
        <f t="shared" si="14"/>
        <v>0</v>
      </c>
      <c r="FT80" s="1345"/>
      <c r="FU80" s="1345"/>
      <c r="FV80" s="1345"/>
      <c r="FW80" s="823"/>
      <c r="FX80" s="828">
        <f t="array" ref="FX8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80" s="828">
        <f t="array" ref="FY8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80" s="828">
        <f t="array" ref="FZ8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80" s="828">
        <f t="array" ref="GA80">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80" s="829">
        <f>SUM(AlimentsGavageOies[[#This Row],[Valeur 3 et plus]:[Valeur 0-1]])</f>
        <v>0</v>
      </c>
      <c r="GC80" s="1364"/>
      <c r="GD80" s="1321"/>
      <c r="GE80" s="1321"/>
      <c r="GF80" s="1321"/>
      <c r="GG80" s="1321" t="s">
        <v>1349</v>
      </c>
      <c r="GH80" s="1321" t="s">
        <v>1349</v>
      </c>
      <c r="GI80" s="1321" t="s">
        <v>1349</v>
      </c>
      <c r="GJ80" s="1321" t="s">
        <v>1349</v>
      </c>
      <c r="GK80" s="1321" t="s">
        <v>1349</v>
      </c>
      <c r="GL80" s="1321" t="s">
        <v>1349</v>
      </c>
      <c r="GM80" s="1321" t="s">
        <v>1349</v>
      </c>
      <c r="GN80" s="1321" t="s">
        <v>1349</v>
      </c>
      <c r="GO80" s="1321" t="s">
        <v>1349</v>
      </c>
      <c r="GP80" s="1321" t="s">
        <v>1349</v>
      </c>
      <c r="GQ80" s="1321" t="s">
        <v>1349</v>
      </c>
      <c r="GR80" s="1321" t="s">
        <v>1349</v>
      </c>
      <c r="GS80" s="1321" t="s">
        <v>1349</v>
      </c>
      <c r="GT80" s="1321" t="s">
        <v>1349</v>
      </c>
      <c r="GU80" s="1321" t="s">
        <v>1349</v>
      </c>
      <c r="GV80" s="1321" t="s">
        <v>1349</v>
      </c>
      <c r="GW80" s="1321"/>
      <c r="GX80" s="1321"/>
      <c r="GY80" s="1083" t="str">
        <f t="shared" si="11"/>
        <v>semences de triticale (P)</v>
      </c>
      <c r="GZ80" s="1083"/>
      <c r="HA80" s="1084"/>
      <c r="HB80" s="1084">
        <f>IF(COUNTIF(TypeArticleDansEntrepôt,GY80)=0,0,SUMIF(TypeArticleDansEntrepôt,GY80,QtéArticleDansEntrepôt)*VLOOKUP(GY80,place_necessaire_entrepots_aire_paille[],2,FALSE))</f>
        <v>0</v>
      </c>
      <c r="HC80" s="1321"/>
      <c r="HD80" s="1321"/>
      <c r="HE80" s="1321"/>
      <c r="HF80" s="1321"/>
      <c r="HG80" s="1321"/>
      <c r="HH80" s="1321"/>
      <c r="HI80" s="1321"/>
      <c r="HJ80" s="1321"/>
      <c r="HK80" s="1321"/>
      <c r="HL80" s="1321"/>
      <c r="HM80" s="1321"/>
      <c r="HN80" s="1084" t="str">
        <f>IF(parcelles!B128="","",(VLOOKUP(parcelles!C128,BDD!$HN$5:$HU$38,2,FALSE))*parcelles!E128)</f>
        <v/>
      </c>
      <c r="HO80" s="1084" t="str">
        <f>IF(parcelles!B128="","",IF(OR(parcelles!C128=Moutarde,parcelles!C128=Phacélie),0,IF(parcelles!C128=Luzerne,10*parcelles!E128*VLOOKUP(parcelles!C128,BDD!$HN$5:$HU$38,3,FALSE),IF(parcelles!C128=Miscanthus,10.5*parcelles!E128*VLOOKUP(parcelles!C128,BDD!$HN$5:$HU$38,3,FALSE),INDEX(parcelles!$C$56:'parcelles'!$Y$77,MATCH(parcelles!B128,parcelles!$B$56:'parcelles'!$B$77,0),MATCH(parcelles!C128,parcelles!$C$53:'parcelles'!$Y$53,0))*parcelles!E128*VLOOKUP(parcelles!C128,BDD!$HN$5:$HU$38,3,FALSE)))))</f>
        <v/>
      </c>
      <c r="HP80" s="1084" t="str">
        <f>IF(parcelles!B128="","",IF(OR(parcelles!C128=Moutarde,parcelles!C128=Phacélie),0,IF(parcelles!C128=Luzerne,10*parcelles!E128*VLOOKUP(parcelles!C128,BDD!$HN$5:$HU$38,4,FALSE),IF(parcelles!C128=Miscanthus,10.5*parcelles!E128*VLOOKUP(parcelles!C128,BDD!$HN$5:$HU$38,4,FALSE),INDEX(parcelles!$C$56:'parcelles'!$Y$77,MATCH(parcelles!B128,parcelles!$B$56:'parcelles'!$B$77,0),MATCH(parcelles!C128,parcelles!$C$53:'parcelles'!$Y$53,0))*parcelles!E128*VLOOKUP(parcelles!C128,BDD!$HN$5:$HU$38,4,FALSE)))))</f>
        <v/>
      </c>
      <c r="HQ80" s="1084" t="str">
        <f>IF(parcelles!B128="","",IF(OR(parcelles!C128=Moutarde,parcelles!C128=Phacélie),0,IF(parcelles!C128=Luzerne,10*parcelles!E128*VLOOKUP(parcelles!C128,BDD!$HN$5:$HU$38,5,FALSE),IF(parcelles!C128=Miscanthus,10.5*parcelles!E128*VLOOKUP(parcelles!C128,BDD!$HN$5:$HU$38,5,FALSE),INDEX(parcelles!$C$56:'parcelles'!$Y$77,MATCH(parcelles!B128,parcelles!$B$56:'parcelles'!$B$77,0),MATCH(parcelles!C128,parcelles!$C$53:'parcelles'!$Y$53,0))*parcelles!E128*VLOOKUP(parcelles!C128,BDD!$HN$5:$HU$38,5,FALSE)))))</f>
        <v/>
      </c>
      <c r="HR80" s="1084" t="str">
        <f>IF(parcelles!B128="","",IF(OR(parcelles!C128=Moutarde,parcelles!C128=Phacélie),0,IF(parcelles!C128=Luzerne,10*parcelles!E128*VLOOKUP(parcelles!C128,BDD!$HN$5:$HU$38,6,FALSE),IF(parcelles!C128=Miscanthus,10.5*parcelles!E128*VLOOKUP(parcelles!C128,BDD!$HN$5:$HU$38,6,FALSE),INDEX(parcelles!$C$56:'parcelles'!$Y$77,MATCH(parcelles!B128,parcelles!$B$56:'parcelles'!$B$77,0),MATCH(parcelles!C128,parcelles!$C$53:'parcelles'!$Y$53,0))*parcelles!E128*VLOOKUP(parcelles!C128,BDD!$HN$5:$HU$38,6,FALSE)))))</f>
        <v/>
      </c>
      <c r="HS80" s="1084" t="str">
        <f>IF(parcelles!B128="","",IF(OR(parcelles!C128=Moutarde,parcelles!C128=Phacélie),0,IF(parcelles!C128=Luzerne,10*parcelles!E128*VLOOKUP(parcelles!C128,BDD!$HN$5:$HU$38,7,FALSE),IF(parcelles!C128=Miscanthus,10.5*parcelles!E128*VLOOKUP(parcelles!C128,BDD!$HN$5:$HU$38,7,FALSE),INDEX(parcelles!$C$56:'parcelles'!$Y$77,MATCH(parcelles!B128,parcelles!$B$56:'parcelles'!$B$77,0),MATCH(parcelles!C128,parcelles!$C$53:'parcelles'!$Y$53,0))*parcelles!E128*VLOOKUP(parcelles!C128,BDD!$HN$5:$HU$38,7,FALSE)))))</f>
        <v/>
      </c>
      <c r="HT80" s="1084" t="str">
        <f>IF(parcelles!B128="","",IF(OR(parcelles!C128=Moutarde,parcelles!C128=Phacélie),0,IF(parcelles!C128=Luzerne,10*parcelles!E128*VLOOKUP(parcelles!C128,BDD!$HN$5:$HU$38,8,FALSE),IF(parcelles!C128=Miscanthus,10.5*parcelles!E128*VLOOKUP(parcelles!C128,BDD!$HN$5:$HU$38,8,FALSE),INDEX(parcelles!$C$56:'parcelles'!$Y$77,MATCH(parcelles!B128,parcelles!$B$56:'parcelles'!$B$77,0),MATCH(parcelles!C128,parcelles!$C$53:'parcelles'!$Y$53,0))*parcelles!E128*VLOOKUP(parcelles!C128,BDD!$HN$5:$HU$38,8,FALSE)))))</f>
        <v/>
      </c>
      <c r="HU80" s="1084" t="str">
        <f>IF(parcelles!B128="","",IF(OR(parcelles!C128=Moutarde,parcelles!C128=Phacélie),0,1.6*parcelles!E128))</f>
        <v/>
      </c>
      <c r="HV80" s="1084" t="str">
        <f>IF(parcelles!B128="","",IF(OR(parcelles!C128=Moutarde,parcelles!C128=Phacélie),0,1.6*parcelles!E128))</f>
        <v/>
      </c>
      <c r="HW80" s="1084" t="str">
        <f>IF(parcelles!B128="","",IF(OR(parcelles!C128=Moutarde,parcelles!C128=Phacélie),0,1.6*parcelles!E128))</f>
        <v/>
      </c>
      <c r="HX80" s="1095" t="str">
        <f>IF(parcelles!D128="","",IF(parcelles!C128=ChanvreIndustriel,INDEX(parcelles!$C$56:$Y$77,MATCH(parcelles!B128,parcelles!$B$56:$B$77,0),MATCH(parcelles!C128,parcelles!$C$53:$Y$53,0))*parcelles!E128*SUMIF(ListeCulturesBDD,parcelles!C128,PrixVenteCulturesConventionnel)+RIGHT(BDD!$HM$7,3)*7*parcelles!E128,IF(parcelles!C128=Luzerne,parcelles!E128*10*VLOOKUP(parcelles!C128,TarifsCoopCultures,2,FALSE),IF(parcelles!C128=Miscanthus,parcelles!E128*10.5*VLOOKUP(Luzerne,TarifsCoopCultures,2,FALSE),INDEX(parcelles!$C$56:$Y$77,MATCH(parcelles!B128,parcelles!$B$56:$B$77,0),MATCH(parcelles!C128,parcelles!$C$53:$Y$53,0))*parcelles!E128*SUMIF(ListeCulturesBDD,parcelles!C128,PrixVenteCulturesConventionnel)))))</f>
        <v/>
      </c>
      <c r="HY80" s="1084" t="str">
        <f>IF(parcelles!D128="","",IF(parcelles!F128=0,"",IF(parcelles!C128=ChanvreIndustriel,"soit "&amp;parcelles!E128*0.8&amp;"t de grain et "&amp;parcelles!E128*7&amp;"t de paille",IF(parcelles!C128=Luzerne,"soit "&amp;10*parcelles!E128&amp;"t/an",IF(parcelles!C128=Miscanthus,"soit "&amp;10.5*parcelles!E128&amp;"t/an","soit "&amp;INDEX(parcelles!$C$56:$Y$77,MATCH(parcelles!B128,parcelles!$B$56:$B$77,0),MATCH(parcelles!C128,parcelles!$C$53:$Y$53,0))*parcelles!E128&amp;"t")))))</f>
        <v/>
      </c>
      <c r="HZ80" s="1084" t="str">
        <f>IF(parcelles!D128="","",IF(parcelles!F128=0,"",IF(parcelles!C128=ChanvreIndustriel,"soit "&amp;parcelles!E128*0.8*0.8&amp;"t de grain et "&amp;parcelles!E128*7*0.8&amp;"t de paille",IF(parcelles!C128=Luzerne,"soit "&amp;10*0.8*parcelles!E128&amp;"t/an",IF(parcelles!C128=Miscanthus,"soit "&amp;10.5*0.8*parcelles!E128&amp;"t/an","soit "&amp;INDEX(parcelles!$C$56:$Y$77,MATCH(parcelles!B128,parcelles!$B$56:$B$77,0),MATCH(parcelles!C128,parcelles!$C$53:$Y$53,0))*0.8*parcelles!E128&amp;"t")))))</f>
        <v/>
      </c>
      <c r="IA80" s="1084" t="str">
        <f>IF(parcelles!L128="","",(VLOOKUP(parcelles!M128,BDD!$HN$5:$HU$38,2,FALSE))*parcelles!O128)</f>
        <v/>
      </c>
      <c r="IB80" s="1084" t="str">
        <f>IF(parcelles!L128="","",IF(OR(parcelles!M128=Moutarde,parcelles!M128=Phacélie),0,IF(parcelles!M128=Luzerne,10*parcelles!O128*VLOOKUP(parcelles!M128,BDD!$HN$5:$HU$38,3,FALSE),IF(parcelles!M128=Miscanthus,10.5*parcelles!O128*VLOOKUP(parcelles!M128,BDD!$HN$5:$HU$38,3,FALSE),INDEX(parcelles!$C$56:'parcelles'!$Y$77,MATCH(parcelles!L128,parcelles!$B$56:'parcelles'!$B$77,0),MATCH(parcelles!M128,parcelles!$C$53:'parcelles'!$Y$53,0))*parcelles!O128*VLOOKUP(parcelles!M128,BDD!$HN$5:$HU$38,3,FALSE)))))</f>
        <v/>
      </c>
      <c r="IC80" s="1084" t="str">
        <f>IF(parcelles!L128="","",IF(OR(parcelles!M128=Moutarde,parcelles!M128=Phacélie),0,IF(parcelles!M128=Luzerne,10*parcelles!O128*VLOOKUP(parcelles!M128,BDD!$HN$5:$HU$38,4,FALSE),IF(parcelles!M128=Miscanthus,10.5*parcelles!O128*VLOOKUP(parcelles!M128,BDD!$HN$5:$HU$38,4,FALSE),INDEX(parcelles!$C$56:'parcelles'!$Y$77,MATCH(parcelles!L128,parcelles!$B$56:'parcelles'!$B$77,0),MATCH(parcelles!M128,parcelles!$C$53:'parcelles'!$Y$53,0))*parcelles!O128*VLOOKUP(parcelles!M128,BDD!$HN$5:$HU$38,4,FALSE)))))</f>
        <v/>
      </c>
      <c r="ID80" s="1084" t="str">
        <f>IF(parcelles!L128="","",IF(OR(parcelles!M128=Moutarde,parcelles!M128=Phacélie),0,IF(parcelles!M128=Luzerne,10*parcelles!O128*VLOOKUP(parcelles!M128,BDD!$HN$5:$HU$38,5,FALSE),IF(parcelles!M128=Miscanthus,10.5*parcelles!O128*VLOOKUP(parcelles!M128,BDD!$HN$5:$HU$38,5,FALSE),INDEX(parcelles!$C$56:'parcelles'!$Y$77,MATCH(parcelles!L128,parcelles!$B$56:'parcelles'!$B$77,0),MATCH(parcelles!M128,parcelles!$C$53:'parcelles'!$Y$53,0))*parcelles!O128*VLOOKUP(parcelles!M128,BDD!$HN$5:$HU$38,5,FALSE)))))</f>
        <v/>
      </c>
      <c r="IE80" s="1084" t="str">
        <f>IF(parcelles!L128="","",IF(OR(parcelles!M128=Moutarde,parcelles!M128=Phacélie),0,IF(parcelles!M128=Luzerne,10*parcelles!O128*VLOOKUP(parcelles!M128,BDD!$HN$5:$HU$38,6,FALSE),IF(parcelles!M128=Miscanthus,10.5*parcelles!O128*VLOOKUP(parcelles!M128,BDD!$HN$5:$HU$38,6,FALSE),INDEX(parcelles!$C$56:'parcelles'!$Y$77,MATCH(parcelles!L128,parcelles!$B$56:'parcelles'!$B$77,0),MATCH(parcelles!M128,parcelles!$C$53:'parcelles'!$Y$53,0))*parcelles!O128*VLOOKUP(parcelles!M128,BDD!$HN$5:$HU$38,6,FALSE)))))</f>
        <v/>
      </c>
      <c r="IF80" s="1084" t="str">
        <f>IF(parcelles!L128="","",IF(OR(parcelles!M128=Moutarde,parcelles!M128=Phacélie),0,IF(parcelles!M128=Luzerne,10*parcelles!O128*VLOOKUP(parcelles!M128,BDD!$HN$5:$HU$38,7,FALSE),IF(parcelles!M128=Miscanthus,10.5*parcelles!O128*VLOOKUP(parcelles!M128,BDD!$HN$5:$HU$38,7,FALSE),INDEX(parcelles!$C$56:'parcelles'!$Y$77,MATCH(parcelles!L128,parcelles!$B$56:'parcelles'!$B$77,0),MATCH(parcelles!M128,parcelles!$C$53:'parcelles'!$Y$53,0))*parcelles!O128*VLOOKUP(parcelles!M128,BDD!$HN$5:$HU$38,7,FALSE)))))</f>
        <v/>
      </c>
      <c r="IG80" s="1084" t="str">
        <f>IF(parcelles!L128="","",IF(OR(parcelles!M128=Moutarde,parcelles!M128=Phacélie),0,IF(parcelles!M128=Luzerne,10*parcelles!O128*VLOOKUP(parcelles!M128,BDD!$HN$5:$HU$38,8,FALSE),IF(parcelles!M128=Miscanthus,10.5*parcelles!O128*VLOOKUP(parcelles!M128,BDD!$HN$5:$HU$38,8,FALSE),INDEX(parcelles!$C$56:'parcelles'!$Y$77,MATCH(parcelles!L128,parcelles!$B$56:'parcelles'!$B$77,0),MATCH(parcelles!M128,parcelles!$C$53:'parcelles'!$Y$53,0))*parcelles!O128*VLOOKUP(parcelles!M128,BDD!$HN$5:$HU$38,8,FALSE)))))</f>
        <v/>
      </c>
      <c r="IH80" s="1084" t="str">
        <f>IF(parcelles!L128="","",IF(OR(parcelles!L128=Moutarde,parcelles!L128=Phacélie),0,1.6*parcelles!O128))</f>
        <v/>
      </c>
      <c r="II80" s="1084" t="str">
        <f>IF(parcelles!L128="","",IF(OR(parcelles!L128=Moutarde,parcelles!L128=Phacélie),0,1.6*parcelles!O128))</f>
        <v/>
      </c>
      <c r="IJ80" s="1084" t="str">
        <f>IF(parcelles!L128="","",IF(OR(parcelles!L128=Moutarde,parcelles!L128=Phacélie),0,1.6*parcelles!O128))</f>
        <v/>
      </c>
      <c r="IK80" s="1084" t="str">
        <f>IF(parcelles!P128="","",IF(parcelles!R128=0,"",IF(parcelles!O128=ChanvreIndustriel,"soit "&amp;parcelles!Q128*0.8&amp;"t de grain et "&amp;parcelles!Q128*7&amp;"t de paille",IF(parcelles!O128=Luzerne,"soit "&amp;10*parcelles!Q128&amp;"t/an",IF(parcelles!O128=Miscanthus,"soit "&amp;10.5*parcelles!Q128&amp;"t/an","soit "&amp;INDEX(parcelles!$C$56:$Y$77,MATCH(parcelles!N128,parcelles!$B$56:$B$77,0),MATCH(parcelles!O128,parcelles!$C$53:$Y$53,0))*parcelles!Q128&amp;"t")))))</f>
        <v/>
      </c>
      <c r="IL80" s="1084" t="str">
        <f>IF(parcelles!P128="","",IF(parcelles!R128=0,"",IF(parcelles!O128=ChanvreIndustriel,"soit "&amp;parcelles!Q128*0.8*0.8&amp;"t de grain et "&amp;parcelles!Q128*7*0.8&amp;"t de paille",IF(parcelles!O128=Luzerne,"soit "&amp;10*0.8*parcelles!Q128&amp;"t/an",IF(parcelles!O128=Miscanthus,"soit "&amp;10.5*0.8*parcelles!Q128&amp;"t/an","soit "&amp;INDEX(parcelles!$C$56:$Y$77,MATCH(parcelles!N128,parcelles!$B$56:$B$77,0),MATCH(parcelles!O128,parcelles!$C$53:$Y$53,0))*0.8*parcelles!Q128&amp;"t")))))</f>
        <v/>
      </c>
      <c r="IM80" s="1084" t="str">
        <f>IF(parcelles!S128="","",IF(parcelles!U128=0,"",IF(parcelles!R128=ChanvreIndustriel,parcelles!T128*0.8*0.8+parcelles!T128*7*0.8,IF(parcelles!R128=Luzerne,10*0.8*parcelles!T128,IF(parcelles!R128=Miscanthus,10.5*0.8*parcelles!T128,INDEX(parcelles!$C$56:$Y$77,MATCH(parcelles!Q128,parcelles!$B$56:$B$77,0),MATCH(parcelles!R128,parcelles!$C$53:$Y$53,0))*0.8*parcelles!T128)))))</f>
        <v/>
      </c>
      <c r="IN80" s="1368"/>
    </row>
    <row r="81" spans="1:248" ht="12.75" customHeight="1" x14ac:dyDescent="0.2">
      <c r="A81" s="1307" t="s">
        <v>225</v>
      </c>
      <c r="B81" s="1241">
        <f t="shared" si="17"/>
        <v>1E-3</v>
      </c>
      <c r="C81" s="1321"/>
      <c r="D81" s="1321"/>
      <c r="E81" s="1321"/>
      <c r="F81" s="1149" t="s">
        <v>1158</v>
      </c>
      <c r="G81" s="1149" t="s">
        <v>1161</v>
      </c>
      <c r="H81" s="1245" t="s">
        <v>1166</v>
      </c>
      <c r="I81" s="1149" t="s">
        <v>1162</v>
      </c>
      <c r="J81" s="1245" t="s">
        <v>1166</v>
      </c>
      <c r="K81" s="1245" t="s">
        <v>1167</v>
      </c>
      <c r="L81" s="1245" t="s">
        <v>1167</v>
      </c>
      <c r="M81" s="1321"/>
      <c r="N81" s="1321"/>
      <c r="O81" s="1321"/>
      <c r="P81" s="1321"/>
      <c r="Q81" s="1079" t="s">
        <v>1467</v>
      </c>
      <c r="R81" s="1321"/>
      <c r="S81" s="1321"/>
      <c r="T81" s="1321"/>
      <c r="U81" s="1321"/>
      <c r="V81" s="1321"/>
      <c r="W81" s="1321"/>
      <c r="X81" s="1321"/>
      <c r="Y81" s="1080" t="s">
        <v>1672</v>
      </c>
      <c r="Z81" s="1080">
        <f>IF('coût alimentation'!$B$6=$Y$81,6,0)</f>
        <v>0</v>
      </c>
      <c r="AA81" s="1080">
        <f>IF('coût alimentation'!$B$6=$Y$81,6,0)</f>
        <v>0</v>
      </c>
      <c r="AB81" s="1080">
        <f>IF('coût alimentation'!$B$6=$Y$81,6,0)</f>
        <v>0</v>
      </c>
      <c r="AC81" s="1080">
        <f>IF('coût alimentation'!$B$6=$Y$81,6,0)</f>
        <v>0</v>
      </c>
      <c r="AD81" s="1080">
        <f>IF('coût alimentation'!$B$6=$Y$81,6,0)</f>
        <v>0</v>
      </c>
      <c r="AE81" s="1080">
        <f>IF('coût alimentation'!$B$6=$Y$81,6,0)</f>
        <v>0</v>
      </c>
      <c r="AF81" s="1080">
        <f>IF('coût alimentation'!$B$6=$Y$81,6,0)</f>
        <v>0</v>
      </c>
      <c r="AG81" s="1080">
        <f>IF('coût alimentation'!$B$6=$Y$81,6,0)</f>
        <v>0</v>
      </c>
      <c r="AH81" s="1321"/>
      <c r="AI81" s="1321"/>
      <c r="AJ81" s="1321"/>
      <c r="AK81" s="1321"/>
      <c r="AL81" s="1321"/>
      <c r="AM81" s="1321"/>
      <c r="AN81" s="1321"/>
      <c r="AO81" s="1321"/>
      <c r="AP81" s="1321"/>
      <c r="AQ81" s="1321"/>
      <c r="AR81" s="1321"/>
      <c r="AS81" s="1321"/>
      <c r="AT81" s="1321"/>
      <c r="AU81" s="1321"/>
      <c r="AV81" s="1321"/>
      <c r="AW81" s="1321"/>
      <c r="AX81" s="1321"/>
      <c r="AY81" s="1321"/>
      <c r="AZ81" s="1321"/>
      <c r="BA81" s="1321"/>
      <c r="BB81" s="1236" t="s">
        <v>726</v>
      </c>
      <c r="BC81" s="1190" t="s">
        <v>1718</v>
      </c>
      <c r="BD81" s="1190" t="s">
        <v>1252</v>
      </c>
      <c r="BE81" s="1237">
        <v>0</v>
      </c>
      <c r="BF81" s="1237">
        <v>0</v>
      </c>
      <c r="BG81" s="1237">
        <v>0</v>
      </c>
      <c r="BH81" s="1237">
        <v>0</v>
      </c>
      <c r="BI81" s="1237">
        <v>0</v>
      </c>
      <c r="BJ81" s="1237">
        <v>0</v>
      </c>
      <c r="BK81" s="1238">
        <v>8</v>
      </c>
      <c r="BL81" s="1348"/>
      <c r="BM81" s="1076" t="str">
        <f t="shared" si="23"/>
        <v>concentré jeunes lapins</v>
      </c>
      <c r="BN81" s="1076">
        <f t="array" ref="BN81">IF(Ration_hivernale_complète_bisons[somme]&gt;0,0,IFERROR(IF(OR(AND(INDEX(Règles_bison[Specificite],MATCH(ChoixRationBisons&amp;$BM81,Règles_bison[Ration]&amp;Règles_bison[Aliment],0))="s1",IF($BM81=ChoixSpécificité1Bisons,1)),
AND(INDEX(Règles_bison[Specificite],MATCH(ChoixRationBisons&amp;$BM81,Règles_bison[Ration]&amp;Règles_bison[Aliment],0))="s2",IF($BM81=ChoixSpécificité2Bisons,1)),INDEX(Règles_bison[Specificite],MATCH(ChoixRationBisons&amp;$BM81,Règles_bison[Ration]&amp;Règles_bison[Aliment],0))="c"),
INDEX(Règles_bison[Valeur 36 et plus],MATCH(ChoixRationBisons&amp;$BM81,Règles_bison[Ration]&amp;Règles_bison[Aliment],0)),0),0)*TotalBisonnes*SUM(NbreJoursNourrirBisonsDaims))</f>
        <v>0</v>
      </c>
      <c r="BO81" s="1076">
        <f t="array" ref="BO81">IF(Ration_hivernale_complète_bisons[somme]&gt;0,0,IFERROR(IF(OR(AND(INDEX(Règles_bison[Specificite],MATCH(ChoixRationBisons&amp;$BM81,Règles_bison[Ration]&amp;Règles_bison[Aliment],0))="s1",IF($BM81=ChoixSpécificité1Bisons,1)),
AND(INDEX(Règles_bison[Specificite],MATCH(ChoixRationBisons&amp;$BM81,Règles_bison[Ration]&amp;Règles_bison[Aliment],0))="s2",IF($BM81=ChoixSpécificité2Bisons,1)),INDEX(Règles_bison[Specificite],MATCH(ChoixRationBisons&amp;$BM81,Règles_bison[Ration]&amp;Règles_bison[Aliment],0))="c"),
INDEX(Règles_bison[Valeur 24-36],MATCH(ChoixRationBisons&amp;$BM81,Règles_bison[Ration]&amp;Règles_bison[Aliment],0)),0),0)*TotalBisonsFemelles_24_36_mois*SUM(NbreJoursNourrirBisonsDaims))</f>
        <v>0</v>
      </c>
      <c r="BP81" s="1076">
        <f t="array" ref="BP81">IF(Ration_hivernale_complète_bisons[somme]&gt;0,0,IFERROR(IF(OR(AND(INDEX(Règles_bison[Specificite],MATCH(ChoixRationBisons&amp;$BM81,Règles_bison[Ration]&amp;Règles_bison[Aliment],0))="s1",IF($BM81=ChoixSpécificité1Bisons,1)),
AND(INDEX(Règles_bison[Specificite],MATCH(ChoixRationBisons&amp;$BM81,Règles_bison[Ration]&amp;Règles_bison[Aliment],0))="s2",IF($BM81=ChoixSpécificité2Bisons,1)),INDEX(Règles_bison[Specificite],MATCH(ChoixRationBisons&amp;$BM81,Règles_bison[Ration]&amp;Règles_bison[Aliment],0))="c"),
INDEX(Règles_bison[Valeur 18-24],MATCH(ChoixRationBisons&amp;$BM81,Règles_bison[Ration]&amp;Règles_bison[Aliment],0)),0),0)*TotalBisonsFemelles_18_24_mois*SUM(NbreJoursNourrirBisonsDaims))</f>
        <v>0</v>
      </c>
      <c r="BQ81" s="1076">
        <f t="array" ref="BQ81">IF(Ration_hivernale_complète_bisons[somme]&gt;0,0,IFERROR(IF(OR(AND(INDEX(Règles_bison[Specificite],MATCH(ChoixRationBisons&amp;$BM81,Règles_bison[Ration]&amp;Règles_bison[Aliment],0))="s1",IF($BM81=ChoixSpécificité1Bisons,1)),
AND(INDEX(Règles_bison[Specificite],MATCH(ChoixRationBisons&amp;$BM81,Règles_bison[Ration]&amp;Règles_bison[Aliment],0))="s2",IF($BM81=ChoixSpécificité2Bisons,1)),INDEX(Règles_bison[Specificite],MATCH(ChoixRationBisons&amp;$BM81,Règles_bison[Ration]&amp;Règles_bison[Aliment],0))="c"),
INDEX(Règles_bison[Valeur 12-18],MATCH(ChoixRationBisons&amp;$BM81,Règles_bison[Ration]&amp;Règles_bison[Aliment],0)),0),0)*TotalBisonsFemelles_12_18_mois*SUM(NbreJoursNourrirBisonsDaims))</f>
        <v>0</v>
      </c>
      <c r="BR81" s="1076">
        <f t="array" ref="BR81">IF(Ration_hivernale_complète_bisons[somme]&gt;0,0,IFERROR(IF(OR(AND(INDEX(Règles_bison[Specificite],MATCH(ChoixRationBisons&amp;$BM81,Règles_bison[Ration]&amp;Règles_bison[Aliment],0))="s1",IF($BM81=ChoixSpécificité1Bisons,1)),
AND(INDEX(Règles_bison[Specificite],MATCH(ChoixRationBisons&amp;$BM81,Règles_bison[Ration]&amp;Règles_bison[Aliment],0))="s2",IF($BM81=ChoixSpécificité2Bisons,1)),INDEX(Règles_bison[Specificite],MATCH(ChoixRationBisons&amp;$BM81,Règles_bison[Ration]&amp;Règles_bison[Aliment],0))="c"),
INDEX(Règles_bison[Valeur 6-12],MATCH(ChoixRationBisons&amp;$BM81,Règles_bison[Ration]&amp;Règles_bison[Aliment],0)),0),0)*TotalBisonsFemelles_6_12_mois*SUM(NbreJoursNourrirBisonsDaims))</f>
        <v>0</v>
      </c>
      <c r="BS81" s="1076">
        <f t="array" ref="BS81">IF(Ration_hivernale_complète_bisons[somme]&gt;0,0,IFERROR(IF(OR(AND(INDEX(Règles_bison[Specificite],MATCH(ChoixRationBisons&amp;$BM81,Règles_bison[Ration]&amp;Règles_bison[Aliment],0))="s1",IF($BM81=ChoixSpécificité1Bisons,1)),
AND(INDEX(Règles_bison[Specificite],MATCH(ChoixRationBisons&amp;$BM81,Règles_bison[Ration]&amp;Règles_bison[Aliment],0))="s2",IF($BM81=ChoixSpécificité2Bisons,1)),INDEX(Règles_bison[Specificite],MATCH(ChoixRationBisons&amp;$BM81,Règles_bison[Ration]&amp;Règles_bison[Aliment],0))="c"),
INDEX(Règles_bison[Valeur 3-6],MATCH(ChoixRationBisons&amp;$BM81,Règles_bison[Ration]&amp;Règles_bison[Aliment],0)),0),0)*TotalBisonsFemelles_3_6_mois*SUM(NbreJoursNourrirBisonsDaims))</f>
        <v>0</v>
      </c>
      <c r="BT81" s="1076">
        <f t="array" ref="BT81">IF(Ration_hivernale_complète_bisons[somme]&gt;0,0,IFERROR(IF(OR(AND(INDEX(Règles_bison[Specificite],MATCH(ChoixRationBisons&amp;$BM81,Règles_bison[Ration]&amp;Règles_bison[Aliment],0))="s1",IF($BM81=ChoixSpécificité1Bisons,1)),
AND(INDEX(Règles_bison[Specificite],MATCH(ChoixRationBisons&amp;$BM81,Règles_bison[Ration]&amp;Règles_bison[Aliment],0))="s2",IF($BM81=ChoixSpécificité2Bisons,1)),INDEX(Règles_bison[Specificite],MATCH(ChoixRationBisons&amp;$BM81,Règles_bison[Ration]&amp;Règles_bison[Aliment],0))="c"),
INDEX(Règles_bison[Valeur 0-3],MATCH(ChoixRationBisons&amp;$BM81,Règles_bison[Ration]&amp;Règles_bison[Aliment],0)),0),0)*TotalBisonsFemelles_0_3_mois*SUM(NbreJoursNourrirBisonsDaims))</f>
        <v>0</v>
      </c>
      <c r="BU81" s="1076">
        <f t="shared" si="22"/>
        <v>0</v>
      </c>
      <c r="BV81" s="1346"/>
      <c r="BW81" s="1346"/>
      <c r="BX81" s="1176" t="s">
        <v>764</v>
      </c>
      <c r="BY81" s="1177" t="s">
        <v>723</v>
      </c>
      <c r="BZ81" s="1177" t="s">
        <v>1277</v>
      </c>
      <c r="CA81" s="1177">
        <v>21</v>
      </c>
      <c r="CB81" s="1177">
        <v>16</v>
      </c>
      <c r="CC81" s="1177">
        <v>11</v>
      </c>
      <c r="CD81" s="1199">
        <v>0</v>
      </c>
      <c r="CE81" s="1350"/>
      <c r="CF81" s="1350"/>
      <c r="CG81" s="1350"/>
      <c r="CH81" s="1350"/>
      <c r="CI81" s="1321"/>
      <c r="CJ81" s="808" t="s">
        <v>1274</v>
      </c>
      <c r="CK81" s="788">
        <f t="array" ref="CK8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81" s="788">
        <f t="array" ref="CL8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81" s="788">
        <f t="array" ref="CM8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81" s="788">
        <f t="array" ref="CN8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81" s="788">
        <f t="array" ref="CO81">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81" s="812">
        <f>SUM(AlimentsRationPorcinsMâles[[#This Row],[Valeur 12 et plus]:[Valeur 0-1]])</f>
        <v>0</v>
      </c>
      <c r="CQ81" s="1321"/>
      <c r="CR81" s="1321"/>
      <c r="CS81" s="808" t="s">
        <v>1272</v>
      </c>
      <c r="CT81" s="817">
        <f t="array" ref="CT8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81" s="817">
        <f t="array" ref="CU8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81" s="817">
        <f t="array" ref="CV8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81" s="818">
        <f>SUM(AlimentsRationLapinsMâles[[#This Row],[Valeur 3 et plus]:[Valeur 0-1]])</f>
        <v>0</v>
      </c>
      <c r="CX81" s="1321"/>
      <c r="CY81" s="1321"/>
      <c r="CZ81" s="808" t="s">
        <v>1272</v>
      </c>
      <c r="DA81" s="817">
        <f t="array" ref="DA8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81" s="817">
        <f t="array" ref="DB8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81" s="817">
        <f t="array" ref="DC8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81" s="818">
        <f>SUM(AlimentsRationVolaillesMâles[[#This Row],[Valeur 6 et plus]:[Valeur 0-1]])</f>
        <v>0</v>
      </c>
      <c r="DE81" s="1364"/>
      <c r="DF81" s="1321"/>
      <c r="DG81" s="808"/>
      <c r="DH81" s="817">
        <f t="array" ref="DH8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81" s="817">
        <f t="array" ref="DI8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81" s="817">
        <f t="array" ref="DJ81">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81" s="818">
        <f>SUM(AlimentsRationPintadesMâles[[#This Row],[Valeur 9 et plus]:[Valeur 0-1]])</f>
        <v>0</v>
      </c>
      <c r="DL81" s="1364"/>
      <c r="DM81" s="1364"/>
      <c r="DN81" s="1176" t="s">
        <v>836</v>
      </c>
      <c r="DO81" s="1177" t="s">
        <v>76</v>
      </c>
      <c r="DP81" s="1177" t="s">
        <v>1253</v>
      </c>
      <c r="DQ81" s="1181">
        <v>1.6</v>
      </c>
      <c r="DR81" s="1181">
        <v>1.4</v>
      </c>
      <c r="DS81" s="1181">
        <v>1.2</v>
      </c>
      <c r="DT81" s="1243">
        <v>1</v>
      </c>
      <c r="DU81" s="1345"/>
      <c r="DV81" s="1075" t="str">
        <f t="shared" si="24"/>
        <v>Bouchons luzerne</v>
      </c>
      <c r="DW81" s="1269">
        <f t="array" ref="DW81">SUM((IF(QualitéAlimentsFaonMâle_0_3_mois=BONNE,VLOOKUP("Bouchons luzerne",AlimentsRationHivernaleDaims,8,FALSE),0)+(IF(QualitéAlimentsFaonFemelle_0_3_mois=BONNE,VLOOKUP("Bouchons luzerne",AlimentsRationHivernaleDaims,8,FALSE),0)+(IF(QualitéAlimentsFaonMâle_3_6_mois=BONNE,VLOOKUP("Bouchons luzerne",AlimentsRationHivernaleDaims,7,FALSE),0)+(IF(QualitéAlimentsFaonFemelle_3_6_mois=BONNE,VLOOKUP("Bouchons luzerne",AlimentsRationHivernaleDaims,7,FALSE),0)+(IF(QualitéAlimentsFaonMâle_6_12_mois=BONNE,VLOOKUP("Bouchons luzerne",AlimentsRationHivernaleDaims,6,FALSE),0)+(IF(QualitéAlimentsFaonFemelle_6_12_mois=BONNE,VLOOKUP("Bouchons luzerne",AlimentsRationHivernaleDaims,6,FALSE),0)+(IF(QualitéAlimentsJeuneDaim_12_18_mois=BONNE,VLOOKUP("Bouchons luzerne",AlimentsRationHivernaleDaims,5,FALSE),0)+(IF(QualitéAlimentsJeuneDaine_12_18_mois=BONNE,VLOOKUP("Bouchons luzerne",AlimentsRationHivernaleDaims,5,FALSE),0)+(IF(QualitéAlimentsJeuneDaim_18_24_mois=BONNE,VLOOKUP("Bouchons luzerne",AlimentsRationHivernaleDaims,4,FALSE),0)+(IF(QualitéAlimentsJeuneDaine_18_24_mois=BONNE,VLOOKUP("Bouchons luzerne",AlimentsRationHivernaleDaims,4,FALSE),0)+(IF(QualitéAlimentsJeuneDaim_24_36_mois=BONNE,VLOOKUP("Bouchons luzerne",AlimentsRationHivernaleDaims,3,FALSE),0)+(IF(QualitéAlimentsJeuneDaine_24_36_mois=BONNE,VLOOKUP("Bouchons luzerne",AlimentsRationHivernaleDaims,3,FALSE),0)+(IF(QualitéAlimentsDaim=BONNE,VLOOKUP("Bouchons luzerne",AlimentsRationHivernaleDaims,2,FALSE),0)+(IF(QualitéAlimentsDaine=BONNE,VLOOKUP("Bouchons luzerne",AlimentsRationHivernaleDaims,2,FALSE),0))))))))))))))))</f>
        <v>0</v>
      </c>
      <c r="DX81" s="1269">
        <f t="array" ref="DX81">SUM((IF(QualitéAlimentsFaonMâle_0_3_mois=MOYENNE,VLOOKUP("Bouchons luzerne",AlimentsRationHivernaleDaims,8,FALSE),0)+(IF(QualitéAlimentsFaonFemelle_0_3_mois=MOYENNE,VLOOKUP("Bouchons luzerne",AlimentsRationHivernaleDaims,8,FALSE),0)+(IF(QualitéAlimentsFaonMâle_3_6_mois=MOYENNE,VLOOKUP("Bouchons luzerne",AlimentsRationHivernaleDaims,7,FALSE),0)+(IF(QualitéAlimentsFaonFemelle_3_6_mois=MOYENNE,VLOOKUP("Bouchons luzerne",AlimentsRationHivernaleDaims,7,FALSE),0)+(IF(QualitéAlimentsFaonMâle_6_12_mois=MOYENNE,VLOOKUP("Bouchons luzerne",AlimentsRationHivernaleDaims,6,FALSE),0)+(IF(QualitéAlimentsFaonFemelle_6_12_mois=MOYENNE,VLOOKUP("Bouchons luzerne",AlimentsRationHivernaleDaims,6,FALSE),0)+(IF(QualitéAlimentsJeuneDaim_12_18_mois=MOYENNE,VLOOKUP("Bouchons luzerne",AlimentsRationHivernaleDaims,5,FALSE),0)+(IF(QualitéAlimentsJeuneDaine_12_18_mois=MOYENNE,VLOOKUP("Bouchons luzerne",AlimentsRationHivernaleDaims,5,FALSE),0)+(IF(QualitéAlimentsJeuneDaim_18_24_mois=MOYENNE,VLOOKUP("Bouchons luzerne",AlimentsRationHivernaleDaims,4,FALSE),0)+(IF(QualitéAlimentsJeuneDaine_18_24_mois=MOYENNE,VLOOKUP("Bouchons luzerne",AlimentsRationHivernaleDaims,4,FALSE),0)+(IF(QualitéAlimentsJeuneDaim_24_36_mois=MOYENNE,VLOOKUP("Bouchons luzerne",AlimentsRationHivernaleDaims,3,FALSE),0)+(IF(QualitéAlimentsJeuneDaine_24_36_mois=MOYENNE,VLOOKUP("Bouchons luzerne",AlimentsRationHivernaleDaims,3,FALSE),0)+(IF(QualitéAlimentsDaim=MOYENNE,VLOOKUP("Bouchons luzerne",AlimentsRationHivernaleDaims,2,FALSE),0)+(IF(QualitéAlimentsDaine=MOYENNE,VLOOKUP("Bouchons luzerne",AlimentsRationHivernaleDaims,2,FALSE),0))))))))))))))))</f>
        <v>0</v>
      </c>
      <c r="DY81" s="1269">
        <f t="array" ref="DY81">SUM((IF(QualitéAlimentsFaonMâle_0_3_mois=MAUVAISE,VLOOKUP("Bouchons luzerne",AlimentsRationHivernaleDaims,8,FALSE),0)+(IF(QualitéAlimentsFaonFemelle_0_3_mois=MAUVAISE,VLOOKUP("Bouchons luzerne",AlimentsRationHivernaleDaims,8,FALSE),0)+(IF(QualitéAlimentsFaonMâle_3_6_mois=MAUVAISE,VLOOKUP("Bouchons luzerne",AlimentsRationHivernaleDaims,7,FALSE),0)+(IF(QualitéAlimentsFaonFemelle_3_6_mois=MAUVAISE,VLOOKUP("Bouchons luzerne",AlimentsRationHivernaleDaims,7,FALSE),0)+(IF(QualitéAlimentsFaonMâle_6_12_mois=MAUVAISE,VLOOKUP("Bouchons luzerne",AlimentsRationHivernaleDaims,6,FALSE),0)+(IF(QualitéAlimentsFaonFemelle_6_12_mois=MAUVAISE,VLOOKUP("Bouchons luzerne",AlimentsRationHivernaleDaims,6,FALSE),0)+(IF(QualitéAlimentsJeuneDaim_12_18_mois=MAUVAISE,VLOOKUP("Bouchons luzerne",AlimentsRationHivernaleDaims,5,FALSE),0)+(IF(QualitéAlimentsJeuneDaine_12_18_mois=MAUVAISE,VLOOKUP("Bouchons luzerne",AlimentsRationHivernaleDaims,5,FALSE),0)+(IF(QualitéAlimentsJeuneDaim_18_24_mois=MAUVAISE,VLOOKUP("Bouchons luzerne",AlimentsRationHivernaleDaims,4,FALSE),0)+(IF(QualitéAlimentsJeuneDaine_18_24_mois=MAUVAISE,VLOOKUP("Bouchons luzerne",AlimentsRationHivernaleDaims,4,FALSE),0)+(IF(QualitéAlimentsJeuneDaim_24_36_mois=MAUVAISE,VLOOKUP("Bouchons luzerne",AlimentsRationHivernaleDaims,3,FALSE),0)+(IF(QualitéAlimentsJeuneDaine_24_36_mois=MAUVAISE,VLOOKUP("Bouchons luzerne",AlimentsRationHivernaleDaims,3,FALSE),0)+(IF(QualitéAlimentsDaim=MAUVAISE,VLOOKUP("Bouchons luzerne",AlimentsRationHivernaleDaims,2,FALSE),0)+(IF(QualitéAlimentsDaine=MAUVAISE,VLOOKUP("Bouchons luzerne",AlimentsRationHivernaleDaims,2,FALSE),0))))))))))))))))</f>
        <v>0</v>
      </c>
      <c r="DZ81" s="1345"/>
      <c r="EA81" s="1345"/>
      <c r="EB81" s="1345"/>
      <c r="EC81" s="1345"/>
      <c r="ED81" s="1345"/>
      <c r="EE81" s="1345"/>
      <c r="EF81" s="1321"/>
      <c r="EG81" s="808" t="s">
        <v>671</v>
      </c>
      <c r="EH81" s="817">
        <f t="array" ref="EH8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81" s="817">
        <f t="array" ref="EI8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81" s="817">
        <f t="array" ref="EJ8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81" s="818">
        <f>SUM(AlimentsRationOiesMâles[[#This Row],[Valeur 6 et plus]:[Valeur 0-3]])</f>
        <v>0</v>
      </c>
      <c r="EL81" s="1364"/>
      <c r="EM81" s="1321"/>
      <c r="EN81" s="808" t="s">
        <v>296</v>
      </c>
      <c r="EO81" s="817">
        <f t="array" ref="EO81">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81" s="817">
        <f t="array" ref="EP81">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81" s="817">
        <f t="array" ref="EQ81">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81" s="818">
        <f>SUM(Ration_canards_Mâles[[#This Row],[Valeur 6 et plus]:[Valeur 0-3]])</f>
        <v>0</v>
      </c>
      <c r="ES81" s="1364"/>
      <c r="ET81" s="1321"/>
      <c r="EU81" s="1083" t="s">
        <v>725</v>
      </c>
      <c r="EV81" s="1283">
        <f t="array" ref="EV81">IF(OR(ChoixRationComplèteEtéChevauxSelle=OUI,ChoixRationComplèteEtéChevauxSelle="",AND(ChoixChevauxSellePréHiver=OUI,ChoixChevauxSellePréEté=OUI)),0,IFERROR(IF(OR(AND(INDEX(Règles_chevaux_selle[Specificite],MATCH(RationEtéChevauxSelle&amp;$EU81,Règles_chevaux_selle[Ration]&amp;Règles_chevaux_selle[Aliment],0))="s1",IF($EU81=Spécificité1ChevauxSelle,1)),
AND(INDEX(Règles_chevaux_selle[Specificite],MATCH(RationEtéChevauxSelle&amp;$EU81,Règles_chevaux_selle[Ration]&amp;Règles_chevaux_selle[Aliment],0))="s2",IF($EU81=Spécificité2ChevauxSelle,1)),
INDEX(Règles_chevaux_selle[Specificite],MATCH(RationEtéChevauxSelle&amp;$EU81,Règles_chevaux_selle[Ration]&amp;Règles_chevaux_selle[Aliment],0))="c"),
INDEX(Règles_chevaux_selle[Valeur 36 et plus],MATCH(RationEtéChevauxSelle&amp;$EU81,Règles_chevaux_selle[Ration]&amp;Règles_chevaux_selle[Aliment],0)),0),0)*TotalEtalonSelle*SUM(NbreJoursNourrirChevauxSelle))</f>
        <v>0</v>
      </c>
      <c r="EW81" s="1283">
        <f t="array" ref="EW81">IF(OR(ChoixRationComplèteEtéChevauxSelle=OUI,ChoixRationComplèteEtéChevauxSelle="",AND(ChoixChevauxSellePréHiver=OUI,ChoixChevauxSellePréEté=OUI)),0,IFERROR(IF(OR(AND(INDEX(Règles_chevaux_selle[Specificite],MATCH(RationEtéChevauxSelle&amp;$EU81,Règles_chevaux_selle[Ration]&amp;Règles_chevaux_selle[Aliment],0))="s1",IF($EU81=Spécificité1ChevauxSelle,1)),
AND(INDEX(Règles_chevaux_selle[Specificite],MATCH(RationEtéChevauxSelle&amp;$EU81,Règles_chevaux_selle[Ration]&amp;Règles_chevaux_selle[Aliment],0))="s2",IF($EU81=Spécificité2ChevauxSelle,1)),
INDEX(Règles_chevaux_selle[Specificite],MATCH(RationEtéChevauxSelle&amp;$EU81,Règles_chevaux_selle[Ration]&amp;Règles_chevaux_selle[Aliment],0))="c"),
INDEX(Règles_chevaux_selle[Valeur 24-36],MATCH(RationEtéChevauxSelle&amp;$EU81,Règles_chevaux_selle[Ration]&amp;Règles_chevaux_selle[Aliment],0)),0),0)*TotalJeuneEtalonSelle_24_36_mois*SUM(NbreJoursNourrirChevauxSelle))</f>
        <v>0</v>
      </c>
      <c r="EX81" s="1283">
        <f t="array" ref="EX81">IF(OR(ChoixRationComplèteEtéChevauxSelle=OUI,ChoixRationComplèteEtéChevauxSelle="",AND(ChoixChevauxSellePréHiver=OUI,ChoixChevauxSellePréEté=OUI)),0,IFERROR(IF(OR(AND(INDEX(Règles_chevaux_selle[Specificite],MATCH(RationEtéChevauxSelle&amp;$EU81,Règles_chevaux_selle[Ration]&amp;Règles_chevaux_selle[Aliment],0))="s1",IF($EU81=Spécificité1ChevauxSelle,1)),
AND(INDEX(Règles_chevaux_selle[Specificite],MATCH(RationEtéChevauxSelle&amp;$EU81,Règles_chevaux_selle[Ration]&amp;Règles_chevaux_selle[Aliment],0))="s2",IF($EU81=Spécificité2ChevauxSelle,1)),
INDEX(Règles_chevaux_selle[Specificite],MATCH(RationEtéChevauxSelle&amp;$EU81,Règles_chevaux_selle[Ration]&amp;Règles_chevaux_selle[Aliment],0))="c"),
INDEX(Règles_chevaux_selle[Valeur 12-24],MATCH(RationEtéChevauxSelle&amp;$EU81,Règles_chevaux_selle[Ration]&amp;Règles_chevaux_selle[Aliment],0)),0),0)*TotalJeuneEtalonSelle_12_24_mois*SUM(NbreJoursNourrirChevauxSelle))</f>
        <v>0</v>
      </c>
      <c r="EY81" s="1286">
        <f t="array" ref="EY81">IF(OR(ChoixRationComplèteEtéChevauxSelle=OUI,ChoixRationComplèteEtéChevauxSelle="",AND(ChoixChevauxSellePréHiver=OUI,ChoixChevauxSellePréEté=OUI)),0,IFERROR(IF(OR(AND(INDEX(Règles_chevaux_selle[Specificite],MATCH(RationEtéChevauxSelle&amp;$EU81,Règles_chevaux_selle[Ration]&amp;Règles_chevaux_selle[Aliment],0))="s1",IF($EU81=Spécificité1ChevauxSelle,1)),
AND(INDEX(Règles_chevaux_selle[Specificite],MATCH(RationEtéChevauxSelle&amp;$EU81,Règles_chevaux_selle[Ration]&amp;Règles_chevaux_selle[Aliment],0))="s2",IF($EU81=Spécificité2ChevauxSelle,1)),
INDEX(Règles_chevaux_selle[Specificite],MATCH(RationEtéChevauxSelle&amp;$EU81,Règles_chevaux_selle[Ration]&amp;Règles_chevaux_selle[Aliment],0))="c"),
INDEX(Règles_chevaux_selle[Valeur 0-12],MATCH(RationEtéChevauxSelle&amp;$EU81,Règles_chevaux_selle[Ration]&amp;Règles_chevaux_selle[Aliment],0)),0),0)*TotalPoulainSelle_0_12_mois*SUM(NbreJoursNourrirChevauxSelle))</f>
        <v>0</v>
      </c>
      <c r="EZ81" s="1286">
        <f t="shared" si="16"/>
        <v>0</v>
      </c>
      <c r="FA81" s="1345"/>
      <c r="FB81" s="1345"/>
      <c r="FC81" s="1321"/>
      <c r="FD81" s="1083" t="s">
        <v>63</v>
      </c>
      <c r="FE81" s="1283">
        <f t="array" ref="FE81">IF(OR(ChoixRationComplèteEtéChevauxTrait=OUI,ChoixRationComplèteEtéChevauxTrait="",AND(ChoixChevauxTraitPréHiver=OUI,ChoixChevauxTraitPréEté=OUI)),0,IFERROR(IF(OR(AND(INDEX(Règles_chevaux_trait[Specificite],MATCH(RationEtéChevauxTrait&amp;$FD81,Règles_chevaux_trait[Ration]&amp;Règles_chevaux_trait[Aliment],0))="s1",IF($FD81=Spécificité1ChevauxTrait,1)),
AND(INDEX(Règles_chevaux_trait[Specificite],MATCH(RationEtéChevauxTrait&amp;$FD81,Règles_chevaux_trait[Ration]&amp;Règles_chevaux_trait[Aliment],0))="s2",IF($FD81=Spécificité2ChevauxTrait,1)),
INDEX(Règles_chevaux_trait[Specificite],MATCH(RationEtéChevauxTrait&amp;$FD81,Règles_chevaux_trait[Ration]&amp;Règles_chevaux_trait[Aliment],0))="c"),
INDEX(Règles_chevaux_trait[Valeur 36 et plus],MATCH(RationEtéChevauxTrait&amp;$FD81,Règles_chevaux_trait[Ration]&amp;Règles_chevaux_trait[Aliment],0)),0),0)*TotalEtalonTrait*SUM(NbreJoursNourrirChevauxTrait))</f>
        <v>0</v>
      </c>
      <c r="FF81" s="1283">
        <f t="array" ref="FF81">IF(OR(ChoixRationComplèteEtéChevauxTrait=OUI,ChoixRationComplèteEtéChevauxTrait="",AND(ChoixChevauxTraitPréHiver=OUI,ChoixChevauxTraitPréEté=OUI)),0,IFERROR(IF(OR(AND(INDEX(Règles_chevaux_trait[Specificite],MATCH(RationEtéChevauxTrait&amp;$FD81,Règles_chevaux_trait[Ration]&amp;Règles_chevaux_trait[Aliment],0))="s1",IF($FD81=Spécificité1ChevauxTrait,1)),
AND(INDEX(Règles_chevaux_trait[Specificite],MATCH(RationEtéChevauxTrait&amp;$FD81,Règles_chevaux_trait[Ration]&amp;Règles_chevaux_trait[Aliment],0))="s2",IF($FD81=Spécificité2ChevauxTrait,1)),
INDEX(Règles_chevaux_trait[Specificite],MATCH(RationEtéChevauxTrait&amp;$FD81,Règles_chevaux_trait[Ration]&amp;Règles_chevaux_trait[Aliment],0))="c"),
INDEX(Règles_chevaux_trait[Valeur 24-36],MATCH(RationEtéChevauxTrait&amp;$FD81,Règles_chevaux_trait[Ration]&amp;Règles_chevaux_trait[Aliment],0)),0),0)*TotalJeuneEtalonTrait_24_36_mois*SUM(NbreJoursNourrirChevauxTrait))</f>
        <v>0</v>
      </c>
      <c r="FG81" s="1283">
        <f t="array" ref="FG81">IF(OR(ChoixRationComplèteEtéChevauxTrait=OUI,ChoixRationComplèteEtéChevauxTrait="",AND(ChoixChevauxTraitPréHiver=OUI,ChoixChevauxTraitPréEté=OUI)),0,IFERROR(IF(OR(AND(INDEX(Règles_chevaux_trait[Specificite],MATCH(RationEtéChevauxTrait&amp;$FD81,Règles_chevaux_trait[Ration]&amp;Règles_chevaux_trait[Aliment],0))="s1",IF($FD81=Spécificité1ChevauxTrait,1)),
AND(INDEX(Règles_chevaux_trait[Specificite],MATCH(RationEtéChevauxTrait&amp;$FD81,Règles_chevaux_trait[Ration]&amp;Règles_chevaux_trait[Aliment],0))="s2",IF($FD81=Spécificité2ChevauxTrait,1)),
INDEX(Règles_chevaux_trait[Specificite],MATCH(RationEtéChevauxTrait&amp;$FD81,Règles_chevaux_trait[Ration]&amp;Règles_chevaux_trait[Aliment],0))="c"),
INDEX(Règles_chevaux_trait[Valeur 12-24],MATCH(RationEtéChevauxTrait&amp;$FD81,Règles_chevaux_trait[Ration]&amp;Règles_chevaux_trait[Aliment],0)),0),0)*TotalJeuneEtalonTrait_12_24_mois*SUM(NbreJoursNourrirChevauxTrait))</f>
        <v>0</v>
      </c>
      <c r="FH81" s="1286">
        <f t="array" ref="FH81">IF(OR(ChoixRationComplèteEtéChevauxTrait=OUI,ChoixRationComplèteEtéChevauxTrait="",AND(ChoixChevauxTraitPréHiver=OUI,ChoixChevauxTraitPréEté=OUI)),0,IFERROR(IF(OR(AND(INDEX(Règles_chevaux_trait[Specificite],MATCH(RationEtéChevauxTrait&amp;$FD81,Règles_chevaux_trait[Ration]&amp;Règles_chevaux_trait[Aliment],0))="s1",IF($FD81=Spécificité1ChevauxTrait,1)),
AND(INDEX(Règles_chevaux_trait[Specificite],MATCH(RationEtéChevauxTrait&amp;$FD81,Règles_chevaux_trait[Ration]&amp;Règles_chevaux_trait[Aliment],0))="s2",IF($FD81=Spécificité2ChevauxTrait,1)),
INDEX(Règles_chevaux_trait[Specificite],MATCH(RationEtéChevauxTrait&amp;$FD81,Règles_chevaux_trait[Ration]&amp;Règles_chevaux_trait[Aliment],0))="c"),
INDEX(Règles_chevaux_trait[Valeur 0-12],MATCH(RationEtéChevauxTrait&amp;$FD81,Règles_chevaux_trait[Ration]&amp;Règles_chevaux_trait[Aliment],0)),0),0)*TotalPoulainTrait_0_12_mois*SUM(NbreJoursNourrirChevauxTrait))</f>
        <v>0</v>
      </c>
      <c r="FI81" s="1286">
        <f t="shared" si="15"/>
        <v>0</v>
      </c>
      <c r="FJ81" s="1345"/>
      <c r="FK81" s="1345"/>
      <c r="FL81" s="1345"/>
      <c r="FM81" s="1321"/>
      <c r="FN81" s="1082" t="s">
        <v>671</v>
      </c>
      <c r="FO81" s="1282">
        <f t="array" ref="FO81">IF(OR(ChoixRationComplèteEtéPoneys=OUI,ChoixRationComplèteEtéPoneys="",AND(ChoixPoneysPréHiver=OUI,ChoixPoneysPréEté=OUI)),0,IFERROR(IF(OR(AND(INDEX(Règles_poneys[Specificite],MATCH(RationEtéPoneys&amp;$FN81,Règles_poneys[Ration]&amp;Règles_poneys[Aliment],0))="s1",IF($FN81=Spécificité1Poneys,1)),
AND(INDEX(Règles_poneys[Specificite],MATCH(RationEtéPoneys&amp;$FN81,Règles_poneys[Ration]&amp;Règles_poneys[Aliment],0))="s2",IF($FN81=Spécificité2Poneys,1)),
INDEX(Règles_poneys[Specificite],MATCH(RationEtéPoneys&amp;$FN81,Règles_poneys[Ration]&amp;Règles_poneys[Aliment],0))="c"),
INDEX(Règles_poneys[Valeur 36 et plus],MATCH(RationEtéPoneys&amp;$FN81,Règles_poneys[Ration]&amp;Règles_poneys[Aliment],0)),0),0)*TotalEtalonPoney*SUM(NbreJoursNourrirPoneys))</f>
        <v>0</v>
      </c>
      <c r="FP81" s="1282">
        <f t="array" ref="FP81">IF(OR(ChoixRationComplèteEtéPoneys=OUI,ChoixRationComplèteEtéPoneys="",AND(ChoixPoneysPréHiver=OUI,ChoixPoneysPréEté=OUI)),0,IFERROR(IF(OR(AND(INDEX(Règles_poneys[Specificite],MATCH(RationEtéPoneys&amp;$FN81,Règles_poneys[Ration]&amp;Règles_poneys[Aliment],0))="s1",IF($FN81=Spécificité1Poneys,1)),
AND(INDEX(Règles_poneys[Specificite],MATCH(RationEtéPoneys&amp;$FN81,Règles_poneys[Ration]&amp;Règles_poneys[Aliment],0))="s2",IF($FN81=Spécificité2Poneys,1)),
INDEX(Règles_poneys[Specificite],MATCH(RationEtéPoneys&amp;$FN81,Règles_poneys[Ration]&amp;Règles_poneys[Aliment],0))="c"),
INDEX(Règles_poneys[Valeur 36 et plus],MATCH(RationEtéPoneys&amp;$FN81,Règles_poneys[Ration]&amp;Règles_poneys[Aliment],0)),0),0)*TotalJeuneEtalonPoney_24_36_mois*SUM(NbreJoursNourrirPoneys))</f>
        <v>0</v>
      </c>
      <c r="FQ81" s="1282">
        <f t="array" ref="FQ81">IF(OR(ChoixRationComplèteEtéPoneys=OUI,ChoixRationComplèteEtéPoneys="",AND(ChoixPoneysPréHiver=OUI,ChoixPoneysPréEté=OUI)),0,IFERROR(IF(OR(AND(INDEX(Règles_poneys[Specificite],MATCH(RationEtéPoneys&amp;$FN81,Règles_poneys[Ration]&amp;Règles_poneys[Aliment],0))="s1",IF($FN81=Spécificité1Poneys,1)),
AND(INDEX(Règles_poneys[Specificite],MATCH(RationEtéPoneys&amp;$FN81,Règles_poneys[Ration]&amp;Règles_poneys[Aliment],0))="s2",IF($FN81=Spécificité2Poneys,1)),
INDEX(Règles_poneys[Specificite],MATCH(RationEtéPoneys&amp;$FN81,Règles_poneys[Ration]&amp;Règles_poneys[Aliment],0))="c"),
INDEX(Règles_poneys[Valeur 36 et plus],MATCH(RationEtéPoneys&amp;$FN81,Règles_poneys[Ration]&amp;Règles_poneys[Aliment],0)),0),0)*TotalJeuneEtalonPoney_12_24_mois*SUM(NbreJoursNourrirPoneys))</f>
        <v>0</v>
      </c>
      <c r="FR81" s="1285">
        <f t="array" ref="FR81">IF(OR(ChoixRationComplèteEtéPoneys=OUI,ChoixRationComplèteEtéPoneys="",AND(ChoixPoneysPréHiver=OUI,ChoixPoneysPréEté=OUI)),0,IFERROR(IF(OR(AND(INDEX(Règles_poneys[Specificite],MATCH(RationEtéPoneys&amp;$FN81,Règles_poneys[Ration]&amp;Règles_poneys[Aliment],0))="s1",IF($FN81=Spécificité1Poneys,1)),
AND(INDEX(Règles_poneys[Specificite],MATCH(RationEtéPoneys&amp;$FN81,Règles_poneys[Ration]&amp;Règles_poneys[Aliment],0))="s2",IF($FN81=Spécificité2Poneys,1)),
INDEX(Règles_poneys[Specificite],MATCH(RationEtéPoneys&amp;$FN81,Règles_poneys[Ration]&amp;Règles_poneys[Aliment],0))="c"),
INDEX(Règles_poneys[Valeur 36 et plus],MATCH(RationEtéPoneys&amp;$FN81,Règles_poneys[Ration]&amp;Règles_poneys[Aliment],0)),0),0)*TotalPoulainPoney_0_12_mois*SUM(NbreJoursNourrirPoneys))</f>
        <v>0</v>
      </c>
      <c r="FS81" s="1285">
        <f t="shared" si="14"/>
        <v>0</v>
      </c>
      <c r="FT81" s="1345"/>
      <c r="FU81" s="1345"/>
      <c r="FV81" s="1345"/>
      <c r="FW81" s="809"/>
      <c r="FX81" s="830">
        <f t="array" ref="FX8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6 et plus],MATCH(ChoixRationFoieGrasOies&amp;AlimentsGavageOies[[#This Row],[aliment]],Règles_gavage[Ration]&amp;Règles_gavage[Aliment],0)),0),0)*FoieGrasJeunesOies_3moisEtPlus*DuréePhaseGavageOie)</f>
        <v>0</v>
      </c>
      <c r="FY81" s="830">
        <f t="array" ref="FY8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2-3],MATCH(ChoixRationFoieGrasOies&amp;AlimentsGavageOies[[#This Row],[aliment]],Règles_gavage[Ration]&amp;Règles_gavage[Aliment],0)),0),0)*FoieGrasOison_2_3mois*DuréePhaseElevage2_3)</f>
        <v>0</v>
      </c>
      <c r="FZ81" s="830">
        <f t="array" ref="FZ8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1-2],MATCH(ChoixRationFoieGrasOies&amp;AlimentsGavageOies[[#This Row],[aliment]],Règles_gavage[Ration]&amp;Règles_gavage[Aliment],0)),0),0)*FoieGrasOison_1_2mois*DuréePhaseElevage1_2)</f>
        <v>0</v>
      </c>
      <c r="GA81" s="830">
        <f t="array" ref="GA81">IF(ChoixRationComplèteFoieGrasOies=OUI,0,IFERROR(IF(OR(AND(INDEX(Règles_gavage[Specificite],MATCH(ChoixRationFoieGrasOies&amp;AlimentsGavageOies[[#This Row],[aliment]],Règles_gavage[Ration]&amp;Règles_gavage[Aliment],0))="s1",IF(AlimentsGavageOies[[#This Row],[aliment]]=ChoixSpécificité1FoieGrasOies,1)),
AND(INDEX(Règles_gavage[Specificite],MATCH(ChoixRationFoieGrasOies&amp;AlimentsGavageOies[[#This Row],[aliment]],Règles_gavage[Ration]&amp;Règles_gavage[Aliment],0))="s2",IF(AlimentsGavageOies[[#This Row],[aliment]]=ChoixSpécificité2FoieGrasOies,1)),
INDEX(Règles_gavage[Specificite],MATCH(ChoixRationFoieGrasOies&amp;AlimentsGavageOies[[#This Row],[aliment]],Règles_gavage[Ration]&amp;Règles_gavage[Aliment],0))="c"),
INDEX(Règles_gavage[Valeur 0-1],MATCH(ChoixRationFoieGrasOies&amp;AlimentsGavageOies[[#This Row],[aliment]],Règles_gavage[Ration]&amp;Règles_gavage[Aliment],0)),0),0)*FoieGrasOison_0_1mois*DuréePhaseElevage0_1)</f>
        <v>0</v>
      </c>
      <c r="GB81" s="831">
        <f>SUM(AlimentsGavageOies[[#This Row],[Valeur 3 et plus]:[Valeur 0-1]])</f>
        <v>0</v>
      </c>
      <c r="GC81" s="1364"/>
      <c r="GD81" s="1321"/>
      <c r="GE81" s="1321"/>
      <c r="GF81" s="1321"/>
      <c r="GG81" s="1321" t="s">
        <v>1349</v>
      </c>
      <c r="GH81" s="1321" t="s">
        <v>1349</v>
      </c>
      <c r="GI81" s="1321" t="s">
        <v>1349</v>
      </c>
      <c r="GJ81" s="1321" t="s">
        <v>1349</v>
      </c>
      <c r="GK81" s="1321" t="s">
        <v>1349</v>
      </c>
      <c r="GL81" s="1321" t="s">
        <v>1349</v>
      </c>
      <c r="GM81" s="1321" t="s">
        <v>1349</v>
      </c>
      <c r="GN81" s="1321" t="s">
        <v>1349</v>
      </c>
      <c r="GO81" s="1321" t="s">
        <v>1349</v>
      </c>
      <c r="GP81" s="1321" t="s">
        <v>1349</v>
      </c>
      <c r="GQ81" s="1321" t="s">
        <v>1349</v>
      </c>
      <c r="GR81" s="1321" t="s">
        <v>1349</v>
      </c>
      <c r="GS81" s="1321" t="s">
        <v>1349</v>
      </c>
      <c r="GT81" s="1321" t="s">
        <v>1349</v>
      </c>
      <c r="GU81" s="1321" t="s">
        <v>1349</v>
      </c>
      <c r="GV81" s="1321" t="s">
        <v>1349</v>
      </c>
      <c r="GW81" s="1321"/>
      <c r="GX81" s="1321"/>
      <c r="GY81" s="1082" t="s">
        <v>1647</v>
      </c>
      <c r="GZ81" s="1082"/>
      <c r="HA81" s="1085"/>
      <c r="HB81" s="1085">
        <f>SUM(HB35:HB80)</f>
        <v>0</v>
      </c>
      <c r="HC81" s="1321"/>
      <c r="HD81" s="1321"/>
      <c r="HE81" s="1321"/>
      <c r="HF81" s="1321"/>
      <c r="HG81" s="1321"/>
      <c r="HH81" s="1321"/>
      <c r="HI81" s="1321"/>
      <c r="HJ81" s="1321"/>
      <c r="HK81" s="1321"/>
      <c r="HL81" s="1321"/>
      <c r="HM81" s="1321"/>
      <c r="HN81" s="1085" t="str">
        <f>IF(parcelles!B129="","",(VLOOKUP(parcelles!C129,BDD!$HN$5:$HU$38,2,FALSE))*parcelles!E129)</f>
        <v/>
      </c>
      <c r="HO81" s="1085" t="str">
        <f>IF(parcelles!B129="","",IF(OR(parcelles!C129=Moutarde,parcelles!C129=Phacélie),0,IF(parcelles!C129=Luzerne,10*parcelles!E129*VLOOKUP(parcelles!C129,BDD!$HN$5:$HU$38,3,FALSE),IF(parcelles!C129=Miscanthus,10.5*parcelles!E129*VLOOKUP(parcelles!C129,BDD!$HN$5:$HU$38,3,FALSE),INDEX(parcelles!$C$56:'parcelles'!$Y$77,MATCH(parcelles!B129,parcelles!$B$56:'parcelles'!$B$77,0),MATCH(parcelles!C129,parcelles!$C$53:'parcelles'!$Y$53,0))*parcelles!E129*VLOOKUP(parcelles!C129,BDD!$HN$5:$HU$38,3,FALSE)))))</f>
        <v/>
      </c>
      <c r="HP81" s="1085" t="str">
        <f>IF(parcelles!B129="","",IF(OR(parcelles!C129=Moutarde,parcelles!C129=Phacélie),0,IF(parcelles!C129=Luzerne,10*parcelles!E129*VLOOKUP(parcelles!C129,BDD!$HN$5:$HU$38,4,FALSE),IF(parcelles!C129=Miscanthus,10.5*parcelles!E129*VLOOKUP(parcelles!C129,BDD!$HN$5:$HU$38,4,FALSE),INDEX(parcelles!$C$56:'parcelles'!$Y$77,MATCH(parcelles!B129,parcelles!$B$56:'parcelles'!$B$77,0),MATCH(parcelles!C129,parcelles!$C$53:'parcelles'!$Y$53,0))*parcelles!E129*VLOOKUP(parcelles!C129,BDD!$HN$5:$HU$38,4,FALSE)))))</f>
        <v/>
      </c>
      <c r="HQ81" s="1085" t="str">
        <f>IF(parcelles!B129="","",IF(OR(parcelles!C129=Moutarde,parcelles!C129=Phacélie),0,IF(parcelles!C129=Luzerne,10*parcelles!E129*VLOOKUP(parcelles!C129,BDD!$HN$5:$HU$38,5,FALSE),IF(parcelles!C129=Miscanthus,10.5*parcelles!E129*VLOOKUP(parcelles!C129,BDD!$HN$5:$HU$38,5,FALSE),INDEX(parcelles!$C$56:'parcelles'!$Y$77,MATCH(parcelles!B129,parcelles!$B$56:'parcelles'!$B$77,0),MATCH(parcelles!C129,parcelles!$C$53:'parcelles'!$Y$53,0))*parcelles!E129*VLOOKUP(parcelles!C129,BDD!$HN$5:$HU$38,5,FALSE)))))</f>
        <v/>
      </c>
      <c r="HR81" s="1085" t="str">
        <f>IF(parcelles!B129="","",IF(OR(parcelles!C129=Moutarde,parcelles!C129=Phacélie),0,IF(parcelles!C129=Luzerne,10*parcelles!E129*VLOOKUP(parcelles!C129,BDD!$HN$5:$HU$38,6,FALSE),IF(parcelles!C129=Miscanthus,10.5*parcelles!E129*VLOOKUP(parcelles!C129,BDD!$HN$5:$HU$38,6,FALSE),INDEX(parcelles!$C$56:'parcelles'!$Y$77,MATCH(parcelles!B129,parcelles!$B$56:'parcelles'!$B$77,0),MATCH(parcelles!C129,parcelles!$C$53:'parcelles'!$Y$53,0))*parcelles!E129*VLOOKUP(parcelles!C129,BDD!$HN$5:$HU$38,6,FALSE)))))</f>
        <v/>
      </c>
      <c r="HS81" s="1085" t="str">
        <f>IF(parcelles!B129="","",IF(OR(parcelles!C129=Moutarde,parcelles!C129=Phacélie),0,IF(parcelles!C129=Luzerne,10*parcelles!E129*VLOOKUP(parcelles!C129,BDD!$HN$5:$HU$38,7,FALSE),IF(parcelles!C129=Miscanthus,10.5*parcelles!E129*VLOOKUP(parcelles!C129,BDD!$HN$5:$HU$38,7,FALSE),INDEX(parcelles!$C$56:'parcelles'!$Y$77,MATCH(parcelles!B129,parcelles!$B$56:'parcelles'!$B$77,0),MATCH(parcelles!C129,parcelles!$C$53:'parcelles'!$Y$53,0))*parcelles!E129*VLOOKUP(parcelles!C129,BDD!$HN$5:$HU$38,7,FALSE)))))</f>
        <v/>
      </c>
      <c r="HT81" s="1085" t="str">
        <f>IF(parcelles!B129="","",IF(OR(parcelles!C129=Moutarde,parcelles!C129=Phacélie),0,IF(parcelles!C129=Luzerne,10*parcelles!E129*VLOOKUP(parcelles!C129,BDD!$HN$5:$HU$38,8,FALSE),IF(parcelles!C129=Miscanthus,10.5*parcelles!E129*VLOOKUP(parcelles!C129,BDD!$HN$5:$HU$38,8,FALSE),INDEX(parcelles!$C$56:'parcelles'!$Y$77,MATCH(parcelles!B129,parcelles!$B$56:'parcelles'!$B$77,0),MATCH(parcelles!C129,parcelles!$C$53:'parcelles'!$Y$53,0))*parcelles!E129*VLOOKUP(parcelles!C129,BDD!$HN$5:$HU$38,8,FALSE)))))</f>
        <v/>
      </c>
      <c r="HU81" s="1085" t="str">
        <f>IF(parcelles!B129="","",IF(OR(parcelles!C129=Moutarde,parcelles!C129=Phacélie),0,1.6*parcelles!E129))</f>
        <v/>
      </c>
      <c r="HV81" s="1085" t="str">
        <f>IF(parcelles!B129="","",IF(OR(parcelles!C129=Moutarde,parcelles!C129=Phacélie),0,1.6*parcelles!E129))</f>
        <v/>
      </c>
      <c r="HW81" s="1085" t="str">
        <f>IF(parcelles!B129="","",IF(OR(parcelles!C129=Moutarde,parcelles!C129=Phacélie),0,1.6*parcelles!E129))</f>
        <v/>
      </c>
      <c r="HX81" s="1092" t="str">
        <f>IF(parcelles!D129="","",IF(parcelles!C129=ChanvreIndustriel,INDEX(parcelles!$C$56:$Y$77,MATCH(parcelles!B129,parcelles!$B$56:$B$77,0),MATCH(parcelles!C129,parcelles!$C$53:$Y$53,0))*parcelles!E129*SUMIF(ListeCulturesBDD,parcelles!C129,PrixVenteCulturesConventionnel)+RIGHT(BDD!$HM$7,3)*7*parcelles!E129,IF(parcelles!C129=Luzerne,parcelles!E129*10*VLOOKUP(parcelles!C129,TarifsCoopCultures,2,FALSE),IF(parcelles!C129=Miscanthus,parcelles!E129*10.5*VLOOKUP(Luzerne,TarifsCoopCultures,2,FALSE),INDEX(parcelles!$C$56:$Y$77,MATCH(parcelles!B129,parcelles!$B$56:$B$77,0),MATCH(parcelles!C129,parcelles!$C$53:$Y$53,0))*parcelles!E129*SUMIF(ListeCulturesBDD,parcelles!C129,PrixVenteCulturesConventionnel)))))</f>
        <v/>
      </c>
      <c r="HY81" s="1085" t="str">
        <f>IF(parcelles!D129="","",IF(parcelles!F129=0,"",IF(parcelles!C129=ChanvreIndustriel,"soit "&amp;parcelles!E129*0.8&amp;"t de grain et "&amp;parcelles!E129*7&amp;"t de paille",IF(parcelles!C129=Luzerne,"soit "&amp;10*parcelles!E129&amp;"t/an",IF(parcelles!C129=Miscanthus,"soit "&amp;10.5*parcelles!E129&amp;"t/an","soit "&amp;INDEX(parcelles!$C$56:$Y$77,MATCH(parcelles!B129,parcelles!$B$56:$B$77,0),MATCH(parcelles!C129,parcelles!$C$53:$Y$53,0))*parcelles!E129&amp;"t")))))</f>
        <v/>
      </c>
      <c r="HZ81" s="1085" t="str">
        <f>IF(parcelles!D129="","",IF(parcelles!F129=0,"",IF(parcelles!C129=ChanvreIndustriel,"soit "&amp;parcelles!E129*0.8*0.8&amp;"t de grain et "&amp;parcelles!E129*7*0.8&amp;"t de paille",IF(parcelles!C129=Luzerne,"soit "&amp;10*0.8*parcelles!E129&amp;"t/an",IF(parcelles!C129=Miscanthus,"soit "&amp;10.5*0.8*parcelles!E129&amp;"t/an","soit "&amp;INDEX(parcelles!$C$56:$Y$77,MATCH(parcelles!B129,parcelles!$B$56:$B$77,0),MATCH(parcelles!C129,parcelles!$C$53:$Y$53,0))*0.8*parcelles!E129&amp;"t")))))</f>
        <v/>
      </c>
      <c r="IA81" s="1085" t="str">
        <f>IF(parcelles!L129="","",(VLOOKUP(parcelles!M129,BDD!$HN$5:$HU$38,2,FALSE))*parcelles!O129)</f>
        <v/>
      </c>
      <c r="IB81" s="1085" t="str">
        <f>IF(parcelles!L129="","",IF(OR(parcelles!M129=Moutarde,parcelles!M129=Phacélie),0,IF(parcelles!M129=Luzerne,10*parcelles!O129*VLOOKUP(parcelles!M129,BDD!$HN$5:$HU$38,3,FALSE),IF(parcelles!M129=Miscanthus,10.5*parcelles!O129*VLOOKUP(parcelles!M129,BDD!$HN$5:$HU$38,3,FALSE),INDEX(parcelles!$C$56:'parcelles'!$Y$77,MATCH(parcelles!L129,parcelles!$B$56:'parcelles'!$B$77,0),MATCH(parcelles!M129,parcelles!$C$53:'parcelles'!$Y$53,0))*parcelles!O129*VLOOKUP(parcelles!M129,BDD!$HN$5:$HU$38,3,FALSE)))))</f>
        <v/>
      </c>
      <c r="IC81" s="1085" t="str">
        <f>IF(parcelles!L129="","",IF(OR(parcelles!M129=Moutarde,parcelles!M129=Phacélie),0,IF(parcelles!M129=Luzerne,10*parcelles!O129*VLOOKUP(parcelles!M129,BDD!$HN$5:$HU$38,4,FALSE),IF(parcelles!M129=Miscanthus,10.5*parcelles!O129*VLOOKUP(parcelles!M129,BDD!$HN$5:$HU$38,4,FALSE),INDEX(parcelles!$C$56:'parcelles'!$Y$77,MATCH(parcelles!L129,parcelles!$B$56:'parcelles'!$B$77,0),MATCH(parcelles!M129,parcelles!$C$53:'parcelles'!$Y$53,0))*parcelles!O129*VLOOKUP(parcelles!M129,BDD!$HN$5:$HU$38,4,FALSE)))))</f>
        <v/>
      </c>
      <c r="ID81" s="1085" t="str">
        <f>IF(parcelles!L129="","",IF(OR(parcelles!M129=Moutarde,parcelles!M129=Phacélie),0,IF(parcelles!M129=Luzerne,10*parcelles!O129*VLOOKUP(parcelles!M129,BDD!$HN$5:$HU$38,5,FALSE),IF(parcelles!M129=Miscanthus,10.5*parcelles!O129*VLOOKUP(parcelles!M129,BDD!$HN$5:$HU$38,5,FALSE),INDEX(parcelles!$C$56:'parcelles'!$Y$77,MATCH(parcelles!L129,parcelles!$B$56:'parcelles'!$B$77,0),MATCH(parcelles!M129,parcelles!$C$53:'parcelles'!$Y$53,0))*parcelles!O129*VLOOKUP(parcelles!M129,BDD!$HN$5:$HU$38,5,FALSE)))))</f>
        <v/>
      </c>
      <c r="IE81" s="1085" t="str">
        <f>IF(parcelles!L129="","",IF(OR(parcelles!M129=Moutarde,parcelles!M129=Phacélie),0,IF(parcelles!M129=Luzerne,10*parcelles!O129*VLOOKUP(parcelles!M129,BDD!$HN$5:$HU$38,6,FALSE),IF(parcelles!M129=Miscanthus,10.5*parcelles!O129*VLOOKUP(parcelles!M129,BDD!$HN$5:$HU$38,6,FALSE),INDEX(parcelles!$C$56:'parcelles'!$Y$77,MATCH(parcelles!L129,parcelles!$B$56:'parcelles'!$B$77,0),MATCH(parcelles!M129,parcelles!$C$53:'parcelles'!$Y$53,0))*parcelles!O129*VLOOKUP(parcelles!M129,BDD!$HN$5:$HU$38,6,FALSE)))))</f>
        <v/>
      </c>
      <c r="IF81" s="1085" t="str">
        <f>IF(parcelles!L129="","",IF(OR(parcelles!M129=Moutarde,parcelles!M129=Phacélie),0,IF(parcelles!M129=Luzerne,10*parcelles!O129*VLOOKUP(parcelles!M129,BDD!$HN$5:$HU$38,7,FALSE),IF(parcelles!M129=Miscanthus,10.5*parcelles!O129*VLOOKUP(parcelles!M129,BDD!$HN$5:$HU$38,7,FALSE),INDEX(parcelles!$C$56:'parcelles'!$Y$77,MATCH(parcelles!L129,parcelles!$B$56:'parcelles'!$B$77,0),MATCH(parcelles!M129,parcelles!$C$53:'parcelles'!$Y$53,0))*parcelles!O129*VLOOKUP(parcelles!M129,BDD!$HN$5:$HU$38,7,FALSE)))))</f>
        <v/>
      </c>
      <c r="IG81" s="1085" t="str">
        <f>IF(parcelles!L129="","",IF(OR(parcelles!M129=Moutarde,parcelles!M129=Phacélie),0,IF(parcelles!M129=Luzerne,10*parcelles!O129*VLOOKUP(parcelles!M129,BDD!$HN$5:$HU$38,8,FALSE),IF(parcelles!M129=Miscanthus,10.5*parcelles!O129*VLOOKUP(parcelles!M129,BDD!$HN$5:$HU$38,8,FALSE),INDEX(parcelles!$C$56:'parcelles'!$Y$77,MATCH(parcelles!L129,parcelles!$B$56:'parcelles'!$B$77,0),MATCH(parcelles!M129,parcelles!$C$53:'parcelles'!$Y$53,0))*parcelles!O129*VLOOKUP(parcelles!M129,BDD!$HN$5:$HU$38,8,FALSE)))))</f>
        <v/>
      </c>
      <c r="IH81" s="1085" t="str">
        <f>IF(parcelles!L129="","",IF(OR(parcelles!L129=Moutarde,parcelles!L129=Phacélie),0,1.6*parcelles!O129))</f>
        <v/>
      </c>
      <c r="II81" s="1085" t="str">
        <f>IF(parcelles!L129="","",IF(OR(parcelles!L129=Moutarde,parcelles!L129=Phacélie),0,1.6*parcelles!O129))</f>
        <v/>
      </c>
      <c r="IJ81" s="1085" t="str">
        <f>IF(parcelles!L129="","",IF(OR(parcelles!L129=Moutarde,parcelles!L129=Phacélie),0,1.6*parcelles!O129))</f>
        <v/>
      </c>
      <c r="IK81" s="1085" t="str">
        <f>IF(parcelles!P129="","",IF(parcelles!R129=0,"",IF(parcelles!O129=ChanvreIndustriel,"soit "&amp;parcelles!Q129*0.8&amp;"t de grain et "&amp;parcelles!Q129*7&amp;"t de paille",IF(parcelles!O129=Luzerne,"soit "&amp;10*parcelles!Q129&amp;"t/an",IF(parcelles!O129=Miscanthus,"soit "&amp;10.5*parcelles!Q129&amp;"t/an","soit "&amp;INDEX(parcelles!$C$56:$Y$77,MATCH(parcelles!N129,parcelles!$B$56:$B$77,0),MATCH(parcelles!O129,parcelles!$C$53:$Y$53,0))*parcelles!Q129&amp;"t")))))</f>
        <v/>
      </c>
      <c r="IL81" s="1085" t="str">
        <f>IF(parcelles!P129="","",IF(parcelles!R129=0,"",IF(parcelles!O129=ChanvreIndustriel,"soit "&amp;parcelles!Q129*0.8*0.8&amp;"t de grain et "&amp;parcelles!Q129*7*0.8&amp;"t de paille",IF(parcelles!O129=Luzerne,"soit "&amp;10*0.8*parcelles!Q129&amp;"t/an",IF(parcelles!O129=Miscanthus,"soit "&amp;10.5*0.8*parcelles!Q129&amp;"t/an","soit "&amp;INDEX(parcelles!$C$56:$Y$77,MATCH(parcelles!N129,parcelles!$B$56:$B$77,0),MATCH(parcelles!O129,parcelles!$C$53:$Y$53,0))*0.8*parcelles!Q129&amp;"t")))))</f>
        <v/>
      </c>
      <c r="IM81" s="1085" t="str">
        <f>IF(parcelles!S129="","",IF(parcelles!U129=0,"",IF(parcelles!R129=ChanvreIndustriel,parcelles!T129*0.8*0.8+parcelles!T129*7*0.8,IF(parcelles!R129=Luzerne,10*0.8*parcelles!T129,IF(parcelles!R129=Miscanthus,10.5*0.8*parcelles!T129,INDEX(parcelles!$C$56:$Y$77,MATCH(parcelles!Q129,parcelles!$B$56:$B$77,0),MATCH(parcelles!R129,parcelles!$C$53:$Y$53,0))*0.8*parcelles!T129)))))</f>
        <v/>
      </c>
      <c r="IN81" s="1368"/>
    </row>
    <row r="82" spans="1:248" ht="12.75" customHeight="1" x14ac:dyDescent="0.2">
      <c r="A82" s="1307" t="s">
        <v>371</v>
      </c>
      <c r="B82" s="1241">
        <f t="shared" si="17"/>
        <v>1E-3</v>
      </c>
      <c r="C82" s="1321"/>
      <c r="D82" s="1321"/>
      <c r="E82" s="1321"/>
      <c r="F82" s="1143" t="s">
        <v>1159</v>
      </c>
      <c r="G82" s="1143" t="s">
        <v>1161</v>
      </c>
      <c r="H82" s="1244" t="s">
        <v>1166</v>
      </c>
      <c r="I82" s="1143" t="s">
        <v>1162</v>
      </c>
      <c r="J82" s="1244" t="s">
        <v>1166</v>
      </c>
      <c r="K82" s="1244" t="s">
        <v>1167</v>
      </c>
      <c r="L82" s="1244" t="s">
        <v>1167</v>
      </c>
      <c r="M82" s="1321"/>
      <c r="N82" s="1321"/>
      <c r="O82" s="1079" t="s">
        <v>1466</v>
      </c>
      <c r="P82" s="1321"/>
      <c r="Q82" s="1076">
        <v>4</v>
      </c>
      <c r="R82" s="1321"/>
      <c r="S82" s="1321"/>
      <c r="T82" s="1321"/>
      <c r="U82" s="1321"/>
      <c r="V82" s="1321"/>
      <c r="W82" s="1321"/>
      <c r="X82" s="1321"/>
      <c r="Y82" s="1081" t="s">
        <v>1673</v>
      </c>
      <c r="Z82" s="1081">
        <f>IF('coût alimentation'!$B$6=$Y$82,7,0)</f>
        <v>0</v>
      </c>
      <c r="AA82" s="1081">
        <f>IF('coût alimentation'!$B$6=$Y$82,7,0)</f>
        <v>0</v>
      </c>
      <c r="AB82" s="1081">
        <f>IF('coût alimentation'!$B$6=$Y$82,7,0)</f>
        <v>0</v>
      </c>
      <c r="AC82" s="1081">
        <f>IF('coût alimentation'!$B$6=$Y$82,7,0)</f>
        <v>0</v>
      </c>
      <c r="AD82" s="1081">
        <f>IF('coût alimentation'!$B$6=$Y$82,7,0)</f>
        <v>0</v>
      </c>
      <c r="AE82" s="1081">
        <f>IF('coût alimentation'!$B$6=$Y$82,7,0)</f>
        <v>0</v>
      </c>
      <c r="AF82" s="1081">
        <f>IF('coût alimentation'!$B$6=$Y$82,7,0)</f>
        <v>0</v>
      </c>
      <c r="AG82" s="1081">
        <f>IF('coût alimentation'!$B$6=$Y$82,7,0)</f>
        <v>0</v>
      </c>
      <c r="AH82" s="1321"/>
      <c r="AI82" s="1321"/>
      <c r="AJ82" s="1321"/>
      <c r="AK82" s="1321"/>
      <c r="AL82" s="1321"/>
      <c r="AM82" s="1321"/>
      <c r="AN82" s="1321"/>
      <c r="AO82" s="1321"/>
      <c r="AP82" s="1321"/>
      <c r="AQ82" s="1321"/>
      <c r="AR82" s="1321"/>
      <c r="AS82" s="1321"/>
      <c r="AT82" s="1321"/>
      <c r="AU82" s="1321"/>
      <c r="AV82" s="1321"/>
      <c r="AW82" s="1321"/>
      <c r="AX82" s="1321"/>
      <c r="AY82" s="1321"/>
      <c r="AZ82" s="1321"/>
      <c r="BA82" s="1321"/>
      <c r="BB82" s="1236" t="s">
        <v>726</v>
      </c>
      <c r="BC82" s="1190" t="s">
        <v>733</v>
      </c>
      <c r="BD82" s="1190" t="s">
        <v>1252</v>
      </c>
      <c r="BE82" s="1237">
        <v>200</v>
      </c>
      <c r="BF82" s="1237">
        <v>100</v>
      </c>
      <c r="BG82" s="1237">
        <v>80</v>
      </c>
      <c r="BH82" s="1237">
        <v>60</v>
      </c>
      <c r="BI82" s="1237">
        <v>40</v>
      </c>
      <c r="BJ82" s="1237">
        <v>28</v>
      </c>
      <c r="BK82" s="1238">
        <v>12</v>
      </c>
      <c r="BL82" s="1348"/>
      <c r="BM82" s="1075" t="str">
        <f t="shared" si="23"/>
        <v>concentré jeunes porcins</v>
      </c>
      <c r="BN82" s="1075">
        <f t="array" ref="BN82">IF(Ration_hivernale_complète_bisons[somme]&gt;0,0,IFERROR(IF(OR(AND(INDEX(Règles_bison[Specificite],MATCH(ChoixRationBisons&amp;$BM82,Règles_bison[Ration]&amp;Règles_bison[Aliment],0))="s1",IF($BM82=ChoixSpécificité1Bisons,1)),
AND(INDEX(Règles_bison[Specificite],MATCH(ChoixRationBisons&amp;$BM82,Règles_bison[Ration]&amp;Règles_bison[Aliment],0))="s2",IF($BM82=ChoixSpécificité2Bisons,1)),INDEX(Règles_bison[Specificite],MATCH(ChoixRationBisons&amp;$BM82,Règles_bison[Ration]&amp;Règles_bison[Aliment],0))="c"),
INDEX(Règles_bison[Valeur 36 et plus],MATCH(ChoixRationBisons&amp;$BM82,Règles_bison[Ration]&amp;Règles_bison[Aliment],0)),0),0)*TotalBisonnes*SUM(NbreJoursNourrirBisonsDaims))</f>
        <v>0</v>
      </c>
      <c r="BO82" s="1075">
        <f t="array" ref="BO82">IF(Ration_hivernale_complète_bisons[somme]&gt;0,0,IFERROR(IF(OR(AND(INDEX(Règles_bison[Specificite],MATCH(ChoixRationBisons&amp;$BM82,Règles_bison[Ration]&amp;Règles_bison[Aliment],0))="s1",IF($BM82=ChoixSpécificité1Bisons,1)),
AND(INDEX(Règles_bison[Specificite],MATCH(ChoixRationBisons&amp;$BM82,Règles_bison[Ration]&amp;Règles_bison[Aliment],0))="s2",IF($BM82=ChoixSpécificité2Bisons,1)),INDEX(Règles_bison[Specificite],MATCH(ChoixRationBisons&amp;$BM82,Règles_bison[Ration]&amp;Règles_bison[Aliment],0))="c"),
INDEX(Règles_bison[Valeur 24-36],MATCH(ChoixRationBisons&amp;$BM82,Règles_bison[Ration]&amp;Règles_bison[Aliment],0)),0),0)*TotalBisonsFemelles_24_36_mois*SUM(NbreJoursNourrirBisonsDaims))</f>
        <v>0</v>
      </c>
      <c r="BP82" s="1075">
        <f t="array" ref="BP82">IF(Ration_hivernale_complète_bisons[somme]&gt;0,0,IFERROR(IF(OR(AND(INDEX(Règles_bison[Specificite],MATCH(ChoixRationBisons&amp;$BM82,Règles_bison[Ration]&amp;Règles_bison[Aliment],0))="s1",IF($BM82=ChoixSpécificité1Bisons,1)),
AND(INDEX(Règles_bison[Specificite],MATCH(ChoixRationBisons&amp;$BM82,Règles_bison[Ration]&amp;Règles_bison[Aliment],0))="s2",IF($BM82=ChoixSpécificité2Bisons,1)),INDEX(Règles_bison[Specificite],MATCH(ChoixRationBisons&amp;$BM82,Règles_bison[Ration]&amp;Règles_bison[Aliment],0))="c"),
INDEX(Règles_bison[Valeur 18-24],MATCH(ChoixRationBisons&amp;$BM82,Règles_bison[Ration]&amp;Règles_bison[Aliment],0)),0),0)*TotalBisonsFemelles_18_24_mois*SUM(NbreJoursNourrirBisonsDaims))</f>
        <v>0</v>
      </c>
      <c r="BQ82" s="1075">
        <f t="array" ref="BQ82">IF(Ration_hivernale_complète_bisons[somme]&gt;0,0,IFERROR(IF(OR(AND(INDEX(Règles_bison[Specificite],MATCH(ChoixRationBisons&amp;$BM82,Règles_bison[Ration]&amp;Règles_bison[Aliment],0))="s1",IF($BM82=ChoixSpécificité1Bisons,1)),
AND(INDEX(Règles_bison[Specificite],MATCH(ChoixRationBisons&amp;$BM82,Règles_bison[Ration]&amp;Règles_bison[Aliment],0))="s2",IF($BM82=ChoixSpécificité2Bisons,1)),INDEX(Règles_bison[Specificite],MATCH(ChoixRationBisons&amp;$BM82,Règles_bison[Ration]&amp;Règles_bison[Aliment],0))="c"),
INDEX(Règles_bison[Valeur 12-18],MATCH(ChoixRationBisons&amp;$BM82,Règles_bison[Ration]&amp;Règles_bison[Aliment],0)),0),0)*TotalBisonsFemelles_12_18_mois*SUM(NbreJoursNourrirBisonsDaims))</f>
        <v>0</v>
      </c>
      <c r="BR82" s="1075">
        <f t="array" ref="BR82">IF(Ration_hivernale_complète_bisons[somme]&gt;0,0,IFERROR(IF(OR(AND(INDEX(Règles_bison[Specificite],MATCH(ChoixRationBisons&amp;$BM82,Règles_bison[Ration]&amp;Règles_bison[Aliment],0))="s1",IF($BM82=ChoixSpécificité1Bisons,1)),
AND(INDEX(Règles_bison[Specificite],MATCH(ChoixRationBisons&amp;$BM82,Règles_bison[Ration]&amp;Règles_bison[Aliment],0))="s2",IF($BM82=ChoixSpécificité2Bisons,1)),INDEX(Règles_bison[Specificite],MATCH(ChoixRationBisons&amp;$BM82,Règles_bison[Ration]&amp;Règles_bison[Aliment],0))="c"),
INDEX(Règles_bison[Valeur 6-12],MATCH(ChoixRationBisons&amp;$BM82,Règles_bison[Ration]&amp;Règles_bison[Aliment],0)),0),0)*TotalBisonsFemelles_6_12_mois*SUM(NbreJoursNourrirBisonsDaims))</f>
        <v>0</v>
      </c>
      <c r="BS82" s="1075">
        <f t="array" ref="BS82">IF(Ration_hivernale_complète_bisons[somme]&gt;0,0,IFERROR(IF(OR(AND(INDEX(Règles_bison[Specificite],MATCH(ChoixRationBisons&amp;$BM82,Règles_bison[Ration]&amp;Règles_bison[Aliment],0))="s1",IF($BM82=ChoixSpécificité1Bisons,1)),
AND(INDEX(Règles_bison[Specificite],MATCH(ChoixRationBisons&amp;$BM82,Règles_bison[Ration]&amp;Règles_bison[Aliment],0))="s2",IF($BM82=ChoixSpécificité2Bisons,1)),INDEX(Règles_bison[Specificite],MATCH(ChoixRationBisons&amp;$BM82,Règles_bison[Ration]&amp;Règles_bison[Aliment],0))="c"),
INDEX(Règles_bison[Valeur 3-6],MATCH(ChoixRationBisons&amp;$BM82,Règles_bison[Ration]&amp;Règles_bison[Aliment],0)),0),0)*TotalBisonsFemelles_3_6_mois*SUM(NbreJoursNourrirBisonsDaims))</f>
        <v>0</v>
      </c>
      <c r="BT82" s="1075">
        <f t="array" ref="BT82">IF(Ration_hivernale_complète_bisons[somme]&gt;0,0,IFERROR(IF(OR(AND(INDEX(Règles_bison[Specificite],MATCH(ChoixRationBisons&amp;$BM82,Règles_bison[Ration]&amp;Règles_bison[Aliment],0))="s1",IF($BM82=ChoixSpécificité1Bisons,1)),
AND(INDEX(Règles_bison[Specificite],MATCH(ChoixRationBisons&amp;$BM82,Règles_bison[Ration]&amp;Règles_bison[Aliment],0))="s2",IF($BM82=ChoixSpécificité2Bisons,1)),INDEX(Règles_bison[Specificite],MATCH(ChoixRationBisons&amp;$BM82,Règles_bison[Ration]&amp;Règles_bison[Aliment],0))="c"),
INDEX(Règles_bison[Valeur 0-3],MATCH(ChoixRationBisons&amp;$BM82,Règles_bison[Ration]&amp;Règles_bison[Aliment],0)),0),0)*TotalBisonsFemelles_0_3_mois*SUM(NbreJoursNourrirBisonsDaims))</f>
        <v>0</v>
      </c>
      <c r="BU82" s="1075">
        <f t="shared" si="22"/>
        <v>0</v>
      </c>
      <c r="BV82" s="1346"/>
      <c r="BW82" s="1346"/>
      <c r="BX82" s="1176" t="s">
        <v>764</v>
      </c>
      <c r="BY82" s="1177" t="s">
        <v>671</v>
      </c>
      <c r="BZ82" s="1177" t="s">
        <v>1252</v>
      </c>
      <c r="CA82" s="1177">
        <v>16</v>
      </c>
      <c r="CB82" s="1177">
        <v>12</v>
      </c>
      <c r="CC82" s="1177">
        <v>8</v>
      </c>
      <c r="CD82" s="1199">
        <v>0</v>
      </c>
      <c r="CE82" s="1350"/>
      <c r="CF82" s="1350"/>
      <c r="CG82" s="1350"/>
      <c r="CH82" s="1350"/>
      <c r="CI82" s="1321"/>
      <c r="CJ82" s="808" t="s">
        <v>76</v>
      </c>
      <c r="CK82" s="788">
        <f t="array" ref="CK8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82" s="788">
        <f t="array" ref="CL8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82" s="788">
        <f t="array" ref="CM8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82" s="788">
        <f t="array" ref="CN8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82" s="788">
        <f t="array" ref="CO82">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82" s="812">
        <f>SUM(AlimentsRationPorcinsMâles[[#This Row],[Valeur 12 et plus]:[Valeur 0-1]])</f>
        <v>0</v>
      </c>
      <c r="CQ82" s="1321"/>
      <c r="CR82" s="1321"/>
      <c r="CS82" s="808" t="s">
        <v>723</v>
      </c>
      <c r="CT82" s="817">
        <f t="array" ref="CT8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82" s="817">
        <f t="array" ref="CU8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82" s="817">
        <f t="array" ref="CV8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82" s="818">
        <f>SUM(AlimentsRationLapinsMâles[[#This Row],[Valeur 3 et plus]:[Valeur 0-1]])</f>
        <v>0</v>
      </c>
      <c r="CX82" s="1321"/>
      <c r="CY82" s="1321"/>
      <c r="CZ82" s="808" t="s">
        <v>723</v>
      </c>
      <c r="DA82" s="817">
        <f t="array" ref="DA8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82" s="817">
        <f t="array" ref="DB8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82" s="817">
        <f t="array" ref="DC8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82" s="818">
        <f>SUM(AlimentsRationVolaillesMâles[[#This Row],[Valeur 6 et plus]:[Valeur 0-1]])</f>
        <v>0</v>
      </c>
      <c r="DE82" s="1364"/>
      <c r="DF82" s="1321"/>
      <c r="DG82" s="808"/>
      <c r="DH82" s="817">
        <f t="array" ref="DH8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82" s="817">
        <f t="array" ref="DI8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82" s="817">
        <f t="array" ref="DJ82">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82" s="818">
        <f>SUM(AlimentsRationPintadesMâles[[#This Row],[Valeur 9 et plus]:[Valeur 0-1]])</f>
        <v>0</v>
      </c>
      <c r="DL82" s="1364"/>
      <c r="DM82" s="1364"/>
      <c r="DN82" s="1176" t="s">
        <v>836</v>
      </c>
      <c r="DO82" s="1177" t="s">
        <v>1273</v>
      </c>
      <c r="DP82" s="1177" t="s">
        <v>1252</v>
      </c>
      <c r="DQ82" s="1181">
        <v>1.2</v>
      </c>
      <c r="DR82" s="1181">
        <v>0.8</v>
      </c>
      <c r="DS82" s="1181">
        <v>0.6</v>
      </c>
      <c r="DT82" s="1243">
        <v>0.4</v>
      </c>
      <c r="DU82" s="1345"/>
      <c r="DV82" s="1076" t="str">
        <f t="shared" si="24"/>
        <v>Chanvre</v>
      </c>
      <c r="DW82" s="1267">
        <f t="array" ref="DW82">SUM((IF(QualitéAlimentsFaonMâle_0_3_mois=BONNE,VLOOKUP("Chanvre",AlimentsRationHivernaleDaims,8,FALSE),0)+(IF(QualitéAlimentsFaonFemelle_0_3_mois=BONNE,VLOOKUP("Chanvre",AlimentsRationHivernaleDaims,8,FALSE),0)+(IF(QualitéAlimentsFaonMâle_3_6_mois=BONNE,VLOOKUP("Chanvre",AlimentsRationHivernaleDaims,7,FALSE),0)+(IF(QualitéAlimentsFaonFemelle_3_6_mois=BONNE,VLOOKUP("Chanvre",AlimentsRationHivernaleDaims,7,FALSE),0)+(IF(QualitéAlimentsFaonMâle_6_12_mois=BONNE,VLOOKUP("Chanvre",AlimentsRationHivernaleDaims,6,FALSE),0)+(IF(QualitéAlimentsFaonFemelle_6_12_mois=BONNE,VLOOKUP("Chanvre",AlimentsRationHivernaleDaims,6,FALSE),0)+(IF(QualitéAlimentsJeuneDaim_12_18_mois=BONNE,VLOOKUP("Chanvre",AlimentsRationHivernaleDaims,5,FALSE),0)+(IF(QualitéAlimentsJeuneDaine_12_18_mois=BONNE,VLOOKUP("Chanvre",AlimentsRationHivernaleDaims,5,FALSE),0)+(IF(QualitéAlimentsJeuneDaim_18_24_mois=BONNE,VLOOKUP("Chanvre",AlimentsRationHivernaleDaims,4,FALSE),0)+(IF(QualitéAlimentsJeuneDaine_18_24_mois=BONNE,VLOOKUP("Chanvre",AlimentsRationHivernaleDaims,4,FALSE),0)+(IF(QualitéAlimentsJeuneDaim_24_36_mois=BONNE,VLOOKUP("Chanvre",AlimentsRationHivernaleDaims,3,FALSE),0)+(IF(QualitéAlimentsJeuneDaine_24_36_mois=BONNE,VLOOKUP("Chanvre",AlimentsRationHivernaleDaims,3,FALSE),0)+(IF(QualitéAlimentsDaim=BONNE,VLOOKUP("Chanvre",AlimentsRationHivernaleDaims,2,FALSE),0)+(IF(QualitéAlimentsDaine=BONNE,VLOOKUP("Chanvre",AlimentsRationHivernaleDaims,2,FALSE),0))))))))))))))))</f>
        <v>0</v>
      </c>
      <c r="DX82" s="1267">
        <f t="array" ref="DX82">SUM((IF(QualitéAlimentsFaonMâle_0_3_mois=MOYENNE,VLOOKUP("Chanvre",AlimentsRationHivernaleDaims,8,FALSE),0)+(IF(QualitéAlimentsFaonFemelle_0_3_mois=MOYENNE,VLOOKUP("Chanvre",AlimentsRationHivernaleDaims,8,FALSE),0)+(IF(QualitéAlimentsFaonMâle_3_6_mois=MOYENNE,VLOOKUP("Chanvre",AlimentsRationHivernaleDaims,7,FALSE),0)+(IF(QualitéAlimentsFaonFemelle_3_6_mois=MOYENNE,VLOOKUP("Chanvre",AlimentsRationHivernaleDaims,7,FALSE),0)+(IF(QualitéAlimentsFaonMâle_6_12_mois=MOYENNE,VLOOKUP("Chanvre",AlimentsRationHivernaleDaims,6,FALSE),0)+(IF(QualitéAlimentsFaonFemelle_6_12_mois=MOYENNE,VLOOKUP("Chanvre",AlimentsRationHivernaleDaims,6,FALSE),0)+(IF(QualitéAlimentsJeuneDaim_12_18_mois=MOYENNE,VLOOKUP("Chanvre",AlimentsRationHivernaleDaims,5,FALSE),0)+(IF(QualitéAlimentsJeuneDaine_12_18_mois=MOYENNE,VLOOKUP("Chanvre",AlimentsRationHivernaleDaims,5,FALSE),0)+(IF(QualitéAlimentsJeuneDaim_18_24_mois=MOYENNE,VLOOKUP("Chanvre",AlimentsRationHivernaleDaims,4,FALSE),0)+(IF(QualitéAlimentsJeuneDaine_18_24_mois=MOYENNE,VLOOKUP("Chanvre",AlimentsRationHivernaleDaims,4,FALSE),0)+(IF(QualitéAlimentsJeuneDaim_24_36_mois=MOYENNE,VLOOKUP("Chanvre",AlimentsRationHivernaleDaims,3,FALSE),0)+(IF(QualitéAlimentsJeuneDaine_24_36_mois=MOYENNE,VLOOKUP("Chanvre",AlimentsRationHivernaleDaims,3,FALSE),0)+(IF(QualitéAlimentsDaim=MOYENNE,VLOOKUP("Chanvre",AlimentsRationHivernaleDaims,2,FALSE),0)+(IF(QualitéAlimentsDaine=MOYENNE,VLOOKUP("Chanvre",AlimentsRationHivernaleDaims,2,FALSE),0))))))))))))))))</f>
        <v>0</v>
      </c>
      <c r="DY82" s="1267">
        <f t="array" ref="DY82">SUM((IF(QualitéAlimentsFaonMâle_0_3_mois=MAUVAISE,VLOOKUP("Chanvre",AlimentsRationHivernaleDaims,8,FALSE),0)+(IF(QualitéAlimentsFaonFemelle_0_3_mois=MAUVAISE,VLOOKUP("Chanvre",AlimentsRationHivernaleDaims,8,FALSE),0)+(IF(QualitéAlimentsFaonMâle_3_6_mois=MAUVAISE,VLOOKUP("Chanvre",AlimentsRationHivernaleDaims,7,FALSE),0)+(IF(QualitéAlimentsFaonFemelle_3_6_mois=MAUVAISE,VLOOKUP("Chanvre",AlimentsRationHivernaleDaims,7,FALSE),0)+(IF(QualitéAlimentsFaonMâle_6_12_mois=MAUVAISE,VLOOKUP("Chanvre",AlimentsRationHivernaleDaims,6,FALSE),0)+(IF(QualitéAlimentsFaonFemelle_6_12_mois=MAUVAISE,VLOOKUP("Chanvre",AlimentsRationHivernaleDaims,6,FALSE),0)+(IF(QualitéAlimentsJeuneDaim_12_18_mois=MAUVAISE,VLOOKUP("Chanvre",AlimentsRationHivernaleDaims,5,FALSE),0)+(IF(QualitéAlimentsJeuneDaine_12_18_mois=MAUVAISE,VLOOKUP("Chanvre",AlimentsRationHivernaleDaims,5,FALSE),0)+(IF(QualitéAlimentsJeuneDaim_18_24_mois=MAUVAISE,VLOOKUP("Chanvre",AlimentsRationHivernaleDaims,4,FALSE),0)+(IF(QualitéAlimentsJeuneDaine_18_24_mois=MAUVAISE,VLOOKUP("Chanvre",AlimentsRationHivernaleDaims,4,FALSE),0)+(IF(QualitéAlimentsJeuneDaim_24_36_mois=MAUVAISE,VLOOKUP("Chanvre",AlimentsRationHivernaleDaims,3,FALSE),0)+(IF(QualitéAlimentsJeuneDaine_24_36_mois=MAUVAISE,VLOOKUP("Chanvre",AlimentsRationHivernaleDaims,3,FALSE),0)+(IF(QualitéAlimentsDaim=MAUVAISE,VLOOKUP("Chanvre",AlimentsRationHivernaleDaims,2,FALSE),0)+(IF(QualitéAlimentsDaine=MAUVAISE,VLOOKUP("Chanvre",AlimentsRationHivernaleDaims,2,FALSE),0))))))))))))))))</f>
        <v>0</v>
      </c>
      <c r="DZ82" s="1345"/>
      <c r="EA82" s="1345"/>
      <c r="EB82" s="1345"/>
      <c r="EC82" s="1345"/>
      <c r="ED82" s="1345"/>
      <c r="EE82" s="1345"/>
      <c r="EF82" s="1321"/>
      <c r="EG82" s="808" t="s">
        <v>296</v>
      </c>
      <c r="EH82" s="817">
        <f t="array" ref="EH82">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82" s="817">
        <f t="array" ref="EI82">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82" s="817">
        <f t="array" ref="EJ82">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82" s="818">
        <f>SUM(AlimentsRationOiesMâles[[#This Row],[Valeur 6 et plus]:[Valeur 0-3]])</f>
        <v>0</v>
      </c>
      <c r="EL82" s="1364"/>
      <c r="EM82" s="1321"/>
      <c r="EN82" s="808" t="s">
        <v>1273</v>
      </c>
      <c r="EO82" s="817">
        <f t="array" ref="EO82">IF(OR(ChoixPaysPartie=USA,ChoixPaysPartie=CANADA,ChoixPaysPartie=""),0,IF(ChoixRationComplèteCanards=OUI,0,IFERROR(IF(OR(AND(INDEX(Règles_canards[Specificite],MATCH(ChoixRationCanards&amp;Ration_canards_Mâles[[#This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82" s="817">
        <f t="array" ref="EP82">IF(OR(ChoixPaysPartie=USA,ChoixPaysPartie=CANADA,ChoixPaysPartie=""),0,IF(ChoixRationComplèteCanards=OUI,0,IFERROR(IF(OR(AND(INDEX(Règles_canards[Specificite],MATCH(ChoixRationCanards&amp;Ration_canards_Mâles[[#This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82" s="817">
        <f t="array" ref="EQ82">IF(OR(ChoixPaysPartie=USA,ChoixPaysPartie=CANADA,ChoixPaysPartie=""),0,IF(ChoixRationComplèteCanards=OUI,0,IFERROR(IF(OR(AND(INDEX(Règles_canards[Specificite],MATCH(ChoixRationCanards&amp;Ration_canards_Mâles[[#This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82" s="818">
        <f>SUM(Ration_canards_Mâles[[#This Row],[Valeur 6 et plus]:[Valeur 0-3]])</f>
        <v>0</v>
      </c>
      <c r="ES82" s="1364"/>
      <c r="ET82" s="1321"/>
      <c r="EU82" s="1082" t="s">
        <v>297</v>
      </c>
      <c r="EV82" s="1282">
        <f t="array" ref="EV82">IF(OR(ChoixRationComplèteEtéChevauxSelle=OUI,ChoixRationComplèteEtéChevauxSelle="",AND(ChoixChevauxSellePréHiver=OUI,ChoixChevauxSellePréEté=OUI)),0,IFERROR(IF(OR(AND(INDEX(Règles_chevaux_selle[Specificite],MATCH(RationEtéChevauxSelle&amp;$EU82,Règles_chevaux_selle[Ration]&amp;Règles_chevaux_selle[Aliment],0))="s1",IF($EU82=Spécificité1ChevauxSelle,1)),
AND(INDEX(Règles_chevaux_selle[Specificite],MATCH(RationEtéChevauxSelle&amp;$EU82,Règles_chevaux_selle[Ration]&amp;Règles_chevaux_selle[Aliment],0))="s2",IF($EU82=Spécificité2ChevauxSelle,1)),
INDEX(Règles_chevaux_selle[Specificite],MATCH(RationEtéChevauxSelle&amp;$EU82,Règles_chevaux_selle[Ration]&amp;Règles_chevaux_selle[Aliment],0))="c"),
INDEX(Règles_chevaux_selle[Valeur 36 et plus],MATCH(RationEtéChevauxSelle&amp;$EU82,Règles_chevaux_selle[Ration]&amp;Règles_chevaux_selle[Aliment],0)),0),0)*TotalEtalonSelle*SUM(NbreJoursNourrirChevauxSelle))</f>
        <v>0</v>
      </c>
      <c r="EW82" s="1282">
        <f t="array" ref="EW82">IF(OR(ChoixRationComplèteEtéChevauxSelle=OUI,ChoixRationComplèteEtéChevauxSelle="",AND(ChoixChevauxSellePréHiver=OUI,ChoixChevauxSellePréEté=OUI)),0,IFERROR(IF(OR(AND(INDEX(Règles_chevaux_selle[Specificite],MATCH(RationEtéChevauxSelle&amp;$EU82,Règles_chevaux_selle[Ration]&amp;Règles_chevaux_selle[Aliment],0))="s1",IF($EU82=Spécificité1ChevauxSelle,1)),
AND(INDEX(Règles_chevaux_selle[Specificite],MATCH(RationEtéChevauxSelle&amp;$EU82,Règles_chevaux_selle[Ration]&amp;Règles_chevaux_selle[Aliment],0))="s2",IF($EU82=Spécificité2ChevauxSelle,1)),
INDEX(Règles_chevaux_selle[Specificite],MATCH(RationEtéChevauxSelle&amp;$EU82,Règles_chevaux_selle[Ration]&amp;Règles_chevaux_selle[Aliment],0))="c"),
INDEX(Règles_chevaux_selle[Valeur 24-36],MATCH(RationEtéChevauxSelle&amp;$EU82,Règles_chevaux_selle[Ration]&amp;Règles_chevaux_selle[Aliment],0)),0),0)*TotalJeuneEtalonSelle_24_36_mois*SUM(NbreJoursNourrirChevauxSelle))</f>
        <v>0</v>
      </c>
      <c r="EX82" s="1282">
        <f t="array" ref="EX82">IF(OR(ChoixRationComplèteEtéChevauxSelle=OUI,ChoixRationComplèteEtéChevauxSelle="",AND(ChoixChevauxSellePréHiver=OUI,ChoixChevauxSellePréEté=OUI)),0,IFERROR(IF(OR(AND(INDEX(Règles_chevaux_selle[Specificite],MATCH(RationEtéChevauxSelle&amp;$EU82,Règles_chevaux_selle[Ration]&amp;Règles_chevaux_selle[Aliment],0))="s1",IF($EU82=Spécificité1ChevauxSelle,1)),
AND(INDEX(Règles_chevaux_selle[Specificite],MATCH(RationEtéChevauxSelle&amp;$EU82,Règles_chevaux_selle[Ration]&amp;Règles_chevaux_selle[Aliment],0))="s2",IF($EU82=Spécificité2ChevauxSelle,1)),
INDEX(Règles_chevaux_selle[Specificite],MATCH(RationEtéChevauxSelle&amp;$EU82,Règles_chevaux_selle[Ration]&amp;Règles_chevaux_selle[Aliment],0))="c"),
INDEX(Règles_chevaux_selle[Valeur 12-24],MATCH(RationEtéChevauxSelle&amp;$EU82,Règles_chevaux_selle[Ration]&amp;Règles_chevaux_selle[Aliment],0)),0),0)*TotalJeuneEtalonSelle_12_24_mois*SUM(NbreJoursNourrirChevauxSelle))</f>
        <v>0</v>
      </c>
      <c r="EY82" s="1285">
        <f t="array" ref="EY82">IF(OR(ChoixRationComplèteEtéChevauxSelle=OUI,ChoixRationComplèteEtéChevauxSelle="",AND(ChoixChevauxSellePréHiver=OUI,ChoixChevauxSellePréEté=OUI)),0,IFERROR(IF(OR(AND(INDEX(Règles_chevaux_selle[Specificite],MATCH(RationEtéChevauxSelle&amp;$EU82,Règles_chevaux_selle[Ration]&amp;Règles_chevaux_selle[Aliment],0))="s1",IF($EU82=Spécificité1ChevauxSelle,1)),
AND(INDEX(Règles_chevaux_selle[Specificite],MATCH(RationEtéChevauxSelle&amp;$EU82,Règles_chevaux_selle[Ration]&amp;Règles_chevaux_selle[Aliment],0))="s2",IF($EU82=Spécificité2ChevauxSelle,1)),
INDEX(Règles_chevaux_selle[Specificite],MATCH(RationEtéChevauxSelle&amp;$EU82,Règles_chevaux_selle[Ration]&amp;Règles_chevaux_selle[Aliment],0))="c"),
INDEX(Règles_chevaux_selle[Valeur 0-12],MATCH(RationEtéChevauxSelle&amp;$EU82,Règles_chevaux_selle[Ration]&amp;Règles_chevaux_selle[Aliment],0)),0),0)*TotalPoulainSelle_0_12_mois*SUM(NbreJoursNourrirChevauxSelle))</f>
        <v>0</v>
      </c>
      <c r="EZ82" s="1285">
        <f t="shared" si="16"/>
        <v>0</v>
      </c>
      <c r="FA82" s="1345"/>
      <c r="FB82" s="1345"/>
      <c r="FC82" s="1321"/>
      <c r="FD82" s="1082" t="s">
        <v>671</v>
      </c>
      <c r="FE82" s="1282">
        <f t="array" ref="FE82">IF(OR(ChoixRationComplèteEtéChevauxTrait=OUI,ChoixRationComplèteEtéChevauxTrait="",AND(ChoixChevauxTraitPréHiver=OUI,ChoixChevauxTraitPréEté=OUI)),0,IFERROR(IF(OR(AND(INDEX(Règles_chevaux_trait[Specificite],MATCH(RationEtéChevauxTrait&amp;$FD82,Règles_chevaux_trait[Ration]&amp;Règles_chevaux_trait[Aliment],0))="s1",IF($FD82=Spécificité1ChevauxTrait,1)),
AND(INDEX(Règles_chevaux_trait[Specificite],MATCH(RationEtéChevauxTrait&amp;$FD82,Règles_chevaux_trait[Ration]&amp;Règles_chevaux_trait[Aliment],0))="s2",IF($FD82=Spécificité2ChevauxTrait,1)),
INDEX(Règles_chevaux_trait[Specificite],MATCH(RationEtéChevauxTrait&amp;$FD82,Règles_chevaux_trait[Ration]&amp;Règles_chevaux_trait[Aliment],0))="c"),
INDEX(Règles_chevaux_trait[Valeur 36 et plus],MATCH(RationEtéChevauxTrait&amp;$FD82,Règles_chevaux_trait[Ration]&amp;Règles_chevaux_trait[Aliment],0)),0),0)*TotalEtalonTrait*SUM(NbreJoursNourrirChevauxTrait))</f>
        <v>0</v>
      </c>
      <c r="FF82" s="1282">
        <f t="array" ref="FF82">IF(OR(ChoixRationComplèteEtéChevauxTrait=OUI,ChoixRationComplèteEtéChevauxTrait="",AND(ChoixChevauxTraitPréHiver=OUI,ChoixChevauxTraitPréEté=OUI)),0,IFERROR(IF(OR(AND(INDEX(Règles_chevaux_trait[Specificite],MATCH(RationEtéChevauxTrait&amp;$FD82,Règles_chevaux_trait[Ration]&amp;Règles_chevaux_trait[Aliment],0))="s1",IF($FD82=Spécificité1ChevauxTrait,1)),
AND(INDEX(Règles_chevaux_trait[Specificite],MATCH(RationEtéChevauxTrait&amp;$FD82,Règles_chevaux_trait[Ration]&amp;Règles_chevaux_trait[Aliment],0))="s2",IF($FD82=Spécificité2ChevauxTrait,1)),
INDEX(Règles_chevaux_trait[Specificite],MATCH(RationEtéChevauxTrait&amp;$FD82,Règles_chevaux_trait[Ration]&amp;Règles_chevaux_trait[Aliment],0))="c"),
INDEX(Règles_chevaux_trait[Valeur 24-36],MATCH(RationEtéChevauxTrait&amp;$FD82,Règles_chevaux_trait[Ration]&amp;Règles_chevaux_trait[Aliment],0)),0),0)*TotalJeuneEtalonTrait_24_36_mois*SUM(NbreJoursNourrirChevauxTrait))</f>
        <v>0</v>
      </c>
      <c r="FG82" s="1282">
        <f t="array" ref="FG82">IF(OR(ChoixRationComplèteEtéChevauxTrait=OUI,ChoixRationComplèteEtéChevauxTrait="",AND(ChoixChevauxTraitPréHiver=OUI,ChoixChevauxTraitPréEté=OUI)),0,IFERROR(IF(OR(AND(INDEX(Règles_chevaux_trait[Specificite],MATCH(RationEtéChevauxTrait&amp;$FD82,Règles_chevaux_trait[Ration]&amp;Règles_chevaux_trait[Aliment],0))="s1",IF($FD82=Spécificité1ChevauxTrait,1)),
AND(INDEX(Règles_chevaux_trait[Specificite],MATCH(RationEtéChevauxTrait&amp;$FD82,Règles_chevaux_trait[Ration]&amp;Règles_chevaux_trait[Aliment],0))="s2",IF($FD82=Spécificité2ChevauxTrait,1)),
INDEX(Règles_chevaux_trait[Specificite],MATCH(RationEtéChevauxTrait&amp;$FD82,Règles_chevaux_trait[Ration]&amp;Règles_chevaux_trait[Aliment],0))="c"),
INDEX(Règles_chevaux_trait[Valeur 12-24],MATCH(RationEtéChevauxTrait&amp;$FD82,Règles_chevaux_trait[Ration]&amp;Règles_chevaux_trait[Aliment],0)),0),0)*TotalJeuneEtalonTrait_12_24_mois*SUM(NbreJoursNourrirChevauxTrait))</f>
        <v>0</v>
      </c>
      <c r="FH82" s="1285">
        <f t="array" ref="FH82">IF(OR(ChoixRationComplèteEtéChevauxTrait=OUI,ChoixRationComplèteEtéChevauxTrait="",AND(ChoixChevauxTraitPréHiver=OUI,ChoixChevauxTraitPréEté=OUI)),0,IFERROR(IF(OR(AND(INDEX(Règles_chevaux_trait[Specificite],MATCH(RationEtéChevauxTrait&amp;$FD82,Règles_chevaux_trait[Ration]&amp;Règles_chevaux_trait[Aliment],0))="s1",IF($FD82=Spécificité1ChevauxTrait,1)),
AND(INDEX(Règles_chevaux_trait[Specificite],MATCH(RationEtéChevauxTrait&amp;$FD82,Règles_chevaux_trait[Ration]&amp;Règles_chevaux_trait[Aliment],0))="s2",IF($FD82=Spécificité2ChevauxTrait,1)),
INDEX(Règles_chevaux_trait[Specificite],MATCH(RationEtéChevauxTrait&amp;$FD82,Règles_chevaux_trait[Ration]&amp;Règles_chevaux_trait[Aliment],0))="c"),
INDEX(Règles_chevaux_trait[Valeur 0-12],MATCH(RationEtéChevauxTrait&amp;$FD82,Règles_chevaux_trait[Ration]&amp;Règles_chevaux_trait[Aliment],0)),0),0)*TotalPoulainTrait_0_12_mois*SUM(NbreJoursNourrirChevauxTrait))</f>
        <v>0</v>
      </c>
      <c r="FI82" s="1285">
        <f t="shared" si="15"/>
        <v>0</v>
      </c>
      <c r="FJ82" s="1345"/>
      <c r="FK82" s="1345"/>
      <c r="FL82" s="1345"/>
      <c r="FM82" s="1321"/>
      <c r="FN82" s="1083" t="s">
        <v>296</v>
      </c>
      <c r="FO82" s="1283">
        <f t="array" ref="FO82">IF(OR(ChoixRationComplèteEtéPoneys=OUI,ChoixRationComplèteEtéPoneys="",AND(ChoixPoneysPréHiver=OUI,ChoixPoneysPréEté=OUI)),0,IFERROR(IF(OR(AND(INDEX(Règles_poneys[Specificite],MATCH(RationEtéPoneys&amp;$FN82,Règles_poneys[Ration]&amp;Règles_poneys[Aliment],0))="s1",IF($FN82=Spécificité1Poneys,1)),
AND(INDEX(Règles_poneys[Specificite],MATCH(RationEtéPoneys&amp;$FN82,Règles_poneys[Ration]&amp;Règles_poneys[Aliment],0))="s2",IF($FN82=Spécificité2Poneys,1)),
INDEX(Règles_poneys[Specificite],MATCH(RationEtéPoneys&amp;$FN82,Règles_poneys[Ration]&amp;Règles_poneys[Aliment],0))="c"),
INDEX(Règles_poneys[Valeur 36 et plus],MATCH(RationEtéPoneys&amp;$FN82,Règles_poneys[Ration]&amp;Règles_poneys[Aliment],0)),0),0)*TotalEtalonPoney*SUM(NbreJoursNourrirPoneys))</f>
        <v>0</v>
      </c>
      <c r="FP82" s="1283">
        <f t="array" ref="FP82">IF(OR(ChoixRationComplèteEtéPoneys=OUI,ChoixRationComplèteEtéPoneys="",AND(ChoixPoneysPréHiver=OUI,ChoixPoneysPréEté=OUI)),0,IFERROR(IF(OR(AND(INDEX(Règles_poneys[Specificite],MATCH(RationEtéPoneys&amp;$FN82,Règles_poneys[Ration]&amp;Règles_poneys[Aliment],0))="s1",IF($FN82=Spécificité1Poneys,1)),
AND(INDEX(Règles_poneys[Specificite],MATCH(RationEtéPoneys&amp;$FN82,Règles_poneys[Ration]&amp;Règles_poneys[Aliment],0))="s2",IF($FN82=Spécificité2Poneys,1)),
INDEX(Règles_poneys[Specificite],MATCH(RationEtéPoneys&amp;$FN82,Règles_poneys[Ration]&amp;Règles_poneys[Aliment],0))="c"),
INDEX(Règles_poneys[Valeur 36 et plus],MATCH(RationEtéPoneys&amp;$FN82,Règles_poneys[Ration]&amp;Règles_poneys[Aliment],0)),0),0)*TotalJeuneEtalonPoney_24_36_mois*SUM(NbreJoursNourrirPoneys))</f>
        <v>0</v>
      </c>
      <c r="FQ82" s="1283">
        <f t="array" ref="FQ82">IF(OR(ChoixRationComplèteEtéPoneys=OUI,ChoixRationComplèteEtéPoneys="",AND(ChoixPoneysPréHiver=OUI,ChoixPoneysPréEté=OUI)),0,IFERROR(IF(OR(AND(INDEX(Règles_poneys[Specificite],MATCH(RationEtéPoneys&amp;$FN82,Règles_poneys[Ration]&amp;Règles_poneys[Aliment],0))="s1",IF($FN82=Spécificité1Poneys,1)),
AND(INDEX(Règles_poneys[Specificite],MATCH(RationEtéPoneys&amp;$FN82,Règles_poneys[Ration]&amp;Règles_poneys[Aliment],0))="s2",IF($FN82=Spécificité2Poneys,1)),
INDEX(Règles_poneys[Specificite],MATCH(RationEtéPoneys&amp;$FN82,Règles_poneys[Ration]&amp;Règles_poneys[Aliment],0))="c"),
INDEX(Règles_poneys[Valeur 36 et plus],MATCH(RationEtéPoneys&amp;$FN82,Règles_poneys[Ration]&amp;Règles_poneys[Aliment],0)),0),0)*TotalJeuneEtalonPoney_12_24_mois*SUM(NbreJoursNourrirPoneys))</f>
        <v>0</v>
      </c>
      <c r="FR82" s="1286">
        <f t="array" ref="FR82">IF(OR(ChoixRationComplèteEtéPoneys=OUI,ChoixRationComplèteEtéPoneys="",AND(ChoixPoneysPréHiver=OUI,ChoixPoneysPréEté=OUI)),0,IFERROR(IF(OR(AND(INDEX(Règles_poneys[Specificite],MATCH(RationEtéPoneys&amp;$FN82,Règles_poneys[Ration]&amp;Règles_poneys[Aliment],0))="s1",IF($FN82=Spécificité1Poneys,1)),
AND(INDEX(Règles_poneys[Specificite],MATCH(RationEtéPoneys&amp;$FN82,Règles_poneys[Ration]&amp;Règles_poneys[Aliment],0))="s2",IF($FN82=Spécificité2Poneys,1)),
INDEX(Règles_poneys[Specificite],MATCH(RationEtéPoneys&amp;$FN82,Règles_poneys[Ration]&amp;Règles_poneys[Aliment],0))="c"),
INDEX(Règles_poneys[Valeur 36 et plus],MATCH(RationEtéPoneys&amp;$FN82,Règles_poneys[Ration]&amp;Règles_poneys[Aliment],0)),0),0)*TotalPoulainPoney_0_12_mois*SUM(NbreJoursNourrirPoneys))</f>
        <v>0</v>
      </c>
      <c r="FS82" s="1286">
        <f t="shared" si="14"/>
        <v>0</v>
      </c>
      <c r="FT82" s="1345"/>
      <c r="FU82" s="1345"/>
      <c r="FV82" s="1345"/>
      <c r="FW82" s="1336"/>
      <c r="FX82" s="1336"/>
      <c r="FY82" s="1336"/>
      <c r="FZ82" s="1336"/>
      <c r="GA82" s="1336"/>
      <c r="GB82" s="1336"/>
      <c r="GC82" s="1321"/>
      <c r="GD82" s="1321"/>
      <c r="GE82" s="1321"/>
      <c r="GF82" s="1321"/>
      <c r="GG82" s="1321" t="s">
        <v>1349</v>
      </c>
      <c r="GH82" s="1321" t="s">
        <v>1349</v>
      </c>
      <c r="GI82" s="1321" t="s">
        <v>1349</v>
      </c>
      <c r="GJ82" s="1321" t="s">
        <v>1349</v>
      </c>
      <c r="GK82" s="1321" t="s">
        <v>1349</v>
      </c>
      <c r="GL82" s="1321" t="s">
        <v>1349</v>
      </c>
      <c r="GM82" s="1321" t="s">
        <v>1349</v>
      </c>
      <c r="GN82" s="1321" t="s">
        <v>1349</v>
      </c>
      <c r="GO82" s="1321" t="s">
        <v>1349</v>
      </c>
      <c r="GP82" s="1321" t="s">
        <v>1349</v>
      </c>
      <c r="GQ82" s="1321" t="s">
        <v>1349</v>
      </c>
      <c r="GR82" s="1321" t="s">
        <v>1349</v>
      </c>
      <c r="GS82" s="1321" t="s">
        <v>1349</v>
      </c>
      <c r="GT82" s="1321" t="s">
        <v>1349</v>
      </c>
      <c r="GU82" s="1321" t="s">
        <v>1349</v>
      </c>
      <c r="GV82" s="1321" t="s">
        <v>1349</v>
      </c>
      <c r="GW82" s="1321"/>
      <c r="GX82" s="1321"/>
      <c r="GY82" s="1083" t="str">
        <f>GH2</f>
        <v>engrais</v>
      </c>
      <c r="GZ82" s="1083"/>
      <c r="HA82" s="1084"/>
      <c r="HB82" s="1084">
        <f>IF(COUNTIF(TypeArticleDansEntrepôt,GY82)=0,0,SUMIF(TypeArticleDansEntrepôt,GY82,QtéArticleDansEntrepôt)*VLOOKUP(GY82,place_necessaire_entrepots_aire_paille[],2,FALSE))</f>
        <v>0</v>
      </c>
      <c r="HC82" s="1321"/>
      <c r="HD82" s="1321"/>
      <c r="HE82" s="1321"/>
      <c r="HF82" s="1321"/>
      <c r="HG82" s="1321"/>
      <c r="HH82" s="1321"/>
      <c r="HI82" s="1321"/>
      <c r="HJ82" s="1321"/>
      <c r="HK82" s="1321"/>
      <c r="HL82" s="1321"/>
      <c r="HM82" s="1321"/>
      <c r="HN82" s="1084" t="str">
        <f>IF(parcelles!B130="","",(VLOOKUP(parcelles!C130,BDD!$HN$5:$HU$38,2,FALSE))*parcelles!E130)</f>
        <v/>
      </c>
      <c r="HO82" s="1084" t="str">
        <f>IF(parcelles!B130="","",IF(OR(parcelles!C130=Moutarde,parcelles!C130=Phacélie),0,IF(parcelles!C130=Luzerne,10*parcelles!E130*VLOOKUP(parcelles!C130,BDD!$HN$5:$HU$38,3,FALSE),IF(parcelles!C130=Miscanthus,10.5*parcelles!E130*VLOOKUP(parcelles!C130,BDD!$HN$5:$HU$38,3,FALSE),INDEX(parcelles!$C$56:'parcelles'!$Y$77,MATCH(parcelles!B130,parcelles!$B$56:'parcelles'!$B$77,0),MATCH(parcelles!C130,parcelles!$C$53:'parcelles'!$Y$53,0))*parcelles!E130*VLOOKUP(parcelles!C130,BDD!$HN$5:$HU$38,3,FALSE)))))</f>
        <v/>
      </c>
      <c r="HP82" s="1084" t="str">
        <f>IF(parcelles!B130="","",IF(OR(parcelles!C130=Moutarde,parcelles!C130=Phacélie),0,IF(parcelles!C130=Luzerne,10*parcelles!E130*VLOOKUP(parcelles!C130,BDD!$HN$5:$HU$38,4,FALSE),IF(parcelles!C130=Miscanthus,10.5*parcelles!E130*VLOOKUP(parcelles!C130,BDD!$HN$5:$HU$38,4,FALSE),INDEX(parcelles!$C$56:'parcelles'!$Y$77,MATCH(parcelles!B130,parcelles!$B$56:'parcelles'!$B$77,0),MATCH(parcelles!C130,parcelles!$C$53:'parcelles'!$Y$53,0))*parcelles!E130*VLOOKUP(parcelles!C130,BDD!$HN$5:$HU$38,4,FALSE)))))</f>
        <v/>
      </c>
      <c r="HQ82" s="1084" t="str">
        <f>IF(parcelles!B130="","",IF(OR(parcelles!C130=Moutarde,parcelles!C130=Phacélie),0,IF(parcelles!C130=Luzerne,10*parcelles!E130*VLOOKUP(parcelles!C130,BDD!$HN$5:$HU$38,5,FALSE),IF(parcelles!C130=Miscanthus,10.5*parcelles!E130*VLOOKUP(parcelles!C130,BDD!$HN$5:$HU$38,5,FALSE),INDEX(parcelles!$C$56:'parcelles'!$Y$77,MATCH(parcelles!B130,parcelles!$B$56:'parcelles'!$B$77,0),MATCH(parcelles!C130,parcelles!$C$53:'parcelles'!$Y$53,0))*parcelles!E130*VLOOKUP(parcelles!C130,BDD!$HN$5:$HU$38,5,FALSE)))))</f>
        <v/>
      </c>
      <c r="HR82" s="1084" t="str">
        <f>IF(parcelles!B130="","",IF(OR(parcelles!C130=Moutarde,parcelles!C130=Phacélie),0,IF(parcelles!C130=Luzerne,10*parcelles!E130*VLOOKUP(parcelles!C130,BDD!$HN$5:$HU$38,6,FALSE),IF(parcelles!C130=Miscanthus,10.5*parcelles!E130*VLOOKUP(parcelles!C130,BDD!$HN$5:$HU$38,6,FALSE),INDEX(parcelles!$C$56:'parcelles'!$Y$77,MATCH(parcelles!B130,parcelles!$B$56:'parcelles'!$B$77,0),MATCH(parcelles!C130,parcelles!$C$53:'parcelles'!$Y$53,0))*parcelles!E130*VLOOKUP(parcelles!C130,BDD!$HN$5:$HU$38,6,FALSE)))))</f>
        <v/>
      </c>
      <c r="HS82" s="1084" t="str">
        <f>IF(parcelles!B130="","",IF(OR(parcelles!C130=Moutarde,parcelles!C130=Phacélie),0,IF(parcelles!C130=Luzerne,10*parcelles!E130*VLOOKUP(parcelles!C130,BDD!$HN$5:$HU$38,7,FALSE),IF(parcelles!C130=Miscanthus,10.5*parcelles!E130*VLOOKUP(parcelles!C130,BDD!$HN$5:$HU$38,7,FALSE),INDEX(parcelles!$C$56:'parcelles'!$Y$77,MATCH(parcelles!B130,parcelles!$B$56:'parcelles'!$B$77,0),MATCH(parcelles!C130,parcelles!$C$53:'parcelles'!$Y$53,0))*parcelles!E130*VLOOKUP(parcelles!C130,BDD!$HN$5:$HU$38,7,FALSE)))))</f>
        <v/>
      </c>
      <c r="HT82" s="1084" t="str">
        <f>IF(parcelles!B130="","",IF(OR(parcelles!C130=Moutarde,parcelles!C130=Phacélie),0,IF(parcelles!C130=Luzerne,10*parcelles!E130*VLOOKUP(parcelles!C130,BDD!$HN$5:$HU$38,8,FALSE),IF(parcelles!C130=Miscanthus,10.5*parcelles!E130*VLOOKUP(parcelles!C130,BDD!$HN$5:$HU$38,8,FALSE),INDEX(parcelles!$C$56:'parcelles'!$Y$77,MATCH(parcelles!B130,parcelles!$B$56:'parcelles'!$B$77,0),MATCH(parcelles!C130,parcelles!$C$53:'parcelles'!$Y$53,0))*parcelles!E130*VLOOKUP(parcelles!C130,BDD!$HN$5:$HU$38,8,FALSE)))))</f>
        <v/>
      </c>
      <c r="HU82" s="1084" t="str">
        <f>IF(parcelles!B130="","",IF(OR(parcelles!C130=Moutarde,parcelles!C130=Phacélie),0,1.6*parcelles!E130))</f>
        <v/>
      </c>
      <c r="HV82" s="1084" t="str">
        <f>IF(parcelles!B130="","",IF(OR(parcelles!C130=Moutarde,parcelles!C130=Phacélie),0,1.6*parcelles!E130))</f>
        <v/>
      </c>
      <c r="HW82" s="1084" t="str">
        <f>IF(parcelles!B130="","",IF(OR(parcelles!C130=Moutarde,parcelles!C130=Phacélie),0,1.6*parcelles!E130))</f>
        <v/>
      </c>
      <c r="HX82" s="1095" t="str">
        <f>IF(parcelles!D130="","",IF(parcelles!C130=ChanvreIndustriel,INDEX(parcelles!$C$56:$Y$77,MATCH(parcelles!B130,parcelles!$B$56:$B$77,0),MATCH(parcelles!C130,parcelles!$C$53:$Y$53,0))*parcelles!E130*SUMIF(ListeCulturesBDD,parcelles!C130,PrixVenteCulturesConventionnel)+RIGHT(BDD!$HM$7,3)*7*parcelles!E130,IF(parcelles!C130=Luzerne,parcelles!E130*10*VLOOKUP(parcelles!C130,TarifsCoopCultures,2,FALSE),IF(parcelles!C130=Miscanthus,parcelles!E130*10.5*VLOOKUP(Luzerne,TarifsCoopCultures,2,FALSE),INDEX(parcelles!$C$56:$Y$77,MATCH(parcelles!B130,parcelles!$B$56:$B$77,0),MATCH(parcelles!C130,parcelles!$C$53:$Y$53,0))*parcelles!E130*SUMIF(ListeCulturesBDD,parcelles!C130,PrixVenteCulturesConventionnel)))))</f>
        <v/>
      </c>
      <c r="HY82" s="1084" t="str">
        <f>IF(parcelles!D130="","",IF(parcelles!F130=0,"",IF(parcelles!C130=ChanvreIndustriel,"soit "&amp;parcelles!E130*0.8&amp;"t de grain et "&amp;parcelles!E130*7&amp;"t de paille",IF(parcelles!C130=Luzerne,"soit "&amp;10*parcelles!E130&amp;"t/an",IF(parcelles!C130=Miscanthus,"soit "&amp;10.5*parcelles!E130&amp;"t/an","soit "&amp;INDEX(parcelles!$C$56:$Y$77,MATCH(parcelles!B130,parcelles!$B$56:$B$77,0),MATCH(parcelles!C130,parcelles!$C$53:$Y$53,0))*parcelles!E130&amp;"t")))))</f>
        <v/>
      </c>
      <c r="HZ82" s="1084" t="str">
        <f>IF(parcelles!D130="","",IF(parcelles!F130=0,"",IF(parcelles!C130=ChanvreIndustriel,"soit "&amp;parcelles!E130*0.8*0.8&amp;"t de grain et "&amp;parcelles!E130*7*0.8&amp;"t de paille",IF(parcelles!C130=Luzerne,"soit "&amp;10*0.8*parcelles!E130&amp;"t/an",IF(parcelles!C130=Miscanthus,"soit "&amp;10.5*0.8*parcelles!E130&amp;"t/an","soit "&amp;INDEX(parcelles!$C$56:$Y$77,MATCH(parcelles!B130,parcelles!$B$56:$B$77,0),MATCH(parcelles!C130,parcelles!$C$53:$Y$53,0))*0.8*parcelles!E130&amp;"t")))))</f>
        <v/>
      </c>
      <c r="IA82" s="1084" t="str">
        <f>IF(parcelles!L130="","",(VLOOKUP(parcelles!M130,BDD!$HN$5:$HU$38,2,FALSE))*parcelles!O130)</f>
        <v/>
      </c>
      <c r="IB82" s="1084" t="str">
        <f>IF(parcelles!L130="","",IF(OR(parcelles!M130=Moutarde,parcelles!M130=Phacélie),0,IF(parcelles!M130=Luzerne,10*parcelles!O130*VLOOKUP(parcelles!M130,BDD!$HN$5:$HU$38,3,FALSE),IF(parcelles!M130=Miscanthus,10.5*parcelles!O130*VLOOKUP(parcelles!M130,BDD!$HN$5:$HU$38,3,FALSE),INDEX(parcelles!$C$56:'parcelles'!$Y$77,MATCH(parcelles!L130,parcelles!$B$56:'parcelles'!$B$77,0),MATCH(parcelles!M130,parcelles!$C$53:'parcelles'!$Y$53,0))*parcelles!O130*VLOOKUP(parcelles!M130,BDD!$HN$5:$HU$38,3,FALSE)))))</f>
        <v/>
      </c>
      <c r="IC82" s="1084" t="str">
        <f>IF(parcelles!L130="","",IF(OR(parcelles!M130=Moutarde,parcelles!M130=Phacélie),0,IF(parcelles!M130=Luzerne,10*parcelles!O130*VLOOKUP(parcelles!M130,BDD!$HN$5:$HU$38,4,FALSE),IF(parcelles!M130=Miscanthus,10.5*parcelles!O130*VLOOKUP(parcelles!M130,BDD!$HN$5:$HU$38,4,FALSE),INDEX(parcelles!$C$56:'parcelles'!$Y$77,MATCH(parcelles!L130,parcelles!$B$56:'parcelles'!$B$77,0),MATCH(parcelles!M130,parcelles!$C$53:'parcelles'!$Y$53,0))*parcelles!O130*VLOOKUP(parcelles!M130,BDD!$HN$5:$HU$38,4,FALSE)))))</f>
        <v/>
      </c>
      <c r="ID82" s="1084" t="str">
        <f>IF(parcelles!L130="","",IF(OR(parcelles!M130=Moutarde,parcelles!M130=Phacélie),0,IF(parcelles!M130=Luzerne,10*parcelles!O130*VLOOKUP(parcelles!M130,BDD!$HN$5:$HU$38,5,FALSE),IF(parcelles!M130=Miscanthus,10.5*parcelles!O130*VLOOKUP(parcelles!M130,BDD!$HN$5:$HU$38,5,FALSE),INDEX(parcelles!$C$56:'parcelles'!$Y$77,MATCH(parcelles!L130,parcelles!$B$56:'parcelles'!$B$77,0),MATCH(parcelles!M130,parcelles!$C$53:'parcelles'!$Y$53,0))*parcelles!O130*VLOOKUP(parcelles!M130,BDD!$HN$5:$HU$38,5,FALSE)))))</f>
        <v/>
      </c>
      <c r="IE82" s="1084" t="str">
        <f>IF(parcelles!L130="","",IF(OR(parcelles!M130=Moutarde,parcelles!M130=Phacélie),0,IF(parcelles!M130=Luzerne,10*parcelles!O130*VLOOKUP(parcelles!M130,BDD!$HN$5:$HU$38,6,FALSE),IF(parcelles!M130=Miscanthus,10.5*parcelles!O130*VLOOKUP(parcelles!M130,BDD!$HN$5:$HU$38,6,FALSE),INDEX(parcelles!$C$56:'parcelles'!$Y$77,MATCH(parcelles!L130,parcelles!$B$56:'parcelles'!$B$77,0),MATCH(parcelles!M130,parcelles!$C$53:'parcelles'!$Y$53,0))*parcelles!O130*VLOOKUP(parcelles!M130,BDD!$HN$5:$HU$38,6,FALSE)))))</f>
        <v/>
      </c>
      <c r="IF82" s="1084" t="str">
        <f>IF(parcelles!L130="","",IF(OR(parcelles!M130=Moutarde,parcelles!M130=Phacélie),0,IF(parcelles!M130=Luzerne,10*parcelles!O130*VLOOKUP(parcelles!M130,BDD!$HN$5:$HU$38,7,FALSE),IF(parcelles!M130=Miscanthus,10.5*parcelles!O130*VLOOKUP(parcelles!M130,BDD!$HN$5:$HU$38,7,FALSE),INDEX(parcelles!$C$56:'parcelles'!$Y$77,MATCH(parcelles!L130,parcelles!$B$56:'parcelles'!$B$77,0),MATCH(parcelles!M130,parcelles!$C$53:'parcelles'!$Y$53,0))*parcelles!O130*VLOOKUP(parcelles!M130,BDD!$HN$5:$HU$38,7,FALSE)))))</f>
        <v/>
      </c>
      <c r="IG82" s="1084" t="str">
        <f>IF(parcelles!L130="","",IF(OR(parcelles!M130=Moutarde,parcelles!M130=Phacélie),0,IF(parcelles!M130=Luzerne,10*parcelles!O130*VLOOKUP(parcelles!M130,BDD!$HN$5:$HU$38,8,FALSE),IF(parcelles!M130=Miscanthus,10.5*parcelles!O130*VLOOKUP(parcelles!M130,BDD!$HN$5:$HU$38,8,FALSE),INDEX(parcelles!$C$56:'parcelles'!$Y$77,MATCH(parcelles!L130,parcelles!$B$56:'parcelles'!$B$77,0),MATCH(parcelles!M130,parcelles!$C$53:'parcelles'!$Y$53,0))*parcelles!O130*VLOOKUP(parcelles!M130,BDD!$HN$5:$HU$38,8,FALSE)))))</f>
        <v/>
      </c>
      <c r="IH82" s="1084" t="str">
        <f>IF(parcelles!L130="","",IF(OR(parcelles!L130=Moutarde,parcelles!L130=Phacélie),0,1.6*parcelles!O130))</f>
        <v/>
      </c>
      <c r="II82" s="1084" t="str">
        <f>IF(parcelles!L130="","",IF(OR(parcelles!L130=Moutarde,parcelles!L130=Phacélie),0,1.6*parcelles!O130))</f>
        <v/>
      </c>
      <c r="IJ82" s="1084" t="str">
        <f>IF(parcelles!L130="","",IF(OR(parcelles!L130=Moutarde,parcelles!L130=Phacélie),0,1.6*parcelles!O130))</f>
        <v/>
      </c>
      <c r="IK82" s="1084" t="str">
        <f>IF(parcelles!P130="","",IF(parcelles!R130=0,"",IF(parcelles!O130=ChanvreIndustriel,"soit "&amp;parcelles!Q130*0.8&amp;"t de grain et "&amp;parcelles!Q130*7&amp;"t de paille",IF(parcelles!O130=Luzerne,"soit "&amp;10*parcelles!Q130&amp;"t/an",IF(parcelles!O130=Miscanthus,"soit "&amp;10.5*parcelles!Q130&amp;"t/an","soit "&amp;INDEX(parcelles!$C$56:$Y$77,MATCH(parcelles!N130,parcelles!$B$56:$B$77,0),MATCH(parcelles!O130,parcelles!$C$53:$Y$53,0))*parcelles!Q130&amp;"t")))))</f>
        <v/>
      </c>
      <c r="IL82" s="1084" t="str">
        <f>IF(parcelles!P130="","",IF(parcelles!R130=0,"",IF(parcelles!O130=ChanvreIndustriel,"soit "&amp;parcelles!Q130*0.8*0.8&amp;"t de grain et "&amp;parcelles!Q130*7*0.8&amp;"t de paille",IF(parcelles!O130=Luzerne,"soit "&amp;10*0.8*parcelles!Q130&amp;"t/an",IF(parcelles!O130=Miscanthus,"soit "&amp;10.5*0.8*parcelles!Q130&amp;"t/an","soit "&amp;INDEX(parcelles!$C$56:$Y$77,MATCH(parcelles!N130,parcelles!$B$56:$B$77,0),MATCH(parcelles!O130,parcelles!$C$53:$Y$53,0))*0.8*parcelles!Q130&amp;"t")))))</f>
        <v/>
      </c>
      <c r="IM82" s="1084" t="str">
        <f>IF(parcelles!S130="","",IF(parcelles!U130=0,"",IF(parcelles!R130=ChanvreIndustriel,parcelles!T130*0.8*0.8+parcelles!T130*7*0.8,IF(parcelles!R130=Luzerne,10*0.8*parcelles!T130,IF(parcelles!R130=Miscanthus,10.5*0.8*parcelles!T130,INDEX(parcelles!$C$56:$Y$77,MATCH(parcelles!Q130,parcelles!$B$56:$B$77,0),MATCH(parcelles!R130,parcelles!$C$53:$Y$53,0))*0.8*parcelles!T130)))))</f>
        <v/>
      </c>
      <c r="IN82" s="1368"/>
    </row>
    <row r="83" spans="1:248" ht="12.75" customHeight="1" x14ac:dyDescent="0.2">
      <c r="A83" s="1307" t="s">
        <v>372</v>
      </c>
      <c r="B83" s="1241">
        <f t="shared" si="17"/>
        <v>1E-3</v>
      </c>
      <c r="C83" s="1321"/>
      <c r="D83" s="1321"/>
      <c r="E83" s="1321"/>
      <c r="F83" s="1149" t="s">
        <v>1160</v>
      </c>
      <c r="G83" s="1149" t="s">
        <v>1161</v>
      </c>
      <c r="H83" s="1245" t="s">
        <v>1166</v>
      </c>
      <c r="I83" s="1149" t="s">
        <v>1162</v>
      </c>
      <c r="J83" s="1245" t="s">
        <v>1166</v>
      </c>
      <c r="K83" s="1245" t="s">
        <v>1167</v>
      </c>
      <c r="L83" s="1245" t="s">
        <v>1167</v>
      </c>
      <c r="M83" s="1321"/>
      <c r="N83" s="1321"/>
      <c r="O83" s="1076" t="s">
        <v>1442</v>
      </c>
      <c r="P83" s="1321"/>
      <c r="Q83" s="1075">
        <v>4.5</v>
      </c>
      <c r="R83" s="1321"/>
      <c r="S83" s="1321"/>
      <c r="T83" s="1321"/>
      <c r="U83" s="1321"/>
      <c r="V83" s="1321"/>
      <c r="W83" s="1321"/>
      <c r="X83" s="1321"/>
      <c r="Y83" s="1080" t="s">
        <v>1674</v>
      </c>
      <c r="Z83" s="1080">
        <f>IF('coût alimentation'!$B$6=$Y$83,8,0)</f>
        <v>0</v>
      </c>
      <c r="AA83" s="1080">
        <f>IF('coût alimentation'!$B$6=$Y$83,8,0)</f>
        <v>0</v>
      </c>
      <c r="AB83" s="1080">
        <f>IF('coût alimentation'!$B$6=$Y$83,8,0)</f>
        <v>0</v>
      </c>
      <c r="AC83" s="1080">
        <f>IF('coût alimentation'!$B$6=$Y$83,8,0)</f>
        <v>0</v>
      </c>
      <c r="AD83" s="1080">
        <f>IF('coût alimentation'!$B$6=$Y$83,8,0)</f>
        <v>0</v>
      </c>
      <c r="AE83" s="1080">
        <f>IF('coût alimentation'!$B$6=$Y$83,8,0)</f>
        <v>0</v>
      </c>
      <c r="AF83" s="1080">
        <f>IF('coût alimentation'!$B$6=$Y$83,8,0)</f>
        <v>0</v>
      </c>
      <c r="AG83" s="1080">
        <f>IF('coût alimentation'!$B$6=$Y$83,8,0)</f>
        <v>0</v>
      </c>
      <c r="AH83" s="1321"/>
      <c r="AI83" s="1321"/>
      <c r="AJ83" s="1321"/>
      <c r="AK83" s="1321"/>
      <c r="AL83" s="1321"/>
      <c r="AM83" s="1321"/>
      <c r="AN83" s="1321"/>
      <c r="AO83" s="1321"/>
      <c r="AP83" s="1321"/>
      <c r="AQ83" s="1321"/>
      <c r="AR83" s="1321"/>
      <c r="AS83" s="1321"/>
      <c r="AT83" s="1321"/>
      <c r="AU83" s="1321"/>
      <c r="AV83" s="1321"/>
      <c r="AW83" s="1321"/>
      <c r="AX83" s="1321"/>
      <c r="AY83" s="1321"/>
      <c r="AZ83" s="1321"/>
      <c r="BA83" s="1321"/>
      <c r="BB83" s="1236" t="s">
        <v>727</v>
      </c>
      <c r="BC83" s="1190" t="s">
        <v>723</v>
      </c>
      <c r="BD83" s="1190" t="s">
        <v>1277</v>
      </c>
      <c r="BE83" s="1237">
        <v>161</v>
      </c>
      <c r="BF83" s="1237">
        <v>137</v>
      </c>
      <c r="BG83" s="1237">
        <v>107</v>
      </c>
      <c r="BH83" s="1237">
        <v>81</v>
      </c>
      <c r="BI83" s="1237">
        <v>55</v>
      </c>
      <c r="BJ83" s="1237">
        <v>27</v>
      </c>
      <c r="BK83" s="1238">
        <v>0</v>
      </c>
      <c r="BL83" s="1348"/>
      <c r="BM83" s="1076" t="str">
        <f t="shared" si="23"/>
        <v>Ensilage d'herbe</v>
      </c>
      <c r="BN83" s="1076">
        <f t="array" ref="BN83">IF(Ration_hivernale_complète_bisons[somme]&gt;0,0,IFERROR(IF(OR(AND(INDEX(Règles_bison[Specificite],MATCH(ChoixRationBisons&amp;$BM83,Règles_bison[Ration]&amp;Règles_bison[Aliment],0))="s1",IF($BM83=ChoixSpécificité1Bisons,1)),
AND(INDEX(Règles_bison[Specificite],MATCH(ChoixRationBisons&amp;$BM83,Règles_bison[Ration]&amp;Règles_bison[Aliment],0))="s2",IF($BM83=ChoixSpécificité2Bisons,1)),INDEX(Règles_bison[Specificite],MATCH(ChoixRationBisons&amp;$BM83,Règles_bison[Ration]&amp;Règles_bison[Aliment],0))="c"),
INDEX(Règles_bison[Valeur 36 et plus],MATCH(ChoixRationBisons&amp;$BM83,Règles_bison[Ration]&amp;Règles_bison[Aliment],0)),0),0)*TotalBisonnes*SUM(NbreJoursNourrirBisonsDaims))</f>
        <v>0</v>
      </c>
      <c r="BO83" s="1076">
        <f t="array" ref="BO83">IF(Ration_hivernale_complète_bisons[somme]&gt;0,0,IFERROR(IF(OR(AND(INDEX(Règles_bison[Specificite],MATCH(ChoixRationBisons&amp;$BM83,Règles_bison[Ration]&amp;Règles_bison[Aliment],0))="s1",IF($BM83=ChoixSpécificité1Bisons,1)),
AND(INDEX(Règles_bison[Specificite],MATCH(ChoixRationBisons&amp;$BM83,Règles_bison[Ration]&amp;Règles_bison[Aliment],0))="s2",IF($BM83=ChoixSpécificité2Bisons,1)),INDEX(Règles_bison[Specificite],MATCH(ChoixRationBisons&amp;$BM83,Règles_bison[Ration]&amp;Règles_bison[Aliment],0))="c"),
INDEX(Règles_bison[Valeur 24-36],MATCH(ChoixRationBisons&amp;$BM83,Règles_bison[Ration]&amp;Règles_bison[Aliment],0)),0),0)*TotalBisonsFemelles_24_36_mois*SUM(NbreJoursNourrirBisonsDaims))</f>
        <v>0</v>
      </c>
      <c r="BP83" s="1076">
        <f t="array" ref="BP83">IF(Ration_hivernale_complète_bisons[somme]&gt;0,0,IFERROR(IF(OR(AND(INDEX(Règles_bison[Specificite],MATCH(ChoixRationBisons&amp;$BM83,Règles_bison[Ration]&amp;Règles_bison[Aliment],0))="s1",IF($BM83=ChoixSpécificité1Bisons,1)),
AND(INDEX(Règles_bison[Specificite],MATCH(ChoixRationBisons&amp;$BM83,Règles_bison[Ration]&amp;Règles_bison[Aliment],0))="s2",IF($BM83=ChoixSpécificité2Bisons,1)),INDEX(Règles_bison[Specificite],MATCH(ChoixRationBisons&amp;$BM83,Règles_bison[Ration]&amp;Règles_bison[Aliment],0))="c"),
INDEX(Règles_bison[Valeur 18-24],MATCH(ChoixRationBisons&amp;$BM83,Règles_bison[Ration]&amp;Règles_bison[Aliment],0)),0),0)*TotalBisonsFemelles_18_24_mois*SUM(NbreJoursNourrirBisonsDaims))</f>
        <v>0</v>
      </c>
      <c r="BQ83" s="1076">
        <f t="array" ref="BQ83">IF(Ration_hivernale_complète_bisons[somme]&gt;0,0,IFERROR(IF(OR(AND(INDEX(Règles_bison[Specificite],MATCH(ChoixRationBisons&amp;$BM83,Règles_bison[Ration]&amp;Règles_bison[Aliment],0))="s1",IF($BM83=ChoixSpécificité1Bisons,1)),
AND(INDEX(Règles_bison[Specificite],MATCH(ChoixRationBisons&amp;$BM83,Règles_bison[Ration]&amp;Règles_bison[Aliment],0))="s2",IF($BM83=ChoixSpécificité2Bisons,1)),INDEX(Règles_bison[Specificite],MATCH(ChoixRationBisons&amp;$BM83,Règles_bison[Ration]&amp;Règles_bison[Aliment],0))="c"),
INDEX(Règles_bison[Valeur 12-18],MATCH(ChoixRationBisons&amp;$BM83,Règles_bison[Ration]&amp;Règles_bison[Aliment],0)),0),0)*TotalBisonsFemelles_12_18_mois*SUM(NbreJoursNourrirBisonsDaims))</f>
        <v>0</v>
      </c>
      <c r="BR83" s="1076">
        <f t="array" ref="BR83">IF(Ration_hivernale_complète_bisons[somme]&gt;0,0,IFERROR(IF(OR(AND(INDEX(Règles_bison[Specificite],MATCH(ChoixRationBisons&amp;$BM83,Règles_bison[Ration]&amp;Règles_bison[Aliment],0))="s1",IF($BM83=ChoixSpécificité1Bisons,1)),
AND(INDEX(Règles_bison[Specificite],MATCH(ChoixRationBisons&amp;$BM83,Règles_bison[Ration]&amp;Règles_bison[Aliment],0))="s2",IF($BM83=ChoixSpécificité2Bisons,1)),INDEX(Règles_bison[Specificite],MATCH(ChoixRationBisons&amp;$BM83,Règles_bison[Ration]&amp;Règles_bison[Aliment],0))="c"),
INDEX(Règles_bison[Valeur 6-12],MATCH(ChoixRationBisons&amp;$BM83,Règles_bison[Ration]&amp;Règles_bison[Aliment],0)),0),0)*TotalBisonsFemelles_6_12_mois*SUM(NbreJoursNourrirBisonsDaims))</f>
        <v>0</v>
      </c>
      <c r="BS83" s="1076">
        <f t="array" ref="BS83">IF(Ration_hivernale_complète_bisons[somme]&gt;0,0,IFERROR(IF(OR(AND(INDEX(Règles_bison[Specificite],MATCH(ChoixRationBisons&amp;$BM83,Règles_bison[Ration]&amp;Règles_bison[Aliment],0))="s1",IF($BM83=ChoixSpécificité1Bisons,1)),
AND(INDEX(Règles_bison[Specificite],MATCH(ChoixRationBisons&amp;$BM83,Règles_bison[Ration]&amp;Règles_bison[Aliment],0))="s2",IF($BM83=ChoixSpécificité2Bisons,1)),INDEX(Règles_bison[Specificite],MATCH(ChoixRationBisons&amp;$BM83,Règles_bison[Ration]&amp;Règles_bison[Aliment],0))="c"),
INDEX(Règles_bison[Valeur 3-6],MATCH(ChoixRationBisons&amp;$BM83,Règles_bison[Ration]&amp;Règles_bison[Aliment],0)),0),0)*TotalBisonsFemelles_3_6_mois*SUM(NbreJoursNourrirBisonsDaims))</f>
        <v>0</v>
      </c>
      <c r="BT83" s="1076">
        <f t="array" ref="BT83">IF(Ration_hivernale_complète_bisons[somme]&gt;0,0,IFERROR(IF(OR(AND(INDEX(Règles_bison[Specificite],MATCH(ChoixRationBisons&amp;$BM83,Règles_bison[Ration]&amp;Règles_bison[Aliment],0))="s1",IF($BM83=ChoixSpécificité1Bisons,1)),
AND(INDEX(Règles_bison[Specificite],MATCH(ChoixRationBisons&amp;$BM83,Règles_bison[Ration]&amp;Règles_bison[Aliment],0))="s2",IF($BM83=ChoixSpécificité2Bisons,1)),INDEX(Règles_bison[Specificite],MATCH(ChoixRationBisons&amp;$BM83,Règles_bison[Ration]&amp;Règles_bison[Aliment],0))="c"),
INDEX(Règles_bison[Valeur 0-3],MATCH(ChoixRationBisons&amp;$BM83,Règles_bison[Ration]&amp;Règles_bison[Aliment],0)),0),0)*TotalBisonsFemelles_0_3_mois*SUM(NbreJoursNourrirBisonsDaims))</f>
        <v>0</v>
      </c>
      <c r="BU83" s="1076">
        <f t="shared" si="22"/>
        <v>0</v>
      </c>
      <c r="BV83" s="1346"/>
      <c r="BW83" s="1346"/>
      <c r="BX83" s="1176" t="s">
        <v>764</v>
      </c>
      <c r="BY83" s="1177" t="s">
        <v>219</v>
      </c>
      <c r="BZ83" s="1177" t="s">
        <v>1252</v>
      </c>
      <c r="CA83" s="1177">
        <v>1.2</v>
      </c>
      <c r="CB83" s="1177">
        <v>1.2</v>
      </c>
      <c r="CC83" s="1177">
        <v>0.8</v>
      </c>
      <c r="CD83" s="1199">
        <v>2.8</v>
      </c>
      <c r="CE83" s="1350"/>
      <c r="CF83" s="1350"/>
      <c r="CG83" s="1350"/>
      <c r="CH83" s="1350"/>
      <c r="CI83" s="1321"/>
      <c r="CJ83" s="813"/>
      <c r="CK83" s="788">
        <f t="array" ref="CK8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83" s="788">
        <f t="array" ref="CL8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83" s="788">
        <f t="array" ref="CM8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83" s="788">
        <f t="array" ref="CN8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83" s="788">
        <f t="array" ref="CO83">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83" s="812">
        <f>SUM(AlimentsRationPorcinsMâles[[#This Row],[Valeur 12 et plus]:[Valeur 0-1]])</f>
        <v>0</v>
      </c>
      <c r="CQ83" s="1321"/>
      <c r="CR83" s="1321"/>
      <c r="CS83" s="808" t="s">
        <v>500</v>
      </c>
      <c r="CT83" s="817">
        <f t="array" ref="CT8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83" s="817">
        <f t="array" ref="CU8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83" s="817">
        <f t="array" ref="CV8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83" s="818">
        <f>SUM(AlimentsRationLapinsMâles[[#This Row],[Valeur 3 et plus]:[Valeur 0-1]])</f>
        <v>0</v>
      </c>
      <c r="CX83" s="1321"/>
      <c r="CY83" s="1321"/>
      <c r="CZ83" s="808" t="s">
        <v>500</v>
      </c>
      <c r="DA83" s="817">
        <f t="array" ref="DA8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83" s="817">
        <f t="array" ref="DB8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83" s="817">
        <f t="array" ref="DC8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83" s="818">
        <f>SUM(AlimentsRationVolaillesMâles[[#This Row],[Valeur 6 et plus]:[Valeur 0-1]])</f>
        <v>0</v>
      </c>
      <c r="DE83" s="1364"/>
      <c r="DF83" s="1321"/>
      <c r="DG83" s="808"/>
      <c r="DH83" s="817">
        <f t="array" ref="DH8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83" s="817">
        <f t="array" ref="DI8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83" s="817">
        <f t="array" ref="DJ83">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83" s="818">
        <f>SUM(AlimentsRationPintadesMâles[[#This Row],[Valeur 9 et plus]:[Valeur 0-1]])</f>
        <v>0</v>
      </c>
      <c r="DL83" s="1364"/>
      <c r="DM83" s="1364"/>
      <c r="DN83" s="1176" t="s">
        <v>836</v>
      </c>
      <c r="DO83" s="1177" t="s">
        <v>715</v>
      </c>
      <c r="DP83" s="1177" t="s">
        <v>1252</v>
      </c>
      <c r="DQ83" s="1181">
        <v>1.2</v>
      </c>
      <c r="DR83" s="1181">
        <v>0.8</v>
      </c>
      <c r="DS83" s="1181">
        <v>0.6</v>
      </c>
      <c r="DT83" s="1243">
        <v>0.4</v>
      </c>
      <c r="DU83" s="1345"/>
      <c r="DV83" s="1075" t="str">
        <f t="shared" si="24"/>
        <v>Canola</v>
      </c>
      <c r="DW83" s="1269">
        <f t="array" ref="DW83">SUM((IF(QualitéAlimentsFaonMâle_0_3_mois=BONNE,VLOOKUP("Canola",AlimentsRationHivernaleDaims,8,FALSE),0)+(IF(QualitéAlimentsFaonFemelle_0_3_mois=BONNE,VLOOKUP("Canola",AlimentsRationHivernaleDaims,8,FALSE),0)+(IF(QualitéAlimentsFaonMâle_3_6_mois=BONNE,VLOOKUP("Canola",AlimentsRationHivernaleDaims,7,FALSE),0)+(IF(QualitéAlimentsFaonFemelle_3_6_mois=BONNE,VLOOKUP("Canola",AlimentsRationHivernaleDaims,7,FALSE),0)+(IF(QualitéAlimentsFaonMâle_6_12_mois=BONNE,VLOOKUP("Canola",AlimentsRationHivernaleDaims,6,FALSE),0)+(IF(QualitéAlimentsFaonFemelle_6_12_mois=BONNE,VLOOKUP("Canola",AlimentsRationHivernaleDaims,6,FALSE),0)+(IF(QualitéAlimentsJeuneDaim_12_18_mois=BONNE,VLOOKUP("Canola",AlimentsRationHivernaleDaims,5,FALSE),0)+(IF(QualitéAlimentsJeuneDaine_12_18_mois=BONNE,VLOOKUP("Canola",AlimentsRationHivernaleDaims,5,FALSE),0)+(IF(QualitéAlimentsJeuneDaim_18_24_mois=BONNE,VLOOKUP("Canola",AlimentsRationHivernaleDaims,4,FALSE),0)+(IF(QualitéAlimentsJeuneDaine_18_24_mois=BONNE,VLOOKUP("Canola",AlimentsRationHivernaleDaims,4,FALSE),0)+(IF(QualitéAlimentsJeuneDaim_24_36_mois=BONNE,VLOOKUP("Canola",AlimentsRationHivernaleDaims,3,FALSE),0)+(IF(QualitéAlimentsJeuneDaine_24_36_mois=BONNE,VLOOKUP("Canola",AlimentsRationHivernaleDaims,3,FALSE),0)+(IF(QualitéAlimentsDaim=BONNE,VLOOKUP("Canola",AlimentsRationHivernaleDaims,2,FALSE),0)+(IF(QualitéAlimentsDaine=BONNE,VLOOKUP("Canola",AlimentsRationHivernaleDaims,2,FALSE),0))))))))))))))))</f>
        <v>0</v>
      </c>
      <c r="DX83" s="1269">
        <f t="array" ref="DX83">SUM((IF(QualitéAlimentsFaonMâle_0_3_mois=MOYENNE,VLOOKUP("Canola",AlimentsRationHivernaleDaims,8,FALSE),0)+(IF(QualitéAlimentsFaonFemelle_0_3_mois=MOYENNE,VLOOKUP("Canola",AlimentsRationHivernaleDaims,8,FALSE),0)+(IF(QualitéAlimentsFaonMâle_3_6_mois=MOYENNE,VLOOKUP("Canola",AlimentsRationHivernaleDaims,7,FALSE),0)+(IF(QualitéAlimentsFaonFemelle_3_6_mois=MOYENNE,VLOOKUP("Canola",AlimentsRationHivernaleDaims,7,FALSE),0)+(IF(QualitéAlimentsFaonMâle_6_12_mois=MOYENNE,VLOOKUP("Canola",AlimentsRationHivernaleDaims,6,FALSE),0)+(IF(QualitéAlimentsFaonFemelle_6_12_mois=MOYENNE,VLOOKUP("Canola",AlimentsRationHivernaleDaims,6,FALSE),0)+(IF(QualitéAlimentsJeuneDaim_12_18_mois=MOYENNE,VLOOKUP("Canola",AlimentsRationHivernaleDaims,5,FALSE),0)+(IF(QualitéAlimentsJeuneDaine_12_18_mois=MOYENNE,VLOOKUP("Canola",AlimentsRationHivernaleDaims,5,FALSE),0)+(IF(QualitéAlimentsJeuneDaim_18_24_mois=MOYENNE,VLOOKUP("Canola",AlimentsRationHivernaleDaims,4,FALSE),0)+(IF(QualitéAlimentsJeuneDaine_18_24_mois=MOYENNE,VLOOKUP("Canola",AlimentsRationHivernaleDaims,4,FALSE),0)+(IF(QualitéAlimentsJeuneDaim_24_36_mois=MOYENNE,VLOOKUP("Canola",AlimentsRationHivernaleDaims,3,FALSE),0)+(IF(QualitéAlimentsJeuneDaine_24_36_mois=MOYENNE,VLOOKUP("Canola",AlimentsRationHivernaleDaims,3,FALSE),0)+(IF(QualitéAlimentsDaim=MOYENNE,VLOOKUP("Canola",AlimentsRationHivernaleDaims,2,FALSE),0)+(IF(QualitéAlimentsDaine=MOYENNE,VLOOKUP("Canola",AlimentsRationHivernaleDaims,2,FALSE),0))))))))))))))))</f>
        <v>0</v>
      </c>
      <c r="DY83" s="1269">
        <f t="array" ref="DY83">SUM((IF(QualitéAlimentsFaonMâle_0_3_mois=MAUVAISE,VLOOKUP("Canola",AlimentsRationHivernaleDaims,8,FALSE),0)+(IF(QualitéAlimentsFaonFemelle_0_3_mois=MAUVAISE,VLOOKUP("Canola",AlimentsRationHivernaleDaims,8,FALSE),0)+(IF(QualitéAlimentsFaonMâle_3_6_mois=MAUVAISE,VLOOKUP("Canola",AlimentsRationHivernaleDaims,7,FALSE),0)+(IF(QualitéAlimentsFaonFemelle_3_6_mois=MAUVAISE,VLOOKUP("Canola",AlimentsRationHivernaleDaims,7,FALSE),0)+(IF(QualitéAlimentsFaonMâle_6_12_mois=MAUVAISE,VLOOKUP("Canola",AlimentsRationHivernaleDaims,6,FALSE),0)+(IF(QualitéAlimentsFaonFemelle_6_12_mois=MAUVAISE,VLOOKUP("Canola",AlimentsRationHivernaleDaims,6,FALSE),0)+(IF(QualitéAlimentsJeuneDaim_12_18_mois=MAUVAISE,VLOOKUP("Canola",AlimentsRationHivernaleDaims,5,FALSE),0)+(IF(QualitéAlimentsJeuneDaine_12_18_mois=MAUVAISE,VLOOKUP("Canola",AlimentsRationHivernaleDaims,5,FALSE),0)+(IF(QualitéAlimentsJeuneDaim_18_24_mois=MAUVAISE,VLOOKUP("Canola",AlimentsRationHivernaleDaims,4,FALSE),0)+(IF(QualitéAlimentsJeuneDaine_18_24_mois=MAUVAISE,VLOOKUP("Canola",AlimentsRationHivernaleDaims,4,FALSE),0)+(IF(QualitéAlimentsJeuneDaim_24_36_mois=MAUVAISE,VLOOKUP("Canola",AlimentsRationHivernaleDaims,3,FALSE),0)+(IF(QualitéAlimentsJeuneDaine_24_36_mois=MAUVAISE,VLOOKUP("Canola",AlimentsRationHivernaleDaims,3,FALSE),0)+(IF(QualitéAlimentsDaim=MAUVAISE,VLOOKUP("Canola",AlimentsRationHivernaleDaims,2,FALSE),0)+(IF(QualitéAlimentsDaine=MAUVAISE,VLOOKUP("Canola",AlimentsRationHivernaleDaims,2,FALSE),0))))))))))))))))</f>
        <v>0</v>
      </c>
      <c r="DZ83" s="1345"/>
      <c r="EA83" s="1345"/>
      <c r="EB83" s="1345"/>
      <c r="EC83" s="1345"/>
      <c r="ED83" s="1345"/>
      <c r="EE83" s="1345"/>
      <c r="EF83" s="1321"/>
      <c r="EG83" s="808" t="s">
        <v>1273</v>
      </c>
      <c r="EH83" s="817">
        <f t="array" ref="EH8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83" s="817">
        <f t="array" ref="EI8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83" s="817">
        <f t="array" ref="EJ83">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83" s="818">
        <f>SUM(AlimentsRationOiesMâles[[#This Row],[Valeur 6 et plus]:[Valeur 0-3]])</f>
        <v>0</v>
      </c>
      <c r="EL83" s="1364"/>
      <c r="EM83" s="1321"/>
      <c r="EN83" s="808" t="s">
        <v>1274</v>
      </c>
      <c r="EO83" s="817">
        <f t="array" ref="EO83">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83" s="817">
        <f t="array" ref="EP83">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83" s="817">
        <f t="array" ref="EQ83">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83" s="818">
        <f>SUM(Ration_canards_Mâles[[#This Row],[Valeur 6 et plus]:[Valeur 0-3]])</f>
        <v>0</v>
      </c>
      <c r="ES83" s="1364"/>
      <c r="ET83" s="1321"/>
      <c r="EU83" s="1083" t="s">
        <v>65</v>
      </c>
      <c r="EV83" s="1283">
        <f t="array" ref="EV83">IF(OR(ChoixRationComplèteEtéChevauxSelle=OUI,ChoixRationComplèteEtéChevauxSelle="",AND(ChoixChevauxSellePréHiver=OUI,ChoixChevauxSellePréEté=OUI)),0,IFERROR(IF(OR(AND(INDEX(Règles_chevaux_selle[Specificite],MATCH(RationEtéChevauxSelle&amp;$EU83,Règles_chevaux_selle[Ration]&amp;Règles_chevaux_selle[Aliment],0))="s1",IF($EU83=Spécificité1ChevauxSelle,1)),
AND(INDEX(Règles_chevaux_selle[Specificite],MATCH(RationEtéChevauxSelle&amp;$EU83,Règles_chevaux_selle[Ration]&amp;Règles_chevaux_selle[Aliment],0))="s2",IF($EU83=Spécificité2ChevauxSelle,1)),
INDEX(Règles_chevaux_selle[Specificite],MATCH(RationEtéChevauxSelle&amp;$EU83,Règles_chevaux_selle[Ration]&amp;Règles_chevaux_selle[Aliment],0))="c"),
INDEX(Règles_chevaux_selle[Valeur 36 et plus],MATCH(RationEtéChevauxSelle&amp;$EU83,Règles_chevaux_selle[Ration]&amp;Règles_chevaux_selle[Aliment],0)),0),0)*TotalEtalonSelle*SUM(NbreJoursNourrirChevauxSelle))</f>
        <v>0</v>
      </c>
      <c r="EW83" s="1283">
        <f t="array" ref="EW83">IF(OR(ChoixRationComplèteEtéChevauxSelle=OUI,ChoixRationComplèteEtéChevauxSelle="",AND(ChoixChevauxSellePréHiver=OUI,ChoixChevauxSellePréEté=OUI)),0,IFERROR(IF(OR(AND(INDEX(Règles_chevaux_selle[Specificite],MATCH(RationEtéChevauxSelle&amp;$EU83,Règles_chevaux_selle[Ration]&amp;Règles_chevaux_selle[Aliment],0))="s1",IF($EU83=Spécificité1ChevauxSelle,1)),
AND(INDEX(Règles_chevaux_selle[Specificite],MATCH(RationEtéChevauxSelle&amp;$EU83,Règles_chevaux_selle[Ration]&amp;Règles_chevaux_selle[Aliment],0))="s2",IF($EU83=Spécificité2ChevauxSelle,1)),
INDEX(Règles_chevaux_selle[Specificite],MATCH(RationEtéChevauxSelle&amp;$EU83,Règles_chevaux_selle[Ration]&amp;Règles_chevaux_selle[Aliment],0))="c"),
INDEX(Règles_chevaux_selle[Valeur 24-36],MATCH(RationEtéChevauxSelle&amp;$EU83,Règles_chevaux_selle[Ration]&amp;Règles_chevaux_selle[Aliment],0)),0),0)*TotalJeuneEtalonSelle_24_36_mois*SUM(NbreJoursNourrirChevauxSelle))</f>
        <v>0</v>
      </c>
      <c r="EX83" s="1283">
        <f t="array" ref="EX83">IF(OR(ChoixRationComplèteEtéChevauxSelle=OUI,ChoixRationComplèteEtéChevauxSelle="",AND(ChoixChevauxSellePréHiver=OUI,ChoixChevauxSellePréEté=OUI)),0,IFERROR(IF(OR(AND(INDEX(Règles_chevaux_selle[Specificite],MATCH(RationEtéChevauxSelle&amp;$EU83,Règles_chevaux_selle[Ration]&amp;Règles_chevaux_selle[Aliment],0))="s1",IF($EU83=Spécificité1ChevauxSelle,1)),
AND(INDEX(Règles_chevaux_selle[Specificite],MATCH(RationEtéChevauxSelle&amp;$EU83,Règles_chevaux_selle[Ration]&amp;Règles_chevaux_selle[Aliment],0))="s2",IF($EU83=Spécificité2ChevauxSelle,1)),
INDEX(Règles_chevaux_selle[Specificite],MATCH(RationEtéChevauxSelle&amp;$EU83,Règles_chevaux_selle[Ration]&amp;Règles_chevaux_selle[Aliment],0))="c"),
INDEX(Règles_chevaux_selle[Valeur 12-24],MATCH(RationEtéChevauxSelle&amp;$EU83,Règles_chevaux_selle[Ration]&amp;Règles_chevaux_selle[Aliment],0)),0),0)*TotalJeuneEtalonSelle_12_24_mois*SUM(NbreJoursNourrirChevauxSelle))</f>
        <v>0</v>
      </c>
      <c r="EY83" s="1286">
        <f t="array" ref="EY83">IF(OR(ChoixRationComplèteEtéChevauxSelle=OUI,ChoixRationComplèteEtéChevauxSelle="",AND(ChoixChevauxSellePréHiver=OUI,ChoixChevauxSellePréEté=OUI)),0,IFERROR(IF(OR(AND(INDEX(Règles_chevaux_selle[Specificite],MATCH(RationEtéChevauxSelle&amp;$EU83,Règles_chevaux_selle[Ration]&amp;Règles_chevaux_selle[Aliment],0))="s1",IF($EU83=Spécificité1ChevauxSelle,1)),
AND(INDEX(Règles_chevaux_selle[Specificite],MATCH(RationEtéChevauxSelle&amp;$EU83,Règles_chevaux_selle[Ration]&amp;Règles_chevaux_selle[Aliment],0))="s2",IF($EU83=Spécificité2ChevauxSelle,1)),
INDEX(Règles_chevaux_selle[Specificite],MATCH(RationEtéChevauxSelle&amp;$EU83,Règles_chevaux_selle[Ration]&amp;Règles_chevaux_selle[Aliment],0))="c"),
INDEX(Règles_chevaux_selle[Valeur 0-12],MATCH(RationEtéChevauxSelle&amp;$EU83,Règles_chevaux_selle[Ration]&amp;Règles_chevaux_selle[Aliment],0)),0),0)*TotalPoulainSelle_0_12_mois*SUM(NbreJoursNourrirChevauxSelle))</f>
        <v>0</v>
      </c>
      <c r="EZ83" s="1286">
        <f t="shared" si="16"/>
        <v>0</v>
      </c>
      <c r="FA83" s="1345"/>
      <c r="FB83" s="1345"/>
      <c r="FC83" s="1321"/>
      <c r="FD83" s="1083" t="s">
        <v>296</v>
      </c>
      <c r="FE83" s="1283">
        <f t="array" ref="FE83">IF(OR(ChoixRationComplèteEtéChevauxTrait=OUI,ChoixRationComplèteEtéChevauxTrait="",AND(ChoixChevauxTraitPréHiver=OUI,ChoixChevauxTraitPréEté=OUI)),0,IFERROR(IF(OR(AND(INDEX(Règles_chevaux_trait[Specificite],MATCH(RationEtéChevauxTrait&amp;$FD83,Règles_chevaux_trait[Ration]&amp;Règles_chevaux_trait[Aliment],0))="s1",IF($FD83=Spécificité1ChevauxTrait,1)),
AND(INDEX(Règles_chevaux_trait[Specificite],MATCH(RationEtéChevauxTrait&amp;$FD83,Règles_chevaux_trait[Ration]&amp;Règles_chevaux_trait[Aliment],0))="s2",IF($FD83=Spécificité2ChevauxTrait,1)),
INDEX(Règles_chevaux_trait[Specificite],MATCH(RationEtéChevauxTrait&amp;$FD83,Règles_chevaux_trait[Ration]&amp;Règles_chevaux_trait[Aliment],0))="c"),
INDEX(Règles_chevaux_trait[Valeur 36 et plus],MATCH(RationEtéChevauxTrait&amp;$FD83,Règles_chevaux_trait[Ration]&amp;Règles_chevaux_trait[Aliment],0)),0),0)*TotalEtalonTrait*SUM(NbreJoursNourrirChevauxTrait))</f>
        <v>0</v>
      </c>
      <c r="FF83" s="1283">
        <f t="array" ref="FF83">IF(OR(ChoixRationComplèteEtéChevauxTrait=OUI,ChoixRationComplèteEtéChevauxTrait="",AND(ChoixChevauxTraitPréHiver=OUI,ChoixChevauxTraitPréEté=OUI)),0,IFERROR(IF(OR(AND(INDEX(Règles_chevaux_trait[Specificite],MATCH(RationEtéChevauxTrait&amp;$FD83,Règles_chevaux_trait[Ration]&amp;Règles_chevaux_trait[Aliment],0))="s1",IF($FD83=Spécificité1ChevauxTrait,1)),
AND(INDEX(Règles_chevaux_trait[Specificite],MATCH(RationEtéChevauxTrait&amp;$FD83,Règles_chevaux_trait[Ration]&amp;Règles_chevaux_trait[Aliment],0))="s2",IF($FD83=Spécificité2ChevauxTrait,1)),
INDEX(Règles_chevaux_trait[Specificite],MATCH(RationEtéChevauxTrait&amp;$FD83,Règles_chevaux_trait[Ration]&amp;Règles_chevaux_trait[Aliment],0))="c"),
INDEX(Règles_chevaux_trait[Valeur 24-36],MATCH(RationEtéChevauxTrait&amp;$FD83,Règles_chevaux_trait[Ration]&amp;Règles_chevaux_trait[Aliment],0)),0),0)*TotalJeuneEtalonTrait_24_36_mois*SUM(NbreJoursNourrirChevauxTrait))</f>
        <v>0</v>
      </c>
      <c r="FG83" s="1283">
        <f t="array" ref="FG83">IF(OR(ChoixRationComplèteEtéChevauxTrait=OUI,ChoixRationComplèteEtéChevauxTrait="",AND(ChoixChevauxTraitPréHiver=OUI,ChoixChevauxTraitPréEté=OUI)),0,IFERROR(IF(OR(AND(INDEX(Règles_chevaux_trait[Specificite],MATCH(RationEtéChevauxTrait&amp;$FD83,Règles_chevaux_trait[Ration]&amp;Règles_chevaux_trait[Aliment],0))="s1",IF($FD83=Spécificité1ChevauxTrait,1)),
AND(INDEX(Règles_chevaux_trait[Specificite],MATCH(RationEtéChevauxTrait&amp;$FD83,Règles_chevaux_trait[Ration]&amp;Règles_chevaux_trait[Aliment],0))="s2",IF($FD83=Spécificité2ChevauxTrait,1)),
INDEX(Règles_chevaux_trait[Specificite],MATCH(RationEtéChevauxTrait&amp;$FD83,Règles_chevaux_trait[Ration]&amp;Règles_chevaux_trait[Aliment],0))="c"),
INDEX(Règles_chevaux_trait[Valeur 12-24],MATCH(RationEtéChevauxTrait&amp;$FD83,Règles_chevaux_trait[Ration]&amp;Règles_chevaux_trait[Aliment],0)),0),0)*TotalJeuneEtalonTrait_12_24_mois*SUM(NbreJoursNourrirChevauxTrait))</f>
        <v>0</v>
      </c>
      <c r="FH83" s="1286">
        <f t="array" ref="FH83">IF(OR(ChoixRationComplèteEtéChevauxTrait=OUI,ChoixRationComplèteEtéChevauxTrait="",AND(ChoixChevauxTraitPréHiver=OUI,ChoixChevauxTraitPréEté=OUI)),0,IFERROR(IF(OR(AND(INDEX(Règles_chevaux_trait[Specificite],MATCH(RationEtéChevauxTrait&amp;$FD83,Règles_chevaux_trait[Ration]&amp;Règles_chevaux_trait[Aliment],0))="s1",IF($FD83=Spécificité1ChevauxTrait,1)),
AND(INDEX(Règles_chevaux_trait[Specificite],MATCH(RationEtéChevauxTrait&amp;$FD83,Règles_chevaux_trait[Ration]&amp;Règles_chevaux_trait[Aliment],0))="s2",IF($FD83=Spécificité2ChevauxTrait,1)),
INDEX(Règles_chevaux_trait[Specificite],MATCH(RationEtéChevauxTrait&amp;$FD83,Règles_chevaux_trait[Ration]&amp;Règles_chevaux_trait[Aliment],0))="c"),
INDEX(Règles_chevaux_trait[Valeur 0-12],MATCH(RationEtéChevauxTrait&amp;$FD83,Règles_chevaux_trait[Ration]&amp;Règles_chevaux_trait[Aliment],0)),0),0)*TotalPoulainTrait_0_12_mois*SUM(NbreJoursNourrirChevauxTrait))</f>
        <v>0</v>
      </c>
      <c r="FI83" s="1286">
        <f t="shared" si="15"/>
        <v>0</v>
      </c>
      <c r="FJ83" s="1345"/>
      <c r="FK83" s="1345"/>
      <c r="FL83" s="1345"/>
      <c r="FM83" s="1321"/>
      <c r="FN83" s="1082" t="s">
        <v>1273</v>
      </c>
      <c r="FO83" s="1282">
        <f t="array" ref="FO83">IF(OR(ChoixRationComplèteEtéPoneys=OUI,ChoixRationComplèteEtéPoneys="",AND(ChoixPoneysPréHiver=OUI,ChoixPoneysPréEté=OUI)),0,IFERROR(IF(OR(AND(INDEX(Règles_poneys[Specificite],MATCH(RationEtéPoneys&amp;$FN83,Règles_poneys[Ration]&amp;Règles_poneys[Aliment],0))="s1",IF($FN83=Spécificité1Poneys,1)),
AND(INDEX(Règles_poneys[Specificite],MATCH(RationEtéPoneys&amp;$FN83,Règles_poneys[Ration]&amp;Règles_poneys[Aliment],0))="s2",IF($FN83=Spécificité2Poneys,1)),
INDEX(Règles_poneys[Specificite],MATCH(RationEtéPoneys&amp;$FN83,Règles_poneys[Ration]&amp;Règles_poneys[Aliment],0))="c"),
INDEX(Règles_poneys[Valeur 36 et plus],MATCH(RationEtéPoneys&amp;$FN83,Règles_poneys[Ration]&amp;Règles_poneys[Aliment],0)),0),0)*TotalEtalonPoney*SUM(NbreJoursNourrirPoneys))</f>
        <v>0</v>
      </c>
      <c r="FP83" s="1282">
        <f t="array" ref="FP83">IF(OR(ChoixRationComplèteEtéPoneys=OUI,ChoixRationComplèteEtéPoneys="",AND(ChoixPoneysPréHiver=OUI,ChoixPoneysPréEté=OUI)),0,IFERROR(IF(OR(AND(INDEX(Règles_poneys[Specificite],MATCH(RationEtéPoneys&amp;$FN83,Règles_poneys[Ration]&amp;Règles_poneys[Aliment],0))="s1",IF($FN83=Spécificité1Poneys,1)),
AND(INDEX(Règles_poneys[Specificite],MATCH(RationEtéPoneys&amp;$FN83,Règles_poneys[Ration]&amp;Règles_poneys[Aliment],0))="s2",IF($FN83=Spécificité2Poneys,1)),
INDEX(Règles_poneys[Specificite],MATCH(RationEtéPoneys&amp;$FN83,Règles_poneys[Ration]&amp;Règles_poneys[Aliment],0))="c"),
INDEX(Règles_poneys[Valeur 36 et plus],MATCH(RationEtéPoneys&amp;$FN83,Règles_poneys[Ration]&amp;Règles_poneys[Aliment],0)),0),0)*TotalJeuneEtalonPoney_24_36_mois*SUM(NbreJoursNourrirPoneys))</f>
        <v>0</v>
      </c>
      <c r="FQ83" s="1282">
        <f t="array" ref="FQ83">IF(OR(ChoixRationComplèteEtéPoneys=OUI,ChoixRationComplèteEtéPoneys="",AND(ChoixPoneysPréHiver=OUI,ChoixPoneysPréEté=OUI)),0,IFERROR(IF(OR(AND(INDEX(Règles_poneys[Specificite],MATCH(RationEtéPoneys&amp;$FN83,Règles_poneys[Ration]&amp;Règles_poneys[Aliment],0))="s1",IF($FN83=Spécificité1Poneys,1)),
AND(INDEX(Règles_poneys[Specificite],MATCH(RationEtéPoneys&amp;$FN83,Règles_poneys[Ration]&amp;Règles_poneys[Aliment],0))="s2",IF($FN83=Spécificité2Poneys,1)),
INDEX(Règles_poneys[Specificite],MATCH(RationEtéPoneys&amp;$FN83,Règles_poneys[Ration]&amp;Règles_poneys[Aliment],0))="c"),
INDEX(Règles_poneys[Valeur 36 et plus],MATCH(RationEtéPoneys&amp;$FN83,Règles_poneys[Ration]&amp;Règles_poneys[Aliment],0)),0),0)*TotalJeuneEtalonPoney_12_24_mois*SUM(NbreJoursNourrirPoneys))</f>
        <v>0</v>
      </c>
      <c r="FR83" s="1285">
        <f t="array" ref="FR83">IF(OR(ChoixRationComplèteEtéPoneys=OUI,ChoixRationComplèteEtéPoneys="",AND(ChoixPoneysPréHiver=OUI,ChoixPoneysPréEté=OUI)),0,IFERROR(IF(OR(AND(INDEX(Règles_poneys[Specificite],MATCH(RationEtéPoneys&amp;$FN83,Règles_poneys[Ration]&amp;Règles_poneys[Aliment],0))="s1",IF($FN83=Spécificité1Poneys,1)),
AND(INDEX(Règles_poneys[Specificite],MATCH(RationEtéPoneys&amp;$FN83,Règles_poneys[Ration]&amp;Règles_poneys[Aliment],0))="s2",IF($FN83=Spécificité2Poneys,1)),
INDEX(Règles_poneys[Specificite],MATCH(RationEtéPoneys&amp;$FN83,Règles_poneys[Ration]&amp;Règles_poneys[Aliment],0))="c"),
INDEX(Règles_poneys[Valeur 36 et plus],MATCH(RationEtéPoneys&amp;$FN83,Règles_poneys[Ration]&amp;Règles_poneys[Aliment],0)),0),0)*TotalPoulainPoney_0_12_mois*SUM(NbreJoursNourrirPoneys))</f>
        <v>0</v>
      </c>
      <c r="FS83" s="1285">
        <f t="shared" si="14"/>
        <v>0</v>
      </c>
      <c r="FT83" s="1345"/>
      <c r="FU83" s="1345"/>
      <c r="FV83" s="1345"/>
      <c r="FW83" s="1336" t="s">
        <v>1308</v>
      </c>
      <c r="FX83" s="1341"/>
      <c r="FY83" s="1341"/>
      <c r="FZ83" s="1341"/>
      <c r="GA83" s="1336"/>
      <c r="GB83" s="1336"/>
      <c r="GC83" s="1321"/>
      <c r="GD83" s="1321"/>
      <c r="GE83" s="1321"/>
      <c r="GF83" s="1321"/>
      <c r="GG83" s="1321" t="s">
        <v>1349</v>
      </c>
      <c r="GH83" s="1321" t="s">
        <v>1349</v>
      </c>
      <c r="GI83" s="1321" t="s">
        <v>1349</v>
      </c>
      <c r="GJ83" s="1321" t="s">
        <v>1349</v>
      </c>
      <c r="GK83" s="1321" t="s">
        <v>1349</v>
      </c>
      <c r="GL83" s="1321" t="s">
        <v>1349</v>
      </c>
      <c r="GM83" s="1321" t="s">
        <v>1349</v>
      </c>
      <c r="GN83" s="1321" t="s">
        <v>1349</v>
      </c>
      <c r="GO83" s="1321" t="s">
        <v>1349</v>
      </c>
      <c r="GP83" s="1321" t="s">
        <v>1349</v>
      </c>
      <c r="GQ83" s="1321" t="s">
        <v>1349</v>
      </c>
      <c r="GR83" s="1321" t="s">
        <v>1349</v>
      </c>
      <c r="GS83" s="1321" t="s">
        <v>1349</v>
      </c>
      <c r="GT83" s="1321" t="s">
        <v>1349</v>
      </c>
      <c r="GU83" s="1321" t="s">
        <v>1349</v>
      </c>
      <c r="GV83" s="1321" t="s">
        <v>1349</v>
      </c>
      <c r="GW83" s="1321"/>
      <c r="GX83" s="1321"/>
      <c r="GY83" s="1082" t="str">
        <f t="shared" ref="GY83:GY94" si="25">GH3</f>
        <v>engrais pêchers</v>
      </c>
      <c r="GZ83" s="1082"/>
      <c r="HA83" s="1085"/>
      <c r="HB83" s="1085">
        <f>IF(COUNTIF(TypeArticleDansEntrepôt,GY83)=0,0,SUMIF(TypeArticleDansEntrepôt,GY83,QtéArticleDansEntrepôt)*VLOOKUP(GY83,place_necessaire_entrepots_aire_paille[],2,FALSE))</f>
        <v>0</v>
      </c>
      <c r="HC83" s="1321"/>
      <c r="HD83" s="1321"/>
      <c r="HE83" s="1321"/>
      <c r="HF83" s="1321"/>
      <c r="HG83" s="1321"/>
      <c r="HH83" s="1321"/>
      <c r="HI83" s="1321"/>
      <c r="HJ83" s="1321"/>
      <c r="HK83" s="1321"/>
      <c r="HL83" s="1321"/>
      <c r="HM83" s="1321"/>
      <c r="HN83" s="1085" t="str">
        <f>IF(parcelles!B131="","",(VLOOKUP(parcelles!C131,BDD!$HN$5:$HU$38,2,FALSE))*parcelles!E131)</f>
        <v/>
      </c>
      <c r="HO83" s="1085" t="str">
        <f>IF(parcelles!B131="","",IF(OR(parcelles!C131=Moutarde,parcelles!C131=Phacélie),0,IF(parcelles!C131=Luzerne,10*parcelles!E131*VLOOKUP(parcelles!C131,BDD!$HN$5:$HU$38,3,FALSE),IF(parcelles!C131=Miscanthus,10.5*parcelles!E131*VLOOKUP(parcelles!C131,BDD!$HN$5:$HU$38,3,FALSE),INDEX(parcelles!$C$56:'parcelles'!$Y$77,MATCH(parcelles!B131,parcelles!$B$56:'parcelles'!$B$77,0),MATCH(parcelles!C131,parcelles!$C$53:'parcelles'!$Y$53,0))*parcelles!E131*VLOOKUP(parcelles!C131,BDD!$HN$5:$HU$38,3,FALSE)))))</f>
        <v/>
      </c>
      <c r="HP83" s="1085" t="str">
        <f>IF(parcelles!B131="","",IF(OR(parcelles!C131=Moutarde,parcelles!C131=Phacélie),0,IF(parcelles!C131=Luzerne,10*parcelles!E131*VLOOKUP(parcelles!C131,BDD!$HN$5:$HU$38,4,FALSE),IF(parcelles!C131=Miscanthus,10.5*parcelles!E131*VLOOKUP(parcelles!C131,BDD!$HN$5:$HU$38,4,FALSE),INDEX(parcelles!$C$56:'parcelles'!$Y$77,MATCH(parcelles!B131,parcelles!$B$56:'parcelles'!$B$77,0),MATCH(parcelles!C131,parcelles!$C$53:'parcelles'!$Y$53,0))*parcelles!E131*VLOOKUP(parcelles!C131,BDD!$HN$5:$HU$38,4,FALSE)))))</f>
        <v/>
      </c>
      <c r="HQ83" s="1085" t="str">
        <f>IF(parcelles!B131="","",IF(OR(parcelles!C131=Moutarde,parcelles!C131=Phacélie),0,IF(parcelles!C131=Luzerne,10*parcelles!E131*VLOOKUP(parcelles!C131,BDD!$HN$5:$HU$38,5,FALSE),IF(parcelles!C131=Miscanthus,10.5*parcelles!E131*VLOOKUP(parcelles!C131,BDD!$HN$5:$HU$38,5,FALSE),INDEX(parcelles!$C$56:'parcelles'!$Y$77,MATCH(parcelles!B131,parcelles!$B$56:'parcelles'!$B$77,0),MATCH(parcelles!C131,parcelles!$C$53:'parcelles'!$Y$53,0))*parcelles!E131*VLOOKUP(parcelles!C131,BDD!$HN$5:$HU$38,5,FALSE)))))</f>
        <v/>
      </c>
      <c r="HR83" s="1085" t="str">
        <f>IF(parcelles!B131="","",IF(OR(parcelles!C131=Moutarde,parcelles!C131=Phacélie),0,IF(parcelles!C131=Luzerne,10*parcelles!E131*VLOOKUP(parcelles!C131,BDD!$HN$5:$HU$38,6,FALSE),IF(parcelles!C131=Miscanthus,10.5*parcelles!E131*VLOOKUP(parcelles!C131,BDD!$HN$5:$HU$38,6,FALSE),INDEX(parcelles!$C$56:'parcelles'!$Y$77,MATCH(parcelles!B131,parcelles!$B$56:'parcelles'!$B$77,0),MATCH(parcelles!C131,parcelles!$C$53:'parcelles'!$Y$53,0))*parcelles!E131*VLOOKUP(parcelles!C131,BDD!$HN$5:$HU$38,6,FALSE)))))</f>
        <v/>
      </c>
      <c r="HS83" s="1085" t="str">
        <f>IF(parcelles!B131="","",IF(OR(parcelles!C131=Moutarde,parcelles!C131=Phacélie),0,IF(parcelles!C131=Luzerne,10*parcelles!E131*VLOOKUP(parcelles!C131,BDD!$HN$5:$HU$38,7,FALSE),IF(parcelles!C131=Miscanthus,10.5*parcelles!E131*VLOOKUP(parcelles!C131,BDD!$HN$5:$HU$38,7,FALSE),INDEX(parcelles!$C$56:'parcelles'!$Y$77,MATCH(parcelles!B131,parcelles!$B$56:'parcelles'!$B$77,0),MATCH(parcelles!C131,parcelles!$C$53:'parcelles'!$Y$53,0))*parcelles!E131*VLOOKUP(parcelles!C131,BDD!$HN$5:$HU$38,7,FALSE)))))</f>
        <v/>
      </c>
      <c r="HT83" s="1085" t="str">
        <f>IF(parcelles!B131="","",IF(OR(parcelles!C131=Moutarde,parcelles!C131=Phacélie),0,IF(parcelles!C131=Luzerne,10*parcelles!E131*VLOOKUP(parcelles!C131,BDD!$HN$5:$HU$38,8,FALSE),IF(parcelles!C131=Miscanthus,10.5*parcelles!E131*VLOOKUP(parcelles!C131,BDD!$HN$5:$HU$38,8,FALSE),INDEX(parcelles!$C$56:'parcelles'!$Y$77,MATCH(parcelles!B131,parcelles!$B$56:'parcelles'!$B$77,0),MATCH(parcelles!C131,parcelles!$C$53:'parcelles'!$Y$53,0))*parcelles!E131*VLOOKUP(parcelles!C131,BDD!$HN$5:$HU$38,8,FALSE)))))</f>
        <v/>
      </c>
      <c r="HU83" s="1085" t="str">
        <f>IF(parcelles!B131="","",IF(OR(parcelles!C131=Moutarde,parcelles!C131=Phacélie),0,1.6*parcelles!E131))</f>
        <v/>
      </c>
      <c r="HV83" s="1085" t="str">
        <f>IF(parcelles!B131="","",IF(OR(parcelles!C131=Moutarde,parcelles!C131=Phacélie),0,1.6*parcelles!E131))</f>
        <v/>
      </c>
      <c r="HW83" s="1085" t="str">
        <f>IF(parcelles!B131="","",IF(OR(parcelles!C131=Moutarde,parcelles!C131=Phacélie),0,1.6*parcelles!E131))</f>
        <v/>
      </c>
      <c r="HX83" s="1092" t="str">
        <f>IF(parcelles!D131="","",IF(parcelles!C131=ChanvreIndustriel,INDEX(parcelles!$C$56:$Y$77,MATCH(parcelles!B131,parcelles!$B$56:$B$77,0),MATCH(parcelles!C131,parcelles!$C$53:$Y$53,0))*parcelles!E131*SUMIF(ListeCulturesBDD,parcelles!C131,PrixVenteCulturesConventionnel)+RIGHT(BDD!$HM$7,3)*7*parcelles!E131,IF(parcelles!C131=Luzerne,parcelles!E131*10*VLOOKUP(parcelles!C131,TarifsCoopCultures,2,FALSE),IF(parcelles!C131=Miscanthus,parcelles!E131*10.5*VLOOKUP(Luzerne,TarifsCoopCultures,2,FALSE),INDEX(parcelles!$C$56:$Y$77,MATCH(parcelles!B131,parcelles!$B$56:$B$77,0),MATCH(parcelles!C131,parcelles!$C$53:$Y$53,0))*parcelles!E131*SUMIF(ListeCulturesBDD,parcelles!C131,PrixVenteCulturesConventionnel)))))</f>
        <v/>
      </c>
      <c r="HY83" s="1085" t="str">
        <f>IF(parcelles!D131="","",IF(parcelles!F131=0,"",IF(parcelles!C131=ChanvreIndustriel,"soit "&amp;parcelles!E131*0.8&amp;"t de grain et "&amp;parcelles!E131*7&amp;"t de paille",IF(parcelles!C131=Luzerne,"soit "&amp;10*parcelles!E131&amp;"t/an",IF(parcelles!C131=Miscanthus,"soit "&amp;10.5*parcelles!E131&amp;"t/an","soit "&amp;INDEX(parcelles!$C$56:$Y$77,MATCH(parcelles!B131,parcelles!$B$56:$B$77,0),MATCH(parcelles!C131,parcelles!$C$53:$Y$53,0))*parcelles!E131&amp;"t")))))</f>
        <v/>
      </c>
      <c r="HZ83" s="1085" t="str">
        <f>IF(parcelles!D131="","",IF(parcelles!F131=0,"",IF(parcelles!C131=ChanvreIndustriel,"soit "&amp;parcelles!E131*0.8*0.8&amp;"t de grain et "&amp;parcelles!E131*7*0.8&amp;"t de paille",IF(parcelles!C131=Luzerne,"soit "&amp;10*0.8*parcelles!E131&amp;"t/an",IF(parcelles!C131=Miscanthus,"soit "&amp;10.5*0.8*parcelles!E131&amp;"t/an","soit "&amp;INDEX(parcelles!$C$56:$Y$77,MATCH(parcelles!B131,parcelles!$B$56:$B$77,0),MATCH(parcelles!C131,parcelles!$C$53:$Y$53,0))*0.8*parcelles!E131&amp;"t")))))</f>
        <v/>
      </c>
      <c r="IA83" s="1085" t="str">
        <f>IF(parcelles!L131="","",(VLOOKUP(parcelles!M131,BDD!$HN$5:$HU$38,2,FALSE))*parcelles!O131)</f>
        <v/>
      </c>
      <c r="IB83" s="1085" t="str">
        <f>IF(parcelles!L131="","",IF(OR(parcelles!M131=Moutarde,parcelles!M131=Phacélie),0,IF(parcelles!M131=Luzerne,10*parcelles!O131*VLOOKUP(parcelles!M131,BDD!$HN$5:$HU$38,3,FALSE),IF(parcelles!M131=Miscanthus,10.5*parcelles!O131*VLOOKUP(parcelles!M131,BDD!$HN$5:$HU$38,3,FALSE),INDEX(parcelles!$C$56:'parcelles'!$Y$77,MATCH(parcelles!L131,parcelles!$B$56:'parcelles'!$B$77,0),MATCH(parcelles!M131,parcelles!$C$53:'parcelles'!$Y$53,0))*parcelles!O131*VLOOKUP(parcelles!M131,BDD!$HN$5:$HU$38,3,FALSE)))))</f>
        <v/>
      </c>
      <c r="IC83" s="1085" t="str">
        <f>IF(parcelles!L131="","",IF(OR(parcelles!M131=Moutarde,parcelles!M131=Phacélie),0,IF(parcelles!M131=Luzerne,10*parcelles!O131*VLOOKUP(parcelles!M131,BDD!$HN$5:$HU$38,4,FALSE),IF(parcelles!M131=Miscanthus,10.5*parcelles!O131*VLOOKUP(parcelles!M131,BDD!$HN$5:$HU$38,4,FALSE),INDEX(parcelles!$C$56:'parcelles'!$Y$77,MATCH(parcelles!L131,parcelles!$B$56:'parcelles'!$B$77,0),MATCH(parcelles!M131,parcelles!$C$53:'parcelles'!$Y$53,0))*parcelles!O131*VLOOKUP(parcelles!M131,BDD!$HN$5:$HU$38,4,FALSE)))))</f>
        <v/>
      </c>
      <c r="ID83" s="1085" t="str">
        <f>IF(parcelles!L131="","",IF(OR(parcelles!M131=Moutarde,parcelles!M131=Phacélie),0,IF(parcelles!M131=Luzerne,10*parcelles!O131*VLOOKUP(parcelles!M131,BDD!$HN$5:$HU$38,5,FALSE),IF(parcelles!M131=Miscanthus,10.5*parcelles!O131*VLOOKUP(parcelles!M131,BDD!$HN$5:$HU$38,5,FALSE),INDEX(parcelles!$C$56:'parcelles'!$Y$77,MATCH(parcelles!L131,parcelles!$B$56:'parcelles'!$B$77,0),MATCH(parcelles!M131,parcelles!$C$53:'parcelles'!$Y$53,0))*parcelles!O131*VLOOKUP(parcelles!M131,BDD!$HN$5:$HU$38,5,FALSE)))))</f>
        <v/>
      </c>
      <c r="IE83" s="1085" t="str">
        <f>IF(parcelles!L131="","",IF(OR(parcelles!M131=Moutarde,parcelles!M131=Phacélie),0,IF(parcelles!M131=Luzerne,10*parcelles!O131*VLOOKUP(parcelles!M131,BDD!$HN$5:$HU$38,6,FALSE),IF(parcelles!M131=Miscanthus,10.5*parcelles!O131*VLOOKUP(parcelles!M131,BDD!$HN$5:$HU$38,6,FALSE),INDEX(parcelles!$C$56:'parcelles'!$Y$77,MATCH(parcelles!L131,parcelles!$B$56:'parcelles'!$B$77,0),MATCH(parcelles!M131,parcelles!$C$53:'parcelles'!$Y$53,0))*parcelles!O131*VLOOKUP(parcelles!M131,BDD!$HN$5:$HU$38,6,FALSE)))))</f>
        <v/>
      </c>
      <c r="IF83" s="1085" t="str">
        <f>IF(parcelles!L131="","",IF(OR(parcelles!M131=Moutarde,parcelles!M131=Phacélie),0,IF(parcelles!M131=Luzerne,10*parcelles!O131*VLOOKUP(parcelles!M131,BDD!$HN$5:$HU$38,7,FALSE),IF(parcelles!M131=Miscanthus,10.5*parcelles!O131*VLOOKUP(parcelles!M131,BDD!$HN$5:$HU$38,7,FALSE),INDEX(parcelles!$C$56:'parcelles'!$Y$77,MATCH(parcelles!L131,parcelles!$B$56:'parcelles'!$B$77,0),MATCH(parcelles!M131,parcelles!$C$53:'parcelles'!$Y$53,0))*parcelles!O131*VLOOKUP(parcelles!M131,BDD!$HN$5:$HU$38,7,FALSE)))))</f>
        <v/>
      </c>
      <c r="IG83" s="1085" t="str">
        <f>IF(parcelles!L131="","",IF(OR(parcelles!M131=Moutarde,parcelles!M131=Phacélie),0,IF(parcelles!M131=Luzerne,10*parcelles!O131*VLOOKUP(parcelles!M131,BDD!$HN$5:$HU$38,8,FALSE),IF(parcelles!M131=Miscanthus,10.5*parcelles!O131*VLOOKUP(parcelles!M131,BDD!$HN$5:$HU$38,8,FALSE),INDEX(parcelles!$C$56:'parcelles'!$Y$77,MATCH(parcelles!L131,parcelles!$B$56:'parcelles'!$B$77,0),MATCH(parcelles!M131,parcelles!$C$53:'parcelles'!$Y$53,0))*parcelles!O131*VLOOKUP(parcelles!M131,BDD!$HN$5:$HU$38,8,FALSE)))))</f>
        <v/>
      </c>
      <c r="IH83" s="1085" t="str">
        <f>IF(parcelles!L131="","",IF(OR(parcelles!L131=Moutarde,parcelles!L131=Phacélie),0,1.6*parcelles!O131))</f>
        <v/>
      </c>
      <c r="II83" s="1085" t="str">
        <f>IF(parcelles!L131="","",IF(OR(parcelles!L131=Moutarde,parcelles!L131=Phacélie),0,1.6*parcelles!O131))</f>
        <v/>
      </c>
      <c r="IJ83" s="1085" t="str">
        <f>IF(parcelles!L131="","",IF(OR(parcelles!L131=Moutarde,parcelles!L131=Phacélie),0,1.6*parcelles!O131))</f>
        <v/>
      </c>
      <c r="IK83" s="1085" t="str">
        <f>IF(parcelles!P131="","",IF(parcelles!R131=0,"",IF(parcelles!O131=ChanvreIndustriel,"soit "&amp;parcelles!Q131*0.8&amp;"t de grain et "&amp;parcelles!Q131*7&amp;"t de paille",IF(parcelles!O131=Luzerne,"soit "&amp;10*parcelles!Q131&amp;"t/an",IF(parcelles!O131=Miscanthus,"soit "&amp;10.5*parcelles!Q131&amp;"t/an","soit "&amp;INDEX(parcelles!$C$56:$Y$77,MATCH(parcelles!N131,parcelles!$B$56:$B$77,0),MATCH(parcelles!O131,parcelles!$C$53:$Y$53,0))*parcelles!Q131&amp;"t")))))</f>
        <v/>
      </c>
      <c r="IL83" s="1085" t="str">
        <f>IF(parcelles!P131="","",IF(parcelles!R131=0,"",IF(parcelles!O131=ChanvreIndustriel,"soit "&amp;parcelles!Q131*0.8*0.8&amp;"t de grain et "&amp;parcelles!Q131*7*0.8&amp;"t de paille",IF(parcelles!O131=Luzerne,"soit "&amp;10*0.8*parcelles!Q131&amp;"t/an",IF(parcelles!O131=Miscanthus,"soit "&amp;10.5*0.8*parcelles!Q131&amp;"t/an","soit "&amp;INDEX(parcelles!$C$56:$Y$77,MATCH(parcelles!N131,parcelles!$B$56:$B$77,0),MATCH(parcelles!O131,parcelles!$C$53:$Y$53,0))*0.8*parcelles!Q131&amp;"t")))))</f>
        <v/>
      </c>
      <c r="IM83" s="1085" t="str">
        <f>IF(parcelles!S131="","",IF(parcelles!U131=0,"",IF(parcelles!R131=ChanvreIndustriel,parcelles!T131*0.8*0.8+parcelles!T131*7*0.8,IF(parcelles!R131=Luzerne,10*0.8*parcelles!T131,IF(parcelles!R131=Miscanthus,10.5*0.8*parcelles!T131,INDEX(parcelles!$C$56:$Y$77,MATCH(parcelles!Q131,parcelles!$B$56:$B$77,0),MATCH(parcelles!R131,parcelles!$C$53:$Y$53,0))*0.8*parcelles!T131)))))</f>
        <v/>
      </c>
      <c r="IN83" s="1368"/>
    </row>
    <row r="84" spans="1:248" ht="12.75" customHeight="1" x14ac:dyDescent="0.2">
      <c r="A84" s="1307" t="s">
        <v>373</v>
      </c>
      <c r="B84" s="1241">
        <f t="shared" si="17"/>
        <v>1E-3</v>
      </c>
      <c r="C84" s="1321"/>
      <c r="D84" s="1321"/>
      <c r="E84" s="1321"/>
      <c r="F84" s="1143" t="s">
        <v>1163</v>
      </c>
      <c r="G84" s="1143">
        <v>0</v>
      </c>
      <c r="H84" s="1244" t="s">
        <v>1166</v>
      </c>
      <c r="I84" s="1143" t="s">
        <v>1164</v>
      </c>
      <c r="J84" s="1143" t="s">
        <v>1164</v>
      </c>
      <c r="K84" s="1244" t="s">
        <v>1168</v>
      </c>
      <c r="L84" s="1244" t="s">
        <v>1167</v>
      </c>
      <c r="M84" s="1321"/>
      <c r="N84" s="1321"/>
      <c r="O84" s="1075" t="s">
        <v>1440</v>
      </c>
      <c r="P84" s="1321"/>
      <c r="Q84" s="1076">
        <v>5</v>
      </c>
      <c r="R84" s="1321"/>
      <c r="S84" s="1321"/>
      <c r="T84" s="1321"/>
      <c r="U84" s="1321"/>
      <c r="V84" s="1321"/>
      <c r="W84" s="1321"/>
      <c r="X84" s="1321"/>
      <c r="Y84" s="1081" t="s">
        <v>1675</v>
      </c>
      <c r="Z84" s="1081">
        <f>IF('coût alimentation'!$B$6=$Y$84,9,0)</f>
        <v>0</v>
      </c>
      <c r="AA84" s="1081">
        <f>IF('coût alimentation'!$B$6=$Y$84,9,0)</f>
        <v>0</v>
      </c>
      <c r="AB84" s="1081">
        <f>IF('coût alimentation'!$B$6=$Y$84,9,0)</f>
        <v>0</v>
      </c>
      <c r="AC84" s="1081">
        <f>IF('coût alimentation'!$B$6=$Y$84,9,0)</f>
        <v>0</v>
      </c>
      <c r="AD84" s="1081">
        <f>IF('coût alimentation'!$B$6=$Y$84,9,0)</f>
        <v>0</v>
      </c>
      <c r="AE84" s="1081">
        <f>IF('coût alimentation'!$B$6=$Y$84,9,0)</f>
        <v>0</v>
      </c>
      <c r="AF84" s="1081">
        <f>IF('coût alimentation'!$B$6=$Y$84,9,0)</f>
        <v>0</v>
      </c>
      <c r="AG84" s="1081">
        <f>IF('coût alimentation'!$B$6=$Y$84,9,0)</f>
        <v>0</v>
      </c>
      <c r="AH84" s="1321"/>
      <c r="AI84" s="1321"/>
      <c r="AJ84" s="1321"/>
      <c r="AK84" s="1321"/>
      <c r="AL84" s="1321"/>
      <c r="AM84" s="1321"/>
      <c r="AN84" s="1321"/>
      <c r="AO84" s="1321"/>
      <c r="AP84" s="1321"/>
      <c r="AQ84" s="1321"/>
      <c r="AR84" s="1321"/>
      <c r="AS84" s="1321"/>
      <c r="AT84" s="1321"/>
      <c r="AU84" s="1321"/>
      <c r="AV84" s="1321"/>
      <c r="AW84" s="1321"/>
      <c r="AX84" s="1321"/>
      <c r="AY84" s="1321"/>
      <c r="AZ84" s="1321"/>
      <c r="BA84" s="1321"/>
      <c r="BB84" s="1236" t="s">
        <v>727</v>
      </c>
      <c r="BC84" s="1190" t="s">
        <v>725</v>
      </c>
      <c r="BD84" s="1190" t="s">
        <v>1252</v>
      </c>
      <c r="BE84" s="1237">
        <v>28</v>
      </c>
      <c r="BF84" s="1237">
        <v>24</v>
      </c>
      <c r="BG84" s="1237">
        <v>20</v>
      </c>
      <c r="BH84" s="1237">
        <v>16</v>
      </c>
      <c r="BI84" s="1237">
        <v>8</v>
      </c>
      <c r="BJ84" s="1237">
        <v>4</v>
      </c>
      <c r="BK84" s="1238">
        <v>0</v>
      </c>
      <c r="BL84" s="1348"/>
      <c r="BM84" s="1075" t="str">
        <f t="shared" si="23"/>
        <v>Eau</v>
      </c>
      <c r="BN84" s="1075">
        <f t="array" ref="BN84">IF(Ration_hivernale_complète_bisons[somme]&gt;0,0,IFERROR(IF(OR(AND(INDEX(Règles_bison[Specificite],MATCH(ChoixRationBisons&amp;$BM84,Règles_bison[Ration]&amp;Règles_bison[Aliment],0))="s1",IF($BM84=ChoixSpécificité1Bisons,1)),
AND(INDEX(Règles_bison[Specificite],MATCH(ChoixRationBisons&amp;$BM84,Règles_bison[Ration]&amp;Règles_bison[Aliment],0))="s2",IF($BM84=ChoixSpécificité2Bisons,1)),INDEX(Règles_bison[Specificite],MATCH(ChoixRationBisons&amp;$BM84,Règles_bison[Ration]&amp;Règles_bison[Aliment],0))="c"),
INDEX(Règles_bison[Valeur 36 et plus],MATCH(ChoixRationBisons&amp;$BM84,Règles_bison[Ration]&amp;Règles_bison[Aliment],0)),0),0)*TotalBisonnes*SUM(NbreJoursNourrirBisonsDaims))</f>
        <v>0</v>
      </c>
      <c r="BO84" s="1075">
        <f t="array" ref="BO84">IF(Ration_hivernale_complète_bisons[somme]&gt;0,0,IFERROR(IF(OR(AND(INDEX(Règles_bison[Specificite],MATCH(ChoixRationBisons&amp;$BM84,Règles_bison[Ration]&amp;Règles_bison[Aliment],0))="s1",IF($BM84=ChoixSpécificité1Bisons,1)),
AND(INDEX(Règles_bison[Specificite],MATCH(ChoixRationBisons&amp;$BM84,Règles_bison[Ration]&amp;Règles_bison[Aliment],0))="s2",IF($BM84=ChoixSpécificité2Bisons,1)),INDEX(Règles_bison[Specificite],MATCH(ChoixRationBisons&amp;$BM84,Règles_bison[Ration]&amp;Règles_bison[Aliment],0))="c"),
INDEX(Règles_bison[Valeur 24-36],MATCH(ChoixRationBisons&amp;$BM84,Règles_bison[Ration]&amp;Règles_bison[Aliment],0)),0),0)*TotalBisonsFemelles_24_36_mois*SUM(NbreJoursNourrirBisonsDaims))</f>
        <v>0</v>
      </c>
      <c r="BP84" s="1075">
        <f t="array" ref="BP84">IF(Ration_hivernale_complète_bisons[somme]&gt;0,0,IFERROR(IF(OR(AND(INDEX(Règles_bison[Specificite],MATCH(ChoixRationBisons&amp;$BM84,Règles_bison[Ration]&amp;Règles_bison[Aliment],0))="s1",IF($BM84=ChoixSpécificité1Bisons,1)),
AND(INDEX(Règles_bison[Specificite],MATCH(ChoixRationBisons&amp;$BM84,Règles_bison[Ration]&amp;Règles_bison[Aliment],0))="s2",IF($BM84=ChoixSpécificité2Bisons,1)),INDEX(Règles_bison[Specificite],MATCH(ChoixRationBisons&amp;$BM84,Règles_bison[Ration]&amp;Règles_bison[Aliment],0))="c"),
INDEX(Règles_bison[Valeur 18-24],MATCH(ChoixRationBisons&amp;$BM84,Règles_bison[Ration]&amp;Règles_bison[Aliment],0)),0),0)*TotalBisonsFemelles_18_24_mois*SUM(NbreJoursNourrirBisonsDaims))</f>
        <v>0</v>
      </c>
      <c r="BQ84" s="1075">
        <f t="array" ref="BQ84">IF(Ration_hivernale_complète_bisons[somme]&gt;0,0,IFERROR(IF(OR(AND(INDEX(Règles_bison[Specificite],MATCH(ChoixRationBisons&amp;$BM84,Règles_bison[Ration]&amp;Règles_bison[Aliment],0))="s1",IF($BM84=ChoixSpécificité1Bisons,1)),
AND(INDEX(Règles_bison[Specificite],MATCH(ChoixRationBisons&amp;$BM84,Règles_bison[Ration]&amp;Règles_bison[Aliment],0))="s2",IF($BM84=ChoixSpécificité2Bisons,1)),INDEX(Règles_bison[Specificite],MATCH(ChoixRationBisons&amp;$BM84,Règles_bison[Ration]&amp;Règles_bison[Aliment],0))="c"),
INDEX(Règles_bison[Valeur 12-18],MATCH(ChoixRationBisons&amp;$BM84,Règles_bison[Ration]&amp;Règles_bison[Aliment],0)),0),0)*TotalBisonsFemelles_12_18_mois*SUM(NbreJoursNourrirBisonsDaims))</f>
        <v>0</v>
      </c>
      <c r="BR84" s="1075">
        <f t="array" ref="BR84">IF(Ration_hivernale_complète_bisons[somme]&gt;0,0,IFERROR(IF(OR(AND(INDEX(Règles_bison[Specificite],MATCH(ChoixRationBisons&amp;$BM84,Règles_bison[Ration]&amp;Règles_bison[Aliment],0))="s1",IF($BM84=ChoixSpécificité1Bisons,1)),
AND(INDEX(Règles_bison[Specificite],MATCH(ChoixRationBisons&amp;$BM84,Règles_bison[Ration]&amp;Règles_bison[Aliment],0))="s2",IF($BM84=ChoixSpécificité2Bisons,1)),INDEX(Règles_bison[Specificite],MATCH(ChoixRationBisons&amp;$BM84,Règles_bison[Ration]&amp;Règles_bison[Aliment],0))="c"),
INDEX(Règles_bison[Valeur 6-12],MATCH(ChoixRationBisons&amp;$BM84,Règles_bison[Ration]&amp;Règles_bison[Aliment],0)),0),0)*TotalBisonsFemelles_6_12_mois*SUM(NbreJoursNourrirBisonsDaims))</f>
        <v>0</v>
      </c>
      <c r="BS84" s="1075">
        <f t="array" ref="BS84">IF(Ration_hivernale_complète_bisons[somme]&gt;0,0,IFERROR(IF(OR(AND(INDEX(Règles_bison[Specificite],MATCH(ChoixRationBisons&amp;$BM84,Règles_bison[Ration]&amp;Règles_bison[Aliment],0))="s1",IF($BM84=ChoixSpécificité1Bisons,1)),
AND(INDEX(Règles_bison[Specificite],MATCH(ChoixRationBisons&amp;$BM84,Règles_bison[Ration]&amp;Règles_bison[Aliment],0))="s2",IF($BM84=ChoixSpécificité2Bisons,1)),INDEX(Règles_bison[Specificite],MATCH(ChoixRationBisons&amp;$BM84,Règles_bison[Ration]&amp;Règles_bison[Aliment],0))="c"),
INDEX(Règles_bison[Valeur 3-6],MATCH(ChoixRationBisons&amp;$BM84,Règles_bison[Ration]&amp;Règles_bison[Aliment],0)),0),0)*TotalBisonsFemelles_3_6_mois*SUM(NbreJoursNourrirBisonsDaims))</f>
        <v>0</v>
      </c>
      <c r="BT84" s="1075">
        <f t="array" ref="BT84">IF(Ration_hivernale_complète_bisons[somme]&gt;0,0,IFERROR(IF(OR(AND(INDEX(Règles_bison[Specificite],MATCH(ChoixRationBisons&amp;$BM84,Règles_bison[Ration]&amp;Règles_bison[Aliment],0))="s1",IF($BM84=ChoixSpécificité1Bisons,1)),
AND(INDEX(Règles_bison[Specificite],MATCH(ChoixRationBisons&amp;$BM84,Règles_bison[Ration]&amp;Règles_bison[Aliment],0))="s2",IF($BM84=ChoixSpécificité2Bisons,1)),INDEX(Règles_bison[Specificite],MATCH(ChoixRationBisons&amp;$BM84,Règles_bison[Ration]&amp;Règles_bison[Aliment],0))="c"),
INDEX(Règles_bison[Valeur 0-3],MATCH(ChoixRationBisons&amp;$BM84,Règles_bison[Ration]&amp;Règles_bison[Aliment],0)),0),0)*TotalBisonsFemelles_0_3_mois*SUM(NbreJoursNourrirBisonsDaims))</f>
        <v>0</v>
      </c>
      <c r="BU84" s="1075">
        <f t="shared" si="22"/>
        <v>0</v>
      </c>
      <c r="BV84" s="1346"/>
      <c r="BW84" s="1346"/>
      <c r="BX84" s="1176" t="s">
        <v>764</v>
      </c>
      <c r="BY84" s="1177" t="s">
        <v>672</v>
      </c>
      <c r="BZ84" s="1177" t="s">
        <v>1252</v>
      </c>
      <c r="CA84" s="1177">
        <v>1.6</v>
      </c>
      <c r="CB84" s="1177">
        <v>1.4</v>
      </c>
      <c r="CC84" s="1177">
        <v>1.2</v>
      </c>
      <c r="CD84" s="1199">
        <v>1</v>
      </c>
      <c r="CE84" s="1350"/>
      <c r="CF84" s="1350"/>
      <c r="CG84" s="1350"/>
      <c r="CH84" s="1350"/>
      <c r="CI84" s="1321"/>
      <c r="CJ84" s="814"/>
      <c r="CK84" s="815">
        <f t="array" ref="CK8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12 et plus],MATCH(ChoixRationPorcins&amp;AlimentsRationPorcinsMâles[[#This Row],[aliment]],Règles_porcins[Ration]&amp;Règles_porcins[Aliment],0)),0),0)*TotalVerrats*SUM(NbreJoursNourrirAutres))</f>
        <v>0</v>
      </c>
      <c r="CL84" s="815">
        <f t="array" ref="CL8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6-12],MATCH(ChoixRationPorcins&amp;AlimentsRationPorcinsMâles[[#This Row],[aliment]],Règles_porcins[Ration]&amp;Règles_porcins[Aliment],0)),0),0)*jeune_verrat_6_12_mois*SUM(NbreJoursNourrirAutres))</f>
        <v>0</v>
      </c>
      <c r="CM84" s="815">
        <f t="array" ref="CM8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3-6],MATCH(ChoixRationPorcins&amp;AlimentsRationPorcinsMâles[[#This Row],[aliment]],Règles_porcins[Ration]&amp;Règles_porcins[Aliment],0)),0),0)*jeune_verrat_3_6_mois*SUM(NbreJoursNourrirAutres))</f>
        <v>0</v>
      </c>
      <c r="CN84" s="815">
        <f t="array" ref="CN8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1-3],MATCH(ChoixRationPorcins&amp;AlimentsRationPorcinsMâles[[#This Row],[aliment]],Règles_porcins[Ration]&amp;Règles_porcins[Aliment],0)),0),0)*porcelet_mâle_1_3_mois*SUM(NbreJoursNourrirAutres))</f>
        <v>0</v>
      </c>
      <c r="CO84" s="815">
        <f t="array" ref="CO84">IF(ChoixRationComplètePorcins=OUI,0,IFERROR(IF(OR(AND(INDEX(Règles_porcins[Specificite],MATCH(ChoixRationPorcins&amp;AlimentsRationPorcinsMâles[[#This Row],[aliment]],Règles_porcins[Ration]&amp;Règles_porcins[Aliment],0))="s1",IF(AlimentsRationPorcinsMâles[[#This Row],[aliment]]=Spécificité1Porcins,1)),
INDEX(Règles_porcins[Specificite],MATCH(ChoixRationPorcins&amp;AlimentsRationPorcinsMâles[[#This Row],[aliment]],Règles_porcins[Ration]&amp;Règles_porcins[Aliment],0))="c"),
INDEX(Règles_porcins[Valeur 0-1],MATCH(ChoixRationPorcins&amp;AlimentsRationPorcinsMâles[[#This Row],[aliment]],Règles_porcins[Ration]&amp;Règles_porcins[Aliment],0)),0),0)*porcelet_mâle_0_1_mois*SUM(NbreJoursNourrirAutres))</f>
        <v>0</v>
      </c>
      <c r="CP84" s="816">
        <f>SUM(AlimentsRationPorcinsMâles[[#This Row],[Valeur 12 et plus]:[Valeur 0-1]])</f>
        <v>0</v>
      </c>
      <c r="CQ84" s="1321"/>
      <c r="CR84" s="1321"/>
      <c r="CS84" s="808" t="s">
        <v>63</v>
      </c>
      <c r="CT84" s="817">
        <f t="array" ref="CT8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84" s="817">
        <f t="array" ref="CU8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84" s="817">
        <f t="array" ref="CV8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84" s="818">
        <f>SUM(AlimentsRationLapinsMâles[[#This Row],[Valeur 3 et plus]:[Valeur 0-1]])</f>
        <v>0</v>
      </c>
      <c r="CX84" s="1321"/>
      <c r="CY84" s="1321"/>
      <c r="CZ84" s="808" t="s">
        <v>63</v>
      </c>
      <c r="DA84" s="817">
        <f t="array" ref="DA8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84" s="817">
        <f t="array" ref="DB8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84" s="817">
        <f t="array" ref="DC8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84" s="818">
        <f>SUM(AlimentsRationVolaillesMâles[[#This Row],[Valeur 6 et plus]:[Valeur 0-1]])</f>
        <v>0</v>
      </c>
      <c r="DE84" s="1364"/>
      <c r="DF84" s="1321"/>
      <c r="DG84" s="808"/>
      <c r="DH84" s="817">
        <f t="array" ref="DH8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84" s="817">
        <f t="array" ref="DI8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84" s="817">
        <f t="array" ref="DJ84">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84" s="818">
        <f>SUM(AlimentsRationPintadesMâles[[#This Row],[Valeur 9 et plus]:[Valeur 0-1]])</f>
        <v>0</v>
      </c>
      <c r="DL84" s="1364"/>
      <c r="DM84" s="1364"/>
      <c r="DN84" s="1176" t="s">
        <v>836</v>
      </c>
      <c r="DO84" s="1177" t="s">
        <v>1271</v>
      </c>
      <c r="DP84" s="1177" t="s">
        <v>1252</v>
      </c>
      <c r="DQ84" s="1181">
        <v>0.14000000000000001</v>
      </c>
      <c r="DR84" s="1181">
        <v>0.08</v>
      </c>
      <c r="DS84" s="1181">
        <v>0.04</v>
      </c>
      <c r="DT84" s="1243">
        <v>0.04</v>
      </c>
      <c r="DU84" s="1345"/>
      <c r="DV84" s="1076" t="str">
        <f t="shared" si="24"/>
        <v>Colza</v>
      </c>
      <c r="DW84" s="1267">
        <f t="array" ref="DW84">SUM((IF(QualitéAlimentsFaonMâle_0_3_mois=BONNE,VLOOKUP("Colza",AlimentsRationHivernaleDaims,8,FALSE),0)+(IF(QualitéAlimentsFaonFemelle_0_3_mois=BONNE,VLOOKUP("Colza",AlimentsRationHivernaleDaims,8,FALSE),0)+(IF(QualitéAlimentsFaonMâle_3_6_mois=BONNE,VLOOKUP("Colza",AlimentsRationHivernaleDaims,7,FALSE),0)+(IF(QualitéAlimentsFaonFemelle_3_6_mois=BONNE,VLOOKUP("Colza",AlimentsRationHivernaleDaims,7,FALSE),0)+(IF(QualitéAlimentsFaonMâle_6_12_mois=BONNE,VLOOKUP("Colza",AlimentsRationHivernaleDaims,6,FALSE),0)+(IF(QualitéAlimentsFaonFemelle_6_12_mois=BONNE,VLOOKUP("Colza",AlimentsRationHivernaleDaims,6,FALSE),0)+(IF(QualitéAlimentsJeuneDaim_12_18_mois=BONNE,VLOOKUP("Colza",AlimentsRationHivernaleDaims,5,FALSE),0)+(IF(QualitéAlimentsJeuneDaine_12_18_mois=BONNE,VLOOKUP("Colza",AlimentsRationHivernaleDaims,5,FALSE),0)+(IF(QualitéAlimentsJeuneDaim_18_24_mois=BONNE,VLOOKUP("Colza",AlimentsRationHivernaleDaims,4,FALSE),0)+(IF(QualitéAlimentsJeuneDaine_18_24_mois=BONNE,VLOOKUP("Colza",AlimentsRationHivernaleDaims,4,FALSE),0)+(IF(QualitéAlimentsJeuneDaim_24_36_mois=BONNE,VLOOKUP("Colza",AlimentsRationHivernaleDaims,3,FALSE),0)+(IF(QualitéAlimentsJeuneDaine_24_36_mois=BONNE,VLOOKUP("Colza",AlimentsRationHivernaleDaims,3,FALSE),0)+(IF(QualitéAlimentsDaim=BONNE,VLOOKUP("Colza",AlimentsRationHivernaleDaims,2,FALSE),0)+(IF(QualitéAlimentsDaine=BONNE,VLOOKUP("Colza",AlimentsRationHivernaleDaims,2,FALSE),0))))))))))))))))</f>
        <v>0</v>
      </c>
      <c r="DX84" s="1267">
        <f t="array" ref="DX84">SUM((IF(QualitéAlimentsFaonMâle_0_3_mois=MOYENNE,VLOOKUP("Colza",AlimentsRationHivernaleDaims,8,FALSE),0)+(IF(QualitéAlimentsFaonFemelle_0_3_mois=MOYENNE,VLOOKUP("Colza",AlimentsRationHivernaleDaims,8,FALSE),0)+(IF(QualitéAlimentsFaonMâle_3_6_mois=MOYENNE,VLOOKUP("Colza",AlimentsRationHivernaleDaims,7,FALSE),0)+(IF(QualitéAlimentsFaonFemelle_3_6_mois=MOYENNE,VLOOKUP("Colza",AlimentsRationHivernaleDaims,7,FALSE),0)+(IF(QualitéAlimentsFaonMâle_6_12_mois=MOYENNE,VLOOKUP("Colza",AlimentsRationHivernaleDaims,6,FALSE),0)+(IF(QualitéAlimentsFaonFemelle_6_12_mois=MOYENNE,VLOOKUP("Colza",AlimentsRationHivernaleDaims,6,FALSE),0)+(IF(QualitéAlimentsJeuneDaim_12_18_mois=MOYENNE,VLOOKUP("Colza",AlimentsRationHivernaleDaims,5,FALSE),0)+(IF(QualitéAlimentsJeuneDaine_12_18_mois=MOYENNE,VLOOKUP("Colza",AlimentsRationHivernaleDaims,5,FALSE),0)+(IF(QualitéAlimentsJeuneDaim_18_24_mois=MOYENNE,VLOOKUP("Colza",AlimentsRationHivernaleDaims,4,FALSE),0)+(IF(QualitéAlimentsJeuneDaine_18_24_mois=MOYENNE,VLOOKUP("Colza",AlimentsRationHivernaleDaims,4,FALSE),0)+(IF(QualitéAlimentsJeuneDaim_24_36_mois=MOYENNE,VLOOKUP("Colza",AlimentsRationHivernaleDaims,3,FALSE),0)+(IF(QualitéAlimentsJeuneDaine_24_36_mois=MOYENNE,VLOOKUP("Colza",AlimentsRationHivernaleDaims,3,FALSE),0)+(IF(QualitéAlimentsDaim=MOYENNE,VLOOKUP("Colza",AlimentsRationHivernaleDaims,2,FALSE),0)+(IF(QualitéAlimentsDaine=MOYENNE,VLOOKUP("Colza",AlimentsRationHivernaleDaims,2,FALSE),0))))))))))))))))</f>
        <v>0</v>
      </c>
      <c r="DY84" s="1267">
        <f t="array" ref="DY84">SUM((IF(QualitéAlimentsFaonMâle_0_3_mois=MAUVAISE,VLOOKUP("Colza",AlimentsRationHivernaleDaims,8,FALSE),0)+(IF(QualitéAlimentsFaonFemelle_0_3_mois=MAUVAISE,VLOOKUP("Colza",AlimentsRationHivernaleDaims,8,FALSE),0)+(IF(QualitéAlimentsFaonMâle_3_6_mois=MAUVAISE,VLOOKUP("Colza",AlimentsRationHivernaleDaims,7,FALSE),0)+(IF(QualitéAlimentsFaonFemelle_3_6_mois=MAUVAISE,VLOOKUP("Colza",AlimentsRationHivernaleDaims,7,FALSE),0)+(IF(QualitéAlimentsFaonMâle_6_12_mois=MAUVAISE,VLOOKUP("Colza",AlimentsRationHivernaleDaims,6,FALSE),0)+(IF(QualitéAlimentsFaonFemelle_6_12_mois=MAUVAISE,VLOOKUP("Colza",AlimentsRationHivernaleDaims,6,FALSE),0)+(IF(QualitéAlimentsJeuneDaim_12_18_mois=MAUVAISE,VLOOKUP("Colza",AlimentsRationHivernaleDaims,5,FALSE),0)+(IF(QualitéAlimentsJeuneDaine_12_18_mois=MAUVAISE,VLOOKUP("Colza",AlimentsRationHivernaleDaims,5,FALSE),0)+(IF(QualitéAlimentsJeuneDaim_18_24_mois=MAUVAISE,VLOOKUP("Colza",AlimentsRationHivernaleDaims,4,FALSE),0)+(IF(QualitéAlimentsJeuneDaine_18_24_mois=MAUVAISE,VLOOKUP("Colza",AlimentsRationHivernaleDaims,4,FALSE),0)+(IF(QualitéAlimentsJeuneDaim_24_36_mois=MAUVAISE,VLOOKUP("Colza",AlimentsRationHivernaleDaims,3,FALSE),0)+(IF(QualitéAlimentsJeuneDaine_24_36_mois=MAUVAISE,VLOOKUP("Colza",AlimentsRationHivernaleDaims,3,FALSE),0)+(IF(QualitéAlimentsDaim=MAUVAISE,VLOOKUP("Colza",AlimentsRationHivernaleDaims,2,FALSE),0)+(IF(QualitéAlimentsDaine=MAUVAISE,VLOOKUP("Colza",AlimentsRationHivernaleDaims,2,FALSE),0))))))))))))))))</f>
        <v>0</v>
      </c>
      <c r="DZ84" s="1345"/>
      <c r="EA84" s="1345"/>
      <c r="EB84" s="1345"/>
      <c r="EC84" s="1345"/>
      <c r="ED84" s="1345"/>
      <c r="EE84" s="1345"/>
      <c r="EF84" s="1321"/>
      <c r="EG84" s="808" t="s">
        <v>1274</v>
      </c>
      <c r="EH84" s="817">
        <f t="array" ref="EH84">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84" s="817">
        <f t="array" ref="EI84">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84" s="817">
        <f t="array" ref="EJ84">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84" s="818">
        <f>SUM(AlimentsRationOiesMâles[[#This Row],[Valeur 6 et plus]:[Valeur 0-3]])</f>
        <v>0</v>
      </c>
      <c r="EL84" s="1364"/>
      <c r="EM84" s="1321"/>
      <c r="EN84" s="808" t="s">
        <v>76</v>
      </c>
      <c r="EO84" s="817">
        <f t="array" ref="EO8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84" s="817">
        <f t="array" ref="EP8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84" s="817">
        <f t="array" ref="EQ84">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84" s="818">
        <f>SUM(Ration_canards_Mâles[[#This Row],[Valeur 6 et plus]:[Valeur 0-3]])</f>
        <v>0</v>
      </c>
      <c r="ES84" s="1364"/>
      <c r="ET84" s="1321"/>
      <c r="EU84" s="1082" t="s">
        <v>1272</v>
      </c>
      <c r="EV84" s="1282">
        <f t="array" ref="EV84">IF(OR(ChoixRationComplèteEtéChevauxSelle=OUI,ChoixRationComplèteEtéChevauxSelle="",AND(ChoixChevauxSellePréHiver=OUI,ChoixChevauxSellePréEté=OUI)),0,IFERROR(IF(OR(AND(INDEX(Règles_chevaux_selle[Specificite],MATCH(RationEtéChevauxSelle&amp;$EU84,Règles_chevaux_selle[Ration]&amp;Règles_chevaux_selle[Aliment],0))="s1",IF($EU84=Spécificité1ChevauxSelle,1)),
AND(INDEX(Règles_chevaux_selle[Specificite],MATCH(RationEtéChevauxSelle&amp;$EU84,Règles_chevaux_selle[Ration]&amp;Règles_chevaux_selle[Aliment],0))="s2",IF($EU84=Spécificité2ChevauxSelle,1)),
INDEX(Règles_chevaux_selle[Specificite],MATCH(RationEtéChevauxSelle&amp;$EU84,Règles_chevaux_selle[Ration]&amp;Règles_chevaux_selle[Aliment],0))="c"),
INDEX(Règles_chevaux_selle[Valeur 36 et plus],MATCH(RationEtéChevauxSelle&amp;$EU84,Règles_chevaux_selle[Ration]&amp;Règles_chevaux_selle[Aliment],0)),0),0)*TotalEtalonSelle*SUM(NbreJoursNourrirChevauxSelle))</f>
        <v>0</v>
      </c>
      <c r="EW84" s="1282">
        <f t="array" ref="EW84">IF(OR(ChoixRationComplèteEtéChevauxSelle=OUI,ChoixRationComplèteEtéChevauxSelle="",AND(ChoixChevauxSellePréHiver=OUI,ChoixChevauxSellePréEté=OUI)),0,IFERROR(IF(OR(AND(INDEX(Règles_chevaux_selle[Specificite],MATCH(RationEtéChevauxSelle&amp;$EU84,Règles_chevaux_selle[Ration]&amp;Règles_chevaux_selle[Aliment],0))="s1",IF($EU84=Spécificité1ChevauxSelle,1)),
AND(INDEX(Règles_chevaux_selle[Specificite],MATCH(RationEtéChevauxSelle&amp;$EU84,Règles_chevaux_selle[Ration]&amp;Règles_chevaux_selle[Aliment],0))="s2",IF($EU84=Spécificité2ChevauxSelle,1)),
INDEX(Règles_chevaux_selle[Specificite],MATCH(RationEtéChevauxSelle&amp;$EU84,Règles_chevaux_selle[Ration]&amp;Règles_chevaux_selle[Aliment],0))="c"),
INDEX(Règles_chevaux_selle[Valeur 24-36],MATCH(RationEtéChevauxSelle&amp;$EU84,Règles_chevaux_selle[Ration]&amp;Règles_chevaux_selle[Aliment],0)),0),0)*TotalJeuneEtalonSelle_24_36_mois*SUM(NbreJoursNourrirChevauxSelle))</f>
        <v>0</v>
      </c>
      <c r="EX84" s="1282">
        <f t="array" ref="EX84">IF(OR(ChoixRationComplèteEtéChevauxSelle=OUI,ChoixRationComplèteEtéChevauxSelle="",AND(ChoixChevauxSellePréHiver=OUI,ChoixChevauxSellePréEté=OUI)),0,IFERROR(IF(OR(AND(INDEX(Règles_chevaux_selle[Specificite],MATCH(RationEtéChevauxSelle&amp;$EU84,Règles_chevaux_selle[Ration]&amp;Règles_chevaux_selle[Aliment],0))="s1",IF($EU84=Spécificité1ChevauxSelle,1)),
AND(INDEX(Règles_chevaux_selle[Specificite],MATCH(RationEtéChevauxSelle&amp;$EU84,Règles_chevaux_selle[Ration]&amp;Règles_chevaux_selle[Aliment],0))="s2",IF($EU84=Spécificité2ChevauxSelle,1)),
INDEX(Règles_chevaux_selle[Specificite],MATCH(RationEtéChevauxSelle&amp;$EU84,Règles_chevaux_selle[Ration]&amp;Règles_chevaux_selle[Aliment],0))="c"),
INDEX(Règles_chevaux_selle[Valeur 12-24],MATCH(RationEtéChevauxSelle&amp;$EU84,Règles_chevaux_selle[Ration]&amp;Règles_chevaux_selle[Aliment],0)),0),0)*TotalJeuneEtalonSelle_12_24_mois*SUM(NbreJoursNourrirChevauxSelle))</f>
        <v>0</v>
      </c>
      <c r="EY84" s="1285">
        <f t="array" ref="EY84">IF(OR(ChoixRationComplèteEtéChevauxSelle=OUI,ChoixRationComplèteEtéChevauxSelle="",AND(ChoixChevauxSellePréHiver=OUI,ChoixChevauxSellePréEté=OUI)),0,IFERROR(IF(OR(AND(INDEX(Règles_chevaux_selle[Specificite],MATCH(RationEtéChevauxSelle&amp;$EU84,Règles_chevaux_selle[Ration]&amp;Règles_chevaux_selle[Aliment],0))="s1",IF($EU84=Spécificité1ChevauxSelle,1)),
AND(INDEX(Règles_chevaux_selle[Specificite],MATCH(RationEtéChevauxSelle&amp;$EU84,Règles_chevaux_selle[Ration]&amp;Règles_chevaux_selle[Aliment],0))="s2",IF($EU84=Spécificité2ChevauxSelle,1)),
INDEX(Règles_chevaux_selle[Specificite],MATCH(RationEtéChevauxSelle&amp;$EU84,Règles_chevaux_selle[Ration]&amp;Règles_chevaux_selle[Aliment],0))="c"),
INDEX(Règles_chevaux_selle[Valeur 0-12],MATCH(RationEtéChevauxSelle&amp;$EU84,Règles_chevaux_selle[Ration]&amp;Règles_chevaux_selle[Aliment],0)),0),0)*TotalPoulainSelle_0_12_mois*SUM(NbreJoursNourrirChevauxSelle))</f>
        <v>0</v>
      </c>
      <c r="EZ84" s="1285">
        <f t="shared" si="16"/>
        <v>0</v>
      </c>
      <c r="FA84" s="1345"/>
      <c r="FB84" s="1345"/>
      <c r="FC84" s="1321"/>
      <c r="FD84" s="1082" t="s">
        <v>1273</v>
      </c>
      <c r="FE84" s="1282">
        <f t="array" ref="FE84">IF(OR(ChoixRationComplèteEtéChevauxTrait=OUI,ChoixRationComplèteEtéChevauxTrait="",AND(ChoixChevauxTraitPréHiver=OUI,ChoixChevauxTraitPréEté=OUI)),0,IFERROR(IF(OR(AND(INDEX(Règles_chevaux_trait[Specificite],MATCH(RationEtéChevauxTrait&amp;$FD84,Règles_chevaux_trait[Ration]&amp;Règles_chevaux_trait[Aliment],0))="s1",IF($FD84=Spécificité1ChevauxTrait,1)),
AND(INDEX(Règles_chevaux_trait[Specificite],MATCH(RationEtéChevauxTrait&amp;$FD84,Règles_chevaux_trait[Ration]&amp;Règles_chevaux_trait[Aliment],0))="s2",IF($FD84=Spécificité2ChevauxTrait,1)),
INDEX(Règles_chevaux_trait[Specificite],MATCH(RationEtéChevauxTrait&amp;$FD84,Règles_chevaux_trait[Ration]&amp;Règles_chevaux_trait[Aliment],0))="c"),
INDEX(Règles_chevaux_trait[Valeur 36 et plus],MATCH(RationEtéChevauxTrait&amp;$FD84,Règles_chevaux_trait[Ration]&amp;Règles_chevaux_trait[Aliment],0)),0),0)*TotalEtalonTrait*SUM(NbreJoursNourrirChevauxTrait))</f>
        <v>0</v>
      </c>
      <c r="FF84" s="1282">
        <f t="array" ref="FF84">IF(OR(ChoixRationComplèteEtéChevauxTrait=OUI,ChoixRationComplèteEtéChevauxTrait="",AND(ChoixChevauxTraitPréHiver=OUI,ChoixChevauxTraitPréEté=OUI)),0,IFERROR(IF(OR(AND(INDEX(Règles_chevaux_trait[Specificite],MATCH(RationEtéChevauxTrait&amp;$FD84,Règles_chevaux_trait[Ration]&amp;Règles_chevaux_trait[Aliment],0))="s1",IF($FD84=Spécificité1ChevauxTrait,1)),
AND(INDEX(Règles_chevaux_trait[Specificite],MATCH(RationEtéChevauxTrait&amp;$FD84,Règles_chevaux_trait[Ration]&amp;Règles_chevaux_trait[Aliment],0))="s2",IF($FD84=Spécificité2ChevauxTrait,1)),
INDEX(Règles_chevaux_trait[Specificite],MATCH(RationEtéChevauxTrait&amp;$FD84,Règles_chevaux_trait[Ration]&amp;Règles_chevaux_trait[Aliment],0))="c"),
INDEX(Règles_chevaux_trait[Valeur 24-36],MATCH(RationEtéChevauxTrait&amp;$FD84,Règles_chevaux_trait[Ration]&amp;Règles_chevaux_trait[Aliment],0)),0),0)*TotalJeuneEtalonTrait_24_36_mois*SUM(NbreJoursNourrirChevauxTrait))</f>
        <v>0</v>
      </c>
      <c r="FG84" s="1282">
        <f t="array" ref="FG84">IF(OR(ChoixRationComplèteEtéChevauxTrait=OUI,ChoixRationComplèteEtéChevauxTrait="",AND(ChoixChevauxTraitPréHiver=OUI,ChoixChevauxTraitPréEté=OUI)),0,IFERROR(IF(OR(AND(INDEX(Règles_chevaux_trait[Specificite],MATCH(RationEtéChevauxTrait&amp;$FD84,Règles_chevaux_trait[Ration]&amp;Règles_chevaux_trait[Aliment],0))="s1",IF($FD84=Spécificité1ChevauxTrait,1)),
AND(INDEX(Règles_chevaux_trait[Specificite],MATCH(RationEtéChevauxTrait&amp;$FD84,Règles_chevaux_trait[Ration]&amp;Règles_chevaux_trait[Aliment],0))="s2",IF($FD84=Spécificité2ChevauxTrait,1)),
INDEX(Règles_chevaux_trait[Specificite],MATCH(RationEtéChevauxTrait&amp;$FD84,Règles_chevaux_trait[Ration]&amp;Règles_chevaux_trait[Aliment],0))="c"),
INDEX(Règles_chevaux_trait[Valeur 12-24],MATCH(RationEtéChevauxTrait&amp;$FD84,Règles_chevaux_trait[Ration]&amp;Règles_chevaux_trait[Aliment],0)),0),0)*TotalJeuneEtalonTrait_12_24_mois*SUM(NbreJoursNourrirChevauxTrait))</f>
        <v>0</v>
      </c>
      <c r="FH84" s="1285">
        <f t="array" ref="FH84">IF(OR(ChoixRationComplèteEtéChevauxTrait=OUI,ChoixRationComplèteEtéChevauxTrait="",AND(ChoixChevauxTraitPréHiver=OUI,ChoixChevauxTraitPréEté=OUI)),0,IFERROR(IF(OR(AND(INDEX(Règles_chevaux_trait[Specificite],MATCH(RationEtéChevauxTrait&amp;$FD84,Règles_chevaux_trait[Ration]&amp;Règles_chevaux_trait[Aliment],0))="s1",IF($FD84=Spécificité1ChevauxTrait,1)),
AND(INDEX(Règles_chevaux_trait[Specificite],MATCH(RationEtéChevauxTrait&amp;$FD84,Règles_chevaux_trait[Ration]&amp;Règles_chevaux_trait[Aliment],0))="s2",IF($FD84=Spécificité2ChevauxTrait,1)),
INDEX(Règles_chevaux_trait[Specificite],MATCH(RationEtéChevauxTrait&amp;$FD84,Règles_chevaux_trait[Ration]&amp;Règles_chevaux_trait[Aliment],0))="c"),
INDEX(Règles_chevaux_trait[Valeur 0-12],MATCH(RationEtéChevauxTrait&amp;$FD84,Règles_chevaux_trait[Ration]&amp;Règles_chevaux_trait[Aliment],0)),0),0)*TotalPoulainTrait_0_12_mois*SUM(NbreJoursNourrirChevauxTrait))</f>
        <v>0</v>
      </c>
      <c r="FI84" s="1285">
        <f t="shared" si="15"/>
        <v>0</v>
      </c>
      <c r="FJ84" s="1345"/>
      <c r="FK84" s="1345"/>
      <c r="FL84" s="1345"/>
      <c r="FM84" s="1321"/>
      <c r="FN84" s="1083" t="s">
        <v>1274</v>
      </c>
      <c r="FO84" s="1283">
        <f t="array" ref="FO84">IF(OR(ChoixRationComplèteEtéPoneys=OUI,ChoixRationComplèteEtéPoneys="",AND(ChoixPoneysPréHiver=OUI,ChoixPoneysPréEté=OUI)),0,IFERROR(IF(OR(AND(INDEX(Règles_poneys[Specificite],MATCH(RationEtéPoneys&amp;$FN84,Règles_poneys[Ration]&amp;Règles_poneys[Aliment],0))="s1",IF($FN84=Spécificité1Poneys,1)),
AND(INDEX(Règles_poneys[Specificite],MATCH(RationEtéPoneys&amp;$FN84,Règles_poneys[Ration]&amp;Règles_poneys[Aliment],0))="s2",IF($FN84=Spécificité2Poneys,1)),
INDEX(Règles_poneys[Specificite],MATCH(RationEtéPoneys&amp;$FN84,Règles_poneys[Ration]&amp;Règles_poneys[Aliment],0))="c"),
INDEX(Règles_poneys[Valeur 36 et plus],MATCH(RationEtéPoneys&amp;$FN84,Règles_poneys[Ration]&amp;Règles_poneys[Aliment],0)),0),0)*TotalEtalonPoney*SUM(NbreJoursNourrirPoneys))</f>
        <v>0</v>
      </c>
      <c r="FP84" s="1283">
        <f t="array" ref="FP84">IF(OR(ChoixRationComplèteEtéPoneys=OUI,ChoixRationComplèteEtéPoneys="",AND(ChoixPoneysPréHiver=OUI,ChoixPoneysPréEté=OUI)),0,IFERROR(IF(OR(AND(INDEX(Règles_poneys[Specificite],MATCH(RationEtéPoneys&amp;$FN84,Règles_poneys[Ration]&amp;Règles_poneys[Aliment],0))="s1",IF($FN84=Spécificité1Poneys,1)),
AND(INDEX(Règles_poneys[Specificite],MATCH(RationEtéPoneys&amp;$FN84,Règles_poneys[Ration]&amp;Règles_poneys[Aliment],0))="s2",IF($FN84=Spécificité2Poneys,1)),
INDEX(Règles_poneys[Specificite],MATCH(RationEtéPoneys&amp;$FN84,Règles_poneys[Ration]&amp;Règles_poneys[Aliment],0))="c"),
INDEX(Règles_poneys[Valeur 36 et plus],MATCH(RationEtéPoneys&amp;$FN84,Règles_poneys[Ration]&amp;Règles_poneys[Aliment],0)),0),0)*TotalJeuneEtalonPoney_24_36_mois*SUM(NbreJoursNourrirPoneys))</f>
        <v>0</v>
      </c>
      <c r="FQ84" s="1283">
        <f t="array" ref="FQ84">IF(OR(ChoixRationComplèteEtéPoneys=OUI,ChoixRationComplèteEtéPoneys="",AND(ChoixPoneysPréHiver=OUI,ChoixPoneysPréEté=OUI)),0,IFERROR(IF(OR(AND(INDEX(Règles_poneys[Specificite],MATCH(RationEtéPoneys&amp;$FN84,Règles_poneys[Ration]&amp;Règles_poneys[Aliment],0))="s1",IF($FN84=Spécificité1Poneys,1)),
AND(INDEX(Règles_poneys[Specificite],MATCH(RationEtéPoneys&amp;$FN84,Règles_poneys[Ration]&amp;Règles_poneys[Aliment],0))="s2",IF($FN84=Spécificité2Poneys,1)),
INDEX(Règles_poneys[Specificite],MATCH(RationEtéPoneys&amp;$FN84,Règles_poneys[Ration]&amp;Règles_poneys[Aliment],0))="c"),
INDEX(Règles_poneys[Valeur 36 et plus],MATCH(RationEtéPoneys&amp;$FN84,Règles_poneys[Ration]&amp;Règles_poneys[Aliment],0)),0),0)*TotalJeuneEtalonPoney_12_24_mois*SUM(NbreJoursNourrirPoneys))</f>
        <v>0</v>
      </c>
      <c r="FR84" s="1286">
        <f t="array" ref="FR84">IF(OR(ChoixRationComplèteEtéPoneys=OUI,ChoixRationComplèteEtéPoneys="",AND(ChoixPoneysPréHiver=OUI,ChoixPoneysPréEté=OUI)),0,IFERROR(IF(OR(AND(INDEX(Règles_poneys[Specificite],MATCH(RationEtéPoneys&amp;$FN84,Règles_poneys[Ration]&amp;Règles_poneys[Aliment],0))="s1",IF($FN84=Spécificité1Poneys,1)),
AND(INDEX(Règles_poneys[Specificite],MATCH(RationEtéPoneys&amp;$FN84,Règles_poneys[Ration]&amp;Règles_poneys[Aliment],0))="s2",IF($FN84=Spécificité2Poneys,1)),
INDEX(Règles_poneys[Specificite],MATCH(RationEtéPoneys&amp;$FN84,Règles_poneys[Ration]&amp;Règles_poneys[Aliment],0))="c"),
INDEX(Règles_poneys[Valeur 36 et plus],MATCH(RationEtéPoneys&amp;$FN84,Règles_poneys[Ration]&amp;Règles_poneys[Aliment],0)),0),0)*TotalPoulainPoney_0_12_mois*SUM(NbreJoursNourrirPoneys))</f>
        <v>0</v>
      </c>
      <c r="FS84" s="1286">
        <f t="shared" si="14"/>
        <v>0</v>
      </c>
      <c r="FT84" s="1345"/>
      <c r="FU84" s="1345"/>
      <c r="FV84" s="1345"/>
      <c r="FW84" s="789" t="s">
        <v>1276</v>
      </c>
      <c r="FX84" s="833" t="s">
        <v>1290</v>
      </c>
      <c r="FY84" s="790" t="s">
        <v>1312</v>
      </c>
      <c r="FZ84" s="790" t="s">
        <v>1311</v>
      </c>
      <c r="GA84" s="790" t="s">
        <v>1284</v>
      </c>
      <c r="GB84" s="791" t="s">
        <v>1269</v>
      </c>
      <c r="GC84" s="1321"/>
      <c r="GD84" s="1321"/>
      <c r="GE84" s="1321"/>
      <c r="GF84" s="1321"/>
      <c r="GG84" s="1321" t="s">
        <v>1349</v>
      </c>
      <c r="GH84" s="1321" t="s">
        <v>1349</v>
      </c>
      <c r="GI84" s="1321" t="s">
        <v>1349</v>
      </c>
      <c r="GJ84" s="1321" t="s">
        <v>1349</v>
      </c>
      <c r="GK84" s="1321" t="s">
        <v>1349</v>
      </c>
      <c r="GL84" s="1321" t="s">
        <v>1349</v>
      </c>
      <c r="GM84" s="1321" t="s">
        <v>1349</v>
      </c>
      <c r="GN84" s="1321" t="s">
        <v>1349</v>
      </c>
      <c r="GO84" s="1321" t="s">
        <v>1349</v>
      </c>
      <c r="GP84" s="1321" t="s">
        <v>1349</v>
      </c>
      <c r="GQ84" s="1321" t="s">
        <v>1349</v>
      </c>
      <c r="GR84" s="1321" t="s">
        <v>1349</v>
      </c>
      <c r="GS84" s="1321" t="s">
        <v>1349</v>
      </c>
      <c r="GT84" s="1321" t="s">
        <v>1349</v>
      </c>
      <c r="GU84" s="1321" t="s">
        <v>1349</v>
      </c>
      <c r="GV84" s="1321" t="s">
        <v>1349</v>
      </c>
      <c r="GW84" s="1321"/>
      <c r="GX84" s="1321"/>
      <c r="GY84" s="1083" t="str">
        <f t="shared" si="25"/>
        <v>engrais poiriers</v>
      </c>
      <c r="GZ84" s="1083"/>
      <c r="HA84" s="1084"/>
      <c r="HB84" s="1084">
        <f>IF(COUNTIF(TypeArticleDansEntrepôt,GY84)=0,0,SUMIF(TypeArticleDansEntrepôt,GY84,QtéArticleDansEntrepôt)*VLOOKUP(GY84,place_necessaire_entrepots_aire_paille[],2,FALSE))</f>
        <v>0</v>
      </c>
      <c r="HC84" s="1321"/>
      <c r="HD84" s="1321"/>
      <c r="HE84" s="1321"/>
      <c r="HF84" s="1321"/>
      <c r="HG84" s="1321"/>
      <c r="HH84" s="1321"/>
      <c r="HI84" s="1321"/>
      <c r="HJ84" s="1321"/>
      <c r="HK84" s="1321"/>
      <c r="HL84" s="1321"/>
      <c r="HM84" s="1321"/>
      <c r="HN84" s="1084" t="str">
        <f>IF(parcelles!B132="","",(VLOOKUP(parcelles!C132,BDD!$HN$5:$HU$38,2,FALSE))*parcelles!E132)</f>
        <v/>
      </c>
      <c r="HO84" s="1084" t="str">
        <f>IF(parcelles!B132="","",IF(OR(parcelles!C132=Moutarde,parcelles!C132=Phacélie),0,IF(parcelles!C132=Luzerne,10*parcelles!E132*VLOOKUP(parcelles!C132,BDD!$HN$5:$HU$38,3,FALSE),IF(parcelles!C132=Miscanthus,10.5*parcelles!E132*VLOOKUP(parcelles!C132,BDD!$HN$5:$HU$38,3,FALSE),INDEX(parcelles!$C$56:'parcelles'!$Y$77,MATCH(parcelles!B132,parcelles!$B$56:'parcelles'!$B$77,0),MATCH(parcelles!C132,parcelles!$C$53:'parcelles'!$Y$53,0))*parcelles!E132*VLOOKUP(parcelles!C132,BDD!$HN$5:$HU$38,3,FALSE)))))</f>
        <v/>
      </c>
      <c r="HP84" s="1084" t="str">
        <f>IF(parcelles!B132="","",IF(OR(parcelles!C132=Moutarde,parcelles!C132=Phacélie),0,IF(parcelles!C132=Luzerne,10*parcelles!E132*VLOOKUP(parcelles!C132,BDD!$HN$5:$HU$38,4,FALSE),IF(parcelles!C132=Miscanthus,10.5*parcelles!E132*VLOOKUP(parcelles!C132,BDD!$HN$5:$HU$38,4,FALSE),INDEX(parcelles!$C$56:'parcelles'!$Y$77,MATCH(parcelles!B132,parcelles!$B$56:'parcelles'!$B$77,0),MATCH(parcelles!C132,parcelles!$C$53:'parcelles'!$Y$53,0))*parcelles!E132*VLOOKUP(parcelles!C132,BDD!$HN$5:$HU$38,4,FALSE)))))</f>
        <v/>
      </c>
      <c r="HQ84" s="1084" t="str">
        <f>IF(parcelles!B132="","",IF(OR(parcelles!C132=Moutarde,parcelles!C132=Phacélie),0,IF(parcelles!C132=Luzerne,10*parcelles!E132*VLOOKUP(parcelles!C132,BDD!$HN$5:$HU$38,5,FALSE),IF(parcelles!C132=Miscanthus,10.5*parcelles!E132*VLOOKUP(parcelles!C132,BDD!$HN$5:$HU$38,5,FALSE),INDEX(parcelles!$C$56:'parcelles'!$Y$77,MATCH(parcelles!B132,parcelles!$B$56:'parcelles'!$B$77,0),MATCH(parcelles!C132,parcelles!$C$53:'parcelles'!$Y$53,0))*parcelles!E132*VLOOKUP(parcelles!C132,BDD!$HN$5:$HU$38,5,FALSE)))))</f>
        <v/>
      </c>
      <c r="HR84" s="1084" t="str">
        <f>IF(parcelles!B132="","",IF(OR(parcelles!C132=Moutarde,parcelles!C132=Phacélie),0,IF(parcelles!C132=Luzerne,10*parcelles!E132*VLOOKUP(parcelles!C132,BDD!$HN$5:$HU$38,6,FALSE),IF(parcelles!C132=Miscanthus,10.5*parcelles!E132*VLOOKUP(parcelles!C132,BDD!$HN$5:$HU$38,6,FALSE),INDEX(parcelles!$C$56:'parcelles'!$Y$77,MATCH(parcelles!B132,parcelles!$B$56:'parcelles'!$B$77,0),MATCH(parcelles!C132,parcelles!$C$53:'parcelles'!$Y$53,0))*parcelles!E132*VLOOKUP(parcelles!C132,BDD!$HN$5:$HU$38,6,FALSE)))))</f>
        <v/>
      </c>
      <c r="HS84" s="1084" t="str">
        <f>IF(parcelles!B132="","",IF(OR(parcelles!C132=Moutarde,parcelles!C132=Phacélie),0,IF(parcelles!C132=Luzerne,10*parcelles!E132*VLOOKUP(parcelles!C132,BDD!$HN$5:$HU$38,7,FALSE),IF(parcelles!C132=Miscanthus,10.5*parcelles!E132*VLOOKUP(parcelles!C132,BDD!$HN$5:$HU$38,7,FALSE),INDEX(parcelles!$C$56:'parcelles'!$Y$77,MATCH(parcelles!B132,parcelles!$B$56:'parcelles'!$B$77,0),MATCH(parcelles!C132,parcelles!$C$53:'parcelles'!$Y$53,0))*parcelles!E132*VLOOKUP(parcelles!C132,BDD!$HN$5:$HU$38,7,FALSE)))))</f>
        <v/>
      </c>
      <c r="HT84" s="1084" t="str">
        <f>IF(parcelles!B132="","",IF(OR(parcelles!C132=Moutarde,parcelles!C132=Phacélie),0,IF(parcelles!C132=Luzerne,10*parcelles!E132*VLOOKUP(parcelles!C132,BDD!$HN$5:$HU$38,8,FALSE),IF(parcelles!C132=Miscanthus,10.5*parcelles!E132*VLOOKUP(parcelles!C132,BDD!$HN$5:$HU$38,8,FALSE),INDEX(parcelles!$C$56:'parcelles'!$Y$77,MATCH(parcelles!B132,parcelles!$B$56:'parcelles'!$B$77,0),MATCH(parcelles!C132,parcelles!$C$53:'parcelles'!$Y$53,0))*parcelles!E132*VLOOKUP(parcelles!C132,BDD!$HN$5:$HU$38,8,FALSE)))))</f>
        <v/>
      </c>
      <c r="HU84" s="1084" t="str">
        <f>IF(parcelles!B132="","",IF(OR(parcelles!C132=Moutarde,parcelles!C132=Phacélie),0,1.6*parcelles!E132))</f>
        <v/>
      </c>
      <c r="HV84" s="1084" t="str">
        <f>IF(parcelles!B132="","",IF(OR(parcelles!C132=Moutarde,parcelles!C132=Phacélie),0,1.6*parcelles!E132))</f>
        <v/>
      </c>
      <c r="HW84" s="1084" t="str">
        <f>IF(parcelles!B132="","",IF(OR(parcelles!C132=Moutarde,parcelles!C132=Phacélie),0,1.6*parcelles!E132))</f>
        <v/>
      </c>
      <c r="HX84" s="1095" t="str">
        <f>IF(parcelles!D132="","",IF(parcelles!C132=ChanvreIndustriel,INDEX(parcelles!$C$56:$Y$77,MATCH(parcelles!B132,parcelles!$B$56:$B$77,0),MATCH(parcelles!C132,parcelles!$C$53:$Y$53,0))*parcelles!E132*SUMIF(ListeCulturesBDD,parcelles!C132,PrixVenteCulturesConventionnel)+RIGHT(BDD!$HM$7,3)*7*parcelles!E132,IF(parcelles!C132=Luzerne,parcelles!E132*10*VLOOKUP(parcelles!C132,TarifsCoopCultures,2,FALSE),IF(parcelles!C132=Miscanthus,parcelles!E132*10.5*VLOOKUP(Luzerne,TarifsCoopCultures,2,FALSE),INDEX(parcelles!$C$56:$Y$77,MATCH(parcelles!B132,parcelles!$B$56:$B$77,0),MATCH(parcelles!C132,parcelles!$C$53:$Y$53,0))*parcelles!E132*SUMIF(ListeCulturesBDD,parcelles!C132,PrixVenteCulturesConventionnel)))))</f>
        <v/>
      </c>
      <c r="HY84" s="1084" t="str">
        <f>IF(parcelles!D132="","",IF(parcelles!F132=0,"",IF(parcelles!C132=ChanvreIndustriel,"soit "&amp;parcelles!E132*0.8&amp;"t de grain et "&amp;parcelles!E132*7&amp;"t de paille",IF(parcelles!C132=Luzerne,"soit "&amp;10*parcelles!E132&amp;"t/an",IF(parcelles!C132=Miscanthus,"soit "&amp;10.5*parcelles!E132&amp;"t/an","soit "&amp;INDEX(parcelles!$C$56:$Y$77,MATCH(parcelles!B132,parcelles!$B$56:$B$77,0),MATCH(parcelles!C132,parcelles!$C$53:$Y$53,0))*parcelles!E132&amp;"t")))))</f>
        <v/>
      </c>
      <c r="HZ84" s="1084" t="str">
        <f>IF(parcelles!D132="","",IF(parcelles!F132=0,"",IF(parcelles!C132=ChanvreIndustriel,"soit "&amp;parcelles!E132*0.8*0.8&amp;"t de grain et "&amp;parcelles!E132*7*0.8&amp;"t de paille",IF(parcelles!C132=Luzerne,"soit "&amp;10*0.8*parcelles!E132&amp;"t/an",IF(parcelles!C132=Miscanthus,"soit "&amp;10.5*0.8*parcelles!E132&amp;"t/an","soit "&amp;INDEX(parcelles!$C$56:$Y$77,MATCH(parcelles!B132,parcelles!$B$56:$B$77,0),MATCH(parcelles!C132,parcelles!$C$53:$Y$53,0))*0.8*parcelles!E132&amp;"t")))))</f>
        <v/>
      </c>
      <c r="IA84" s="1084" t="str">
        <f>IF(parcelles!L132="","",(VLOOKUP(parcelles!M132,BDD!$HN$5:$HU$38,2,FALSE))*parcelles!O132)</f>
        <v/>
      </c>
      <c r="IB84" s="1084" t="str">
        <f>IF(parcelles!L132="","",IF(OR(parcelles!M132=Moutarde,parcelles!M132=Phacélie),0,IF(parcelles!M132=Luzerne,10*parcelles!O132*VLOOKUP(parcelles!M132,BDD!$HN$5:$HU$38,3,FALSE),IF(parcelles!M132=Miscanthus,10.5*parcelles!O132*VLOOKUP(parcelles!M132,BDD!$HN$5:$HU$38,3,FALSE),INDEX(parcelles!$C$56:'parcelles'!$Y$77,MATCH(parcelles!L132,parcelles!$B$56:'parcelles'!$B$77,0),MATCH(parcelles!M132,parcelles!$C$53:'parcelles'!$Y$53,0))*parcelles!O132*VLOOKUP(parcelles!M132,BDD!$HN$5:$HU$38,3,FALSE)))))</f>
        <v/>
      </c>
      <c r="IC84" s="1084" t="str">
        <f>IF(parcelles!L132="","",IF(OR(parcelles!M132=Moutarde,parcelles!M132=Phacélie),0,IF(parcelles!M132=Luzerne,10*parcelles!O132*VLOOKUP(parcelles!M132,BDD!$HN$5:$HU$38,4,FALSE),IF(parcelles!M132=Miscanthus,10.5*parcelles!O132*VLOOKUP(parcelles!M132,BDD!$HN$5:$HU$38,4,FALSE),INDEX(parcelles!$C$56:'parcelles'!$Y$77,MATCH(parcelles!L132,parcelles!$B$56:'parcelles'!$B$77,0),MATCH(parcelles!M132,parcelles!$C$53:'parcelles'!$Y$53,0))*parcelles!O132*VLOOKUP(parcelles!M132,BDD!$HN$5:$HU$38,4,FALSE)))))</f>
        <v/>
      </c>
      <c r="ID84" s="1084" t="str">
        <f>IF(parcelles!L132="","",IF(OR(parcelles!M132=Moutarde,parcelles!M132=Phacélie),0,IF(parcelles!M132=Luzerne,10*parcelles!O132*VLOOKUP(parcelles!M132,BDD!$HN$5:$HU$38,5,FALSE),IF(parcelles!M132=Miscanthus,10.5*parcelles!O132*VLOOKUP(parcelles!M132,BDD!$HN$5:$HU$38,5,FALSE),INDEX(parcelles!$C$56:'parcelles'!$Y$77,MATCH(parcelles!L132,parcelles!$B$56:'parcelles'!$B$77,0),MATCH(parcelles!M132,parcelles!$C$53:'parcelles'!$Y$53,0))*parcelles!O132*VLOOKUP(parcelles!M132,BDD!$HN$5:$HU$38,5,FALSE)))))</f>
        <v/>
      </c>
      <c r="IE84" s="1084" t="str">
        <f>IF(parcelles!L132="","",IF(OR(parcelles!M132=Moutarde,parcelles!M132=Phacélie),0,IF(parcelles!M132=Luzerne,10*parcelles!O132*VLOOKUP(parcelles!M132,BDD!$HN$5:$HU$38,6,FALSE),IF(parcelles!M132=Miscanthus,10.5*parcelles!O132*VLOOKUP(parcelles!M132,BDD!$HN$5:$HU$38,6,FALSE),INDEX(parcelles!$C$56:'parcelles'!$Y$77,MATCH(parcelles!L132,parcelles!$B$56:'parcelles'!$B$77,0),MATCH(parcelles!M132,parcelles!$C$53:'parcelles'!$Y$53,0))*parcelles!O132*VLOOKUP(parcelles!M132,BDD!$HN$5:$HU$38,6,FALSE)))))</f>
        <v/>
      </c>
      <c r="IF84" s="1084" t="str">
        <f>IF(parcelles!L132="","",IF(OR(parcelles!M132=Moutarde,parcelles!M132=Phacélie),0,IF(parcelles!M132=Luzerne,10*parcelles!O132*VLOOKUP(parcelles!M132,BDD!$HN$5:$HU$38,7,FALSE),IF(parcelles!M132=Miscanthus,10.5*parcelles!O132*VLOOKUP(parcelles!M132,BDD!$HN$5:$HU$38,7,FALSE),INDEX(parcelles!$C$56:'parcelles'!$Y$77,MATCH(parcelles!L132,parcelles!$B$56:'parcelles'!$B$77,0),MATCH(parcelles!M132,parcelles!$C$53:'parcelles'!$Y$53,0))*parcelles!O132*VLOOKUP(parcelles!M132,BDD!$HN$5:$HU$38,7,FALSE)))))</f>
        <v/>
      </c>
      <c r="IG84" s="1084" t="str">
        <f>IF(parcelles!L132="","",IF(OR(parcelles!M132=Moutarde,parcelles!M132=Phacélie),0,IF(parcelles!M132=Luzerne,10*parcelles!O132*VLOOKUP(parcelles!M132,BDD!$HN$5:$HU$38,8,FALSE),IF(parcelles!M132=Miscanthus,10.5*parcelles!O132*VLOOKUP(parcelles!M132,BDD!$HN$5:$HU$38,8,FALSE),INDEX(parcelles!$C$56:'parcelles'!$Y$77,MATCH(parcelles!L132,parcelles!$B$56:'parcelles'!$B$77,0),MATCH(parcelles!M132,parcelles!$C$53:'parcelles'!$Y$53,0))*parcelles!O132*VLOOKUP(parcelles!M132,BDD!$HN$5:$HU$38,8,FALSE)))))</f>
        <v/>
      </c>
      <c r="IH84" s="1084" t="str">
        <f>IF(parcelles!L132="","",IF(OR(parcelles!L132=Moutarde,parcelles!L132=Phacélie),0,1.6*parcelles!O132))</f>
        <v/>
      </c>
      <c r="II84" s="1084" t="str">
        <f>IF(parcelles!L132="","",IF(OR(parcelles!L132=Moutarde,parcelles!L132=Phacélie),0,1.6*parcelles!O132))</f>
        <v/>
      </c>
      <c r="IJ84" s="1084" t="str">
        <f>IF(parcelles!L132="","",IF(OR(parcelles!L132=Moutarde,parcelles!L132=Phacélie),0,1.6*parcelles!O132))</f>
        <v/>
      </c>
      <c r="IK84" s="1084" t="str">
        <f>IF(parcelles!P132="","",IF(parcelles!R132=0,"",IF(parcelles!O132=ChanvreIndustriel,"soit "&amp;parcelles!Q132*0.8&amp;"t de grain et "&amp;parcelles!Q132*7&amp;"t de paille",IF(parcelles!O132=Luzerne,"soit "&amp;10*parcelles!Q132&amp;"t/an",IF(parcelles!O132=Miscanthus,"soit "&amp;10.5*parcelles!Q132&amp;"t/an","soit "&amp;INDEX(parcelles!$C$56:$Y$77,MATCH(parcelles!N132,parcelles!$B$56:$B$77,0),MATCH(parcelles!O132,parcelles!$C$53:$Y$53,0))*parcelles!Q132&amp;"t")))))</f>
        <v/>
      </c>
      <c r="IL84" s="1084" t="str">
        <f>IF(parcelles!P132="","",IF(parcelles!R132=0,"",IF(parcelles!O132=ChanvreIndustriel,"soit "&amp;parcelles!Q132*0.8*0.8&amp;"t de grain et "&amp;parcelles!Q132*7*0.8&amp;"t de paille",IF(parcelles!O132=Luzerne,"soit "&amp;10*0.8*parcelles!Q132&amp;"t/an",IF(parcelles!O132=Miscanthus,"soit "&amp;10.5*0.8*parcelles!Q132&amp;"t/an","soit "&amp;INDEX(parcelles!$C$56:$Y$77,MATCH(parcelles!N132,parcelles!$B$56:$B$77,0),MATCH(parcelles!O132,parcelles!$C$53:$Y$53,0))*0.8*parcelles!Q132&amp;"t")))))</f>
        <v/>
      </c>
      <c r="IM84" s="1084" t="str">
        <f>IF(parcelles!S132="","",IF(parcelles!U132=0,"",IF(parcelles!R132=ChanvreIndustriel,parcelles!T132*0.8*0.8+parcelles!T132*7*0.8,IF(parcelles!R132=Luzerne,10*0.8*parcelles!T132,IF(parcelles!R132=Miscanthus,10.5*0.8*parcelles!T132,INDEX(parcelles!$C$56:$Y$77,MATCH(parcelles!Q132,parcelles!$B$56:$B$77,0),MATCH(parcelles!R132,parcelles!$C$53:$Y$53,0))*0.8*parcelles!T132)))))</f>
        <v/>
      </c>
      <c r="IN84" s="1368"/>
    </row>
    <row r="85" spans="1:248" ht="12.75" customHeight="1" x14ac:dyDescent="0.2">
      <c r="A85" s="1307" t="s">
        <v>221</v>
      </c>
      <c r="B85" s="1241">
        <f t="shared" si="17"/>
        <v>1E-3</v>
      </c>
      <c r="C85" s="1321"/>
      <c r="D85" s="1321"/>
      <c r="E85" s="1321"/>
      <c r="F85" s="1149" t="s">
        <v>1165</v>
      </c>
      <c r="G85" s="1149">
        <v>0</v>
      </c>
      <c r="H85" s="1245" t="s">
        <v>1166</v>
      </c>
      <c r="I85" s="1149" t="s">
        <v>1164</v>
      </c>
      <c r="J85" s="1149" t="s">
        <v>1164</v>
      </c>
      <c r="K85" s="1245" t="s">
        <v>1168</v>
      </c>
      <c r="L85" s="1245" t="s">
        <v>1167</v>
      </c>
      <c r="M85" s="1321"/>
      <c r="N85" s="1321"/>
      <c r="O85" s="1321"/>
      <c r="P85" s="1321"/>
      <c r="Q85" s="1083">
        <v>5.5</v>
      </c>
      <c r="R85" s="1321"/>
      <c r="S85" s="1321"/>
      <c r="T85" s="1321"/>
      <c r="U85" s="1321"/>
      <c r="V85" s="1321"/>
      <c r="W85" s="1321"/>
      <c r="X85" s="1321"/>
      <c r="Y85" s="1080" t="s">
        <v>1676</v>
      </c>
      <c r="Z85" s="1080">
        <f>IF('coût alimentation'!$B$6=$Y$85,10,0)</f>
        <v>0</v>
      </c>
      <c r="AA85" s="1080">
        <f>IF('coût alimentation'!$B$6=$Y$85,10,0)</f>
        <v>0</v>
      </c>
      <c r="AB85" s="1080">
        <f>IF('coût alimentation'!$B$6=$Y$85,10,0)</f>
        <v>0</v>
      </c>
      <c r="AC85" s="1080">
        <f>IF('coût alimentation'!$B$6=$Y$85,10,0)</f>
        <v>0</v>
      </c>
      <c r="AD85" s="1080">
        <f>IF('coût alimentation'!$B$6=$Y$85,10,0)</f>
        <v>0</v>
      </c>
      <c r="AE85" s="1080">
        <f>IF('coût alimentation'!$B$6=$Y$85,10,0)</f>
        <v>0</v>
      </c>
      <c r="AF85" s="1080">
        <f>IF('coût alimentation'!$B$6=$Y$85,10,0)</f>
        <v>0</v>
      </c>
      <c r="AG85" s="1080">
        <f>IF('coût alimentation'!$B$6=$Y$85,10,0)</f>
        <v>0</v>
      </c>
      <c r="AH85" s="1321"/>
      <c r="AI85" s="1321"/>
      <c r="AJ85" s="1321"/>
      <c r="AK85" s="1321"/>
      <c r="AL85" s="1321"/>
      <c r="AM85" s="1321"/>
      <c r="AN85" s="1321"/>
      <c r="AO85" s="1321"/>
      <c r="AP85" s="1321"/>
      <c r="AQ85" s="1321"/>
      <c r="AR85" s="1321"/>
      <c r="AS85" s="1321"/>
      <c r="AT85" s="1321"/>
      <c r="AU85" s="1321"/>
      <c r="AV85" s="1321"/>
      <c r="AW85" s="1321"/>
      <c r="AX85" s="1321"/>
      <c r="AY85" s="1321"/>
      <c r="AZ85" s="1321"/>
      <c r="BA85" s="1321"/>
      <c r="BB85" s="1236" t="s">
        <v>727</v>
      </c>
      <c r="BC85" s="1190" t="s">
        <v>523</v>
      </c>
      <c r="BD85" s="1190" t="s">
        <v>1252</v>
      </c>
      <c r="BE85" s="1237">
        <v>120</v>
      </c>
      <c r="BF85" s="1237">
        <v>100</v>
      </c>
      <c r="BG85" s="1237">
        <v>84</v>
      </c>
      <c r="BH85" s="1237">
        <v>60</v>
      </c>
      <c r="BI85" s="1237">
        <v>36</v>
      </c>
      <c r="BJ85" s="1237">
        <v>16</v>
      </c>
      <c r="BK85" s="1238">
        <v>0</v>
      </c>
      <c r="BL85" s="1348"/>
      <c r="BM85" s="1076" t="str">
        <f t="shared" si="23"/>
        <v>Epinard</v>
      </c>
      <c r="BN85" s="1076">
        <f t="array" ref="BN85">IF(Ration_hivernale_complète_bisons[somme]&gt;0,0,IFERROR(IF(OR(AND(INDEX(Règles_bison[Specificite],MATCH(ChoixRationBisons&amp;$BM85,Règles_bison[Ration]&amp;Règles_bison[Aliment],0))="s1",IF($BM85=ChoixSpécificité1Bisons,1)),
AND(INDEX(Règles_bison[Specificite],MATCH(ChoixRationBisons&amp;$BM85,Règles_bison[Ration]&amp;Règles_bison[Aliment],0))="s2",IF($BM85=ChoixSpécificité2Bisons,1)),INDEX(Règles_bison[Specificite],MATCH(ChoixRationBisons&amp;$BM85,Règles_bison[Ration]&amp;Règles_bison[Aliment],0))="c"),
INDEX(Règles_bison[Valeur 36 et plus],MATCH(ChoixRationBisons&amp;$BM85,Règles_bison[Ration]&amp;Règles_bison[Aliment],0)),0),0)*TotalBisonnes*SUM(NbreJoursNourrirBisonsDaims))</f>
        <v>0</v>
      </c>
      <c r="BO85" s="1076">
        <f t="array" ref="BO85">IF(Ration_hivernale_complète_bisons[somme]&gt;0,0,IFERROR(IF(OR(AND(INDEX(Règles_bison[Specificite],MATCH(ChoixRationBisons&amp;$BM85,Règles_bison[Ration]&amp;Règles_bison[Aliment],0))="s1",IF($BM85=ChoixSpécificité1Bisons,1)),
AND(INDEX(Règles_bison[Specificite],MATCH(ChoixRationBisons&amp;$BM85,Règles_bison[Ration]&amp;Règles_bison[Aliment],0))="s2",IF($BM85=ChoixSpécificité2Bisons,1)),INDEX(Règles_bison[Specificite],MATCH(ChoixRationBisons&amp;$BM85,Règles_bison[Ration]&amp;Règles_bison[Aliment],0))="c"),
INDEX(Règles_bison[Valeur 24-36],MATCH(ChoixRationBisons&amp;$BM85,Règles_bison[Ration]&amp;Règles_bison[Aliment],0)),0),0)*TotalBisonsFemelles_24_36_mois*SUM(NbreJoursNourrirBisonsDaims))</f>
        <v>0</v>
      </c>
      <c r="BP85" s="1076">
        <f t="array" ref="BP85">IF(Ration_hivernale_complète_bisons[somme]&gt;0,0,IFERROR(IF(OR(AND(INDEX(Règles_bison[Specificite],MATCH(ChoixRationBisons&amp;$BM85,Règles_bison[Ration]&amp;Règles_bison[Aliment],0))="s1",IF($BM85=ChoixSpécificité1Bisons,1)),
AND(INDEX(Règles_bison[Specificite],MATCH(ChoixRationBisons&amp;$BM85,Règles_bison[Ration]&amp;Règles_bison[Aliment],0))="s2",IF($BM85=ChoixSpécificité2Bisons,1)),INDEX(Règles_bison[Specificite],MATCH(ChoixRationBisons&amp;$BM85,Règles_bison[Ration]&amp;Règles_bison[Aliment],0))="c"),
INDEX(Règles_bison[Valeur 18-24],MATCH(ChoixRationBisons&amp;$BM85,Règles_bison[Ration]&amp;Règles_bison[Aliment],0)),0),0)*TotalBisonsFemelles_18_24_mois*SUM(NbreJoursNourrirBisonsDaims))</f>
        <v>0</v>
      </c>
      <c r="BQ85" s="1076">
        <f t="array" ref="BQ85">IF(Ration_hivernale_complète_bisons[somme]&gt;0,0,IFERROR(IF(OR(AND(INDEX(Règles_bison[Specificite],MATCH(ChoixRationBisons&amp;$BM85,Règles_bison[Ration]&amp;Règles_bison[Aliment],0))="s1",IF($BM85=ChoixSpécificité1Bisons,1)),
AND(INDEX(Règles_bison[Specificite],MATCH(ChoixRationBisons&amp;$BM85,Règles_bison[Ration]&amp;Règles_bison[Aliment],0))="s2",IF($BM85=ChoixSpécificité2Bisons,1)),INDEX(Règles_bison[Specificite],MATCH(ChoixRationBisons&amp;$BM85,Règles_bison[Ration]&amp;Règles_bison[Aliment],0))="c"),
INDEX(Règles_bison[Valeur 12-18],MATCH(ChoixRationBisons&amp;$BM85,Règles_bison[Ration]&amp;Règles_bison[Aliment],0)),0),0)*TotalBisonsFemelles_12_18_mois*SUM(NbreJoursNourrirBisonsDaims))</f>
        <v>0</v>
      </c>
      <c r="BR85" s="1076">
        <f t="array" ref="BR85">IF(Ration_hivernale_complète_bisons[somme]&gt;0,0,IFERROR(IF(OR(AND(INDEX(Règles_bison[Specificite],MATCH(ChoixRationBisons&amp;$BM85,Règles_bison[Ration]&amp;Règles_bison[Aliment],0))="s1",IF($BM85=ChoixSpécificité1Bisons,1)),
AND(INDEX(Règles_bison[Specificite],MATCH(ChoixRationBisons&amp;$BM85,Règles_bison[Ration]&amp;Règles_bison[Aliment],0))="s2",IF($BM85=ChoixSpécificité2Bisons,1)),INDEX(Règles_bison[Specificite],MATCH(ChoixRationBisons&amp;$BM85,Règles_bison[Ration]&amp;Règles_bison[Aliment],0))="c"),
INDEX(Règles_bison[Valeur 6-12],MATCH(ChoixRationBisons&amp;$BM85,Règles_bison[Ration]&amp;Règles_bison[Aliment],0)),0),0)*TotalBisonsFemelles_6_12_mois*SUM(NbreJoursNourrirBisonsDaims))</f>
        <v>0</v>
      </c>
      <c r="BS85" s="1076">
        <f t="array" ref="BS85">IF(Ration_hivernale_complète_bisons[somme]&gt;0,0,IFERROR(IF(OR(AND(INDEX(Règles_bison[Specificite],MATCH(ChoixRationBisons&amp;$BM85,Règles_bison[Ration]&amp;Règles_bison[Aliment],0))="s1",IF($BM85=ChoixSpécificité1Bisons,1)),
AND(INDEX(Règles_bison[Specificite],MATCH(ChoixRationBisons&amp;$BM85,Règles_bison[Ration]&amp;Règles_bison[Aliment],0))="s2",IF($BM85=ChoixSpécificité2Bisons,1)),INDEX(Règles_bison[Specificite],MATCH(ChoixRationBisons&amp;$BM85,Règles_bison[Ration]&amp;Règles_bison[Aliment],0))="c"),
INDEX(Règles_bison[Valeur 3-6],MATCH(ChoixRationBisons&amp;$BM85,Règles_bison[Ration]&amp;Règles_bison[Aliment],0)),0),0)*TotalBisonsFemelles_3_6_mois*SUM(NbreJoursNourrirBisonsDaims))</f>
        <v>0</v>
      </c>
      <c r="BT85" s="1076">
        <f t="array" ref="BT85">IF(Ration_hivernale_complète_bisons[somme]&gt;0,0,IFERROR(IF(OR(AND(INDEX(Règles_bison[Specificite],MATCH(ChoixRationBisons&amp;$BM85,Règles_bison[Ration]&amp;Règles_bison[Aliment],0))="s1",IF($BM85=ChoixSpécificité1Bisons,1)),
AND(INDEX(Règles_bison[Specificite],MATCH(ChoixRationBisons&amp;$BM85,Règles_bison[Ration]&amp;Règles_bison[Aliment],0))="s2",IF($BM85=ChoixSpécificité2Bisons,1)),INDEX(Règles_bison[Specificite],MATCH(ChoixRationBisons&amp;$BM85,Règles_bison[Ration]&amp;Règles_bison[Aliment],0))="c"),
INDEX(Règles_bison[Valeur 0-3],MATCH(ChoixRationBisons&amp;$BM85,Règles_bison[Ration]&amp;Règles_bison[Aliment],0)),0),0)*TotalBisonsFemelles_0_3_mois*SUM(NbreJoursNourrirBisonsDaims))</f>
        <v>0</v>
      </c>
      <c r="BU85" s="1076">
        <f t="shared" si="22"/>
        <v>0</v>
      </c>
      <c r="BV85" s="1346"/>
      <c r="BW85" s="1346"/>
      <c r="BX85" s="1176" t="s">
        <v>764</v>
      </c>
      <c r="BY85" s="1177" t="s">
        <v>285</v>
      </c>
      <c r="BZ85" s="1177" t="s">
        <v>1253</v>
      </c>
      <c r="CA85" s="1177">
        <v>1.6</v>
      </c>
      <c r="CB85" s="1177">
        <v>1.4</v>
      </c>
      <c r="CC85" s="1177">
        <v>1.2</v>
      </c>
      <c r="CD85" s="1199">
        <v>1</v>
      </c>
      <c r="CE85" s="1350"/>
      <c r="CF85" s="1350"/>
      <c r="CG85" s="1350"/>
      <c r="CH85" s="1350"/>
      <c r="CI85" s="1321"/>
      <c r="CJ85" s="1336"/>
      <c r="CK85" s="1336"/>
      <c r="CL85" s="1336"/>
      <c r="CM85" s="1336"/>
      <c r="CN85" s="1336"/>
      <c r="CO85" s="1336"/>
      <c r="CP85" s="1336"/>
      <c r="CQ85" s="1321"/>
      <c r="CR85" s="1321"/>
      <c r="CS85" s="808" t="s">
        <v>671</v>
      </c>
      <c r="CT85" s="817">
        <f t="array" ref="CT8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85" s="817">
        <f t="array" ref="CU8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85" s="817">
        <f t="array" ref="CV8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85" s="818">
        <f>SUM(AlimentsRationLapinsMâles[[#This Row],[Valeur 3 et plus]:[Valeur 0-1]])</f>
        <v>0</v>
      </c>
      <c r="CX85" s="1321"/>
      <c r="CY85" s="1321"/>
      <c r="CZ85" s="808" t="s">
        <v>671</v>
      </c>
      <c r="DA85" s="817">
        <f t="array" ref="DA8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85" s="817">
        <f t="array" ref="DB8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85" s="817">
        <f t="array" ref="DC8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85" s="818">
        <f>SUM(AlimentsRationVolaillesMâles[[#This Row],[Valeur 6 et plus]:[Valeur 0-1]])</f>
        <v>0</v>
      </c>
      <c r="DE85" s="1364"/>
      <c r="DF85" s="1321"/>
      <c r="DG85" s="808"/>
      <c r="DH85" s="817">
        <f t="array" ref="DH8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85" s="817">
        <f t="array" ref="DI8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85" s="817">
        <f t="array" ref="DJ85">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85" s="818">
        <f>SUM(AlimentsRationPintadesMâles[[#This Row],[Valeur 9 et plus]:[Valeur 0-1]])</f>
        <v>0</v>
      </c>
      <c r="DL85" s="1364"/>
      <c r="DM85" s="1321"/>
      <c r="DN85" s="1176" t="s">
        <v>836</v>
      </c>
      <c r="DO85" s="1177" t="s">
        <v>733</v>
      </c>
      <c r="DP85" s="1177" t="s">
        <v>1252</v>
      </c>
      <c r="DQ85" s="1181">
        <v>20</v>
      </c>
      <c r="DR85" s="1181">
        <v>12</v>
      </c>
      <c r="DS85" s="1181">
        <v>8</v>
      </c>
      <c r="DT85" s="1243">
        <v>4</v>
      </c>
      <c r="DU85" s="1345"/>
      <c r="DV85" s="1075" t="str">
        <f t="shared" si="24"/>
        <v>concentré jeunes bovins</v>
      </c>
      <c r="DW85" s="1269">
        <f t="array" ref="DW85">SUM((IF(QualitéAlimentsFaonMâle_0_3_mois=BONNE,VLOOKUP("concentré jeunes bovins",AlimentsRationHivernaleDaims,8,FALSE),0)+(IF(QualitéAlimentsFaonFemelle_0_3_mois=BONNE,VLOOKUP("concentré jeunes bovins",AlimentsRationHivernaleDaims,8,FALSE),0)+(IF(QualitéAlimentsFaonMâle_3_6_mois=BONNE,VLOOKUP("concentré jeunes bovins",AlimentsRationHivernaleDaims,7,FALSE),0)+(IF(QualitéAlimentsFaonFemelle_3_6_mois=BONNE,VLOOKUP("concentré jeunes bovins",AlimentsRationHivernaleDaims,7,FALSE),0)+(IF(QualitéAlimentsFaonMâle_6_12_mois=BONNE,VLOOKUP("concentré jeunes bovins",AlimentsRationHivernaleDaims,6,FALSE),0)+(IF(QualitéAlimentsFaonFemelle_6_12_mois=BONNE,VLOOKUP("concentré jeunes bovins",AlimentsRationHivernaleDaims,6,FALSE),0)+(IF(QualitéAlimentsJeuneDaim_12_18_mois=BONNE,VLOOKUP("concentré jeunes bovins",AlimentsRationHivernaleDaims,5,FALSE),0)+(IF(QualitéAlimentsJeuneDaine_12_18_mois=BONNE,VLOOKUP("concentré jeunes bovins",AlimentsRationHivernaleDaims,5,FALSE),0)+(IF(QualitéAlimentsJeuneDaim_18_24_mois=BONNE,VLOOKUP("concentré jeunes bovins",AlimentsRationHivernaleDaims,4,FALSE),0)+(IF(QualitéAlimentsJeuneDaine_18_24_mois=BONNE,VLOOKUP("concentré jeunes bovins",AlimentsRationHivernaleDaims,4,FALSE),0)+(IF(QualitéAlimentsJeuneDaim_24_36_mois=BONNE,VLOOKUP("concentré jeunes bovins",AlimentsRationHivernaleDaims,3,FALSE),0)+(IF(QualitéAlimentsJeuneDaine_24_36_mois=BONNE,VLOOKUP("concentré jeunes bovins",AlimentsRationHivernaleDaims,3,FALSE),0)+(IF(QualitéAlimentsDaim=BONNE,VLOOKUP("concentré jeunes bovins",AlimentsRationHivernaleDaims,2,FALSE),0)+(IF(QualitéAlimentsDaine=BONNE,VLOOKUP("concentré jeunes bovins",AlimentsRationHivernaleDaims,2,FALSE),0))))))))))))))))</f>
        <v>0</v>
      </c>
      <c r="DX85" s="1269">
        <f t="array" ref="DX85">SUM((IF(QualitéAlimentsFaonMâle_0_3_mois=MOYENNE,VLOOKUP("concentré jeunes bovins",AlimentsRationHivernaleDaims,8,FALSE),0)+(IF(QualitéAlimentsFaonFemelle_0_3_mois=MOYENNE,VLOOKUP("concentré jeunes bovins",AlimentsRationHivernaleDaims,8,FALSE),0)+(IF(QualitéAlimentsFaonMâle_3_6_mois=MOYENNE,VLOOKUP("concentré jeunes bovins",AlimentsRationHivernaleDaims,7,FALSE),0)+(IF(QualitéAlimentsFaonFemelle_3_6_mois=MOYENNE,VLOOKUP("concentré jeunes bovins",AlimentsRationHivernaleDaims,7,FALSE),0)+(IF(QualitéAlimentsFaonMâle_6_12_mois=MOYENNE,VLOOKUP("concentré jeunes bovins",AlimentsRationHivernaleDaims,6,FALSE),0)+(IF(QualitéAlimentsFaonFemelle_6_12_mois=MOYENNE,VLOOKUP("concentré jeunes bovins",AlimentsRationHivernaleDaims,6,FALSE),0)+(IF(QualitéAlimentsJeuneDaim_12_18_mois=MOYENNE,VLOOKUP("concentré jeunes bovins",AlimentsRationHivernaleDaims,5,FALSE),0)+(IF(QualitéAlimentsJeuneDaine_12_18_mois=MOYENNE,VLOOKUP("concentré jeunes bovins",AlimentsRationHivernaleDaims,5,FALSE),0)+(IF(QualitéAlimentsJeuneDaim_18_24_mois=MOYENNE,VLOOKUP("concentré jeunes bovins",AlimentsRationHivernaleDaims,4,FALSE),0)+(IF(QualitéAlimentsJeuneDaine_18_24_mois=MOYENNE,VLOOKUP("concentré jeunes bovins",AlimentsRationHivernaleDaims,4,FALSE),0)+(IF(QualitéAlimentsJeuneDaim_24_36_mois=MOYENNE,VLOOKUP("concentré jeunes bovins",AlimentsRationHivernaleDaims,3,FALSE),0)+(IF(QualitéAlimentsJeuneDaine_24_36_mois=MOYENNE,VLOOKUP("concentré jeunes bovins",AlimentsRationHivernaleDaims,3,FALSE),0)+(IF(QualitéAlimentsDaim=MOYENNE,VLOOKUP("concentré jeunes bovins",AlimentsRationHivernaleDaims,2,FALSE),0)+(IF(QualitéAlimentsDaine=MOYENNE,VLOOKUP("concentré jeunes bovins",AlimentsRationHivernaleDaims,2,FALSE),0))))))))))))))))</f>
        <v>0</v>
      </c>
      <c r="DY85" s="1269">
        <f t="array" ref="DY85">SUM((IF(QualitéAlimentsFaonMâle_0_3_mois=MAUVAISE,VLOOKUP("concentré jeunes bovins",AlimentsRationHivernaleDaims,8,FALSE),0)+(IF(QualitéAlimentsFaonFemelle_0_3_mois=MAUVAISE,VLOOKUP("concentré jeunes bovins",AlimentsRationHivernaleDaims,8,FALSE),0)+(IF(QualitéAlimentsFaonMâle_3_6_mois=MAUVAISE,VLOOKUP("concentré jeunes bovins",AlimentsRationHivernaleDaims,7,FALSE),0)+(IF(QualitéAlimentsFaonFemelle_3_6_mois=MAUVAISE,VLOOKUP("concentré jeunes bovins",AlimentsRationHivernaleDaims,7,FALSE),0)+(IF(QualitéAlimentsFaonMâle_6_12_mois=MAUVAISE,VLOOKUP("concentré jeunes bovins",AlimentsRationHivernaleDaims,6,FALSE),0)+(IF(QualitéAlimentsFaonFemelle_6_12_mois=MAUVAISE,VLOOKUP("concentré jeunes bovins",AlimentsRationHivernaleDaims,6,FALSE),0)+(IF(QualitéAlimentsJeuneDaim_12_18_mois=MAUVAISE,VLOOKUP("concentré jeunes bovins",AlimentsRationHivernaleDaims,5,FALSE),0)+(IF(QualitéAlimentsJeuneDaine_12_18_mois=MAUVAISE,VLOOKUP("concentré jeunes bovins",AlimentsRationHivernaleDaims,5,FALSE),0)+(IF(QualitéAlimentsJeuneDaim_18_24_mois=MAUVAISE,VLOOKUP("concentré jeunes bovins",AlimentsRationHivernaleDaims,4,FALSE),0)+(IF(QualitéAlimentsJeuneDaine_18_24_mois=MAUVAISE,VLOOKUP("concentré jeunes bovins",AlimentsRationHivernaleDaims,4,FALSE),0)+(IF(QualitéAlimentsJeuneDaim_24_36_mois=MAUVAISE,VLOOKUP("concentré jeunes bovins",AlimentsRationHivernaleDaims,3,FALSE),0)+(IF(QualitéAlimentsJeuneDaine_24_36_mois=MAUVAISE,VLOOKUP("concentré jeunes bovins",AlimentsRationHivernaleDaims,3,FALSE),0)+(IF(QualitéAlimentsDaim=MAUVAISE,VLOOKUP("concentré jeunes bovins",AlimentsRationHivernaleDaims,2,FALSE),0)+(IF(QualitéAlimentsDaine=MAUVAISE,VLOOKUP("concentré jeunes bovins",AlimentsRationHivernaleDaims,2,FALSE),0))))))))))))))))</f>
        <v>0</v>
      </c>
      <c r="DZ85" s="1345"/>
      <c r="EA85" s="1345"/>
      <c r="EB85" s="1345"/>
      <c r="EC85" s="1345"/>
      <c r="ED85" s="1345"/>
      <c r="EE85" s="1345"/>
      <c r="EF85" s="1321"/>
      <c r="EG85" s="808" t="s">
        <v>76</v>
      </c>
      <c r="EH85" s="817">
        <f t="array" ref="EH8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85" s="817">
        <f t="array" ref="EI8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85" s="817">
        <f t="array" ref="EJ85">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85" s="818">
        <f>SUM(AlimentsRationOiesMâles[[#This Row],[Valeur 6 et plus]:[Valeur 0-3]])</f>
        <v>0</v>
      </c>
      <c r="EL85" s="1364"/>
      <c r="EM85" s="1321"/>
      <c r="EN85" s="808"/>
      <c r="EO85" s="817">
        <f t="array" ref="EO8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85" s="817">
        <f t="array" ref="EP8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85" s="817">
        <f t="array" ref="EQ85">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85" s="818">
        <f>SUM(Ration_canards_Mâles[[#This Row],[Valeur 6 et plus]:[Valeur 0-3]])</f>
        <v>0</v>
      </c>
      <c r="ES85" s="1364"/>
      <c r="ET85" s="1321"/>
      <c r="EU85" s="1083" t="s">
        <v>723</v>
      </c>
      <c r="EV85" s="1283">
        <f t="array" ref="EV85">IF(OR(ChoixRationComplèteEtéChevauxSelle=OUI,ChoixRationComplèteEtéChevauxSelle="",AND(ChoixChevauxSellePréHiver=OUI,ChoixChevauxSellePréEté=OUI)),0,IFERROR(IF(OR(AND(INDEX(Règles_chevaux_selle[Specificite],MATCH(RationEtéChevauxSelle&amp;$EU85,Règles_chevaux_selle[Ration]&amp;Règles_chevaux_selle[Aliment],0))="s1",IF($EU85=Spécificité1ChevauxSelle,1)),
AND(INDEX(Règles_chevaux_selle[Specificite],MATCH(RationEtéChevauxSelle&amp;$EU85,Règles_chevaux_selle[Ration]&amp;Règles_chevaux_selle[Aliment],0))="s2",IF($EU85=Spécificité2ChevauxSelle,1)),
INDEX(Règles_chevaux_selle[Specificite],MATCH(RationEtéChevauxSelle&amp;$EU85,Règles_chevaux_selle[Ration]&amp;Règles_chevaux_selle[Aliment],0))="c"),
INDEX(Règles_chevaux_selle[Valeur 36 et plus],MATCH(RationEtéChevauxSelle&amp;$EU85,Règles_chevaux_selle[Ration]&amp;Règles_chevaux_selle[Aliment],0)),0),0)*TotalEtalonSelle*SUM(NbreJoursNourrirChevauxSelle))</f>
        <v>0</v>
      </c>
      <c r="EW85" s="1283">
        <f t="array" ref="EW85">IF(OR(ChoixRationComplèteEtéChevauxSelle=OUI,ChoixRationComplèteEtéChevauxSelle="",AND(ChoixChevauxSellePréHiver=OUI,ChoixChevauxSellePréEté=OUI)),0,IFERROR(IF(OR(AND(INDEX(Règles_chevaux_selle[Specificite],MATCH(RationEtéChevauxSelle&amp;$EU85,Règles_chevaux_selle[Ration]&amp;Règles_chevaux_selle[Aliment],0))="s1",IF($EU85=Spécificité1ChevauxSelle,1)),
AND(INDEX(Règles_chevaux_selle[Specificite],MATCH(RationEtéChevauxSelle&amp;$EU85,Règles_chevaux_selle[Ration]&amp;Règles_chevaux_selle[Aliment],0))="s2",IF($EU85=Spécificité2ChevauxSelle,1)),
INDEX(Règles_chevaux_selle[Specificite],MATCH(RationEtéChevauxSelle&amp;$EU85,Règles_chevaux_selle[Ration]&amp;Règles_chevaux_selle[Aliment],0))="c"),
INDEX(Règles_chevaux_selle[Valeur 24-36],MATCH(RationEtéChevauxSelle&amp;$EU85,Règles_chevaux_selle[Ration]&amp;Règles_chevaux_selle[Aliment],0)),0),0)*TotalJeuneEtalonSelle_24_36_mois*SUM(NbreJoursNourrirChevauxSelle))</f>
        <v>0</v>
      </c>
      <c r="EX85" s="1283">
        <f t="array" ref="EX85">IF(OR(ChoixRationComplèteEtéChevauxSelle=OUI,ChoixRationComplèteEtéChevauxSelle="",AND(ChoixChevauxSellePréHiver=OUI,ChoixChevauxSellePréEté=OUI)),0,IFERROR(IF(OR(AND(INDEX(Règles_chevaux_selle[Specificite],MATCH(RationEtéChevauxSelle&amp;$EU85,Règles_chevaux_selle[Ration]&amp;Règles_chevaux_selle[Aliment],0))="s1",IF($EU85=Spécificité1ChevauxSelle,1)),
AND(INDEX(Règles_chevaux_selle[Specificite],MATCH(RationEtéChevauxSelle&amp;$EU85,Règles_chevaux_selle[Ration]&amp;Règles_chevaux_selle[Aliment],0))="s2",IF($EU85=Spécificité2ChevauxSelle,1)),
INDEX(Règles_chevaux_selle[Specificite],MATCH(RationEtéChevauxSelle&amp;$EU85,Règles_chevaux_selle[Ration]&amp;Règles_chevaux_selle[Aliment],0))="c"),
INDEX(Règles_chevaux_selle[Valeur 12-24],MATCH(RationEtéChevauxSelle&amp;$EU85,Règles_chevaux_selle[Ration]&amp;Règles_chevaux_selle[Aliment],0)),0),0)*TotalJeuneEtalonSelle_12_24_mois*SUM(NbreJoursNourrirChevauxSelle))</f>
        <v>0</v>
      </c>
      <c r="EY85" s="1286">
        <f t="array" ref="EY85">IF(OR(ChoixRationComplèteEtéChevauxSelle=OUI,ChoixRationComplèteEtéChevauxSelle="",AND(ChoixChevauxSellePréHiver=OUI,ChoixChevauxSellePréEté=OUI)),0,IFERROR(IF(OR(AND(INDEX(Règles_chevaux_selle[Specificite],MATCH(RationEtéChevauxSelle&amp;$EU85,Règles_chevaux_selle[Ration]&amp;Règles_chevaux_selle[Aliment],0))="s1",IF($EU85=Spécificité1ChevauxSelle,1)),
AND(INDEX(Règles_chevaux_selle[Specificite],MATCH(RationEtéChevauxSelle&amp;$EU85,Règles_chevaux_selle[Ration]&amp;Règles_chevaux_selle[Aliment],0))="s2",IF($EU85=Spécificité2ChevauxSelle,1)),
INDEX(Règles_chevaux_selle[Specificite],MATCH(RationEtéChevauxSelle&amp;$EU85,Règles_chevaux_selle[Ration]&amp;Règles_chevaux_selle[Aliment],0))="c"),
INDEX(Règles_chevaux_selle[Valeur 0-12],MATCH(RationEtéChevauxSelle&amp;$EU85,Règles_chevaux_selle[Ration]&amp;Règles_chevaux_selle[Aliment],0)),0),0)*TotalPoulainSelle_0_12_mois*SUM(NbreJoursNourrirChevauxSelle))</f>
        <v>0</v>
      </c>
      <c r="EZ85" s="1286">
        <f t="shared" si="16"/>
        <v>0</v>
      </c>
      <c r="FA85" s="1345"/>
      <c r="FB85" s="1345"/>
      <c r="FC85" s="1321"/>
      <c r="FD85" s="1083" t="s">
        <v>1274</v>
      </c>
      <c r="FE85" s="1283">
        <f t="array" ref="FE85">IF(OR(ChoixRationComplèteEtéChevauxTrait=OUI,ChoixRationComplèteEtéChevauxTrait="",AND(ChoixChevauxTraitPréHiver=OUI,ChoixChevauxTraitPréEté=OUI)),0,IFERROR(IF(OR(AND(INDEX(Règles_chevaux_trait[Specificite],MATCH(RationEtéChevauxTrait&amp;$FD85,Règles_chevaux_trait[Ration]&amp;Règles_chevaux_trait[Aliment],0))="s1",IF($FD85=Spécificité1ChevauxTrait,1)),
AND(INDEX(Règles_chevaux_trait[Specificite],MATCH(RationEtéChevauxTrait&amp;$FD85,Règles_chevaux_trait[Ration]&amp;Règles_chevaux_trait[Aliment],0))="s2",IF($FD85=Spécificité2ChevauxTrait,1)),
INDEX(Règles_chevaux_trait[Specificite],MATCH(RationEtéChevauxTrait&amp;$FD85,Règles_chevaux_trait[Ration]&amp;Règles_chevaux_trait[Aliment],0))="c"),
INDEX(Règles_chevaux_trait[Valeur 36 et plus],MATCH(RationEtéChevauxTrait&amp;$FD85,Règles_chevaux_trait[Ration]&amp;Règles_chevaux_trait[Aliment],0)),0),0)*TotalEtalonTrait*SUM(NbreJoursNourrirChevauxTrait))</f>
        <v>0</v>
      </c>
      <c r="FF85" s="1283">
        <f t="array" ref="FF85">IF(OR(ChoixRationComplèteEtéChevauxTrait=OUI,ChoixRationComplèteEtéChevauxTrait="",AND(ChoixChevauxTraitPréHiver=OUI,ChoixChevauxTraitPréEté=OUI)),0,IFERROR(IF(OR(AND(INDEX(Règles_chevaux_trait[Specificite],MATCH(RationEtéChevauxTrait&amp;$FD85,Règles_chevaux_trait[Ration]&amp;Règles_chevaux_trait[Aliment],0))="s1",IF($FD85=Spécificité1ChevauxTrait,1)),
AND(INDEX(Règles_chevaux_trait[Specificite],MATCH(RationEtéChevauxTrait&amp;$FD85,Règles_chevaux_trait[Ration]&amp;Règles_chevaux_trait[Aliment],0))="s2",IF($FD85=Spécificité2ChevauxTrait,1)),
INDEX(Règles_chevaux_trait[Specificite],MATCH(RationEtéChevauxTrait&amp;$FD85,Règles_chevaux_trait[Ration]&amp;Règles_chevaux_trait[Aliment],0))="c"),
INDEX(Règles_chevaux_trait[Valeur 24-36],MATCH(RationEtéChevauxTrait&amp;$FD85,Règles_chevaux_trait[Ration]&amp;Règles_chevaux_trait[Aliment],0)),0),0)*TotalJeuneEtalonTrait_24_36_mois*SUM(NbreJoursNourrirChevauxTrait))</f>
        <v>0</v>
      </c>
      <c r="FG85" s="1283">
        <f t="array" ref="FG85">IF(OR(ChoixRationComplèteEtéChevauxTrait=OUI,ChoixRationComplèteEtéChevauxTrait="",AND(ChoixChevauxTraitPréHiver=OUI,ChoixChevauxTraitPréEté=OUI)),0,IFERROR(IF(OR(AND(INDEX(Règles_chevaux_trait[Specificite],MATCH(RationEtéChevauxTrait&amp;$FD85,Règles_chevaux_trait[Ration]&amp;Règles_chevaux_trait[Aliment],0))="s1",IF($FD85=Spécificité1ChevauxTrait,1)),
AND(INDEX(Règles_chevaux_trait[Specificite],MATCH(RationEtéChevauxTrait&amp;$FD85,Règles_chevaux_trait[Ration]&amp;Règles_chevaux_trait[Aliment],0))="s2",IF($FD85=Spécificité2ChevauxTrait,1)),
INDEX(Règles_chevaux_trait[Specificite],MATCH(RationEtéChevauxTrait&amp;$FD85,Règles_chevaux_trait[Ration]&amp;Règles_chevaux_trait[Aliment],0))="c"),
INDEX(Règles_chevaux_trait[Valeur 12-24],MATCH(RationEtéChevauxTrait&amp;$FD85,Règles_chevaux_trait[Ration]&amp;Règles_chevaux_trait[Aliment],0)),0),0)*TotalJeuneEtalonTrait_12_24_mois*SUM(NbreJoursNourrirChevauxTrait))</f>
        <v>0</v>
      </c>
      <c r="FH85" s="1286">
        <f t="array" ref="FH85">IF(OR(ChoixRationComplèteEtéChevauxTrait=OUI,ChoixRationComplèteEtéChevauxTrait="",AND(ChoixChevauxTraitPréHiver=OUI,ChoixChevauxTraitPréEté=OUI)),0,IFERROR(IF(OR(AND(INDEX(Règles_chevaux_trait[Specificite],MATCH(RationEtéChevauxTrait&amp;$FD85,Règles_chevaux_trait[Ration]&amp;Règles_chevaux_trait[Aliment],0))="s1",IF($FD85=Spécificité1ChevauxTrait,1)),
AND(INDEX(Règles_chevaux_trait[Specificite],MATCH(RationEtéChevauxTrait&amp;$FD85,Règles_chevaux_trait[Ration]&amp;Règles_chevaux_trait[Aliment],0))="s2",IF($FD85=Spécificité2ChevauxTrait,1)),
INDEX(Règles_chevaux_trait[Specificite],MATCH(RationEtéChevauxTrait&amp;$FD85,Règles_chevaux_trait[Ration]&amp;Règles_chevaux_trait[Aliment],0))="c"),
INDEX(Règles_chevaux_trait[Valeur 0-12],MATCH(RationEtéChevauxTrait&amp;$FD85,Règles_chevaux_trait[Ration]&amp;Règles_chevaux_trait[Aliment],0)),0),0)*TotalPoulainTrait_0_12_mois*SUM(NbreJoursNourrirChevauxTrait))</f>
        <v>0</v>
      </c>
      <c r="FI85" s="1286">
        <f t="shared" si="15"/>
        <v>0</v>
      </c>
      <c r="FJ85" s="1345"/>
      <c r="FK85" s="1345"/>
      <c r="FL85" s="1345"/>
      <c r="FM85" s="1321"/>
      <c r="FN85" s="1082" t="s">
        <v>76</v>
      </c>
      <c r="FO85" s="1282">
        <f t="array" ref="FO85">IF(OR(ChoixRationComplèteEtéPoneys=OUI,ChoixRationComplèteEtéPoneys="",AND(ChoixPoneysPréHiver=OUI,ChoixPoneysPréEté=OUI)),0,IFERROR(IF(OR(AND(INDEX(Règles_poneys[Specificite],MATCH(RationEtéPoneys&amp;$FN85,Règles_poneys[Ration]&amp;Règles_poneys[Aliment],0))="s1",IF($FN85=Spécificité1Poneys,1)),
AND(INDEX(Règles_poneys[Specificite],MATCH(RationEtéPoneys&amp;$FN85,Règles_poneys[Ration]&amp;Règles_poneys[Aliment],0))="s2",IF($FN85=Spécificité2Poneys,1)),
INDEX(Règles_poneys[Specificite],MATCH(RationEtéPoneys&amp;$FN85,Règles_poneys[Ration]&amp;Règles_poneys[Aliment],0))="c"),
INDEX(Règles_poneys[Valeur 36 et plus],MATCH(RationEtéPoneys&amp;$FN85,Règles_poneys[Ration]&amp;Règles_poneys[Aliment],0)),0),0)*TotalEtalonPoney*SUM(NbreJoursNourrirPoneys))</f>
        <v>0</v>
      </c>
      <c r="FP85" s="1282">
        <f t="array" ref="FP85">IF(OR(ChoixRationComplèteEtéPoneys=OUI,ChoixRationComplèteEtéPoneys="",AND(ChoixPoneysPréHiver=OUI,ChoixPoneysPréEté=OUI)),0,IFERROR(IF(OR(AND(INDEX(Règles_poneys[Specificite],MATCH(RationEtéPoneys&amp;$FN85,Règles_poneys[Ration]&amp;Règles_poneys[Aliment],0))="s1",IF($FN85=Spécificité1Poneys,1)),
AND(INDEX(Règles_poneys[Specificite],MATCH(RationEtéPoneys&amp;$FN85,Règles_poneys[Ration]&amp;Règles_poneys[Aliment],0))="s2",IF($FN85=Spécificité2Poneys,1)),
INDEX(Règles_poneys[Specificite],MATCH(RationEtéPoneys&amp;$FN85,Règles_poneys[Ration]&amp;Règles_poneys[Aliment],0))="c"),
INDEX(Règles_poneys[Valeur 36 et plus],MATCH(RationEtéPoneys&amp;$FN85,Règles_poneys[Ration]&amp;Règles_poneys[Aliment],0)),0),0)*TotalJeuneEtalonPoney_24_36_mois*SUM(NbreJoursNourrirPoneys))</f>
        <v>0</v>
      </c>
      <c r="FQ85" s="1282">
        <f t="array" ref="FQ85">IF(OR(ChoixRationComplèteEtéPoneys=OUI,ChoixRationComplèteEtéPoneys="",AND(ChoixPoneysPréHiver=OUI,ChoixPoneysPréEté=OUI)),0,IFERROR(IF(OR(AND(INDEX(Règles_poneys[Specificite],MATCH(RationEtéPoneys&amp;$FN85,Règles_poneys[Ration]&amp;Règles_poneys[Aliment],0))="s1",IF($FN85=Spécificité1Poneys,1)),
AND(INDEX(Règles_poneys[Specificite],MATCH(RationEtéPoneys&amp;$FN85,Règles_poneys[Ration]&amp;Règles_poneys[Aliment],0))="s2",IF($FN85=Spécificité2Poneys,1)),
INDEX(Règles_poneys[Specificite],MATCH(RationEtéPoneys&amp;$FN85,Règles_poneys[Ration]&amp;Règles_poneys[Aliment],0))="c"),
INDEX(Règles_poneys[Valeur 36 et plus],MATCH(RationEtéPoneys&amp;$FN85,Règles_poneys[Ration]&amp;Règles_poneys[Aliment],0)),0),0)*TotalJeuneEtalonPoney_12_24_mois*SUM(NbreJoursNourrirPoneys))</f>
        <v>0</v>
      </c>
      <c r="FR85" s="1285">
        <f t="array" ref="FR85">IF(OR(ChoixRationComplèteEtéPoneys=OUI,ChoixRationComplèteEtéPoneys="",AND(ChoixPoneysPréHiver=OUI,ChoixPoneysPréEté=OUI)),0,IFERROR(IF(OR(AND(INDEX(Règles_poneys[Specificite],MATCH(RationEtéPoneys&amp;$FN85,Règles_poneys[Ration]&amp;Règles_poneys[Aliment],0))="s1",IF($FN85=Spécificité1Poneys,1)),
AND(INDEX(Règles_poneys[Specificite],MATCH(RationEtéPoneys&amp;$FN85,Règles_poneys[Ration]&amp;Règles_poneys[Aliment],0))="s2",IF($FN85=Spécificité2Poneys,1)),
INDEX(Règles_poneys[Specificite],MATCH(RationEtéPoneys&amp;$FN85,Règles_poneys[Ration]&amp;Règles_poneys[Aliment],0))="c"),
INDEX(Règles_poneys[Valeur 36 et plus],MATCH(RationEtéPoneys&amp;$FN85,Règles_poneys[Ration]&amp;Règles_poneys[Aliment],0)),0),0)*TotalPoulainPoney_0_12_mois*SUM(NbreJoursNourrirPoneys))</f>
        <v>0</v>
      </c>
      <c r="FS85" s="1285">
        <f t="shared" si="14"/>
        <v>0</v>
      </c>
      <c r="FT85" s="1345"/>
      <c r="FU85" s="1345"/>
      <c r="FV85" s="1345"/>
      <c r="FW85" s="809" t="s">
        <v>723</v>
      </c>
      <c r="FX85" s="830">
        <f t="array" ref="FX85">IF(ChoixRationComplèteFoieGrasOies=NON,0,IFERROR(IF(OR(AND(INDEX(Règles_gavage[Specificite],MATCH(ChoixRationFoieGrasOies&amp;Ration_complète_gavage_oies[aliment],Règles_gavage[Ration]&amp;Règles_gavage[Aliment],0))="s1",IF(Ration_complète_gavage_oies[aliment]=ChoixSpécificité1FoieGrasOies,1)),
AND(INDEX(Règles_gavage[Specificite],MATCH(ChoixRationFoieGrasOies&amp;Ration_complète_gavage_oies[aliment],Règles_gavage[Ration]&amp;Règles_gavage[Aliment],0))="s2",IF(Ration_complète_gavage_oies[aliment]=ChoixSpécificité2FoieGrasOies,1)),
INDEX(Règles_gavage[Specificite],MATCH(ChoixRationFoieGrasOies&amp;Ration_complète_gavage_oies[aliment],Règles_gavage[Ration]&amp;Règles_gavage[Aliment],0))="c",INDEX(Règles_gavage[Specificite],MATCH(ChoixRationFoieGrasOies&amp;Ration_complète_gavage_oies[aliment],Règles_gavage[Ration]&amp;Règles_gavage[Aliment],0))="complet"),
INDEX(Règles_gavage[Valeur 6 et plus],MATCH(ChoixRationFoieGrasOies&amp;Ration_complète_gavage_oies[aliment],Règles_gavage[Ration]&amp;Règles_gavage[Aliment],0)),0),0)*FoieGrasJeunesOies_3moisEtPlus*DuréePhaseGavageOie)</f>
        <v>0</v>
      </c>
      <c r="FY85" s="830">
        <f t="array" ref="FY85">IF(ChoixRationComplèteFoieGrasOies=NON,0,IFERROR(IF(OR(AND(INDEX(Règles_gavage[Specificite],MATCH(ChoixRationFoieGrasOies&amp;Ration_complète_gavage_oies[aliment],Règles_gavage[Ration]&amp;Règles_gavage[Aliment],0))="s1",IF(Ration_complète_gavage_oies[aliment]=ChoixSpécificité1FoieGrasOies,1)),
AND(INDEX(Règles_gavage[Specificite],MATCH(ChoixRationFoieGrasOies&amp;Ration_complète_gavage_oies[aliment],Règles_gavage[Ration]&amp;Règles_gavage[Aliment],0))="s2",IF(Ration_complète_gavage_oies[aliment]=ChoixSpécificité2FoieGrasOies,1)),
INDEX(Règles_gavage[Specificite],MATCH(ChoixRationFoieGrasOies&amp;Ration_complète_gavage_oies[aliment],Règles_gavage[Ration]&amp;Règles_gavage[Aliment],0))="c",INDEX(Règles_gavage[Specificite],MATCH(ChoixRationFoieGrasOies&amp;Ration_complète_gavage_oies[aliment],Règles_gavage[Ration]&amp;Règles_gavage[Aliment],0))="complet"),
INDEX(Règles_gavage[Valeur 2-3],MATCH(ChoixRationFoieGrasOies&amp;Ration_complète_gavage_oies[aliment],Règles_gavage[Ration]&amp;Règles_gavage[Aliment],0)),0),0)*FoieGrasOison_2_3mois*DuréePhaseElevage2_3)</f>
        <v>0</v>
      </c>
      <c r="FZ85" s="830">
        <f t="array" ref="FZ85">IF(ChoixRationComplèteFoieGrasOies=NON,0,IFERROR(IF(OR(AND(INDEX(Règles_gavage[Specificite],MATCH(ChoixRationFoieGrasOies&amp;Ration_complète_gavage_oies[aliment],Règles_gavage[Ration]&amp;Règles_gavage[Aliment],0))="s1",IF(Ration_complète_gavage_oies[aliment]=ChoixSpécificité1FoieGrasOies,1)),
AND(INDEX(Règles_gavage[Specificite],MATCH(ChoixRationFoieGrasOies&amp;Ration_complète_gavage_oies[aliment],Règles_gavage[Ration]&amp;Règles_gavage[Aliment],0))="s2",IF(Ration_complète_gavage_oies[aliment]=ChoixSpécificité2FoieGrasOies,1)),
INDEX(Règles_gavage[Specificite],MATCH(ChoixRationFoieGrasOies&amp;Ration_complète_gavage_oies[aliment],Règles_gavage[Ration]&amp;Règles_gavage[Aliment],0))="c",INDEX(Règles_gavage[Specificite],MATCH(ChoixRationFoieGrasOies&amp;Ration_complète_gavage_oies[aliment],Règles_gavage[Ration]&amp;Règles_gavage[Aliment],0))="complet"),
INDEX(Règles_gavage[Valeur 1-2],MATCH(ChoixRationFoieGrasOies&amp;Ration_complète_gavage_oies[aliment],Règles_gavage[Ration]&amp;Règles_gavage[Aliment],0)),0),0)*FoieGrasOison_1_2mois*DuréePhaseElevage1_2)</f>
        <v>0</v>
      </c>
      <c r="GA85" s="830">
        <f t="array" ref="GA85">IF(ChoixRationComplèteFoieGrasOies=NON,0,IFERROR(IF(OR(AND(INDEX(Règles_gavage[Specificite],MATCH(ChoixRationFoieGrasOies&amp;Ration_complète_gavage_oies[aliment],Règles_gavage[Ration]&amp;Règles_gavage[Aliment],0))="s1",IF(Ration_complète_gavage_oies[aliment]=ChoixSpécificité1FoieGrasOies,1)),
AND(INDEX(Règles_gavage[Specificite],MATCH(ChoixRationFoieGrasOies&amp;Ration_complète_gavage_oies[aliment],Règles_gavage[Ration]&amp;Règles_gavage[Aliment],0))="s2",IF(Ration_complète_gavage_oies[aliment]=ChoixSpécificité2FoieGrasOies,1)),
INDEX(Règles_gavage[Specificite],MATCH(ChoixRationFoieGrasOies&amp;Ration_complète_gavage_oies[aliment],Règles_gavage[Ration]&amp;Règles_gavage[Aliment],0))="c",INDEX(Règles_gavage[Specificite],MATCH(ChoixRationFoieGrasOies&amp;Ration_complète_gavage_oies[aliment],Règles_gavage[Ration]&amp;Règles_gavage[Aliment],0))="complet"),
INDEX(Règles_gavage[Valeur 0-1],MATCH(ChoixRationFoieGrasOies&amp;Ration_complète_gavage_oies[aliment],Règles_gavage[Ration]&amp;Règles_gavage[Aliment],0)),0),0)*FoieGrasOison_0_1mois*DuréePhaseElevage0_1)</f>
        <v>0</v>
      </c>
      <c r="GB85" s="832">
        <f>SUM(Ration_complète_gavage_oies[[Valeur 3 et plus]:[Valeur 0-1]])</f>
        <v>0</v>
      </c>
      <c r="GC85" s="1321"/>
      <c r="GD85" s="1321"/>
      <c r="GE85" s="1321"/>
      <c r="GF85" s="1321"/>
      <c r="GG85" s="1321" t="s">
        <v>1349</v>
      </c>
      <c r="GH85" s="1321" t="s">
        <v>1349</v>
      </c>
      <c r="GI85" s="1321" t="s">
        <v>1349</v>
      </c>
      <c r="GJ85" s="1321" t="s">
        <v>1349</v>
      </c>
      <c r="GK85" s="1321" t="s">
        <v>1349</v>
      </c>
      <c r="GL85" s="1321" t="s">
        <v>1349</v>
      </c>
      <c r="GM85" s="1321" t="s">
        <v>1349</v>
      </c>
      <c r="GN85" s="1321" t="s">
        <v>1349</v>
      </c>
      <c r="GO85" s="1321" t="s">
        <v>1349</v>
      </c>
      <c r="GP85" s="1321" t="s">
        <v>1349</v>
      </c>
      <c r="GQ85" s="1321" t="s">
        <v>1349</v>
      </c>
      <c r="GR85" s="1321" t="s">
        <v>1349</v>
      </c>
      <c r="GS85" s="1321" t="s">
        <v>1349</v>
      </c>
      <c r="GT85" s="1321" t="s">
        <v>1349</v>
      </c>
      <c r="GU85" s="1321" t="s">
        <v>1349</v>
      </c>
      <c r="GV85" s="1321" t="s">
        <v>1349</v>
      </c>
      <c r="GW85" s="1321"/>
      <c r="GX85" s="1321"/>
      <c r="GY85" s="1082" t="str">
        <f t="shared" si="25"/>
        <v>engrais pommiers</v>
      </c>
      <c r="GZ85" s="1082"/>
      <c r="HA85" s="1085"/>
      <c r="HB85" s="1085">
        <f>IF(COUNTIF(TypeArticleDansEntrepôt,GY85)=0,0,SUMIF(TypeArticleDansEntrepôt,GY85,QtéArticleDansEntrepôt)*VLOOKUP(GY85,place_necessaire_entrepots_aire_paille[],2,FALSE))</f>
        <v>0</v>
      </c>
      <c r="HC85" s="1321"/>
      <c r="HD85" s="1321"/>
      <c r="HE85" s="1321"/>
      <c r="HF85" s="1321"/>
      <c r="HG85" s="1321"/>
      <c r="HH85" s="1321"/>
      <c r="HI85" s="1321"/>
      <c r="HJ85" s="1321"/>
      <c r="HK85" s="1321"/>
      <c r="HL85" s="1321"/>
      <c r="HM85" s="1321"/>
      <c r="HN85" s="1085" t="str">
        <f>IF(parcelles!B133="","",(VLOOKUP(parcelles!C133,BDD!$HN$5:$HU$38,2,FALSE))*parcelles!E133)</f>
        <v/>
      </c>
      <c r="HO85" s="1085" t="str">
        <f>IF(parcelles!B133="","",IF(OR(parcelles!C133=Moutarde,parcelles!C133=Phacélie),0,IF(parcelles!C133=Luzerne,10*parcelles!E133*VLOOKUP(parcelles!C133,BDD!$HN$5:$HU$38,3,FALSE),IF(parcelles!C133=Miscanthus,10.5*parcelles!E133*VLOOKUP(parcelles!C133,BDD!$HN$5:$HU$38,3,FALSE),INDEX(parcelles!$C$56:'parcelles'!$Y$77,MATCH(parcelles!B133,parcelles!$B$56:'parcelles'!$B$77,0),MATCH(parcelles!C133,parcelles!$C$53:'parcelles'!$Y$53,0))*parcelles!E133*VLOOKUP(parcelles!C133,BDD!$HN$5:$HU$38,3,FALSE)))))</f>
        <v/>
      </c>
      <c r="HP85" s="1085" t="str">
        <f>IF(parcelles!B133="","",IF(OR(parcelles!C133=Moutarde,parcelles!C133=Phacélie),0,IF(parcelles!C133=Luzerne,10*parcelles!E133*VLOOKUP(parcelles!C133,BDD!$HN$5:$HU$38,4,FALSE),IF(parcelles!C133=Miscanthus,10.5*parcelles!E133*VLOOKUP(parcelles!C133,BDD!$HN$5:$HU$38,4,FALSE),INDEX(parcelles!$C$56:'parcelles'!$Y$77,MATCH(parcelles!B133,parcelles!$B$56:'parcelles'!$B$77,0),MATCH(parcelles!C133,parcelles!$C$53:'parcelles'!$Y$53,0))*parcelles!E133*VLOOKUP(parcelles!C133,BDD!$HN$5:$HU$38,4,FALSE)))))</f>
        <v/>
      </c>
      <c r="HQ85" s="1085" t="str">
        <f>IF(parcelles!B133="","",IF(OR(parcelles!C133=Moutarde,parcelles!C133=Phacélie),0,IF(parcelles!C133=Luzerne,10*parcelles!E133*VLOOKUP(parcelles!C133,BDD!$HN$5:$HU$38,5,FALSE),IF(parcelles!C133=Miscanthus,10.5*parcelles!E133*VLOOKUP(parcelles!C133,BDD!$HN$5:$HU$38,5,FALSE),INDEX(parcelles!$C$56:'parcelles'!$Y$77,MATCH(parcelles!B133,parcelles!$B$56:'parcelles'!$B$77,0),MATCH(parcelles!C133,parcelles!$C$53:'parcelles'!$Y$53,0))*parcelles!E133*VLOOKUP(parcelles!C133,BDD!$HN$5:$HU$38,5,FALSE)))))</f>
        <v/>
      </c>
      <c r="HR85" s="1085" t="str">
        <f>IF(parcelles!B133="","",IF(OR(parcelles!C133=Moutarde,parcelles!C133=Phacélie),0,IF(parcelles!C133=Luzerne,10*parcelles!E133*VLOOKUP(parcelles!C133,BDD!$HN$5:$HU$38,6,FALSE),IF(parcelles!C133=Miscanthus,10.5*parcelles!E133*VLOOKUP(parcelles!C133,BDD!$HN$5:$HU$38,6,FALSE),INDEX(parcelles!$C$56:'parcelles'!$Y$77,MATCH(parcelles!B133,parcelles!$B$56:'parcelles'!$B$77,0),MATCH(parcelles!C133,parcelles!$C$53:'parcelles'!$Y$53,0))*parcelles!E133*VLOOKUP(parcelles!C133,BDD!$HN$5:$HU$38,6,FALSE)))))</f>
        <v/>
      </c>
      <c r="HS85" s="1085" t="str">
        <f>IF(parcelles!B133="","",IF(OR(parcelles!C133=Moutarde,parcelles!C133=Phacélie),0,IF(parcelles!C133=Luzerne,10*parcelles!E133*VLOOKUP(parcelles!C133,BDD!$HN$5:$HU$38,7,FALSE),IF(parcelles!C133=Miscanthus,10.5*parcelles!E133*VLOOKUP(parcelles!C133,BDD!$HN$5:$HU$38,7,FALSE),INDEX(parcelles!$C$56:'parcelles'!$Y$77,MATCH(parcelles!B133,parcelles!$B$56:'parcelles'!$B$77,0),MATCH(parcelles!C133,parcelles!$C$53:'parcelles'!$Y$53,0))*parcelles!E133*VLOOKUP(parcelles!C133,BDD!$HN$5:$HU$38,7,FALSE)))))</f>
        <v/>
      </c>
      <c r="HT85" s="1085" t="str">
        <f>IF(parcelles!B133="","",IF(OR(parcelles!C133=Moutarde,parcelles!C133=Phacélie),0,IF(parcelles!C133=Luzerne,10*parcelles!E133*VLOOKUP(parcelles!C133,BDD!$HN$5:$HU$38,8,FALSE),IF(parcelles!C133=Miscanthus,10.5*parcelles!E133*VLOOKUP(parcelles!C133,BDD!$HN$5:$HU$38,8,FALSE),INDEX(parcelles!$C$56:'parcelles'!$Y$77,MATCH(parcelles!B133,parcelles!$B$56:'parcelles'!$B$77,0),MATCH(parcelles!C133,parcelles!$C$53:'parcelles'!$Y$53,0))*parcelles!E133*VLOOKUP(parcelles!C133,BDD!$HN$5:$HU$38,8,FALSE)))))</f>
        <v/>
      </c>
      <c r="HU85" s="1085" t="str">
        <f>IF(parcelles!B133="","",IF(OR(parcelles!C133=Moutarde,parcelles!C133=Phacélie),0,1.6*parcelles!E133))</f>
        <v/>
      </c>
      <c r="HV85" s="1085" t="str">
        <f>IF(parcelles!B133="","",IF(OR(parcelles!C133=Moutarde,parcelles!C133=Phacélie),0,1.6*parcelles!E133))</f>
        <v/>
      </c>
      <c r="HW85" s="1085" t="str">
        <f>IF(parcelles!B133="","",IF(OR(parcelles!C133=Moutarde,parcelles!C133=Phacélie),0,1.6*parcelles!E133))</f>
        <v/>
      </c>
      <c r="HX85" s="1092" t="str">
        <f>IF(parcelles!D133="","",IF(parcelles!C133=ChanvreIndustriel,INDEX(parcelles!$C$56:$Y$77,MATCH(parcelles!B133,parcelles!$B$56:$B$77,0),MATCH(parcelles!C133,parcelles!$C$53:$Y$53,0))*parcelles!E133*SUMIF(ListeCulturesBDD,parcelles!C133,PrixVenteCulturesConventionnel)+RIGHT(BDD!$HM$7,3)*7*parcelles!E133,IF(parcelles!C133=Luzerne,parcelles!E133*10*VLOOKUP(parcelles!C133,TarifsCoopCultures,2,FALSE),IF(parcelles!C133=Miscanthus,parcelles!E133*10.5*VLOOKUP(Luzerne,TarifsCoopCultures,2,FALSE),INDEX(parcelles!$C$56:$Y$77,MATCH(parcelles!B133,parcelles!$B$56:$B$77,0),MATCH(parcelles!C133,parcelles!$C$53:$Y$53,0))*parcelles!E133*SUMIF(ListeCulturesBDD,parcelles!C133,PrixVenteCulturesConventionnel)))))</f>
        <v/>
      </c>
      <c r="HY85" s="1085" t="str">
        <f>IF(parcelles!D133="","",IF(parcelles!F133=0,"",IF(parcelles!C133=ChanvreIndustriel,"soit "&amp;parcelles!E133*0.8&amp;"t de grain et "&amp;parcelles!E133*7&amp;"t de paille",IF(parcelles!C133=Luzerne,"soit "&amp;10*parcelles!E133&amp;"t/an",IF(parcelles!C133=Miscanthus,"soit "&amp;10.5*parcelles!E133&amp;"t/an","soit "&amp;INDEX(parcelles!$C$56:$Y$77,MATCH(parcelles!B133,parcelles!$B$56:$B$77,0),MATCH(parcelles!C133,parcelles!$C$53:$Y$53,0))*parcelles!E133&amp;"t")))))</f>
        <v/>
      </c>
      <c r="HZ85" s="1085" t="str">
        <f>IF(parcelles!D133="","",IF(parcelles!F133=0,"",IF(parcelles!C133=ChanvreIndustriel,"soit "&amp;parcelles!E133*0.8*0.8&amp;"t de grain et "&amp;parcelles!E133*7*0.8&amp;"t de paille",IF(parcelles!C133=Luzerne,"soit "&amp;10*0.8*parcelles!E133&amp;"t/an",IF(parcelles!C133=Miscanthus,"soit "&amp;10.5*0.8*parcelles!E133&amp;"t/an","soit "&amp;INDEX(parcelles!$C$56:$Y$77,MATCH(parcelles!B133,parcelles!$B$56:$B$77,0),MATCH(parcelles!C133,parcelles!$C$53:$Y$53,0))*0.8*parcelles!E133&amp;"t")))))</f>
        <v/>
      </c>
      <c r="IA85" s="1085" t="str">
        <f>IF(parcelles!L133="","",(VLOOKUP(parcelles!M133,BDD!$HN$5:$HU$38,2,FALSE))*parcelles!O133)</f>
        <v/>
      </c>
      <c r="IB85" s="1085" t="str">
        <f>IF(parcelles!L133="","",IF(OR(parcelles!M133=Moutarde,parcelles!M133=Phacélie),0,IF(parcelles!M133=Luzerne,10*parcelles!O133*VLOOKUP(parcelles!M133,BDD!$HN$5:$HU$38,3,FALSE),IF(parcelles!M133=Miscanthus,10.5*parcelles!O133*VLOOKUP(parcelles!M133,BDD!$HN$5:$HU$38,3,FALSE),INDEX(parcelles!$C$56:'parcelles'!$Y$77,MATCH(parcelles!L133,parcelles!$B$56:'parcelles'!$B$77,0),MATCH(parcelles!M133,parcelles!$C$53:'parcelles'!$Y$53,0))*parcelles!O133*VLOOKUP(parcelles!M133,BDD!$HN$5:$HU$38,3,FALSE)))))</f>
        <v/>
      </c>
      <c r="IC85" s="1085" t="str">
        <f>IF(parcelles!L133="","",IF(OR(parcelles!M133=Moutarde,parcelles!M133=Phacélie),0,IF(parcelles!M133=Luzerne,10*parcelles!O133*VLOOKUP(parcelles!M133,BDD!$HN$5:$HU$38,4,FALSE),IF(parcelles!M133=Miscanthus,10.5*parcelles!O133*VLOOKUP(parcelles!M133,BDD!$HN$5:$HU$38,4,FALSE),INDEX(parcelles!$C$56:'parcelles'!$Y$77,MATCH(parcelles!L133,parcelles!$B$56:'parcelles'!$B$77,0),MATCH(parcelles!M133,parcelles!$C$53:'parcelles'!$Y$53,0))*parcelles!O133*VLOOKUP(parcelles!M133,BDD!$HN$5:$HU$38,4,FALSE)))))</f>
        <v/>
      </c>
      <c r="ID85" s="1085" t="str">
        <f>IF(parcelles!L133="","",IF(OR(parcelles!M133=Moutarde,parcelles!M133=Phacélie),0,IF(parcelles!M133=Luzerne,10*parcelles!O133*VLOOKUP(parcelles!M133,BDD!$HN$5:$HU$38,5,FALSE),IF(parcelles!M133=Miscanthus,10.5*parcelles!O133*VLOOKUP(parcelles!M133,BDD!$HN$5:$HU$38,5,FALSE),INDEX(parcelles!$C$56:'parcelles'!$Y$77,MATCH(parcelles!L133,parcelles!$B$56:'parcelles'!$B$77,0),MATCH(parcelles!M133,parcelles!$C$53:'parcelles'!$Y$53,0))*parcelles!O133*VLOOKUP(parcelles!M133,BDD!$HN$5:$HU$38,5,FALSE)))))</f>
        <v/>
      </c>
      <c r="IE85" s="1085" t="str">
        <f>IF(parcelles!L133="","",IF(OR(parcelles!M133=Moutarde,parcelles!M133=Phacélie),0,IF(parcelles!M133=Luzerne,10*parcelles!O133*VLOOKUP(parcelles!M133,BDD!$HN$5:$HU$38,6,FALSE),IF(parcelles!M133=Miscanthus,10.5*parcelles!O133*VLOOKUP(parcelles!M133,BDD!$HN$5:$HU$38,6,FALSE),INDEX(parcelles!$C$56:'parcelles'!$Y$77,MATCH(parcelles!L133,parcelles!$B$56:'parcelles'!$B$77,0),MATCH(parcelles!M133,parcelles!$C$53:'parcelles'!$Y$53,0))*parcelles!O133*VLOOKUP(parcelles!M133,BDD!$HN$5:$HU$38,6,FALSE)))))</f>
        <v/>
      </c>
      <c r="IF85" s="1085" t="str">
        <f>IF(parcelles!L133="","",IF(OR(parcelles!M133=Moutarde,parcelles!M133=Phacélie),0,IF(parcelles!M133=Luzerne,10*parcelles!O133*VLOOKUP(parcelles!M133,BDD!$HN$5:$HU$38,7,FALSE),IF(parcelles!M133=Miscanthus,10.5*parcelles!O133*VLOOKUP(parcelles!M133,BDD!$HN$5:$HU$38,7,FALSE),INDEX(parcelles!$C$56:'parcelles'!$Y$77,MATCH(parcelles!L133,parcelles!$B$56:'parcelles'!$B$77,0),MATCH(parcelles!M133,parcelles!$C$53:'parcelles'!$Y$53,0))*parcelles!O133*VLOOKUP(parcelles!M133,BDD!$HN$5:$HU$38,7,FALSE)))))</f>
        <v/>
      </c>
      <c r="IG85" s="1085" t="str">
        <f>IF(parcelles!L133="","",IF(OR(parcelles!M133=Moutarde,parcelles!M133=Phacélie),0,IF(parcelles!M133=Luzerne,10*parcelles!O133*VLOOKUP(parcelles!M133,BDD!$HN$5:$HU$38,8,FALSE),IF(parcelles!M133=Miscanthus,10.5*parcelles!O133*VLOOKUP(parcelles!M133,BDD!$HN$5:$HU$38,8,FALSE),INDEX(parcelles!$C$56:'parcelles'!$Y$77,MATCH(parcelles!L133,parcelles!$B$56:'parcelles'!$B$77,0),MATCH(parcelles!M133,parcelles!$C$53:'parcelles'!$Y$53,0))*parcelles!O133*VLOOKUP(parcelles!M133,BDD!$HN$5:$HU$38,8,FALSE)))))</f>
        <v/>
      </c>
      <c r="IH85" s="1085" t="str">
        <f>IF(parcelles!L133="","",IF(OR(parcelles!L133=Moutarde,parcelles!L133=Phacélie),0,1.6*parcelles!O133))</f>
        <v/>
      </c>
      <c r="II85" s="1085" t="str">
        <f>IF(parcelles!L133="","",IF(OR(parcelles!L133=Moutarde,parcelles!L133=Phacélie),0,1.6*parcelles!O133))</f>
        <v/>
      </c>
      <c r="IJ85" s="1085" t="str">
        <f>IF(parcelles!L133="","",IF(OR(parcelles!L133=Moutarde,parcelles!L133=Phacélie),0,1.6*parcelles!O133))</f>
        <v/>
      </c>
      <c r="IK85" s="1085" t="str">
        <f>IF(parcelles!P133="","",IF(parcelles!R133=0,"",IF(parcelles!O133=ChanvreIndustriel,"soit "&amp;parcelles!Q133*0.8&amp;"t de grain et "&amp;parcelles!Q133*7&amp;"t de paille",IF(parcelles!O133=Luzerne,"soit "&amp;10*parcelles!Q133&amp;"t/an",IF(parcelles!O133=Miscanthus,"soit "&amp;10.5*parcelles!Q133&amp;"t/an","soit "&amp;INDEX(parcelles!$C$56:$Y$77,MATCH(parcelles!N133,parcelles!$B$56:$B$77,0),MATCH(parcelles!O133,parcelles!$C$53:$Y$53,0))*parcelles!Q133&amp;"t")))))</f>
        <v/>
      </c>
      <c r="IL85" s="1085" t="str">
        <f>IF(parcelles!P133="","",IF(parcelles!R133=0,"",IF(parcelles!O133=ChanvreIndustriel,"soit "&amp;parcelles!Q133*0.8*0.8&amp;"t de grain et "&amp;parcelles!Q133*7*0.8&amp;"t de paille",IF(parcelles!O133=Luzerne,"soit "&amp;10*0.8*parcelles!Q133&amp;"t/an",IF(parcelles!O133=Miscanthus,"soit "&amp;10.5*0.8*parcelles!Q133&amp;"t/an","soit "&amp;INDEX(parcelles!$C$56:$Y$77,MATCH(parcelles!N133,parcelles!$B$56:$B$77,0),MATCH(parcelles!O133,parcelles!$C$53:$Y$53,0))*0.8*parcelles!Q133&amp;"t")))))</f>
        <v/>
      </c>
      <c r="IM85" s="1085" t="str">
        <f>IF(parcelles!S133="","",IF(parcelles!U133=0,"",IF(parcelles!R133=ChanvreIndustriel,parcelles!T133*0.8*0.8+parcelles!T133*7*0.8,IF(parcelles!R133=Luzerne,10*0.8*parcelles!T133,IF(parcelles!R133=Miscanthus,10.5*0.8*parcelles!T133,INDEX(parcelles!$C$56:$Y$77,MATCH(parcelles!Q133,parcelles!$B$56:$B$77,0),MATCH(parcelles!R133,parcelles!$C$53:$Y$53,0))*0.8*parcelles!T133)))))</f>
        <v/>
      </c>
      <c r="IN85" s="1368"/>
    </row>
    <row r="86" spans="1:248" ht="12.75" customHeight="1" x14ac:dyDescent="0.2">
      <c r="A86" s="1307" t="s">
        <v>224</v>
      </c>
      <c r="B86" s="1241">
        <f t="shared" si="17"/>
        <v>1E-3</v>
      </c>
      <c r="C86" s="1321"/>
      <c r="D86" s="1321"/>
      <c r="E86" s="1321"/>
      <c r="F86" s="1321"/>
      <c r="G86" s="1321"/>
      <c r="H86" s="1321"/>
      <c r="I86" s="1321"/>
      <c r="J86" s="1321"/>
      <c r="K86" s="1321"/>
      <c r="L86" s="1321"/>
      <c r="M86" s="1321"/>
      <c r="N86" s="1321"/>
      <c r="O86" s="1321"/>
      <c r="P86" s="1321"/>
      <c r="Q86" s="1321"/>
      <c r="R86" s="1321"/>
      <c r="S86" s="1321"/>
      <c r="T86" s="1321"/>
      <c r="U86" s="1321"/>
      <c r="V86" s="1321"/>
      <c r="W86" s="1321"/>
      <c r="X86" s="1321"/>
      <c r="Y86" s="1081" t="s">
        <v>1677</v>
      </c>
      <c r="Z86" s="1081">
        <f>IF('coût alimentation'!$B$6=$Y$86,11,0)</f>
        <v>0</v>
      </c>
      <c r="AA86" s="1081">
        <f>IF('coût alimentation'!$B$6=$Y$86,11,0)</f>
        <v>0</v>
      </c>
      <c r="AB86" s="1081">
        <f>IF('coût alimentation'!$B$6=$Y$86,11,0)</f>
        <v>0</v>
      </c>
      <c r="AC86" s="1081">
        <f>IF('coût alimentation'!$B$6=$Y$86,11,0)</f>
        <v>0</v>
      </c>
      <c r="AD86" s="1081">
        <f>IF('coût alimentation'!$B$6=$Y$86,11,0)</f>
        <v>0</v>
      </c>
      <c r="AE86" s="1081">
        <f>IF('coût alimentation'!$B$6=$Y$86,11,0)</f>
        <v>0</v>
      </c>
      <c r="AF86" s="1081">
        <f>IF('coût alimentation'!$B$6=$Y$86,11,0)</f>
        <v>0</v>
      </c>
      <c r="AG86" s="1081">
        <f>IF('coût alimentation'!$B$6=$Y$86,11,0)</f>
        <v>0</v>
      </c>
      <c r="AH86" s="1321"/>
      <c r="AI86" s="1321"/>
      <c r="AJ86" s="1321"/>
      <c r="AK86" s="1321"/>
      <c r="AL86" s="1321"/>
      <c r="AM86" s="1321"/>
      <c r="AN86" s="1321"/>
      <c r="AO86" s="1321"/>
      <c r="AP86" s="1321"/>
      <c r="AQ86" s="1321"/>
      <c r="AR86" s="1321"/>
      <c r="AS86" s="1321"/>
      <c r="AT86" s="1321"/>
      <c r="AU86" s="1321"/>
      <c r="AV86" s="1321"/>
      <c r="AW86" s="1321"/>
      <c r="AX86" s="1321"/>
      <c r="AY86" s="1321"/>
      <c r="AZ86" s="1321"/>
      <c r="BA86" s="1321"/>
      <c r="BB86" s="1236" t="s">
        <v>727</v>
      </c>
      <c r="BC86" s="1190" t="s">
        <v>672</v>
      </c>
      <c r="BD86" s="1190" t="s">
        <v>1253</v>
      </c>
      <c r="BE86" s="1237">
        <v>7.2</v>
      </c>
      <c r="BF86" s="1237">
        <v>6</v>
      </c>
      <c r="BG86" s="1237">
        <v>4</v>
      </c>
      <c r="BH86" s="1237">
        <v>2</v>
      </c>
      <c r="BI86" s="1237">
        <v>1.2</v>
      </c>
      <c r="BJ86" s="1237">
        <v>0.6</v>
      </c>
      <c r="BK86" s="1238">
        <v>0</v>
      </c>
      <c r="BL86" s="1348"/>
      <c r="BM86" s="1075" t="str">
        <f t="shared" si="23"/>
        <v>Féverole</v>
      </c>
      <c r="BN86" s="1075">
        <f t="array" ref="BN86">IF(Ration_hivernale_complète_bisons[somme]&gt;0,0,IFERROR(IF(OR(AND(INDEX(Règles_bison[Specificite],MATCH(ChoixRationBisons&amp;$BM86,Règles_bison[Ration]&amp;Règles_bison[Aliment],0))="s1",IF($BM86=ChoixSpécificité1Bisons,1)),
AND(INDEX(Règles_bison[Specificite],MATCH(ChoixRationBisons&amp;$BM86,Règles_bison[Ration]&amp;Règles_bison[Aliment],0))="s2",IF($BM86=ChoixSpécificité2Bisons,1)),INDEX(Règles_bison[Specificite],MATCH(ChoixRationBisons&amp;$BM86,Règles_bison[Ration]&amp;Règles_bison[Aliment],0))="c"),
INDEX(Règles_bison[Valeur 36 et plus],MATCH(ChoixRationBisons&amp;$BM86,Règles_bison[Ration]&amp;Règles_bison[Aliment],0)),0),0)*TotalBisonnes*SUM(NbreJoursNourrirBisonsDaims))</f>
        <v>0</v>
      </c>
      <c r="BO86" s="1075">
        <f t="array" ref="BO86">IF(Ration_hivernale_complète_bisons[somme]&gt;0,0,IFERROR(IF(OR(AND(INDEX(Règles_bison[Specificite],MATCH(ChoixRationBisons&amp;$BM86,Règles_bison[Ration]&amp;Règles_bison[Aliment],0))="s1",IF($BM86=ChoixSpécificité1Bisons,1)),
AND(INDEX(Règles_bison[Specificite],MATCH(ChoixRationBisons&amp;$BM86,Règles_bison[Ration]&amp;Règles_bison[Aliment],0))="s2",IF($BM86=ChoixSpécificité2Bisons,1)),INDEX(Règles_bison[Specificite],MATCH(ChoixRationBisons&amp;$BM86,Règles_bison[Ration]&amp;Règles_bison[Aliment],0))="c"),
INDEX(Règles_bison[Valeur 24-36],MATCH(ChoixRationBisons&amp;$BM86,Règles_bison[Ration]&amp;Règles_bison[Aliment],0)),0),0)*TotalBisonsFemelles_24_36_mois*SUM(NbreJoursNourrirBisonsDaims))</f>
        <v>0</v>
      </c>
      <c r="BP86" s="1075">
        <f t="array" ref="BP86">IF(Ration_hivernale_complète_bisons[somme]&gt;0,0,IFERROR(IF(OR(AND(INDEX(Règles_bison[Specificite],MATCH(ChoixRationBisons&amp;$BM86,Règles_bison[Ration]&amp;Règles_bison[Aliment],0))="s1",IF($BM86=ChoixSpécificité1Bisons,1)),
AND(INDEX(Règles_bison[Specificite],MATCH(ChoixRationBisons&amp;$BM86,Règles_bison[Ration]&amp;Règles_bison[Aliment],0))="s2",IF($BM86=ChoixSpécificité2Bisons,1)),INDEX(Règles_bison[Specificite],MATCH(ChoixRationBisons&amp;$BM86,Règles_bison[Ration]&amp;Règles_bison[Aliment],0))="c"),
INDEX(Règles_bison[Valeur 18-24],MATCH(ChoixRationBisons&amp;$BM86,Règles_bison[Ration]&amp;Règles_bison[Aliment],0)),0),0)*TotalBisonsFemelles_18_24_mois*SUM(NbreJoursNourrirBisonsDaims))</f>
        <v>0</v>
      </c>
      <c r="BQ86" s="1075">
        <f t="array" ref="BQ86">IF(Ration_hivernale_complète_bisons[somme]&gt;0,0,IFERROR(IF(OR(AND(INDEX(Règles_bison[Specificite],MATCH(ChoixRationBisons&amp;$BM86,Règles_bison[Ration]&amp;Règles_bison[Aliment],0))="s1",IF($BM86=ChoixSpécificité1Bisons,1)),
AND(INDEX(Règles_bison[Specificite],MATCH(ChoixRationBisons&amp;$BM86,Règles_bison[Ration]&amp;Règles_bison[Aliment],0))="s2",IF($BM86=ChoixSpécificité2Bisons,1)),INDEX(Règles_bison[Specificite],MATCH(ChoixRationBisons&amp;$BM86,Règles_bison[Ration]&amp;Règles_bison[Aliment],0))="c"),
INDEX(Règles_bison[Valeur 12-18],MATCH(ChoixRationBisons&amp;$BM86,Règles_bison[Ration]&amp;Règles_bison[Aliment],0)),0),0)*TotalBisonsFemelles_12_18_mois*SUM(NbreJoursNourrirBisonsDaims))</f>
        <v>0</v>
      </c>
      <c r="BR86" s="1075">
        <f t="array" ref="BR86">IF(Ration_hivernale_complète_bisons[somme]&gt;0,0,IFERROR(IF(OR(AND(INDEX(Règles_bison[Specificite],MATCH(ChoixRationBisons&amp;$BM86,Règles_bison[Ration]&amp;Règles_bison[Aliment],0))="s1",IF($BM86=ChoixSpécificité1Bisons,1)),
AND(INDEX(Règles_bison[Specificite],MATCH(ChoixRationBisons&amp;$BM86,Règles_bison[Ration]&amp;Règles_bison[Aliment],0))="s2",IF($BM86=ChoixSpécificité2Bisons,1)),INDEX(Règles_bison[Specificite],MATCH(ChoixRationBisons&amp;$BM86,Règles_bison[Ration]&amp;Règles_bison[Aliment],0))="c"),
INDEX(Règles_bison[Valeur 6-12],MATCH(ChoixRationBisons&amp;$BM86,Règles_bison[Ration]&amp;Règles_bison[Aliment],0)),0),0)*TotalBisonsFemelles_6_12_mois*SUM(NbreJoursNourrirBisonsDaims))</f>
        <v>0</v>
      </c>
      <c r="BS86" s="1075">
        <f t="array" ref="BS86">IF(Ration_hivernale_complète_bisons[somme]&gt;0,0,IFERROR(IF(OR(AND(INDEX(Règles_bison[Specificite],MATCH(ChoixRationBisons&amp;$BM86,Règles_bison[Ration]&amp;Règles_bison[Aliment],0))="s1",IF($BM86=ChoixSpécificité1Bisons,1)),
AND(INDEX(Règles_bison[Specificite],MATCH(ChoixRationBisons&amp;$BM86,Règles_bison[Ration]&amp;Règles_bison[Aliment],0))="s2",IF($BM86=ChoixSpécificité2Bisons,1)),INDEX(Règles_bison[Specificite],MATCH(ChoixRationBisons&amp;$BM86,Règles_bison[Ration]&amp;Règles_bison[Aliment],0))="c"),
INDEX(Règles_bison[Valeur 3-6],MATCH(ChoixRationBisons&amp;$BM86,Règles_bison[Ration]&amp;Règles_bison[Aliment],0)),0),0)*TotalBisonsFemelles_3_6_mois*SUM(NbreJoursNourrirBisonsDaims))</f>
        <v>0</v>
      </c>
      <c r="BT86" s="1075">
        <f t="array" ref="BT86">IF(Ration_hivernale_complète_bisons[somme]&gt;0,0,IFERROR(IF(OR(AND(INDEX(Règles_bison[Specificite],MATCH(ChoixRationBisons&amp;$BM86,Règles_bison[Ration]&amp;Règles_bison[Aliment],0))="s1",IF($BM86=ChoixSpécificité1Bisons,1)),
AND(INDEX(Règles_bison[Specificite],MATCH(ChoixRationBisons&amp;$BM86,Règles_bison[Ration]&amp;Règles_bison[Aliment],0))="s2",IF($BM86=ChoixSpécificité2Bisons,1)),INDEX(Règles_bison[Specificite],MATCH(ChoixRationBisons&amp;$BM86,Règles_bison[Ration]&amp;Règles_bison[Aliment],0))="c"),
INDEX(Règles_bison[Valeur 0-3],MATCH(ChoixRationBisons&amp;$BM86,Règles_bison[Ration]&amp;Règles_bison[Aliment],0)),0),0)*TotalBisonsFemelles_0_3_mois*SUM(NbreJoursNourrirBisonsDaims))</f>
        <v>0</v>
      </c>
      <c r="BU86" s="1075">
        <f t="shared" si="22"/>
        <v>0</v>
      </c>
      <c r="BV86" s="1346"/>
      <c r="BW86" s="1346"/>
      <c r="BX86" s="1176" t="s">
        <v>764</v>
      </c>
      <c r="BY86" s="1177" t="s">
        <v>76</v>
      </c>
      <c r="BZ86" s="1177" t="s">
        <v>1253</v>
      </c>
      <c r="CA86" s="1177">
        <v>1.6</v>
      </c>
      <c r="CB86" s="1177">
        <v>1.4</v>
      </c>
      <c r="CC86" s="1177">
        <v>1.2</v>
      </c>
      <c r="CD86" s="1199">
        <v>1</v>
      </c>
      <c r="CE86" s="1350"/>
      <c r="CF86" s="1350"/>
      <c r="CG86" s="1350"/>
      <c r="CH86" s="1350"/>
      <c r="CI86" s="1321"/>
      <c r="CJ86" s="1349" t="s">
        <v>1707</v>
      </c>
      <c r="CK86" s="1336"/>
      <c r="CL86" s="1336"/>
      <c r="CM86" s="1336"/>
      <c r="CN86" s="1336"/>
      <c r="CO86" s="1336"/>
      <c r="CP86" s="1336"/>
      <c r="CQ86" s="1321"/>
      <c r="CR86" s="1321"/>
      <c r="CS86" s="808" t="s">
        <v>296</v>
      </c>
      <c r="CT86" s="817">
        <f t="array" ref="CT86">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86" s="817">
        <f t="array" ref="CU86">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86" s="817">
        <f t="array" ref="CV86">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86" s="818">
        <f>SUM(AlimentsRationLapinsMâles[[#This Row],[Valeur 3 et plus]:[Valeur 0-1]])</f>
        <v>0</v>
      </c>
      <c r="CX86" s="1321"/>
      <c r="CY86" s="1321"/>
      <c r="CZ86" s="808" t="s">
        <v>296</v>
      </c>
      <c r="DA86" s="817">
        <f t="array" ref="DA86">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86" s="817">
        <f t="array" ref="DB86">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86" s="817">
        <f t="array" ref="DC86">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86" s="818">
        <f>SUM(AlimentsRationVolaillesMâles[[#This Row],[Valeur 6 et plus]:[Valeur 0-1]])</f>
        <v>0</v>
      </c>
      <c r="DE86" s="1364"/>
      <c r="DF86" s="1321"/>
      <c r="DG86" s="792"/>
      <c r="DH86" s="793">
        <f t="array" ref="DH8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6 et plus],MATCH(ChoixRationPintades&amp;AlimentsRationPintadesMâles[[#This Row],[aliment]],Règles_pintades[Ration]&amp;Règles_pintades[Aliment],0)),0),0)*Total_PintadeMâle*SUM(NbreJoursNourrirAutres))</f>
        <v>0</v>
      </c>
      <c r="DI86" s="793">
        <f t="array" ref="DI8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1-6],MATCH(ChoixRationPintades&amp;AlimentsRationPintadesMâles[[#This Row],[aliment]],Règles_pintades[Ration]&amp;Règles_pintades[Aliment],0)),0),0)*JeunePintadeMâle_1_9_mois*SUM(NbreJoursNourrirAutres))</f>
        <v>0</v>
      </c>
      <c r="DJ86" s="793">
        <f t="array" ref="DJ86">IF(ChoixRationComplètePintades=OUI,0,IFERROR(IF(OR(AND(INDEX(Règles_pintades[Specificite],MATCH(ChoixRationPintades&amp;AlimentsRationPintadesMâles[[#This Row],[aliment]],Règles_pintades[Ration]&amp;Règles_pintades[Aliment],0))="s1",IF(AlimentsRationPintadesMâles[[#This Row],[aliment]]=Spécificité1Pintades,1)),
AND(INDEX(Règles_pintades[Specificite],MATCH(ChoixRationPintades&amp;AlimentsRationPintadesMâles[[#This Row],[aliment]],Règles_pintades[Ration]&amp;Règles_pintades[Aliment],0))="s2",IF(AlimentsRationPintadesMâles[[#This Row],[aliment]]=Spécificité2Pintades,1)),
INDEX(Règles_pintades[Specificite],MATCH(ChoixRationPintades&amp;AlimentsRationPintadesMâles[[#This Row],[aliment]],Règles_pintades[Ration]&amp;Règles_pintades[Aliment],0))="c"),
INDEX(Règles_pintades[Valeur 0-1],MATCH(ChoixRationPintades&amp;AlimentsRationPintadesMâles[[#This Row],[aliment]],Règles_pintades[Ration]&amp;Règles_pintades[Aliment],0)),0),0)*pintadeau_mâle_0_1_mois*SUM(NbreJoursNourrirAutres))</f>
        <v>0</v>
      </c>
      <c r="DK86" s="819">
        <f>SUM(AlimentsRationPintadesMâles[[#This Row],[Valeur 9 et plus]:[Valeur 0-1]])</f>
        <v>0</v>
      </c>
      <c r="DL86" s="1364"/>
      <c r="DM86" s="1321"/>
      <c r="DN86" s="1176" t="s">
        <v>727</v>
      </c>
      <c r="DO86" s="1177" t="s">
        <v>723</v>
      </c>
      <c r="DP86" s="1177" t="s">
        <v>1252</v>
      </c>
      <c r="DQ86" s="1181"/>
      <c r="DR86" s="1181"/>
      <c r="DS86" s="1181"/>
      <c r="DT86" s="1243"/>
      <c r="DU86" s="1345"/>
      <c r="DV86" s="1076" t="str">
        <f t="shared" si="24"/>
        <v>concentré jeunes lapins</v>
      </c>
      <c r="DW86" s="1267">
        <f t="array" ref="DW86">SUM((IF(QualitéAlimentsFaonMâle_0_3_mois=BONNE,VLOOKUP("concentré jeunes lapins",AlimentsRationHivernaleDaims,8,FALSE),0)+(IF(QualitéAlimentsFaonFemelle_0_3_mois=BONNE,VLOOKUP("concentré jeunes lapins",AlimentsRationHivernaleDaims,8,FALSE),0)+(IF(QualitéAlimentsFaonMâle_3_6_mois=BONNE,VLOOKUP("concentré jeunes lapins",AlimentsRationHivernaleDaims,7,FALSE),0)+(IF(QualitéAlimentsFaonFemelle_3_6_mois=BONNE,VLOOKUP("concentré jeunes lapins",AlimentsRationHivernaleDaims,7,FALSE),0)+(IF(QualitéAlimentsFaonMâle_6_12_mois=BONNE,VLOOKUP("concentré jeunes lapins",AlimentsRationHivernaleDaims,6,FALSE),0)+(IF(QualitéAlimentsFaonFemelle_6_12_mois=BONNE,VLOOKUP("concentré jeunes lapins",AlimentsRationHivernaleDaims,6,FALSE),0)+(IF(QualitéAlimentsJeuneDaim_12_18_mois=BONNE,VLOOKUP("concentré jeunes lapins",AlimentsRationHivernaleDaims,5,FALSE),0)+(IF(QualitéAlimentsJeuneDaine_12_18_mois=BONNE,VLOOKUP("concentré jeunes lapins",AlimentsRationHivernaleDaims,5,FALSE),0)+(IF(QualitéAlimentsJeuneDaim_18_24_mois=BONNE,VLOOKUP("concentré jeunes lapins",AlimentsRationHivernaleDaims,4,FALSE),0)+(IF(QualitéAlimentsJeuneDaine_18_24_mois=BONNE,VLOOKUP("concentré jeunes lapins",AlimentsRationHivernaleDaims,4,FALSE),0)+(IF(QualitéAlimentsJeuneDaim_24_36_mois=BONNE,VLOOKUP("concentré jeunes lapins",AlimentsRationHivernaleDaims,3,FALSE),0)+(IF(QualitéAlimentsJeuneDaine_24_36_mois=BONNE,VLOOKUP("concentré jeunes lapins",AlimentsRationHivernaleDaims,3,FALSE),0)+(IF(QualitéAlimentsDaim=BONNE,VLOOKUP("concentré jeunes lapins",AlimentsRationHivernaleDaims,2,FALSE),0)+(IF(QualitéAlimentsDaine=BONNE,VLOOKUP("concentré jeunes lapins",AlimentsRationHivernaleDaims,2,FALSE),0))))))))))))))))</f>
        <v>0</v>
      </c>
      <c r="DX86" s="1267">
        <f t="array" ref="DX86">SUM((IF(QualitéAlimentsFaonMâle_0_3_mois=MOYENNE,VLOOKUP("concentré jeunes lapins",AlimentsRationHivernaleDaims,8,FALSE),0)+(IF(QualitéAlimentsFaonFemelle_0_3_mois=MOYENNE,VLOOKUP("concentré jeunes lapins",AlimentsRationHivernaleDaims,8,FALSE),0)+(IF(QualitéAlimentsFaonMâle_3_6_mois=MOYENNE,VLOOKUP("concentré jeunes lapins",AlimentsRationHivernaleDaims,7,FALSE),0)+(IF(QualitéAlimentsFaonFemelle_3_6_mois=MOYENNE,VLOOKUP("concentré jeunes lapins",AlimentsRationHivernaleDaims,7,FALSE),0)+(IF(QualitéAlimentsFaonMâle_6_12_mois=MOYENNE,VLOOKUP("concentré jeunes lapins",AlimentsRationHivernaleDaims,6,FALSE),0)+(IF(QualitéAlimentsFaonFemelle_6_12_mois=MOYENNE,VLOOKUP("concentré jeunes lapins",AlimentsRationHivernaleDaims,6,FALSE),0)+(IF(QualitéAlimentsJeuneDaim_12_18_mois=MOYENNE,VLOOKUP("concentré jeunes lapins",AlimentsRationHivernaleDaims,5,FALSE),0)+(IF(QualitéAlimentsJeuneDaine_12_18_mois=MOYENNE,VLOOKUP("concentré jeunes lapins",AlimentsRationHivernaleDaims,5,FALSE),0)+(IF(QualitéAlimentsJeuneDaim_18_24_mois=MOYENNE,VLOOKUP("concentré jeunes lapins",AlimentsRationHivernaleDaims,4,FALSE),0)+(IF(QualitéAlimentsJeuneDaine_18_24_mois=MOYENNE,VLOOKUP("concentré jeunes lapins",AlimentsRationHivernaleDaims,4,FALSE),0)+(IF(QualitéAlimentsJeuneDaim_24_36_mois=MOYENNE,VLOOKUP("concentré jeunes lapins",AlimentsRationHivernaleDaims,3,FALSE),0)+(IF(QualitéAlimentsJeuneDaine_24_36_mois=MOYENNE,VLOOKUP("concentré jeunes lapins",AlimentsRationHivernaleDaims,3,FALSE),0)+(IF(QualitéAlimentsDaim=MOYENNE,VLOOKUP("concentré jeunes lapins",AlimentsRationHivernaleDaims,2,FALSE),0)+(IF(QualitéAlimentsDaine=MOYENNE,VLOOKUP("concentré jeunes lapins",AlimentsRationHivernaleDaims,2,FALSE),0))))))))))))))))</f>
        <v>0</v>
      </c>
      <c r="DY86" s="1267">
        <f t="array" ref="DY86">SUM((IF(QualitéAlimentsFaonMâle_0_3_mois=MAUVAISE,VLOOKUP("concentré jeunes lapins",AlimentsRationHivernaleDaims,8,FALSE),0)+(IF(QualitéAlimentsFaonFemelle_0_3_mois=MAUVAISE,VLOOKUP("concentré jeunes lapins",AlimentsRationHivernaleDaims,8,FALSE),0)+(IF(QualitéAlimentsFaonMâle_3_6_mois=MAUVAISE,VLOOKUP("concentré jeunes lapins",AlimentsRationHivernaleDaims,7,FALSE),0)+(IF(QualitéAlimentsFaonFemelle_3_6_mois=MAUVAISE,VLOOKUP("concentré jeunes lapins",AlimentsRationHivernaleDaims,7,FALSE),0)+(IF(QualitéAlimentsFaonMâle_6_12_mois=MAUVAISE,VLOOKUP("concentré jeunes lapins",AlimentsRationHivernaleDaims,6,FALSE),0)+(IF(QualitéAlimentsFaonFemelle_6_12_mois=MAUVAISE,VLOOKUP("concentré jeunes lapins",AlimentsRationHivernaleDaims,6,FALSE),0)+(IF(QualitéAlimentsJeuneDaim_12_18_mois=MAUVAISE,VLOOKUP("concentré jeunes lapins",AlimentsRationHivernaleDaims,5,FALSE),0)+(IF(QualitéAlimentsJeuneDaine_12_18_mois=MAUVAISE,VLOOKUP("concentré jeunes lapins",AlimentsRationHivernaleDaims,5,FALSE),0)+(IF(QualitéAlimentsJeuneDaim_18_24_mois=MAUVAISE,VLOOKUP("concentré jeunes lapins",AlimentsRationHivernaleDaims,4,FALSE),0)+(IF(QualitéAlimentsJeuneDaine_18_24_mois=MAUVAISE,VLOOKUP("concentré jeunes lapins",AlimentsRationHivernaleDaims,4,FALSE),0)+(IF(QualitéAlimentsJeuneDaim_24_36_mois=MAUVAISE,VLOOKUP("concentré jeunes lapins",AlimentsRationHivernaleDaims,3,FALSE),0)+(IF(QualitéAlimentsJeuneDaine_24_36_mois=MAUVAISE,VLOOKUP("concentré jeunes lapins",AlimentsRationHivernaleDaims,3,FALSE),0)+(IF(QualitéAlimentsDaim=MAUVAISE,VLOOKUP("concentré jeunes lapins",AlimentsRationHivernaleDaims,2,FALSE),0)+(IF(QualitéAlimentsDaine=MAUVAISE,VLOOKUP("concentré jeunes lapins",AlimentsRationHivernaleDaims,2,FALSE),0))))))))))))))))</f>
        <v>0</v>
      </c>
      <c r="DZ86" s="1345"/>
      <c r="EA86" s="1345"/>
      <c r="EB86" s="1345"/>
      <c r="EC86" s="1345"/>
      <c r="ED86" s="1345"/>
      <c r="EE86" s="1345"/>
      <c r="EF86" s="1321"/>
      <c r="EG86" s="808"/>
      <c r="EH86" s="817">
        <f t="array" ref="EH8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86" s="817">
        <f t="array" ref="EI8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86" s="817">
        <f t="array" ref="EJ86">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86" s="818">
        <f>SUM(AlimentsRationOiesMâles[[#This Row],[Valeur 6 et plus]:[Valeur 0-3]])</f>
        <v>0</v>
      </c>
      <c r="EL86" s="1364"/>
      <c r="EM86" s="1321"/>
      <c r="EN86" s="808"/>
      <c r="EO86" s="817">
        <f t="array" ref="EO8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86" s="817">
        <f t="array" ref="EP8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86" s="817">
        <f t="array" ref="EQ86">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86" s="818">
        <f>SUM(Ration_canards_Mâles[[#This Row],[Valeur 6 et plus]:[Valeur 0-3]])</f>
        <v>0</v>
      </c>
      <c r="ES86" s="1364"/>
      <c r="ET86" s="1321"/>
      <c r="EU86" s="1082" t="s">
        <v>500</v>
      </c>
      <c r="EV86" s="1282">
        <f t="array" ref="EV86">IF(OR(ChoixRationComplèteEtéChevauxSelle=OUI,ChoixRationComplèteEtéChevauxSelle="",AND(ChoixChevauxSellePréHiver=OUI,ChoixChevauxSellePréEté=OUI)),0,IFERROR(IF(OR(AND(INDEX(Règles_chevaux_selle[Specificite],MATCH(RationEtéChevauxSelle&amp;$EU86,Règles_chevaux_selle[Ration]&amp;Règles_chevaux_selle[Aliment],0))="s1",IF($EU86=Spécificité1ChevauxSelle,1)),
AND(INDEX(Règles_chevaux_selle[Specificite],MATCH(RationEtéChevauxSelle&amp;$EU86,Règles_chevaux_selle[Ration]&amp;Règles_chevaux_selle[Aliment],0))="s2",IF($EU86=Spécificité2ChevauxSelle,1)),
INDEX(Règles_chevaux_selle[Specificite],MATCH(RationEtéChevauxSelle&amp;$EU86,Règles_chevaux_selle[Ration]&amp;Règles_chevaux_selle[Aliment],0))="c"),
INDEX(Règles_chevaux_selle[Valeur 36 et plus],MATCH(RationEtéChevauxSelle&amp;$EU86,Règles_chevaux_selle[Ration]&amp;Règles_chevaux_selle[Aliment],0)),0),0)*TotalEtalonSelle*SUM(NbreJoursNourrirChevauxSelle))</f>
        <v>0</v>
      </c>
      <c r="EW86" s="1282">
        <f t="array" ref="EW86">IF(OR(ChoixRationComplèteEtéChevauxSelle=OUI,ChoixRationComplèteEtéChevauxSelle="",AND(ChoixChevauxSellePréHiver=OUI,ChoixChevauxSellePréEté=OUI)),0,IFERROR(IF(OR(AND(INDEX(Règles_chevaux_selle[Specificite],MATCH(RationEtéChevauxSelle&amp;$EU86,Règles_chevaux_selle[Ration]&amp;Règles_chevaux_selle[Aliment],0))="s1",IF($EU86=Spécificité1ChevauxSelle,1)),
AND(INDEX(Règles_chevaux_selle[Specificite],MATCH(RationEtéChevauxSelle&amp;$EU86,Règles_chevaux_selle[Ration]&amp;Règles_chevaux_selle[Aliment],0))="s2",IF($EU86=Spécificité2ChevauxSelle,1)),
INDEX(Règles_chevaux_selle[Specificite],MATCH(RationEtéChevauxSelle&amp;$EU86,Règles_chevaux_selle[Ration]&amp;Règles_chevaux_selle[Aliment],0))="c"),
INDEX(Règles_chevaux_selle[Valeur 24-36],MATCH(RationEtéChevauxSelle&amp;$EU86,Règles_chevaux_selle[Ration]&amp;Règles_chevaux_selle[Aliment],0)),0),0)*TotalJeuneEtalonSelle_24_36_mois*SUM(NbreJoursNourrirChevauxSelle))</f>
        <v>0</v>
      </c>
      <c r="EX86" s="1282">
        <f t="array" ref="EX86">IF(OR(ChoixRationComplèteEtéChevauxSelle=OUI,ChoixRationComplèteEtéChevauxSelle="",AND(ChoixChevauxSellePréHiver=OUI,ChoixChevauxSellePréEté=OUI)),0,IFERROR(IF(OR(AND(INDEX(Règles_chevaux_selle[Specificite],MATCH(RationEtéChevauxSelle&amp;$EU86,Règles_chevaux_selle[Ration]&amp;Règles_chevaux_selle[Aliment],0))="s1",IF($EU86=Spécificité1ChevauxSelle,1)),
AND(INDEX(Règles_chevaux_selle[Specificite],MATCH(RationEtéChevauxSelle&amp;$EU86,Règles_chevaux_selle[Ration]&amp;Règles_chevaux_selle[Aliment],0))="s2",IF($EU86=Spécificité2ChevauxSelle,1)),
INDEX(Règles_chevaux_selle[Specificite],MATCH(RationEtéChevauxSelle&amp;$EU86,Règles_chevaux_selle[Ration]&amp;Règles_chevaux_selle[Aliment],0))="c"),
INDEX(Règles_chevaux_selle[Valeur 12-24],MATCH(RationEtéChevauxSelle&amp;$EU86,Règles_chevaux_selle[Ration]&amp;Règles_chevaux_selle[Aliment],0)),0),0)*TotalJeuneEtalonSelle_12_24_mois*SUM(NbreJoursNourrirChevauxSelle))</f>
        <v>0</v>
      </c>
      <c r="EY86" s="1285">
        <f t="array" ref="EY86">IF(OR(ChoixRationComplèteEtéChevauxSelle=OUI,ChoixRationComplèteEtéChevauxSelle="",AND(ChoixChevauxSellePréHiver=OUI,ChoixChevauxSellePréEté=OUI)),0,IFERROR(IF(OR(AND(INDEX(Règles_chevaux_selle[Specificite],MATCH(RationEtéChevauxSelle&amp;$EU86,Règles_chevaux_selle[Ration]&amp;Règles_chevaux_selle[Aliment],0))="s1",IF($EU86=Spécificité1ChevauxSelle,1)),
AND(INDEX(Règles_chevaux_selle[Specificite],MATCH(RationEtéChevauxSelle&amp;$EU86,Règles_chevaux_selle[Ration]&amp;Règles_chevaux_selle[Aliment],0))="s2",IF($EU86=Spécificité2ChevauxSelle,1)),
INDEX(Règles_chevaux_selle[Specificite],MATCH(RationEtéChevauxSelle&amp;$EU86,Règles_chevaux_selle[Ration]&amp;Règles_chevaux_selle[Aliment],0))="c"),
INDEX(Règles_chevaux_selle[Valeur 0-12],MATCH(RationEtéChevauxSelle&amp;$EU86,Règles_chevaux_selle[Ration]&amp;Règles_chevaux_selle[Aliment],0)),0),0)*TotalPoulainSelle_0_12_mois*SUM(NbreJoursNourrirChevauxSelle))</f>
        <v>0</v>
      </c>
      <c r="EZ86" s="1285">
        <f t="shared" si="16"/>
        <v>0</v>
      </c>
      <c r="FA86" s="1345"/>
      <c r="FB86" s="1345"/>
      <c r="FC86" s="1321"/>
      <c r="FD86" s="1082" t="s">
        <v>76</v>
      </c>
      <c r="FE86" s="1282">
        <f t="array" ref="FE86">IF(OR(ChoixRationComplèteEtéChevauxTrait=OUI,ChoixRationComplèteEtéChevauxTrait="",AND(ChoixChevauxTraitPréHiver=OUI,ChoixChevauxTraitPréEté=OUI)),0,IFERROR(IF(OR(AND(INDEX(Règles_chevaux_trait[Specificite],MATCH(RationEtéChevauxTrait&amp;$FD86,Règles_chevaux_trait[Ration]&amp;Règles_chevaux_trait[Aliment],0))="s1",IF($FD86=Spécificité1ChevauxTrait,1)),
AND(INDEX(Règles_chevaux_trait[Specificite],MATCH(RationEtéChevauxTrait&amp;$FD86,Règles_chevaux_trait[Ration]&amp;Règles_chevaux_trait[Aliment],0))="s2",IF($FD86=Spécificité2ChevauxTrait,1)),
INDEX(Règles_chevaux_trait[Specificite],MATCH(RationEtéChevauxTrait&amp;$FD86,Règles_chevaux_trait[Ration]&amp;Règles_chevaux_trait[Aliment],0))="c"),
INDEX(Règles_chevaux_trait[Valeur 36 et plus],MATCH(RationEtéChevauxTrait&amp;$FD86,Règles_chevaux_trait[Ration]&amp;Règles_chevaux_trait[Aliment],0)),0),0)*TotalEtalonTrait*SUM(NbreJoursNourrirChevauxTrait))</f>
        <v>0</v>
      </c>
      <c r="FF86" s="1282">
        <f t="array" ref="FF86">IF(OR(ChoixRationComplèteEtéChevauxTrait=OUI,ChoixRationComplèteEtéChevauxTrait="",AND(ChoixChevauxTraitPréHiver=OUI,ChoixChevauxTraitPréEté=OUI)),0,IFERROR(IF(OR(AND(INDEX(Règles_chevaux_trait[Specificite],MATCH(RationEtéChevauxTrait&amp;$FD86,Règles_chevaux_trait[Ration]&amp;Règles_chevaux_trait[Aliment],0))="s1",IF($FD86=Spécificité1ChevauxTrait,1)),
AND(INDEX(Règles_chevaux_trait[Specificite],MATCH(RationEtéChevauxTrait&amp;$FD86,Règles_chevaux_trait[Ration]&amp;Règles_chevaux_trait[Aliment],0))="s2",IF($FD86=Spécificité2ChevauxTrait,1)),
INDEX(Règles_chevaux_trait[Specificite],MATCH(RationEtéChevauxTrait&amp;$FD86,Règles_chevaux_trait[Ration]&amp;Règles_chevaux_trait[Aliment],0))="c"),
INDEX(Règles_chevaux_trait[Valeur 24-36],MATCH(RationEtéChevauxTrait&amp;$FD86,Règles_chevaux_trait[Ration]&amp;Règles_chevaux_trait[Aliment],0)),0),0)*TotalJeuneEtalonTrait_24_36_mois*SUM(NbreJoursNourrirChevauxTrait))</f>
        <v>0</v>
      </c>
      <c r="FG86" s="1282">
        <f t="array" ref="FG86">IF(OR(ChoixRationComplèteEtéChevauxTrait=OUI,ChoixRationComplèteEtéChevauxTrait="",AND(ChoixChevauxTraitPréHiver=OUI,ChoixChevauxTraitPréEté=OUI)),0,IFERROR(IF(OR(AND(INDEX(Règles_chevaux_trait[Specificite],MATCH(RationEtéChevauxTrait&amp;$FD86,Règles_chevaux_trait[Ration]&amp;Règles_chevaux_trait[Aliment],0))="s1",IF($FD86=Spécificité1ChevauxTrait,1)),
AND(INDEX(Règles_chevaux_trait[Specificite],MATCH(RationEtéChevauxTrait&amp;$FD86,Règles_chevaux_trait[Ration]&amp;Règles_chevaux_trait[Aliment],0))="s2",IF($FD86=Spécificité2ChevauxTrait,1)),
INDEX(Règles_chevaux_trait[Specificite],MATCH(RationEtéChevauxTrait&amp;$FD86,Règles_chevaux_trait[Ration]&amp;Règles_chevaux_trait[Aliment],0))="c"),
INDEX(Règles_chevaux_trait[Valeur 12-24],MATCH(RationEtéChevauxTrait&amp;$FD86,Règles_chevaux_trait[Ration]&amp;Règles_chevaux_trait[Aliment],0)),0),0)*TotalJeuneEtalonTrait_12_24_mois*SUM(NbreJoursNourrirChevauxTrait))</f>
        <v>0</v>
      </c>
      <c r="FH86" s="1285">
        <f t="array" ref="FH86">IF(OR(ChoixRationComplèteEtéChevauxTrait=OUI,ChoixRationComplèteEtéChevauxTrait="",AND(ChoixChevauxTraitPréHiver=OUI,ChoixChevauxTraitPréEté=OUI)),0,IFERROR(IF(OR(AND(INDEX(Règles_chevaux_trait[Specificite],MATCH(RationEtéChevauxTrait&amp;$FD86,Règles_chevaux_trait[Ration]&amp;Règles_chevaux_trait[Aliment],0))="s1",IF($FD86=Spécificité1ChevauxTrait,1)),
AND(INDEX(Règles_chevaux_trait[Specificite],MATCH(RationEtéChevauxTrait&amp;$FD86,Règles_chevaux_trait[Ration]&amp;Règles_chevaux_trait[Aliment],0))="s2",IF($FD86=Spécificité2ChevauxTrait,1)),
INDEX(Règles_chevaux_trait[Specificite],MATCH(RationEtéChevauxTrait&amp;$FD86,Règles_chevaux_trait[Ration]&amp;Règles_chevaux_trait[Aliment],0))="c"),
INDEX(Règles_chevaux_trait[Valeur 0-12],MATCH(RationEtéChevauxTrait&amp;$FD86,Règles_chevaux_trait[Ration]&amp;Règles_chevaux_trait[Aliment],0)),0),0)*TotalPoulainTrait_0_12_mois*SUM(NbreJoursNourrirChevauxTrait))</f>
        <v>0</v>
      </c>
      <c r="FI86" s="1285">
        <f t="shared" si="15"/>
        <v>0</v>
      </c>
      <c r="FJ86" s="1345"/>
      <c r="FK86" s="1345"/>
      <c r="FL86" s="1345"/>
      <c r="FM86" s="1321"/>
      <c r="FN86" s="1083"/>
      <c r="FO86" s="1283">
        <f t="array" ref="FO86">IF(OR(ChoixRationComplèteEtéPoneys=OUI,ChoixRationComplèteEtéPoneys="",AND(ChoixPoneysPréHiver=OUI,ChoixPoneysPréEté=OUI)),0,IFERROR(IF(OR(AND(INDEX(Règles_poneys[Specificite],MATCH(RationEtéPoneys&amp;$FN86,Règles_poneys[Ration]&amp;Règles_poneys[Aliment],0))="s1",IF($FN86=Spécificité1Poneys,1)),
AND(INDEX(Règles_poneys[Specificite],MATCH(RationEtéPoneys&amp;$FN86,Règles_poneys[Ration]&amp;Règles_poneys[Aliment],0))="s2",IF($FN86=Spécificité2Poneys,1)),
INDEX(Règles_poneys[Specificite],MATCH(RationEtéPoneys&amp;$FN86,Règles_poneys[Ration]&amp;Règles_poneys[Aliment],0))="c"),
INDEX(Règles_poneys[Valeur 36 et plus],MATCH(RationEtéPoneys&amp;$FN86,Règles_poneys[Ration]&amp;Règles_poneys[Aliment],0)),0),0)*TotalEtalonPoney*SUM(NbreJoursNourrirPoneys))</f>
        <v>0</v>
      </c>
      <c r="FP86" s="1283">
        <f t="array" ref="FP86">IF(OR(ChoixRationComplèteEtéPoneys=OUI,ChoixRationComplèteEtéPoneys="",AND(ChoixPoneysPréHiver=OUI,ChoixPoneysPréEté=OUI)),0,IFERROR(IF(OR(AND(INDEX(Règles_poneys[Specificite],MATCH(RationEtéPoneys&amp;$FN86,Règles_poneys[Ration]&amp;Règles_poneys[Aliment],0))="s1",IF($FN86=Spécificité1Poneys,1)),
AND(INDEX(Règles_poneys[Specificite],MATCH(RationEtéPoneys&amp;$FN86,Règles_poneys[Ration]&amp;Règles_poneys[Aliment],0))="s2",IF($FN86=Spécificité2Poneys,1)),
INDEX(Règles_poneys[Specificite],MATCH(RationEtéPoneys&amp;$FN86,Règles_poneys[Ration]&amp;Règles_poneys[Aliment],0))="c"),
INDEX(Règles_poneys[Valeur 36 et plus],MATCH(RationEtéPoneys&amp;$FN86,Règles_poneys[Ration]&amp;Règles_poneys[Aliment],0)),0),0)*TotalJeuneEtalonPoney_24_36_mois*SUM(NbreJoursNourrirPoneys))</f>
        <v>0</v>
      </c>
      <c r="FQ86" s="1283">
        <f t="array" ref="FQ86">IF(OR(ChoixRationComplèteEtéPoneys=OUI,ChoixRationComplèteEtéPoneys="",AND(ChoixPoneysPréHiver=OUI,ChoixPoneysPréEté=OUI)),0,IFERROR(IF(OR(AND(INDEX(Règles_poneys[Specificite],MATCH(RationEtéPoneys&amp;$FN86,Règles_poneys[Ration]&amp;Règles_poneys[Aliment],0))="s1",IF($FN86=Spécificité1Poneys,1)),
AND(INDEX(Règles_poneys[Specificite],MATCH(RationEtéPoneys&amp;$FN86,Règles_poneys[Ration]&amp;Règles_poneys[Aliment],0))="s2",IF($FN86=Spécificité2Poneys,1)),
INDEX(Règles_poneys[Specificite],MATCH(RationEtéPoneys&amp;$FN86,Règles_poneys[Ration]&amp;Règles_poneys[Aliment],0))="c"),
INDEX(Règles_poneys[Valeur 36 et plus],MATCH(RationEtéPoneys&amp;$FN86,Règles_poneys[Ration]&amp;Règles_poneys[Aliment],0)),0),0)*TotalJeuneEtalonPoney_12_24_mois*SUM(NbreJoursNourrirPoneys))</f>
        <v>0</v>
      </c>
      <c r="FR86" s="1286">
        <f t="array" ref="FR86">IF(OR(ChoixRationComplèteEtéPoneys=OUI,ChoixRationComplèteEtéPoneys="",AND(ChoixPoneysPréHiver=OUI,ChoixPoneysPréEté=OUI)),0,IFERROR(IF(OR(AND(INDEX(Règles_poneys[Specificite],MATCH(RationEtéPoneys&amp;$FN86,Règles_poneys[Ration]&amp;Règles_poneys[Aliment],0))="s1",IF($FN86=Spécificité1Poneys,1)),
AND(INDEX(Règles_poneys[Specificite],MATCH(RationEtéPoneys&amp;$FN86,Règles_poneys[Ration]&amp;Règles_poneys[Aliment],0))="s2",IF($FN86=Spécificité2Poneys,1)),
INDEX(Règles_poneys[Specificite],MATCH(RationEtéPoneys&amp;$FN86,Règles_poneys[Ration]&amp;Règles_poneys[Aliment],0))="c"),
INDEX(Règles_poneys[Valeur 36 et plus],MATCH(RationEtéPoneys&amp;$FN86,Règles_poneys[Ration]&amp;Règles_poneys[Aliment],0)),0),0)*TotalPoulainPoney_0_12_mois*SUM(NbreJoursNourrirPoneys))</f>
        <v>0</v>
      </c>
      <c r="FS86" s="1286">
        <f t="shared" si="14"/>
        <v>0</v>
      </c>
      <c r="FT86" s="1345"/>
      <c r="FU86" s="1345"/>
      <c r="FV86" s="1345"/>
      <c r="FW86" s="1336"/>
      <c r="FX86" s="1341"/>
      <c r="FY86" s="1341"/>
      <c r="FZ86" s="1341"/>
      <c r="GA86" s="1341"/>
      <c r="GB86" s="1336"/>
      <c r="GC86" s="1321"/>
      <c r="GD86" s="1321"/>
      <c r="GE86" s="1321"/>
      <c r="GF86" s="1321"/>
      <c r="GG86" s="1321" t="s">
        <v>1349</v>
      </c>
      <c r="GH86" s="1321" t="s">
        <v>1349</v>
      </c>
      <c r="GI86" s="1321" t="s">
        <v>1349</v>
      </c>
      <c r="GJ86" s="1321" t="s">
        <v>1349</v>
      </c>
      <c r="GK86" s="1321" t="s">
        <v>1349</v>
      </c>
      <c r="GL86" s="1321" t="s">
        <v>1349</v>
      </c>
      <c r="GM86" s="1321" t="s">
        <v>1349</v>
      </c>
      <c r="GN86" s="1321" t="s">
        <v>1349</v>
      </c>
      <c r="GO86" s="1321" t="s">
        <v>1349</v>
      </c>
      <c r="GP86" s="1321" t="s">
        <v>1349</v>
      </c>
      <c r="GQ86" s="1321" t="s">
        <v>1349</v>
      </c>
      <c r="GR86" s="1321" t="s">
        <v>1349</v>
      </c>
      <c r="GS86" s="1321" t="s">
        <v>1349</v>
      </c>
      <c r="GT86" s="1321" t="s">
        <v>1349</v>
      </c>
      <c r="GU86" s="1321" t="s">
        <v>1349</v>
      </c>
      <c r="GV86" s="1321" t="s">
        <v>1349</v>
      </c>
      <c r="GW86" s="1321"/>
      <c r="GX86" s="1321"/>
      <c r="GY86" s="1083" t="str">
        <f t="shared" si="25"/>
        <v>engrais pré</v>
      </c>
      <c r="GZ86" s="1083"/>
      <c r="HA86" s="1084"/>
      <c r="HB86" s="1084">
        <f>IF(COUNTIF(TypeArticleDansEntrepôt,GY86)=0,0,SUMIF(TypeArticleDansEntrepôt,GY86,QtéArticleDansEntrepôt)*VLOOKUP(GY86,place_necessaire_entrepots_aire_paille[],2,FALSE))</f>
        <v>0</v>
      </c>
      <c r="HC86" s="1321"/>
      <c r="HD86" s="1321"/>
      <c r="HE86" s="1321"/>
      <c r="HF86" s="1321"/>
      <c r="HG86" s="1321"/>
      <c r="HH86" s="1321"/>
      <c r="HI86" s="1321"/>
      <c r="HJ86" s="1321"/>
      <c r="HK86" s="1321"/>
      <c r="HL86" s="1321"/>
      <c r="HM86" s="1321"/>
      <c r="HN86" s="1084" t="str">
        <f>IF(parcelles!B134="","",(VLOOKUP(parcelles!C134,BDD!$HN$5:$HU$38,2,FALSE))*parcelles!E134)</f>
        <v/>
      </c>
      <c r="HO86" s="1084" t="str">
        <f>IF(parcelles!B134="","",IF(OR(parcelles!C134=Moutarde,parcelles!C134=Phacélie),0,IF(parcelles!C134=Luzerne,10*parcelles!E134*VLOOKUP(parcelles!C134,BDD!$HN$5:$HU$38,3,FALSE),IF(parcelles!C134=Miscanthus,10.5*parcelles!E134*VLOOKUP(parcelles!C134,BDD!$HN$5:$HU$38,3,FALSE),INDEX(parcelles!$C$56:'parcelles'!$Y$77,MATCH(parcelles!B134,parcelles!$B$56:'parcelles'!$B$77,0),MATCH(parcelles!C134,parcelles!$C$53:'parcelles'!$Y$53,0))*parcelles!E134*VLOOKUP(parcelles!C134,BDD!$HN$5:$HU$38,3,FALSE)))))</f>
        <v/>
      </c>
      <c r="HP86" s="1084" t="str">
        <f>IF(parcelles!B134="","",IF(OR(parcelles!C134=Moutarde,parcelles!C134=Phacélie),0,IF(parcelles!C134=Luzerne,10*parcelles!E134*VLOOKUP(parcelles!C134,BDD!$HN$5:$HU$38,4,FALSE),IF(parcelles!C134=Miscanthus,10.5*parcelles!E134*VLOOKUP(parcelles!C134,BDD!$HN$5:$HU$38,4,FALSE),INDEX(parcelles!$C$56:'parcelles'!$Y$77,MATCH(parcelles!B134,parcelles!$B$56:'parcelles'!$B$77,0),MATCH(parcelles!C134,parcelles!$C$53:'parcelles'!$Y$53,0))*parcelles!E134*VLOOKUP(parcelles!C134,BDD!$HN$5:$HU$38,4,FALSE)))))</f>
        <v/>
      </c>
      <c r="HQ86" s="1084" t="str">
        <f>IF(parcelles!B134="","",IF(OR(parcelles!C134=Moutarde,parcelles!C134=Phacélie),0,IF(parcelles!C134=Luzerne,10*parcelles!E134*VLOOKUP(parcelles!C134,BDD!$HN$5:$HU$38,5,FALSE),IF(parcelles!C134=Miscanthus,10.5*parcelles!E134*VLOOKUP(parcelles!C134,BDD!$HN$5:$HU$38,5,FALSE),INDEX(parcelles!$C$56:'parcelles'!$Y$77,MATCH(parcelles!B134,parcelles!$B$56:'parcelles'!$B$77,0),MATCH(parcelles!C134,parcelles!$C$53:'parcelles'!$Y$53,0))*parcelles!E134*VLOOKUP(parcelles!C134,BDD!$HN$5:$HU$38,5,FALSE)))))</f>
        <v/>
      </c>
      <c r="HR86" s="1084" t="str">
        <f>IF(parcelles!B134="","",IF(OR(parcelles!C134=Moutarde,parcelles!C134=Phacélie),0,IF(parcelles!C134=Luzerne,10*parcelles!E134*VLOOKUP(parcelles!C134,BDD!$HN$5:$HU$38,6,FALSE),IF(parcelles!C134=Miscanthus,10.5*parcelles!E134*VLOOKUP(parcelles!C134,BDD!$HN$5:$HU$38,6,FALSE),INDEX(parcelles!$C$56:'parcelles'!$Y$77,MATCH(parcelles!B134,parcelles!$B$56:'parcelles'!$B$77,0),MATCH(parcelles!C134,parcelles!$C$53:'parcelles'!$Y$53,0))*parcelles!E134*VLOOKUP(parcelles!C134,BDD!$HN$5:$HU$38,6,FALSE)))))</f>
        <v/>
      </c>
      <c r="HS86" s="1084" t="str">
        <f>IF(parcelles!B134="","",IF(OR(parcelles!C134=Moutarde,parcelles!C134=Phacélie),0,IF(parcelles!C134=Luzerne,10*parcelles!E134*VLOOKUP(parcelles!C134,BDD!$HN$5:$HU$38,7,FALSE),IF(parcelles!C134=Miscanthus,10.5*parcelles!E134*VLOOKUP(parcelles!C134,BDD!$HN$5:$HU$38,7,FALSE),INDEX(parcelles!$C$56:'parcelles'!$Y$77,MATCH(parcelles!B134,parcelles!$B$56:'parcelles'!$B$77,0),MATCH(parcelles!C134,parcelles!$C$53:'parcelles'!$Y$53,0))*parcelles!E134*VLOOKUP(parcelles!C134,BDD!$HN$5:$HU$38,7,FALSE)))))</f>
        <v/>
      </c>
      <c r="HT86" s="1084" t="str">
        <f>IF(parcelles!B134="","",IF(OR(parcelles!C134=Moutarde,parcelles!C134=Phacélie),0,IF(parcelles!C134=Luzerne,10*parcelles!E134*VLOOKUP(parcelles!C134,BDD!$HN$5:$HU$38,8,FALSE),IF(parcelles!C134=Miscanthus,10.5*parcelles!E134*VLOOKUP(parcelles!C134,BDD!$HN$5:$HU$38,8,FALSE),INDEX(parcelles!$C$56:'parcelles'!$Y$77,MATCH(parcelles!B134,parcelles!$B$56:'parcelles'!$B$77,0),MATCH(parcelles!C134,parcelles!$C$53:'parcelles'!$Y$53,0))*parcelles!E134*VLOOKUP(parcelles!C134,BDD!$HN$5:$HU$38,8,FALSE)))))</f>
        <v/>
      </c>
      <c r="HU86" s="1084" t="str">
        <f>IF(parcelles!B134="","",IF(OR(parcelles!C134=Moutarde,parcelles!C134=Phacélie),0,1.6*parcelles!E134))</f>
        <v/>
      </c>
      <c r="HV86" s="1084" t="str">
        <f>IF(parcelles!B134="","",IF(OR(parcelles!C134=Moutarde,parcelles!C134=Phacélie),0,1.6*parcelles!E134))</f>
        <v/>
      </c>
      <c r="HW86" s="1084" t="str">
        <f>IF(parcelles!B134="","",IF(OR(parcelles!C134=Moutarde,parcelles!C134=Phacélie),0,1.6*parcelles!E134))</f>
        <v/>
      </c>
      <c r="HX86" s="1095" t="str">
        <f>IF(parcelles!D134="","",IF(parcelles!C134=ChanvreIndustriel,INDEX(parcelles!$C$56:$Y$77,MATCH(parcelles!B134,parcelles!$B$56:$B$77,0),MATCH(parcelles!C134,parcelles!$C$53:$Y$53,0))*parcelles!E134*SUMIF(ListeCulturesBDD,parcelles!C134,PrixVenteCulturesConventionnel)+RIGHT(BDD!$HM$7,3)*7*parcelles!E134,IF(parcelles!C134=Luzerne,parcelles!E134*10*VLOOKUP(parcelles!C134,TarifsCoopCultures,2,FALSE),IF(parcelles!C134=Miscanthus,parcelles!E134*10.5*VLOOKUP(Luzerne,TarifsCoopCultures,2,FALSE),INDEX(parcelles!$C$56:$Y$77,MATCH(parcelles!B134,parcelles!$B$56:$B$77,0),MATCH(parcelles!C134,parcelles!$C$53:$Y$53,0))*parcelles!E134*SUMIF(ListeCulturesBDD,parcelles!C134,PrixVenteCulturesConventionnel)))))</f>
        <v/>
      </c>
      <c r="HY86" s="1084" t="str">
        <f>IF(parcelles!D134="","",IF(parcelles!F134=0,"",IF(parcelles!C134=ChanvreIndustriel,"soit "&amp;parcelles!E134*0.8&amp;"t de grain et "&amp;parcelles!E134*7&amp;"t de paille",IF(parcelles!C134=Luzerne,"soit "&amp;10*parcelles!E134&amp;"t/an",IF(parcelles!C134=Miscanthus,"soit "&amp;10.5*parcelles!E134&amp;"t/an","soit "&amp;INDEX(parcelles!$C$56:$Y$77,MATCH(parcelles!B134,parcelles!$B$56:$B$77,0),MATCH(parcelles!C134,parcelles!$C$53:$Y$53,0))*parcelles!E134&amp;"t")))))</f>
        <v/>
      </c>
      <c r="HZ86" s="1084" t="str">
        <f>IF(parcelles!D134="","",IF(parcelles!F134=0,"",IF(parcelles!C134=ChanvreIndustriel,"soit "&amp;parcelles!E134*0.8*0.8&amp;"t de grain et "&amp;parcelles!E134*7*0.8&amp;"t de paille",IF(parcelles!C134=Luzerne,"soit "&amp;10*0.8*parcelles!E134&amp;"t/an",IF(parcelles!C134=Miscanthus,"soit "&amp;10.5*0.8*parcelles!E134&amp;"t/an","soit "&amp;INDEX(parcelles!$C$56:$Y$77,MATCH(parcelles!B134,parcelles!$B$56:$B$77,0),MATCH(parcelles!C134,parcelles!$C$53:$Y$53,0))*0.8*parcelles!E134&amp;"t")))))</f>
        <v/>
      </c>
      <c r="IA86" s="1084" t="str">
        <f>IF(parcelles!L134="","",(VLOOKUP(parcelles!M134,BDD!$HN$5:$HU$38,2,FALSE))*parcelles!O134)</f>
        <v/>
      </c>
      <c r="IB86" s="1084" t="str">
        <f>IF(parcelles!L134="","",IF(OR(parcelles!M134=Moutarde,parcelles!M134=Phacélie),0,IF(parcelles!M134=Luzerne,10*parcelles!O134*VLOOKUP(parcelles!M134,BDD!$HN$5:$HU$38,3,FALSE),IF(parcelles!M134=Miscanthus,10.5*parcelles!O134*VLOOKUP(parcelles!M134,BDD!$HN$5:$HU$38,3,FALSE),INDEX(parcelles!$C$56:'parcelles'!$Y$77,MATCH(parcelles!L134,parcelles!$B$56:'parcelles'!$B$77,0),MATCH(parcelles!M134,parcelles!$C$53:'parcelles'!$Y$53,0))*parcelles!O134*VLOOKUP(parcelles!M134,BDD!$HN$5:$HU$38,3,FALSE)))))</f>
        <v/>
      </c>
      <c r="IC86" s="1084" t="str">
        <f>IF(parcelles!L134="","",IF(OR(parcelles!M134=Moutarde,parcelles!M134=Phacélie),0,IF(parcelles!M134=Luzerne,10*parcelles!O134*VLOOKUP(parcelles!M134,BDD!$HN$5:$HU$38,4,FALSE),IF(parcelles!M134=Miscanthus,10.5*parcelles!O134*VLOOKUP(parcelles!M134,BDD!$HN$5:$HU$38,4,FALSE),INDEX(parcelles!$C$56:'parcelles'!$Y$77,MATCH(parcelles!L134,parcelles!$B$56:'parcelles'!$B$77,0),MATCH(parcelles!M134,parcelles!$C$53:'parcelles'!$Y$53,0))*parcelles!O134*VLOOKUP(parcelles!M134,BDD!$HN$5:$HU$38,4,FALSE)))))</f>
        <v/>
      </c>
      <c r="ID86" s="1084" t="str">
        <f>IF(parcelles!L134="","",IF(OR(parcelles!M134=Moutarde,parcelles!M134=Phacélie),0,IF(parcelles!M134=Luzerne,10*parcelles!O134*VLOOKUP(parcelles!M134,BDD!$HN$5:$HU$38,5,FALSE),IF(parcelles!M134=Miscanthus,10.5*parcelles!O134*VLOOKUP(parcelles!M134,BDD!$HN$5:$HU$38,5,FALSE),INDEX(parcelles!$C$56:'parcelles'!$Y$77,MATCH(parcelles!L134,parcelles!$B$56:'parcelles'!$B$77,0),MATCH(parcelles!M134,parcelles!$C$53:'parcelles'!$Y$53,0))*parcelles!O134*VLOOKUP(parcelles!M134,BDD!$HN$5:$HU$38,5,FALSE)))))</f>
        <v/>
      </c>
      <c r="IE86" s="1084" t="str">
        <f>IF(parcelles!L134="","",IF(OR(parcelles!M134=Moutarde,parcelles!M134=Phacélie),0,IF(parcelles!M134=Luzerne,10*parcelles!O134*VLOOKUP(parcelles!M134,BDD!$HN$5:$HU$38,6,FALSE),IF(parcelles!M134=Miscanthus,10.5*parcelles!O134*VLOOKUP(parcelles!M134,BDD!$HN$5:$HU$38,6,FALSE),INDEX(parcelles!$C$56:'parcelles'!$Y$77,MATCH(parcelles!L134,parcelles!$B$56:'parcelles'!$B$77,0),MATCH(parcelles!M134,parcelles!$C$53:'parcelles'!$Y$53,0))*parcelles!O134*VLOOKUP(parcelles!M134,BDD!$HN$5:$HU$38,6,FALSE)))))</f>
        <v/>
      </c>
      <c r="IF86" s="1084" t="str">
        <f>IF(parcelles!L134="","",IF(OR(parcelles!M134=Moutarde,parcelles!M134=Phacélie),0,IF(parcelles!M134=Luzerne,10*parcelles!O134*VLOOKUP(parcelles!M134,BDD!$HN$5:$HU$38,7,FALSE),IF(parcelles!M134=Miscanthus,10.5*parcelles!O134*VLOOKUP(parcelles!M134,BDD!$HN$5:$HU$38,7,FALSE),INDEX(parcelles!$C$56:'parcelles'!$Y$77,MATCH(parcelles!L134,parcelles!$B$56:'parcelles'!$B$77,0),MATCH(parcelles!M134,parcelles!$C$53:'parcelles'!$Y$53,0))*parcelles!O134*VLOOKUP(parcelles!M134,BDD!$HN$5:$HU$38,7,FALSE)))))</f>
        <v/>
      </c>
      <c r="IG86" s="1084" t="str">
        <f>IF(parcelles!L134="","",IF(OR(parcelles!M134=Moutarde,parcelles!M134=Phacélie),0,IF(parcelles!M134=Luzerne,10*parcelles!O134*VLOOKUP(parcelles!M134,BDD!$HN$5:$HU$38,8,FALSE),IF(parcelles!M134=Miscanthus,10.5*parcelles!O134*VLOOKUP(parcelles!M134,BDD!$HN$5:$HU$38,8,FALSE),INDEX(parcelles!$C$56:'parcelles'!$Y$77,MATCH(parcelles!L134,parcelles!$B$56:'parcelles'!$B$77,0),MATCH(parcelles!M134,parcelles!$C$53:'parcelles'!$Y$53,0))*parcelles!O134*VLOOKUP(parcelles!M134,BDD!$HN$5:$HU$38,8,FALSE)))))</f>
        <v/>
      </c>
      <c r="IH86" s="1084" t="str">
        <f>IF(parcelles!L134="","",IF(OR(parcelles!L134=Moutarde,parcelles!L134=Phacélie),0,1.6*parcelles!O134))</f>
        <v/>
      </c>
      <c r="II86" s="1084" t="str">
        <f>IF(parcelles!L134="","",IF(OR(parcelles!L134=Moutarde,parcelles!L134=Phacélie),0,1.6*parcelles!O134))</f>
        <v/>
      </c>
      <c r="IJ86" s="1084" t="str">
        <f>IF(parcelles!L134="","",IF(OR(parcelles!L134=Moutarde,parcelles!L134=Phacélie),0,1.6*parcelles!O134))</f>
        <v/>
      </c>
      <c r="IK86" s="1084" t="str">
        <f>IF(parcelles!P134="","",IF(parcelles!R134=0,"",IF(parcelles!O134=ChanvreIndustriel,"soit "&amp;parcelles!Q134*0.8&amp;"t de grain et "&amp;parcelles!Q134*7&amp;"t de paille",IF(parcelles!O134=Luzerne,"soit "&amp;10*parcelles!Q134&amp;"t/an",IF(parcelles!O134=Miscanthus,"soit "&amp;10.5*parcelles!Q134&amp;"t/an","soit "&amp;INDEX(parcelles!$C$56:$Y$77,MATCH(parcelles!N134,parcelles!$B$56:$B$77,0),MATCH(parcelles!O134,parcelles!$C$53:$Y$53,0))*parcelles!Q134&amp;"t")))))</f>
        <v/>
      </c>
      <c r="IL86" s="1084" t="str">
        <f>IF(parcelles!P134="","",IF(parcelles!R134=0,"",IF(parcelles!O134=ChanvreIndustriel,"soit "&amp;parcelles!Q134*0.8*0.8&amp;"t de grain et "&amp;parcelles!Q134*7*0.8&amp;"t de paille",IF(parcelles!O134=Luzerne,"soit "&amp;10*0.8*parcelles!Q134&amp;"t/an",IF(parcelles!O134=Miscanthus,"soit "&amp;10.5*0.8*parcelles!Q134&amp;"t/an","soit "&amp;INDEX(parcelles!$C$56:$Y$77,MATCH(parcelles!N134,parcelles!$B$56:$B$77,0),MATCH(parcelles!O134,parcelles!$C$53:$Y$53,0))*0.8*parcelles!Q134&amp;"t")))))</f>
        <v/>
      </c>
      <c r="IM86" s="1084" t="str">
        <f>IF(parcelles!S134="","",IF(parcelles!U134=0,"",IF(parcelles!R134=ChanvreIndustriel,parcelles!T134*0.8*0.8+parcelles!T134*7*0.8,IF(parcelles!R134=Luzerne,10*0.8*parcelles!T134,IF(parcelles!R134=Miscanthus,10.5*0.8*parcelles!T134,INDEX(parcelles!$C$56:$Y$77,MATCH(parcelles!Q134,parcelles!$B$56:$B$77,0),MATCH(parcelles!R134,parcelles!$C$53:$Y$53,0))*0.8*parcelles!T134)))))</f>
        <v/>
      </c>
      <c r="IN86" s="1368"/>
    </row>
    <row r="87" spans="1:248" ht="12.75" customHeight="1" x14ac:dyDescent="0.2">
      <c r="A87" s="1307" t="s">
        <v>374</v>
      </c>
      <c r="B87" s="1241">
        <f t="shared" si="17"/>
        <v>1E-3</v>
      </c>
      <c r="C87" s="1321"/>
      <c r="D87" s="1321"/>
      <c r="E87" s="1321"/>
      <c r="F87" s="1328" t="s">
        <v>1195</v>
      </c>
      <c r="G87" s="1321"/>
      <c r="H87" s="1321"/>
      <c r="I87" s="1321"/>
      <c r="J87" s="1321"/>
      <c r="K87" s="1321"/>
      <c r="L87" s="1321"/>
      <c r="M87" s="1321"/>
      <c r="N87" s="1321"/>
      <c r="O87" s="1321"/>
      <c r="P87" s="1321"/>
      <c r="Q87" s="1321"/>
      <c r="R87" s="1321"/>
      <c r="S87" s="1321"/>
      <c r="T87" s="1321"/>
      <c r="U87" s="1321"/>
      <c r="V87" s="1321"/>
      <c r="W87" s="1321"/>
      <c r="X87" s="1321"/>
      <c r="Y87" s="1080" t="s">
        <v>1678</v>
      </c>
      <c r="Z87" s="1080">
        <f>IF('coût alimentation'!$B$6=$Y$87,12,0)</f>
        <v>0</v>
      </c>
      <c r="AA87" s="1080">
        <f>IF('coût alimentation'!$B$6=$Y$87,12,0)</f>
        <v>0</v>
      </c>
      <c r="AB87" s="1080">
        <f>IF('coût alimentation'!$B$6=$Y$87,12,0)</f>
        <v>0</v>
      </c>
      <c r="AC87" s="1080">
        <f>IF('coût alimentation'!$B$6=$Y$87,12,0)</f>
        <v>0</v>
      </c>
      <c r="AD87" s="1080">
        <f>IF('coût alimentation'!$B$6=$Y$87,12,0)</f>
        <v>0</v>
      </c>
      <c r="AE87" s="1080">
        <f>IF('coût alimentation'!$B$6=$Y$87,12,0)</f>
        <v>0</v>
      </c>
      <c r="AF87" s="1080">
        <f>IF('coût alimentation'!$B$6=$Y$87,12,0)</f>
        <v>0</v>
      </c>
      <c r="AG87" s="1080">
        <f>IF('coût alimentation'!$B$6=$Y$87,12,0)</f>
        <v>0</v>
      </c>
      <c r="AH87" s="1321"/>
      <c r="AI87" s="1321"/>
      <c r="AJ87" s="1321"/>
      <c r="AK87" s="1321"/>
      <c r="AL87" s="1321"/>
      <c r="AM87" s="1321"/>
      <c r="AN87" s="1321"/>
      <c r="AO87" s="1321"/>
      <c r="AP87" s="1321"/>
      <c r="AQ87" s="1321"/>
      <c r="AR87" s="1321"/>
      <c r="AS87" s="1321"/>
      <c r="AT87" s="1321"/>
      <c r="AU87" s="1321"/>
      <c r="AV87" s="1321"/>
      <c r="AW87" s="1321"/>
      <c r="AX87" s="1321"/>
      <c r="AY87" s="1321"/>
      <c r="AZ87" s="1321"/>
      <c r="BA87" s="1321"/>
      <c r="BB87" s="1236" t="s">
        <v>727</v>
      </c>
      <c r="BC87" s="1190" t="s">
        <v>285</v>
      </c>
      <c r="BD87" s="1190" t="s">
        <v>1253</v>
      </c>
      <c r="BE87" s="1237">
        <v>7.2</v>
      </c>
      <c r="BF87" s="1237">
        <v>6</v>
      </c>
      <c r="BG87" s="1237">
        <v>4</v>
      </c>
      <c r="BH87" s="1237">
        <v>2</v>
      </c>
      <c r="BI87" s="1237">
        <v>1.2</v>
      </c>
      <c r="BJ87" s="1237">
        <v>0.6</v>
      </c>
      <c r="BK87" s="1238">
        <v>0</v>
      </c>
      <c r="BL87" s="1348"/>
      <c r="BM87" s="1076" t="str">
        <f t="shared" si="23"/>
        <v>Foin</v>
      </c>
      <c r="BN87" s="1076">
        <f t="array" ref="BN87">IF(Ration_hivernale_complète_bisons[somme]&gt;0,0,IFERROR(IF(OR(AND(INDEX(Règles_bison[Specificite],MATCH(ChoixRationBisons&amp;$BM87,Règles_bison[Ration]&amp;Règles_bison[Aliment],0))="s1",IF($BM87=ChoixSpécificité1Bisons,1)),
AND(INDEX(Règles_bison[Specificite],MATCH(ChoixRationBisons&amp;$BM87,Règles_bison[Ration]&amp;Règles_bison[Aliment],0))="s2",IF($BM87=ChoixSpécificité2Bisons,1)),INDEX(Règles_bison[Specificite],MATCH(ChoixRationBisons&amp;$BM87,Règles_bison[Ration]&amp;Règles_bison[Aliment],0))="c"),
INDEX(Règles_bison[Valeur 36 et plus],MATCH(ChoixRationBisons&amp;$BM87,Règles_bison[Ration]&amp;Règles_bison[Aliment],0)),0),0)*TotalBisonnes*SUM(NbreJoursNourrirBisonsDaims))</f>
        <v>0</v>
      </c>
      <c r="BO87" s="1076">
        <f t="array" ref="BO87">IF(Ration_hivernale_complète_bisons[somme]&gt;0,0,IFERROR(IF(OR(AND(INDEX(Règles_bison[Specificite],MATCH(ChoixRationBisons&amp;$BM87,Règles_bison[Ration]&amp;Règles_bison[Aliment],0))="s1",IF($BM87=ChoixSpécificité1Bisons,1)),
AND(INDEX(Règles_bison[Specificite],MATCH(ChoixRationBisons&amp;$BM87,Règles_bison[Ration]&amp;Règles_bison[Aliment],0))="s2",IF($BM87=ChoixSpécificité2Bisons,1)),INDEX(Règles_bison[Specificite],MATCH(ChoixRationBisons&amp;$BM87,Règles_bison[Ration]&amp;Règles_bison[Aliment],0))="c"),
INDEX(Règles_bison[Valeur 24-36],MATCH(ChoixRationBisons&amp;$BM87,Règles_bison[Ration]&amp;Règles_bison[Aliment],0)),0),0)*TotalBisonsFemelles_24_36_mois*SUM(NbreJoursNourrirBisonsDaims))</f>
        <v>0</v>
      </c>
      <c r="BP87" s="1076">
        <f t="array" ref="BP87">IF(Ration_hivernale_complète_bisons[somme]&gt;0,0,IFERROR(IF(OR(AND(INDEX(Règles_bison[Specificite],MATCH(ChoixRationBisons&amp;$BM87,Règles_bison[Ration]&amp;Règles_bison[Aliment],0))="s1",IF($BM87=ChoixSpécificité1Bisons,1)),
AND(INDEX(Règles_bison[Specificite],MATCH(ChoixRationBisons&amp;$BM87,Règles_bison[Ration]&amp;Règles_bison[Aliment],0))="s2",IF($BM87=ChoixSpécificité2Bisons,1)),INDEX(Règles_bison[Specificite],MATCH(ChoixRationBisons&amp;$BM87,Règles_bison[Ration]&amp;Règles_bison[Aliment],0))="c"),
INDEX(Règles_bison[Valeur 18-24],MATCH(ChoixRationBisons&amp;$BM87,Règles_bison[Ration]&amp;Règles_bison[Aliment],0)),0),0)*TotalBisonsFemelles_18_24_mois*SUM(NbreJoursNourrirBisonsDaims))</f>
        <v>0</v>
      </c>
      <c r="BQ87" s="1076">
        <f t="array" ref="BQ87">IF(Ration_hivernale_complète_bisons[somme]&gt;0,0,IFERROR(IF(OR(AND(INDEX(Règles_bison[Specificite],MATCH(ChoixRationBisons&amp;$BM87,Règles_bison[Ration]&amp;Règles_bison[Aliment],0))="s1",IF($BM87=ChoixSpécificité1Bisons,1)),
AND(INDEX(Règles_bison[Specificite],MATCH(ChoixRationBisons&amp;$BM87,Règles_bison[Ration]&amp;Règles_bison[Aliment],0))="s2",IF($BM87=ChoixSpécificité2Bisons,1)),INDEX(Règles_bison[Specificite],MATCH(ChoixRationBisons&amp;$BM87,Règles_bison[Ration]&amp;Règles_bison[Aliment],0))="c"),
INDEX(Règles_bison[Valeur 12-18],MATCH(ChoixRationBisons&amp;$BM87,Règles_bison[Ration]&amp;Règles_bison[Aliment],0)),0),0)*TotalBisonsFemelles_12_18_mois*SUM(NbreJoursNourrirBisonsDaims))</f>
        <v>0</v>
      </c>
      <c r="BR87" s="1076">
        <f t="array" ref="BR87">IF(Ration_hivernale_complète_bisons[somme]&gt;0,0,IFERROR(IF(OR(AND(INDEX(Règles_bison[Specificite],MATCH(ChoixRationBisons&amp;$BM87,Règles_bison[Ration]&amp;Règles_bison[Aliment],0))="s1",IF($BM87=ChoixSpécificité1Bisons,1)),
AND(INDEX(Règles_bison[Specificite],MATCH(ChoixRationBisons&amp;$BM87,Règles_bison[Ration]&amp;Règles_bison[Aliment],0))="s2",IF($BM87=ChoixSpécificité2Bisons,1)),INDEX(Règles_bison[Specificite],MATCH(ChoixRationBisons&amp;$BM87,Règles_bison[Ration]&amp;Règles_bison[Aliment],0))="c"),
INDEX(Règles_bison[Valeur 6-12],MATCH(ChoixRationBisons&amp;$BM87,Règles_bison[Ration]&amp;Règles_bison[Aliment],0)),0),0)*TotalBisonsFemelles_6_12_mois*SUM(NbreJoursNourrirBisonsDaims))</f>
        <v>0</v>
      </c>
      <c r="BS87" s="1076">
        <f t="array" ref="BS87">IF(Ration_hivernale_complète_bisons[somme]&gt;0,0,IFERROR(IF(OR(AND(INDEX(Règles_bison[Specificite],MATCH(ChoixRationBisons&amp;$BM87,Règles_bison[Ration]&amp;Règles_bison[Aliment],0))="s1",IF($BM87=ChoixSpécificité1Bisons,1)),
AND(INDEX(Règles_bison[Specificite],MATCH(ChoixRationBisons&amp;$BM87,Règles_bison[Ration]&amp;Règles_bison[Aliment],0))="s2",IF($BM87=ChoixSpécificité2Bisons,1)),INDEX(Règles_bison[Specificite],MATCH(ChoixRationBisons&amp;$BM87,Règles_bison[Ration]&amp;Règles_bison[Aliment],0))="c"),
INDEX(Règles_bison[Valeur 3-6],MATCH(ChoixRationBisons&amp;$BM87,Règles_bison[Ration]&amp;Règles_bison[Aliment],0)),0),0)*TotalBisonsFemelles_3_6_mois*SUM(NbreJoursNourrirBisonsDaims))</f>
        <v>0</v>
      </c>
      <c r="BT87" s="1076">
        <f t="array" ref="BT87">IF(Ration_hivernale_complète_bisons[somme]&gt;0,0,IFERROR(IF(OR(AND(INDEX(Règles_bison[Specificite],MATCH(ChoixRationBisons&amp;$BM87,Règles_bison[Ration]&amp;Règles_bison[Aliment],0))="s1",IF($BM87=ChoixSpécificité1Bisons,1)),
AND(INDEX(Règles_bison[Specificite],MATCH(ChoixRationBisons&amp;$BM87,Règles_bison[Ration]&amp;Règles_bison[Aliment],0))="s2",IF($BM87=ChoixSpécificité2Bisons,1)),INDEX(Règles_bison[Specificite],MATCH(ChoixRationBisons&amp;$BM87,Règles_bison[Ration]&amp;Règles_bison[Aliment],0))="c"),
INDEX(Règles_bison[Valeur 0-3],MATCH(ChoixRationBisons&amp;$BM87,Règles_bison[Ration]&amp;Règles_bison[Aliment],0)),0),0)*TotalBisonsFemelles_0_3_mois*SUM(NbreJoursNourrirBisonsDaims))</f>
        <v>0</v>
      </c>
      <c r="BU87" s="1076">
        <f t="shared" si="22"/>
        <v>0</v>
      </c>
      <c r="BV87" s="1346"/>
      <c r="BW87" s="1346"/>
      <c r="BX87" s="1176" t="s">
        <v>764</v>
      </c>
      <c r="BY87" s="1177" t="s">
        <v>1271</v>
      </c>
      <c r="BZ87" s="1177" t="s">
        <v>1252</v>
      </c>
      <c r="CA87" s="1177">
        <v>0.08</v>
      </c>
      <c r="CB87" s="1177">
        <v>0.04</v>
      </c>
      <c r="CC87" s="1177">
        <v>0.04</v>
      </c>
      <c r="CD87" s="1199">
        <v>0.04</v>
      </c>
      <c r="CE87" s="1350"/>
      <c r="CF87" s="1350"/>
      <c r="CG87" s="1350"/>
      <c r="CH87" s="1350"/>
      <c r="CI87" s="1321"/>
      <c r="CJ87" s="811" t="s">
        <v>1276</v>
      </c>
      <c r="CK87" s="790" t="s">
        <v>1280</v>
      </c>
      <c r="CL87" s="790" t="s">
        <v>1257</v>
      </c>
      <c r="CM87" s="790" t="s">
        <v>1256</v>
      </c>
      <c r="CN87" s="790" t="s">
        <v>1283</v>
      </c>
      <c r="CO87" s="790" t="s">
        <v>1284</v>
      </c>
      <c r="CP87" s="791" t="s">
        <v>1287</v>
      </c>
      <c r="CQ87" s="1321"/>
      <c r="CR87" s="1321"/>
      <c r="CS87" s="808" t="s">
        <v>1273</v>
      </c>
      <c r="CT87" s="817">
        <f t="array" ref="CT8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87" s="817">
        <f t="array" ref="CU8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87" s="817">
        <f t="array" ref="CV87">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87" s="818">
        <f>SUM(AlimentsRationLapinsMâles[[#This Row],[Valeur 3 et plus]:[Valeur 0-1]])</f>
        <v>0</v>
      </c>
      <c r="CX87" s="1321"/>
      <c r="CY87" s="1321"/>
      <c r="CZ87" s="808" t="s">
        <v>1273</v>
      </c>
      <c r="DA87" s="817">
        <f t="array" ref="DA8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87" s="817">
        <f t="array" ref="DB8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87" s="817">
        <f t="array" ref="DC87">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87" s="818">
        <f>SUM(AlimentsRationVolaillesMâles[[#This Row],[Valeur 6 et plus]:[Valeur 0-1]])</f>
        <v>0</v>
      </c>
      <c r="DE87" s="1364"/>
      <c r="DF87" s="1321"/>
      <c r="DG87" s="1336"/>
      <c r="DH87" s="1336"/>
      <c r="DI87" s="1336"/>
      <c r="DJ87" s="1336"/>
      <c r="DK87" s="1336"/>
      <c r="DL87" s="1321"/>
      <c r="DM87" s="1321"/>
      <c r="DN87" s="1176" t="s">
        <v>727</v>
      </c>
      <c r="DO87" s="1177" t="s">
        <v>725</v>
      </c>
      <c r="DP87" s="1177" t="s">
        <v>1252</v>
      </c>
      <c r="DQ87" s="1181">
        <v>8</v>
      </c>
      <c r="DR87" s="1181">
        <v>6</v>
      </c>
      <c r="DS87" s="1181">
        <v>4</v>
      </c>
      <c r="DT87" s="1243">
        <v>0</v>
      </c>
      <c r="DU87" s="1345"/>
      <c r="DV87" s="1075" t="str">
        <f t="shared" si="24"/>
        <v>concentré jeunes porcins</v>
      </c>
      <c r="DW87" s="1269">
        <f t="array" ref="DW87">SUM((IF(QualitéAlimentsFaonMâle_0_3_mois=BONNE,VLOOKUP("concentré jeunes porcins",AlimentsRationHivernaleDaims,8,FALSE),0)+(IF(QualitéAlimentsFaonFemelle_0_3_mois=BONNE,VLOOKUP("concentré jeunes porcins",AlimentsRationHivernaleDaims,8,FALSE),0)+(IF(QualitéAlimentsFaonMâle_3_6_mois=BONNE,VLOOKUP("concentré jeunes porcins",AlimentsRationHivernaleDaims,7,FALSE),0)+(IF(QualitéAlimentsFaonFemelle_3_6_mois=BONNE,VLOOKUP("concentré jeunes porcins",AlimentsRationHivernaleDaims,7,FALSE),0)+(IF(QualitéAlimentsFaonMâle_6_12_mois=BONNE,VLOOKUP("concentré jeunes porcins",AlimentsRationHivernaleDaims,6,FALSE),0)+(IF(QualitéAlimentsFaonFemelle_6_12_mois=BONNE,VLOOKUP("concentré jeunes porcins",AlimentsRationHivernaleDaims,6,FALSE),0)+(IF(QualitéAlimentsJeuneDaim_12_18_mois=BONNE,VLOOKUP("concentré jeunes porcins",AlimentsRationHivernaleDaims,5,FALSE),0)+(IF(QualitéAlimentsJeuneDaine_12_18_mois=BONNE,VLOOKUP("concentré jeunes porcins",AlimentsRationHivernaleDaims,5,FALSE),0)+(IF(QualitéAlimentsJeuneDaim_18_24_mois=BONNE,VLOOKUP("concentré jeunes porcins",AlimentsRationHivernaleDaims,4,FALSE),0)+(IF(QualitéAlimentsJeuneDaine_18_24_mois=BONNE,VLOOKUP("concentré jeunes porcins",AlimentsRationHivernaleDaims,4,FALSE),0)+(IF(QualitéAlimentsJeuneDaim_24_36_mois=BONNE,VLOOKUP("concentré jeunes porcins",AlimentsRationHivernaleDaims,3,FALSE),0)+(IF(QualitéAlimentsJeuneDaine_24_36_mois=BONNE,VLOOKUP("concentré jeunes porcins",AlimentsRationHivernaleDaims,3,FALSE),0)+(IF(QualitéAlimentsDaim=BONNE,VLOOKUP("concentré jeunes porcins",AlimentsRationHivernaleDaims,2,FALSE),0)+(IF(QualitéAlimentsDaine=BONNE,VLOOKUP("concentré jeunes porcins",AlimentsRationHivernaleDaims,2,FALSE),0))))))))))))))))</f>
        <v>0</v>
      </c>
      <c r="DX87" s="1269">
        <f t="array" ref="DX87">SUM((IF(QualitéAlimentsFaonMâle_0_3_mois=MOYENNE,VLOOKUP("concentré jeunes porcins",AlimentsRationHivernaleDaims,8,FALSE),0)+(IF(QualitéAlimentsFaonFemelle_0_3_mois=MOYENNE,VLOOKUP("concentré jeunes porcins",AlimentsRationHivernaleDaims,8,FALSE),0)+(IF(QualitéAlimentsFaonMâle_3_6_mois=MOYENNE,VLOOKUP("concentré jeunes porcins",AlimentsRationHivernaleDaims,7,FALSE),0)+(IF(QualitéAlimentsFaonFemelle_3_6_mois=MOYENNE,VLOOKUP("concentré jeunes porcins",AlimentsRationHivernaleDaims,7,FALSE),0)+(IF(QualitéAlimentsFaonMâle_6_12_mois=MOYENNE,VLOOKUP("concentré jeunes porcins",AlimentsRationHivernaleDaims,6,FALSE),0)+(IF(QualitéAlimentsFaonFemelle_6_12_mois=MOYENNE,VLOOKUP("concentré jeunes porcins",AlimentsRationHivernaleDaims,6,FALSE),0)+(IF(QualitéAlimentsJeuneDaim_12_18_mois=MOYENNE,VLOOKUP("concentré jeunes porcins",AlimentsRationHivernaleDaims,5,FALSE),0)+(IF(QualitéAlimentsJeuneDaine_12_18_mois=MOYENNE,VLOOKUP("concentré jeunes porcins",AlimentsRationHivernaleDaims,5,FALSE),0)+(IF(QualitéAlimentsJeuneDaim_18_24_mois=MOYENNE,VLOOKUP("concentré jeunes porcins",AlimentsRationHivernaleDaims,4,FALSE),0)+(IF(QualitéAlimentsJeuneDaine_18_24_mois=MOYENNE,VLOOKUP("concentré jeunes porcins",AlimentsRationHivernaleDaims,4,FALSE),0)+(IF(QualitéAlimentsJeuneDaim_24_36_mois=MOYENNE,VLOOKUP("concentré jeunes porcins",AlimentsRationHivernaleDaims,3,FALSE),0)+(IF(QualitéAlimentsJeuneDaine_24_36_mois=MOYENNE,VLOOKUP("concentré jeunes porcins",AlimentsRationHivernaleDaims,3,FALSE),0)+(IF(QualitéAlimentsDaim=MOYENNE,VLOOKUP("concentré jeunes porcins",AlimentsRationHivernaleDaims,2,FALSE),0)+(IF(QualitéAlimentsDaine=MOYENNE,VLOOKUP("concentré jeunes porcins",AlimentsRationHivernaleDaims,2,FALSE),0))))))))))))))))</f>
        <v>0</v>
      </c>
      <c r="DY87" s="1269">
        <f t="array" ref="DY87">SUM((IF(QualitéAlimentsFaonMâle_0_3_mois=MAUVAISE,VLOOKUP("concentré jeunes porcins",AlimentsRationHivernaleDaims,8,FALSE),0)+(IF(QualitéAlimentsFaonFemelle_0_3_mois=MAUVAISE,VLOOKUP("concentré jeunes porcins",AlimentsRationHivernaleDaims,8,FALSE),0)+(IF(QualitéAlimentsFaonMâle_3_6_mois=MAUVAISE,VLOOKUP("concentré jeunes porcins",AlimentsRationHivernaleDaims,7,FALSE),0)+(IF(QualitéAlimentsFaonFemelle_3_6_mois=MAUVAISE,VLOOKUP("concentré jeunes porcins",AlimentsRationHivernaleDaims,7,FALSE),0)+(IF(QualitéAlimentsFaonMâle_6_12_mois=MAUVAISE,VLOOKUP("concentré jeunes porcins",AlimentsRationHivernaleDaims,6,FALSE),0)+(IF(QualitéAlimentsFaonFemelle_6_12_mois=MAUVAISE,VLOOKUP("concentré jeunes porcins",AlimentsRationHivernaleDaims,6,FALSE),0)+(IF(QualitéAlimentsJeuneDaim_12_18_mois=MAUVAISE,VLOOKUP("concentré jeunes porcins",AlimentsRationHivernaleDaims,5,FALSE),0)+(IF(QualitéAlimentsJeuneDaine_12_18_mois=MAUVAISE,VLOOKUP("concentré jeunes porcins",AlimentsRationHivernaleDaims,5,FALSE),0)+(IF(QualitéAlimentsJeuneDaim_18_24_mois=MAUVAISE,VLOOKUP("concentré jeunes porcins",AlimentsRationHivernaleDaims,4,FALSE),0)+(IF(QualitéAlimentsJeuneDaine_18_24_mois=MAUVAISE,VLOOKUP("concentré jeunes porcins",AlimentsRationHivernaleDaims,4,FALSE),0)+(IF(QualitéAlimentsJeuneDaim_24_36_mois=MAUVAISE,VLOOKUP("concentré jeunes porcins",AlimentsRationHivernaleDaims,3,FALSE),0)+(IF(QualitéAlimentsJeuneDaine_24_36_mois=MAUVAISE,VLOOKUP("concentré jeunes porcins",AlimentsRationHivernaleDaims,3,FALSE),0)+(IF(QualitéAlimentsDaim=MAUVAISE,VLOOKUP("concentré jeunes porcins",AlimentsRationHivernaleDaims,2,FALSE),0)+(IF(QualitéAlimentsDaine=MAUVAISE,VLOOKUP("concentré jeunes porcins",AlimentsRationHivernaleDaims,2,FALSE),0))))))))))))))))</f>
        <v>0</v>
      </c>
      <c r="DZ87" s="1345"/>
      <c r="EA87" s="1345"/>
      <c r="EB87" s="1345"/>
      <c r="EC87" s="1345"/>
      <c r="ED87" s="1345"/>
      <c r="EE87" s="1345"/>
      <c r="EF87" s="1321"/>
      <c r="EG87" s="808"/>
      <c r="EH87" s="817">
        <f t="array" ref="EH8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87" s="817">
        <f t="array" ref="EI8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87" s="817">
        <f t="array" ref="EJ87">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87" s="818">
        <f>SUM(AlimentsRationOiesMâles[[#This Row],[Valeur 6 et plus]:[Valeur 0-3]])</f>
        <v>0</v>
      </c>
      <c r="EL87" s="1364"/>
      <c r="EM87" s="1321"/>
      <c r="EN87" s="808"/>
      <c r="EO87" s="817">
        <f t="array" ref="EO87">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87" s="817">
        <f t="array" ref="EP87">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87" s="817">
        <f t="array" ref="EQ87">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87" s="818">
        <f>SUM(Ration_canards_Mâles[[#This Row],[Valeur 6 et plus]:[Valeur 0-3]])</f>
        <v>0</v>
      </c>
      <c r="ES87" s="1364"/>
      <c r="ET87" s="1321"/>
      <c r="EU87" s="1083" t="s">
        <v>63</v>
      </c>
      <c r="EV87" s="1283">
        <f t="array" ref="EV87">IF(OR(ChoixRationComplèteEtéChevauxSelle=OUI,ChoixRationComplèteEtéChevauxSelle="",AND(ChoixChevauxSellePréHiver=OUI,ChoixChevauxSellePréEté=OUI)),0,IFERROR(IF(OR(AND(INDEX(Règles_chevaux_selle[Specificite],MATCH(RationEtéChevauxSelle&amp;$EU87,Règles_chevaux_selle[Ration]&amp;Règles_chevaux_selle[Aliment],0))="s1",IF($EU87=Spécificité1ChevauxSelle,1)),
AND(INDEX(Règles_chevaux_selle[Specificite],MATCH(RationEtéChevauxSelle&amp;$EU87,Règles_chevaux_selle[Ration]&amp;Règles_chevaux_selle[Aliment],0))="s2",IF($EU87=Spécificité2ChevauxSelle,1)),
INDEX(Règles_chevaux_selle[Specificite],MATCH(RationEtéChevauxSelle&amp;$EU87,Règles_chevaux_selle[Ration]&amp;Règles_chevaux_selle[Aliment],0))="c"),
INDEX(Règles_chevaux_selle[Valeur 36 et plus],MATCH(RationEtéChevauxSelle&amp;$EU87,Règles_chevaux_selle[Ration]&amp;Règles_chevaux_selle[Aliment],0)),0),0)*TotalEtalonSelle*SUM(NbreJoursNourrirChevauxSelle))</f>
        <v>0</v>
      </c>
      <c r="EW87" s="1283">
        <f t="array" ref="EW87">IF(OR(ChoixRationComplèteEtéChevauxSelle=OUI,ChoixRationComplèteEtéChevauxSelle="",AND(ChoixChevauxSellePréHiver=OUI,ChoixChevauxSellePréEté=OUI)),0,IFERROR(IF(OR(AND(INDEX(Règles_chevaux_selle[Specificite],MATCH(RationEtéChevauxSelle&amp;$EU87,Règles_chevaux_selle[Ration]&amp;Règles_chevaux_selle[Aliment],0))="s1",IF($EU87=Spécificité1ChevauxSelle,1)),
AND(INDEX(Règles_chevaux_selle[Specificite],MATCH(RationEtéChevauxSelle&amp;$EU87,Règles_chevaux_selle[Ration]&amp;Règles_chevaux_selle[Aliment],0))="s2",IF($EU87=Spécificité2ChevauxSelle,1)),
INDEX(Règles_chevaux_selle[Specificite],MATCH(RationEtéChevauxSelle&amp;$EU87,Règles_chevaux_selle[Ration]&amp;Règles_chevaux_selle[Aliment],0))="c"),
INDEX(Règles_chevaux_selle[Valeur 24-36],MATCH(RationEtéChevauxSelle&amp;$EU87,Règles_chevaux_selle[Ration]&amp;Règles_chevaux_selle[Aliment],0)),0),0)*TotalJeuneEtalonSelle_24_36_mois*SUM(NbreJoursNourrirChevauxSelle))</f>
        <v>0</v>
      </c>
      <c r="EX87" s="1283">
        <f t="array" ref="EX87">IF(OR(ChoixRationComplèteEtéChevauxSelle=OUI,ChoixRationComplèteEtéChevauxSelle="",AND(ChoixChevauxSellePréHiver=OUI,ChoixChevauxSellePréEté=OUI)),0,IFERROR(IF(OR(AND(INDEX(Règles_chevaux_selle[Specificite],MATCH(RationEtéChevauxSelle&amp;$EU87,Règles_chevaux_selle[Ration]&amp;Règles_chevaux_selle[Aliment],0))="s1",IF($EU87=Spécificité1ChevauxSelle,1)),
AND(INDEX(Règles_chevaux_selle[Specificite],MATCH(RationEtéChevauxSelle&amp;$EU87,Règles_chevaux_selle[Ration]&amp;Règles_chevaux_selle[Aliment],0))="s2",IF($EU87=Spécificité2ChevauxSelle,1)),
INDEX(Règles_chevaux_selle[Specificite],MATCH(RationEtéChevauxSelle&amp;$EU87,Règles_chevaux_selle[Ration]&amp;Règles_chevaux_selle[Aliment],0))="c"),
INDEX(Règles_chevaux_selle[Valeur 12-24],MATCH(RationEtéChevauxSelle&amp;$EU87,Règles_chevaux_selle[Ration]&amp;Règles_chevaux_selle[Aliment],0)),0),0)*TotalJeuneEtalonSelle_12_24_mois*SUM(NbreJoursNourrirChevauxSelle))</f>
        <v>0</v>
      </c>
      <c r="EY87" s="1286">
        <f t="array" ref="EY87">IF(OR(ChoixRationComplèteEtéChevauxSelle=OUI,ChoixRationComplèteEtéChevauxSelle="",AND(ChoixChevauxSellePréHiver=OUI,ChoixChevauxSellePréEté=OUI)),0,IFERROR(IF(OR(AND(INDEX(Règles_chevaux_selle[Specificite],MATCH(RationEtéChevauxSelle&amp;$EU87,Règles_chevaux_selle[Ration]&amp;Règles_chevaux_selle[Aliment],0))="s1",IF($EU87=Spécificité1ChevauxSelle,1)),
AND(INDEX(Règles_chevaux_selle[Specificite],MATCH(RationEtéChevauxSelle&amp;$EU87,Règles_chevaux_selle[Ration]&amp;Règles_chevaux_selle[Aliment],0))="s2",IF($EU87=Spécificité2ChevauxSelle,1)),
INDEX(Règles_chevaux_selle[Specificite],MATCH(RationEtéChevauxSelle&amp;$EU87,Règles_chevaux_selle[Ration]&amp;Règles_chevaux_selle[Aliment],0))="c"),
INDEX(Règles_chevaux_selle[Valeur 0-12],MATCH(RationEtéChevauxSelle&amp;$EU87,Règles_chevaux_selle[Ration]&amp;Règles_chevaux_selle[Aliment],0)),0),0)*TotalPoulainSelle_0_12_mois*SUM(NbreJoursNourrirChevauxSelle))</f>
        <v>0</v>
      </c>
      <c r="EZ87" s="1286">
        <f t="shared" si="16"/>
        <v>0</v>
      </c>
      <c r="FA87" s="1345"/>
      <c r="FB87" s="1345"/>
      <c r="FC87" s="1321"/>
      <c r="FD87" s="1083"/>
      <c r="FE87" s="1283">
        <f t="array" ref="FE87">IF(OR(ChoixRationComplèteEtéChevauxTrait=OUI,ChoixRationComplèteEtéChevauxTrait="",AND(ChoixChevauxTraitPréHiver=OUI,ChoixChevauxTraitPréEté=OUI)),0,IFERROR(IF(OR(AND(INDEX(Règles_chevaux_trait[Specificite],MATCH(RationEtéChevauxTrait&amp;$FD87,Règles_chevaux_trait[Ration]&amp;Règles_chevaux_trait[Aliment],0))="s1",IF($FD87=Spécificité1ChevauxTrait,1)),
AND(INDEX(Règles_chevaux_trait[Specificite],MATCH(RationEtéChevauxTrait&amp;$FD87,Règles_chevaux_trait[Ration]&amp;Règles_chevaux_trait[Aliment],0))="s2",IF($FD87=Spécificité2ChevauxTrait,1)),
INDEX(Règles_chevaux_trait[Specificite],MATCH(RationEtéChevauxTrait&amp;$FD87,Règles_chevaux_trait[Ration]&amp;Règles_chevaux_trait[Aliment],0))="c"),
INDEX(Règles_chevaux_trait[Valeur 36 et plus],MATCH(RationEtéChevauxTrait&amp;$FD87,Règles_chevaux_trait[Ration]&amp;Règles_chevaux_trait[Aliment],0)),0),0)*TotalEtalonTrait*SUM(NbreJoursNourrirChevauxTrait))</f>
        <v>0</v>
      </c>
      <c r="FF87" s="1283">
        <f t="array" ref="FF87">IF(OR(ChoixRationComplèteEtéChevauxTrait=OUI,ChoixRationComplèteEtéChevauxTrait="",AND(ChoixChevauxTraitPréHiver=OUI,ChoixChevauxTraitPréEté=OUI)),0,IFERROR(IF(OR(AND(INDEX(Règles_chevaux_trait[Specificite],MATCH(RationEtéChevauxTrait&amp;$FD87,Règles_chevaux_trait[Ration]&amp;Règles_chevaux_trait[Aliment],0))="s1",IF($FD87=Spécificité1ChevauxTrait,1)),
AND(INDEX(Règles_chevaux_trait[Specificite],MATCH(RationEtéChevauxTrait&amp;$FD87,Règles_chevaux_trait[Ration]&amp;Règles_chevaux_trait[Aliment],0))="s2",IF($FD87=Spécificité2ChevauxTrait,1)),
INDEX(Règles_chevaux_trait[Specificite],MATCH(RationEtéChevauxTrait&amp;$FD87,Règles_chevaux_trait[Ration]&amp;Règles_chevaux_trait[Aliment],0))="c"),
INDEX(Règles_chevaux_trait[Valeur 24-36],MATCH(RationEtéChevauxTrait&amp;$FD87,Règles_chevaux_trait[Ration]&amp;Règles_chevaux_trait[Aliment],0)),0),0)*TotalJeuneEtalonTrait_24_36_mois*SUM(NbreJoursNourrirChevauxTrait))</f>
        <v>0</v>
      </c>
      <c r="FG87" s="1283">
        <f t="array" ref="FG87">IF(OR(ChoixRationComplèteEtéChevauxTrait=OUI,ChoixRationComplèteEtéChevauxTrait="",AND(ChoixChevauxTraitPréHiver=OUI,ChoixChevauxTraitPréEté=OUI)),0,IFERROR(IF(OR(AND(INDEX(Règles_chevaux_trait[Specificite],MATCH(RationEtéChevauxTrait&amp;$FD87,Règles_chevaux_trait[Ration]&amp;Règles_chevaux_trait[Aliment],0))="s1",IF($FD87=Spécificité1ChevauxTrait,1)),
AND(INDEX(Règles_chevaux_trait[Specificite],MATCH(RationEtéChevauxTrait&amp;$FD87,Règles_chevaux_trait[Ration]&amp;Règles_chevaux_trait[Aliment],0))="s2",IF($FD87=Spécificité2ChevauxTrait,1)),
INDEX(Règles_chevaux_trait[Specificite],MATCH(RationEtéChevauxTrait&amp;$FD87,Règles_chevaux_trait[Ration]&amp;Règles_chevaux_trait[Aliment],0))="c"),
INDEX(Règles_chevaux_trait[Valeur 12-24],MATCH(RationEtéChevauxTrait&amp;$FD87,Règles_chevaux_trait[Ration]&amp;Règles_chevaux_trait[Aliment],0)),0),0)*TotalJeuneEtalonTrait_12_24_mois*SUM(NbreJoursNourrirChevauxTrait))</f>
        <v>0</v>
      </c>
      <c r="FH87" s="1286">
        <f t="array" ref="FH87">IF(OR(ChoixRationComplèteEtéChevauxTrait=OUI,ChoixRationComplèteEtéChevauxTrait="",AND(ChoixChevauxTraitPréHiver=OUI,ChoixChevauxTraitPréEté=OUI)),0,IFERROR(IF(OR(AND(INDEX(Règles_chevaux_trait[Specificite],MATCH(RationEtéChevauxTrait&amp;$FD87,Règles_chevaux_trait[Ration]&amp;Règles_chevaux_trait[Aliment],0))="s1",IF($FD87=Spécificité1ChevauxTrait,1)),
AND(INDEX(Règles_chevaux_trait[Specificite],MATCH(RationEtéChevauxTrait&amp;$FD87,Règles_chevaux_trait[Ration]&amp;Règles_chevaux_trait[Aliment],0))="s2",IF($FD87=Spécificité2ChevauxTrait,1)),
INDEX(Règles_chevaux_trait[Specificite],MATCH(RationEtéChevauxTrait&amp;$FD87,Règles_chevaux_trait[Ration]&amp;Règles_chevaux_trait[Aliment],0))="c"),
INDEX(Règles_chevaux_trait[Valeur 0-12],MATCH(RationEtéChevauxTrait&amp;$FD87,Règles_chevaux_trait[Ration]&amp;Règles_chevaux_trait[Aliment],0)),0),0)*TotalPoulainTrait_0_12_mois*SUM(NbreJoursNourrirChevauxTrait))</f>
        <v>0</v>
      </c>
      <c r="FI87" s="1286">
        <f t="shared" si="15"/>
        <v>0</v>
      </c>
      <c r="FJ87" s="1345"/>
      <c r="FK87" s="1345"/>
      <c r="FL87" s="1345"/>
      <c r="FM87" s="1321"/>
      <c r="FN87" s="1082"/>
      <c r="FO87" s="1282">
        <f t="array" ref="FO87">IF(OR(ChoixRationComplèteEtéPoneys=OUI,ChoixRationComplèteEtéPoneys="",AND(ChoixPoneysPréHiver=OUI,ChoixPoneysPréEté=OUI)),0,IFERROR(IF(OR(AND(INDEX(Règles_poneys[Specificite],MATCH(RationEtéPoneys&amp;$FN87,Règles_poneys[Ration]&amp;Règles_poneys[Aliment],0))="s1",IF($FN87=Spécificité1Poneys,1)),
AND(INDEX(Règles_poneys[Specificite],MATCH(RationEtéPoneys&amp;$FN87,Règles_poneys[Ration]&amp;Règles_poneys[Aliment],0))="s2",IF($FN87=Spécificité2Poneys,1)),
INDEX(Règles_poneys[Specificite],MATCH(RationEtéPoneys&amp;$FN87,Règles_poneys[Ration]&amp;Règles_poneys[Aliment],0))="c"),
INDEX(Règles_poneys[Valeur 36 et plus],MATCH(RationEtéPoneys&amp;$FN87,Règles_poneys[Ration]&amp;Règles_poneys[Aliment],0)),0),0)*TotalEtalonPoney*SUM(NbreJoursNourrirPoneys))</f>
        <v>0</v>
      </c>
      <c r="FP87" s="1282">
        <f t="array" ref="FP87">IF(OR(ChoixRationComplèteEtéPoneys=OUI,ChoixRationComplèteEtéPoneys="",AND(ChoixPoneysPréHiver=OUI,ChoixPoneysPréEté=OUI)),0,IFERROR(IF(OR(AND(INDEX(Règles_poneys[Specificite],MATCH(RationEtéPoneys&amp;$FN87,Règles_poneys[Ration]&amp;Règles_poneys[Aliment],0))="s1",IF($FN87=Spécificité1Poneys,1)),
AND(INDEX(Règles_poneys[Specificite],MATCH(RationEtéPoneys&amp;$FN87,Règles_poneys[Ration]&amp;Règles_poneys[Aliment],0))="s2",IF($FN87=Spécificité2Poneys,1)),
INDEX(Règles_poneys[Specificite],MATCH(RationEtéPoneys&amp;$FN87,Règles_poneys[Ration]&amp;Règles_poneys[Aliment],0))="c"),
INDEX(Règles_poneys[Valeur 36 et plus],MATCH(RationEtéPoneys&amp;$FN87,Règles_poneys[Ration]&amp;Règles_poneys[Aliment],0)),0),0)*TotalJeuneEtalonPoney_24_36_mois*SUM(NbreJoursNourrirPoneys))</f>
        <v>0</v>
      </c>
      <c r="FQ87" s="1282">
        <f t="array" ref="FQ87">IF(OR(ChoixRationComplèteEtéPoneys=OUI,ChoixRationComplèteEtéPoneys="",AND(ChoixPoneysPréHiver=OUI,ChoixPoneysPréEté=OUI)),0,IFERROR(IF(OR(AND(INDEX(Règles_poneys[Specificite],MATCH(RationEtéPoneys&amp;$FN87,Règles_poneys[Ration]&amp;Règles_poneys[Aliment],0))="s1",IF($FN87=Spécificité1Poneys,1)),
AND(INDEX(Règles_poneys[Specificite],MATCH(RationEtéPoneys&amp;$FN87,Règles_poneys[Ration]&amp;Règles_poneys[Aliment],0))="s2",IF($FN87=Spécificité2Poneys,1)),
INDEX(Règles_poneys[Specificite],MATCH(RationEtéPoneys&amp;$FN87,Règles_poneys[Ration]&amp;Règles_poneys[Aliment],0))="c"),
INDEX(Règles_poneys[Valeur 36 et plus],MATCH(RationEtéPoneys&amp;$FN87,Règles_poneys[Ration]&amp;Règles_poneys[Aliment],0)),0),0)*TotalJeuneEtalonPoney_12_24_mois*SUM(NbreJoursNourrirPoneys))</f>
        <v>0</v>
      </c>
      <c r="FR87" s="1285">
        <f t="array" ref="FR87">IF(OR(ChoixRationComplèteEtéPoneys=OUI,ChoixRationComplèteEtéPoneys="",AND(ChoixPoneysPréHiver=OUI,ChoixPoneysPréEté=OUI)),0,IFERROR(IF(OR(AND(INDEX(Règles_poneys[Specificite],MATCH(RationEtéPoneys&amp;$FN87,Règles_poneys[Ration]&amp;Règles_poneys[Aliment],0))="s1",IF($FN87=Spécificité1Poneys,1)),
AND(INDEX(Règles_poneys[Specificite],MATCH(RationEtéPoneys&amp;$FN87,Règles_poneys[Ration]&amp;Règles_poneys[Aliment],0))="s2",IF($FN87=Spécificité2Poneys,1)),
INDEX(Règles_poneys[Specificite],MATCH(RationEtéPoneys&amp;$FN87,Règles_poneys[Ration]&amp;Règles_poneys[Aliment],0))="c"),
INDEX(Règles_poneys[Valeur 36 et plus],MATCH(RationEtéPoneys&amp;$FN87,Règles_poneys[Ration]&amp;Règles_poneys[Aliment],0)),0),0)*TotalPoulainPoney_0_12_mois*SUM(NbreJoursNourrirPoneys))</f>
        <v>0</v>
      </c>
      <c r="FS87" s="1285">
        <f t="shared" si="14"/>
        <v>0</v>
      </c>
      <c r="FT87" s="1345"/>
      <c r="FU87" s="1345"/>
      <c r="FV87" s="1345"/>
      <c r="FW87" s="1336"/>
      <c r="FX87" s="1341"/>
      <c r="FY87" s="1341"/>
      <c r="FZ87" s="1341"/>
      <c r="GA87" s="1341"/>
      <c r="GB87" s="1336"/>
      <c r="GC87" s="1321"/>
      <c r="GD87" s="1321"/>
      <c r="GE87" s="1321"/>
      <c r="GF87" s="1321"/>
      <c r="GG87" s="1321" t="s">
        <v>1349</v>
      </c>
      <c r="GH87" s="1321" t="s">
        <v>1349</v>
      </c>
      <c r="GI87" s="1321" t="s">
        <v>1349</v>
      </c>
      <c r="GJ87" s="1321" t="s">
        <v>1349</v>
      </c>
      <c r="GK87" s="1321" t="s">
        <v>1349</v>
      </c>
      <c r="GL87" s="1321" t="s">
        <v>1349</v>
      </c>
      <c r="GM87" s="1321" t="s">
        <v>1349</v>
      </c>
      <c r="GN87" s="1321" t="s">
        <v>1349</v>
      </c>
      <c r="GO87" s="1321" t="s">
        <v>1349</v>
      </c>
      <c r="GP87" s="1321" t="s">
        <v>1349</v>
      </c>
      <c r="GQ87" s="1321" t="s">
        <v>1349</v>
      </c>
      <c r="GR87" s="1321" t="s">
        <v>1349</v>
      </c>
      <c r="GS87" s="1321" t="s">
        <v>1349</v>
      </c>
      <c r="GT87" s="1321" t="s">
        <v>1349</v>
      </c>
      <c r="GU87" s="1321" t="s">
        <v>1349</v>
      </c>
      <c r="GV87" s="1321" t="s">
        <v>1349</v>
      </c>
      <c r="GW87" s="1321"/>
      <c r="GX87" s="1321"/>
      <c r="GY87" s="1082" t="str">
        <f t="shared" si="25"/>
        <v>engrais pruniers</v>
      </c>
      <c r="GZ87" s="1082"/>
      <c r="HA87" s="1085"/>
      <c r="HB87" s="1085">
        <f>IF(COUNTIF(TypeArticleDansEntrepôt,GY87)=0,0,SUMIF(TypeArticleDansEntrepôt,GY87,QtéArticleDansEntrepôt)*VLOOKUP(GY87,place_necessaire_entrepots_aire_paille[],2,FALSE))</f>
        <v>0</v>
      </c>
      <c r="HC87" s="1321"/>
      <c r="HD87" s="1321"/>
      <c r="HE87" s="1321"/>
      <c r="HF87" s="1321"/>
      <c r="HG87" s="1321"/>
      <c r="HH87" s="1321"/>
      <c r="HI87" s="1321"/>
      <c r="HJ87" s="1321"/>
      <c r="HK87" s="1321"/>
      <c r="HL87" s="1321"/>
      <c r="HM87" s="1321"/>
      <c r="HN87" s="1085" t="str">
        <f>IF(parcelles!B135="","",(VLOOKUP(parcelles!C135,BDD!$HN$5:$HU$38,2,FALSE))*parcelles!E135)</f>
        <v/>
      </c>
      <c r="HO87" s="1085" t="str">
        <f>IF(parcelles!B135="","",IF(OR(parcelles!C135=Moutarde,parcelles!C135=Phacélie),0,IF(parcelles!C135=Luzerne,10*parcelles!E135*VLOOKUP(parcelles!C135,BDD!$HN$5:$HU$38,3,FALSE),IF(parcelles!C135=Miscanthus,10.5*parcelles!E135*VLOOKUP(parcelles!C135,BDD!$HN$5:$HU$38,3,FALSE),INDEX(parcelles!$C$56:'parcelles'!$Y$77,MATCH(parcelles!B135,parcelles!$B$56:'parcelles'!$B$77,0),MATCH(parcelles!C135,parcelles!$C$53:'parcelles'!$Y$53,0))*parcelles!E135*VLOOKUP(parcelles!C135,BDD!$HN$5:$HU$38,3,FALSE)))))</f>
        <v/>
      </c>
      <c r="HP87" s="1085" t="str">
        <f>IF(parcelles!B135="","",IF(OR(parcelles!C135=Moutarde,parcelles!C135=Phacélie),0,IF(parcelles!C135=Luzerne,10*parcelles!E135*VLOOKUP(parcelles!C135,BDD!$HN$5:$HU$38,4,FALSE),IF(parcelles!C135=Miscanthus,10.5*parcelles!E135*VLOOKUP(parcelles!C135,BDD!$HN$5:$HU$38,4,FALSE),INDEX(parcelles!$C$56:'parcelles'!$Y$77,MATCH(parcelles!B135,parcelles!$B$56:'parcelles'!$B$77,0),MATCH(parcelles!C135,parcelles!$C$53:'parcelles'!$Y$53,0))*parcelles!E135*VLOOKUP(parcelles!C135,BDD!$HN$5:$HU$38,4,FALSE)))))</f>
        <v/>
      </c>
      <c r="HQ87" s="1085" t="str">
        <f>IF(parcelles!B135="","",IF(OR(parcelles!C135=Moutarde,parcelles!C135=Phacélie),0,IF(parcelles!C135=Luzerne,10*parcelles!E135*VLOOKUP(parcelles!C135,BDD!$HN$5:$HU$38,5,FALSE),IF(parcelles!C135=Miscanthus,10.5*parcelles!E135*VLOOKUP(parcelles!C135,BDD!$HN$5:$HU$38,5,FALSE),INDEX(parcelles!$C$56:'parcelles'!$Y$77,MATCH(parcelles!B135,parcelles!$B$56:'parcelles'!$B$77,0),MATCH(parcelles!C135,parcelles!$C$53:'parcelles'!$Y$53,0))*parcelles!E135*VLOOKUP(parcelles!C135,BDD!$HN$5:$HU$38,5,FALSE)))))</f>
        <v/>
      </c>
      <c r="HR87" s="1085" t="str">
        <f>IF(parcelles!B135="","",IF(OR(parcelles!C135=Moutarde,parcelles!C135=Phacélie),0,IF(parcelles!C135=Luzerne,10*parcelles!E135*VLOOKUP(parcelles!C135,BDD!$HN$5:$HU$38,6,FALSE),IF(parcelles!C135=Miscanthus,10.5*parcelles!E135*VLOOKUP(parcelles!C135,BDD!$HN$5:$HU$38,6,FALSE),INDEX(parcelles!$C$56:'parcelles'!$Y$77,MATCH(parcelles!B135,parcelles!$B$56:'parcelles'!$B$77,0),MATCH(parcelles!C135,parcelles!$C$53:'parcelles'!$Y$53,0))*parcelles!E135*VLOOKUP(parcelles!C135,BDD!$HN$5:$HU$38,6,FALSE)))))</f>
        <v/>
      </c>
      <c r="HS87" s="1085" t="str">
        <f>IF(parcelles!B135="","",IF(OR(parcelles!C135=Moutarde,parcelles!C135=Phacélie),0,IF(parcelles!C135=Luzerne,10*parcelles!E135*VLOOKUP(parcelles!C135,BDD!$HN$5:$HU$38,7,FALSE),IF(parcelles!C135=Miscanthus,10.5*parcelles!E135*VLOOKUP(parcelles!C135,BDD!$HN$5:$HU$38,7,FALSE),INDEX(parcelles!$C$56:'parcelles'!$Y$77,MATCH(parcelles!B135,parcelles!$B$56:'parcelles'!$B$77,0),MATCH(parcelles!C135,parcelles!$C$53:'parcelles'!$Y$53,0))*parcelles!E135*VLOOKUP(parcelles!C135,BDD!$HN$5:$HU$38,7,FALSE)))))</f>
        <v/>
      </c>
      <c r="HT87" s="1085" t="str">
        <f>IF(parcelles!B135="","",IF(OR(parcelles!C135=Moutarde,parcelles!C135=Phacélie),0,IF(parcelles!C135=Luzerne,10*parcelles!E135*VLOOKUP(parcelles!C135,BDD!$HN$5:$HU$38,8,FALSE),IF(parcelles!C135=Miscanthus,10.5*parcelles!E135*VLOOKUP(parcelles!C135,BDD!$HN$5:$HU$38,8,FALSE),INDEX(parcelles!$C$56:'parcelles'!$Y$77,MATCH(parcelles!B135,parcelles!$B$56:'parcelles'!$B$77,0),MATCH(parcelles!C135,parcelles!$C$53:'parcelles'!$Y$53,0))*parcelles!E135*VLOOKUP(parcelles!C135,BDD!$HN$5:$HU$38,8,FALSE)))))</f>
        <v/>
      </c>
      <c r="HU87" s="1085" t="str">
        <f>IF(parcelles!B135="","",IF(OR(parcelles!C135=Moutarde,parcelles!C135=Phacélie),0,1.6*parcelles!E135))</f>
        <v/>
      </c>
      <c r="HV87" s="1085" t="str">
        <f>IF(parcelles!B135="","",IF(OR(parcelles!C135=Moutarde,parcelles!C135=Phacélie),0,1.6*parcelles!E135))</f>
        <v/>
      </c>
      <c r="HW87" s="1085" t="str">
        <f>IF(parcelles!B135="","",IF(OR(parcelles!C135=Moutarde,parcelles!C135=Phacélie),0,1.6*parcelles!E135))</f>
        <v/>
      </c>
      <c r="HX87" s="1092" t="str">
        <f>IF(parcelles!D135="","",IF(parcelles!C135=ChanvreIndustriel,INDEX(parcelles!$C$56:$Y$77,MATCH(parcelles!B135,parcelles!$B$56:$B$77,0),MATCH(parcelles!C135,parcelles!$C$53:$Y$53,0))*parcelles!E135*SUMIF(ListeCulturesBDD,parcelles!C135,PrixVenteCulturesConventionnel)+RIGHT(BDD!$HM$7,3)*7*parcelles!E135,IF(parcelles!C135=Luzerne,parcelles!E135*10*VLOOKUP(parcelles!C135,TarifsCoopCultures,2,FALSE),IF(parcelles!C135=Miscanthus,parcelles!E135*10.5*VLOOKUP(Luzerne,TarifsCoopCultures,2,FALSE),INDEX(parcelles!$C$56:$Y$77,MATCH(parcelles!B135,parcelles!$B$56:$B$77,0),MATCH(parcelles!C135,parcelles!$C$53:$Y$53,0))*parcelles!E135*SUMIF(ListeCulturesBDD,parcelles!C135,PrixVenteCulturesConventionnel)))))</f>
        <v/>
      </c>
      <c r="HY87" s="1085" t="str">
        <f>IF(parcelles!D135="","",IF(parcelles!F135=0,"",IF(parcelles!C135=ChanvreIndustriel,"soit "&amp;parcelles!E135*0.8&amp;"t de grain et "&amp;parcelles!E135*7&amp;"t de paille",IF(parcelles!C135=Luzerne,"soit "&amp;10*parcelles!E135&amp;"t/an",IF(parcelles!C135=Miscanthus,"soit "&amp;10.5*parcelles!E135&amp;"t/an","soit "&amp;INDEX(parcelles!$C$56:$Y$77,MATCH(parcelles!B135,parcelles!$B$56:$B$77,0),MATCH(parcelles!C135,parcelles!$C$53:$Y$53,0))*parcelles!E135&amp;"t")))))</f>
        <v/>
      </c>
      <c r="HZ87" s="1085" t="str">
        <f>IF(parcelles!D135="","",IF(parcelles!F135=0,"",IF(parcelles!C135=ChanvreIndustriel,"soit "&amp;parcelles!E135*0.8*0.8&amp;"t de grain et "&amp;parcelles!E135*7*0.8&amp;"t de paille",IF(parcelles!C135=Luzerne,"soit "&amp;10*0.8*parcelles!E135&amp;"t/an",IF(parcelles!C135=Miscanthus,"soit "&amp;10.5*0.8*parcelles!E135&amp;"t/an","soit "&amp;INDEX(parcelles!$C$56:$Y$77,MATCH(parcelles!B135,parcelles!$B$56:$B$77,0),MATCH(parcelles!C135,parcelles!$C$53:$Y$53,0))*0.8*parcelles!E135&amp;"t")))))</f>
        <v/>
      </c>
      <c r="IA87" s="1085" t="str">
        <f>IF(parcelles!L135="","",(VLOOKUP(parcelles!M135,BDD!$HN$5:$HU$38,2,FALSE))*parcelles!O135)</f>
        <v/>
      </c>
      <c r="IB87" s="1085" t="str">
        <f>IF(parcelles!L135="","",IF(OR(parcelles!M135=Moutarde,parcelles!M135=Phacélie),0,IF(parcelles!M135=Luzerne,10*parcelles!O135*VLOOKUP(parcelles!M135,BDD!$HN$5:$HU$38,3,FALSE),IF(parcelles!M135=Miscanthus,10.5*parcelles!O135*VLOOKUP(parcelles!M135,BDD!$HN$5:$HU$38,3,FALSE),INDEX(parcelles!$C$56:'parcelles'!$Y$77,MATCH(parcelles!L135,parcelles!$B$56:'parcelles'!$B$77,0),MATCH(parcelles!M135,parcelles!$C$53:'parcelles'!$Y$53,0))*parcelles!O135*VLOOKUP(parcelles!M135,BDD!$HN$5:$HU$38,3,FALSE)))))</f>
        <v/>
      </c>
      <c r="IC87" s="1085" t="str">
        <f>IF(parcelles!L135="","",IF(OR(parcelles!M135=Moutarde,parcelles!M135=Phacélie),0,IF(parcelles!M135=Luzerne,10*parcelles!O135*VLOOKUP(parcelles!M135,BDD!$HN$5:$HU$38,4,FALSE),IF(parcelles!M135=Miscanthus,10.5*parcelles!O135*VLOOKUP(parcelles!M135,BDD!$HN$5:$HU$38,4,FALSE),INDEX(parcelles!$C$56:'parcelles'!$Y$77,MATCH(parcelles!L135,parcelles!$B$56:'parcelles'!$B$77,0),MATCH(parcelles!M135,parcelles!$C$53:'parcelles'!$Y$53,0))*parcelles!O135*VLOOKUP(parcelles!M135,BDD!$HN$5:$HU$38,4,FALSE)))))</f>
        <v/>
      </c>
      <c r="ID87" s="1085" t="str">
        <f>IF(parcelles!L135="","",IF(OR(parcelles!M135=Moutarde,parcelles!M135=Phacélie),0,IF(parcelles!M135=Luzerne,10*parcelles!O135*VLOOKUP(parcelles!M135,BDD!$HN$5:$HU$38,5,FALSE),IF(parcelles!M135=Miscanthus,10.5*parcelles!O135*VLOOKUP(parcelles!M135,BDD!$HN$5:$HU$38,5,FALSE),INDEX(parcelles!$C$56:'parcelles'!$Y$77,MATCH(parcelles!L135,parcelles!$B$56:'parcelles'!$B$77,0),MATCH(parcelles!M135,parcelles!$C$53:'parcelles'!$Y$53,0))*parcelles!O135*VLOOKUP(parcelles!M135,BDD!$HN$5:$HU$38,5,FALSE)))))</f>
        <v/>
      </c>
      <c r="IE87" s="1085" t="str">
        <f>IF(parcelles!L135="","",IF(OR(parcelles!M135=Moutarde,parcelles!M135=Phacélie),0,IF(parcelles!M135=Luzerne,10*parcelles!O135*VLOOKUP(parcelles!M135,BDD!$HN$5:$HU$38,6,FALSE),IF(parcelles!M135=Miscanthus,10.5*parcelles!O135*VLOOKUP(parcelles!M135,BDD!$HN$5:$HU$38,6,FALSE),INDEX(parcelles!$C$56:'parcelles'!$Y$77,MATCH(parcelles!L135,parcelles!$B$56:'parcelles'!$B$77,0),MATCH(parcelles!M135,parcelles!$C$53:'parcelles'!$Y$53,0))*parcelles!O135*VLOOKUP(parcelles!M135,BDD!$HN$5:$HU$38,6,FALSE)))))</f>
        <v/>
      </c>
      <c r="IF87" s="1085" t="str">
        <f>IF(parcelles!L135="","",IF(OR(parcelles!M135=Moutarde,parcelles!M135=Phacélie),0,IF(parcelles!M135=Luzerne,10*parcelles!O135*VLOOKUP(parcelles!M135,BDD!$HN$5:$HU$38,7,FALSE),IF(parcelles!M135=Miscanthus,10.5*parcelles!O135*VLOOKUP(parcelles!M135,BDD!$HN$5:$HU$38,7,FALSE),INDEX(parcelles!$C$56:'parcelles'!$Y$77,MATCH(parcelles!L135,parcelles!$B$56:'parcelles'!$B$77,0),MATCH(parcelles!M135,parcelles!$C$53:'parcelles'!$Y$53,0))*parcelles!O135*VLOOKUP(parcelles!M135,BDD!$HN$5:$HU$38,7,FALSE)))))</f>
        <v/>
      </c>
      <c r="IG87" s="1085" t="str">
        <f>IF(parcelles!L135="","",IF(OR(parcelles!M135=Moutarde,parcelles!M135=Phacélie),0,IF(parcelles!M135=Luzerne,10*parcelles!O135*VLOOKUP(parcelles!M135,BDD!$HN$5:$HU$38,8,FALSE),IF(parcelles!M135=Miscanthus,10.5*parcelles!O135*VLOOKUP(parcelles!M135,BDD!$HN$5:$HU$38,8,FALSE),INDEX(parcelles!$C$56:'parcelles'!$Y$77,MATCH(parcelles!L135,parcelles!$B$56:'parcelles'!$B$77,0),MATCH(parcelles!M135,parcelles!$C$53:'parcelles'!$Y$53,0))*parcelles!O135*VLOOKUP(parcelles!M135,BDD!$HN$5:$HU$38,8,FALSE)))))</f>
        <v/>
      </c>
      <c r="IH87" s="1085" t="str">
        <f>IF(parcelles!L135="","",IF(OR(parcelles!L135=Moutarde,parcelles!L135=Phacélie),0,1.6*parcelles!O135))</f>
        <v/>
      </c>
      <c r="II87" s="1085" t="str">
        <f>IF(parcelles!L135="","",IF(OR(parcelles!L135=Moutarde,parcelles!L135=Phacélie),0,1.6*parcelles!O135))</f>
        <v/>
      </c>
      <c r="IJ87" s="1085" t="str">
        <f>IF(parcelles!L135="","",IF(OR(parcelles!L135=Moutarde,parcelles!L135=Phacélie),0,1.6*parcelles!O135))</f>
        <v/>
      </c>
      <c r="IK87" s="1085" t="str">
        <f>IF(parcelles!P135="","",IF(parcelles!R135=0,"",IF(parcelles!O135=ChanvreIndustriel,"soit "&amp;parcelles!Q135*0.8&amp;"t de grain et "&amp;parcelles!Q135*7&amp;"t de paille",IF(parcelles!O135=Luzerne,"soit "&amp;10*parcelles!Q135&amp;"t/an",IF(parcelles!O135=Miscanthus,"soit "&amp;10.5*parcelles!Q135&amp;"t/an","soit "&amp;INDEX(parcelles!$C$56:$Y$77,MATCH(parcelles!N135,parcelles!$B$56:$B$77,0),MATCH(parcelles!O135,parcelles!$C$53:$Y$53,0))*parcelles!Q135&amp;"t")))))</f>
        <v/>
      </c>
      <c r="IL87" s="1085" t="str">
        <f>IF(parcelles!P135="","",IF(parcelles!R135=0,"",IF(parcelles!O135=ChanvreIndustriel,"soit "&amp;parcelles!Q135*0.8*0.8&amp;"t de grain et "&amp;parcelles!Q135*7*0.8&amp;"t de paille",IF(parcelles!O135=Luzerne,"soit "&amp;10*0.8*parcelles!Q135&amp;"t/an",IF(parcelles!O135=Miscanthus,"soit "&amp;10.5*0.8*parcelles!Q135&amp;"t/an","soit "&amp;INDEX(parcelles!$C$56:$Y$77,MATCH(parcelles!N135,parcelles!$B$56:$B$77,0),MATCH(parcelles!O135,parcelles!$C$53:$Y$53,0))*0.8*parcelles!Q135&amp;"t")))))</f>
        <v/>
      </c>
      <c r="IM87" s="1085" t="str">
        <f>IF(parcelles!S135="","",IF(parcelles!U135=0,"",IF(parcelles!R135=ChanvreIndustriel,parcelles!T135*0.8*0.8+parcelles!T135*7*0.8,IF(parcelles!R135=Luzerne,10*0.8*parcelles!T135,IF(parcelles!R135=Miscanthus,10.5*0.8*parcelles!T135,INDEX(parcelles!$C$56:$Y$77,MATCH(parcelles!Q135,parcelles!$B$56:$B$77,0),MATCH(parcelles!R135,parcelles!$C$53:$Y$53,0))*0.8*parcelles!T135)))))</f>
        <v/>
      </c>
      <c r="IN87" s="1368"/>
    </row>
    <row r="88" spans="1:248" ht="12.75" customHeight="1" x14ac:dyDescent="0.2">
      <c r="A88" s="1307" t="s">
        <v>375</v>
      </c>
      <c r="B88" s="1241">
        <f t="shared" si="17"/>
        <v>1E-3</v>
      </c>
      <c r="C88" s="1321"/>
      <c r="D88" s="1321"/>
      <c r="E88" s="1321"/>
      <c r="F88" s="1139" t="s">
        <v>858</v>
      </c>
      <c r="G88" s="1139" t="s">
        <v>861</v>
      </c>
      <c r="H88" s="1139" t="s">
        <v>862</v>
      </c>
      <c r="I88" s="1139" t="s">
        <v>863</v>
      </c>
      <c r="J88" s="1139" t="s">
        <v>864</v>
      </c>
      <c r="K88" s="1139" t="s">
        <v>1172</v>
      </c>
      <c r="L88" s="1139" t="s">
        <v>866</v>
      </c>
      <c r="M88" s="1321"/>
      <c r="N88" s="1321"/>
      <c r="O88" s="1321"/>
      <c r="P88" s="1321"/>
      <c r="Q88" s="1321"/>
      <c r="R88" s="1321"/>
      <c r="S88" s="1321"/>
      <c r="T88" s="1321"/>
      <c r="U88" s="1321"/>
      <c r="V88" s="1321"/>
      <c r="W88" s="1321"/>
      <c r="X88" s="1321"/>
      <c r="Y88" s="1081" t="s">
        <v>1679</v>
      </c>
      <c r="Z88" s="1081">
        <f>IF('coût alimentation'!$B$6=$Y$88,13,0)</f>
        <v>0</v>
      </c>
      <c r="AA88" s="1081">
        <f>IF('coût alimentation'!$B$6=$Y$88,13,0)</f>
        <v>0</v>
      </c>
      <c r="AB88" s="1081">
        <f>IF('coût alimentation'!$B$6=$Y$88,13,0)</f>
        <v>0</v>
      </c>
      <c r="AC88" s="1081">
        <f>IF('coût alimentation'!$B$6=$Y$88,13,0)</f>
        <v>0</v>
      </c>
      <c r="AD88" s="1081">
        <f>IF('coût alimentation'!$B$6=$Y$88,13,0)</f>
        <v>0</v>
      </c>
      <c r="AE88" s="1081">
        <f>IF('coût alimentation'!$B$6=$Y$88,13,0)</f>
        <v>0</v>
      </c>
      <c r="AF88" s="1081">
        <f>IF('coût alimentation'!$B$6=$Y$88,13,0)</f>
        <v>0</v>
      </c>
      <c r="AG88" s="1081">
        <f>IF('coût alimentation'!$B$6=$Y$88,13,0)</f>
        <v>0</v>
      </c>
      <c r="AH88" s="1321"/>
      <c r="AI88" s="1321"/>
      <c r="AJ88" s="1321"/>
      <c r="AK88" s="1321"/>
      <c r="AL88" s="1321"/>
      <c r="AM88" s="1321"/>
      <c r="AN88" s="1321"/>
      <c r="AO88" s="1321"/>
      <c r="AP88" s="1321"/>
      <c r="AQ88" s="1321"/>
      <c r="AR88" s="1321"/>
      <c r="AS88" s="1321"/>
      <c r="AT88" s="1321"/>
      <c r="AU88" s="1321"/>
      <c r="AV88" s="1321"/>
      <c r="AW88" s="1321"/>
      <c r="AX88" s="1321"/>
      <c r="AY88" s="1321"/>
      <c r="AZ88" s="1321"/>
      <c r="BA88" s="1321"/>
      <c r="BB88" s="1236" t="s">
        <v>727</v>
      </c>
      <c r="BC88" s="1190" t="s">
        <v>76</v>
      </c>
      <c r="BD88" s="1190" t="s">
        <v>1253</v>
      </c>
      <c r="BE88" s="1237">
        <v>7.2</v>
      </c>
      <c r="BF88" s="1237">
        <v>6</v>
      </c>
      <c r="BG88" s="1237">
        <v>4</v>
      </c>
      <c r="BH88" s="1237">
        <v>2</v>
      </c>
      <c r="BI88" s="1237">
        <v>1.2</v>
      </c>
      <c r="BJ88" s="1237">
        <v>0.6</v>
      </c>
      <c r="BK88" s="1238">
        <v>0</v>
      </c>
      <c r="BL88" s="1348"/>
      <c r="BM88" s="1075" t="str">
        <f t="shared" si="23"/>
        <v>Haricot vert</v>
      </c>
      <c r="BN88" s="1075">
        <f t="array" ref="BN88">IF(Ration_hivernale_complète_bisons[somme]&gt;0,0,IFERROR(IF(OR(AND(INDEX(Règles_bison[Specificite],MATCH(ChoixRationBisons&amp;$BM88,Règles_bison[Ration]&amp;Règles_bison[Aliment],0))="s1",IF($BM88=ChoixSpécificité1Bisons,1)),
AND(INDEX(Règles_bison[Specificite],MATCH(ChoixRationBisons&amp;$BM88,Règles_bison[Ration]&amp;Règles_bison[Aliment],0))="s2",IF($BM88=ChoixSpécificité2Bisons,1)),INDEX(Règles_bison[Specificite],MATCH(ChoixRationBisons&amp;$BM88,Règles_bison[Ration]&amp;Règles_bison[Aliment],0))="c"),
INDEX(Règles_bison[Valeur 36 et plus],MATCH(ChoixRationBisons&amp;$BM88,Règles_bison[Ration]&amp;Règles_bison[Aliment],0)),0),0)*TotalBisonnes*SUM(NbreJoursNourrirBisonsDaims))</f>
        <v>0</v>
      </c>
      <c r="BO88" s="1075">
        <f t="array" ref="BO88">IF(Ration_hivernale_complète_bisons[somme]&gt;0,0,IFERROR(IF(OR(AND(INDEX(Règles_bison[Specificite],MATCH(ChoixRationBisons&amp;$BM88,Règles_bison[Ration]&amp;Règles_bison[Aliment],0))="s1",IF($BM88=ChoixSpécificité1Bisons,1)),
AND(INDEX(Règles_bison[Specificite],MATCH(ChoixRationBisons&amp;$BM88,Règles_bison[Ration]&amp;Règles_bison[Aliment],0))="s2",IF($BM88=ChoixSpécificité2Bisons,1)),INDEX(Règles_bison[Specificite],MATCH(ChoixRationBisons&amp;$BM88,Règles_bison[Ration]&amp;Règles_bison[Aliment],0))="c"),
INDEX(Règles_bison[Valeur 24-36],MATCH(ChoixRationBisons&amp;$BM88,Règles_bison[Ration]&amp;Règles_bison[Aliment],0)),0),0)*TotalBisonsFemelles_24_36_mois*SUM(NbreJoursNourrirBisonsDaims))</f>
        <v>0</v>
      </c>
      <c r="BP88" s="1075">
        <f t="array" ref="BP88">IF(Ration_hivernale_complète_bisons[somme]&gt;0,0,IFERROR(IF(OR(AND(INDEX(Règles_bison[Specificite],MATCH(ChoixRationBisons&amp;$BM88,Règles_bison[Ration]&amp;Règles_bison[Aliment],0))="s1",IF($BM88=ChoixSpécificité1Bisons,1)),
AND(INDEX(Règles_bison[Specificite],MATCH(ChoixRationBisons&amp;$BM88,Règles_bison[Ration]&amp;Règles_bison[Aliment],0))="s2",IF($BM88=ChoixSpécificité2Bisons,1)),INDEX(Règles_bison[Specificite],MATCH(ChoixRationBisons&amp;$BM88,Règles_bison[Ration]&amp;Règles_bison[Aliment],0))="c"),
INDEX(Règles_bison[Valeur 18-24],MATCH(ChoixRationBisons&amp;$BM88,Règles_bison[Ration]&amp;Règles_bison[Aliment],0)),0),0)*TotalBisonsFemelles_18_24_mois*SUM(NbreJoursNourrirBisonsDaims))</f>
        <v>0</v>
      </c>
      <c r="BQ88" s="1075">
        <f t="array" ref="BQ88">IF(Ration_hivernale_complète_bisons[somme]&gt;0,0,IFERROR(IF(OR(AND(INDEX(Règles_bison[Specificite],MATCH(ChoixRationBisons&amp;$BM88,Règles_bison[Ration]&amp;Règles_bison[Aliment],0))="s1",IF($BM88=ChoixSpécificité1Bisons,1)),
AND(INDEX(Règles_bison[Specificite],MATCH(ChoixRationBisons&amp;$BM88,Règles_bison[Ration]&amp;Règles_bison[Aliment],0))="s2",IF($BM88=ChoixSpécificité2Bisons,1)),INDEX(Règles_bison[Specificite],MATCH(ChoixRationBisons&amp;$BM88,Règles_bison[Ration]&amp;Règles_bison[Aliment],0))="c"),
INDEX(Règles_bison[Valeur 12-18],MATCH(ChoixRationBisons&amp;$BM88,Règles_bison[Ration]&amp;Règles_bison[Aliment],0)),0),0)*TotalBisonsFemelles_12_18_mois*SUM(NbreJoursNourrirBisonsDaims))</f>
        <v>0</v>
      </c>
      <c r="BR88" s="1075">
        <f t="array" ref="BR88">IF(Ration_hivernale_complète_bisons[somme]&gt;0,0,IFERROR(IF(OR(AND(INDEX(Règles_bison[Specificite],MATCH(ChoixRationBisons&amp;$BM88,Règles_bison[Ration]&amp;Règles_bison[Aliment],0))="s1",IF($BM88=ChoixSpécificité1Bisons,1)),
AND(INDEX(Règles_bison[Specificite],MATCH(ChoixRationBisons&amp;$BM88,Règles_bison[Ration]&amp;Règles_bison[Aliment],0))="s2",IF($BM88=ChoixSpécificité2Bisons,1)),INDEX(Règles_bison[Specificite],MATCH(ChoixRationBisons&amp;$BM88,Règles_bison[Ration]&amp;Règles_bison[Aliment],0))="c"),
INDEX(Règles_bison[Valeur 6-12],MATCH(ChoixRationBisons&amp;$BM88,Règles_bison[Ration]&amp;Règles_bison[Aliment],0)),0),0)*TotalBisonsFemelles_6_12_mois*SUM(NbreJoursNourrirBisonsDaims))</f>
        <v>0</v>
      </c>
      <c r="BS88" s="1075">
        <f t="array" ref="BS88">IF(Ration_hivernale_complète_bisons[somme]&gt;0,0,IFERROR(IF(OR(AND(INDEX(Règles_bison[Specificite],MATCH(ChoixRationBisons&amp;$BM88,Règles_bison[Ration]&amp;Règles_bison[Aliment],0))="s1",IF($BM88=ChoixSpécificité1Bisons,1)),
AND(INDEX(Règles_bison[Specificite],MATCH(ChoixRationBisons&amp;$BM88,Règles_bison[Ration]&amp;Règles_bison[Aliment],0))="s2",IF($BM88=ChoixSpécificité2Bisons,1)),INDEX(Règles_bison[Specificite],MATCH(ChoixRationBisons&amp;$BM88,Règles_bison[Ration]&amp;Règles_bison[Aliment],0))="c"),
INDEX(Règles_bison[Valeur 3-6],MATCH(ChoixRationBisons&amp;$BM88,Règles_bison[Ration]&amp;Règles_bison[Aliment],0)),0),0)*TotalBisonsFemelles_3_6_mois*SUM(NbreJoursNourrirBisonsDaims))</f>
        <v>0</v>
      </c>
      <c r="BT88" s="1075">
        <f t="array" ref="BT88">IF(Ration_hivernale_complète_bisons[somme]&gt;0,0,IFERROR(IF(OR(AND(INDEX(Règles_bison[Specificite],MATCH(ChoixRationBisons&amp;$BM88,Règles_bison[Ration]&amp;Règles_bison[Aliment],0))="s1",IF($BM88=ChoixSpécificité1Bisons,1)),
AND(INDEX(Règles_bison[Specificite],MATCH(ChoixRationBisons&amp;$BM88,Règles_bison[Ration]&amp;Règles_bison[Aliment],0))="s2",IF($BM88=ChoixSpécificité2Bisons,1)),INDEX(Règles_bison[Specificite],MATCH(ChoixRationBisons&amp;$BM88,Règles_bison[Ration]&amp;Règles_bison[Aliment],0))="c"),
INDEX(Règles_bison[Valeur 0-3],MATCH(ChoixRationBisons&amp;$BM88,Règles_bison[Ration]&amp;Règles_bison[Aliment],0)),0),0)*TotalBisonsFemelles_0_3_mois*SUM(NbreJoursNourrirBisonsDaims))</f>
        <v>0</v>
      </c>
      <c r="BU88" s="1075">
        <f t="shared" si="22"/>
        <v>0</v>
      </c>
      <c r="BV88" s="1346"/>
      <c r="BW88" s="1346"/>
      <c r="BX88" s="1176" t="s">
        <v>764</v>
      </c>
      <c r="BY88" s="1177" t="s">
        <v>733</v>
      </c>
      <c r="BZ88" s="1177" t="s">
        <v>1252</v>
      </c>
      <c r="CA88" s="1177">
        <v>20</v>
      </c>
      <c r="CB88" s="1177">
        <v>12</v>
      </c>
      <c r="CC88" s="1177">
        <v>8</v>
      </c>
      <c r="CD88" s="1199">
        <v>4</v>
      </c>
      <c r="CE88" s="1350"/>
      <c r="CF88" s="1350"/>
      <c r="CG88" s="1350"/>
      <c r="CH88" s="1350"/>
      <c r="CI88" s="1321"/>
      <c r="CJ88" s="808" t="str">
        <f>CJ50</f>
        <v>Avoine</v>
      </c>
      <c r="CK88" s="788">
        <f t="array" ref="CK8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88" s="788">
        <f t="array" ref="CL8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88" s="788">
        <f t="array" ref="CM8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88" s="788">
        <f t="array" ref="CN8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88" s="788">
        <f t="array" ref="CO8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88" s="812">
        <f>SUM(AlimentsRationPorcinsFemelles[[#This Row],[Valeur 12 et plus]:[Valeur 0-1]])</f>
        <v>0</v>
      </c>
      <c r="CQ88" s="1321"/>
      <c r="CR88" s="1321"/>
      <c r="CS88" s="808" t="s">
        <v>1274</v>
      </c>
      <c r="CT88" s="817">
        <f t="array" ref="CT88">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88" s="817">
        <f t="array" ref="CU88">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88" s="817">
        <f t="array" ref="CV88">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88" s="818">
        <f>SUM(AlimentsRationLapinsMâles[[#This Row],[Valeur 3 et plus]:[Valeur 0-1]])</f>
        <v>0</v>
      </c>
      <c r="CX88" s="1321"/>
      <c r="CY88" s="1321"/>
      <c r="CZ88" s="808" t="s">
        <v>1274</v>
      </c>
      <c r="DA88" s="817">
        <f t="array" ref="DA88">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88" s="817">
        <f t="array" ref="DB88">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88" s="817">
        <f t="array" ref="DC88">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88" s="818">
        <f>SUM(AlimentsRationVolaillesMâles[[#This Row],[Valeur 6 et plus]:[Valeur 0-1]])</f>
        <v>0</v>
      </c>
      <c r="DE88" s="1364"/>
      <c r="DF88" s="1321"/>
      <c r="DG88" s="1336" t="s">
        <v>1710</v>
      </c>
      <c r="DH88" s="1336"/>
      <c r="DI88" s="1336"/>
      <c r="DJ88" s="1336"/>
      <c r="DK88" s="1336"/>
      <c r="DL88" s="1321"/>
      <c r="DM88" s="1321"/>
      <c r="DN88" s="1176" t="s">
        <v>727</v>
      </c>
      <c r="DO88" s="1177" t="s">
        <v>523</v>
      </c>
      <c r="DP88" s="1177" t="s">
        <v>1252</v>
      </c>
      <c r="DQ88" s="1181">
        <v>4</v>
      </c>
      <c r="DR88" s="1181">
        <v>4</v>
      </c>
      <c r="DS88" s="1181">
        <v>4</v>
      </c>
      <c r="DT88" s="1243">
        <v>0</v>
      </c>
      <c r="DU88" s="1345"/>
      <c r="DV88" s="1076" t="str">
        <f t="shared" si="24"/>
        <v>Ensilage d'herbe</v>
      </c>
      <c r="DW88" s="1267">
        <f t="array" ref="DW88">SUM((IF(QualitéAlimentsFaonMâle_0_3_mois=BONNE,VLOOKUP("Ensilage d'herbe",AlimentsRationHivernaleDaims,8,FALSE),0)+(IF(QualitéAlimentsFaonFemelle_0_3_mois=BONNE,VLOOKUP("Ensilage d'herbe",AlimentsRationHivernaleDaims,8,FALSE),0)+(IF(QualitéAlimentsFaonMâle_3_6_mois=BONNE,VLOOKUP("Ensilage d'herbe",AlimentsRationHivernaleDaims,7,FALSE),0)+(IF(QualitéAlimentsFaonFemelle_3_6_mois=BONNE,VLOOKUP("Ensilage d'herbe",AlimentsRationHivernaleDaims,7,FALSE),0)+(IF(QualitéAlimentsFaonMâle_6_12_mois=BONNE,VLOOKUP("Ensilage d'herbe",AlimentsRationHivernaleDaims,6,FALSE),0)+(IF(QualitéAlimentsFaonFemelle_6_12_mois=BONNE,VLOOKUP("Ensilage d'herbe",AlimentsRationHivernaleDaims,6,FALSE),0)+(IF(QualitéAlimentsJeuneDaim_12_18_mois=BONNE,VLOOKUP("Ensilage d'herbe",AlimentsRationHivernaleDaims,5,FALSE),0)+(IF(QualitéAlimentsJeuneDaine_12_18_mois=BONNE,VLOOKUP("Ensilage d'herbe",AlimentsRationHivernaleDaims,5,FALSE),0)+(IF(QualitéAlimentsJeuneDaim_18_24_mois=BONNE,VLOOKUP("Ensilage d'herbe",AlimentsRationHivernaleDaims,4,FALSE),0)+(IF(QualitéAlimentsJeuneDaine_18_24_mois=BONNE,VLOOKUP("Ensilage d'herbe",AlimentsRationHivernaleDaims,4,FALSE),0)+(IF(QualitéAlimentsJeuneDaim_24_36_mois=BONNE,VLOOKUP("Ensilage d'herbe",AlimentsRationHivernaleDaims,3,FALSE),0)+(IF(QualitéAlimentsJeuneDaine_24_36_mois=BONNE,VLOOKUP("Ensilage d'herbe",AlimentsRationHivernaleDaims,3,FALSE),0)+(IF(QualitéAlimentsDaim=BONNE,VLOOKUP("Ensilage d'herbe",AlimentsRationHivernaleDaims,2,FALSE),0)+(IF(QualitéAlimentsDaine=BONNE,VLOOKUP("Ensilage d'herbe",AlimentsRationHivernaleDaims,2,FALSE),0))))))))))))))))</f>
        <v>0</v>
      </c>
      <c r="DX88" s="1267">
        <f t="array" ref="DX88">SUM((IF(QualitéAlimentsFaonMâle_0_3_mois=MOYENNE,VLOOKUP("Ensilage d'herbe",AlimentsRationHivernaleDaims,8,FALSE),0)+(IF(QualitéAlimentsFaonFemelle_0_3_mois=MOYENNE,VLOOKUP("Ensilage d'herbe",AlimentsRationHivernaleDaims,8,FALSE),0)+(IF(QualitéAlimentsFaonMâle_3_6_mois=MOYENNE,VLOOKUP("Ensilage d'herbe",AlimentsRationHivernaleDaims,7,FALSE),0)+(IF(QualitéAlimentsFaonFemelle_3_6_mois=MOYENNE,VLOOKUP("Ensilage d'herbe",AlimentsRationHivernaleDaims,7,FALSE),0)+(IF(QualitéAlimentsFaonMâle_6_12_mois=MOYENNE,VLOOKUP("Ensilage d'herbe",AlimentsRationHivernaleDaims,6,FALSE),0)+(IF(QualitéAlimentsFaonFemelle_6_12_mois=MOYENNE,VLOOKUP("Ensilage d'herbe",AlimentsRationHivernaleDaims,6,FALSE),0)+(IF(QualitéAlimentsJeuneDaim_12_18_mois=MOYENNE,VLOOKUP("Ensilage d'herbe",AlimentsRationHivernaleDaims,5,FALSE),0)+(IF(QualitéAlimentsJeuneDaine_12_18_mois=MOYENNE,VLOOKUP("Ensilage d'herbe",AlimentsRationHivernaleDaims,5,FALSE),0)+(IF(QualitéAlimentsJeuneDaim_18_24_mois=MOYENNE,VLOOKUP("Ensilage d'herbe",AlimentsRationHivernaleDaims,4,FALSE),0)+(IF(QualitéAlimentsJeuneDaine_18_24_mois=MOYENNE,VLOOKUP("Ensilage d'herbe",AlimentsRationHivernaleDaims,4,FALSE),0)+(IF(QualitéAlimentsJeuneDaim_24_36_mois=MOYENNE,VLOOKUP("Ensilage d'herbe",AlimentsRationHivernaleDaims,3,FALSE),0)+(IF(QualitéAlimentsJeuneDaine_24_36_mois=MOYENNE,VLOOKUP("Ensilage d'herbe",AlimentsRationHivernaleDaims,3,FALSE),0)+(IF(QualitéAlimentsDaim=MOYENNE,VLOOKUP("Ensilage d'herbe",AlimentsRationHivernaleDaims,2,FALSE),0)+(IF(QualitéAlimentsDaine=MOYENNE,VLOOKUP("Ensilage d'herbe",AlimentsRationHivernaleDaims,2,FALSE),0))))))))))))))))</f>
        <v>0</v>
      </c>
      <c r="DY88" s="1267">
        <f t="array" ref="DY88">SUM((IF(QualitéAlimentsFaonMâle_0_3_mois=MAUVAISE,VLOOKUP("Ensilage d'herbe",AlimentsRationHivernaleDaims,8,FALSE),0)+(IF(QualitéAlimentsFaonFemelle_0_3_mois=MAUVAISE,VLOOKUP("Ensilage d'herbe",AlimentsRationHivernaleDaims,8,FALSE),0)+(IF(QualitéAlimentsFaonMâle_3_6_mois=MAUVAISE,VLOOKUP("Ensilage d'herbe",AlimentsRationHivernaleDaims,7,FALSE),0)+(IF(QualitéAlimentsFaonFemelle_3_6_mois=MAUVAISE,VLOOKUP("Ensilage d'herbe",AlimentsRationHivernaleDaims,7,FALSE),0)+(IF(QualitéAlimentsFaonMâle_6_12_mois=MAUVAISE,VLOOKUP("Ensilage d'herbe",AlimentsRationHivernaleDaims,6,FALSE),0)+(IF(QualitéAlimentsFaonFemelle_6_12_mois=MAUVAISE,VLOOKUP("Ensilage d'herbe",AlimentsRationHivernaleDaims,6,FALSE),0)+(IF(QualitéAlimentsJeuneDaim_12_18_mois=MAUVAISE,VLOOKUP("Ensilage d'herbe",AlimentsRationHivernaleDaims,5,FALSE),0)+(IF(QualitéAlimentsJeuneDaine_12_18_mois=MAUVAISE,VLOOKUP("Ensilage d'herbe",AlimentsRationHivernaleDaims,5,FALSE),0)+(IF(QualitéAlimentsJeuneDaim_18_24_mois=MAUVAISE,VLOOKUP("Ensilage d'herbe",AlimentsRationHivernaleDaims,4,FALSE),0)+(IF(QualitéAlimentsJeuneDaine_18_24_mois=MAUVAISE,VLOOKUP("Ensilage d'herbe",AlimentsRationHivernaleDaims,4,FALSE),0)+(IF(QualitéAlimentsJeuneDaim_24_36_mois=MAUVAISE,VLOOKUP("Ensilage d'herbe",AlimentsRationHivernaleDaims,3,FALSE),0)+(IF(QualitéAlimentsJeuneDaine_24_36_mois=MAUVAISE,VLOOKUP("Ensilage d'herbe",AlimentsRationHivernaleDaims,3,FALSE),0)+(IF(QualitéAlimentsDaim=MAUVAISE,VLOOKUP("Ensilage d'herbe",AlimentsRationHivernaleDaims,2,FALSE),0)+(IF(QualitéAlimentsDaine=MAUVAISE,VLOOKUP("Ensilage d'herbe",AlimentsRationHivernaleDaims,2,FALSE),0))))))))))))))))</f>
        <v>0</v>
      </c>
      <c r="DZ88" s="1345"/>
      <c r="EA88" s="1345"/>
      <c r="EB88" s="1345"/>
      <c r="EC88" s="1345"/>
      <c r="ED88" s="1345"/>
      <c r="EE88" s="1345"/>
      <c r="EF88" s="1321"/>
      <c r="EG88" s="808"/>
      <c r="EH88" s="817">
        <f t="array" ref="EH8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88" s="817">
        <f t="array" ref="EI8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88" s="817">
        <f t="array" ref="EJ88">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88" s="818">
        <f>SUM(AlimentsRationOiesMâles[[#This Row],[Valeur 6 et plus]:[Valeur 0-3]])</f>
        <v>0</v>
      </c>
      <c r="EL88" s="1364"/>
      <c r="EM88" s="1321"/>
      <c r="EN88" s="808"/>
      <c r="EO88" s="817">
        <f t="array" ref="EO8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88" s="817">
        <f t="array" ref="EP8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88" s="817">
        <f t="array" ref="EQ88">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88" s="818">
        <f>SUM(Ration_canards_Mâles[[#This Row],[Valeur 6 et plus]:[Valeur 0-3]])</f>
        <v>0</v>
      </c>
      <c r="ES88" s="1364"/>
      <c r="ET88" s="1321"/>
      <c r="EU88" s="1082" t="s">
        <v>671</v>
      </c>
      <c r="EV88" s="1282">
        <f t="array" ref="EV88">IF(OR(ChoixRationComplèteEtéChevauxSelle=OUI,ChoixRationComplèteEtéChevauxSelle="",AND(ChoixChevauxSellePréHiver=OUI,ChoixChevauxSellePréEté=OUI)),0,IFERROR(IF(OR(AND(INDEX(Règles_chevaux_selle[Specificite],MATCH(RationEtéChevauxSelle&amp;$EU88,Règles_chevaux_selle[Ration]&amp;Règles_chevaux_selle[Aliment],0))="s1",IF($EU88=Spécificité1ChevauxSelle,1)),
AND(INDEX(Règles_chevaux_selle[Specificite],MATCH(RationEtéChevauxSelle&amp;$EU88,Règles_chevaux_selle[Ration]&amp;Règles_chevaux_selle[Aliment],0))="s2",IF($EU88=Spécificité2ChevauxSelle,1)),
INDEX(Règles_chevaux_selle[Specificite],MATCH(RationEtéChevauxSelle&amp;$EU88,Règles_chevaux_selle[Ration]&amp;Règles_chevaux_selle[Aliment],0))="c"),
INDEX(Règles_chevaux_selle[Valeur 36 et plus],MATCH(RationEtéChevauxSelle&amp;$EU88,Règles_chevaux_selle[Ration]&amp;Règles_chevaux_selle[Aliment],0)),0),0)*TotalEtalonSelle*SUM(NbreJoursNourrirChevauxSelle))</f>
        <v>0</v>
      </c>
      <c r="EW88" s="1282">
        <f t="array" ref="EW88">IF(OR(ChoixRationComplèteEtéChevauxSelle=OUI,ChoixRationComplèteEtéChevauxSelle="",AND(ChoixChevauxSellePréHiver=OUI,ChoixChevauxSellePréEté=OUI)),0,IFERROR(IF(OR(AND(INDEX(Règles_chevaux_selle[Specificite],MATCH(RationEtéChevauxSelle&amp;$EU88,Règles_chevaux_selle[Ration]&amp;Règles_chevaux_selle[Aliment],0))="s1",IF($EU88=Spécificité1ChevauxSelle,1)),
AND(INDEX(Règles_chevaux_selle[Specificite],MATCH(RationEtéChevauxSelle&amp;$EU88,Règles_chevaux_selle[Ration]&amp;Règles_chevaux_selle[Aliment],0))="s2",IF($EU88=Spécificité2ChevauxSelle,1)),
INDEX(Règles_chevaux_selle[Specificite],MATCH(RationEtéChevauxSelle&amp;$EU88,Règles_chevaux_selle[Ration]&amp;Règles_chevaux_selle[Aliment],0))="c"),
INDEX(Règles_chevaux_selle[Valeur 24-36],MATCH(RationEtéChevauxSelle&amp;$EU88,Règles_chevaux_selle[Ration]&amp;Règles_chevaux_selle[Aliment],0)),0),0)*TotalJeuneEtalonSelle_24_36_mois*SUM(NbreJoursNourrirChevauxSelle))</f>
        <v>0</v>
      </c>
      <c r="EX88" s="1282">
        <f t="array" ref="EX88">IF(OR(ChoixRationComplèteEtéChevauxSelle=OUI,ChoixRationComplèteEtéChevauxSelle="",AND(ChoixChevauxSellePréHiver=OUI,ChoixChevauxSellePréEté=OUI)),0,IFERROR(IF(OR(AND(INDEX(Règles_chevaux_selle[Specificite],MATCH(RationEtéChevauxSelle&amp;$EU88,Règles_chevaux_selle[Ration]&amp;Règles_chevaux_selle[Aliment],0))="s1",IF($EU88=Spécificité1ChevauxSelle,1)),
AND(INDEX(Règles_chevaux_selle[Specificite],MATCH(RationEtéChevauxSelle&amp;$EU88,Règles_chevaux_selle[Ration]&amp;Règles_chevaux_selle[Aliment],0))="s2",IF($EU88=Spécificité2ChevauxSelle,1)),
INDEX(Règles_chevaux_selle[Specificite],MATCH(RationEtéChevauxSelle&amp;$EU88,Règles_chevaux_selle[Ration]&amp;Règles_chevaux_selle[Aliment],0))="c"),
INDEX(Règles_chevaux_selle[Valeur 12-24],MATCH(RationEtéChevauxSelle&amp;$EU88,Règles_chevaux_selle[Ration]&amp;Règles_chevaux_selle[Aliment],0)),0),0)*TotalJeuneEtalonSelle_12_24_mois*SUM(NbreJoursNourrirChevauxSelle))</f>
        <v>0</v>
      </c>
      <c r="EY88" s="1285">
        <f t="array" ref="EY88">IF(OR(ChoixRationComplèteEtéChevauxSelle=OUI,ChoixRationComplèteEtéChevauxSelle="",AND(ChoixChevauxSellePréHiver=OUI,ChoixChevauxSellePréEté=OUI)),0,IFERROR(IF(OR(AND(INDEX(Règles_chevaux_selle[Specificite],MATCH(RationEtéChevauxSelle&amp;$EU88,Règles_chevaux_selle[Ration]&amp;Règles_chevaux_selle[Aliment],0))="s1",IF($EU88=Spécificité1ChevauxSelle,1)),
AND(INDEX(Règles_chevaux_selle[Specificite],MATCH(RationEtéChevauxSelle&amp;$EU88,Règles_chevaux_selle[Ration]&amp;Règles_chevaux_selle[Aliment],0))="s2",IF($EU88=Spécificité2ChevauxSelle,1)),
INDEX(Règles_chevaux_selle[Specificite],MATCH(RationEtéChevauxSelle&amp;$EU88,Règles_chevaux_selle[Ration]&amp;Règles_chevaux_selle[Aliment],0))="c"),
INDEX(Règles_chevaux_selle[Valeur 0-12],MATCH(RationEtéChevauxSelle&amp;$EU88,Règles_chevaux_selle[Ration]&amp;Règles_chevaux_selle[Aliment],0)),0),0)*TotalPoulainSelle_0_12_mois*SUM(NbreJoursNourrirChevauxSelle))</f>
        <v>0</v>
      </c>
      <c r="EZ88" s="1285">
        <f t="shared" si="16"/>
        <v>0</v>
      </c>
      <c r="FA88" s="1345"/>
      <c r="FB88" s="1345"/>
      <c r="FC88" s="1321"/>
      <c r="FD88" s="1082"/>
      <c r="FE88" s="1282">
        <f t="array" ref="FE88">IF(OR(ChoixRationComplèteEtéChevauxTrait=OUI,ChoixRationComplèteEtéChevauxTrait="",AND(ChoixChevauxTraitPréHiver=OUI,ChoixChevauxTraitPréEté=OUI)),0,IFERROR(IF(OR(AND(INDEX(Règles_chevaux_trait[Specificite],MATCH(RationEtéChevauxTrait&amp;$FD88,Règles_chevaux_trait[Ration]&amp;Règles_chevaux_trait[Aliment],0))="s1",IF($FD88=Spécificité1ChevauxTrait,1)),
AND(INDEX(Règles_chevaux_trait[Specificite],MATCH(RationEtéChevauxTrait&amp;$FD88,Règles_chevaux_trait[Ration]&amp;Règles_chevaux_trait[Aliment],0))="s2",IF($FD88=Spécificité2ChevauxTrait,1)),
INDEX(Règles_chevaux_trait[Specificite],MATCH(RationEtéChevauxTrait&amp;$FD88,Règles_chevaux_trait[Ration]&amp;Règles_chevaux_trait[Aliment],0))="c"),
INDEX(Règles_chevaux_trait[Valeur 36 et plus],MATCH(RationEtéChevauxTrait&amp;$FD88,Règles_chevaux_trait[Ration]&amp;Règles_chevaux_trait[Aliment],0)),0),0)*TotalEtalonTrait*SUM(NbreJoursNourrirChevauxTrait))</f>
        <v>0</v>
      </c>
      <c r="FF88" s="1282">
        <f t="array" ref="FF88">IF(OR(ChoixRationComplèteEtéChevauxTrait=OUI,ChoixRationComplèteEtéChevauxTrait="",AND(ChoixChevauxTraitPréHiver=OUI,ChoixChevauxTraitPréEté=OUI)),0,IFERROR(IF(OR(AND(INDEX(Règles_chevaux_trait[Specificite],MATCH(RationEtéChevauxTrait&amp;$FD88,Règles_chevaux_trait[Ration]&amp;Règles_chevaux_trait[Aliment],0))="s1",IF($FD88=Spécificité1ChevauxTrait,1)),
AND(INDEX(Règles_chevaux_trait[Specificite],MATCH(RationEtéChevauxTrait&amp;$FD88,Règles_chevaux_trait[Ration]&amp;Règles_chevaux_trait[Aliment],0))="s2",IF($FD88=Spécificité2ChevauxTrait,1)),
INDEX(Règles_chevaux_trait[Specificite],MATCH(RationEtéChevauxTrait&amp;$FD88,Règles_chevaux_trait[Ration]&amp;Règles_chevaux_trait[Aliment],0))="c"),
INDEX(Règles_chevaux_trait[Valeur 24-36],MATCH(RationEtéChevauxTrait&amp;$FD88,Règles_chevaux_trait[Ration]&amp;Règles_chevaux_trait[Aliment],0)),0),0)*TotalJeuneEtalonTrait_24_36_mois*SUM(NbreJoursNourrirChevauxTrait))</f>
        <v>0</v>
      </c>
      <c r="FG88" s="1282">
        <f t="array" ref="FG88">IF(OR(ChoixRationComplèteEtéChevauxTrait=OUI,ChoixRationComplèteEtéChevauxTrait="",AND(ChoixChevauxTraitPréHiver=OUI,ChoixChevauxTraitPréEté=OUI)),0,IFERROR(IF(OR(AND(INDEX(Règles_chevaux_trait[Specificite],MATCH(RationEtéChevauxTrait&amp;$FD88,Règles_chevaux_trait[Ration]&amp;Règles_chevaux_trait[Aliment],0))="s1",IF($FD88=Spécificité1ChevauxTrait,1)),
AND(INDEX(Règles_chevaux_trait[Specificite],MATCH(RationEtéChevauxTrait&amp;$FD88,Règles_chevaux_trait[Ration]&amp;Règles_chevaux_trait[Aliment],0))="s2",IF($FD88=Spécificité2ChevauxTrait,1)),
INDEX(Règles_chevaux_trait[Specificite],MATCH(RationEtéChevauxTrait&amp;$FD88,Règles_chevaux_trait[Ration]&amp;Règles_chevaux_trait[Aliment],0))="c"),
INDEX(Règles_chevaux_trait[Valeur 12-24],MATCH(RationEtéChevauxTrait&amp;$FD88,Règles_chevaux_trait[Ration]&amp;Règles_chevaux_trait[Aliment],0)),0),0)*TotalJeuneEtalonTrait_12_24_mois*SUM(NbreJoursNourrirChevauxTrait))</f>
        <v>0</v>
      </c>
      <c r="FH88" s="1285">
        <f t="array" ref="FH88">IF(OR(ChoixRationComplèteEtéChevauxTrait=OUI,ChoixRationComplèteEtéChevauxTrait="",AND(ChoixChevauxTraitPréHiver=OUI,ChoixChevauxTraitPréEté=OUI)),0,IFERROR(IF(OR(AND(INDEX(Règles_chevaux_trait[Specificite],MATCH(RationEtéChevauxTrait&amp;$FD88,Règles_chevaux_trait[Ration]&amp;Règles_chevaux_trait[Aliment],0))="s1",IF($FD88=Spécificité1ChevauxTrait,1)),
AND(INDEX(Règles_chevaux_trait[Specificite],MATCH(RationEtéChevauxTrait&amp;$FD88,Règles_chevaux_trait[Ration]&amp;Règles_chevaux_trait[Aliment],0))="s2",IF($FD88=Spécificité2ChevauxTrait,1)),
INDEX(Règles_chevaux_trait[Specificite],MATCH(RationEtéChevauxTrait&amp;$FD88,Règles_chevaux_trait[Ration]&amp;Règles_chevaux_trait[Aliment],0))="c"),
INDEX(Règles_chevaux_trait[Valeur 0-12],MATCH(RationEtéChevauxTrait&amp;$FD88,Règles_chevaux_trait[Ration]&amp;Règles_chevaux_trait[Aliment],0)),0),0)*TotalPoulainTrait_0_12_mois*SUM(NbreJoursNourrirChevauxTrait))</f>
        <v>0</v>
      </c>
      <c r="FI88" s="1285">
        <f t="shared" si="15"/>
        <v>0</v>
      </c>
      <c r="FJ88" s="1345"/>
      <c r="FK88" s="1345"/>
      <c r="FL88" s="1345"/>
      <c r="FM88" s="1321"/>
      <c r="FN88" s="1083"/>
      <c r="FO88" s="1283">
        <f t="array" ref="FO88">IF(OR(ChoixRationComplèteEtéPoneys=OUI,ChoixRationComplèteEtéPoneys="",AND(ChoixPoneysPréHiver=OUI,ChoixPoneysPréEté=OUI)),0,IFERROR(IF(OR(AND(INDEX(Règles_poneys[Specificite],MATCH(RationEtéPoneys&amp;$FN88,Règles_poneys[Ration]&amp;Règles_poneys[Aliment],0))="s1",IF($FN88=Spécificité1Poneys,1)),
AND(INDEX(Règles_poneys[Specificite],MATCH(RationEtéPoneys&amp;$FN88,Règles_poneys[Ration]&amp;Règles_poneys[Aliment],0))="s2",IF($FN88=Spécificité2Poneys,1)),
INDEX(Règles_poneys[Specificite],MATCH(RationEtéPoneys&amp;$FN88,Règles_poneys[Ration]&amp;Règles_poneys[Aliment],0))="c"),
INDEX(Règles_poneys[Valeur 36 et plus],MATCH(RationEtéPoneys&amp;$FN88,Règles_poneys[Ration]&amp;Règles_poneys[Aliment],0)),0),0)*TotalEtalonPoney*SUM(NbreJoursNourrirPoneys))</f>
        <v>0</v>
      </c>
      <c r="FP88" s="1283">
        <f t="array" ref="FP88">IF(OR(ChoixRationComplèteEtéPoneys=OUI,ChoixRationComplèteEtéPoneys="",AND(ChoixPoneysPréHiver=OUI,ChoixPoneysPréEté=OUI)),0,IFERROR(IF(OR(AND(INDEX(Règles_poneys[Specificite],MATCH(RationEtéPoneys&amp;$FN88,Règles_poneys[Ration]&amp;Règles_poneys[Aliment],0))="s1",IF($FN88=Spécificité1Poneys,1)),
AND(INDEX(Règles_poneys[Specificite],MATCH(RationEtéPoneys&amp;$FN88,Règles_poneys[Ration]&amp;Règles_poneys[Aliment],0))="s2",IF($FN88=Spécificité2Poneys,1)),
INDEX(Règles_poneys[Specificite],MATCH(RationEtéPoneys&amp;$FN88,Règles_poneys[Ration]&amp;Règles_poneys[Aliment],0))="c"),
INDEX(Règles_poneys[Valeur 36 et plus],MATCH(RationEtéPoneys&amp;$FN88,Règles_poneys[Ration]&amp;Règles_poneys[Aliment],0)),0),0)*TotalJeuneEtalonPoney_24_36_mois*SUM(NbreJoursNourrirPoneys))</f>
        <v>0</v>
      </c>
      <c r="FQ88" s="1283">
        <f t="array" ref="FQ88">IF(OR(ChoixRationComplèteEtéPoneys=OUI,ChoixRationComplèteEtéPoneys="",AND(ChoixPoneysPréHiver=OUI,ChoixPoneysPréEté=OUI)),0,IFERROR(IF(OR(AND(INDEX(Règles_poneys[Specificite],MATCH(RationEtéPoneys&amp;$FN88,Règles_poneys[Ration]&amp;Règles_poneys[Aliment],0))="s1",IF($FN88=Spécificité1Poneys,1)),
AND(INDEX(Règles_poneys[Specificite],MATCH(RationEtéPoneys&amp;$FN88,Règles_poneys[Ration]&amp;Règles_poneys[Aliment],0))="s2",IF($FN88=Spécificité2Poneys,1)),
INDEX(Règles_poneys[Specificite],MATCH(RationEtéPoneys&amp;$FN88,Règles_poneys[Ration]&amp;Règles_poneys[Aliment],0))="c"),
INDEX(Règles_poneys[Valeur 36 et plus],MATCH(RationEtéPoneys&amp;$FN88,Règles_poneys[Ration]&amp;Règles_poneys[Aliment],0)),0),0)*TotalJeuneEtalonPoney_12_24_mois*SUM(NbreJoursNourrirPoneys))</f>
        <v>0</v>
      </c>
      <c r="FR88" s="1286">
        <f t="array" ref="FR88">IF(OR(ChoixRationComplèteEtéPoneys=OUI,ChoixRationComplèteEtéPoneys="",AND(ChoixPoneysPréHiver=OUI,ChoixPoneysPréEté=OUI)),0,IFERROR(IF(OR(AND(INDEX(Règles_poneys[Specificite],MATCH(RationEtéPoneys&amp;$FN88,Règles_poneys[Ration]&amp;Règles_poneys[Aliment],0))="s1",IF($FN88=Spécificité1Poneys,1)),
AND(INDEX(Règles_poneys[Specificite],MATCH(RationEtéPoneys&amp;$FN88,Règles_poneys[Ration]&amp;Règles_poneys[Aliment],0))="s2",IF($FN88=Spécificité2Poneys,1)),
INDEX(Règles_poneys[Specificite],MATCH(RationEtéPoneys&amp;$FN88,Règles_poneys[Ration]&amp;Règles_poneys[Aliment],0))="c"),
INDEX(Règles_poneys[Valeur 36 et plus],MATCH(RationEtéPoneys&amp;$FN88,Règles_poneys[Ration]&amp;Règles_poneys[Aliment],0)),0),0)*TotalPoulainPoney_0_12_mois*SUM(NbreJoursNourrirPoneys))</f>
        <v>0</v>
      </c>
      <c r="FS88" s="1286">
        <f t="shared" si="14"/>
        <v>0</v>
      </c>
      <c r="FT88" s="1345"/>
      <c r="FU88" s="1345"/>
      <c r="FV88" s="1345"/>
      <c r="FW88" s="1336" t="s">
        <v>1309</v>
      </c>
      <c r="FX88" s="1336"/>
      <c r="FY88" s="1336"/>
      <c r="FZ88" s="1336"/>
      <c r="GA88" s="1336"/>
      <c r="GB88" s="1336"/>
      <c r="GC88" s="1321"/>
      <c r="GD88" s="1321"/>
      <c r="GE88" s="1321"/>
      <c r="GF88" s="1321"/>
      <c r="GG88" s="1321" t="s">
        <v>1349</v>
      </c>
      <c r="GH88" s="1321" t="s">
        <v>1349</v>
      </c>
      <c r="GI88" s="1321" t="s">
        <v>1349</v>
      </c>
      <c r="GJ88" s="1321" t="s">
        <v>1349</v>
      </c>
      <c r="GK88" s="1321" t="s">
        <v>1349</v>
      </c>
      <c r="GL88" s="1321" t="s">
        <v>1349</v>
      </c>
      <c r="GM88" s="1321" t="s">
        <v>1349</v>
      </c>
      <c r="GN88" s="1321" t="s">
        <v>1349</v>
      </c>
      <c r="GO88" s="1321" t="s">
        <v>1349</v>
      </c>
      <c r="GP88" s="1321" t="s">
        <v>1349</v>
      </c>
      <c r="GQ88" s="1321" t="s">
        <v>1349</v>
      </c>
      <c r="GR88" s="1321" t="s">
        <v>1349</v>
      </c>
      <c r="GS88" s="1321" t="s">
        <v>1349</v>
      </c>
      <c r="GT88" s="1321" t="s">
        <v>1349</v>
      </c>
      <c r="GU88" s="1321" t="s">
        <v>1349</v>
      </c>
      <c r="GV88" s="1321" t="s">
        <v>1349</v>
      </c>
      <c r="GW88" s="1321"/>
      <c r="GX88" s="1321"/>
      <c r="GY88" s="1083" t="str">
        <f t="shared" si="25"/>
        <v>engrais mirabelliers</v>
      </c>
      <c r="GZ88" s="1083"/>
      <c r="HA88" s="1084"/>
      <c r="HB88" s="1084">
        <f>IF(COUNTIF(TypeArticleDansEntrepôt,GY88)=0,0,SUMIF(TypeArticleDansEntrepôt,GY88,QtéArticleDansEntrepôt)*VLOOKUP(GY88,place_necessaire_entrepots_aire_paille[],2,FALSE))</f>
        <v>0</v>
      </c>
      <c r="HC88" s="1321"/>
      <c r="HD88" s="1321"/>
      <c r="HE88" s="1321"/>
      <c r="HF88" s="1321"/>
      <c r="HG88" s="1321"/>
      <c r="HH88" s="1321"/>
      <c r="HI88" s="1321"/>
      <c r="HJ88" s="1321"/>
      <c r="HK88" s="1321"/>
      <c r="HL88" s="1321"/>
      <c r="HM88" s="1321"/>
      <c r="HN88" s="1084" t="str">
        <f>IF(parcelles!B136="","",(VLOOKUP(parcelles!C136,BDD!$HN$5:$HU$38,2,FALSE))*parcelles!E136)</f>
        <v/>
      </c>
      <c r="HO88" s="1084" t="str">
        <f>IF(parcelles!B136="","",IF(OR(parcelles!C136=Moutarde,parcelles!C136=Phacélie),0,IF(parcelles!C136=Luzerne,10*parcelles!E136*VLOOKUP(parcelles!C136,BDD!$HN$5:$HU$38,3,FALSE),IF(parcelles!C136=Miscanthus,10.5*parcelles!E136*VLOOKUP(parcelles!C136,BDD!$HN$5:$HU$38,3,FALSE),INDEX(parcelles!$C$56:'parcelles'!$Y$77,MATCH(parcelles!B136,parcelles!$B$56:'parcelles'!$B$77,0),MATCH(parcelles!C136,parcelles!$C$53:'parcelles'!$Y$53,0))*parcelles!E136*VLOOKUP(parcelles!C136,BDD!$HN$5:$HU$38,3,FALSE)))))</f>
        <v/>
      </c>
      <c r="HP88" s="1084" t="str">
        <f>IF(parcelles!B136="","",IF(OR(parcelles!C136=Moutarde,parcelles!C136=Phacélie),0,IF(parcelles!C136=Luzerne,10*parcelles!E136*VLOOKUP(parcelles!C136,BDD!$HN$5:$HU$38,4,FALSE),IF(parcelles!C136=Miscanthus,10.5*parcelles!E136*VLOOKUP(parcelles!C136,BDD!$HN$5:$HU$38,4,FALSE),INDEX(parcelles!$C$56:'parcelles'!$Y$77,MATCH(parcelles!B136,parcelles!$B$56:'parcelles'!$B$77,0),MATCH(parcelles!C136,parcelles!$C$53:'parcelles'!$Y$53,0))*parcelles!E136*VLOOKUP(parcelles!C136,BDD!$HN$5:$HU$38,4,FALSE)))))</f>
        <v/>
      </c>
      <c r="HQ88" s="1084" t="str">
        <f>IF(parcelles!B136="","",IF(OR(parcelles!C136=Moutarde,parcelles!C136=Phacélie),0,IF(parcelles!C136=Luzerne,10*parcelles!E136*VLOOKUP(parcelles!C136,BDD!$HN$5:$HU$38,5,FALSE),IF(parcelles!C136=Miscanthus,10.5*parcelles!E136*VLOOKUP(parcelles!C136,BDD!$HN$5:$HU$38,5,FALSE),INDEX(parcelles!$C$56:'parcelles'!$Y$77,MATCH(parcelles!B136,parcelles!$B$56:'parcelles'!$B$77,0),MATCH(parcelles!C136,parcelles!$C$53:'parcelles'!$Y$53,0))*parcelles!E136*VLOOKUP(parcelles!C136,BDD!$HN$5:$HU$38,5,FALSE)))))</f>
        <v/>
      </c>
      <c r="HR88" s="1084" t="str">
        <f>IF(parcelles!B136="","",IF(OR(parcelles!C136=Moutarde,parcelles!C136=Phacélie),0,IF(parcelles!C136=Luzerne,10*parcelles!E136*VLOOKUP(parcelles!C136,BDD!$HN$5:$HU$38,6,FALSE),IF(parcelles!C136=Miscanthus,10.5*parcelles!E136*VLOOKUP(parcelles!C136,BDD!$HN$5:$HU$38,6,FALSE),INDEX(parcelles!$C$56:'parcelles'!$Y$77,MATCH(parcelles!B136,parcelles!$B$56:'parcelles'!$B$77,0),MATCH(parcelles!C136,parcelles!$C$53:'parcelles'!$Y$53,0))*parcelles!E136*VLOOKUP(parcelles!C136,BDD!$HN$5:$HU$38,6,FALSE)))))</f>
        <v/>
      </c>
      <c r="HS88" s="1084" t="str">
        <f>IF(parcelles!B136="","",IF(OR(parcelles!C136=Moutarde,parcelles!C136=Phacélie),0,IF(parcelles!C136=Luzerne,10*parcelles!E136*VLOOKUP(parcelles!C136,BDD!$HN$5:$HU$38,7,FALSE),IF(parcelles!C136=Miscanthus,10.5*parcelles!E136*VLOOKUP(parcelles!C136,BDD!$HN$5:$HU$38,7,FALSE),INDEX(parcelles!$C$56:'parcelles'!$Y$77,MATCH(parcelles!B136,parcelles!$B$56:'parcelles'!$B$77,0),MATCH(parcelles!C136,parcelles!$C$53:'parcelles'!$Y$53,0))*parcelles!E136*VLOOKUP(parcelles!C136,BDD!$HN$5:$HU$38,7,FALSE)))))</f>
        <v/>
      </c>
      <c r="HT88" s="1084" t="str">
        <f>IF(parcelles!B136="","",IF(OR(parcelles!C136=Moutarde,parcelles!C136=Phacélie),0,IF(parcelles!C136=Luzerne,10*parcelles!E136*VLOOKUP(parcelles!C136,BDD!$HN$5:$HU$38,8,FALSE),IF(parcelles!C136=Miscanthus,10.5*parcelles!E136*VLOOKUP(parcelles!C136,BDD!$HN$5:$HU$38,8,FALSE),INDEX(parcelles!$C$56:'parcelles'!$Y$77,MATCH(parcelles!B136,parcelles!$B$56:'parcelles'!$B$77,0),MATCH(parcelles!C136,parcelles!$C$53:'parcelles'!$Y$53,0))*parcelles!E136*VLOOKUP(parcelles!C136,BDD!$HN$5:$HU$38,8,FALSE)))))</f>
        <v/>
      </c>
      <c r="HU88" s="1084" t="str">
        <f>IF(parcelles!B136="","",IF(OR(parcelles!C136=Moutarde,parcelles!C136=Phacélie),0,1.6*parcelles!E136))</f>
        <v/>
      </c>
      <c r="HV88" s="1084" t="str">
        <f>IF(parcelles!B136="","",IF(OR(parcelles!C136=Moutarde,parcelles!C136=Phacélie),0,1.6*parcelles!E136))</f>
        <v/>
      </c>
      <c r="HW88" s="1084" t="str">
        <f>IF(parcelles!B136="","",IF(OR(parcelles!C136=Moutarde,parcelles!C136=Phacélie),0,1.6*parcelles!E136))</f>
        <v/>
      </c>
      <c r="HX88" s="1095" t="str">
        <f>IF(parcelles!D136="","",IF(parcelles!C136=ChanvreIndustriel,INDEX(parcelles!$C$56:$Y$77,MATCH(parcelles!B136,parcelles!$B$56:$B$77,0),MATCH(parcelles!C136,parcelles!$C$53:$Y$53,0))*parcelles!E136*SUMIF(ListeCulturesBDD,parcelles!C136,PrixVenteCulturesConventionnel)+RIGHT(BDD!$HM$7,3)*7*parcelles!E136,IF(parcelles!C136=Luzerne,parcelles!E136*10*VLOOKUP(parcelles!C136,TarifsCoopCultures,2,FALSE),IF(parcelles!C136=Miscanthus,parcelles!E136*10.5*VLOOKUP(Luzerne,TarifsCoopCultures,2,FALSE),INDEX(parcelles!$C$56:$Y$77,MATCH(parcelles!B136,parcelles!$B$56:$B$77,0),MATCH(parcelles!C136,parcelles!$C$53:$Y$53,0))*parcelles!E136*SUMIF(ListeCulturesBDD,parcelles!C136,PrixVenteCulturesConventionnel)))))</f>
        <v/>
      </c>
      <c r="HY88" s="1084" t="str">
        <f>IF(parcelles!D136="","",IF(parcelles!F136=0,"",IF(parcelles!C136=ChanvreIndustriel,"soit "&amp;parcelles!E136*0.8&amp;"t de grain et "&amp;parcelles!E136*7&amp;"t de paille",IF(parcelles!C136=Luzerne,"soit "&amp;10*parcelles!E136&amp;"t/an",IF(parcelles!C136=Miscanthus,"soit "&amp;10.5*parcelles!E136&amp;"t/an","soit "&amp;INDEX(parcelles!$C$56:$Y$77,MATCH(parcelles!B136,parcelles!$B$56:$B$77,0),MATCH(parcelles!C136,parcelles!$C$53:$Y$53,0))*parcelles!E136&amp;"t")))))</f>
        <v/>
      </c>
      <c r="HZ88" s="1084" t="str">
        <f>IF(parcelles!D136="","",IF(parcelles!F136=0,"",IF(parcelles!C136=ChanvreIndustriel,"soit "&amp;parcelles!E136*0.8*0.8&amp;"t de grain et "&amp;parcelles!E136*7*0.8&amp;"t de paille",IF(parcelles!C136=Luzerne,"soit "&amp;10*0.8*parcelles!E136&amp;"t/an",IF(parcelles!C136=Miscanthus,"soit "&amp;10.5*0.8*parcelles!E136&amp;"t/an","soit "&amp;INDEX(parcelles!$C$56:$Y$77,MATCH(parcelles!B136,parcelles!$B$56:$B$77,0),MATCH(parcelles!C136,parcelles!$C$53:$Y$53,0))*0.8*parcelles!E136&amp;"t")))))</f>
        <v/>
      </c>
      <c r="IA88" s="1084" t="str">
        <f>IF(parcelles!L136="","",(VLOOKUP(parcelles!M136,BDD!$HN$5:$HU$38,2,FALSE))*parcelles!O136)</f>
        <v/>
      </c>
      <c r="IB88" s="1084" t="str">
        <f>IF(parcelles!L136="","",IF(OR(parcelles!M136=Moutarde,parcelles!M136=Phacélie),0,IF(parcelles!M136=Luzerne,10*parcelles!O136*VLOOKUP(parcelles!M136,BDD!$HN$5:$HU$38,3,FALSE),IF(parcelles!M136=Miscanthus,10.5*parcelles!O136*VLOOKUP(parcelles!M136,BDD!$HN$5:$HU$38,3,FALSE),INDEX(parcelles!$C$56:'parcelles'!$Y$77,MATCH(parcelles!L136,parcelles!$B$56:'parcelles'!$B$77,0),MATCH(parcelles!M136,parcelles!$C$53:'parcelles'!$Y$53,0))*parcelles!O136*VLOOKUP(parcelles!M136,BDD!$HN$5:$HU$38,3,FALSE)))))</f>
        <v/>
      </c>
      <c r="IC88" s="1084" t="str">
        <f>IF(parcelles!L136="","",IF(OR(parcelles!M136=Moutarde,parcelles!M136=Phacélie),0,IF(parcelles!M136=Luzerne,10*parcelles!O136*VLOOKUP(parcelles!M136,BDD!$HN$5:$HU$38,4,FALSE),IF(parcelles!M136=Miscanthus,10.5*parcelles!O136*VLOOKUP(parcelles!M136,BDD!$HN$5:$HU$38,4,FALSE),INDEX(parcelles!$C$56:'parcelles'!$Y$77,MATCH(parcelles!L136,parcelles!$B$56:'parcelles'!$B$77,0),MATCH(parcelles!M136,parcelles!$C$53:'parcelles'!$Y$53,0))*parcelles!O136*VLOOKUP(parcelles!M136,BDD!$HN$5:$HU$38,4,FALSE)))))</f>
        <v/>
      </c>
      <c r="ID88" s="1084" t="str">
        <f>IF(parcelles!L136="","",IF(OR(parcelles!M136=Moutarde,parcelles!M136=Phacélie),0,IF(parcelles!M136=Luzerne,10*parcelles!O136*VLOOKUP(parcelles!M136,BDD!$HN$5:$HU$38,5,FALSE),IF(parcelles!M136=Miscanthus,10.5*parcelles!O136*VLOOKUP(parcelles!M136,BDD!$HN$5:$HU$38,5,FALSE),INDEX(parcelles!$C$56:'parcelles'!$Y$77,MATCH(parcelles!L136,parcelles!$B$56:'parcelles'!$B$77,0),MATCH(parcelles!M136,parcelles!$C$53:'parcelles'!$Y$53,0))*parcelles!O136*VLOOKUP(parcelles!M136,BDD!$HN$5:$HU$38,5,FALSE)))))</f>
        <v/>
      </c>
      <c r="IE88" s="1084" t="str">
        <f>IF(parcelles!L136="","",IF(OR(parcelles!M136=Moutarde,parcelles!M136=Phacélie),0,IF(parcelles!M136=Luzerne,10*parcelles!O136*VLOOKUP(parcelles!M136,BDD!$HN$5:$HU$38,6,FALSE),IF(parcelles!M136=Miscanthus,10.5*parcelles!O136*VLOOKUP(parcelles!M136,BDD!$HN$5:$HU$38,6,FALSE),INDEX(parcelles!$C$56:'parcelles'!$Y$77,MATCH(parcelles!L136,parcelles!$B$56:'parcelles'!$B$77,0),MATCH(parcelles!M136,parcelles!$C$53:'parcelles'!$Y$53,0))*parcelles!O136*VLOOKUP(parcelles!M136,BDD!$HN$5:$HU$38,6,FALSE)))))</f>
        <v/>
      </c>
      <c r="IF88" s="1084" t="str">
        <f>IF(parcelles!L136="","",IF(OR(parcelles!M136=Moutarde,parcelles!M136=Phacélie),0,IF(parcelles!M136=Luzerne,10*parcelles!O136*VLOOKUP(parcelles!M136,BDD!$HN$5:$HU$38,7,FALSE),IF(parcelles!M136=Miscanthus,10.5*parcelles!O136*VLOOKUP(parcelles!M136,BDD!$HN$5:$HU$38,7,FALSE),INDEX(parcelles!$C$56:'parcelles'!$Y$77,MATCH(parcelles!L136,parcelles!$B$56:'parcelles'!$B$77,0),MATCH(parcelles!M136,parcelles!$C$53:'parcelles'!$Y$53,0))*parcelles!O136*VLOOKUP(parcelles!M136,BDD!$HN$5:$HU$38,7,FALSE)))))</f>
        <v/>
      </c>
      <c r="IG88" s="1084" t="str">
        <f>IF(parcelles!L136="","",IF(OR(parcelles!M136=Moutarde,parcelles!M136=Phacélie),0,IF(parcelles!M136=Luzerne,10*parcelles!O136*VLOOKUP(parcelles!M136,BDD!$HN$5:$HU$38,8,FALSE),IF(parcelles!M136=Miscanthus,10.5*parcelles!O136*VLOOKUP(parcelles!M136,BDD!$HN$5:$HU$38,8,FALSE),INDEX(parcelles!$C$56:'parcelles'!$Y$77,MATCH(parcelles!L136,parcelles!$B$56:'parcelles'!$B$77,0),MATCH(parcelles!M136,parcelles!$C$53:'parcelles'!$Y$53,0))*parcelles!O136*VLOOKUP(parcelles!M136,BDD!$HN$5:$HU$38,8,FALSE)))))</f>
        <v/>
      </c>
      <c r="IH88" s="1084" t="str">
        <f>IF(parcelles!L136="","",IF(OR(parcelles!L136=Moutarde,parcelles!L136=Phacélie),0,1.6*parcelles!O136))</f>
        <v/>
      </c>
      <c r="II88" s="1084" t="str">
        <f>IF(parcelles!L136="","",IF(OR(parcelles!L136=Moutarde,parcelles!L136=Phacélie),0,1.6*parcelles!O136))</f>
        <v/>
      </c>
      <c r="IJ88" s="1084" t="str">
        <f>IF(parcelles!L136="","",IF(OR(parcelles!L136=Moutarde,parcelles!L136=Phacélie),0,1.6*parcelles!O136))</f>
        <v/>
      </c>
      <c r="IK88" s="1084" t="str">
        <f>IF(parcelles!P136="","",IF(parcelles!R136=0,"",IF(parcelles!O136=ChanvreIndustriel,"soit "&amp;parcelles!Q136*0.8&amp;"t de grain et "&amp;parcelles!Q136*7&amp;"t de paille",IF(parcelles!O136=Luzerne,"soit "&amp;10*parcelles!Q136&amp;"t/an",IF(parcelles!O136=Miscanthus,"soit "&amp;10.5*parcelles!Q136&amp;"t/an","soit "&amp;INDEX(parcelles!$C$56:$Y$77,MATCH(parcelles!N136,parcelles!$B$56:$B$77,0),MATCH(parcelles!O136,parcelles!$C$53:$Y$53,0))*parcelles!Q136&amp;"t")))))</f>
        <v/>
      </c>
      <c r="IL88" s="1084" t="str">
        <f>IF(parcelles!P136="","",IF(parcelles!R136=0,"",IF(parcelles!O136=ChanvreIndustriel,"soit "&amp;parcelles!Q136*0.8*0.8&amp;"t de grain et "&amp;parcelles!Q136*7*0.8&amp;"t de paille",IF(parcelles!O136=Luzerne,"soit "&amp;10*0.8*parcelles!Q136&amp;"t/an",IF(parcelles!O136=Miscanthus,"soit "&amp;10.5*0.8*parcelles!Q136&amp;"t/an","soit "&amp;INDEX(parcelles!$C$56:$Y$77,MATCH(parcelles!N136,parcelles!$B$56:$B$77,0),MATCH(parcelles!O136,parcelles!$C$53:$Y$53,0))*0.8*parcelles!Q136&amp;"t")))))</f>
        <v/>
      </c>
      <c r="IM88" s="1084" t="str">
        <f>IF(parcelles!S136="","",IF(parcelles!U136=0,"",IF(parcelles!R136=ChanvreIndustriel,parcelles!T136*0.8*0.8+parcelles!T136*7*0.8,IF(parcelles!R136=Luzerne,10*0.8*parcelles!T136,IF(parcelles!R136=Miscanthus,10.5*0.8*parcelles!T136,INDEX(parcelles!$C$56:$Y$77,MATCH(parcelles!Q136,parcelles!$B$56:$B$77,0),MATCH(parcelles!R136,parcelles!$C$53:$Y$53,0))*0.8*parcelles!T136)))))</f>
        <v/>
      </c>
      <c r="IN88" s="1368"/>
    </row>
    <row r="89" spans="1:248" ht="12.75" customHeight="1" x14ac:dyDescent="0.2">
      <c r="A89" s="1307" t="s">
        <v>376</v>
      </c>
      <c r="B89" s="1241">
        <f t="shared" si="17"/>
        <v>1E-3</v>
      </c>
      <c r="C89" s="1321"/>
      <c r="D89" s="1321"/>
      <c r="E89" s="1321"/>
      <c r="F89" s="1143" t="s">
        <v>285</v>
      </c>
      <c r="G89" s="1143" t="s">
        <v>1173</v>
      </c>
      <c r="H89" s="1143" t="s">
        <v>1202</v>
      </c>
      <c r="I89" s="1244" t="s">
        <v>1167</v>
      </c>
      <c r="J89" s="1244" t="s">
        <v>1212</v>
      </c>
      <c r="K89" s="1244" t="s">
        <v>1210</v>
      </c>
      <c r="L89" s="1244" t="s">
        <v>1197</v>
      </c>
      <c r="M89" s="1321"/>
      <c r="N89" s="1321"/>
      <c r="O89" s="1336" t="s">
        <v>1464</v>
      </c>
      <c r="P89" s="1321"/>
      <c r="Q89" s="1321"/>
      <c r="R89" s="1321"/>
      <c r="S89" s="1321"/>
      <c r="T89" s="1321"/>
      <c r="U89" s="1321"/>
      <c r="V89" s="1321"/>
      <c r="W89" s="1321"/>
      <c r="X89" s="1321"/>
      <c r="Y89" s="1080" t="s">
        <v>1680</v>
      </c>
      <c r="Z89" s="1080">
        <f>IF('coût alimentation'!$B$6=$Y$89,14,0)</f>
        <v>0</v>
      </c>
      <c r="AA89" s="1080">
        <f>IF('coût alimentation'!$B$6=$Y$89,14,0)</f>
        <v>0</v>
      </c>
      <c r="AB89" s="1080">
        <f>IF('coût alimentation'!$B$6=$Y$89,14,0)</f>
        <v>0</v>
      </c>
      <c r="AC89" s="1080">
        <f>IF('coût alimentation'!$B$6=$Y$89,14,0)</f>
        <v>0</v>
      </c>
      <c r="AD89" s="1080">
        <f>IF('coût alimentation'!$B$6=$Y$89,14,0)</f>
        <v>0</v>
      </c>
      <c r="AE89" s="1080">
        <f>IF('coût alimentation'!$B$6=$Y$89,14,0)</f>
        <v>0</v>
      </c>
      <c r="AF89" s="1080">
        <f>IF('coût alimentation'!$B$6=$Y$89,14,0)</f>
        <v>0</v>
      </c>
      <c r="AG89" s="1080">
        <f>IF('coût alimentation'!$B$6=$Y$89,14,0)</f>
        <v>0</v>
      </c>
      <c r="AH89" s="1321"/>
      <c r="AI89" s="1321"/>
      <c r="AJ89" s="1321"/>
      <c r="AK89" s="1321"/>
      <c r="AL89" s="1321"/>
      <c r="AM89" s="1321"/>
      <c r="AN89" s="1321"/>
      <c r="AO89" s="1321"/>
      <c r="AP89" s="1321"/>
      <c r="AQ89" s="1321"/>
      <c r="AR89" s="1321"/>
      <c r="AS89" s="1321"/>
      <c r="AT89" s="1321"/>
      <c r="AU89" s="1321"/>
      <c r="AV89" s="1321"/>
      <c r="AW89" s="1321"/>
      <c r="AX89" s="1321"/>
      <c r="AY89" s="1321"/>
      <c r="AZ89" s="1321"/>
      <c r="BA89" s="1321"/>
      <c r="BB89" s="1236" t="s">
        <v>727</v>
      </c>
      <c r="BC89" s="1190" t="s">
        <v>1273</v>
      </c>
      <c r="BD89" s="1190" t="s">
        <v>1254</v>
      </c>
      <c r="BE89" s="1237">
        <v>4.8</v>
      </c>
      <c r="BF89" s="1237">
        <v>4</v>
      </c>
      <c r="BG89" s="1237">
        <v>4</v>
      </c>
      <c r="BH89" s="1237">
        <v>4</v>
      </c>
      <c r="BI89" s="1237">
        <v>2</v>
      </c>
      <c r="BJ89" s="1237">
        <v>1.2</v>
      </c>
      <c r="BK89" s="1238">
        <v>0</v>
      </c>
      <c r="BL89" s="1348"/>
      <c r="BM89" s="1076" t="str">
        <f t="shared" si="23"/>
        <v>Lentille</v>
      </c>
      <c r="BN89" s="1076">
        <f t="array" ref="BN89">IF(Ration_hivernale_complète_bisons[somme]&gt;0,0,IFERROR(IF(OR(AND(INDEX(Règles_bison[Specificite],MATCH(ChoixRationBisons&amp;$BM89,Règles_bison[Ration]&amp;Règles_bison[Aliment],0))="s1",IF($BM89=ChoixSpécificité1Bisons,1)),
AND(INDEX(Règles_bison[Specificite],MATCH(ChoixRationBisons&amp;$BM89,Règles_bison[Ration]&amp;Règles_bison[Aliment],0))="s2",IF($BM89=ChoixSpécificité2Bisons,1)),INDEX(Règles_bison[Specificite],MATCH(ChoixRationBisons&amp;$BM89,Règles_bison[Ration]&amp;Règles_bison[Aliment],0))="c"),
INDEX(Règles_bison[Valeur 36 et plus],MATCH(ChoixRationBisons&amp;$BM89,Règles_bison[Ration]&amp;Règles_bison[Aliment],0)),0),0)*TotalBisonnes*SUM(NbreJoursNourrirBisonsDaims))</f>
        <v>0</v>
      </c>
      <c r="BO89" s="1076">
        <f t="array" ref="BO89">IF(Ration_hivernale_complète_bisons[somme]&gt;0,0,IFERROR(IF(OR(AND(INDEX(Règles_bison[Specificite],MATCH(ChoixRationBisons&amp;$BM89,Règles_bison[Ration]&amp;Règles_bison[Aliment],0))="s1",IF($BM89=ChoixSpécificité1Bisons,1)),
AND(INDEX(Règles_bison[Specificite],MATCH(ChoixRationBisons&amp;$BM89,Règles_bison[Ration]&amp;Règles_bison[Aliment],0))="s2",IF($BM89=ChoixSpécificité2Bisons,1)),INDEX(Règles_bison[Specificite],MATCH(ChoixRationBisons&amp;$BM89,Règles_bison[Ration]&amp;Règles_bison[Aliment],0))="c"),
INDEX(Règles_bison[Valeur 24-36],MATCH(ChoixRationBisons&amp;$BM89,Règles_bison[Ration]&amp;Règles_bison[Aliment],0)),0),0)*TotalBisonsFemelles_24_36_mois*SUM(NbreJoursNourrirBisonsDaims))</f>
        <v>0</v>
      </c>
      <c r="BP89" s="1076">
        <f t="array" ref="BP89">IF(Ration_hivernale_complète_bisons[somme]&gt;0,0,IFERROR(IF(OR(AND(INDEX(Règles_bison[Specificite],MATCH(ChoixRationBisons&amp;$BM89,Règles_bison[Ration]&amp;Règles_bison[Aliment],0))="s1",IF($BM89=ChoixSpécificité1Bisons,1)),
AND(INDEX(Règles_bison[Specificite],MATCH(ChoixRationBisons&amp;$BM89,Règles_bison[Ration]&amp;Règles_bison[Aliment],0))="s2",IF($BM89=ChoixSpécificité2Bisons,1)),INDEX(Règles_bison[Specificite],MATCH(ChoixRationBisons&amp;$BM89,Règles_bison[Ration]&amp;Règles_bison[Aliment],0))="c"),
INDEX(Règles_bison[Valeur 18-24],MATCH(ChoixRationBisons&amp;$BM89,Règles_bison[Ration]&amp;Règles_bison[Aliment],0)),0),0)*TotalBisonsFemelles_18_24_mois*SUM(NbreJoursNourrirBisonsDaims))</f>
        <v>0</v>
      </c>
      <c r="BQ89" s="1076">
        <f t="array" ref="BQ89">IF(Ration_hivernale_complète_bisons[somme]&gt;0,0,IFERROR(IF(OR(AND(INDEX(Règles_bison[Specificite],MATCH(ChoixRationBisons&amp;$BM89,Règles_bison[Ration]&amp;Règles_bison[Aliment],0))="s1",IF($BM89=ChoixSpécificité1Bisons,1)),
AND(INDEX(Règles_bison[Specificite],MATCH(ChoixRationBisons&amp;$BM89,Règles_bison[Ration]&amp;Règles_bison[Aliment],0))="s2",IF($BM89=ChoixSpécificité2Bisons,1)),INDEX(Règles_bison[Specificite],MATCH(ChoixRationBisons&amp;$BM89,Règles_bison[Ration]&amp;Règles_bison[Aliment],0))="c"),
INDEX(Règles_bison[Valeur 12-18],MATCH(ChoixRationBisons&amp;$BM89,Règles_bison[Ration]&amp;Règles_bison[Aliment],0)),0),0)*TotalBisonsFemelles_12_18_mois*SUM(NbreJoursNourrirBisonsDaims))</f>
        <v>0</v>
      </c>
      <c r="BR89" s="1076">
        <f t="array" ref="BR89">IF(Ration_hivernale_complète_bisons[somme]&gt;0,0,IFERROR(IF(OR(AND(INDEX(Règles_bison[Specificite],MATCH(ChoixRationBisons&amp;$BM89,Règles_bison[Ration]&amp;Règles_bison[Aliment],0))="s1",IF($BM89=ChoixSpécificité1Bisons,1)),
AND(INDEX(Règles_bison[Specificite],MATCH(ChoixRationBisons&amp;$BM89,Règles_bison[Ration]&amp;Règles_bison[Aliment],0))="s2",IF($BM89=ChoixSpécificité2Bisons,1)),INDEX(Règles_bison[Specificite],MATCH(ChoixRationBisons&amp;$BM89,Règles_bison[Ration]&amp;Règles_bison[Aliment],0))="c"),
INDEX(Règles_bison[Valeur 6-12],MATCH(ChoixRationBisons&amp;$BM89,Règles_bison[Ration]&amp;Règles_bison[Aliment],0)),0),0)*TotalBisonsFemelles_6_12_mois*SUM(NbreJoursNourrirBisonsDaims))</f>
        <v>0</v>
      </c>
      <c r="BS89" s="1076">
        <f t="array" ref="BS89">IF(Ration_hivernale_complète_bisons[somme]&gt;0,0,IFERROR(IF(OR(AND(INDEX(Règles_bison[Specificite],MATCH(ChoixRationBisons&amp;$BM89,Règles_bison[Ration]&amp;Règles_bison[Aliment],0))="s1",IF($BM89=ChoixSpécificité1Bisons,1)),
AND(INDEX(Règles_bison[Specificite],MATCH(ChoixRationBisons&amp;$BM89,Règles_bison[Ration]&amp;Règles_bison[Aliment],0))="s2",IF($BM89=ChoixSpécificité2Bisons,1)),INDEX(Règles_bison[Specificite],MATCH(ChoixRationBisons&amp;$BM89,Règles_bison[Ration]&amp;Règles_bison[Aliment],0))="c"),
INDEX(Règles_bison[Valeur 3-6],MATCH(ChoixRationBisons&amp;$BM89,Règles_bison[Ration]&amp;Règles_bison[Aliment],0)),0),0)*TotalBisonsFemelles_3_6_mois*SUM(NbreJoursNourrirBisonsDaims))</f>
        <v>0</v>
      </c>
      <c r="BT89" s="1076">
        <f t="array" ref="BT89">IF(Ration_hivernale_complète_bisons[somme]&gt;0,0,IFERROR(IF(OR(AND(INDEX(Règles_bison[Specificite],MATCH(ChoixRationBisons&amp;$BM89,Règles_bison[Ration]&amp;Règles_bison[Aliment],0))="s1",IF($BM89=ChoixSpécificité1Bisons,1)),
AND(INDEX(Règles_bison[Specificite],MATCH(ChoixRationBisons&amp;$BM89,Règles_bison[Ration]&amp;Règles_bison[Aliment],0))="s2",IF($BM89=ChoixSpécificité2Bisons,1)),INDEX(Règles_bison[Specificite],MATCH(ChoixRationBisons&amp;$BM89,Règles_bison[Ration]&amp;Règles_bison[Aliment],0))="c"),
INDEX(Règles_bison[Valeur 0-3],MATCH(ChoixRationBisons&amp;$BM89,Règles_bison[Ration]&amp;Règles_bison[Aliment],0)),0),0)*TotalBisonsFemelles_0_3_mois*SUM(NbreJoursNourrirBisonsDaims))</f>
        <v>0</v>
      </c>
      <c r="BU89" s="1076">
        <f t="shared" si="22"/>
        <v>0</v>
      </c>
      <c r="BV89" s="1346"/>
      <c r="BW89" s="1346"/>
      <c r="BX89" s="1176" t="s">
        <v>765</v>
      </c>
      <c r="BY89" s="1177" t="s">
        <v>723</v>
      </c>
      <c r="BZ89" s="1177" t="s">
        <v>1277</v>
      </c>
      <c r="CA89" s="1177">
        <v>0</v>
      </c>
      <c r="CB89" s="1177">
        <v>0</v>
      </c>
      <c r="CC89" s="1177">
        <v>0</v>
      </c>
      <c r="CD89" s="1199">
        <v>0</v>
      </c>
      <c r="CE89" s="1350"/>
      <c r="CF89" s="1350"/>
      <c r="CG89" s="1350"/>
      <c r="CH89" s="1350"/>
      <c r="CI89" s="1321"/>
      <c r="CJ89" s="808" t="str">
        <f t="shared" ref="CJ89:CJ122" si="26">CJ51</f>
        <v>Betterave</v>
      </c>
      <c r="CK89" s="788">
        <f t="array" ref="CK8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89" s="788">
        <f t="array" ref="CL8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89" s="788">
        <f t="array" ref="CM8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89" s="788">
        <f t="array" ref="CN8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89" s="788">
        <f t="array" ref="CO8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89" s="812">
        <f>SUM(AlimentsRationPorcinsFemelles[[#This Row],[Valeur 12 et plus]:[Valeur 0-1]])</f>
        <v>0</v>
      </c>
      <c r="CQ89" s="1321"/>
      <c r="CR89" s="1321"/>
      <c r="CS89" s="808" t="s">
        <v>76</v>
      </c>
      <c r="CT89" s="817">
        <f t="array" ref="CT8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89" s="817">
        <f t="array" ref="CU8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89" s="817">
        <f t="array" ref="CV89">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89" s="818">
        <f>SUM(AlimentsRationLapinsMâles[[#This Row],[Valeur 3 et plus]:[Valeur 0-1]])</f>
        <v>0</v>
      </c>
      <c r="CX89" s="1321"/>
      <c r="CY89" s="1321"/>
      <c r="CZ89" s="808" t="s">
        <v>76</v>
      </c>
      <c r="DA89" s="817">
        <f t="array" ref="DA8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89" s="817">
        <f t="array" ref="DB8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89" s="817">
        <f t="array" ref="DC89">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89" s="818">
        <f>SUM(AlimentsRationVolaillesMâles[[#This Row],[Valeur 6 et plus]:[Valeur 0-1]])</f>
        <v>0</v>
      </c>
      <c r="DE89" s="1364"/>
      <c r="DF89" s="1321"/>
      <c r="DG89" s="787" t="s">
        <v>1276</v>
      </c>
      <c r="DH89" s="787" t="s">
        <v>1295</v>
      </c>
      <c r="DI89" s="787" t="s">
        <v>1296</v>
      </c>
      <c r="DJ89" s="787" t="s">
        <v>1284</v>
      </c>
      <c r="DK89" s="787" t="s">
        <v>1269</v>
      </c>
      <c r="DL89" s="1321"/>
      <c r="DM89" s="1321"/>
      <c r="DN89" s="1176" t="s">
        <v>727</v>
      </c>
      <c r="DO89" s="1177" t="s">
        <v>672</v>
      </c>
      <c r="DP89" s="1177" t="s">
        <v>1253</v>
      </c>
      <c r="DQ89" s="1181">
        <v>1.6</v>
      </c>
      <c r="DR89" s="1181">
        <v>1.4</v>
      </c>
      <c r="DS89" s="1181">
        <v>1.2</v>
      </c>
      <c r="DT89" s="1243">
        <v>1</v>
      </c>
      <c r="DU89" s="1345"/>
      <c r="DV89" s="1075" t="str">
        <f t="shared" si="24"/>
        <v>Eau</v>
      </c>
      <c r="DW89" s="1269">
        <f t="array" ref="DW89">SUM((IF(QualitéAlimentsFaonMâle_0_3_mois=BONNE,VLOOKUP("Eau",AlimentsRationHivernaleDaims,8,FALSE),0)+(IF(QualitéAlimentsFaonFemelle_0_3_mois=BONNE,VLOOKUP("Eau",AlimentsRationHivernaleDaims,8,FALSE),0)+(IF(QualitéAlimentsFaonMâle_3_6_mois=BONNE,VLOOKUP("Eau",AlimentsRationHivernaleDaims,7,FALSE),0)+(IF(QualitéAlimentsFaonFemelle_3_6_mois=BONNE,VLOOKUP("Eau",AlimentsRationHivernaleDaims,7,FALSE),0)+(IF(QualitéAlimentsFaonMâle_6_12_mois=BONNE,VLOOKUP("Eau",AlimentsRationHivernaleDaims,6,FALSE),0)+(IF(QualitéAlimentsFaonFemelle_6_12_mois=BONNE,VLOOKUP("Eau",AlimentsRationHivernaleDaims,6,FALSE),0)+(IF(QualitéAlimentsJeuneDaim_12_18_mois=BONNE,VLOOKUP("Eau",AlimentsRationHivernaleDaims,5,FALSE),0)+(IF(QualitéAlimentsJeuneDaine_12_18_mois=BONNE,VLOOKUP("Eau",AlimentsRationHivernaleDaims,5,FALSE),0)+(IF(QualitéAlimentsJeuneDaim_18_24_mois=BONNE,VLOOKUP("Eau",AlimentsRationHivernaleDaims,4,FALSE),0)+(IF(QualitéAlimentsJeuneDaine_18_24_mois=BONNE,VLOOKUP("Eau",AlimentsRationHivernaleDaims,4,FALSE),0)+(IF(QualitéAlimentsJeuneDaim_24_36_mois=BONNE,VLOOKUP("Eau",AlimentsRationHivernaleDaims,3,FALSE),0)+(IF(QualitéAlimentsJeuneDaine_24_36_mois=BONNE,VLOOKUP("Eau",AlimentsRationHivernaleDaims,3,FALSE),0)+(IF(QualitéAlimentsDaim=BONNE,VLOOKUP("Eau",AlimentsRationHivernaleDaims,2,FALSE),0)+(IF(QualitéAlimentsDaine=BONNE,VLOOKUP("Eau",AlimentsRationHivernaleDaims,2,FALSE),0))))))))))))))))</f>
        <v>0</v>
      </c>
      <c r="DX89" s="1269">
        <f t="array" ref="DX89">SUM((IF(QualitéAlimentsFaonMâle_0_3_mois=MOYENNE,VLOOKUP("Eau",AlimentsRationHivernaleDaims,8,FALSE),0)+(IF(QualitéAlimentsFaonFemelle_0_3_mois=MOYENNE,VLOOKUP("Eau",AlimentsRationHivernaleDaims,8,FALSE),0)+(IF(QualitéAlimentsFaonMâle_3_6_mois=MOYENNE,VLOOKUP("Eau",AlimentsRationHivernaleDaims,7,FALSE),0)+(IF(QualitéAlimentsFaonFemelle_3_6_mois=MOYENNE,VLOOKUP("Eau",AlimentsRationHivernaleDaims,7,FALSE),0)+(IF(QualitéAlimentsFaonMâle_6_12_mois=MOYENNE,VLOOKUP("Eau",AlimentsRationHivernaleDaims,6,FALSE),0)+(IF(QualitéAlimentsFaonFemelle_6_12_mois=MOYENNE,VLOOKUP("Eau",AlimentsRationHivernaleDaims,6,FALSE),0)+(IF(QualitéAlimentsJeuneDaim_12_18_mois=MOYENNE,VLOOKUP("Eau",AlimentsRationHivernaleDaims,5,FALSE),0)+(IF(QualitéAlimentsJeuneDaine_12_18_mois=MOYENNE,VLOOKUP("Eau",AlimentsRationHivernaleDaims,5,FALSE),0)+(IF(QualitéAlimentsJeuneDaim_18_24_mois=MOYENNE,VLOOKUP("Eau",AlimentsRationHivernaleDaims,4,FALSE),0)+(IF(QualitéAlimentsJeuneDaine_18_24_mois=MOYENNE,VLOOKUP("Eau",AlimentsRationHivernaleDaims,4,FALSE),0)+(IF(QualitéAlimentsJeuneDaim_24_36_mois=MOYENNE,VLOOKUP("Eau",AlimentsRationHivernaleDaims,3,FALSE),0)+(IF(QualitéAlimentsJeuneDaine_24_36_mois=MOYENNE,VLOOKUP("Eau",AlimentsRationHivernaleDaims,3,FALSE),0)+(IF(QualitéAlimentsDaim=MOYENNE,VLOOKUP("Eau",AlimentsRationHivernaleDaims,2,FALSE),0)+(IF(QualitéAlimentsDaine=MOYENNE,VLOOKUP("Eau",AlimentsRationHivernaleDaims,2,FALSE),0))))))))))))))))</f>
        <v>0</v>
      </c>
      <c r="DY89" s="1269">
        <f t="array" ref="DY89">SUM((IF(QualitéAlimentsFaonMâle_0_3_mois=MAUVAISE,VLOOKUP("Eau",AlimentsRationHivernaleDaims,8,FALSE),0)+(IF(QualitéAlimentsFaonFemelle_0_3_mois=MAUVAISE,VLOOKUP("Eau",AlimentsRationHivernaleDaims,8,FALSE),0)+(IF(QualitéAlimentsFaonMâle_3_6_mois=MAUVAISE,VLOOKUP("Eau",AlimentsRationHivernaleDaims,7,FALSE),0)+(IF(QualitéAlimentsFaonFemelle_3_6_mois=MAUVAISE,VLOOKUP("Eau",AlimentsRationHivernaleDaims,7,FALSE),0)+(IF(QualitéAlimentsFaonMâle_6_12_mois=MAUVAISE,VLOOKUP("Eau",AlimentsRationHivernaleDaims,6,FALSE),0)+(IF(QualitéAlimentsFaonFemelle_6_12_mois=MAUVAISE,VLOOKUP("Eau",AlimentsRationHivernaleDaims,6,FALSE),0)+(IF(QualitéAlimentsJeuneDaim_12_18_mois=MAUVAISE,VLOOKUP("Eau",AlimentsRationHivernaleDaims,5,FALSE),0)+(IF(QualitéAlimentsJeuneDaine_12_18_mois=MAUVAISE,VLOOKUP("Eau",AlimentsRationHivernaleDaims,5,FALSE),0)+(IF(QualitéAlimentsJeuneDaim_18_24_mois=MAUVAISE,VLOOKUP("Eau",AlimentsRationHivernaleDaims,4,FALSE),0)+(IF(QualitéAlimentsJeuneDaine_18_24_mois=MAUVAISE,VLOOKUP("Eau",AlimentsRationHivernaleDaims,4,FALSE),0)+(IF(QualitéAlimentsJeuneDaim_24_36_mois=MAUVAISE,VLOOKUP("Eau",AlimentsRationHivernaleDaims,3,FALSE),0)+(IF(QualitéAlimentsJeuneDaine_24_36_mois=MAUVAISE,VLOOKUP("Eau",AlimentsRationHivernaleDaims,3,FALSE),0)+(IF(QualitéAlimentsDaim=MAUVAISE,VLOOKUP("Eau",AlimentsRationHivernaleDaims,2,FALSE),0)+(IF(QualitéAlimentsDaine=MAUVAISE,VLOOKUP("Eau",AlimentsRationHivernaleDaims,2,FALSE),0))))))))))))))))</f>
        <v>0</v>
      </c>
      <c r="DZ89" s="1345"/>
      <c r="EA89" s="1345"/>
      <c r="EB89" s="1345"/>
      <c r="EC89" s="1345"/>
      <c r="ED89" s="1345"/>
      <c r="EE89" s="1345"/>
      <c r="EF89" s="1321"/>
      <c r="EG89" s="808"/>
      <c r="EH89" s="817">
        <f t="array" ref="EH8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89" s="817">
        <f t="array" ref="EI8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89" s="817">
        <f t="array" ref="EJ89">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89" s="818">
        <f>SUM(AlimentsRationOiesMâles[[#This Row],[Valeur 6 et plus]:[Valeur 0-3]])</f>
        <v>0</v>
      </c>
      <c r="EL89" s="1364"/>
      <c r="EM89" s="1321"/>
      <c r="EN89" s="808"/>
      <c r="EO89" s="817">
        <f t="array" ref="EO8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89" s="817">
        <f t="array" ref="EP8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89" s="817">
        <f t="array" ref="EQ89">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89" s="818">
        <f>SUM(Ration_canards_Mâles[[#This Row],[Valeur 6 et plus]:[Valeur 0-3]])</f>
        <v>0</v>
      </c>
      <c r="ES89" s="1364"/>
      <c r="ET89" s="1321"/>
      <c r="EU89" s="1083" t="s">
        <v>296</v>
      </c>
      <c r="EV89" s="1283">
        <f t="array" ref="EV89">IF(OR(ChoixRationComplèteEtéChevauxSelle=OUI,ChoixRationComplèteEtéChevauxSelle="",AND(ChoixChevauxSellePréHiver=OUI,ChoixChevauxSellePréEté=OUI)),0,IFERROR(IF(OR(AND(INDEX(Règles_chevaux_selle[Specificite],MATCH(RationEtéChevauxSelle&amp;$EU89,Règles_chevaux_selle[Ration]&amp;Règles_chevaux_selle[Aliment],0))="s1",IF($EU89=Spécificité1ChevauxSelle,1)),
AND(INDEX(Règles_chevaux_selle[Specificite],MATCH(RationEtéChevauxSelle&amp;$EU89,Règles_chevaux_selle[Ration]&amp;Règles_chevaux_selle[Aliment],0))="s2",IF($EU89=Spécificité2ChevauxSelle,1)),
INDEX(Règles_chevaux_selle[Specificite],MATCH(RationEtéChevauxSelle&amp;$EU89,Règles_chevaux_selle[Ration]&amp;Règles_chevaux_selle[Aliment],0))="c"),
INDEX(Règles_chevaux_selle[Valeur 36 et plus],MATCH(RationEtéChevauxSelle&amp;$EU89,Règles_chevaux_selle[Ration]&amp;Règles_chevaux_selle[Aliment],0)),0),0)*TotalEtalonSelle*SUM(NbreJoursNourrirChevauxSelle))</f>
        <v>0</v>
      </c>
      <c r="EW89" s="1283">
        <f t="array" ref="EW89">IF(OR(ChoixRationComplèteEtéChevauxSelle=OUI,ChoixRationComplèteEtéChevauxSelle="",AND(ChoixChevauxSellePréHiver=OUI,ChoixChevauxSellePréEté=OUI)),0,IFERROR(IF(OR(AND(INDEX(Règles_chevaux_selle[Specificite],MATCH(RationEtéChevauxSelle&amp;$EU89,Règles_chevaux_selle[Ration]&amp;Règles_chevaux_selle[Aliment],0))="s1",IF($EU89=Spécificité1ChevauxSelle,1)),
AND(INDEX(Règles_chevaux_selle[Specificite],MATCH(RationEtéChevauxSelle&amp;$EU89,Règles_chevaux_selle[Ration]&amp;Règles_chevaux_selle[Aliment],0))="s2",IF($EU89=Spécificité2ChevauxSelle,1)),
INDEX(Règles_chevaux_selle[Specificite],MATCH(RationEtéChevauxSelle&amp;$EU89,Règles_chevaux_selle[Ration]&amp;Règles_chevaux_selle[Aliment],0))="c"),
INDEX(Règles_chevaux_selle[Valeur 24-36],MATCH(RationEtéChevauxSelle&amp;$EU89,Règles_chevaux_selle[Ration]&amp;Règles_chevaux_selle[Aliment],0)),0),0)*TotalJeuneEtalonSelle_24_36_mois*SUM(NbreJoursNourrirChevauxSelle))</f>
        <v>0</v>
      </c>
      <c r="EX89" s="1283">
        <f t="array" ref="EX89">IF(OR(ChoixRationComplèteEtéChevauxSelle=OUI,ChoixRationComplèteEtéChevauxSelle="",AND(ChoixChevauxSellePréHiver=OUI,ChoixChevauxSellePréEté=OUI)),0,IFERROR(IF(OR(AND(INDEX(Règles_chevaux_selle[Specificite],MATCH(RationEtéChevauxSelle&amp;$EU89,Règles_chevaux_selle[Ration]&amp;Règles_chevaux_selle[Aliment],0))="s1",IF($EU89=Spécificité1ChevauxSelle,1)),
AND(INDEX(Règles_chevaux_selle[Specificite],MATCH(RationEtéChevauxSelle&amp;$EU89,Règles_chevaux_selle[Ration]&amp;Règles_chevaux_selle[Aliment],0))="s2",IF($EU89=Spécificité2ChevauxSelle,1)),
INDEX(Règles_chevaux_selle[Specificite],MATCH(RationEtéChevauxSelle&amp;$EU89,Règles_chevaux_selle[Ration]&amp;Règles_chevaux_selle[Aliment],0))="c"),
INDEX(Règles_chevaux_selle[Valeur 12-24],MATCH(RationEtéChevauxSelle&amp;$EU89,Règles_chevaux_selle[Ration]&amp;Règles_chevaux_selle[Aliment],0)),0),0)*TotalJeuneEtalonSelle_12_24_mois*SUM(NbreJoursNourrirChevauxSelle))</f>
        <v>0</v>
      </c>
      <c r="EY89" s="1286">
        <f t="array" ref="EY89">IF(OR(ChoixRationComplèteEtéChevauxSelle=OUI,ChoixRationComplèteEtéChevauxSelle="",AND(ChoixChevauxSellePréHiver=OUI,ChoixChevauxSellePréEté=OUI)),0,IFERROR(IF(OR(AND(INDEX(Règles_chevaux_selle[Specificite],MATCH(RationEtéChevauxSelle&amp;$EU89,Règles_chevaux_selle[Ration]&amp;Règles_chevaux_selle[Aliment],0))="s1",IF($EU89=Spécificité1ChevauxSelle,1)),
AND(INDEX(Règles_chevaux_selle[Specificite],MATCH(RationEtéChevauxSelle&amp;$EU89,Règles_chevaux_selle[Ration]&amp;Règles_chevaux_selle[Aliment],0))="s2",IF($EU89=Spécificité2ChevauxSelle,1)),
INDEX(Règles_chevaux_selle[Specificite],MATCH(RationEtéChevauxSelle&amp;$EU89,Règles_chevaux_selle[Ration]&amp;Règles_chevaux_selle[Aliment],0))="c"),
INDEX(Règles_chevaux_selle[Valeur 0-12],MATCH(RationEtéChevauxSelle&amp;$EU89,Règles_chevaux_selle[Ration]&amp;Règles_chevaux_selle[Aliment],0)),0),0)*TotalPoulainSelle_0_12_mois*SUM(NbreJoursNourrirChevauxSelle))</f>
        <v>0</v>
      </c>
      <c r="EZ89" s="1286">
        <f t="shared" si="16"/>
        <v>0</v>
      </c>
      <c r="FA89" s="1345"/>
      <c r="FB89" s="1345"/>
      <c r="FC89" s="1321"/>
      <c r="FD89" s="1083"/>
      <c r="FE89" s="1283">
        <f t="array" ref="FE89">IF(OR(ChoixRationComplèteEtéChevauxTrait=OUI,ChoixRationComplèteEtéChevauxTrait="",AND(ChoixChevauxTraitPréHiver=OUI,ChoixChevauxTraitPréEté=OUI)),0,IFERROR(IF(OR(AND(INDEX(Règles_chevaux_trait[Specificite],MATCH(RationEtéChevauxTrait&amp;$FD89,Règles_chevaux_trait[Ration]&amp;Règles_chevaux_trait[Aliment],0))="s1",IF($FD89=Spécificité1ChevauxTrait,1)),
AND(INDEX(Règles_chevaux_trait[Specificite],MATCH(RationEtéChevauxTrait&amp;$FD89,Règles_chevaux_trait[Ration]&amp;Règles_chevaux_trait[Aliment],0))="s2",IF($FD89=Spécificité2ChevauxTrait,1)),
INDEX(Règles_chevaux_trait[Specificite],MATCH(RationEtéChevauxTrait&amp;$FD89,Règles_chevaux_trait[Ration]&amp;Règles_chevaux_trait[Aliment],0))="c"),
INDEX(Règles_chevaux_trait[Valeur 36 et plus],MATCH(RationEtéChevauxTrait&amp;$FD89,Règles_chevaux_trait[Ration]&amp;Règles_chevaux_trait[Aliment],0)),0),0)*TotalEtalonTrait*SUM(NbreJoursNourrirChevauxTrait))</f>
        <v>0</v>
      </c>
      <c r="FF89" s="1283">
        <f t="array" ref="FF89">IF(OR(ChoixRationComplèteEtéChevauxTrait=OUI,ChoixRationComplèteEtéChevauxTrait="",AND(ChoixChevauxTraitPréHiver=OUI,ChoixChevauxTraitPréEté=OUI)),0,IFERROR(IF(OR(AND(INDEX(Règles_chevaux_trait[Specificite],MATCH(RationEtéChevauxTrait&amp;$FD89,Règles_chevaux_trait[Ration]&amp;Règles_chevaux_trait[Aliment],0))="s1",IF($FD89=Spécificité1ChevauxTrait,1)),
AND(INDEX(Règles_chevaux_trait[Specificite],MATCH(RationEtéChevauxTrait&amp;$FD89,Règles_chevaux_trait[Ration]&amp;Règles_chevaux_trait[Aliment],0))="s2",IF($FD89=Spécificité2ChevauxTrait,1)),
INDEX(Règles_chevaux_trait[Specificite],MATCH(RationEtéChevauxTrait&amp;$FD89,Règles_chevaux_trait[Ration]&amp;Règles_chevaux_trait[Aliment],0))="c"),
INDEX(Règles_chevaux_trait[Valeur 24-36],MATCH(RationEtéChevauxTrait&amp;$FD89,Règles_chevaux_trait[Ration]&amp;Règles_chevaux_trait[Aliment],0)),0),0)*TotalJeuneEtalonTrait_24_36_mois*SUM(NbreJoursNourrirChevauxTrait))</f>
        <v>0</v>
      </c>
      <c r="FG89" s="1283">
        <f t="array" ref="FG89">IF(OR(ChoixRationComplèteEtéChevauxTrait=OUI,ChoixRationComplèteEtéChevauxTrait="",AND(ChoixChevauxTraitPréHiver=OUI,ChoixChevauxTraitPréEté=OUI)),0,IFERROR(IF(OR(AND(INDEX(Règles_chevaux_trait[Specificite],MATCH(RationEtéChevauxTrait&amp;$FD89,Règles_chevaux_trait[Ration]&amp;Règles_chevaux_trait[Aliment],0))="s1",IF($FD89=Spécificité1ChevauxTrait,1)),
AND(INDEX(Règles_chevaux_trait[Specificite],MATCH(RationEtéChevauxTrait&amp;$FD89,Règles_chevaux_trait[Ration]&amp;Règles_chevaux_trait[Aliment],0))="s2",IF($FD89=Spécificité2ChevauxTrait,1)),
INDEX(Règles_chevaux_trait[Specificite],MATCH(RationEtéChevauxTrait&amp;$FD89,Règles_chevaux_trait[Ration]&amp;Règles_chevaux_trait[Aliment],0))="c"),
INDEX(Règles_chevaux_trait[Valeur 12-24],MATCH(RationEtéChevauxTrait&amp;$FD89,Règles_chevaux_trait[Ration]&amp;Règles_chevaux_trait[Aliment],0)),0),0)*TotalJeuneEtalonTrait_12_24_mois*SUM(NbreJoursNourrirChevauxTrait))</f>
        <v>0</v>
      </c>
      <c r="FH89" s="1286">
        <f t="array" ref="FH89">IF(OR(ChoixRationComplèteEtéChevauxTrait=OUI,ChoixRationComplèteEtéChevauxTrait="",AND(ChoixChevauxTraitPréHiver=OUI,ChoixChevauxTraitPréEté=OUI)),0,IFERROR(IF(OR(AND(INDEX(Règles_chevaux_trait[Specificite],MATCH(RationEtéChevauxTrait&amp;$FD89,Règles_chevaux_trait[Ration]&amp;Règles_chevaux_trait[Aliment],0))="s1",IF($FD89=Spécificité1ChevauxTrait,1)),
AND(INDEX(Règles_chevaux_trait[Specificite],MATCH(RationEtéChevauxTrait&amp;$FD89,Règles_chevaux_trait[Ration]&amp;Règles_chevaux_trait[Aliment],0))="s2",IF($FD89=Spécificité2ChevauxTrait,1)),
INDEX(Règles_chevaux_trait[Specificite],MATCH(RationEtéChevauxTrait&amp;$FD89,Règles_chevaux_trait[Ration]&amp;Règles_chevaux_trait[Aliment],0))="c"),
INDEX(Règles_chevaux_trait[Valeur 0-12],MATCH(RationEtéChevauxTrait&amp;$FD89,Règles_chevaux_trait[Ration]&amp;Règles_chevaux_trait[Aliment],0)),0),0)*TotalPoulainTrait_0_12_mois*SUM(NbreJoursNourrirChevauxTrait))</f>
        <v>0</v>
      </c>
      <c r="FI89" s="1286">
        <f t="shared" si="15"/>
        <v>0</v>
      </c>
      <c r="FJ89" s="1345"/>
      <c r="FK89" s="1345"/>
      <c r="FL89" s="1345"/>
      <c r="FM89" s="1321"/>
      <c r="FN89" s="1082"/>
      <c r="FO89" s="1282">
        <f t="array" ref="FO89">IF(OR(ChoixRationComplèteEtéPoneys=OUI,ChoixRationComplèteEtéPoneys="",AND(ChoixPoneysPréHiver=OUI,ChoixPoneysPréEté=OUI)),0,IFERROR(IF(OR(AND(INDEX(Règles_poneys[Specificite],MATCH(RationEtéPoneys&amp;$FN89,Règles_poneys[Ration]&amp;Règles_poneys[Aliment],0))="s1",IF($FN89=Spécificité1Poneys,1)),
AND(INDEX(Règles_poneys[Specificite],MATCH(RationEtéPoneys&amp;$FN89,Règles_poneys[Ration]&amp;Règles_poneys[Aliment],0))="s2",IF($FN89=Spécificité2Poneys,1)),
INDEX(Règles_poneys[Specificite],MATCH(RationEtéPoneys&amp;$FN89,Règles_poneys[Ration]&amp;Règles_poneys[Aliment],0))="c"),
INDEX(Règles_poneys[Valeur 36 et plus],MATCH(RationEtéPoneys&amp;$FN89,Règles_poneys[Ration]&amp;Règles_poneys[Aliment],0)),0),0)*TotalEtalonPoney*SUM(NbreJoursNourrirPoneys))</f>
        <v>0</v>
      </c>
      <c r="FP89" s="1282">
        <f t="array" ref="FP89">IF(OR(ChoixRationComplèteEtéPoneys=OUI,ChoixRationComplèteEtéPoneys="",AND(ChoixPoneysPréHiver=OUI,ChoixPoneysPréEté=OUI)),0,IFERROR(IF(OR(AND(INDEX(Règles_poneys[Specificite],MATCH(RationEtéPoneys&amp;$FN89,Règles_poneys[Ration]&amp;Règles_poneys[Aliment],0))="s1",IF($FN89=Spécificité1Poneys,1)),
AND(INDEX(Règles_poneys[Specificite],MATCH(RationEtéPoneys&amp;$FN89,Règles_poneys[Ration]&amp;Règles_poneys[Aliment],0))="s2",IF($FN89=Spécificité2Poneys,1)),
INDEX(Règles_poneys[Specificite],MATCH(RationEtéPoneys&amp;$FN89,Règles_poneys[Ration]&amp;Règles_poneys[Aliment],0))="c"),
INDEX(Règles_poneys[Valeur 36 et plus],MATCH(RationEtéPoneys&amp;$FN89,Règles_poneys[Ration]&amp;Règles_poneys[Aliment],0)),0),0)*TotalJeuneEtalonPoney_24_36_mois*SUM(NbreJoursNourrirPoneys))</f>
        <v>0</v>
      </c>
      <c r="FQ89" s="1282">
        <f t="array" ref="FQ89">IF(OR(ChoixRationComplèteEtéPoneys=OUI,ChoixRationComplèteEtéPoneys="",AND(ChoixPoneysPréHiver=OUI,ChoixPoneysPréEté=OUI)),0,IFERROR(IF(OR(AND(INDEX(Règles_poneys[Specificite],MATCH(RationEtéPoneys&amp;$FN89,Règles_poneys[Ration]&amp;Règles_poneys[Aliment],0))="s1",IF($FN89=Spécificité1Poneys,1)),
AND(INDEX(Règles_poneys[Specificite],MATCH(RationEtéPoneys&amp;$FN89,Règles_poneys[Ration]&amp;Règles_poneys[Aliment],0))="s2",IF($FN89=Spécificité2Poneys,1)),
INDEX(Règles_poneys[Specificite],MATCH(RationEtéPoneys&amp;$FN89,Règles_poneys[Ration]&amp;Règles_poneys[Aliment],0))="c"),
INDEX(Règles_poneys[Valeur 36 et plus],MATCH(RationEtéPoneys&amp;$FN89,Règles_poneys[Ration]&amp;Règles_poneys[Aliment],0)),0),0)*TotalJeuneEtalonPoney_12_24_mois*SUM(NbreJoursNourrirPoneys))</f>
        <v>0</v>
      </c>
      <c r="FR89" s="1285">
        <f t="array" ref="FR89">IF(OR(ChoixRationComplèteEtéPoneys=OUI,ChoixRationComplèteEtéPoneys="",AND(ChoixPoneysPréHiver=OUI,ChoixPoneysPréEté=OUI)),0,IFERROR(IF(OR(AND(INDEX(Règles_poneys[Specificite],MATCH(RationEtéPoneys&amp;$FN89,Règles_poneys[Ration]&amp;Règles_poneys[Aliment],0))="s1",IF($FN89=Spécificité1Poneys,1)),
AND(INDEX(Règles_poneys[Specificite],MATCH(RationEtéPoneys&amp;$FN89,Règles_poneys[Ration]&amp;Règles_poneys[Aliment],0))="s2",IF($FN89=Spécificité2Poneys,1)),
INDEX(Règles_poneys[Specificite],MATCH(RationEtéPoneys&amp;$FN89,Règles_poneys[Ration]&amp;Règles_poneys[Aliment],0))="c"),
INDEX(Règles_poneys[Valeur 36 et plus],MATCH(RationEtéPoneys&amp;$FN89,Règles_poneys[Ration]&amp;Règles_poneys[Aliment],0)),0),0)*TotalPoulainPoney_0_12_mois*SUM(NbreJoursNourrirPoneys))</f>
        <v>0</v>
      </c>
      <c r="FS89" s="1285">
        <f t="shared" si="14"/>
        <v>0</v>
      </c>
      <c r="FT89" s="1345"/>
      <c r="FU89" s="1345"/>
      <c r="FV89" s="1345"/>
      <c r="FW89" s="789" t="s">
        <v>1276</v>
      </c>
      <c r="FX89" s="833" t="s">
        <v>1290</v>
      </c>
      <c r="FY89" s="790" t="s">
        <v>1312</v>
      </c>
      <c r="FZ89" s="790" t="s">
        <v>1311</v>
      </c>
      <c r="GA89" s="790" t="s">
        <v>1284</v>
      </c>
      <c r="GB89" s="791" t="s">
        <v>1269</v>
      </c>
      <c r="GC89" s="1321"/>
      <c r="GD89" s="1321"/>
      <c r="GE89" s="1321"/>
      <c r="GF89" s="1321"/>
      <c r="GG89" s="1321" t="s">
        <v>1349</v>
      </c>
      <c r="GH89" s="1321" t="s">
        <v>1349</v>
      </c>
      <c r="GI89" s="1321" t="s">
        <v>1349</v>
      </c>
      <c r="GJ89" s="1321" t="s">
        <v>1349</v>
      </c>
      <c r="GK89" s="1321" t="s">
        <v>1349</v>
      </c>
      <c r="GL89" s="1321" t="s">
        <v>1349</v>
      </c>
      <c r="GM89" s="1321" t="s">
        <v>1349</v>
      </c>
      <c r="GN89" s="1321" t="s">
        <v>1349</v>
      </c>
      <c r="GO89" s="1321" t="s">
        <v>1349</v>
      </c>
      <c r="GP89" s="1321" t="s">
        <v>1349</v>
      </c>
      <c r="GQ89" s="1321" t="s">
        <v>1349</v>
      </c>
      <c r="GR89" s="1321" t="s">
        <v>1349</v>
      </c>
      <c r="GS89" s="1321" t="s">
        <v>1349</v>
      </c>
      <c r="GT89" s="1321" t="s">
        <v>1349</v>
      </c>
      <c r="GU89" s="1321" t="s">
        <v>1349</v>
      </c>
      <c r="GV89" s="1321" t="s">
        <v>1349</v>
      </c>
      <c r="GW89" s="1321"/>
      <c r="GX89" s="1321"/>
      <c r="GY89" s="1082" t="str">
        <f t="shared" si="25"/>
        <v>Azote</v>
      </c>
      <c r="GZ89" s="1082"/>
      <c r="HA89" s="1085"/>
      <c r="HB89" s="1085">
        <f>IF(COUNTIF(TypeArticleDansEntrepôt,GY89)=0,0,SUMIF(TypeArticleDansEntrepôt,GY89,QtéArticleDansEntrepôt)*VLOOKUP(GY89,place_necessaire_entrepots_aire_paille[],2,FALSE))</f>
        <v>0</v>
      </c>
      <c r="HC89" s="1321"/>
      <c r="HD89" s="1321"/>
      <c r="HE89" s="1321"/>
      <c r="HF89" s="1321"/>
      <c r="HG89" s="1321"/>
      <c r="HH89" s="1321"/>
      <c r="HI89" s="1321"/>
      <c r="HJ89" s="1321"/>
      <c r="HK89" s="1321"/>
      <c r="HL89" s="1321"/>
      <c r="HM89" s="1321"/>
      <c r="HN89" s="1085" t="str">
        <f>IF(parcelles!B137="","",(VLOOKUP(parcelles!C137,BDD!$HN$5:$HU$38,2,FALSE))*parcelles!E137)</f>
        <v/>
      </c>
      <c r="HO89" s="1085" t="str">
        <f>IF(parcelles!B137="","",IF(OR(parcelles!C137=Moutarde,parcelles!C137=Phacélie),0,IF(parcelles!C137=Luzerne,10*parcelles!E137*VLOOKUP(parcelles!C137,BDD!$HN$5:$HU$38,3,FALSE),IF(parcelles!C137=Miscanthus,10.5*parcelles!E137*VLOOKUP(parcelles!C137,BDD!$HN$5:$HU$38,3,FALSE),INDEX(parcelles!$C$56:'parcelles'!$Y$77,MATCH(parcelles!B137,parcelles!$B$56:'parcelles'!$B$77,0),MATCH(parcelles!C137,parcelles!$C$53:'parcelles'!$Y$53,0))*parcelles!E137*VLOOKUP(parcelles!C137,BDD!$HN$5:$HU$38,3,FALSE)))))</f>
        <v/>
      </c>
      <c r="HP89" s="1085" t="str">
        <f>IF(parcelles!B137="","",IF(OR(parcelles!C137=Moutarde,parcelles!C137=Phacélie),0,IF(parcelles!C137=Luzerne,10*parcelles!E137*VLOOKUP(parcelles!C137,BDD!$HN$5:$HU$38,4,FALSE),IF(parcelles!C137=Miscanthus,10.5*parcelles!E137*VLOOKUP(parcelles!C137,BDD!$HN$5:$HU$38,4,FALSE),INDEX(parcelles!$C$56:'parcelles'!$Y$77,MATCH(parcelles!B137,parcelles!$B$56:'parcelles'!$B$77,0),MATCH(parcelles!C137,parcelles!$C$53:'parcelles'!$Y$53,0))*parcelles!E137*VLOOKUP(parcelles!C137,BDD!$HN$5:$HU$38,4,FALSE)))))</f>
        <v/>
      </c>
      <c r="HQ89" s="1085" t="str">
        <f>IF(parcelles!B137="","",IF(OR(parcelles!C137=Moutarde,parcelles!C137=Phacélie),0,IF(parcelles!C137=Luzerne,10*parcelles!E137*VLOOKUP(parcelles!C137,BDD!$HN$5:$HU$38,5,FALSE),IF(parcelles!C137=Miscanthus,10.5*parcelles!E137*VLOOKUP(parcelles!C137,BDD!$HN$5:$HU$38,5,FALSE),INDEX(parcelles!$C$56:'parcelles'!$Y$77,MATCH(parcelles!B137,parcelles!$B$56:'parcelles'!$B$77,0),MATCH(parcelles!C137,parcelles!$C$53:'parcelles'!$Y$53,0))*parcelles!E137*VLOOKUP(parcelles!C137,BDD!$HN$5:$HU$38,5,FALSE)))))</f>
        <v/>
      </c>
      <c r="HR89" s="1085" t="str">
        <f>IF(parcelles!B137="","",IF(OR(parcelles!C137=Moutarde,parcelles!C137=Phacélie),0,IF(parcelles!C137=Luzerne,10*parcelles!E137*VLOOKUP(parcelles!C137,BDD!$HN$5:$HU$38,6,FALSE),IF(parcelles!C137=Miscanthus,10.5*parcelles!E137*VLOOKUP(parcelles!C137,BDD!$HN$5:$HU$38,6,FALSE),INDEX(parcelles!$C$56:'parcelles'!$Y$77,MATCH(parcelles!B137,parcelles!$B$56:'parcelles'!$B$77,0),MATCH(parcelles!C137,parcelles!$C$53:'parcelles'!$Y$53,0))*parcelles!E137*VLOOKUP(parcelles!C137,BDD!$HN$5:$HU$38,6,FALSE)))))</f>
        <v/>
      </c>
      <c r="HS89" s="1085" t="str">
        <f>IF(parcelles!B137="","",IF(OR(parcelles!C137=Moutarde,parcelles!C137=Phacélie),0,IF(parcelles!C137=Luzerne,10*parcelles!E137*VLOOKUP(parcelles!C137,BDD!$HN$5:$HU$38,7,FALSE),IF(parcelles!C137=Miscanthus,10.5*parcelles!E137*VLOOKUP(parcelles!C137,BDD!$HN$5:$HU$38,7,FALSE),INDEX(parcelles!$C$56:'parcelles'!$Y$77,MATCH(parcelles!B137,parcelles!$B$56:'parcelles'!$B$77,0),MATCH(parcelles!C137,parcelles!$C$53:'parcelles'!$Y$53,0))*parcelles!E137*VLOOKUP(parcelles!C137,BDD!$HN$5:$HU$38,7,FALSE)))))</f>
        <v/>
      </c>
      <c r="HT89" s="1085" t="str">
        <f>IF(parcelles!B137="","",IF(OR(parcelles!C137=Moutarde,parcelles!C137=Phacélie),0,IF(parcelles!C137=Luzerne,10*parcelles!E137*VLOOKUP(parcelles!C137,BDD!$HN$5:$HU$38,8,FALSE),IF(parcelles!C137=Miscanthus,10.5*parcelles!E137*VLOOKUP(parcelles!C137,BDD!$HN$5:$HU$38,8,FALSE),INDEX(parcelles!$C$56:'parcelles'!$Y$77,MATCH(parcelles!B137,parcelles!$B$56:'parcelles'!$B$77,0),MATCH(parcelles!C137,parcelles!$C$53:'parcelles'!$Y$53,0))*parcelles!E137*VLOOKUP(parcelles!C137,BDD!$HN$5:$HU$38,8,FALSE)))))</f>
        <v/>
      </c>
      <c r="HU89" s="1085" t="str">
        <f>IF(parcelles!B137="","",IF(OR(parcelles!C137=Moutarde,parcelles!C137=Phacélie),0,1.6*parcelles!E137))</f>
        <v/>
      </c>
      <c r="HV89" s="1085" t="str">
        <f>IF(parcelles!B137="","",IF(OR(parcelles!C137=Moutarde,parcelles!C137=Phacélie),0,1.6*parcelles!E137))</f>
        <v/>
      </c>
      <c r="HW89" s="1085" t="str">
        <f>IF(parcelles!B137="","",IF(OR(parcelles!C137=Moutarde,parcelles!C137=Phacélie),0,1.6*parcelles!E137))</f>
        <v/>
      </c>
      <c r="HX89" s="1092" t="str">
        <f>IF(parcelles!D137="","",IF(parcelles!C137=ChanvreIndustriel,INDEX(parcelles!$C$56:$Y$77,MATCH(parcelles!B137,parcelles!$B$56:$B$77,0),MATCH(parcelles!C137,parcelles!$C$53:$Y$53,0))*parcelles!E137*SUMIF(ListeCulturesBDD,parcelles!C137,PrixVenteCulturesConventionnel)+RIGHT(BDD!$HM$7,3)*7*parcelles!E137,IF(parcelles!C137=Luzerne,parcelles!E137*10*VLOOKUP(parcelles!C137,TarifsCoopCultures,2,FALSE),IF(parcelles!C137=Miscanthus,parcelles!E137*10.5*VLOOKUP(Luzerne,TarifsCoopCultures,2,FALSE),INDEX(parcelles!$C$56:$Y$77,MATCH(parcelles!B137,parcelles!$B$56:$B$77,0),MATCH(parcelles!C137,parcelles!$C$53:$Y$53,0))*parcelles!E137*SUMIF(ListeCulturesBDD,parcelles!C137,PrixVenteCulturesConventionnel)))))</f>
        <v/>
      </c>
      <c r="HY89" s="1085" t="str">
        <f>IF(parcelles!D137="","",IF(parcelles!F137=0,"",IF(parcelles!C137=ChanvreIndustriel,"soit "&amp;parcelles!E137*0.8&amp;"t de grain et "&amp;parcelles!E137*7&amp;"t de paille",IF(parcelles!C137=Luzerne,"soit "&amp;10*parcelles!E137&amp;"t/an",IF(parcelles!C137=Miscanthus,"soit "&amp;10.5*parcelles!E137&amp;"t/an","soit "&amp;INDEX(parcelles!$C$56:$Y$77,MATCH(parcelles!B137,parcelles!$B$56:$B$77,0),MATCH(parcelles!C137,parcelles!$C$53:$Y$53,0))*parcelles!E137&amp;"t")))))</f>
        <v/>
      </c>
      <c r="HZ89" s="1085" t="str">
        <f>IF(parcelles!D137="","",IF(parcelles!F137=0,"",IF(parcelles!C137=ChanvreIndustriel,"soit "&amp;parcelles!E137*0.8*0.8&amp;"t de grain et "&amp;parcelles!E137*7*0.8&amp;"t de paille",IF(parcelles!C137=Luzerne,"soit "&amp;10*0.8*parcelles!E137&amp;"t/an",IF(parcelles!C137=Miscanthus,"soit "&amp;10.5*0.8*parcelles!E137&amp;"t/an","soit "&amp;INDEX(parcelles!$C$56:$Y$77,MATCH(parcelles!B137,parcelles!$B$56:$B$77,0),MATCH(parcelles!C137,parcelles!$C$53:$Y$53,0))*0.8*parcelles!E137&amp;"t")))))</f>
        <v/>
      </c>
      <c r="IA89" s="1085" t="str">
        <f>IF(parcelles!L137="","",(VLOOKUP(parcelles!M137,BDD!$HN$5:$HU$38,2,FALSE))*parcelles!O137)</f>
        <v/>
      </c>
      <c r="IB89" s="1085" t="str">
        <f>IF(parcelles!L137="","",IF(OR(parcelles!M137=Moutarde,parcelles!M137=Phacélie),0,IF(parcelles!M137=Luzerne,10*parcelles!O137*VLOOKUP(parcelles!M137,BDD!$HN$5:$HU$38,3,FALSE),IF(parcelles!M137=Miscanthus,10.5*parcelles!O137*VLOOKUP(parcelles!M137,BDD!$HN$5:$HU$38,3,FALSE),INDEX(parcelles!$C$56:'parcelles'!$Y$77,MATCH(parcelles!L137,parcelles!$B$56:'parcelles'!$B$77,0),MATCH(parcelles!M137,parcelles!$C$53:'parcelles'!$Y$53,0))*parcelles!O137*VLOOKUP(parcelles!M137,BDD!$HN$5:$HU$38,3,FALSE)))))</f>
        <v/>
      </c>
      <c r="IC89" s="1085" t="str">
        <f>IF(parcelles!L137="","",IF(OR(parcelles!M137=Moutarde,parcelles!M137=Phacélie),0,IF(parcelles!M137=Luzerne,10*parcelles!O137*VLOOKUP(parcelles!M137,BDD!$HN$5:$HU$38,4,FALSE),IF(parcelles!M137=Miscanthus,10.5*parcelles!O137*VLOOKUP(parcelles!M137,BDD!$HN$5:$HU$38,4,FALSE),INDEX(parcelles!$C$56:'parcelles'!$Y$77,MATCH(parcelles!L137,parcelles!$B$56:'parcelles'!$B$77,0),MATCH(parcelles!M137,parcelles!$C$53:'parcelles'!$Y$53,0))*parcelles!O137*VLOOKUP(parcelles!M137,BDD!$HN$5:$HU$38,4,FALSE)))))</f>
        <v/>
      </c>
      <c r="ID89" s="1085" t="str">
        <f>IF(parcelles!L137="","",IF(OR(parcelles!M137=Moutarde,parcelles!M137=Phacélie),0,IF(parcelles!M137=Luzerne,10*parcelles!O137*VLOOKUP(parcelles!M137,BDD!$HN$5:$HU$38,5,FALSE),IF(parcelles!M137=Miscanthus,10.5*parcelles!O137*VLOOKUP(parcelles!M137,BDD!$HN$5:$HU$38,5,FALSE),INDEX(parcelles!$C$56:'parcelles'!$Y$77,MATCH(parcelles!L137,parcelles!$B$56:'parcelles'!$B$77,0),MATCH(parcelles!M137,parcelles!$C$53:'parcelles'!$Y$53,0))*parcelles!O137*VLOOKUP(parcelles!M137,BDD!$HN$5:$HU$38,5,FALSE)))))</f>
        <v/>
      </c>
      <c r="IE89" s="1085" t="str">
        <f>IF(parcelles!L137="","",IF(OR(parcelles!M137=Moutarde,parcelles!M137=Phacélie),0,IF(parcelles!M137=Luzerne,10*parcelles!O137*VLOOKUP(parcelles!M137,BDD!$HN$5:$HU$38,6,FALSE),IF(parcelles!M137=Miscanthus,10.5*parcelles!O137*VLOOKUP(parcelles!M137,BDD!$HN$5:$HU$38,6,FALSE),INDEX(parcelles!$C$56:'parcelles'!$Y$77,MATCH(parcelles!L137,parcelles!$B$56:'parcelles'!$B$77,0),MATCH(parcelles!M137,parcelles!$C$53:'parcelles'!$Y$53,0))*parcelles!O137*VLOOKUP(parcelles!M137,BDD!$HN$5:$HU$38,6,FALSE)))))</f>
        <v/>
      </c>
      <c r="IF89" s="1085" t="str">
        <f>IF(parcelles!L137="","",IF(OR(parcelles!M137=Moutarde,parcelles!M137=Phacélie),0,IF(parcelles!M137=Luzerne,10*parcelles!O137*VLOOKUP(parcelles!M137,BDD!$HN$5:$HU$38,7,FALSE),IF(parcelles!M137=Miscanthus,10.5*parcelles!O137*VLOOKUP(parcelles!M137,BDD!$HN$5:$HU$38,7,FALSE),INDEX(parcelles!$C$56:'parcelles'!$Y$77,MATCH(parcelles!L137,parcelles!$B$56:'parcelles'!$B$77,0),MATCH(parcelles!M137,parcelles!$C$53:'parcelles'!$Y$53,0))*parcelles!O137*VLOOKUP(parcelles!M137,BDD!$HN$5:$HU$38,7,FALSE)))))</f>
        <v/>
      </c>
      <c r="IG89" s="1085" t="str">
        <f>IF(parcelles!L137="","",IF(OR(parcelles!M137=Moutarde,parcelles!M137=Phacélie),0,IF(parcelles!M137=Luzerne,10*parcelles!O137*VLOOKUP(parcelles!M137,BDD!$HN$5:$HU$38,8,FALSE),IF(parcelles!M137=Miscanthus,10.5*parcelles!O137*VLOOKUP(parcelles!M137,BDD!$HN$5:$HU$38,8,FALSE),INDEX(parcelles!$C$56:'parcelles'!$Y$77,MATCH(parcelles!L137,parcelles!$B$56:'parcelles'!$B$77,0),MATCH(parcelles!M137,parcelles!$C$53:'parcelles'!$Y$53,0))*parcelles!O137*VLOOKUP(parcelles!M137,BDD!$HN$5:$HU$38,8,FALSE)))))</f>
        <v/>
      </c>
      <c r="IH89" s="1085" t="str">
        <f>IF(parcelles!L137="","",IF(OR(parcelles!L137=Moutarde,parcelles!L137=Phacélie),0,1.6*parcelles!O137))</f>
        <v/>
      </c>
      <c r="II89" s="1085" t="str">
        <f>IF(parcelles!L137="","",IF(OR(parcelles!L137=Moutarde,parcelles!L137=Phacélie),0,1.6*parcelles!O137))</f>
        <v/>
      </c>
      <c r="IJ89" s="1085" t="str">
        <f>IF(parcelles!L137="","",IF(OR(parcelles!L137=Moutarde,parcelles!L137=Phacélie),0,1.6*parcelles!O137))</f>
        <v/>
      </c>
      <c r="IK89" s="1085" t="str">
        <f>IF(parcelles!P137="","",IF(parcelles!R137=0,"",IF(parcelles!O137=ChanvreIndustriel,"soit "&amp;parcelles!Q137*0.8&amp;"t de grain et "&amp;parcelles!Q137*7&amp;"t de paille",IF(parcelles!O137=Luzerne,"soit "&amp;10*parcelles!Q137&amp;"t/an",IF(parcelles!O137=Miscanthus,"soit "&amp;10.5*parcelles!Q137&amp;"t/an","soit "&amp;INDEX(parcelles!$C$56:$Y$77,MATCH(parcelles!N137,parcelles!$B$56:$B$77,0),MATCH(parcelles!O137,parcelles!$C$53:$Y$53,0))*parcelles!Q137&amp;"t")))))</f>
        <v/>
      </c>
      <c r="IL89" s="1085" t="str">
        <f>IF(parcelles!P137="","",IF(parcelles!R137=0,"",IF(parcelles!O137=ChanvreIndustriel,"soit "&amp;parcelles!Q137*0.8*0.8&amp;"t de grain et "&amp;parcelles!Q137*7*0.8&amp;"t de paille",IF(parcelles!O137=Luzerne,"soit "&amp;10*0.8*parcelles!Q137&amp;"t/an",IF(parcelles!O137=Miscanthus,"soit "&amp;10.5*0.8*parcelles!Q137&amp;"t/an","soit "&amp;INDEX(parcelles!$C$56:$Y$77,MATCH(parcelles!N137,parcelles!$B$56:$B$77,0),MATCH(parcelles!O137,parcelles!$C$53:$Y$53,0))*0.8*parcelles!Q137&amp;"t")))))</f>
        <v/>
      </c>
      <c r="IM89" s="1085" t="str">
        <f>IF(parcelles!S137="","",IF(parcelles!U137=0,"",IF(parcelles!R137=ChanvreIndustriel,parcelles!T137*0.8*0.8+parcelles!T137*7*0.8,IF(parcelles!R137=Luzerne,10*0.8*parcelles!T137,IF(parcelles!R137=Miscanthus,10.5*0.8*parcelles!T137,INDEX(parcelles!$C$56:$Y$77,MATCH(parcelles!Q137,parcelles!$B$56:$B$77,0),MATCH(parcelles!R137,parcelles!$C$53:$Y$53,0))*0.8*parcelles!T137)))))</f>
        <v/>
      </c>
      <c r="IN89" s="1368"/>
    </row>
    <row r="90" spans="1:248" ht="12.75" customHeight="1" x14ac:dyDescent="0.2">
      <c r="A90" s="1307" t="s">
        <v>165</v>
      </c>
      <c r="B90" s="1241">
        <f t="shared" si="17"/>
        <v>1E-3</v>
      </c>
      <c r="C90" s="1321"/>
      <c r="D90" s="1321"/>
      <c r="E90" s="1321"/>
      <c r="F90" s="1149" t="s">
        <v>672</v>
      </c>
      <c r="G90" s="1149" t="s">
        <v>1174</v>
      </c>
      <c r="H90" s="1149" t="s">
        <v>1202</v>
      </c>
      <c r="I90" s="1245" t="s">
        <v>1167</v>
      </c>
      <c r="J90" s="1245" t="s">
        <v>1212</v>
      </c>
      <c r="K90" s="1245" t="s">
        <v>1210</v>
      </c>
      <c r="L90" s="1245" t="s">
        <v>1197</v>
      </c>
      <c r="M90" s="1321"/>
      <c r="N90" s="1321"/>
      <c r="O90" s="1265" t="s">
        <v>1465</v>
      </c>
      <c r="P90" s="1265" t="s">
        <v>114</v>
      </c>
      <c r="Q90" s="1265" t="s">
        <v>116</v>
      </c>
      <c r="R90" s="1265" t="s">
        <v>115</v>
      </c>
      <c r="S90" s="1265" t="s">
        <v>580</v>
      </c>
      <c r="T90" s="1265" t="s">
        <v>656</v>
      </c>
      <c r="U90" s="1265" t="s">
        <v>1391</v>
      </c>
      <c r="V90" s="1265" t="s">
        <v>1393</v>
      </c>
      <c r="W90" s="1265" t="s">
        <v>21</v>
      </c>
      <c r="X90" s="1321"/>
      <c r="Y90" s="1081" t="s">
        <v>1681</v>
      </c>
      <c r="Z90" s="1081">
        <f>IF('coût alimentation'!$B$6=$Y$90,15,0)</f>
        <v>0</v>
      </c>
      <c r="AA90" s="1081">
        <f>IF('coût alimentation'!$B$6=$Y$90,15,0)</f>
        <v>0</v>
      </c>
      <c r="AB90" s="1081">
        <f>IF('coût alimentation'!$B$6=$Y$90,15,0)</f>
        <v>0</v>
      </c>
      <c r="AC90" s="1081">
        <f>IF('coût alimentation'!$B$6=$Y$90,15,0)</f>
        <v>0</v>
      </c>
      <c r="AD90" s="1081">
        <f>IF('coût alimentation'!$B$6=$Y$90,15,0)</f>
        <v>0</v>
      </c>
      <c r="AE90" s="1081">
        <f>IF('coût alimentation'!$B$6=$Y$90,15,0)</f>
        <v>0</v>
      </c>
      <c r="AF90" s="1081">
        <f>IF('coût alimentation'!$B$6=$Y$90,15,0)</f>
        <v>0</v>
      </c>
      <c r="AG90" s="1081">
        <f>IF('coût alimentation'!$B$6=$Y$90,15,0)</f>
        <v>0</v>
      </c>
      <c r="AH90" s="1321"/>
      <c r="AI90" s="1321"/>
      <c r="AJ90" s="1321"/>
      <c r="AK90" s="1321"/>
      <c r="AL90" s="1321"/>
      <c r="AM90" s="1321"/>
      <c r="AN90" s="1321"/>
      <c r="AO90" s="1321"/>
      <c r="AP90" s="1321"/>
      <c r="AQ90" s="1321"/>
      <c r="AR90" s="1321"/>
      <c r="AS90" s="1321"/>
      <c r="AT90" s="1321"/>
      <c r="AU90" s="1321"/>
      <c r="AV90" s="1321"/>
      <c r="AW90" s="1321"/>
      <c r="AX90" s="1321"/>
      <c r="AY90" s="1321"/>
      <c r="AZ90" s="1321"/>
      <c r="BA90" s="1321"/>
      <c r="BB90" s="1236" t="s">
        <v>727</v>
      </c>
      <c r="BC90" s="1190" t="s">
        <v>715</v>
      </c>
      <c r="BD90" s="1190" t="s">
        <v>1254</v>
      </c>
      <c r="BE90" s="1237">
        <v>4.8</v>
      </c>
      <c r="BF90" s="1237">
        <v>4</v>
      </c>
      <c r="BG90" s="1237">
        <v>4</v>
      </c>
      <c r="BH90" s="1237">
        <v>4</v>
      </c>
      <c r="BI90" s="1237">
        <v>2</v>
      </c>
      <c r="BJ90" s="1237">
        <v>1.2</v>
      </c>
      <c r="BK90" s="1238">
        <v>0</v>
      </c>
      <c r="BL90" s="1348"/>
      <c r="BM90" s="1075" t="str">
        <f t="shared" si="23"/>
        <v>Maïs ensilé</v>
      </c>
      <c r="BN90" s="1075">
        <f t="array" ref="BN90">IF(Ration_hivernale_complète_bisons[somme]&gt;0,0,IFERROR(IF(OR(AND(INDEX(Règles_bison[Specificite],MATCH(ChoixRationBisons&amp;$BM90,Règles_bison[Ration]&amp;Règles_bison[Aliment],0))="s1",IF($BM90=ChoixSpécificité1Bisons,1)),
AND(INDEX(Règles_bison[Specificite],MATCH(ChoixRationBisons&amp;$BM90,Règles_bison[Ration]&amp;Règles_bison[Aliment],0))="s2",IF($BM90=ChoixSpécificité2Bisons,1)),INDEX(Règles_bison[Specificite],MATCH(ChoixRationBisons&amp;$BM90,Règles_bison[Ration]&amp;Règles_bison[Aliment],0))="c"),
INDEX(Règles_bison[Valeur 36 et plus],MATCH(ChoixRationBisons&amp;$BM90,Règles_bison[Ration]&amp;Règles_bison[Aliment],0)),0),0)*TotalBisonnes*SUM(NbreJoursNourrirBisonsDaims))</f>
        <v>0</v>
      </c>
      <c r="BO90" s="1075">
        <f t="array" ref="BO90">IF(Ration_hivernale_complète_bisons[somme]&gt;0,0,IFERROR(IF(OR(AND(INDEX(Règles_bison[Specificite],MATCH(ChoixRationBisons&amp;$BM90,Règles_bison[Ration]&amp;Règles_bison[Aliment],0))="s1",IF($BM90=ChoixSpécificité1Bisons,1)),
AND(INDEX(Règles_bison[Specificite],MATCH(ChoixRationBisons&amp;$BM90,Règles_bison[Ration]&amp;Règles_bison[Aliment],0))="s2",IF($BM90=ChoixSpécificité2Bisons,1)),INDEX(Règles_bison[Specificite],MATCH(ChoixRationBisons&amp;$BM90,Règles_bison[Ration]&amp;Règles_bison[Aliment],0))="c"),
INDEX(Règles_bison[Valeur 24-36],MATCH(ChoixRationBisons&amp;$BM90,Règles_bison[Ration]&amp;Règles_bison[Aliment],0)),0),0)*TotalBisonsFemelles_24_36_mois*SUM(NbreJoursNourrirBisonsDaims))</f>
        <v>0</v>
      </c>
      <c r="BP90" s="1075">
        <f t="array" ref="BP90">IF(Ration_hivernale_complète_bisons[somme]&gt;0,0,IFERROR(IF(OR(AND(INDEX(Règles_bison[Specificite],MATCH(ChoixRationBisons&amp;$BM90,Règles_bison[Ration]&amp;Règles_bison[Aliment],0))="s1",IF($BM90=ChoixSpécificité1Bisons,1)),
AND(INDEX(Règles_bison[Specificite],MATCH(ChoixRationBisons&amp;$BM90,Règles_bison[Ration]&amp;Règles_bison[Aliment],0))="s2",IF($BM90=ChoixSpécificité2Bisons,1)),INDEX(Règles_bison[Specificite],MATCH(ChoixRationBisons&amp;$BM90,Règles_bison[Ration]&amp;Règles_bison[Aliment],0))="c"),
INDEX(Règles_bison[Valeur 18-24],MATCH(ChoixRationBisons&amp;$BM90,Règles_bison[Ration]&amp;Règles_bison[Aliment],0)),0),0)*TotalBisonsFemelles_18_24_mois*SUM(NbreJoursNourrirBisonsDaims))</f>
        <v>0</v>
      </c>
      <c r="BQ90" s="1075">
        <f t="array" ref="BQ90">IF(Ration_hivernale_complète_bisons[somme]&gt;0,0,IFERROR(IF(OR(AND(INDEX(Règles_bison[Specificite],MATCH(ChoixRationBisons&amp;$BM90,Règles_bison[Ration]&amp;Règles_bison[Aliment],0))="s1",IF($BM90=ChoixSpécificité1Bisons,1)),
AND(INDEX(Règles_bison[Specificite],MATCH(ChoixRationBisons&amp;$BM90,Règles_bison[Ration]&amp;Règles_bison[Aliment],0))="s2",IF($BM90=ChoixSpécificité2Bisons,1)),INDEX(Règles_bison[Specificite],MATCH(ChoixRationBisons&amp;$BM90,Règles_bison[Ration]&amp;Règles_bison[Aliment],0))="c"),
INDEX(Règles_bison[Valeur 12-18],MATCH(ChoixRationBisons&amp;$BM90,Règles_bison[Ration]&amp;Règles_bison[Aliment],0)),0),0)*TotalBisonsFemelles_12_18_mois*SUM(NbreJoursNourrirBisonsDaims))</f>
        <v>0</v>
      </c>
      <c r="BR90" s="1075">
        <f t="array" ref="BR90">IF(Ration_hivernale_complète_bisons[somme]&gt;0,0,IFERROR(IF(OR(AND(INDEX(Règles_bison[Specificite],MATCH(ChoixRationBisons&amp;$BM90,Règles_bison[Ration]&amp;Règles_bison[Aliment],0))="s1",IF($BM90=ChoixSpécificité1Bisons,1)),
AND(INDEX(Règles_bison[Specificite],MATCH(ChoixRationBisons&amp;$BM90,Règles_bison[Ration]&amp;Règles_bison[Aliment],0))="s2",IF($BM90=ChoixSpécificité2Bisons,1)),INDEX(Règles_bison[Specificite],MATCH(ChoixRationBisons&amp;$BM90,Règles_bison[Ration]&amp;Règles_bison[Aliment],0))="c"),
INDEX(Règles_bison[Valeur 6-12],MATCH(ChoixRationBisons&amp;$BM90,Règles_bison[Ration]&amp;Règles_bison[Aliment],0)),0),0)*TotalBisonsFemelles_6_12_mois*SUM(NbreJoursNourrirBisonsDaims))</f>
        <v>0</v>
      </c>
      <c r="BS90" s="1075">
        <f t="array" ref="BS90">IF(Ration_hivernale_complète_bisons[somme]&gt;0,0,IFERROR(IF(OR(AND(INDEX(Règles_bison[Specificite],MATCH(ChoixRationBisons&amp;$BM90,Règles_bison[Ration]&amp;Règles_bison[Aliment],0))="s1",IF($BM90=ChoixSpécificité1Bisons,1)),
AND(INDEX(Règles_bison[Specificite],MATCH(ChoixRationBisons&amp;$BM90,Règles_bison[Ration]&amp;Règles_bison[Aliment],0))="s2",IF($BM90=ChoixSpécificité2Bisons,1)),INDEX(Règles_bison[Specificite],MATCH(ChoixRationBisons&amp;$BM90,Règles_bison[Ration]&amp;Règles_bison[Aliment],0))="c"),
INDEX(Règles_bison[Valeur 3-6],MATCH(ChoixRationBisons&amp;$BM90,Règles_bison[Ration]&amp;Règles_bison[Aliment],0)),0),0)*TotalBisonsFemelles_3_6_mois*SUM(NbreJoursNourrirBisonsDaims))</f>
        <v>0</v>
      </c>
      <c r="BT90" s="1075">
        <f t="array" ref="BT90">IF(Ration_hivernale_complète_bisons[somme]&gt;0,0,IFERROR(IF(OR(AND(INDEX(Règles_bison[Specificite],MATCH(ChoixRationBisons&amp;$BM90,Règles_bison[Ration]&amp;Règles_bison[Aliment],0))="s1",IF($BM90=ChoixSpécificité1Bisons,1)),
AND(INDEX(Règles_bison[Specificite],MATCH(ChoixRationBisons&amp;$BM90,Règles_bison[Ration]&amp;Règles_bison[Aliment],0))="s2",IF($BM90=ChoixSpécificité2Bisons,1)),INDEX(Règles_bison[Specificite],MATCH(ChoixRationBisons&amp;$BM90,Règles_bison[Ration]&amp;Règles_bison[Aliment],0))="c"),
INDEX(Règles_bison[Valeur 0-3],MATCH(ChoixRationBisons&amp;$BM90,Règles_bison[Ration]&amp;Règles_bison[Aliment],0)),0),0)*TotalBisonsFemelles_0_3_mois*SUM(NbreJoursNourrirBisonsDaims))</f>
        <v>0</v>
      </c>
      <c r="BU90" s="1075">
        <f t="shared" si="22"/>
        <v>0</v>
      </c>
      <c r="BV90" s="1346"/>
      <c r="BW90" s="1346"/>
      <c r="BX90" s="1176" t="s">
        <v>765</v>
      </c>
      <c r="BY90" s="1177" t="s">
        <v>219</v>
      </c>
      <c r="BZ90" s="1177" t="s">
        <v>1252</v>
      </c>
      <c r="CA90" s="1177">
        <v>1.2</v>
      </c>
      <c r="CB90" s="1177">
        <v>1.2</v>
      </c>
      <c r="CC90" s="1177">
        <v>0.8</v>
      </c>
      <c r="CD90" s="1199">
        <v>2.8</v>
      </c>
      <c r="CE90" s="1350"/>
      <c r="CF90" s="1350"/>
      <c r="CG90" s="1350"/>
      <c r="CH90" s="1350"/>
      <c r="CI90" s="1321"/>
      <c r="CJ90" s="808" t="str">
        <f t="shared" si="26"/>
        <v>Blé</v>
      </c>
      <c r="CK90" s="788">
        <f t="array" ref="CK9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90" s="788">
        <f t="array" ref="CL9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90" s="788">
        <f t="array" ref="CM9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90" s="788">
        <f t="array" ref="CN9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90" s="788">
        <f t="array" ref="CO9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90" s="812">
        <f>SUM(AlimentsRationPorcinsFemelles[[#This Row],[Valeur 12 et plus]:[Valeur 0-1]])</f>
        <v>0</v>
      </c>
      <c r="CQ90" s="1321"/>
      <c r="CR90" s="1321"/>
      <c r="CS90" s="808"/>
      <c r="CT90" s="817">
        <f t="array" ref="CT9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90" s="817">
        <f t="array" ref="CU9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90" s="817">
        <f t="array" ref="CV90">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90" s="818">
        <f>SUM(AlimentsRationLapinsMâles[[#This Row],[Valeur 3 et plus]:[Valeur 0-1]])</f>
        <v>0</v>
      </c>
      <c r="CX90" s="1321"/>
      <c r="CY90" s="1321"/>
      <c r="CZ90" s="808"/>
      <c r="DA90" s="817">
        <f t="array" ref="DA9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90" s="817">
        <f t="array" ref="DB9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90" s="817">
        <f t="array" ref="DC90">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90" s="818">
        <f>SUM(AlimentsRationVolaillesMâles[[#This Row],[Valeur 6 et plus]:[Valeur 0-1]])</f>
        <v>0</v>
      </c>
      <c r="DE90" s="1364"/>
      <c r="DF90" s="1321"/>
      <c r="DG90" s="788" t="str">
        <f>DG48</f>
        <v>Avoine</v>
      </c>
      <c r="DH90" s="817">
        <f t="array" ref="DH9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90" s="817">
        <f t="array" ref="DI9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90" s="817">
        <f t="array" ref="DJ9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90" s="821">
        <f>SUM(AlimentsRationPintadesFemelles[[#This Row],[Valeur 6 et plus]:[Valeur 0-1]])</f>
        <v>0</v>
      </c>
      <c r="DL90" s="1321"/>
      <c r="DM90" s="1321"/>
      <c r="DN90" s="1176" t="s">
        <v>727</v>
      </c>
      <c r="DO90" s="1177" t="s">
        <v>285</v>
      </c>
      <c r="DP90" s="1177" t="s">
        <v>1253</v>
      </c>
      <c r="DQ90" s="1181">
        <v>1.6</v>
      </c>
      <c r="DR90" s="1181">
        <v>1.4</v>
      </c>
      <c r="DS90" s="1181">
        <v>1.2</v>
      </c>
      <c r="DT90" s="1243">
        <v>1</v>
      </c>
      <c r="DU90" s="1345"/>
      <c r="DV90" s="1076" t="str">
        <f t="shared" si="24"/>
        <v>Epinard</v>
      </c>
      <c r="DW90" s="1267">
        <f t="array" ref="DW90">SUM((IF(QualitéAlimentsFaonMâle_0_3_mois=BONNE,VLOOKUP("Epinard",AlimentsRationHivernaleDaims,8,FALSE),0)+(IF(QualitéAlimentsFaonFemelle_0_3_mois=BONNE,VLOOKUP("Epinard",AlimentsRationHivernaleDaims,8,FALSE),0)+(IF(QualitéAlimentsFaonMâle_3_6_mois=BONNE,VLOOKUP("Epinard",AlimentsRationHivernaleDaims,7,FALSE),0)+(IF(QualitéAlimentsFaonFemelle_3_6_mois=BONNE,VLOOKUP("Epinard",AlimentsRationHivernaleDaims,7,FALSE),0)+(IF(QualitéAlimentsFaonMâle_6_12_mois=BONNE,VLOOKUP("Epinard",AlimentsRationHivernaleDaims,6,FALSE),0)+(IF(QualitéAlimentsFaonFemelle_6_12_mois=BONNE,VLOOKUP("Epinard",AlimentsRationHivernaleDaims,6,FALSE),0)+(IF(QualitéAlimentsJeuneDaim_12_18_mois=BONNE,VLOOKUP("Epinard",AlimentsRationHivernaleDaims,5,FALSE),0)+(IF(QualitéAlimentsJeuneDaine_12_18_mois=BONNE,VLOOKUP("Epinard",AlimentsRationHivernaleDaims,5,FALSE),0)+(IF(QualitéAlimentsJeuneDaim_18_24_mois=BONNE,VLOOKUP("Epinard",AlimentsRationHivernaleDaims,4,FALSE),0)+(IF(QualitéAlimentsJeuneDaine_18_24_mois=BONNE,VLOOKUP("Epinard",AlimentsRationHivernaleDaims,4,FALSE),0)+(IF(QualitéAlimentsJeuneDaim_24_36_mois=BONNE,VLOOKUP("Epinard",AlimentsRationHivernaleDaims,3,FALSE),0)+(IF(QualitéAlimentsJeuneDaine_24_36_mois=BONNE,VLOOKUP("Epinard",AlimentsRationHivernaleDaims,3,FALSE),0)+(IF(QualitéAlimentsDaim=BONNE,VLOOKUP("Epinard",AlimentsRationHivernaleDaims,2,FALSE),0)+(IF(QualitéAlimentsDaine=BONNE,VLOOKUP("Epinard",AlimentsRationHivernaleDaims,2,FALSE),0))))))))))))))))</f>
        <v>0</v>
      </c>
      <c r="DX90" s="1267">
        <f t="array" ref="DX90">SUM((IF(QualitéAlimentsFaonMâle_0_3_mois=MOYENNE,VLOOKUP("Epinard",AlimentsRationHivernaleDaims,8,FALSE),0)+(IF(QualitéAlimentsFaonFemelle_0_3_mois=MOYENNE,VLOOKUP("Epinard",AlimentsRationHivernaleDaims,8,FALSE),0)+(IF(QualitéAlimentsFaonMâle_3_6_mois=MOYENNE,VLOOKUP("Epinard",AlimentsRationHivernaleDaims,7,FALSE),0)+(IF(QualitéAlimentsFaonFemelle_3_6_mois=MOYENNE,VLOOKUP("Epinard",AlimentsRationHivernaleDaims,7,FALSE),0)+(IF(QualitéAlimentsFaonMâle_6_12_mois=MOYENNE,VLOOKUP("Epinard",AlimentsRationHivernaleDaims,6,FALSE),0)+(IF(QualitéAlimentsFaonFemelle_6_12_mois=MOYENNE,VLOOKUP("Epinard",AlimentsRationHivernaleDaims,6,FALSE),0)+(IF(QualitéAlimentsJeuneDaim_12_18_mois=MOYENNE,VLOOKUP("Epinard",AlimentsRationHivernaleDaims,5,FALSE),0)+(IF(QualitéAlimentsJeuneDaine_12_18_mois=MOYENNE,VLOOKUP("Epinard",AlimentsRationHivernaleDaims,5,FALSE),0)+(IF(QualitéAlimentsJeuneDaim_18_24_mois=MOYENNE,VLOOKUP("Epinard",AlimentsRationHivernaleDaims,4,FALSE),0)+(IF(QualitéAlimentsJeuneDaine_18_24_mois=MOYENNE,VLOOKUP("Epinard",AlimentsRationHivernaleDaims,4,FALSE),0)+(IF(QualitéAlimentsJeuneDaim_24_36_mois=MOYENNE,VLOOKUP("Epinard",AlimentsRationHivernaleDaims,3,FALSE),0)+(IF(QualitéAlimentsJeuneDaine_24_36_mois=MOYENNE,VLOOKUP("Epinard",AlimentsRationHivernaleDaims,3,FALSE),0)+(IF(QualitéAlimentsDaim=MOYENNE,VLOOKUP("Epinard",AlimentsRationHivernaleDaims,2,FALSE),0)+(IF(QualitéAlimentsDaine=MOYENNE,VLOOKUP("Epinard",AlimentsRationHivernaleDaims,2,FALSE),0))))))))))))))))</f>
        <v>0</v>
      </c>
      <c r="DY90" s="1267">
        <f t="array" ref="DY90">SUM((IF(QualitéAlimentsFaonMâle_0_3_mois=MAUVAISE,VLOOKUP("Epinard",AlimentsRationHivernaleDaims,8,FALSE),0)+(IF(QualitéAlimentsFaonFemelle_0_3_mois=MAUVAISE,VLOOKUP("Epinard",AlimentsRationHivernaleDaims,8,FALSE),0)+(IF(QualitéAlimentsFaonMâle_3_6_mois=MAUVAISE,VLOOKUP("Epinard",AlimentsRationHivernaleDaims,7,FALSE),0)+(IF(QualitéAlimentsFaonFemelle_3_6_mois=MAUVAISE,VLOOKUP("Epinard",AlimentsRationHivernaleDaims,7,FALSE),0)+(IF(QualitéAlimentsFaonMâle_6_12_mois=MAUVAISE,VLOOKUP("Epinard",AlimentsRationHivernaleDaims,6,FALSE),0)+(IF(QualitéAlimentsFaonFemelle_6_12_mois=MAUVAISE,VLOOKUP("Epinard",AlimentsRationHivernaleDaims,6,FALSE),0)+(IF(QualitéAlimentsJeuneDaim_12_18_mois=MAUVAISE,VLOOKUP("Epinard",AlimentsRationHivernaleDaims,5,FALSE),0)+(IF(QualitéAlimentsJeuneDaine_12_18_mois=MAUVAISE,VLOOKUP("Epinard",AlimentsRationHivernaleDaims,5,FALSE),0)+(IF(QualitéAlimentsJeuneDaim_18_24_mois=MAUVAISE,VLOOKUP("Epinard",AlimentsRationHivernaleDaims,4,FALSE),0)+(IF(QualitéAlimentsJeuneDaine_18_24_mois=MAUVAISE,VLOOKUP("Epinard",AlimentsRationHivernaleDaims,4,FALSE),0)+(IF(QualitéAlimentsJeuneDaim_24_36_mois=MAUVAISE,VLOOKUP("Epinard",AlimentsRationHivernaleDaims,3,FALSE),0)+(IF(QualitéAlimentsJeuneDaine_24_36_mois=MAUVAISE,VLOOKUP("Epinard",AlimentsRationHivernaleDaims,3,FALSE),0)+(IF(QualitéAlimentsDaim=MAUVAISE,VLOOKUP("Epinard",AlimentsRationHivernaleDaims,2,FALSE),0)+(IF(QualitéAlimentsDaine=MAUVAISE,VLOOKUP("Epinard",AlimentsRationHivernaleDaims,2,FALSE),0))))))))))))))))</f>
        <v>0</v>
      </c>
      <c r="DZ90" s="1345"/>
      <c r="EA90" s="1345"/>
      <c r="EB90" s="1345"/>
      <c r="EC90" s="1345"/>
      <c r="ED90" s="1345"/>
      <c r="EE90" s="1365"/>
      <c r="EF90" s="1321"/>
      <c r="EG90" s="808"/>
      <c r="EH90" s="817">
        <f t="array" ref="EH9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90" s="817">
        <f t="array" ref="EI9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90" s="817">
        <f t="array" ref="EJ90">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90" s="818">
        <f>SUM(AlimentsRationOiesMâles[[#This Row],[Valeur 6 et plus]:[Valeur 0-3]])</f>
        <v>0</v>
      </c>
      <c r="EL90" s="1364"/>
      <c r="EM90" s="1321"/>
      <c r="EN90" s="792"/>
      <c r="EO90" s="793">
        <f t="array" ref="EO9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6 et plus],MATCH(ChoixRationCanards&amp;Ration_canards_Mâles[[#This Row],[aliment]],Règles_canards[Ration]&amp;Règles_canards[Aliment],0)),0),0)*TotalCanardsMalesAdultes*SUM(NbreJoursNourrirAutres))</f>
        <v>0</v>
      </c>
      <c r="EP90" s="793">
        <f t="array" ref="EP9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3-6],MATCH(ChoixRationCanards&amp;Ration_canards_Mâles[[#This Row],[aliment]],Règles_canards[Ration]&amp;Règles_canards[Aliment],0)),0),0)*jeune_canard_3_6_mois*SUM(NbreJoursNourrirAutres))</f>
        <v>0</v>
      </c>
      <c r="EQ90" s="793">
        <f t="array" ref="EQ90">IF(ChoixRationComplèteCanards=OUI,0,IFERROR(IF(OR(AND(INDEX(Règles_canards[Specificite],MATCH(ChoixRationCanards&amp;Ration_canards_Mâles[[#This Row],[aliment]],Règles_canards[Ration]&amp;Règles_canards[Aliment],0))="s1",IF(Ration_canards_Mâles[[#This Row],[aliment]]=Spécificité1Canards,1)),
AND(INDEX(Règles_canards[Specificite],MATCH(ChoixRationCanards&amp;Ration_canards_Mâles[[#This Row],[aliment]],Règles_canards[Ration]&amp;Règles_canards[Aliment],0))="s2",IF(Ration_canards_Mâles[[#This Row],[aliment]]=Spécificité2Canards,1)),
INDEX(Règles_canards[Specificite],MATCH(ChoixRationCanards&amp;Ration_canards_Mâles[[#This Row],[aliment]],Règles_canards[Ration]&amp;Règles_canards[Aliment],0))="c"),
INDEX(Règles_canards[Valeur 0-3],MATCH(ChoixRationCanards&amp;Ration_canards_Mâles[[#This Row],[aliment]],Règles_canards[Ration]&amp;Règles_canards[Aliment],0)),0),0)*caneton_mâle_0_3_mois*SUM(NbreJoursNourrirAutres))</f>
        <v>0</v>
      </c>
      <c r="ER90" s="819">
        <f>SUM(Ration_canards_Mâles[[#This Row],[Valeur 6 et plus]:[Valeur 0-3]])</f>
        <v>0</v>
      </c>
      <c r="ES90" s="1364"/>
      <c r="ET90" s="1321"/>
      <c r="EU90" s="1082" t="s">
        <v>1273</v>
      </c>
      <c r="EV90" s="1282">
        <f t="array" ref="EV90">IF(OR(ChoixRationComplèteEtéChevauxSelle=OUI,ChoixRationComplèteEtéChevauxSelle="",AND(ChoixChevauxSellePréHiver=OUI,ChoixChevauxSellePréEté=OUI)),0,IFERROR(IF(OR(AND(INDEX(Règles_chevaux_selle[Specificite],MATCH(RationEtéChevauxSelle&amp;$EU90,Règles_chevaux_selle[Ration]&amp;Règles_chevaux_selle[Aliment],0))="s1",IF($EU90=Spécificité1ChevauxSelle,1)),
AND(INDEX(Règles_chevaux_selle[Specificite],MATCH(RationEtéChevauxSelle&amp;$EU90,Règles_chevaux_selle[Ration]&amp;Règles_chevaux_selle[Aliment],0))="s2",IF($EU90=Spécificité2ChevauxSelle,1)),
INDEX(Règles_chevaux_selle[Specificite],MATCH(RationEtéChevauxSelle&amp;$EU90,Règles_chevaux_selle[Ration]&amp;Règles_chevaux_selle[Aliment],0))="c"),
INDEX(Règles_chevaux_selle[Valeur 36 et plus],MATCH(RationEtéChevauxSelle&amp;$EU90,Règles_chevaux_selle[Ration]&amp;Règles_chevaux_selle[Aliment],0)),0),0)*TotalEtalonSelle*SUM(NbreJoursNourrirChevauxSelle))</f>
        <v>0</v>
      </c>
      <c r="EW90" s="1282">
        <f t="array" ref="EW90">IF(OR(ChoixRationComplèteEtéChevauxSelle=OUI,ChoixRationComplèteEtéChevauxSelle="",AND(ChoixChevauxSellePréHiver=OUI,ChoixChevauxSellePréEté=OUI)),0,IFERROR(IF(OR(AND(INDEX(Règles_chevaux_selle[Specificite],MATCH(RationEtéChevauxSelle&amp;$EU90,Règles_chevaux_selle[Ration]&amp;Règles_chevaux_selle[Aliment],0))="s1",IF($EU90=Spécificité1ChevauxSelle,1)),
AND(INDEX(Règles_chevaux_selle[Specificite],MATCH(RationEtéChevauxSelle&amp;$EU90,Règles_chevaux_selle[Ration]&amp;Règles_chevaux_selle[Aliment],0))="s2",IF($EU90=Spécificité2ChevauxSelle,1)),
INDEX(Règles_chevaux_selle[Specificite],MATCH(RationEtéChevauxSelle&amp;$EU90,Règles_chevaux_selle[Ration]&amp;Règles_chevaux_selle[Aliment],0))="c"),
INDEX(Règles_chevaux_selle[Valeur 24-36],MATCH(RationEtéChevauxSelle&amp;$EU90,Règles_chevaux_selle[Ration]&amp;Règles_chevaux_selle[Aliment],0)),0),0)*TotalJeuneEtalonSelle_24_36_mois*SUM(NbreJoursNourrirChevauxSelle))</f>
        <v>0</v>
      </c>
      <c r="EX90" s="1282">
        <f t="array" ref="EX90">IF(OR(ChoixRationComplèteEtéChevauxSelle=OUI,ChoixRationComplèteEtéChevauxSelle="",AND(ChoixChevauxSellePréHiver=OUI,ChoixChevauxSellePréEté=OUI)),0,IFERROR(IF(OR(AND(INDEX(Règles_chevaux_selle[Specificite],MATCH(RationEtéChevauxSelle&amp;$EU90,Règles_chevaux_selle[Ration]&amp;Règles_chevaux_selle[Aliment],0))="s1",IF($EU90=Spécificité1ChevauxSelle,1)),
AND(INDEX(Règles_chevaux_selle[Specificite],MATCH(RationEtéChevauxSelle&amp;$EU90,Règles_chevaux_selle[Ration]&amp;Règles_chevaux_selle[Aliment],0))="s2",IF($EU90=Spécificité2ChevauxSelle,1)),
INDEX(Règles_chevaux_selle[Specificite],MATCH(RationEtéChevauxSelle&amp;$EU90,Règles_chevaux_selle[Ration]&amp;Règles_chevaux_selle[Aliment],0))="c"),
INDEX(Règles_chevaux_selle[Valeur 12-24],MATCH(RationEtéChevauxSelle&amp;$EU90,Règles_chevaux_selle[Ration]&amp;Règles_chevaux_selle[Aliment],0)),0),0)*TotalJeuneEtalonSelle_12_24_mois*SUM(NbreJoursNourrirChevauxSelle))</f>
        <v>0</v>
      </c>
      <c r="EY90" s="1285">
        <f t="array" ref="EY90">IF(OR(ChoixRationComplèteEtéChevauxSelle=OUI,ChoixRationComplèteEtéChevauxSelle="",AND(ChoixChevauxSellePréHiver=OUI,ChoixChevauxSellePréEté=OUI)),0,IFERROR(IF(OR(AND(INDEX(Règles_chevaux_selle[Specificite],MATCH(RationEtéChevauxSelle&amp;$EU90,Règles_chevaux_selle[Ration]&amp;Règles_chevaux_selle[Aliment],0))="s1",IF($EU90=Spécificité1ChevauxSelle,1)),
AND(INDEX(Règles_chevaux_selle[Specificite],MATCH(RationEtéChevauxSelle&amp;$EU90,Règles_chevaux_selle[Ration]&amp;Règles_chevaux_selle[Aliment],0))="s2",IF($EU90=Spécificité2ChevauxSelle,1)),
INDEX(Règles_chevaux_selle[Specificite],MATCH(RationEtéChevauxSelle&amp;$EU90,Règles_chevaux_selle[Ration]&amp;Règles_chevaux_selle[Aliment],0))="c"),
INDEX(Règles_chevaux_selle[Valeur 0-12],MATCH(RationEtéChevauxSelle&amp;$EU90,Règles_chevaux_selle[Ration]&amp;Règles_chevaux_selle[Aliment],0)),0),0)*TotalPoulainSelle_0_12_mois*SUM(NbreJoursNourrirChevauxSelle))</f>
        <v>0</v>
      </c>
      <c r="EZ90" s="1285">
        <f t="shared" si="16"/>
        <v>0</v>
      </c>
      <c r="FA90" s="1345"/>
      <c r="FB90" s="1345"/>
      <c r="FC90" s="1321"/>
      <c r="FD90" s="1082"/>
      <c r="FE90" s="1282">
        <f t="array" ref="FE90">IF(OR(ChoixRationComplèteEtéChevauxTrait=OUI,ChoixRationComplèteEtéChevauxTrait="",AND(ChoixChevauxTraitPréHiver=OUI,ChoixChevauxTraitPréEté=OUI)),0,IFERROR(IF(OR(AND(INDEX(Règles_chevaux_trait[Specificite],MATCH(RationEtéChevauxTrait&amp;$FD90,Règles_chevaux_trait[Ration]&amp;Règles_chevaux_trait[Aliment],0))="s1",IF($FD90=Spécificité1ChevauxTrait,1)),
AND(INDEX(Règles_chevaux_trait[Specificite],MATCH(RationEtéChevauxTrait&amp;$FD90,Règles_chevaux_trait[Ration]&amp;Règles_chevaux_trait[Aliment],0))="s2",IF($FD90=Spécificité2ChevauxTrait,1)),
INDEX(Règles_chevaux_trait[Specificite],MATCH(RationEtéChevauxTrait&amp;$FD90,Règles_chevaux_trait[Ration]&amp;Règles_chevaux_trait[Aliment],0))="c"),
INDEX(Règles_chevaux_trait[Valeur 36 et plus],MATCH(RationEtéChevauxTrait&amp;$FD90,Règles_chevaux_trait[Ration]&amp;Règles_chevaux_trait[Aliment],0)),0),0)*TotalEtalonTrait*SUM(NbreJoursNourrirChevauxTrait))</f>
        <v>0</v>
      </c>
      <c r="FF90" s="1282">
        <f t="array" ref="FF90">IF(OR(ChoixRationComplèteEtéChevauxTrait=OUI,ChoixRationComplèteEtéChevauxTrait="",AND(ChoixChevauxTraitPréHiver=OUI,ChoixChevauxTraitPréEté=OUI)),0,IFERROR(IF(OR(AND(INDEX(Règles_chevaux_trait[Specificite],MATCH(RationEtéChevauxTrait&amp;$FD90,Règles_chevaux_trait[Ration]&amp;Règles_chevaux_trait[Aliment],0))="s1",IF($FD90=Spécificité1ChevauxTrait,1)),
AND(INDEX(Règles_chevaux_trait[Specificite],MATCH(RationEtéChevauxTrait&amp;$FD90,Règles_chevaux_trait[Ration]&amp;Règles_chevaux_trait[Aliment],0))="s2",IF($FD90=Spécificité2ChevauxTrait,1)),
INDEX(Règles_chevaux_trait[Specificite],MATCH(RationEtéChevauxTrait&amp;$FD90,Règles_chevaux_trait[Ration]&amp;Règles_chevaux_trait[Aliment],0))="c"),
INDEX(Règles_chevaux_trait[Valeur 24-36],MATCH(RationEtéChevauxTrait&amp;$FD90,Règles_chevaux_trait[Ration]&amp;Règles_chevaux_trait[Aliment],0)),0),0)*TotalJeuneEtalonTrait_24_36_mois*SUM(NbreJoursNourrirChevauxTrait))</f>
        <v>0</v>
      </c>
      <c r="FG90" s="1282">
        <f t="array" ref="FG90">IF(OR(ChoixRationComplèteEtéChevauxTrait=OUI,ChoixRationComplèteEtéChevauxTrait="",AND(ChoixChevauxTraitPréHiver=OUI,ChoixChevauxTraitPréEté=OUI)),0,IFERROR(IF(OR(AND(INDEX(Règles_chevaux_trait[Specificite],MATCH(RationEtéChevauxTrait&amp;$FD90,Règles_chevaux_trait[Ration]&amp;Règles_chevaux_trait[Aliment],0))="s1",IF($FD90=Spécificité1ChevauxTrait,1)),
AND(INDEX(Règles_chevaux_trait[Specificite],MATCH(RationEtéChevauxTrait&amp;$FD90,Règles_chevaux_trait[Ration]&amp;Règles_chevaux_trait[Aliment],0))="s2",IF($FD90=Spécificité2ChevauxTrait,1)),
INDEX(Règles_chevaux_trait[Specificite],MATCH(RationEtéChevauxTrait&amp;$FD90,Règles_chevaux_trait[Ration]&amp;Règles_chevaux_trait[Aliment],0))="c"),
INDEX(Règles_chevaux_trait[Valeur 12-24],MATCH(RationEtéChevauxTrait&amp;$FD90,Règles_chevaux_trait[Ration]&amp;Règles_chevaux_trait[Aliment],0)),0),0)*TotalJeuneEtalonTrait_12_24_mois*SUM(NbreJoursNourrirChevauxTrait))</f>
        <v>0</v>
      </c>
      <c r="FH90" s="1285">
        <f t="array" ref="FH90">IF(OR(ChoixRationComplèteEtéChevauxTrait=OUI,ChoixRationComplèteEtéChevauxTrait="",AND(ChoixChevauxTraitPréHiver=OUI,ChoixChevauxTraitPréEté=OUI)),0,IFERROR(IF(OR(AND(INDEX(Règles_chevaux_trait[Specificite],MATCH(RationEtéChevauxTrait&amp;$FD90,Règles_chevaux_trait[Ration]&amp;Règles_chevaux_trait[Aliment],0))="s1",IF($FD90=Spécificité1ChevauxTrait,1)),
AND(INDEX(Règles_chevaux_trait[Specificite],MATCH(RationEtéChevauxTrait&amp;$FD90,Règles_chevaux_trait[Ration]&amp;Règles_chevaux_trait[Aliment],0))="s2",IF($FD90=Spécificité2ChevauxTrait,1)),
INDEX(Règles_chevaux_trait[Specificite],MATCH(RationEtéChevauxTrait&amp;$FD90,Règles_chevaux_trait[Ration]&amp;Règles_chevaux_trait[Aliment],0))="c"),
INDEX(Règles_chevaux_trait[Valeur 0-12],MATCH(RationEtéChevauxTrait&amp;$FD90,Règles_chevaux_trait[Ration]&amp;Règles_chevaux_trait[Aliment],0)),0),0)*TotalPoulainTrait_0_12_mois*SUM(NbreJoursNourrirChevauxTrait))</f>
        <v>0</v>
      </c>
      <c r="FI90" s="1285">
        <f t="shared" si="15"/>
        <v>0</v>
      </c>
      <c r="FJ90" s="1345"/>
      <c r="FK90" s="1345"/>
      <c r="FL90" s="1345"/>
      <c r="FM90" s="1321"/>
      <c r="FN90" s="1083"/>
      <c r="FO90" s="1283">
        <f t="array" ref="FO90">IF(OR(ChoixRationComplèteEtéPoneys=OUI,ChoixRationComplèteEtéPoneys="",AND(ChoixPoneysPréHiver=OUI,ChoixPoneysPréEté=OUI)),0,IFERROR(IF(OR(AND(INDEX(Règles_poneys[Specificite],MATCH(RationEtéPoneys&amp;$FN90,Règles_poneys[Ration]&amp;Règles_poneys[Aliment],0))="s1",IF($FN90=Spécificité1Poneys,1)),
AND(INDEX(Règles_poneys[Specificite],MATCH(RationEtéPoneys&amp;$FN90,Règles_poneys[Ration]&amp;Règles_poneys[Aliment],0))="s2",IF($FN90=Spécificité2Poneys,1)),
INDEX(Règles_poneys[Specificite],MATCH(RationEtéPoneys&amp;$FN90,Règles_poneys[Ration]&amp;Règles_poneys[Aliment],0))="c"),
INDEX(Règles_poneys[Valeur 36 et plus],MATCH(RationEtéPoneys&amp;$FN90,Règles_poneys[Ration]&amp;Règles_poneys[Aliment],0)),0),0)*TotalEtalonPoney*SUM(NbreJoursNourrirPoneys))</f>
        <v>0</v>
      </c>
      <c r="FP90" s="1283">
        <f t="array" ref="FP90">IF(OR(ChoixRationComplèteEtéPoneys=OUI,ChoixRationComplèteEtéPoneys="",AND(ChoixPoneysPréHiver=OUI,ChoixPoneysPréEté=OUI)),0,IFERROR(IF(OR(AND(INDEX(Règles_poneys[Specificite],MATCH(RationEtéPoneys&amp;$FN90,Règles_poneys[Ration]&amp;Règles_poneys[Aliment],0))="s1",IF($FN90=Spécificité1Poneys,1)),
AND(INDEX(Règles_poneys[Specificite],MATCH(RationEtéPoneys&amp;$FN90,Règles_poneys[Ration]&amp;Règles_poneys[Aliment],0))="s2",IF($FN90=Spécificité2Poneys,1)),
INDEX(Règles_poneys[Specificite],MATCH(RationEtéPoneys&amp;$FN90,Règles_poneys[Ration]&amp;Règles_poneys[Aliment],0))="c"),
INDEX(Règles_poneys[Valeur 36 et plus],MATCH(RationEtéPoneys&amp;$FN90,Règles_poneys[Ration]&amp;Règles_poneys[Aliment],0)),0),0)*TotalJeuneEtalonPoney_24_36_mois*SUM(NbreJoursNourrirPoneys))</f>
        <v>0</v>
      </c>
      <c r="FQ90" s="1283">
        <f t="array" ref="FQ90">IF(OR(ChoixRationComplèteEtéPoneys=OUI,ChoixRationComplèteEtéPoneys="",AND(ChoixPoneysPréHiver=OUI,ChoixPoneysPréEté=OUI)),0,IFERROR(IF(OR(AND(INDEX(Règles_poneys[Specificite],MATCH(RationEtéPoneys&amp;$FN90,Règles_poneys[Ration]&amp;Règles_poneys[Aliment],0))="s1",IF($FN90=Spécificité1Poneys,1)),
AND(INDEX(Règles_poneys[Specificite],MATCH(RationEtéPoneys&amp;$FN90,Règles_poneys[Ration]&amp;Règles_poneys[Aliment],0))="s2",IF($FN90=Spécificité2Poneys,1)),
INDEX(Règles_poneys[Specificite],MATCH(RationEtéPoneys&amp;$FN90,Règles_poneys[Ration]&amp;Règles_poneys[Aliment],0))="c"),
INDEX(Règles_poneys[Valeur 36 et plus],MATCH(RationEtéPoneys&amp;$FN90,Règles_poneys[Ration]&amp;Règles_poneys[Aliment],0)),0),0)*TotalJeuneEtalonPoney_12_24_mois*SUM(NbreJoursNourrirPoneys))</f>
        <v>0</v>
      </c>
      <c r="FR90" s="1286">
        <f t="array" ref="FR90">IF(OR(ChoixRationComplèteEtéPoneys=OUI,ChoixRationComplèteEtéPoneys="",AND(ChoixPoneysPréHiver=OUI,ChoixPoneysPréEté=OUI)),0,IFERROR(IF(OR(AND(INDEX(Règles_poneys[Specificite],MATCH(RationEtéPoneys&amp;$FN90,Règles_poneys[Ration]&amp;Règles_poneys[Aliment],0))="s1",IF($FN90=Spécificité1Poneys,1)),
AND(INDEX(Règles_poneys[Specificite],MATCH(RationEtéPoneys&amp;$FN90,Règles_poneys[Ration]&amp;Règles_poneys[Aliment],0))="s2",IF($FN90=Spécificité2Poneys,1)),
INDEX(Règles_poneys[Specificite],MATCH(RationEtéPoneys&amp;$FN90,Règles_poneys[Ration]&amp;Règles_poneys[Aliment],0))="c"),
INDEX(Règles_poneys[Valeur 36 et plus],MATCH(RationEtéPoneys&amp;$FN90,Règles_poneys[Ration]&amp;Règles_poneys[Aliment],0)),0),0)*TotalPoulainPoney_0_12_mois*SUM(NbreJoursNourrirPoneys))</f>
        <v>0</v>
      </c>
      <c r="FS90" s="1286">
        <f t="shared" si="14"/>
        <v>0</v>
      </c>
      <c r="FT90" s="1345"/>
      <c r="FU90" s="1345"/>
      <c r="FV90" s="1345"/>
      <c r="FW90" s="823" t="str">
        <f>FW43</f>
        <v>Avoine</v>
      </c>
      <c r="FX90" s="828">
        <f t="array" ref="FX9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90" s="828">
        <f t="array" ref="FY9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90" s="828">
        <f t="array" ref="FZ9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90" s="828">
        <f t="array" ref="GA9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90" s="829">
        <f>SUM(AlimentsGavageCanards[[#This Row],[Valeur 3 et plus]:[Valeur 0-1]])</f>
        <v>0</v>
      </c>
      <c r="GC90" s="1321"/>
      <c r="GD90" s="1321"/>
      <c r="GE90" s="1321"/>
      <c r="GF90" s="1321"/>
      <c r="GG90" s="1321" t="s">
        <v>1349</v>
      </c>
      <c r="GH90" s="1321" t="s">
        <v>1349</v>
      </c>
      <c r="GI90" s="1321" t="s">
        <v>1349</v>
      </c>
      <c r="GJ90" s="1321" t="s">
        <v>1349</v>
      </c>
      <c r="GK90" s="1321" t="s">
        <v>1349</v>
      </c>
      <c r="GL90" s="1321" t="s">
        <v>1349</v>
      </c>
      <c r="GM90" s="1321" t="s">
        <v>1349</v>
      </c>
      <c r="GN90" s="1321" t="s">
        <v>1349</v>
      </c>
      <c r="GO90" s="1321" t="s">
        <v>1349</v>
      </c>
      <c r="GP90" s="1321" t="s">
        <v>1349</v>
      </c>
      <c r="GQ90" s="1321" t="s">
        <v>1349</v>
      </c>
      <c r="GR90" s="1321" t="s">
        <v>1349</v>
      </c>
      <c r="GS90" s="1321" t="s">
        <v>1349</v>
      </c>
      <c r="GT90" s="1321" t="s">
        <v>1349</v>
      </c>
      <c r="GU90" s="1321" t="s">
        <v>1349</v>
      </c>
      <c r="GV90" s="1321" t="s">
        <v>1349</v>
      </c>
      <c r="GW90" s="1321"/>
      <c r="GX90" s="1321"/>
      <c r="GY90" s="1083" t="str">
        <f t="shared" si="25"/>
        <v>Phosphore</v>
      </c>
      <c r="GZ90" s="1083"/>
      <c r="HA90" s="1084"/>
      <c r="HB90" s="1084">
        <f>IF(COUNTIF(TypeArticleDansEntrepôt,GY90)=0,0,SUMIF(TypeArticleDansEntrepôt,GY90,QtéArticleDansEntrepôt)*VLOOKUP(GY90,place_necessaire_entrepots_aire_paille[],2,FALSE))</f>
        <v>0</v>
      </c>
      <c r="HC90" s="1321"/>
      <c r="HD90" s="1321"/>
      <c r="HE90" s="1321"/>
      <c r="HF90" s="1321"/>
      <c r="HG90" s="1321"/>
      <c r="HH90" s="1321"/>
      <c r="HI90" s="1321"/>
      <c r="HJ90" s="1321"/>
      <c r="HK90" s="1321"/>
      <c r="HL90" s="1321"/>
      <c r="HM90" s="1321"/>
      <c r="HN90" s="1084" t="str">
        <f>IF(parcelles!B138="","",(VLOOKUP(parcelles!C138,BDD!$HN$5:$HU$38,2,FALSE))*parcelles!E138)</f>
        <v/>
      </c>
      <c r="HO90" s="1084" t="str">
        <f>IF(parcelles!B138="","",IF(OR(parcelles!C138=Moutarde,parcelles!C138=Phacélie),0,IF(parcelles!C138=Luzerne,10*parcelles!E138*VLOOKUP(parcelles!C138,BDD!$HN$5:$HU$38,3,FALSE),IF(parcelles!C138=Miscanthus,10.5*parcelles!E138*VLOOKUP(parcelles!C138,BDD!$HN$5:$HU$38,3,FALSE),INDEX(parcelles!$C$56:'parcelles'!$Y$77,MATCH(parcelles!B138,parcelles!$B$56:'parcelles'!$B$77,0),MATCH(parcelles!C138,parcelles!$C$53:'parcelles'!$Y$53,0))*parcelles!E138*VLOOKUP(parcelles!C138,BDD!$HN$5:$HU$38,3,FALSE)))))</f>
        <v/>
      </c>
      <c r="HP90" s="1084" t="str">
        <f>IF(parcelles!B138="","",IF(OR(parcelles!C138=Moutarde,parcelles!C138=Phacélie),0,IF(parcelles!C138=Luzerne,10*parcelles!E138*VLOOKUP(parcelles!C138,BDD!$HN$5:$HU$38,4,FALSE),IF(parcelles!C138=Miscanthus,10.5*parcelles!E138*VLOOKUP(parcelles!C138,BDD!$HN$5:$HU$38,4,FALSE),INDEX(parcelles!$C$56:'parcelles'!$Y$77,MATCH(parcelles!B138,parcelles!$B$56:'parcelles'!$B$77,0),MATCH(parcelles!C138,parcelles!$C$53:'parcelles'!$Y$53,0))*parcelles!E138*VLOOKUP(parcelles!C138,BDD!$HN$5:$HU$38,4,FALSE)))))</f>
        <v/>
      </c>
      <c r="HQ90" s="1084" t="str">
        <f>IF(parcelles!B138="","",IF(OR(parcelles!C138=Moutarde,parcelles!C138=Phacélie),0,IF(parcelles!C138=Luzerne,10*parcelles!E138*VLOOKUP(parcelles!C138,BDD!$HN$5:$HU$38,5,FALSE),IF(parcelles!C138=Miscanthus,10.5*parcelles!E138*VLOOKUP(parcelles!C138,BDD!$HN$5:$HU$38,5,FALSE),INDEX(parcelles!$C$56:'parcelles'!$Y$77,MATCH(parcelles!B138,parcelles!$B$56:'parcelles'!$B$77,0),MATCH(parcelles!C138,parcelles!$C$53:'parcelles'!$Y$53,0))*parcelles!E138*VLOOKUP(parcelles!C138,BDD!$HN$5:$HU$38,5,FALSE)))))</f>
        <v/>
      </c>
      <c r="HR90" s="1084" t="str">
        <f>IF(parcelles!B138="","",IF(OR(parcelles!C138=Moutarde,parcelles!C138=Phacélie),0,IF(parcelles!C138=Luzerne,10*parcelles!E138*VLOOKUP(parcelles!C138,BDD!$HN$5:$HU$38,6,FALSE),IF(parcelles!C138=Miscanthus,10.5*parcelles!E138*VLOOKUP(parcelles!C138,BDD!$HN$5:$HU$38,6,FALSE),INDEX(parcelles!$C$56:'parcelles'!$Y$77,MATCH(parcelles!B138,parcelles!$B$56:'parcelles'!$B$77,0),MATCH(parcelles!C138,parcelles!$C$53:'parcelles'!$Y$53,0))*parcelles!E138*VLOOKUP(parcelles!C138,BDD!$HN$5:$HU$38,6,FALSE)))))</f>
        <v/>
      </c>
      <c r="HS90" s="1084" t="str">
        <f>IF(parcelles!B138="","",IF(OR(parcelles!C138=Moutarde,parcelles!C138=Phacélie),0,IF(parcelles!C138=Luzerne,10*parcelles!E138*VLOOKUP(parcelles!C138,BDD!$HN$5:$HU$38,7,FALSE),IF(parcelles!C138=Miscanthus,10.5*parcelles!E138*VLOOKUP(parcelles!C138,BDD!$HN$5:$HU$38,7,FALSE),INDEX(parcelles!$C$56:'parcelles'!$Y$77,MATCH(parcelles!B138,parcelles!$B$56:'parcelles'!$B$77,0),MATCH(parcelles!C138,parcelles!$C$53:'parcelles'!$Y$53,0))*parcelles!E138*VLOOKUP(parcelles!C138,BDD!$HN$5:$HU$38,7,FALSE)))))</f>
        <v/>
      </c>
      <c r="HT90" s="1084" t="str">
        <f>IF(parcelles!B138="","",IF(OR(parcelles!C138=Moutarde,parcelles!C138=Phacélie),0,IF(parcelles!C138=Luzerne,10*parcelles!E138*VLOOKUP(parcelles!C138,BDD!$HN$5:$HU$38,8,FALSE),IF(parcelles!C138=Miscanthus,10.5*parcelles!E138*VLOOKUP(parcelles!C138,BDD!$HN$5:$HU$38,8,FALSE),INDEX(parcelles!$C$56:'parcelles'!$Y$77,MATCH(parcelles!B138,parcelles!$B$56:'parcelles'!$B$77,0),MATCH(parcelles!C138,parcelles!$C$53:'parcelles'!$Y$53,0))*parcelles!E138*VLOOKUP(parcelles!C138,BDD!$HN$5:$HU$38,8,FALSE)))))</f>
        <v/>
      </c>
      <c r="HU90" s="1084" t="str">
        <f>IF(parcelles!B138="","",IF(OR(parcelles!C138=Moutarde,parcelles!C138=Phacélie),0,1.6*parcelles!E138))</f>
        <v/>
      </c>
      <c r="HV90" s="1084" t="str">
        <f>IF(parcelles!B138="","",IF(OR(parcelles!C138=Moutarde,parcelles!C138=Phacélie),0,1.6*parcelles!E138))</f>
        <v/>
      </c>
      <c r="HW90" s="1084" t="str">
        <f>IF(parcelles!B138="","",IF(OR(parcelles!C138=Moutarde,parcelles!C138=Phacélie),0,1.6*parcelles!E138))</f>
        <v/>
      </c>
      <c r="HX90" s="1095" t="str">
        <f>IF(parcelles!D138="","",IF(parcelles!C138=ChanvreIndustriel,INDEX(parcelles!$C$56:$Y$77,MATCH(parcelles!B138,parcelles!$B$56:$B$77,0),MATCH(parcelles!C138,parcelles!$C$53:$Y$53,0))*parcelles!E138*SUMIF(ListeCulturesBDD,parcelles!C138,PrixVenteCulturesConventionnel)+RIGHT(BDD!$HM$7,3)*7*parcelles!E138,IF(parcelles!C138=Luzerne,parcelles!E138*10*VLOOKUP(parcelles!C138,TarifsCoopCultures,2,FALSE),IF(parcelles!C138=Miscanthus,parcelles!E138*10.5*VLOOKUP(Luzerne,TarifsCoopCultures,2,FALSE),INDEX(parcelles!$C$56:$Y$77,MATCH(parcelles!B138,parcelles!$B$56:$B$77,0),MATCH(parcelles!C138,parcelles!$C$53:$Y$53,0))*parcelles!E138*SUMIF(ListeCulturesBDD,parcelles!C138,PrixVenteCulturesConventionnel)))))</f>
        <v/>
      </c>
      <c r="HY90" s="1084" t="str">
        <f>IF(parcelles!D138="","",IF(parcelles!F138=0,"",IF(parcelles!C138=ChanvreIndustriel,"soit "&amp;parcelles!E138*0.8&amp;"t de grain et "&amp;parcelles!E138*7&amp;"t de paille",IF(parcelles!C138=Luzerne,"soit "&amp;10*parcelles!E138&amp;"t/an",IF(parcelles!C138=Miscanthus,"soit "&amp;10.5*parcelles!E138&amp;"t/an","soit "&amp;INDEX(parcelles!$C$56:$Y$77,MATCH(parcelles!B138,parcelles!$B$56:$B$77,0),MATCH(parcelles!C138,parcelles!$C$53:$Y$53,0))*parcelles!E138&amp;"t")))))</f>
        <v/>
      </c>
      <c r="HZ90" s="1084" t="str">
        <f>IF(parcelles!D138="","",IF(parcelles!F138=0,"",IF(parcelles!C138=ChanvreIndustriel,"soit "&amp;parcelles!E138*0.8*0.8&amp;"t de grain et "&amp;parcelles!E138*7*0.8&amp;"t de paille",IF(parcelles!C138=Luzerne,"soit "&amp;10*0.8*parcelles!E138&amp;"t/an",IF(parcelles!C138=Miscanthus,"soit "&amp;10.5*0.8*parcelles!E138&amp;"t/an","soit "&amp;INDEX(parcelles!$C$56:$Y$77,MATCH(parcelles!B138,parcelles!$B$56:$B$77,0),MATCH(parcelles!C138,parcelles!$C$53:$Y$53,0))*0.8*parcelles!E138&amp;"t")))))</f>
        <v/>
      </c>
      <c r="IA90" s="1084" t="str">
        <f>IF(parcelles!L138="","",(VLOOKUP(parcelles!M138,BDD!$HN$5:$HU$38,2,FALSE))*parcelles!O138)</f>
        <v/>
      </c>
      <c r="IB90" s="1084" t="str">
        <f>IF(parcelles!L138="","",IF(OR(parcelles!M138=Moutarde,parcelles!M138=Phacélie),0,IF(parcelles!M138=Luzerne,10*parcelles!O138*VLOOKUP(parcelles!M138,BDD!$HN$5:$HU$38,3,FALSE),IF(parcelles!M138=Miscanthus,10.5*parcelles!O138*VLOOKUP(parcelles!M138,BDD!$HN$5:$HU$38,3,FALSE),INDEX(parcelles!$C$56:'parcelles'!$Y$77,MATCH(parcelles!L138,parcelles!$B$56:'parcelles'!$B$77,0),MATCH(parcelles!M138,parcelles!$C$53:'parcelles'!$Y$53,0))*parcelles!O138*VLOOKUP(parcelles!M138,BDD!$HN$5:$HU$38,3,FALSE)))))</f>
        <v/>
      </c>
      <c r="IC90" s="1084" t="str">
        <f>IF(parcelles!L138="","",IF(OR(parcelles!M138=Moutarde,parcelles!M138=Phacélie),0,IF(parcelles!M138=Luzerne,10*parcelles!O138*VLOOKUP(parcelles!M138,BDD!$HN$5:$HU$38,4,FALSE),IF(parcelles!M138=Miscanthus,10.5*parcelles!O138*VLOOKUP(parcelles!M138,BDD!$HN$5:$HU$38,4,FALSE),INDEX(parcelles!$C$56:'parcelles'!$Y$77,MATCH(parcelles!L138,parcelles!$B$56:'parcelles'!$B$77,0),MATCH(parcelles!M138,parcelles!$C$53:'parcelles'!$Y$53,0))*parcelles!O138*VLOOKUP(parcelles!M138,BDD!$HN$5:$HU$38,4,FALSE)))))</f>
        <v/>
      </c>
      <c r="ID90" s="1084" t="str">
        <f>IF(parcelles!L138="","",IF(OR(parcelles!M138=Moutarde,parcelles!M138=Phacélie),0,IF(parcelles!M138=Luzerne,10*parcelles!O138*VLOOKUP(parcelles!M138,BDD!$HN$5:$HU$38,5,FALSE),IF(parcelles!M138=Miscanthus,10.5*parcelles!O138*VLOOKUP(parcelles!M138,BDD!$HN$5:$HU$38,5,FALSE),INDEX(parcelles!$C$56:'parcelles'!$Y$77,MATCH(parcelles!L138,parcelles!$B$56:'parcelles'!$B$77,0),MATCH(parcelles!M138,parcelles!$C$53:'parcelles'!$Y$53,0))*parcelles!O138*VLOOKUP(parcelles!M138,BDD!$HN$5:$HU$38,5,FALSE)))))</f>
        <v/>
      </c>
      <c r="IE90" s="1084" t="str">
        <f>IF(parcelles!L138="","",IF(OR(parcelles!M138=Moutarde,parcelles!M138=Phacélie),0,IF(parcelles!M138=Luzerne,10*parcelles!O138*VLOOKUP(parcelles!M138,BDD!$HN$5:$HU$38,6,FALSE),IF(parcelles!M138=Miscanthus,10.5*parcelles!O138*VLOOKUP(parcelles!M138,BDD!$HN$5:$HU$38,6,FALSE),INDEX(parcelles!$C$56:'parcelles'!$Y$77,MATCH(parcelles!L138,parcelles!$B$56:'parcelles'!$B$77,0),MATCH(parcelles!M138,parcelles!$C$53:'parcelles'!$Y$53,0))*parcelles!O138*VLOOKUP(parcelles!M138,BDD!$HN$5:$HU$38,6,FALSE)))))</f>
        <v/>
      </c>
      <c r="IF90" s="1084" t="str">
        <f>IF(parcelles!L138="","",IF(OR(parcelles!M138=Moutarde,parcelles!M138=Phacélie),0,IF(parcelles!M138=Luzerne,10*parcelles!O138*VLOOKUP(parcelles!M138,BDD!$HN$5:$HU$38,7,FALSE),IF(parcelles!M138=Miscanthus,10.5*parcelles!O138*VLOOKUP(parcelles!M138,BDD!$HN$5:$HU$38,7,FALSE),INDEX(parcelles!$C$56:'parcelles'!$Y$77,MATCH(parcelles!L138,parcelles!$B$56:'parcelles'!$B$77,0),MATCH(parcelles!M138,parcelles!$C$53:'parcelles'!$Y$53,0))*parcelles!O138*VLOOKUP(parcelles!M138,BDD!$HN$5:$HU$38,7,FALSE)))))</f>
        <v/>
      </c>
      <c r="IG90" s="1084" t="str">
        <f>IF(parcelles!L138="","",IF(OR(parcelles!M138=Moutarde,parcelles!M138=Phacélie),0,IF(parcelles!M138=Luzerne,10*parcelles!O138*VLOOKUP(parcelles!M138,BDD!$HN$5:$HU$38,8,FALSE),IF(parcelles!M138=Miscanthus,10.5*parcelles!O138*VLOOKUP(parcelles!M138,BDD!$HN$5:$HU$38,8,FALSE),INDEX(parcelles!$C$56:'parcelles'!$Y$77,MATCH(parcelles!L138,parcelles!$B$56:'parcelles'!$B$77,0),MATCH(parcelles!M138,parcelles!$C$53:'parcelles'!$Y$53,0))*parcelles!O138*VLOOKUP(parcelles!M138,BDD!$HN$5:$HU$38,8,FALSE)))))</f>
        <v/>
      </c>
      <c r="IH90" s="1084" t="str">
        <f>IF(parcelles!L138="","",IF(OR(parcelles!L138=Moutarde,parcelles!L138=Phacélie),0,1.6*parcelles!O138))</f>
        <v/>
      </c>
      <c r="II90" s="1084" t="str">
        <f>IF(parcelles!L138="","",IF(OR(parcelles!L138=Moutarde,parcelles!L138=Phacélie),0,1.6*parcelles!O138))</f>
        <v/>
      </c>
      <c r="IJ90" s="1084" t="str">
        <f>IF(parcelles!L138="","",IF(OR(parcelles!L138=Moutarde,parcelles!L138=Phacélie),0,1.6*parcelles!O138))</f>
        <v/>
      </c>
      <c r="IK90" s="1084" t="str">
        <f>IF(parcelles!P138="","",IF(parcelles!R138=0,"",IF(parcelles!O138=ChanvreIndustriel,"soit "&amp;parcelles!Q138*0.8&amp;"t de grain et "&amp;parcelles!Q138*7&amp;"t de paille",IF(parcelles!O138=Luzerne,"soit "&amp;10*parcelles!Q138&amp;"t/an",IF(parcelles!O138=Miscanthus,"soit "&amp;10.5*parcelles!Q138&amp;"t/an","soit "&amp;INDEX(parcelles!$C$56:$Y$77,MATCH(parcelles!N138,parcelles!$B$56:$B$77,0),MATCH(parcelles!O138,parcelles!$C$53:$Y$53,0))*parcelles!Q138&amp;"t")))))</f>
        <v/>
      </c>
      <c r="IL90" s="1084" t="str">
        <f>IF(parcelles!P138="","",IF(parcelles!R138=0,"",IF(parcelles!O138=ChanvreIndustriel,"soit "&amp;parcelles!Q138*0.8*0.8&amp;"t de grain et "&amp;parcelles!Q138*7*0.8&amp;"t de paille",IF(parcelles!O138=Luzerne,"soit "&amp;10*0.8*parcelles!Q138&amp;"t/an",IF(parcelles!O138=Miscanthus,"soit "&amp;10.5*0.8*parcelles!Q138&amp;"t/an","soit "&amp;INDEX(parcelles!$C$56:$Y$77,MATCH(parcelles!N138,parcelles!$B$56:$B$77,0),MATCH(parcelles!O138,parcelles!$C$53:$Y$53,0))*0.8*parcelles!Q138&amp;"t")))))</f>
        <v/>
      </c>
      <c r="IM90" s="1084" t="str">
        <f>IF(parcelles!S138="","",IF(parcelles!U138=0,"",IF(parcelles!R138=ChanvreIndustriel,parcelles!T138*0.8*0.8+parcelles!T138*7*0.8,IF(parcelles!R138=Luzerne,10*0.8*parcelles!T138,IF(parcelles!R138=Miscanthus,10.5*0.8*parcelles!T138,INDEX(parcelles!$C$56:$Y$77,MATCH(parcelles!Q138,parcelles!$B$56:$B$77,0),MATCH(parcelles!R138,parcelles!$C$53:$Y$53,0))*0.8*parcelles!T138)))))</f>
        <v/>
      </c>
      <c r="IN90" s="1368"/>
    </row>
    <row r="91" spans="1:248" ht="12.75" customHeight="1" x14ac:dyDescent="0.2">
      <c r="A91" s="1307" t="s">
        <v>166</v>
      </c>
      <c r="B91" s="1241">
        <f t="shared" si="17"/>
        <v>1E-3</v>
      </c>
      <c r="C91" s="1321"/>
      <c r="D91" s="1321"/>
      <c r="E91" s="1321"/>
      <c r="F91" s="1143" t="s">
        <v>498</v>
      </c>
      <c r="G91" s="1143" t="s">
        <v>1174</v>
      </c>
      <c r="H91" s="1143" t="s">
        <v>1202</v>
      </c>
      <c r="I91" s="1244" t="s">
        <v>1167</v>
      </c>
      <c r="J91" s="1244" t="s">
        <v>1212</v>
      </c>
      <c r="K91" s="1244" t="s">
        <v>1210</v>
      </c>
      <c r="L91" s="1244" t="s">
        <v>1197</v>
      </c>
      <c r="M91" s="1321"/>
      <c r="N91" s="1321"/>
      <c r="O91" s="802" t="s">
        <v>1450</v>
      </c>
      <c r="P91" s="802">
        <f>IF(SUM(ChoixEspèceAuPré)="",0,SUMIF(ChoixEspèceAuPré,Bovins,NbreMâles_0_3MoisAuPréEté))</f>
        <v>0</v>
      </c>
      <c r="Q91" s="802">
        <f>IF(SUM(ChoixEspèceAuPré)="",0,SUMIF(ChoixEspèceAuPré,Ovins,NbreMâles_0_3MoisAuPréEté))</f>
        <v>0</v>
      </c>
      <c r="R91" s="802">
        <f>IF(SUM(ChoixEspèceAuPré)="",0,SUMIF(ChoixEspèceAuPré,Caprins,NbreMâles_0_3MoisAuPréEté))</f>
        <v>0</v>
      </c>
      <c r="S91" s="802">
        <f>IF(SUM(ChoixEspèceAuPré)="",0,SUMIF(ChoixEspèceAuPré,Bisons,NbreMâles_0_3MoisAuPréEté))</f>
        <v>0</v>
      </c>
      <c r="T91" s="802">
        <f>IF(SUM(ChoixEspèceAuPré)="",0,SUMIF(ChoixEspèceAuPré,Daims,NbreMâles_0_3MoisAuPréEté))</f>
        <v>0</v>
      </c>
      <c r="U91" s="802">
        <f>IF(SUM(ChoixEspèceAuPré)="",0,SUMIF(ChoixEspèceAuPré,ChevauxSelle,NbreMâles_0_3MoisAuPréEté))</f>
        <v>0</v>
      </c>
      <c r="V91" s="802">
        <f>IF(SUM(ChoixEspèceAuPré)="",0,SUMIF(ChoixEspèceAuPré,ChevauxTrait,NbreMâles_0_3MoisAuPréEté))</f>
        <v>0</v>
      </c>
      <c r="W91" s="802">
        <f>IF(SUM(ChoixEspèceAuPré)="",0,SUMIF(ChoixEspèceAuPré,Poneys,NbreMâles_0_3MoisAuPréEté))</f>
        <v>0</v>
      </c>
      <c r="X91" s="1321"/>
      <c r="Y91" s="1080" t="s">
        <v>1682</v>
      </c>
      <c r="Z91" s="1080">
        <f>IF('coût alimentation'!$B$6=$Y$91,21,0)</f>
        <v>0</v>
      </c>
      <c r="AA91" s="1080">
        <f>IF('coût alimentation'!$B$6=$Y$91,21,0)</f>
        <v>0</v>
      </c>
      <c r="AB91" s="1080">
        <f>IF('coût alimentation'!$B$6=$Y$91,21,0)</f>
        <v>0</v>
      </c>
      <c r="AC91" s="1080">
        <f>IF('coût alimentation'!$B$6=$Y$91,21,0)</f>
        <v>0</v>
      </c>
      <c r="AD91" s="1080">
        <f>IF('coût alimentation'!$B$6=$Y$91,21,0)</f>
        <v>0</v>
      </c>
      <c r="AE91" s="1080">
        <f>IF('coût alimentation'!$B$6=$Y$91,21,0)</f>
        <v>0</v>
      </c>
      <c r="AF91" s="1080">
        <f>IF('coût alimentation'!$B$6=$Y$91,21,0)</f>
        <v>0</v>
      </c>
      <c r="AG91" s="1080">
        <f>IF('coût alimentation'!$B$6=$Y$91,21,0)</f>
        <v>0</v>
      </c>
      <c r="AH91" s="1321"/>
      <c r="AI91" s="1321"/>
      <c r="AJ91" s="1321"/>
      <c r="AK91" s="1321"/>
      <c r="AL91" s="1321"/>
      <c r="AM91" s="1321"/>
      <c r="AN91" s="1321"/>
      <c r="AO91" s="1321"/>
      <c r="AP91" s="1321"/>
      <c r="AQ91" s="1321"/>
      <c r="AR91" s="1321"/>
      <c r="AS91" s="1321"/>
      <c r="AT91" s="1321"/>
      <c r="AU91" s="1321"/>
      <c r="AV91" s="1321"/>
      <c r="AW91" s="1321"/>
      <c r="AX91" s="1321"/>
      <c r="AY91" s="1321"/>
      <c r="AZ91" s="1321"/>
      <c r="BA91" s="1321"/>
      <c r="BB91" s="1236" t="s">
        <v>727</v>
      </c>
      <c r="BC91" s="1190" t="s">
        <v>63</v>
      </c>
      <c r="BD91" s="1190" t="s">
        <v>1254</v>
      </c>
      <c r="BE91" s="1237">
        <v>4.8</v>
      </c>
      <c r="BF91" s="1237">
        <v>4</v>
      </c>
      <c r="BG91" s="1237">
        <v>4</v>
      </c>
      <c r="BH91" s="1237">
        <v>4</v>
      </c>
      <c r="BI91" s="1237">
        <v>2</v>
      </c>
      <c r="BJ91" s="1237">
        <v>1.2</v>
      </c>
      <c r="BK91" s="1238">
        <v>0</v>
      </c>
      <c r="BL91" s="1348"/>
      <c r="BM91" s="1076" t="str">
        <f t="shared" si="23"/>
        <v>Maïs grain</v>
      </c>
      <c r="BN91" s="1076">
        <f t="array" ref="BN91">IF(Ration_hivernale_complète_bisons[somme]&gt;0,0,IFERROR(IF(OR(AND(INDEX(Règles_bison[Specificite],MATCH(ChoixRationBisons&amp;$BM91,Règles_bison[Ration]&amp;Règles_bison[Aliment],0))="s1",IF($BM91=ChoixSpécificité1Bisons,1)),
AND(INDEX(Règles_bison[Specificite],MATCH(ChoixRationBisons&amp;$BM91,Règles_bison[Ration]&amp;Règles_bison[Aliment],0))="s2",IF($BM91=ChoixSpécificité2Bisons,1)),INDEX(Règles_bison[Specificite],MATCH(ChoixRationBisons&amp;$BM91,Règles_bison[Ration]&amp;Règles_bison[Aliment],0))="c"),
INDEX(Règles_bison[Valeur 36 et plus],MATCH(ChoixRationBisons&amp;$BM91,Règles_bison[Ration]&amp;Règles_bison[Aliment],0)),0),0)*TotalBisonnes*SUM(NbreJoursNourrirBisonsDaims))</f>
        <v>0</v>
      </c>
      <c r="BO91" s="1076">
        <f t="array" ref="BO91">IF(Ration_hivernale_complète_bisons[somme]&gt;0,0,IFERROR(IF(OR(AND(INDEX(Règles_bison[Specificite],MATCH(ChoixRationBisons&amp;$BM91,Règles_bison[Ration]&amp;Règles_bison[Aliment],0))="s1",IF($BM91=ChoixSpécificité1Bisons,1)),
AND(INDEX(Règles_bison[Specificite],MATCH(ChoixRationBisons&amp;$BM91,Règles_bison[Ration]&amp;Règles_bison[Aliment],0))="s2",IF($BM91=ChoixSpécificité2Bisons,1)),INDEX(Règles_bison[Specificite],MATCH(ChoixRationBisons&amp;$BM91,Règles_bison[Ration]&amp;Règles_bison[Aliment],0))="c"),
INDEX(Règles_bison[Valeur 24-36],MATCH(ChoixRationBisons&amp;$BM91,Règles_bison[Ration]&amp;Règles_bison[Aliment],0)),0),0)*TotalBisonsFemelles_24_36_mois*SUM(NbreJoursNourrirBisonsDaims))</f>
        <v>0</v>
      </c>
      <c r="BP91" s="1076">
        <f t="array" ref="BP91">IF(Ration_hivernale_complète_bisons[somme]&gt;0,0,IFERROR(IF(OR(AND(INDEX(Règles_bison[Specificite],MATCH(ChoixRationBisons&amp;$BM91,Règles_bison[Ration]&amp;Règles_bison[Aliment],0))="s1",IF($BM91=ChoixSpécificité1Bisons,1)),
AND(INDEX(Règles_bison[Specificite],MATCH(ChoixRationBisons&amp;$BM91,Règles_bison[Ration]&amp;Règles_bison[Aliment],0))="s2",IF($BM91=ChoixSpécificité2Bisons,1)),INDEX(Règles_bison[Specificite],MATCH(ChoixRationBisons&amp;$BM91,Règles_bison[Ration]&amp;Règles_bison[Aliment],0))="c"),
INDEX(Règles_bison[Valeur 18-24],MATCH(ChoixRationBisons&amp;$BM91,Règles_bison[Ration]&amp;Règles_bison[Aliment],0)),0),0)*TotalBisonsFemelles_18_24_mois*SUM(NbreJoursNourrirBisonsDaims))</f>
        <v>0</v>
      </c>
      <c r="BQ91" s="1076">
        <f t="array" ref="BQ91">IF(Ration_hivernale_complète_bisons[somme]&gt;0,0,IFERROR(IF(OR(AND(INDEX(Règles_bison[Specificite],MATCH(ChoixRationBisons&amp;$BM91,Règles_bison[Ration]&amp;Règles_bison[Aliment],0))="s1",IF($BM91=ChoixSpécificité1Bisons,1)),
AND(INDEX(Règles_bison[Specificite],MATCH(ChoixRationBisons&amp;$BM91,Règles_bison[Ration]&amp;Règles_bison[Aliment],0))="s2",IF($BM91=ChoixSpécificité2Bisons,1)),INDEX(Règles_bison[Specificite],MATCH(ChoixRationBisons&amp;$BM91,Règles_bison[Ration]&amp;Règles_bison[Aliment],0))="c"),
INDEX(Règles_bison[Valeur 12-18],MATCH(ChoixRationBisons&amp;$BM91,Règles_bison[Ration]&amp;Règles_bison[Aliment],0)),0),0)*TotalBisonsFemelles_12_18_mois*SUM(NbreJoursNourrirBisonsDaims))</f>
        <v>0</v>
      </c>
      <c r="BR91" s="1076">
        <f t="array" ref="BR91">IF(Ration_hivernale_complète_bisons[somme]&gt;0,0,IFERROR(IF(OR(AND(INDEX(Règles_bison[Specificite],MATCH(ChoixRationBisons&amp;$BM91,Règles_bison[Ration]&amp;Règles_bison[Aliment],0))="s1",IF($BM91=ChoixSpécificité1Bisons,1)),
AND(INDEX(Règles_bison[Specificite],MATCH(ChoixRationBisons&amp;$BM91,Règles_bison[Ration]&amp;Règles_bison[Aliment],0))="s2",IF($BM91=ChoixSpécificité2Bisons,1)),INDEX(Règles_bison[Specificite],MATCH(ChoixRationBisons&amp;$BM91,Règles_bison[Ration]&amp;Règles_bison[Aliment],0))="c"),
INDEX(Règles_bison[Valeur 6-12],MATCH(ChoixRationBisons&amp;$BM91,Règles_bison[Ration]&amp;Règles_bison[Aliment],0)),0),0)*TotalBisonsFemelles_6_12_mois*SUM(NbreJoursNourrirBisonsDaims))</f>
        <v>0</v>
      </c>
      <c r="BS91" s="1076">
        <f t="array" ref="BS91">IF(Ration_hivernale_complète_bisons[somme]&gt;0,0,IFERROR(IF(OR(AND(INDEX(Règles_bison[Specificite],MATCH(ChoixRationBisons&amp;$BM91,Règles_bison[Ration]&amp;Règles_bison[Aliment],0))="s1",IF($BM91=ChoixSpécificité1Bisons,1)),
AND(INDEX(Règles_bison[Specificite],MATCH(ChoixRationBisons&amp;$BM91,Règles_bison[Ration]&amp;Règles_bison[Aliment],0))="s2",IF($BM91=ChoixSpécificité2Bisons,1)),INDEX(Règles_bison[Specificite],MATCH(ChoixRationBisons&amp;$BM91,Règles_bison[Ration]&amp;Règles_bison[Aliment],0))="c"),
INDEX(Règles_bison[Valeur 3-6],MATCH(ChoixRationBisons&amp;$BM91,Règles_bison[Ration]&amp;Règles_bison[Aliment],0)),0),0)*TotalBisonsFemelles_3_6_mois*SUM(NbreJoursNourrirBisonsDaims))</f>
        <v>0</v>
      </c>
      <c r="BT91" s="1076">
        <f t="array" ref="BT91">IF(Ration_hivernale_complète_bisons[somme]&gt;0,0,IFERROR(IF(OR(AND(INDEX(Règles_bison[Specificite],MATCH(ChoixRationBisons&amp;$BM91,Règles_bison[Ration]&amp;Règles_bison[Aliment],0))="s1",IF($BM91=ChoixSpécificité1Bisons,1)),
AND(INDEX(Règles_bison[Specificite],MATCH(ChoixRationBisons&amp;$BM91,Règles_bison[Ration]&amp;Règles_bison[Aliment],0))="s2",IF($BM91=ChoixSpécificité2Bisons,1)),INDEX(Règles_bison[Specificite],MATCH(ChoixRationBisons&amp;$BM91,Règles_bison[Ration]&amp;Règles_bison[Aliment],0))="c"),
INDEX(Règles_bison[Valeur 0-3],MATCH(ChoixRationBisons&amp;$BM91,Règles_bison[Ration]&amp;Règles_bison[Aliment],0)),0),0)*TotalBisonsFemelles_0_3_mois*SUM(NbreJoursNourrirBisonsDaims))</f>
        <v>0</v>
      </c>
      <c r="BU91" s="1076">
        <f t="shared" si="22"/>
        <v>0</v>
      </c>
      <c r="BV91" s="1346"/>
      <c r="BW91" s="1346"/>
      <c r="BX91" s="1176" t="s">
        <v>765</v>
      </c>
      <c r="BY91" s="1177" t="s">
        <v>671</v>
      </c>
      <c r="BZ91" s="1177" t="s">
        <v>1252</v>
      </c>
      <c r="CA91" s="1177">
        <v>10</v>
      </c>
      <c r="CB91" s="1177">
        <v>8</v>
      </c>
      <c r="CC91" s="1177">
        <v>6</v>
      </c>
      <c r="CD91" s="1199">
        <v>0</v>
      </c>
      <c r="CE91" s="1350"/>
      <c r="CF91" s="1350"/>
      <c r="CG91" s="1350"/>
      <c r="CH91" s="1350"/>
      <c r="CI91" s="1321"/>
      <c r="CJ91" s="808" t="str">
        <f t="shared" si="26"/>
        <v>Bouchons luzerne</v>
      </c>
      <c r="CK91" s="788">
        <f t="array" ref="CK9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91" s="788">
        <f t="array" ref="CL9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91" s="788">
        <f t="array" ref="CM9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91" s="788">
        <f t="array" ref="CN9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91" s="788">
        <f t="array" ref="CO9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91" s="812">
        <f>SUM(AlimentsRationPorcinsFemelles[[#This Row],[Valeur 12 et plus]:[Valeur 0-1]])</f>
        <v>0</v>
      </c>
      <c r="CQ91" s="1321"/>
      <c r="CR91" s="1321"/>
      <c r="CS91" s="808"/>
      <c r="CT91" s="817">
        <f t="array" ref="CT9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91" s="817">
        <f t="array" ref="CU9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91" s="817">
        <f t="array" ref="CV91">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91" s="818">
        <f>SUM(AlimentsRationLapinsMâles[[#This Row],[Valeur 3 et plus]:[Valeur 0-1]])</f>
        <v>0</v>
      </c>
      <c r="CX91" s="1321"/>
      <c r="CY91" s="1321"/>
      <c r="CZ91" s="808"/>
      <c r="DA91" s="817">
        <f t="array" ref="DA9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91" s="817">
        <f t="array" ref="DB9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91" s="817">
        <f t="array" ref="DC91">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91" s="818">
        <f>SUM(AlimentsRationVolaillesMâles[[#This Row],[Valeur 6 et plus]:[Valeur 0-1]])</f>
        <v>0</v>
      </c>
      <c r="DE91" s="1364"/>
      <c r="DF91" s="1321"/>
      <c r="DG91" s="788" t="str">
        <f t="shared" ref="DG91:DG128" si="27">DG49</f>
        <v>Betterave</v>
      </c>
      <c r="DH91" s="817">
        <f t="array" ref="DH91">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91" s="817">
        <f t="array" ref="DI91">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91" s="817">
        <f t="array" ref="DJ91">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91" s="821">
        <f>SUM(AlimentsRationPintadesFemelles[[#This Row],[Valeur 6 et plus]:[Valeur 0-1]])</f>
        <v>0</v>
      </c>
      <c r="DL91" s="1321"/>
      <c r="DM91" s="1321"/>
      <c r="DN91" s="1176" t="s">
        <v>727</v>
      </c>
      <c r="DO91" s="1177" t="s">
        <v>76</v>
      </c>
      <c r="DP91" s="1177" t="s">
        <v>1253</v>
      </c>
      <c r="DQ91" s="1181">
        <v>1.6</v>
      </c>
      <c r="DR91" s="1181">
        <v>1.4</v>
      </c>
      <c r="DS91" s="1181">
        <v>1.2</v>
      </c>
      <c r="DT91" s="1243">
        <v>1</v>
      </c>
      <c r="DU91" s="1345"/>
      <c r="DV91" s="1075" t="str">
        <f t="shared" si="24"/>
        <v>Féverole</v>
      </c>
      <c r="DW91" s="1269">
        <f t="array" ref="DW91">SUM((IF(QualitéAlimentsFaonMâle_0_3_mois=BONNE,VLOOKUP("Féverole",AlimentsRationHivernaleDaims,8,FALSE),0)+(IF(QualitéAlimentsFaonFemelle_0_3_mois=BONNE,VLOOKUP("Féverole",AlimentsRationHivernaleDaims,8,FALSE),0)+(IF(QualitéAlimentsFaonMâle_3_6_mois=BONNE,VLOOKUP("Féverole",AlimentsRationHivernaleDaims,7,FALSE),0)+(IF(QualitéAlimentsFaonFemelle_3_6_mois=BONNE,VLOOKUP("Féverole",AlimentsRationHivernaleDaims,7,FALSE),0)+(IF(QualitéAlimentsFaonMâle_6_12_mois=BONNE,VLOOKUP("Féverole",AlimentsRationHivernaleDaims,6,FALSE),0)+(IF(QualitéAlimentsFaonFemelle_6_12_mois=BONNE,VLOOKUP("Féverole",AlimentsRationHivernaleDaims,6,FALSE),0)+(IF(QualitéAlimentsJeuneDaim_12_18_mois=BONNE,VLOOKUP("Féverole",AlimentsRationHivernaleDaims,5,FALSE),0)+(IF(QualitéAlimentsJeuneDaine_12_18_mois=BONNE,VLOOKUP("Féverole",AlimentsRationHivernaleDaims,5,FALSE),0)+(IF(QualitéAlimentsJeuneDaim_18_24_mois=BONNE,VLOOKUP("Féverole",AlimentsRationHivernaleDaims,4,FALSE),0)+(IF(QualitéAlimentsJeuneDaine_18_24_mois=BONNE,VLOOKUP("Féverole",AlimentsRationHivernaleDaims,4,FALSE),0)+(IF(QualitéAlimentsJeuneDaim_24_36_mois=BONNE,VLOOKUP("Féverole",AlimentsRationHivernaleDaims,3,FALSE),0)+(IF(QualitéAlimentsJeuneDaine_24_36_mois=BONNE,VLOOKUP("Féverole",AlimentsRationHivernaleDaims,3,FALSE),0)+(IF(QualitéAlimentsDaim=BONNE,VLOOKUP("Féverole",AlimentsRationHivernaleDaims,2,FALSE),0)+(IF(QualitéAlimentsDaine=BONNE,VLOOKUP("Féverole",AlimentsRationHivernaleDaims,2,FALSE),0))))))))))))))))</f>
        <v>0</v>
      </c>
      <c r="DX91" s="1269">
        <f t="array" ref="DX91">SUM((IF(QualitéAlimentsFaonMâle_0_3_mois=MOYENNE,VLOOKUP("Féverole",AlimentsRationHivernaleDaims,8,FALSE),0)+(IF(QualitéAlimentsFaonFemelle_0_3_mois=MOYENNE,VLOOKUP("Féverole",AlimentsRationHivernaleDaims,8,FALSE),0)+(IF(QualitéAlimentsFaonMâle_3_6_mois=MOYENNE,VLOOKUP("Féverole",AlimentsRationHivernaleDaims,7,FALSE),0)+(IF(QualitéAlimentsFaonFemelle_3_6_mois=MOYENNE,VLOOKUP("Féverole",AlimentsRationHivernaleDaims,7,FALSE),0)+(IF(QualitéAlimentsFaonMâle_6_12_mois=MOYENNE,VLOOKUP("Féverole",AlimentsRationHivernaleDaims,6,FALSE),0)+(IF(QualitéAlimentsFaonFemelle_6_12_mois=MOYENNE,VLOOKUP("Féverole",AlimentsRationHivernaleDaims,6,FALSE),0)+(IF(QualitéAlimentsJeuneDaim_12_18_mois=MOYENNE,VLOOKUP("Féverole",AlimentsRationHivernaleDaims,5,FALSE),0)+(IF(QualitéAlimentsJeuneDaine_12_18_mois=MOYENNE,VLOOKUP("Féverole",AlimentsRationHivernaleDaims,5,FALSE),0)+(IF(QualitéAlimentsJeuneDaim_18_24_mois=MOYENNE,VLOOKUP("Féverole",AlimentsRationHivernaleDaims,4,FALSE),0)+(IF(QualitéAlimentsJeuneDaine_18_24_mois=MOYENNE,VLOOKUP("Féverole",AlimentsRationHivernaleDaims,4,FALSE),0)+(IF(QualitéAlimentsJeuneDaim_24_36_mois=MOYENNE,VLOOKUP("Féverole",AlimentsRationHivernaleDaims,3,FALSE),0)+(IF(QualitéAlimentsJeuneDaine_24_36_mois=MOYENNE,VLOOKUP("Féverole",AlimentsRationHivernaleDaims,3,FALSE),0)+(IF(QualitéAlimentsDaim=MOYENNE,VLOOKUP("Féverole",AlimentsRationHivernaleDaims,2,FALSE),0)+(IF(QualitéAlimentsDaine=MOYENNE,VLOOKUP("Féverole",AlimentsRationHivernaleDaims,2,FALSE),0))))))))))))))))</f>
        <v>0</v>
      </c>
      <c r="DY91" s="1269">
        <f t="array" ref="DY91">SUM((IF(QualitéAlimentsFaonMâle_0_3_mois=MAUVAISE,VLOOKUP("Féverole",AlimentsRationHivernaleDaims,8,FALSE),0)+(IF(QualitéAlimentsFaonFemelle_0_3_mois=MAUVAISE,VLOOKUP("Féverole",AlimentsRationHivernaleDaims,8,FALSE),0)+(IF(QualitéAlimentsFaonMâle_3_6_mois=MAUVAISE,VLOOKUP("Féverole",AlimentsRationHivernaleDaims,7,FALSE),0)+(IF(QualitéAlimentsFaonFemelle_3_6_mois=MAUVAISE,VLOOKUP("Féverole",AlimentsRationHivernaleDaims,7,FALSE),0)+(IF(QualitéAlimentsFaonMâle_6_12_mois=MAUVAISE,VLOOKUP("Féverole",AlimentsRationHivernaleDaims,6,FALSE),0)+(IF(QualitéAlimentsFaonFemelle_6_12_mois=MAUVAISE,VLOOKUP("Féverole",AlimentsRationHivernaleDaims,6,FALSE),0)+(IF(QualitéAlimentsJeuneDaim_12_18_mois=MAUVAISE,VLOOKUP("Féverole",AlimentsRationHivernaleDaims,5,FALSE),0)+(IF(QualitéAlimentsJeuneDaine_12_18_mois=MAUVAISE,VLOOKUP("Féverole",AlimentsRationHivernaleDaims,5,FALSE),0)+(IF(QualitéAlimentsJeuneDaim_18_24_mois=MAUVAISE,VLOOKUP("Féverole",AlimentsRationHivernaleDaims,4,FALSE),0)+(IF(QualitéAlimentsJeuneDaine_18_24_mois=MAUVAISE,VLOOKUP("Féverole",AlimentsRationHivernaleDaims,4,FALSE),0)+(IF(QualitéAlimentsJeuneDaim_24_36_mois=MAUVAISE,VLOOKUP("Féverole",AlimentsRationHivernaleDaims,3,FALSE),0)+(IF(QualitéAlimentsJeuneDaine_24_36_mois=MAUVAISE,VLOOKUP("Féverole",AlimentsRationHivernaleDaims,3,FALSE),0)+(IF(QualitéAlimentsDaim=MAUVAISE,VLOOKUP("Féverole",AlimentsRationHivernaleDaims,2,FALSE),0)+(IF(QualitéAlimentsDaine=MAUVAISE,VLOOKUP("Féverole",AlimentsRationHivernaleDaims,2,FALSE),0))))))))))))))))</f>
        <v>0</v>
      </c>
      <c r="DZ91" s="1345"/>
      <c r="EA91" s="1345"/>
      <c r="EB91" s="1345"/>
      <c r="EC91" s="1345"/>
      <c r="ED91" s="1345"/>
      <c r="EE91" s="1345"/>
      <c r="EF91" s="1321"/>
      <c r="EG91" s="792"/>
      <c r="EH91" s="793">
        <f t="array" ref="EH9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6 et plus],MATCH(ChoixRationOies&amp;AlimentsRationOiesMâles[[#This Row],[aliment]],Règles_oies[Ration]&amp;Règles_oies[Aliment],0)),0),0)*jars*SUM(NbreJoursNourrirAutres))</f>
        <v>0</v>
      </c>
      <c r="EI91" s="793">
        <f t="array" ref="EI9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3-6],MATCH(ChoixRationOies&amp;AlimentsRationOiesMâles[[#This Row],[aliment]],Règles_oies[Ration]&amp;Règles_oies[Aliment],0)),0),0)*jeune_jars_3_6_mois*SUM(NbreJoursNourrirAutres))</f>
        <v>0</v>
      </c>
      <c r="EJ91" s="793">
        <f t="array" ref="EJ91">IF(ChoixRationComplèteOies=OUI,0,IFERROR(IF(OR(AND(INDEX(Règles_oies[Specificite],MATCH(ChoixRationOies&amp;AlimentsRationOiesMâles[[#This Row],[aliment]],Règles_oies[Ration]&amp;Règles_oies[Aliment],0))="s1",IF(AlimentsRationOiesMâles[[#This Row],[aliment]]=Spécificité1Oies,1)),
AND(INDEX(Règles_oies[Specificite],MATCH(ChoixRationOies&amp;AlimentsRationOiesMâles[[#This Row],[aliment]],Règles_oies[Ration]&amp;Règles_oies[Aliment],0))="s2",IF(AlimentsRationOiesMâles[[#This Row],[aliment]]=Spécificité2Oies,1)),
INDEX(Règles_oies[Specificite],MATCH(ChoixRationOies&amp;AlimentsRationOiesMâles[[#This Row],[aliment]],Règles_oies[Ration]&amp;Règles_oies[Aliment],0))="c"),
INDEX(Règles_oies[Valeur 0-3],MATCH(ChoixRationOies&amp;AlimentsRationOiesMâles[[#This Row],[aliment]],Règles_oies[Ration]&amp;Règles_oies[Aliment],0)),0),0)*oison_mâle_0_3_mois*SUM(NbreJoursNourrirAutres))</f>
        <v>0</v>
      </c>
      <c r="EK91" s="819">
        <f>SUM(AlimentsRationOiesMâles[[#This Row],[Valeur 6 et plus]:[Valeur 0-3]])</f>
        <v>0</v>
      </c>
      <c r="EL91" s="1364"/>
      <c r="EM91" s="1321"/>
      <c r="EN91" s="1336"/>
      <c r="EO91" s="1336"/>
      <c r="EP91" s="1336"/>
      <c r="EQ91" s="1336"/>
      <c r="ER91" s="1336"/>
      <c r="ES91" s="1321"/>
      <c r="ET91" s="1321"/>
      <c r="EU91" s="1083" t="s">
        <v>1274</v>
      </c>
      <c r="EV91" s="1283">
        <f t="array" ref="EV91">IF(OR(ChoixRationComplèteEtéChevauxSelle=OUI,ChoixRationComplèteEtéChevauxSelle="",AND(ChoixChevauxSellePréHiver=OUI,ChoixChevauxSellePréEté=OUI)),0,IFERROR(IF(OR(AND(INDEX(Règles_chevaux_selle[Specificite],MATCH(RationEtéChevauxSelle&amp;$EU91,Règles_chevaux_selle[Ration]&amp;Règles_chevaux_selle[Aliment],0))="s1",IF($EU91=Spécificité1ChevauxSelle,1)),
AND(INDEX(Règles_chevaux_selle[Specificite],MATCH(RationEtéChevauxSelle&amp;$EU91,Règles_chevaux_selle[Ration]&amp;Règles_chevaux_selle[Aliment],0))="s2",IF($EU91=Spécificité2ChevauxSelle,1)),
INDEX(Règles_chevaux_selle[Specificite],MATCH(RationEtéChevauxSelle&amp;$EU91,Règles_chevaux_selle[Ration]&amp;Règles_chevaux_selle[Aliment],0))="c"),
INDEX(Règles_chevaux_selle[Valeur 36 et plus],MATCH(RationEtéChevauxSelle&amp;$EU91,Règles_chevaux_selle[Ration]&amp;Règles_chevaux_selle[Aliment],0)),0),0)*TotalEtalonSelle*SUM(NbreJoursNourrirChevauxSelle))</f>
        <v>0</v>
      </c>
      <c r="EW91" s="1283">
        <f t="array" ref="EW91">IF(OR(ChoixRationComplèteEtéChevauxSelle=OUI,ChoixRationComplèteEtéChevauxSelle="",AND(ChoixChevauxSellePréHiver=OUI,ChoixChevauxSellePréEté=OUI)),0,IFERROR(IF(OR(AND(INDEX(Règles_chevaux_selle[Specificite],MATCH(RationEtéChevauxSelle&amp;$EU91,Règles_chevaux_selle[Ration]&amp;Règles_chevaux_selle[Aliment],0))="s1",IF($EU91=Spécificité1ChevauxSelle,1)),
AND(INDEX(Règles_chevaux_selle[Specificite],MATCH(RationEtéChevauxSelle&amp;$EU91,Règles_chevaux_selle[Ration]&amp;Règles_chevaux_selle[Aliment],0))="s2",IF($EU91=Spécificité2ChevauxSelle,1)),
INDEX(Règles_chevaux_selle[Specificite],MATCH(RationEtéChevauxSelle&amp;$EU91,Règles_chevaux_selle[Ration]&amp;Règles_chevaux_selle[Aliment],0))="c"),
INDEX(Règles_chevaux_selle[Valeur 24-36],MATCH(RationEtéChevauxSelle&amp;$EU91,Règles_chevaux_selle[Ration]&amp;Règles_chevaux_selle[Aliment],0)),0),0)*TotalJeuneEtalonSelle_24_36_mois*SUM(NbreJoursNourrirChevauxSelle))</f>
        <v>0</v>
      </c>
      <c r="EX91" s="1283">
        <f t="array" ref="EX91">IF(OR(ChoixRationComplèteEtéChevauxSelle=OUI,ChoixRationComplèteEtéChevauxSelle="",AND(ChoixChevauxSellePréHiver=OUI,ChoixChevauxSellePréEté=OUI)),0,IFERROR(IF(OR(AND(INDEX(Règles_chevaux_selle[Specificite],MATCH(RationEtéChevauxSelle&amp;$EU91,Règles_chevaux_selle[Ration]&amp;Règles_chevaux_selle[Aliment],0))="s1",IF($EU91=Spécificité1ChevauxSelle,1)),
AND(INDEX(Règles_chevaux_selle[Specificite],MATCH(RationEtéChevauxSelle&amp;$EU91,Règles_chevaux_selle[Ration]&amp;Règles_chevaux_selle[Aliment],0))="s2",IF($EU91=Spécificité2ChevauxSelle,1)),
INDEX(Règles_chevaux_selle[Specificite],MATCH(RationEtéChevauxSelle&amp;$EU91,Règles_chevaux_selle[Ration]&amp;Règles_chevaux_selle[Aliment],0))="c"),
INDEX(Règles_chevaux_selle[Valeur 12-24],MATCH(RationEtéChevauxSelle&amp;$EU91,Règles_chevaux_selle[Ration]&amp;Règles_chevaux_selle[Aliment],0)),0),0)*TotalJeuneEtalonSelle_12_24_mois*SUM(NbreJoursNourrirChevauxSelle))</f>
        <v>0</v>
      </c>
      <c r="EY91" s="1286">
        <f t="array" ref="EY91">IF(OR(ChoixRationComplèteEtéChevauxSelle=OUI,ChoixRationComplèteEtéChevauxSelle="",AND(ChoixChevauxSellePréHiver=OUI,ChoixChevauxSellePréEté=OUI)),0,IFERROR(IF(OR(AND(INDEX(Règles_chevaux_selle[Specificite],MATCH(RationEtéChevauxSelle&amp;$EU91,Règles_chevaux_selle[Ration]&amp;Règles_chevaux_selle[Aliment],0))="s1",IF($EU91=Spécificité1ChevauxSelle,1)),
AND(INDEX(Règles_chevaux_selle[Specificite],MATCH(RationEtéChevauxSelle&amp;$EU91,Règles_chevaux_selle[Ration]&amp;Règles_chevaux_selle[Aliment],0))="s2",IF($EU91=Spécificité2ChevauxSelle,1)),
INDEX(Règles_chevaux_selle[Specificite],MATCH(RationEtéChevauxSelle&amp;$EU91,Règles_chevaux_selle[Ration]&amp;Règles_chevaux_selle[Aliment],0))="c"),
INDEX(Règles_chevaux_selle[Valeur 0-12],MATCH(RationEtéChevauxSelle&amp;$EU91,Règles_chevaux_selle[Ration]&amp;Règles_chevaux_selle[Aliment],0)),0),0)*TotalPoulainSelle_0_12_mois*SUM(NbreJoursNourrirChevauxSelle))</f>
        <v>0</v>
      </c>
      <c r="EZ91" s="1286">
        <f t="shared" si="16"/>
        <v>0</v>
      </c>
      <c r="FA91" s="1345"/>
      <c r="FB91" s="1345"/>
      <c r="FC91" s="1321"/>
      <c r="FD91" s="1083"/>
      <c r="FE91" s="1283">
        <f t="array" ref="FE91">IF(OR(ChoixRationComplèteEtéChevauxTrait=OUI,ChoixRationComplèteEtéChevauxTrait="",AND(ChoixChevauxTraitPréHiver=OUI,ChoixChevauxTraitPréEté=OUI)),0,IFERROR(IF(OR(AND(INDEX(Règles_chevaux_trait[Specificite],MATCH(RationEtéChevauxTrait&amp;$FD91,Règles_chevaux_trait[Ration]&amp;Règles_chevaux_trait[Aliment],0))="s1",IF($FD91=Spécificité1ChevauxTrait,1)),
AND(INDEX(Règles_chevaux_trait[Specificite],MATCH(RationEtéChevauxTrait&amp;$FD91,Règles_chevaux_trait[Ration]&amp;Règles_chevaux_trait[Aliment],0))="s2",IF($FD91=Spécificité2ChevauxTrait,1)),
INDEX(Règles_chevaux_trait[Specificite],MATCH(RationEtéChevauxTrait&amp;$FD91,Règles_chevaux_trait[Ration]&amp;Règles_chevaux_trait[Aliment],0))="c"),
INDEX(Règles_chevaux_trait[Valeur 36 et plus],MATCH(RationEtéChevauxTrait&amp;$FD91,Règles_chevaux_trait[Ration]&amp;Règles_chevaux_trait[Aliment],0)),0),0)*TotalEtalonTrait*SUM(NbreJoursNourrirChevauxTrait))</f>
        <v>0</v>
      </c>
      <c r="FF91" s="1283">
        <f t="array" ref="FF91">IF(OR(ChoixRationComplèteEtéChevauxTrait=OUI,ChoixRationComplèteEtéChevauxTrait="",AND(ChoixChevauxTraitPréHiver=OUI,ChoixChevauxTraitPréEté=OUI)),0,IFERROR(IF(OR(AND(INDEX(Règles_chevaux_trait[Specificite],MATCH(RationEtéChevauxTrait&amp;$FD91,Règles_chevaux_trait[Ration]&amp;Règles_chevaux_trait[Aliment],0))="s1",IF($FD91=Spécificité1ChevauxTrait,1)),
AND(INDEX(Règles_chevaux_trait[Specificite],MATCH(RationEtéChevauxTrait&amp;$FD91,Règles_chevaux_trait[Ration]&amp;Règles_chevaux_trait[Aliment],0))="s2",IF($FD91=Spécificité2ChevauxTrait,1)),
INDEX(Règles_chevaux_trait[Specificite],MATCH(RationEtéChevauxTrait&amp;$FD91,Règles_chevaux_trait[Ration]&amp;Règles_chevaux_trait[Aliment],0))="c"),
INDEX(Règles_chevaux_trait[Valeur 24-36],MATCH(RationEtéChevauxTrait&amp;$FD91,Règles_chevaux_trait[Ration]&amp;Règles_chevaux_trait[Aliment],0)),0),0)*TotalJeuneEtalonTrait_24_36_mois*SUM(NbreJoursNourrirChevauxTrait))</f>
        <v>0</v>
      </c>
      <c r="FG91" s="1283">
        <f t="array" ref="FG91">IF(OR(ChoixRationComplèteEtéChevauxTrait=OUI,ChoixRationComplèteEtéChevauxTrait="",AND(ChoixChevauxTraitPréHiver=OUI,ChoixChevauxTraitPréEté=OUI)),0,IFERROR(IF(OR(AND(INDEX(Règles_chevaux_trait[Specificite],MATCH(RationEtéChevauxTrait&amp;$FD91,Règles_chevaux_trait[Ration]&amp;Règles_chevaux_trait[Aliment],0))="s1",IF($FD91=Spécificité1ChevauxTrait,1)),
AND(INDEX(Règles_chevaux_trait[Specificite],MATCH(RationEtéChevauxTrait&amp;$FD91,Règles_chevaux_trait[Ration]&amp;Règles_chevaux_trait[Aliment],0))="s2",IF($FD91=Spécificité2ChevauxTrait,1)),
INDEX(Règles_chevaux_trait[Specificite],MATCH(RationEtéChevauxTrait&amp;$FD91,Règles_chevaux_trait[Ration]&amp;Règles_chevaux_trait[Aliment],0))="c"),
INDEX(Règles_chevaux_trait[Valeur 12-24],MATCH(RationEtéChevauxTrait&amp;$FD91,Règles_chevaux_trait[Ration]&amp;Règles_chevaux_trait[Aliment],0)),0),0)*TotalJeuneEtalonTrait_12_24_mois*SUM(NbreJoursNourrirChevauxTrait))</f>
        <v>0</v>
      </c>
      <c r="FH91" s="1286">
        <f t="array" ref="FH91">IF(OR(ChoixRationComplèteEtéChevauxTrait=OUI,ChoixRationComplèteEtéChevauxTrait="",AND(ChoixChevauxTraitPréHiver=OUI,ChoixChevauxTraitPréEté=OUI)),0,IFERROR(IF(OR(AND(INDEX(Règles_chevaux_trait[Specificite],MATCH(RationEtéChevauxTrait&amp;$FD91,Règles_chevaux_trait[Ration]&amp;Règles_chevaux_trait[Aliment],0))="s1",IF($FD91=Spécificité1ChevauxTrait,1)),
AND(INDEX(Règles_chevaux_trait[Specificite],MATCH(RationEtéChevauxTrait&amp;$FD91,Règles_chevaux_trait[Ration]&amp;Règles_chevaux_trait[Aliment],0))="s2",IF($FD91=Spécificité2ChevauxTrait,1)),
INDEX(Règles_chevaux_trait[Specificite],MATCH(RationEtéChevauxTrait&amp;$FD91,Règles_chevaux_trait[Ration]&amp;Règles_chevaux_trait[Aliment],0))="c"),
INDEX(Règles_chevaux_trait[Valeur 0-12],MATCH(RationEtéChevauxTrait&amp;$FD91,Règles_chevaux_trait[Ration]&amp;Règles_chevaux_trait[Aliment],0)),0),0)*TotalPoulainTrait_0_12_mois*SUM(NbreJoursNourrirChevauxTrait))</f>
        <v>0</v>
      </c>
      <c r="FI91" s="1286">
        <f t="shared" si="15"/>
        <v>0</v>
      </c>
      <c r="FJ91" s="1345"/>
      <c r="FK91" s="1345"/>
      <c r="FL91" s="1345"/>
      <c r="FM91" s="1321"/>
      <c r="FN91" s="1082"/>
      <c r="FO91" s="1282">
        <f t="array" ref="FO91">IF(OR(ChoixRationComplèteEtéPoneys=OUI,ChoixRationComplèteEtéPoneys="",AND(ChoixPoneysPréHiver=OUI,ChoixPoneysPréEté=OUI)),0,IFERROR(IF(OR(AND(INDEX(Règles_poneys[Specificite],MATCH(RationEtéPoneys&amp;$FN91,Règles_poneys[Ration]&amp;Règles_poneys[Aliment],0))="s1",IF($FN91=Spécificité1Poneys,1)),
AND(INDEX(Règles_poneys[Specificite],MATCH(RationEtéPoneys&amp;$FN91,Règles_poneys[Ration]&amp;Règles_poneys[Aliment],0))="s2",IF($FN91=Spécificité2Poneys,1)),
INDEX(Règles_poneys[Specificite],MATCH(RationEtéPoneys&amp;$FN91,Règles_poneys[Ration]&amp;Règles_poneys[Aliment],0))="c"),
INDEX(Règles_poneys[Valeur 36 et plus],MATCH(RationEtéPoneys&amp;$FN91,Règles_poneys[Ration]&amp;Règles_poneys[Aliment],0)),0),0)*TotalEtalonPoney*SUM(NbreJoursNourrirPoneys))</f>
        <v>0</v>
      </c>
      <c r="FP91" s="1282">
        <f t="array" ref="FP91">IF(OR(ChoixRationComplèteEtéPoneys=OUI,ChoixRationComplèteEtéPoneys="",AND(ChoixPoneysPréHiver=OUI,ChoixPoneysPréEté=OUI)),0,IFERROR(IF(OR(AND(INDEX(Règles_poneys[Specificite],MATCH(RationEtéPoneys&amp;$FN91,Règles_poneys[Ration]&amp;Règles_poneys[Aliment],0))="s1",IF($FN91=Spécificité1Poneys,1)),
AND(INDEX(Règles_poneys[Specificite],MATCH(RationEtéPoneys&amp;$FN91,Règles_poneys[Ration]&amp;Règles_poneys[Aliment],0))="s2",IF($FN91=Spécificité2Poneys,1)),
INDEX(Règles_poneys[Specificite],MATCH(RationEtéPoneys&amp;$FN91,Règles_poneys[Ration]&amp;Règles_poneys[Aliment],0))="c"),
INDEX(Règles_poneys[Valeur 36 et plus],MATCH(RationEtéPoneys&amp;$FN91,Règles_poneys[Ration]&amp;Règles_poneys[Aliment],0)),0),0)*TotalJeuneEtalonPoney_24_36_mois*SUM(NbreJoursNourrirPoneys))</f>
        <v>0</v>
      </c>
      <c r="FQ91" s="1282">
        <f t="array" ref="FQ91">IF(OR(ChoixRationComplèteEtéPoneys=OUI,ChoixRationComplèteEtéPoneys="",AND(ChoixPoneysPréHiver=OUI,ChoixPoneysPréEté=OUI)),0,IFERROR(IF(OR(AND(INDEX(Règles_poneys[Specificite],MATCH(RationEtéPoneys&amp;$FN91,Règles_poneys[Ration]&amp;Règles_poneys[Aliment],0))="s1",IF($FN91=Spécificité1Poneys,1)),
AND(INDEX(Règles_poneys[Specificite],MATCH(RationEtéPoneys&amp;$FN91,Règles_poneys[Ration]&amp;Règles_poneys[Aliment],0))="s2",IF($FN91=Spécificité2Poneys,1)),
INDEX(Règles_poneys[Specificite],MATCH(RationEtéPoneys&amp;$FN91,Règles_poneys[Ration]&amp;Règles_poneys[Aliment],0))="c"),
INDEX(Règles_poneys[Valeur 36 et plus],MATCH(RationEtéPoneys&amp;$FN91,Règles_poneys[Ration]&amp;Règles_poneys[Aliment],0)),0),0)*TotalJeuneEtalonPoney_12_24_mois*SUM(NbreJoursNourrirPoneys))</f>
        <v>0</v>
      </c>
      <c r="FR91" s="1285">
        <f t="array" ref="FR91">IF(OR(ChoixRationComplèteEtéPoneys=OUI,ChoixRationComplèteEtéPoneys="",AND(ChoixPoneysPréHiver=OUI,ChoixPoneysPréEté=OUI)),0,IFERROR(IF(OR(AND(INDEX(Règles_poneys[Specificite],MATCH(RationEtéPoneys&amp;$FN91,Règles_poneys[Ration]&amp;Règles_poneys[Aliment],0))="s1",IF($FN91=Spécificité1Poneys,1)),
AND(INDEX(Règles_poneys[Specificite],MATCH(RationEtéPoneys&amp;$FN91,Règles_poneys[Ration]&amp;Règles_poneys[Aliment],0))="s2",IF($FN91=Spécificité2Poneys,1)),
INDEX(Règles_poneys[Specificite],MATCH(RationEtéPoneys&amp;$FN91,Règles_poneys[Ration]&amp;Règles_poneys[Aliment],0))="c"),
INDEX(Règles_poneys[Valeur 36 et plus],MATCH(RationEtéPoneys&amp;$FN91,Règles_poneys[Ration]&amp;Règles_poneys[Aliment],0)),0),0)*TotalPoulainPoney_0_12_mois*SUM(NbreJoursNourrirPoneys))</f>
        <v>0</v>
      </c>
      <c r="FS91" s="1285">
        <f t="shared" si="14"/>
        <v>0</v>
      </c>
      <c r="FT91" s="1345"/>
      <c r="FU91" s="1345"/>
      <c r="FV91" s="1345"/>
      <c r="FW91" s="823" t="str">
        <f t="shared" ref="FW91:FW128" si="28">FW44</f>
        <v>Betterave</v>
      </c>
      <c r="FX91" s="828">
        <f t="array" ref="FX9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91" s="828">
        <f t="array" ref="FY9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91" s="828">
        <f t="array" ref="FZ9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91" s="828">
        <f t="array" ref="GA9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91" s="829">
        <f>SUM(AlimentsGavageCanards[[#This Row],[Valeur 3 et plus]:[Valeur 0-1]])</f>
        <v>0</v>
      </c>
      <c r="GC91" s="1321"/>
      <c r="GD91" s="1321"/>
      <c r="GE91" s="1321"/>
      <c r="GF91" s="1321"/>
      <c r="GG91" s="1321" t="s">
        <v>1349</v>
      </c>
      <c r="GH91" s="1321" t="s">
        <v>1349</v>
      </c>
      <c r="GI91" s="1321" t="s">
        <v>1349</v>
      </c>
      <c r="GJ91" s="1321" t="s">
        <v>1349</v>
      </c>
      <c r="GK91" s="1321" t="s">
        <v>1349</v>
      </c>
      <c r="GL91" s="1321" t="s">
        <v>1349</v>
      </c>
      <c r="GM91" s="1321" t="s">
        <v>1349</v>
      </c>
      <c r="GN91" s="1321" t="s">
        <v>1349</v>
      </c>
      <c r="GO91" s="1321" t="s">
        <v>1349</v>
      </c>
      <c r="GP91" s="1321" t="s">
        <v>1349</v>
      </c>
      <c r="GQ91" s="1321" t="s">
        <v>1349</v>
      </c>
      <c r="GR91" s="1321" t="s">
        <v>1349</v>
      </c>
      <c r="GS91" s="1321" t="s">
        <v>1349</v>
      </c>
      <c r="GT91" s="1321" t="s">
        <v>1349</v>
      </c>
      <c r="GU91" s="1321" t="s">
        <v>1349</v>
      </c>
      <c r="GV91" s="1321" t="s">
        <v>1349</v>
      </c>
      <c r="GW91" s="1321"/>
      <c r="GX91" s="1321"/>
      <c r="GY91" s="1082" t="str">
        <f t="shared" si="25"/>
        <v>Potassium</v>
      </c>
      <c r="GZ91" s="1082"/>
      <c r="HA91" s="1085"/>
      <c r="HB91" s="1085">
        <f>IF(COUNTIF(TypeArticleDansEntrepôt,GY91)=0,0,SUMIF(TypeArticleDansEntrepôt,GY91,QtéArticleDansEntrepôt)*VLOOKUP(GY91,place_necessaire_entrepots_aire_paille[],2,FALSE))</f>
        <v>0</v>
      </c>
      <c r="HC91" s="1321"/>
      <c r="HD91" s="1321"/>
      <c r="HE91" s="1321"/>
      <c r="HF91" s="1321"/>
      <c r="HG91" s="1321"/>
      <c r="HH91" s="1321"/>
      <c r="HI91" s="1321"/>
      <c r="HJ91" s="1321"/>
      <c r="HK91" s="1321"/>
      <c r="HL91" s="1321"/>
      <c r="HM91" s="1321"/>
      <c r="HN91" s="1085" t="str">
        <f>IF(parcelles!B139="","",(VLOOKUP(parcelles!C139,BDD!$HN$5:$HU$38,2,FALSE))*parcelles!E139)</f>
        <v/>
      </c>
      <c r="HO91" s="1085" t="str">
        <f>IF(parcelles!B139="","",IF(OR(parcelles!C139=Moutarde,parcelles!C139=Phacélie),0,IF(parcelles!C139=Luzerne,10*parcelles!E139*VLOOKUP(parcelles!C139,BDD!$HN$5:$HU$38,3,FALSE),IF(parcelles!C139=Miscanthus,10.5*parcelles!E139*VLOOKUP(parcelles!C139,BDD!$HN$5:$HU$38,3,FALSE),INDEX(parcelles!$C$56:'parcelles'!$Y$77,MATCH(parcelles!B139,parcelles!$B$56:'parcelles'!$B$77,0),MATCH(parcelles!C139,parcelles!$C$53:'parcelles'!$Y$53,0))*parcelles!E139*VLOOKUP(parcelles!C139,BDD!$HN$5:$HU$38,3,FALSE)))))</f>
        <v/>
      </c>
      <c r="HP91" s="1085" t="str">
        <f>IF(parcelles!B139="","",IF(OR(parcelles!C139=Moutarde,parcelles!C139=Phacélie),0,IF(parcelles!C139=Luzerne,10*parcelles!E139*VLOOKUP(parcelles!C139,BDD!$HN$5:$HU$38,4,FALSE),IF(parcelles!C139=Miscanthus,10.5*parcelles!E139*VLOOKUP(parcelles!C139,BDD!$HN$5:$HU$38,4,FALSE),INDEX(parcelles!$C$56:'parcelles'!$Y$77,MATCH(parcelles!B139,parcelles!$B$56:'parcelles'!$B$77,0),MATCH(parcelles!C139,parcelles!$C$53:'parcelles'!$Y$53,0))*parcelles!E139*VLOOKUP(parcelles!C139,BDD!$HN$5:$HU$38,4,FALSE)))))</f>
        <v/>
      </c>
      <c r="HQ91" s="1085" t="str">
        <f>IF(parcelles!B139="","",IF(OR(parcelles!C139=Moutarde,parcelles!C139=Phacélie),0,IF(parcelles!C139=Luzerne,10*parcelles!E139*VLOOKUP(parcelles!C139,BDD!$HN$5:$HU$38,5,FALSE),IF(parcelles!C139=Miscanthus,10.5*parcelles!E139*VLOOKUP(parcelles!C139,BDD!$HN$5:$HU$38,5,FALSE),INDEX(parcelles!$C$56:'parcelles'!$Y$77,MATCH(parcelles!B139,parcelles!$B$56:'parcelles'!$B$77,0),MATCH(parcelles!C139,parcelles!$C$53:'parcelles'!$Y$53,0))*parcelles!E139*VLOOKUP(parcelles!C139,BDD!$HN$5:$HU$38,5,FALSE)))))</f>
        <v/>
      </c>
      <c r="HR91" s="1085" t="str">
        <f>IF(parcelles!B139="","",IF(OR(parcelles!C139=Moutarde,parcelles!C139=Phacélie),0,IF(parcelles!C139=Luzerne,10*parcelles!E139*VLOOKUP(parcelles!C139,BDD!$HN$5:$HU$38,6,FALSE),IF(parcelles!C139=Miscanthus,10.5*parcelles!E139*VLOOKUP(parcelles!C139,BDD!$HN$5:$HU$38,6,FALSE),INDEX(parcelles!$C$56:'parcelles'!$Y$77,MATCH(parcelles!B139,parcelles!$B$56:'parcelles'!$B$77,0),MATCH(parcelles!C139,parcelles!$C$53:'parcelles'!$Y$53,0))*parcelles!E139*VLOOKUP(parcelles!C139,BDD!$HN$5:$HU$38,6,FALSE)))))</f>
        <v/>
      </c>
      <c r="HS91" s="1085" t="str">
        <f>IF(parcelles!B139="","",IF(OR(parcelles!C139=Moutarde,parcelles!C139=Phacélie),0,IF(parcelles!C139=Luzerne,10*parcelles!E139*VLOOKUP(parcelles!C139,BDD!$HN$5:$HU$38,7,FALSE),IF(parcelles!C139=Miscanthus,10.5*parcelles!E139*VLOOKUP(parcelles!C139,BDD!$HN$5:$HU$38,7,FALSE),INDEX(parcelles!$C$56:'parcelles'!$Y$77,MATCH(parcelles!B139,parcelles!$B$56:'parcelles'!$B$77,0),MATCH(parcelles!C139,parcelles!$C$53:'parcelles'!$Y$53,0))*parcelles!E139*VLOOKUP(parcelles!C139,BDD!$HN$5:$HU$38,7,FALSE)))))</f>
        <v/>
      </c>
      <c r="HT91" s="1085" t="str">
        <f>IF(parcelles!B139="","",IF(OR(parcelles!C139=Moutarde,parcelles!C139=Phacélie),0,IF(parcelles!C139=Luzerne,10*parcelles!E139*VLOOKUP(parcelles!C139,BDD!$HN$5:$HU$38,8,FALSE),IF(parcelles!C139=Miscanthus,10.5*parcelles!E139*VLOOKUP(parcelles!C139,BDD!$HN$5:$HU$38,8,FALSE),INDEX(parcelles!$C$56:'parcelles'!$Y$77,MATCH(parcelles!B139,parcelles!$B$56:'parcelles'!$B$77,0),MATCH(parcelles!C139,parcelles!$C$53:'parcelles'!$Y$53,0))*parcelles!E139*VLOOKUP(parcelles!C139,BDD!$HN$5:$HU$38,8,FALSE)))))</f>
        <v/>
      </c>
      <c r="HU91" s="1085" t="str">
        <f>IF(parcelles!B139="","",IF(OR(parcelles!C139=Moutarde,parcelles!C139=Phacélie),0,1.6*parcelles!E139))</f>
        <v/>
      </c>
      <c r="HV91" s="1085" t="str">
        <f>IF(parcelles!B139="","",IF(OR(parcelles!C139=Moutarde,parcelles!C139=Phacélie),0,1.6*parcelles!E139))</f>
        <v/>
      </c>
      <c r="HW91" s="1085" t="str">
        <f>IF(parcelles!B139="","",IF(OR(parcelles!C139=Moutarde,parcelles!C139=Phacélie),0,1.6*parcelles!E139))</f>
        <v/>
      </c>
      <c r="HX91" s="1092" t="str">
        <f>IF(parcelles!D139="","",IF(parcelles!C139=ChanvreIndustriel,INDEX(parcelles!$C$56:$Y$77,MATCH(parcelles!B139,parcelles!$B$56:$B$77,0),MATCH(parcelles!C139,parcelles!$C$53:$Y$53,0))*parcelles!E139*SUMIF(ListeCulturesBDD,parcelles!C139,PrixVenteCulturesConventionnel)+RIGHT(BDD!$HM$7,3)*7*parcelles!E139,IF(parcelles!C139=Luzerne,parcelles!E139*10*VLOOKUP(parcelles!C139,TarifsCoopCultures,2,FALSE),IF(parcelles!C139=Miscanthus,parcelles!E139*10.5*VLOOKUP(Luzerne,TarifsCoopCultures,2,FALSE),INDEX(parcelles!$C$56:$Y$77,MATCH(parcelles!B139,parcelles!$B$56:$B$77,0),MATCH(parcelles!C139,parcelles!$C$53:$Y$53,0))*parcelles!E139*SUMIF(ListeCulturesBDD,parcelles!C139,PrixVenteCulturesConventionnel)))))</f>
        <v/>
      </c>
      <c r="HY91" s="1085" t="str">
        <f>IF(parcelles!D139="","",IF(parcelles!F139=0,"",IF(parcelles!C139=ChanvreIndustriel,"soit "&amp;parcelles!E139*0.8&amp;"t de grain et "&amp;parcelles!E139*7&amp;"t de paille",IF(parcelles!C139=Luzerne,"soit "&amp;10*parcelles!E139&amp;"t/an",IF(parcelles!C139=Miscanthus,"soit "&amp;10.5*parcelles!E139&amp;"t/an","soit "&amp;INDEX(parcelles!$C$56:$Y$77,MATCH(parcelles!B139,parcelles!$B$56:$B$77,0),MATCH(parcelles!C139,parcelles!$C$53:$Y$53,0))*parcelles!E139&amp;"t")))))</f>
        <v/>
      </c>
      <c r="HZ91" s="1085" t="str">
        <f>IF(parcelles!D139="","",IF(parcelles!F139=0,"",IF(parcelles!C139=ChanvreIndustriel,"soit "&amp;parcelles!E139*0.8*0.8&amp;"t de grain et "&amp;parcelles!E139*7*0.8&amp;"t de paille",IF(parcelles!C139=Luzerne,"soit "&amp;10*0.8*parcelles!E139&amp;"t/an",IF(parcelles!C139=Miscanthus,"soit "&amp;10.5*0.8*parcelles!E139&amp;"t/an","soit "&amp;INDEX(parcelles!$C$56:$Y$77,MATCH(parcelles!B139,parcelles!$B$56:$B$77,0),MATCH(parcelles!C139,parcelles!$C$53:$Y$53,0))*0.8*parcelles!E139&amp;"t")))))</f>
        <v/>
      </c>
      <c r="IA91" s="1085" t="str">
        <f>IF(parcelles!L139="","",(VLOOKUP(parcelles!M139,BDD!$HN$5:$HU$38,2,FALSE))*parcelles!O139)</f>
        <v/>
      </c>
      <c r="IB91" s="1085" t="str">
        <f>IF(parcelles!L139="","",IF(OR(parcelles!M139=Moutarde,parcelles!M139=Phacélie),0,IF(parcelles!M139=Luzerne,10*parcelles!O139*VLOOKUP(parcelles!M139,BDD!$HN$5:$HU$38,3,FALSE),IF(parcelles!M139=Miscanthus,10.5*parcelles!O139*VLOOKUP(parcelles!M139,BDD!$HN$5:$HU$38,3,FALSE),INDEX(parcelles!$C$56:'parcelles'!$Y$77,MATCH(parcelles!L139,parcelles!$B$56:'parcelles'!$B$77,0),MATCH(parcelles!M139,parcelles!$C$53:'parcelles'!$Y$53,0))*parcelles!O139*VLOOKUP(parcelles!M139,BDD!$HN$5:$HU$38,3,FALSE)))))</f>
        <v/>
      </c>
      <c r="IC91" s="1085" t="str">
        <f>IF(parcelles!L139="","",IF(OR(parcelles!M139=Moutarde,parcelles!M139=Phacélie),0,IF(parcelles!M139=Luzerne,10*parcelles!O139*VLOOKUP(parcelles!M139,BDD!$HN$5:$HU$38,4,FALSE),IF(parcelles!M139=Miscanthus,10.5*parcelles!O139*VLOOKUP(parcelles!M139,BDD!$HN$5:$HU$38,4,FALSE),INDEX(parcelles!$C$56:'parcelles'!$Y$77,MATCH(parcelles!L139,parcelles!$B$56:'parcelles'!$B$77,0),MATCH(parcelles!M139,parcelles!$C$53:'parcelles'!$Y$53,0))*parcelles!O139*VLOOKUP(parcelles!M139,BDD!$HN$5:$HU$38,4,FALSE)))))</f>
        <v/>
      </c>
      <c r="ID91" s="1085" t="str">
        <f>IF(parcelles!L139="","",IF(OR(parcelles!M139=Moutarde,parcelles!M139=Phacélie),0,IF(parcelles!M139=Luzerne,10*parcelles!O139*VLOOKUP(parcelles!M139,BDD!$HN$5:$HU$38,5,FALSE),IF(parcelles!M139=Miscanthus,10.5*parcelles!O139*VLOOKUP(parcelles!M139,BDD!$HN$5:$HU$38,5,FALSE),INDEX(parcelles!$C$56:'parcelles'!$Y$77,MATCH(parcelles!L139,parcelles!$B$56:'parcelles'!$B$77,0),MATCH(parcelles!M139,parcelles!$C$53:'parcelles'!$Y$53,0))*parcelles!O139*VLOOKUP(parcelles!M139,BDD!$HN$5:$HU$38,5,FALSE)))))</f>
        <v/>
      </c>
      <c r="IE91" s="1085" t="str">
        <f>IF(parcelles!L139="","",IF(OR(parcelles!M139=Moutarde,parcelles!M139=Phacélie),0,IF(parcelles!M139=Luzerne,10*parcelles!O139*VLOOKUP(parcelles!M139,BDD!$HN$5:$HU$38,6,FALSE),IF(parcelles!M139=Miscanthus,10.5*parcelles!O139*VLOOKUP(parcelles!M139,BDD!$HN$5:$HU$38,6,FALSE),INDEX(parcelles!$C$56:'parcelles'!$Y$77,MATCH(parcelles!L139,parcelles!$B$56:'parcelles'!$B$77,0),MATCH(parcelles!M139,parcelles!$C$53:'parcelles'!$Y$53,0))*parcelles!O139*VLOOKUP(parcelles!M139,BDD!$HN$5:$HU$38,6,FALSE)))))</f>
        <v/>
      </c>
      <c r="IF91" s="1085" t="str">
        <f>IF(parcelles!L139="","",IF(OR(parcelles!M139=Moutarde,parcelles!M139=Phacélie),0,IF(parcelles!M139=Luzerne,10*parcelles!O139*VLOOKUP(parcelles!M139,BDD!$HN$5:$HU$38,7,FALSE),IF(parcelles!M139=Miscanthus,10.5*parcelles!O139*VLOOKUP(parcelles!M139,BDD!$HN$5:$HU$38,7,FALSE),INDEX(parcelles!$C$56:'parcelles'!$Y$77,MATCH(parcelles!L139,parcelles!$B$56:'parcelles'!$B$77,0),MATCH(parcelles!M139,parcelles!$C$53:'parcelles'!$Y$53,0))*parcelles!O139*VLOOKUP(parcelles!M139,BDD!$HN$5:$HU$38,7,FALSE)))))</f>
        <v/>
      </c>
      <c r="IG91" s="1085" t="str">
        <f>IF(parcelles!L139="","",IF(OR(parcelles!M139=Moutarde,parcelles!M139=Phacélie),0,IF(parcelles!M139=Luzerne,10*parcelles!O139*VLOOKUP(parcelles!M139,BDD!$HN$5:$HU$38,8,FALSE),IF(parcelles!M139=Miscanthus,10.5*parcelles!O139*VLOOKUP(parcelles!M139,BDD!$HN$5:$HU$38,8,FALSE),INDEX(parcelles!$C$56:'parcelles'!$Y$77,MATCH(parcelles!L139,parcelles!$B$56:'parcelles'!$B$77,0),MATCH(parcelles!M139,parcelles!$C$53:'parcelles'!$Y$53,0))*parcelles!O139*VLOOKUP(parcelles!M139,BDD!$HN$5:$HU$38,8,FALSE)))))</f>
        <v/>
      </c>
      <c r="IH91" s="1085" t="str">
        <f>IF(parcelles!L139="","",IF(OR(parcelles!L139=Moutarde,parcelles!L139=Phacélie),0,1.6*parcelles!O139))</f>
        <v/>
      </c>
      <c r="II91" s="1085" t="str">
        <f>IF(parcelles!L139="","",IF(OR(parcelles!L139=Moutarde,parcelles!L139=Phacélie),0,1.6*parcelles!O139))</f>
        <v/>
      </c>
      <c r="IJ91" s="1085" t="str">
        <f>IF(parcelles!L139="","",IF(OR(parcelles!L139=Moutarde,parcelles!L139=Phacélie),0,1.6*parcelles!O139))</f>
        <v/>
      </c>
      <c r="IK91" s="1085" t="str">
        <f>IF(parcelles!P139="","",IF(parcelles!R139=0,"",IF(parcelles!O139=ChanvreIndustriel,"soit "&amp;parcelles!Q139*0.8&amp;"t de grain et "&amp;parcelles!Q139*7&amp;"t de paille",IF(parcelles!O139=Luzerne,"soit "&amp;10*parcelles!Q139&amp;"t/an",IF(parcelles!O139=Miscanthus,"soit "&amp;10.5*parcelles!Q139&amp;"t/an","soit "&amp;INDEX(parcelles!$C$56:$Y$77,MATCH(parcelles!N139,parcelles!$B$56:$B$77,0),MATCH(parcelles!O139,parcelles!$C$53:$Y$53,0))*parcelles!Q139&amp;"t")))))</f>
        <v/>
      </c>
      <c r="IL91" s="1085" t="str">
        <f>IF(parcelles!P139="","",IF(parcelles!R139=0,"",IF(parcelles!O139=ChanvreIndustriel,"soit "&amp;parcelles!Q139*0.8*0.8&amp;"t de grain et "&amp;parcelles!Q139*7*0.8&amp;"t de paille",IF(parcelles!O139=Luzerne,"soit "&amp;10*0.8*parcelles!Q139&amp;"t/an",IF(parcelles!O139=Miscanthus,"soit "&amp;10.5*0.8*parcelles!Q139&amp;"t/an","soit "&amp;INDEX(parcelles!$C$56:$Y$77,MATCH(parcelles!N139,parcelles!$B$56:$B$77,0),MATCH(parcelles!O139,parcelles!$C$53:$Y$53,0))*0.8*parcelles!Q139&amp;"t")))))</f>
        <v/>
      </c>
      <c r="IM91" s="1085" t="str">
        <f>IF(parcelles!S139="","",IF(parcelles!U139=0,"",IF(parcelles!R139=ChanvreIndustriel,parcelles!T139*0.8*0.8+parcelles!T139*7*0.8,IF(parcelles!R139=Luzerne,10*0.8*parcelles!T139,IF(parcelles!R139=Miscanthus,10.5*0.8*parcelles!T139,INDEX(parcelles!$C$56:$Y$77,MATCH(parcelles!Q139,parcelles!$B$56:$B$77,0),MATCH(parcelles!R139,parcelles!$C$53:$Y$53,0))*0.8*parcelles!T139)))))</f>
        <v/>
      </c>
      <c r="IN91" s="1368"/>
    </row>
    <row r="92" spans="1:248" ht="12.75" customHeight="1" x14ac:dyDescent="0.2">
      <c r="A92" s="1307" t="s">
        <v>164</v>
      </c>
      <c r="B92" s="1241">
        <f t="shared" si="17"/>
        <v>1E-3</v>
      </c>
      <c r="C92" s="1321"/>
      <c r="D92" s="1321"/>
      <c r="E92" s="1321"/>
      <c r="F92" s="1149" t="s">
        <v>673</v>
      </c>
      <c r="G92" s="1149" t="s">
        <v>1173</v>
      </c>
      <c r="H92" s="1149" t="s">
        <v>1202</v>
      </c>
      <c r="I92" s="1245" t="s">
        <v>1167</v>
      </c>
      <c r="J92" s="1245" t="s">
        <v>1212</v>
      </c>
      <c r="K92" s="1245" t="s">
        <v>1210</v>
      </c>
      <c r="L92" s="1245" t="s">
        <v>1197</v>
      </c>
      <c r="M92" s="1321"/>
      <c r="N92" s="1321"/>
      <c r="O92" s="802" t="s">
        <v>1451</v>
      </c>
      <c r="P92" s="802">
        <f>IF(SUM(ChoixEspèceAuPré)="",0,SUMIF(ChoixEspèceAuPré,Bovins,NbreFemelles_0_3MoisAuPréEté))</f>
        <v>0</v>
      </c>
      <c r="Q92" s="802">
        <f>IF(SUM(ChoixEspèceAuPré)="",0,SUMIF(ChoixEspèceAuPré,Ovins,NbreFemelles_0_3MoisAuPréEté))</f>
        <v>0</v>
      </c>
      <c r="R92" s="802">
        <f>IF(SUM(ChoixEspèceAuPré)="",0,SUMIF(ChoixEspèceAuPré,Caprins,NbreFemelles_0_3MoisAuPréEté))</f>
        <v>0</v>
      </c>
      <c r="S92" s="802">
        <f>IF(SUM(ChoixEspèceAuPré)="",0,SUMIF(ChoixEspèceAuPré,Bisons,NbreFemelles_0_3MoisAuPréEté))</f>
        <v>0</v>
      </c>
      <c r="T92" s="802">
        <f>IF(SUM(ChoixEspèceAuPré)="",0,SUMIF(ChoixEspèceAuPré,Daims,NbreFemelles_0_3MoisAuPréEté))</f>
        <v>0</v>
      </c>
      <c r="U92" s="802">
        <f>IF(SUM(ChoixEspèceAuPré)="",0,SUMIF(ChoixEspèceAuPré,ChevauxSelle,NbreFemelles_0_3MoisAuPréEté))</f>
        <v>0</v>
      </c>
      <c r="V92" s="802">
        <f>IF(SUM(ChoixEspèceAuPré)="",0,SUMIF(ChoixEspèceAuPré,ChevauxTrait,NbreFemelles_0_3MoisAuPréEté))</f>
        <v>0</v>
      </c>
      <c r="W92" s="802">
        <f>IF(SUM(ChoixEspèceAuPré)="",0,SUMIF(ChoixEspèceAuPré,Poneys,NbreFemelles_0_3MoisAuPréEté))</f>
        <v>0</v>
      </c>
      <c r="X92" s="1321"/>
      <c r="Y92" s="1081" t="s">
        <v>1683</v>
      </c>
      <c r="Z92" s="1081">
        <f>IF('coût alimentation'!$B$6=$Y$92,28,0)</f>
        <v>0</v>
      </c>
      <c r="AA92" s="1081">
        <f>IF('coût alimentation'!$B$6=$Y$92,28,0)</f>
        <v>0</v>
      </c>
      <c r="AB92" s="1081">
        <f>IF('coût alimentation'!$B$6=$Y$92,28,0)</f>
        <v>0</v>
      </c>
      <c r="AC92" s="1081">
        <f>IF('coût alimentation'!$B$6=$Y$92,28,0)</f>
        <v>0</v>
      </c>
      <c r="AD92" s="1081">
        <f>IF('coût alimentation'!$B$6=$Y$92,28,0)</f>
        <v>0</v>
      </c>
      <c r="AE92" s="1081">
        <f>IF(AND(ChoixChevauxSellePréEté="OUI",'coût alimentation'!$B$6=$Y$92),21,IF(Y92&lt;&gt;'coût alimentation'!$B$6,0,84))</f>
        <v>0</v>
      </c>
      <c r="AF92" s="1081">
        <f>IF(AND(ChoixChevauxTraitPréEté="OUI",'coût alimentation'!$B$6=$Y$92),21,IF(Y92&lt;&gt;'coût alimentation'!$B$6,0,84))</f>
        <v>0</v>
      </c>
      <c r="AG92" s="1081">
        <f>IF(AND(ChoixPoneysPréEté="OUI",'coût alimentation'!$B$6=$Y$92),21,IF(Y92&lt;&gt;'coût alimentation'!$B$6,0,84))</f>
        <v>0</v>
      </c>
      <c r="AH92" s="1321"/>
      <c r="AI92" s="1321"/>
      <c r="AJ92" s="1321"/>
      <c r="AK92" s="1321"/>
      <c r="AL92" s="1321"/>
      <c r="AM92" s="1321"/>
      <c r="AN92" s="1321"/>
      <c r="AO92" s="1321"/>
      <c r="AP92" s="1321"/>
      <c r="AQ92" s="1321"/>
      <c r="AR92" s="1321"/>
      <c r="AS92" s="1321"/>
      <c r="AT92" s="1321"/>
      <c r="AU92" s="1321"/>
      <c r="AV92" s="1321"/>
      <c r="AW92" s="1321"/>
      <c r="AX92" s="1321"/>
      <c r="AY92" s="1321"/>
      <c r="AZ92" s="1321"/>
      <c r="BA92" s="1321"/>
      <c r="BB92" s="1236" t="s">
        <v>727</v>
      </c>
      <c r="BC92" s="1190" t="s">
        <v>1271</v>
      </c>
      <c r="BD92" s="1190" t="s">
        <v>1252</v>
      </c>
      <c r="BE92" s="1237">
        <v>1</v>
      </c>
      <c r="BF92" s="1237">
        <v>0.8</v>
      </c>
      <c r="BG92" s="1237">
        <v>0.6</v>
      </c>
      <c r="BH92" s="1237">
        <v>0.4</v>
      </c>
      <c r="BI92" s="1237">
        <v>0.4</v>
      </c>
      <c r="BJ92" s="1237">
        <v>0.4</v>
      </c>
      <c r="BK92" s="1238">
        <v>0</v>
      </c>
      <c r="BL92" s="1348"/>
      <c r="BM92" s="1075" t="str">
        <f t="shared" si="23"/>
        <v>Minéraux + vitamines</v>
      </c>
      <c r="BN92" s="1075">
        <f t="array" ref="BN92">IF(Ration_hivernale_complète_bisons[somme]&gt;0,0,IFERROR(IF(OR(AND(INDEX(Règles_bison[Specificite],MATCH(ChoixRationBisons&amp;$BM92,Règles_bison[Ration]&amp;Règles_bison[Aliment],0))="s1",IF($BM92=ChoixSpécificité1Bisons,1)),
AND(INDEX(Règles_bison[Specificite],MATCH(ChoixRationBisons&amp;$BM92,Règles_bison[Ration]&amp;Règles_bison[Aliment],0))="s2",IF($BM92=ChoixSpécificité2Bisons,1)),INDEX(Règles_bison[Specificite],MATCH(ChoixRationBisons&amp;$BM92,Règles_bison[Ration]&amp;Règles_bison[Aliment],0))="c"),
INDEX(Règles_bison[Valeur 36 et plus],MATCH(ChoixRationBisons&amp;$BM92,Règles_bison[Ration]&amp;Règles_bison[Aliment],0)),0),0)*TotalBisonnes*SUM(NbreJoursNourrirBisonsDaims))</f>
        <v>0</v>
      </c>
      <c r="BO92" s="1075">
        <f t="array" ref="BO92">IF(Ration_hivernale_complète_bisons[somme]&gt;0,0,IFERROR(IF(OR(AND(INDEX(Règles_bison[Specificite],MATCH(ChoixRationBisons&amp;$BM92,Règles_bison[Ration]&amp;Règles_bison[Aliment],0))="s1",IF($BM92=ChoixSpécificité1Bisons,1)),
AND(INDEX(Règles_bison[Specificite],MATCH(ChoixRationBisons&amp;$BM92,Règles_bison[Ration]&amp;Règles_bison[Aliment],0))="s2",IF($BM92=ChoixSpécificité2Bisons,1)),INDEX(Règles_bison[Specificite],MATCH(ChoixRationBisons&amp;$BM92,Règles_bison[Ration]&amp;Règles_bison[Aliment],0))="c"),
INDEX(Règles_bison[Valeur 24-36],MATCH(ChoixRationBisons&amp;$BM92,Règles_bison[Ration]&amp;Règles_bison[Aliment],0)),0),0)*TotalBisonsFemelles_24_36_mois*SUM(NbreJoursNourrirBisonsDaims))</f>
        <v>0</v>
      </c>
      <c r="BP92" s="1075">
        <f t="array" ref="BP92">IF(Ration_hivernale_complète_bisons[somme]&gt;0,0,IFERROR(IF(OR(AND(INDEX(Règles_bison[Specificite],MATCH(ChoixRationBisons&amp;$BM92,Règles_bison[Ration]&amp;Règles_bison[Aliment],0))="s1",IF($BM92=ChoixSpécificité1Bisons,1)),
AND(INDEX(Règles_bison[Specificite],MATCH(ChoixRationBisons&amp;$BM92,Règles_bison[Ration]&amp;Règles_bison[Aliment],0))="s2",IF($BM92=ChoixSpécificité2Bisons,1)),INDEX(Règles_bison[Specificite],MATCH(ChoixRationBisons&amp;$BM92,Règles_bison[Ration]&amp;Règles_bison[Aliment],0))="c"),
INDEX(Règles_bison[Valeur 18-24],MATCH(ChoixRationBisons&amp;$BM92,Règles_bison[Ration]&amp;Règles_bison[Aliment],0)),0),0)*TotalBisonsFemelles_18_24_mois*SUM(NbreJoursNourrirBisonsDaims))</f>
        <v>0</v>
      </c>
      <c r="BQ92" s="1075">
        <f t="array" ref="BQ92">IF(Ration_hivernale_complète_bisons[somme]&gt;0,0,IFERROR(IF(OR(AND(INDEX(Règles_bison[Specificite],MATCH(ChoixRationBisons&amp;$BM92,Règles_bison[Ration]&amp;Règles_bison[Aliment],0))="s1",IF($BM92=ChoixSpécificité1Bisons,1)),
AND(INDEX(Règles_bison[Specificite],MATCH(ChoixRationBisons&amp;$BM92,Règles_bison[Ration]&amp;Règles_bison[Aliment],0))="s2",IF($BM92=ChoixSpécificité2Bisons,1)),INDEX(Règles_bison[Specificite],MATCH(ChoixRationBisons&amp;$BM92,Règles_bison[Ration]&amp;Règles_bison[Aliment],0))="c"),
INDEX(Règles_bison[Valeur 12-18],MATCH(ChoixRationBisons&amp;$BM92,Règles_bison[Ration]&amp;Règles_bison[Aliment],0)),0),0)*TotalBisonsFemelles_12_18_mois*SUM(NbreJoursNourrirBisonsDaims))</f>
        <v>0</v>
      </c>
      <c r="BR92" s="1075">
        <f t="array" ref="BR92">IF(Ration_hivernale_complète_bisons[somme]&gt;0,0,IFERROR(IF(OR(AND(INDEX(Règles_bison[Specificite],MATCH(ChoixRationBisons&amp;$BM92,Règles_bison[Ration]&amp;Règles_bison[Aliment],0))="s1",IF($BM92=ChoixSpécificité1Bisons,1)),
AND(INDEX(Règles_bison[Specificite],MATCH(ChoixRationBisons&amp;$BM92,Règles_bison[Ration]&amp;Règles_bison[Aliment],0))="s2",IF($BM92=ChoixSpécificité2Bisons,1)),INDEX(Règles_bison[Specificite],MATCH(ChoixRationBisons&amp;$BM92,Règles_bison[Ration]&amp;Règles_bison[Aliment],0))="c"),
INDEX(Règles_bison[Valeur 6-12],MATCH(ChoixRationBisons&amp;$BM92,Règles_bison[Ration]&amp;Règles_bison[Aliment],0)),0),0)*TotalBisonsFemelles_6_12_mois*SUM(NbreJoursNourrirBisonsDaims))</f>
        <v>0</v>
      </c>
      <c r="BS92" s="1075">
        <f t="array" ref="BS92">IF(Ration_hivernale_complète_bisons[somme]&gt;0,0,IFERROR(IF(OR(AND(INDEX(Règles_bison[Specificite],MATCH(ChoixRationBisons&amp;$BM92,Règles_bison[Ration]&amp;Règles_bison[Aliment],0))="s1",IF($BM92=ChoixSpécificité1Bisons,1)),
AND(INDEX(Règles_bison[Specificite],MATCH(ChoixRationBisons&amp;$BM92,Règles_bison[Ration]&amp;Règles_bison[Aliment],0))="s2",IF($BM92=ChoixSpécificité2Bisons,1)),INDEX(Règles_bison[Specificite],MATCH(ChoixRationBisons&amp;$BM92,Règles_bison[Ration]&amp;Règles_bison[Aliment],0))="c"),
INDEX(Règles_bison[Valeur 3-6],MATCH(ChoixRationBisons&amp;$BM92,Règles_bison[Ration]&amp;Règles_bison[Aliment],0)),0),0)*TotalBisonsFemelles_3_6_mois*SUM(NbreJoursNourrirBisonsDaims))</f>
        <v>0</v>
      </c>
      <c r="BT92" s="1075">
        <f t="array" ref="BT92">IF(Ration_hivernale_complète_bisons[somme]&gt;0,0,IFERROR(IF(OR(AND(INDEX(Règles_bison[Specificite],MATCH(ChoixRationBisons&amp;$BM92,Règles_bison[Ration]&amp;Règles_bison[Aliment],0))="s1",IF($BM92=ChoixSpécificité1Bisons,1)),
AND(INDEX(Règles_bison[Specificite],MATCH(ChoixRationBisons&amp;$BM92,Règles_bison[Ration]&amp;Règles_bison[Aliment],0))="s2",IF($BM92=ChoixSpécificité2Bisons,1)),INDEX(Règles_bison[Specificite],MATCH(ChoixRationBisons&amp;$BM92,Règles_bison[Ration]&amp;Règles_bison[Aliment],0))="c"),
INDEX(Règles_bison[Valeur 0-3],MATCH(ChoixRationBisons&amp;$BM92,Règles_bison[Ration]&amp;Règles_bison[Aliment],0)),0),0)*TotalBisonsFemelles_0_3_mois*SUM(NbreJoursNourrirBisonsDaims))</f>
        <v>0</v>
      </c>
      <c r="BU92" s="1075">
        <f t="shared" si="22"/>
        <v>0</v>
      </c>
      <c r="BV92" s="1346"/>
      <c r="BW92" s="1346"/>
      <c r="BX92" s="1176" t="s">
        <v>765</v>
      </c>
      <c r="BY92" s="1177" t="s">
        <v>763</v>
      </c>
      <c r="BZ92" s="1177" t="s">
        <v>1252</v>
      </c>
      <c r="CA92" s="1177">
        <v>6</v>
      </c>
      <c r="CB92" s="1177">
        <v>4</v>
      </c>
      <c r="CC92" s="1177">
        <v>2</v>
      </c>
      <c r="CD92" s="1199">
        <v>0</v>
      </c>
      <c r="CE92" s="1350"/>
      <c r="CF92" s="1350"/>
      <c r="CG92" s="1350"/>
      <c r="CH92" s="1350"/>
      <c r="CI92" s="1321"/>
      <c r="CJ92" s="808" t="str">
        <f t="shared" si="26"/>
        <v>Chanvre</v>
      </c>
      <c r="CK92" s="788">
        <f t="array" ref="CK9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92" s="788">
        <f t="array" ref="CL9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92" s="788">
        <f t="array" ref="CM9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92" s="788">
        <f t="array" ref="CN9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92" s="788">
        <f t="array" ref="CO9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92" s="812">
        <f>SUM(AlimentsRationPorcinsFemelles[[#This Row],[Valeur 12 et plus]:[Valeur 0-1]])</f>
        <v>0</v>
      </c>
      <c r="CQ92" s="1321"/>
      <c r="CR92" s="1321"/>
      <c r="CS92" s="808"/>
      <c r="CT92" s="817">
        <f t="array" ref="CT9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92" s="817">
        <f t="array" ref="CU9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92" s="817">
        <f t="array" ref="CV92">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92" s="818">
        <f>SUM(AlimentsRationLapinsMâles[[#This Row],[Valeur 3 et plus]:[Valeur 0-1]])</f>
        <v>0</v>
      </c>
      <c r="CX92" s="1321"/>
      <c r="CY92" s="1321"/>
      <c r="CZ92" s="808"/>
      <c r="DA92" s="817">
        <f t="array" ref="DA9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92" s="817">
        <f t="array" ref="DB9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92" s="817">
        <f t="array" ref="DC92">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92" s="818">
        <f>SUM(AlimentsRationVolaillesMâles[[#This Row],[Valeur 6 et plus]:[Valeur 0-1]])</f>
        <v>0</v>
      </c>
      <c r="DE92" s="1364"/>
      <c r="DF92" s="1321"/>
      <c r="DG92" s="788" t="str">
        <f t="shared" si="27"/>
        <v>Blé</v>
      </c>
      <c r="DH92" s="817">
        <f t="array" ref="DH9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92" s="817">
        <f t="array" ref="DI9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92" s="817">
        <f t="array" ref="DJ9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92" s="821">
        <f>SUM(AlimentsRationPintadesFemelles[[#This Row],[Valeur 6 et plus]:[Valeur 0-1]])</f>
        <v>0</v>
      </c>
      <c r="DL92" s="1321"/>
      <c r="DM92" s="1321"/>
      <c r="DN92" s="1176" t="s">
        <v>727</v>
      </c>
      <c r="DO92" s="1177" t="s">
        <v>1273</v>
      </c>
      <c r="DP92" s="1177" t="s">
        <v>1252</v>
      </c>
      <c r="DQ92" s="1181">
        <v>1.2</v>
      </c>
      <c r="DR92" s="1181">
        <v>0.8</v>
      </c>
      <c r="DS92" s="1181">
        <v>0.6</v>
      </c>
      <c r="DT92" s="1243">
        <v>0.4</v>
      </c>
      <c r="DU92" s="1345"/>
      <c r="DV92" s="1076" t="str">
        <f t="shared" si="24"/>
        <v>Foin</v>
      </c>
      <c r="DW92" s="1267">
        <f t="array" ref="DW92">SUM((IF(QualitéAlimentsFaonMâle_0_3_mois=BONNE,VLOOKUP("Foin",AlimentsRationHivernaleDaims,8,FALSE),0)+(IF(QualitéAlimentsFaonFemelle_0_3_mois=BONNE,VLOOKUP("Foin",AlimentsRationHivernaleDaims,8,FALSE),0)+(IF(QualitéAlimentsFaonMâle_3_6_mois=BONNE,VLOOKUP("Foin",AlimentsRationHivernaleDaims,7,FALSE),0)+(IF(QualitéAlimentsFaonFemelle_3_6_mois=BONNE,VLOOKUP("Foin",AlimentsRationHivernaleDaims,7,FALSE),0)+(IF(QualitéAlimentsFaonMâle_6_12_mois=BONNE,VLOOKUP("Foin",AlimentsRationHivernaleDaims,6,FALSE),0)+(IF(QualitéAlimentsFaonFemelle_6_12_mois=BONNE,VLOOKUP("Foin",AlimentsRationHivernaleDaims,6,FALSE),0)+(IF(QualitéAlimentsJeuneDaim_12_18_mois=BONNE,VLOOKUP("Foin",AlimentsRationHivernaleDaims,5,FALSE),0)+(IF(QualitéAlimentsJeuneDaine_12_18_mois=BONNE,VLOOKUP("Foin",AlimentsRationHivernaleDaims,5,FALSE),0)+(IF(QualitéAlimentsJeuneDaim_18_24_mois=BONNE,VLOOKUP("Foin",AlimentsRationHivernaleDaims,4,FALSE),0)+(IF(QualitéAlimentsJeuneDaine_18_24_mois=BONNE,VLOOKUP("Foin",AlimentsRationHivernaleDaims,4,FALSE),0)+(IF(QualitéAlimentsJeuneDaim_24_36_mois=BONNE,VLOOKUP("Foin",AlimentsRationHivernaleDaims,3,FALSE),0)+(IF(QualitéAlimentsJeuneDaine_24_36_mois=BONNE,VLOOKUP("Foin",AlimentsRationHivernaleDaims,3,FALSE),0)+(IF(QualitéAlimentsDaim=BONNE,VLOOKUP("Foin",AlimentsRationHivernaleDaims,2,FALSE),0)+(IF(QualitéAlimentsDaine=BONNE,VLOOKUP("Foin",AlimentsRationHivernaleDaims,2,FALSE),0))))))))))))))))</f>
        <v>0</v>
      </c>
      <c r="DX92" s="1267">
        <f t="array" ref="DX92">SUM((IF(QualitéAlimentsFaonMâle_0_3_mois=MOYENNE,VLOOKUP("Foin",AlimentsRationHivernaleDaims,8,FALSE),0)+(IF(QualitéAlimentsFaonFemelle_0_3_mois=MOYENNE,VLOOKUP("Foin",AlimentsRationHivernaleDaims,8,FALSE),0)+(IF(QualitéAlimentsFaonMâle_3_6_mois=MOYENNE,VLOOKUP("Foin",AlimentsRationHivernaleDaims,7,FALSE),0)+(IF(QualitéAlimentsFaonFemelle_3_6_mois=MOYENNE,VLOOKUP("Foin",AlimentsRationHivernaleDaims,7,FALSE),0)+(IF(QualitéAlimentsFaonMâle_6_12_mois=MOYENNE,VLOOKUP("Foin",AlimentsRationHivernaleDaims,6,FALSE),0)+(IF(QualitéAlimentsFaonFemelle_6_12_mois=MOYENNE,VLOOKUP("Foin",AlimentsRationHivernaleDaims,6,FALSE),0)+(IF(QualitéAlimentsJeuneDaim_12_18_mois=MOYENNE,VLOOKUP("Foin",AlimentsRationHivernaleDaims,5,FALSE),0)+(IF(QualitéAlimentsJeuneDaine_12_18_mois=MOYENNE,VLOOKUP("Foin",AlimentsRationHivernaleDaims,5,FALSE),0)+(IF(QualitéAlimentsJeuneDaim_18_24_mois=MOYENNE,VLOOKUP("Foin",AlimentsRationHivernaleDaims,4,FALSE),0)+(IF(QualitéAlimentsJeuneDaine_18_24_mois=MOYENNE,VLOOKUP("Foin",AlimentsRationHivernaleDaims,4,FALSE),0)+(IF(QualitéAlimentsJeuneDaim_24_36_mois=MOYENNE,VLOOKUP("Foin",AlimentsRationHivernaleDaims,3,FALSE),0)+(IF(QualitéAlimentsJeuneDaine_24_36_mois=MOYENNE,VLOOKUP("Foin",AlimentsRationHivernaleDaims,3,FALSE),0)+(IF(QualitéAlimentsDaim=MOYENNE,VLOOKUP("Foin",AlimentsRationHivernaleDaims,2,FALSE),0)+(IF(QualitéAlimentsDaine=MOYENNE,VLOOKUP("Foin",AlimentsRationHivernaleDaims,2,FALSE),0))))))))))))))))</f>
        <v>0</v>
      </c>
      <c r="DY92" s="1267">
        <f t="array" ref="DY92">SUM((IF(QualitéAlimentsFaonMâle_0_3_mois=MAUVAISE,VLOOKUP("Foin",AlimentsRationHivernaleDaims,8,FALSE),0)+(IF(QualitéAlimentsFaonFemelle_0_3_mois=MAUVAISE,VLOOKUP("Foin",AlimentsRationHivernaleDaims,8,FALSE),0)+(IF(QualitéAlimentsFaonMâle_3_6_mois=MAUVAISE,VLOOKUP("Foin",AlimentsRationHivernaleDaims,7,FALSE),0)+(IF(QualitéAlimentsFaonFemelle_3_6_mois=MAUVAISE,VLOOKUP("Foin",AlimentsRationHivernaleDaims,7,FALSE),0)+(IF(QualitéAlimentsFaonMâle_6_12_mois=MAUVAISE,VLOOKUP("Foin",AlimentsRationHivernaleDaims,6,FALSE),0)+(IF(QualitéAlimentsFaonFemelle_6_12_mois=MAUVAISE,VLOOKUP("Foin",AlimentsRationHivernaleDaims,6,FALSE),0)+(IF(QualitéAlimentsJeuneDaim_12_18_mois=MAUVAISE,VLOOKUP("Foin",AlimentsRationHivernaleDaims,5,FALSE),0)+(IF(QualitéAlimentsJeuneDaine_12_18_mois=MAUVAISE,VLOOKUP("Foin",AlimentsRationHivernaleDaims,5,FALSE),0)+(IF(QualitéAlimentsJeuneDaim_18_24_mois=MAUVAISE,VLOOKUP("Foin",AlimentsRationHivernaleDaims,4,FALSE),0)+(IF(QualitéAlimentsJeuneDaine_18_24_mois=MAUVAISE,VLOOKUP("Foin",AlimentsRationHivernaleDaims,4,FALSE),0)+(IF(QualitéAlimentsJeuneDaim_24_36_mois=MAUVAISE,VLOOKUP("Foin",AlimentsRationHivernaleDaims,3,FALSE),0)+(IF(QualitéAlimentsJeuneDaine_24_36_mois=MAUVAISE,VLOOKUP("Foin",AlimentsRationHivernaleDaims,3,FALSE),0)+(IF(QualitéAlimentsDaim=MAUVAISE,VLOOKUP("Foin",AlimentsRationHivernaleDaims,2,FALSE),0)+(IF(QualitéAlimentsDaine=MAUVAISE,VLOOKUP("Foin",AlimentsRationHivernaleDaims,2,FALSE),0))))))))))))))))</f>
        <v>0</v>
      </c>
      <c r="DZ92" s="1345"/>
      <c r="EA92" s="1345"/>
      <c r="EB92" s="1345"/>
      <c r="EC92" s="1345"/>
      <c r="ED92" s="1345"/>
      <c r="EE92" s="1345"/>
      <c r="EF92" s="1321"/>
      <c r="EG92" s="1336"/>
      <c r="EH92" s="1336"/>
      <c r="EI92" s="1336"/>
      <c r="EJ92" s="1336"/>
      <c r="EK92" s="1336"/>
      <c r="EL92" s="1321"/>
      <c r="EM92" s="1321"/>
      <c r="EN92" s="1336" t="s">
        <v>1714</v>
      </c>
      <c r="EO92" s="1336"/>
      <c r="EP92" s="1336"/>
      <c r="EQ92" s="1336"/>
      <c r="ER92" s="1336"/>
      <c r="ES92" s="1321"/>
      <c r="ET92" s="1321"/>
      <c r="EU92" s="1082" t="s">
        <v>76</v>
      </c>
      <c r="EV92" s="1282">
        <f t="array" ref="EV92">IF(OR(ChoixRationComplèteEtéChevauxSelle=OUI,ChoixRationComplèteEtéChevauxSelle="",AND(ChoixChevauxSellePréHiver=OUI,ChoixChevauxSellePréEté=OUI)),0,IFERROR(IF(OR(AND(INDEX(Règles_chevaux_selle[Specificite],MATCH(RationEtéChevauxSelle&amp;$EU92,Règles_chevaux_selle[Ration]&amp;Règles_chevaux_selle[Aliment],0))="s1",IF($EU92=Spécificité1ChevauxSelle,1)),
AND(INDEX(Règles_chevaux_selle[Specificite],MATCH(RationEtéChevauxSelle&amp;$EU92,Règles_chevaux_selle[Ration]&amp;Règles_chevaux_selle[Aliment],0))="s2",IF($EU92=Spécificité2ChevauxSelle,1)),
INDEX(Règles_chevaux_selle[Specificite],MATCH(RationEtéChevauxSelle&amp;$EU92,Règles_chevaux_selle[Ration]&amp;Règles_chevaux_selle[Aliment],0))="c"),
INDEX(Règles_chevaux_selle[Valeur 36 et plus],MATCH(RationEtéChevauxSelle&amp;$EU92,Règles_chevaux_selle[Ration]&amp;Règles_chevaux_selle[Aliment],0)),0),0)*TotalEtalonSelle*SUM(NbreJoursNourrirChevauxSelle))</f>
        <v>0</v>
      </c>
      <c r="EW92" s="1282">
        <f t="array" ref="EW92">IF(OR(ChoixRationComplèteEtéChevauxSelle=OUI,ChoixRationComplèteEtéChevauxSelle="",AND(ChoixChevauxSellePréHiver=OUI,ChoixChevauxSellePréEté=OUI)),0,IFERROR(IF(OR(AND(INDEX(Règles_chevaux_selle[Specificite],MATCH(RationEtéChevauxSelle&amp;$EU92,Règles_chevaux_selle[Ration]&amp;Règles_chevaux_selle[Aliment],0))="s1",IF($EU92=Spécificité1ChevauxSelle,1)),
AND(INDEX(Règles_chevaux_selle[Specificite],MATCH(RationEtéChevauxSelle&amp;$EU92,Règles_chevaux_selle[Ration]&amp;Règles_chevaux_selle[Aliment],0))="s2",IF($EU92=Spécificité2ChevauxSelle,1)),
INDEX(Règles_chevaux_selle[Specificite],MATCH(RationEtéChevauxSelle&amp;$EU92,Règles_chevaux_selle[Ration]&amp;Règles_chevaux_selle[Aliment],0))="c"),
INDEX(Règles_chevaux_selle[Valeur 24-36],MATCH(RationEtéChevauxSelle&amp;$EU92,Règles_chevaux_selle[Ration]&amp;Règles_chevaux_selle[Aliment],0)),0),0)*TotalJeuneEtalonSelle_24_36_mois*SUM(NbreJoursNourrirChevauxSelle))</f>
        <v>0</v>
      </c>
      <c r="EX92" s="1282">
        <f t="array" ref="EX92">IF(OR(ChoixRationComplèteEtéChevauxSelle=OUI,ChoixRationComplèteEtéChevauxSelle="",AND(ChoixChevauxSellePréHiver=OUI,ChoixChevauxSellePréEté=OUI)),0,IFERROR(IF(OR(AND(INDEX(Règles_chevaux_selle[Specificite],MATCH(RationEtéChevauxSelle&amp;$EU92,Règles_chevaux_selle[Ration]&amp;Règles_chevaux_selle[Aliment],0))="s1",IF($EU92=Spécificité1ChevauxSelle,1)),
AND(INDEX(Règles_chevaux_selle[Specificite],MATCH(RationEtéChevauxSelle&amp;$EU92,Règles_chevaux_selle[Ration]&amp;Règles_chevaux_selle[Aliment],0))="s2",IF($EU92=Spécificité2ChevauxSelle,1)),
INDEX(Règles_chevaux_selle[Specificite],MATCH(RationEtéChevauxSelle&amp;$EU92,Règles_chevaux_selle[Ration]&amp;Règles_chevaux_selle[Aliment],0))="c"),
INDEX(Règles_chevaux_selle[Valeur 12-24],MATCH(RationEtéChevauxSelle&amp;$EU92,Règles_chevaux_selle[Ration]&amp;Règles_chevaux_selle[Aliment],0)),0),0)*TotalJeuneEtalonSelle_12_24_mois*SUM(NbreJoursNourrirChevauxSelle))</f>
        <v>0</v>
      </c>
      <c r="EY92" s="1285">
        <f t="array" ref="EY92">IF(OR(ChoixRationComplèteEtéChevauxSelle=OUI,ChoixRationComplèteEtéChevauxSelle="",AND(ChoixChevauxSellePréHiver=OUI,ChoixChevauxSellePréEté=OUI)),0,IFERROR(IF(OR(AND(INDEX(Règles_chevaux_selle[Specificite],MATCH(RationEtéChevauxSelle&amp;$EU92,Règles_chevaux_selle[Ration]&amp;Règles_chevaux_selle[Aliment],0))="s1",IF($EU92=Spécificité1ChevauxSelle,1)),
AND(INDEX(Règles_chevaux_selle[Specificite],MATCH(RationEtéChevauxSelle&amp;$EU92,Règles_chevaux_selle[Ration]&amp;Règles_chevaux_selle[Aliment],0))="s2",IF($EU92=Spécificité2ChevauxSelle,1)),
INDEX(Règles_chevaux_selle[Specificite],MATCH(RationEtéChevauxSelle&amp;$EU92,Règles_chevaux_selle[Ration]&amp;Règles_chevaux_selle[Aliment],0))="c"),
INDEX(Règles_chevaux_selle[Valeur 0-12],MATCH(RationEtéChevauxSelle&amp;$EU92,Règles_chevaux_selle[Ration]&amp;Règles_chevaux_selle[Aliment],0)),0),0)*TotalPoulainSelle_0_12_mois*SUM(NbreJoursNourrirChevauxSelle))</f>
        <v>0</v>
      </c>
      <c r="EZ92" s="1285">
        <f t="shared" si="16"/>
        <v>0</v>
      </c>
      <c r="FA92" s="1345"/>
      <c r="FB92" s="1345"/>
      <c r="FC92" s="1321"/>
      <c r="FD92" s="1082"/>
      <c r="FE92" s="1282">
        <f t="array" ref="FE92">IF(OR(ChoixRationComplèteEtéChevauxTrait=OUI,ChoixRationComplèteEtéChevauxTrait="",AND(ChoixChevauxTraitPréHiver=OUI,ChoixChevauxTraitPréEté=OUI)),0,IFERROR(IF(OR(AND(INDEX(Règles_chevaux_trait[Specificite],MATCH(RationEtéChevauxTrait&amp;$FD92,Règles_chevaux_trait[Ration]&amp;Règles_chevaux_trait[Aliment],0))="s1",IF($FD92=Spécificité1ChevauxTrait,1)),
AND(INDEX(Règles_chevaux_trait[Specificite],MATCH(RationEtéChevauxTrait&amp;$FD92,Règles_chevaux_trait[Ration]&amp;Règles_chevaux_trait[Aliment],0))="s2",IF($FD92=Spécificité2ChevauxTrait,1)),
INDEX(Règles_chevaux_trait[Specificite],MATCH(RationEtéChevauxTrait&amp;$FD92,Règles_chevaux_trait[Ration]&amp;Règles_chevaux_trait[Aliment],0))="c"),
INDEX(Règles_chevaux_trait[Valeur 36 et plus],MATCH(RationEtéChevauxTrait&amp;$FD92,Règles_chevaux_trait[Ration]&amp;Règles_chevaux_trait[Aliment],0)),0),0)*TotalEtalonTrait*SUM(NbreJoursNourrirChevauxTrait))</f>
        <v>0</v>
      </c>
      <c r="FF92" s="1282">
        <f t="array" ref="FF92">IF(OR(ChoixRationComplèteEtéChevauxTrait=OUI,ChoixRationComplèteEtéChevauxTrait="",AND(ChoixChevauxTraitPréHiver=OUI,ChoixChevauxTraitPréEté=OUI)),0,IFERROR(IF(OR(AND(INDEX(Règles_chevaux_trait[Specificite],MATCH(RationEtéChevauxTrait&amp;$FD92,Règles_chevaux_trait[Ration]&amp;Règles_chevaux_trait[Aliment],0))="s1",IF($FD92=Spécificité1ChevauxTrait,1)),
AND(INDEX(Règles_chevaux_trait[Specificite],MATCH(RationEtéChevauxTrait&amp;$FD92,Règles_chevaux_trait[Ration]&amp;Règles_chevaux_trait[Aliment],0))="s2",IF($FD92=Spécificité2ChevauxTrait,1)),
INDEX(Règles_chevaux_trait[Specificite],MATCH(RationEtéChevauxTrait&amp;$FD92,Règles_chevaux_trait[Ration]&amp;Règles_chevaux_trait[Aliment],0))="c"),
INDEX(Règles_chevaux_trait[Valeur 24-36],MATCH(RationEtéChevauxTrait&amp;$FD92,Règles_chevaux_trait[Ration]&amp;Règles_chevaux_trait[Aliment],0)),0),0)*TotalJeuneEtalonTrait_24_36_mois*SUM(NbreJoursNourrirChevauxTrait))</f>
        <v>0</v>
      </c>
      <c r="FG92" s="1282">
        <f t="array" ref="FG92">IF(OR(ChoixRationComplèteEtéChevauxTrait=OUI,ChoixRationComplèteEtéChevauxTrait="",AND(ChoixChevauxTraitPréHiver=OUI,ChoixChevauxTraitPréEté=OUI)),0,IFERROR(IF(OR(AND(INDEX(Règles_chevaux_trait[Specificite],MATCH(RationEtéChevauxTrait&amp;$FD92,Règles_chevaux_trait[Ration]&amp;Règles_chevaux_trait[Aliment],0))="s1",IF($FD92=Spécificité1ChevauxTrait,1)),
AND(INDEX(Règles_chevaux_trait[Specificite],MATCH(RationEtéChevauxTrait&amp;$FD92,Règles_chevaux_trait[Ration]&amp;Règles_chevaux_trait[Aliment],0))="s2",IF($FD92=Spécificité2ChevauxTrait,1)),
INDEX(Règles_chevaux_trait[Specificite],MATCH(RationEtéChevauxTrait&amp;$FD92,Règles_chevaux_trait[Ration]&amp;Règles_chevaux_trait[Aliment],0))="c"),
INDEX(Règles_chevaux_trait[Valeur 12-24],MATCH(RationEtéChevauxTrait&amp;$FD92,Règles_chevaux_trait[Ration]&amp;Règles_chevaux_trait[Aliment],0)),0),0)*TotalJeuneEtalonTrait_12_24_mois*SUM(NbreJoursNourrirChevauxTrait))</f>
        <v>0</v>
      </c>
      <c r="FH92" s="1285">
        <f t="array" ref="FH92">IF(OR(ChoixRationComplèteEtéChevauxTrait=OUI,ChoixRationComplèteEtéChevauxTrait="",AND(ChoixChevauxTraitPréHiver=OUI,ChoixChevauxTraitPréEté=OUI)),0,IFERROR(IF(OR(AND(INDEX(Règles_chevaux_trait[Specificite],MATCH(RationEtéChevauxTrait&amp;$FD92,Règles_chevaux_trait[Ration]&amp;Règles_chevaux_trait[Aliment],0))="s1",IF($FD92=Spécificité1ChevauxTrait,1)),
AND(INDEX(Règles_chevaux_trait[Specificite],MATCH(RationEtéChevauxTrait&amp;$FD92,Règles_chevaux_trait[Ration]&amp;Règles_chevaux_trait[Aliment],0))="s2",IF($FD92=Spécificité2ChevauxTrait,1)),
INDEX(Règles_chevaux_trait[Specificite],MATCH(RationEtéChevauxTrait&amp;$FD92,Règles_chevaux_trait[Ration]&amp;Règles_chevaux_trait[Aliment],0))="c"),
INDEX(Règles_chevaux_trait[Valeur 0-12],MATCH(RationEtéChevauxTrait&amp;$FD92,Règles_chevaux_trait[Ration]&amp;Règles_chevaux_trait[Aliment],0)),0),0)*TotalPoulainTrait_0_12_mois*SUM(NbreJoursNourrirChevauxTrait))</f>
        <v>0</v>
      </c>
      <c r="FI92" s="1285">
        <f t="shared" si="15"/>
        <v>0</v>
      </c>
      <c r="FJ92" s="1345"/>
      <c r="FK92" s="1345"/>
      <c r="FL92" s="1345"/>
      <c r="FM92" s="1321"/>
      <c r="FN92" s="1336"/>
      <c r="FO92" s="1336"/>
      <c r="FP92" s="1336"/>
      <c r="FQ92" s="1336"/>
      <c r="FR92" s="1336"/>
      <c r="FS92" s="1336"/>
      <c r="FT92" s="1345"/>
      <c r="FU92" s="1345"/>
      <c r="FV92" s="1345"/>
      <c r="FW92" s="823" t="str">
        <f t="shared" si="28"/>
        <v>Blé</v>
      </c>
      <c r="FX92" s="828">
        <f t="array" ref="FX9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92" s="828">
        <f t="array" ref="FY9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92" s="828">
        <f t="array" ref="FZ9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92" s="828">
        <f t="array" ref="GA9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92" s="829">
        <f>SUM(AlimentsGavageCanards[[#This Row],[Valeur 3 et plus]:[Valeur 0-1]])</f>
        <v>0</v>
      </c>
      <c r="GC92" s="1321"/>
      <c r="GD92" s="1321"/>
      <c r="GE92" s="1321"/>
      <c r="GF92" s="1321"/>
      <c r="GG92" s="1321" t="s">
        <v>1349</v>
      </c>
      <c r="GH92" s="1321" t="s">
        <v>1349</v>
      </c>
      <c r="GI92" s="1321" t="s">
        <v>1349</v>
      </c>
      <c r="GJ92" s="1321" t="s">
        <v>1349</v>
      </c>
      <c r="GK92" s="1321" t="s">
        <v>1349</v>
      </c>
      <c r="GL92" s="1321" t="s">
        <v>1349</v>
      </c>
      <c r="GM92" s="1321" t="s">
        <v>1349</v>
      </c>
      <c r="GN92" s="1321" t="s">
        <v>1349</v>
      </c>
      <c r="GO92" s="1321" t="s">
        <v>1349</v>
      </c>
      <c r="GP92" s="1321" t="s">
        <v>1349</v>
      </c>
      <c r="GQ92" s="1321" t="s">
        <v>1349</v>
      </c>
      <c r="GR92" s="1321" t="s">
        <v>1349</v>
      </c>
      <c r="GS92" s="1321" t="s">
        <v>1349</v>
      </c>
      <c r="GT92" s="1321" t="s">
        <v>1349</v>
      </c>
      <c r="GU92" s="1321" t="s">
        <v>1349</v>
      </c>
      <c r="GV92" s="1321" t="s">
        <v>1349</v>
      </c>
      <c r="GW92" s="1321"/>
      <c r="GX92" s="1321"/>
      <c r="GY92" s="1083" t="str">
        <f t="shared" si="25"/>
        <v>Calcium</v>
      </c>
      <c r="GZ92" s="1083"/>
      <c r="HA92" s="1084"/>
      <c r="HB92" s="1084">
        <f>IF(COUNTIF(TypeArticleDansEntrepôt,GY92)=0,0,SUMIF(TypeArticleDansEntrepôt,GY92,QtéArticleDansEntrepôt)*VLOOKUP(GY92,place_necessaire_entrepots_aire_paille[],2,FALSE))</f>
        <v>0</v>
      </c>
      <c r="HC92" s="1321"/>
      <c r="HD92" s="1321"/>
      <c r="HE92" s="1321"/>
      <c r="HF92" s="1321"/>
      <c r="HG92" s="1321"/>
      <c r="HH92" s="1321"/>
      <c r="HI92" s="1321"/>
      <c r="HJ92" s="1321"/>
      <c r="HK92" s="1321"/>
      <c r="HL92" s="1321"/>
      <c r="HM92" s="1321"/>
      <c r="HN92" s="1084" t="str">
        <f>IF(parcelles!B140="","",(VLOOKUP(parcelles!C140,BDD!$HN$5:$HU$38,2,FALSE))*parcelles!E140)</f>
        <v/>
      </c>
      <c r="HO92" s="1084" t="str">
        <f>IF(parcelles!B140="","",IF(OR(parcelles!C140=Moutarde,parcelles!C140=Phacélie),0,IF(parcelles!C140=Luzerne,10*parcelles!E140*VLOOKUP(parcelles!C140,BDD!$HN$5:$HU$38,3,FALSE),IF(parcelles!C140=Miscanthus,10.5*parcelles!E140*VLOOKUP(parcelles!C140,BDD!$HN$5:$HU$38,3,FALSE),INDEX(parcelles!$C$56:'parcelles'!$Y$77,MATCH(parcelles!B140,parcelles!$B$56:'parcelles'!$B$77,0),MATCH(parcelles!C140,parcelles!$C$53:'parcelles'!$Y$53,0))*parcelles!E140*VLOOKUP(parcelles!C140,BDD!$HN$5:$HU$38,3,FALSE)))))</f>
        <v/>
      </c>
      <c r="HP92" s="1084" t="str">
        <f>IF(parcelles!B140="","",IF(OR(parcelles!C140=Moutarde,parcelles!C140=Phacélie),0,IF(parcelles!C140=Luzerne,10*parcelles!E140*VLOOKUP(parcelles!C140,BDD!$HN$5:$HU$38,4,FALSE),IF(parcelles!C140=Miscanthus,10.5*parcelles!E140*VLOOKUP(parcelles!C140,BDD!$HN$5:$HU$38,4,FALSE),INDEX(parcelles!$C$56:'parcelles'!$Y$77,MATCH(parcelles!B140,parcelles!$B$56:'parcelles'!$B$77,0),MATCH(parcelles!C140,parcelles!$C$53:'parcelles'!$Y$53,0))*parcelles!E140*VLOOKUP(parcelles!C140,BDD!$HN$5:$HU$38,4,FALSE)))))</f>
        <v/>
      </c>
      <c r="HQ92" s="1084" t="str">
        <f>IF(parcelles!B140="","",IF(OR(parcelles!C140=Moutarde,parcelles!C140=Phacélie),0,IF(parcelles!C140=Luzerne,10*parcelles!E140*VLOOKUP(parcelles!C140,BDD!$HN$5:$HU$38,5,FALSE),IF(parcelles!C140=Miscanthus,10.5*parcelles!E140*VLOOKUP(parcelles!C140,BDD!$HN$5:$HU$38,5,FALSE),INDEX(parcelles!$C$56:'parcelles'!$Y$77,MATCH(parcelles!B140,parcelles!$B$56:'parcelles'!$B$77,0),MATCH(parcelles!C140,parcelles!$C$53:'parcelles'!$Y$53,0))*parcelles!E140*VLOOKUP(parcelles!C140,BDD!$HN$5:$HU$38,5,FALSE)))))</f>
        <v/>
      </c>
      <c r="HR92" s="1084" t="str">
        <f>IF(parcelles!B140="","",IF(OR(parcelles!C140=Moutarde,parcelles!C140=Phacélie),0,IF(parcelles!C140=Luzerne,10*parcelles!E140*VLOOKUP(parcelles!C140,BDD!$HN$5:$HU$38,6,FALSE),IF(parcelles!C140=Miscanthus,10.5*parcelles!E140*VLOOKUP(parcelles!C140,BDD!$HN$5:$HU$38,6,FALSE),INDEX(parcelles!$C$56:'parcelles'!$Y$77,MATCH(parcelles!B140,parcelles!$B$56:'parcelles'!$B$77,0),MATCH(parcelles!C140,parcelles!$C$53:'parcelles'!$Y$53,0))*parcelles!E140*VLOOKUP(parcelles!C140,BDD!$HN$5:$HU$38,6,FALSE)))))</f>
        <v/>
      </c>
      <c r="HS92" s="1084" t="str">
        <f>IF(parcelles!B140="","",IF(OR(parcelles!C140=Moutarde,parcelles!C140=Phacélie),0,IF(parcelles!C140=Luzerne,10*parcelles!E140*VLOOKUP(parcelles!C140,BDD!$HN$5:$HU$38,7,FALSE),IF(parcelles!C140=Miscanthus,10.5*parcelles!E140*VLOOKUP(parcelles!C140,BDD!$HN$5:$HU$38,7,FALSE),INDEX(parcelles!$C$56:'parcelles'!$Y$77,MATCH(parcelles!B140,parcelles!$B$56:'parcelles'!$B$77,0),MATCH(parcelles!C140,parcelles!$C$53:'parcelles'!$Y$53,0))*parcelles!E140*VLOOKUP(parcelles!C140,BDD!$HN$5:$HU$38,7,FALSE)))))</f>
        <v/>
      </c>
      <c r="HT92" s="1084" t="str">
        <f>IF(parcelles!B140="","",IF(OR(parcelles!C140=Moutarde,parcelles!C140=Phacélie),0,IF(parcelles!C140=Luzerne,10*parcelles!E140*VLOOKUP(parcelles!C140,BDD!$HN$5:$HU$38,8,FALSE),IF(parcelles!C140=Miscanthus,10.5*parcelles!E140*VLOOKUP(parcelles!C140,BDD!$HN$5:$HU$38,8,FALSE),INDEX(parcelles!$C$56:'parcelles'!$Y$77,MATCH(parcelles!B140,parcelles!$B$56:'parcelles'!$B$77,0),MATCH(parcelles!C140,parcelles!$C$53:'parcelles'!$Y$53,0))*parcelles!E140*VLOOKUP(parcelles!C140,BDD!$HN$5:$HU$38,8,FALSE)))))</f>
        <v/>
      </c>
      <c r="HU92" s="1084" t="str">
        <f>IF(parcelles!B140="","",IF(OR(parcelles!C140=Moutarde,parcelles!C140=Phacélie),0,1.6*parcelles!E140))</f>
        <v/>
      </c>
      <c r="HV92" s="1084" t="str">
        <f>IF(parcelles!B140="","",IF(OR(parcelles!C140=Moutarde,parcelles!C140=Phacélie),0,1.6*parcelles!E140))</f>
        <v/>
      </c>
      <c r="HW92" s="1084" t="str">
        <f>IF(parcelles!B140="","",IF(OR(parcelles!C140=Moutarde,parcelles!C140=Phacélie),0,1.6*parcelles!E140))</f>
        <v/>
      </c>
      <c r="HX92" s="1095" t="str">
        <f>IF(parcelles!D140="","",IF(parcelles!C140=ChanvreIndustriel,INDEX(parcelles!$C$56:$Y$77,MATCH(parcelles!B140,parcelles!$B$56:$B$77,0),MATCH(parcelles!C140,parcelles!$C$53:$Y$53,0))*parcelles!E140*SUMIF(ListeCulturesBDD,parcelles!C140,PrixVenteCulturesConventionnel)+RIGHT(BDD!$HM$7,3)*7*parcelles!E140,IF(parcelles!C140=Luzerne,parcelles!E140*10*VLOOKUP(parcelles!C140,TarifsCoopCultures,2,FALSE),IF(parcelles!C140=Miscanthus,parcelles!E140*10.5*VLOOKUP(Luzerne,TarifsCoopCultures,2,FALSE),INDEX(parcelles!$C$56:$Y$77,MATCH(parcelles!B140,parcelles!$B$56:$B$77,0),MATCH(parcelles!C140,parcelles!$C$53:$Y$53,0))*parcelles!E140*SUMIF(ListeCulturesBDD,parcelles!C140,PrixVenteCulturesConventionnel)))))</f>
        <v/>
      </c>
      <c r="HY92" s="1084" t="str">
        <f>IF(parcelles!D140="","",IF(parcelles!F140=0,"",IF(parcelles!C140=ChanvreIndustriel,"soit "&amp;parcelles!E140*0.8&amp;"t de grain et "&amp;parcelles!E140*7&amp;"t de paille",IF(parcelles!C140=Luzerne,"soit "&amp;10*parcelles!E140&amp;"t/an",IF(parcelles!C140=Miscanthus,"soit "&amp;10.5*parcelles!E140&amp;"t/an","soit "&amp;INDEX(parcelles!$C$56:$Y$77,MATCH(parcelles!B140,parcelles!$B$56:$B$77,0),MATCH(parcelles!C140,parcelles!$C$53:$Y$53,0))*parcelles!E140&amp;"t")))))</f>
        <v/>
      </c>
      <c r="HZ92" s="1084" t="str">
        <f>IF(parcelles!D140="","",IF(parcelles!F140=0,"",IF(parcelles!C140=ChanvreIndustriel,"soit "&amp;parcelles!E140*0.8*0.8&amp;"t de grain et "&amp;parcelles!E140*7*0.8&amp;"t de paille",IF(parcelles!C140=Luzerne,"soit "&amp;10*0.8*parcelles!E140&amp;"t/an",IF(parcelles!C140=Miscanthus,"soit "&amp;10.5*0.8*parcelles!E140&amp;"t/an","soit "&amp;INDEX(parcelles!$C$56:$Y$77,MATCH(parcelles!B140,parcelles!$B$56:$B$77,0),MATCH(parcelles!C140,parcelles!$C$53:$Y$53,0))*0.8*parcelles!E140&amp;"t")))))</f>
        <v/>
      </c>
      <c r="IA92" s="1084" t="str">
        <f>IF(parcelles!L140="","",(VLOOKUP(parcelles!M140,BDD!$HN$5:$HU$38,2,FALSE))*parcelles!O140)</f>
        <v/>
      </c>
      <c r="IB92" s="1084" t="str">
        <f>IF(parcelles!L140="","",IF(OR(parcelles!M140=Moutarde,parcelles!M140=Phacélie),0,IF(parcelles!M140=Luzerne,10*parcelles!O140*VLOOKUP(parcelles!M140,BDD!$HN$5:$HU$38,3,FALSE),IF(parcelles!M140=Miscanthus,10.5*parcelles!O140*VLOOKUP(parcelles!M140,BDD!$HN$5:$HU$38,3,FALSE),INDEX(parcelles!$C$56:'parcelles'!$Y$77,MATCH(parcelles!L140,parcelles!$B$56:'parcelles'!$B$77,0),MATCH(parcelles!M140,parcelles!$C$53:'parcelles'!$Y$53,0))*parcelles!O140*VLOOKUP(parcelles!M140,BDD!$HN$5:$HU$38,3,FALSE)))))</f>
        <v/>
      </c>
      <c r="IC92" s="1084" t="str">
        <f>IF(parcelles!L140="","",IF(OR(parcelles!M140=Moutarde,parcelles!M140=Phacélie),0,IF(parcelles!M140=Luzerne,10*parcelles!O140*VLOOKUP(parcelles!M140,BDD!$HN$5:$HU$38,4,FALSE),IF(parcelles!M140=Miscanthus,10.5*parcelles!O140*VLOOKUP(parcelles!M140,BDD!$HN$5:$HU$38,4,FALSE),INDEX(parcelles!$C$56:'parcelles'!$Y$77,MATCH(parcelles!L140,parcelles!$B$56:'parcelles'!$B$77,0),MATCH(parcelles!M140,parcelles!$C$53:'parcelles'!$Y$53,0))*parcelles!O140*VLOOKUP(parcelles!M140,BDD!$HN$5:$HU$38,4,FALSE)))))</f>
        <v/>
      </c>
      <c r="ID92" s="1084" t="str">
        <f>IF(parcelles!L140="","",IF(OR(parcelles!M140=Moutarde,parcelles!M140=Phacélie),0,IF(parcelles!M140=Luzerne,10*parcelles!O140*VLOOKUP(parcelles!M140,BDD!$HN$5:$HU$38,5,FALSE),IF(parcelles!M140=Miscanthus,10.5*parcelles!O140*VLOOKUP(parcelles!M140,BDD!$HN$5:$HU$38,5,FALSE),INDEX(parcelles!$C$56:'parcelles'!$Y$77,MATCH(parcelles!L140,parcelles!$B$56:'parcelles'!$B$77,0),MATCH(parcelles!M140,parcelles!$C$53:'parcelles'!$Y$53,0))*parcelles!O140*VLOOKUP(parcelles!M140,BDD!$HN$5:$HU$38,5,FALSE)))))</f>
        <v/>
      </c>
      <c r="IE92" s="1084" t="str">
        <f>IF(parcelles!L140="","",IF(OR(parcelles!M140=Moutarde,parcelles!M140=Phacélie),0,IF(parcelles!M140=Luzerne,10*parcelles!O140*VLOOKUP(parcelles!M140,BDD!$HN$5:$HU$38,6,FALSE),IF(parcelles!M140=Miscanthus,10.5*parcelles!O140*VLOOKUP(parcelles!M140,BDD!$HN$5:$HU$38,6,FALSE),INDEX(parcelles!$C$56:'parcelles'!$Y$77,MATCH(parcelles!L140,parcelles!$B$56:'parcelles'!$B$77,0),MATCH(parcelles!M140,parcelles!$C$53:'parcelles'!$Y$53,0))*parcelles!O140*VLOOKUP(parcelles!M140,BDD!$HN$5:$HU$38,6,FALSE)))))</f>
        <v/>
      </c>
      <c r="IF92" s="1084" t="str">
        <f>IF(parcelles!L140="","",IF(OR(parcelles!M140=Moutarde,parcelles!M140=Phacélie),0,IF(parcelles!M140=Luzerne,10*parcelles!O140*VLOOKUP(parcelles!M140,BDD!$HN$5:$HU$38,7,FALSE),IF(parcelles!M140=Miscanthus,10.5*parcelles!O140*VLOOKUP(parcelles!M140,BDD!$HN$5:$HU$38,7,FALSE),INDEX(parcelles!$C$56:'parcelles'!$Y$77,MATCH(parcelles!L140,parcelles!$B$56:'parcelles'!$B$77,0),MATCH(parcelles!M140,parcelles!$C$53:'parcelles'!$Y$53,0))*parcelles!O140*VLOOKUP(parcelles!M140,BDD!$HN$5:$HU$38,7,FALSE)))))</f>
        <v/>
      </c>
      <c r="IG92" s="1084" t="str">
        <f>IF(parcelles!L140="","",IF(OR(parcelles!M140=Moutarde,parcelles!M140=Phacélie),0,IF(parcelles!M140=Luzerne,10*parcelles!O140*VLOOKUP(parcelles!M140,BDD!$HN$5:$HU$38,8,FALSE),IF(parcelles!M140=Miscanthus,10.5*parcelles!O140*VLOOKUP(parcelles!M140,BDD!$HN$5:$HU$38,8,FALSE),INDEX(parcelles!$C$56:'parcelles'!$Y$77,MATCH(parcelles!L140,parcelles!$B$56:'parcelles'!$B$77,0),MATCH(parcelles!M140,parcelles!$C$53:'parcelles'!$Y$53,0))*parcelles!O140*VLOOKUP(parcelles!M140,BDD!$HN$5:$HU$38,8,FALSE)))))</f>
        <v/>
      </c>
      <c r="IH92" s="1084" t="str">
        <f>IF(parcelles!L140="","",IF(OR(parcelles!L140=Moutarde,parcelles!L140=Phacélie),0,1.6*parcelles!O140))</f>
        <v/>
      </c>
      <c r="II92" s="1084" t="str">
        <f>IF(parcelles!L140="","",IF(OR(parcelles!L140=Moutarde,parcelles!L140=Phacélie),0,1.6*parcelles!O140))</f>
        <v/>
      </c>
      <c r="IJ92" s="1084" t="str">
        <f>IF(parcelles!L140="","",IF(OR(parcelles!L140=Moutarde,parcelles!L140=Phacélie),0,1.6*parcelles!O140))</f>
        <v/>
      </c>
      <c r="IK92" s="1084" t="str">
        <f>IF(parcelles!P140="","",IF(parcelles!R140=0,"",IF(parcelles!O140=ChanvreIndustriel,"soit "&amp;parcelles!Q140*0.8&amp;"t de grain et "&amp;parcelles!Q140*7&amp;"t de paille",IF(parcelles!O140=Luzerne,"soit "&amp;10*parcelles!Q140&amp;"t/an",IF(parcelles!O140=Miscanthus,"soit "&amp;10.5*parcelles!Q140&amp;"t/an","soit "&amp;INDEX(parcelles!$C$56:$Y$77,MATCH(parcelles!N140,parcelles!$B$56:$B$77,0),MATCH(parcelles!O140,parcelles!$C$53:$Y$53,0))*parcelles!Q140&amp;"t")))))</f>
        <v/>
      </c>
      <c r="IL92" s="1084" t="str">
        <f>IF(parcelles!P140="","",IF(parcelles!R140=0,"",IF(parcelles!O140=ChanvreIndustriel,"soit "&amp;parcelles!Q140*0.8*0.8&amp;"t de grain et "&amp;parcelles!Q140*7*0.8&amp;"t de paille",IF(parcelles!O140=Luzerne,"soit "&amp;10*0.8*parcelles!Q140&amp;"t/an",IF(parcelles!O140=Miscanthus,"soit "&amp;10.5*0.8*parcelles!Q140&amp;"t/an","soit "&amp;INDEX(parcelles!$C$56:$Y$77,MATCH(parcelles!N140,parcelles!$B$56:$B$77,0),MATCH(parcelles!O140,parcelles!$C$53:$Y$53,0))*0.8*parcelles!Q140&amp;"t")))))</f>
        <v/>
      </c>
      <c r="IM92" s="1084" t="str">
        <f>IF(parcelles!S140="","",IF(parcelles!U140=0,"",IF(parcelles!R140=ChanvreIndustriel,parcelles!T140*0.8*0.8+parcelles!T140*7*0.8,IF(parcelles!R140=Luzerne,10*0.8*parcelles!T140,IF(parcelles!R140=Miscanthus,10.5*0.8*parcelles!T140,INDEX(parcelles!$C$56:$Y$77,MATCH(parcelles!Q140,parcelles!$B$56:$B$77,0),MATCH(parcelles!R140,parcelles!$C$53:$Y$53,0))*0.8*parcelles!T140)))))</f>
        <v/>
      </c>
      <c r="IN92" s="1368"/>
    </row>
    <row r="93" spans="1:248" ht="12.75" customHeight="1" x14ac:dyDescent="0.2">
      <c r="A93" s="1307" t="s">
        <v>317</v>
      </c>
      <c r="B93" s="1241">
        <f t="shared" si="17"/>
        <v>1E-3</v>
      </c>
      <c r="C93" s="1321"/>
      <c r="D93" s="1321"/>
      <c r="E93" s="1321"/>
      <c r="F93" s="1143" t="s">
        <v>499</v>
      </c>
      <c r="G93" s="1143" t="s">
        <v>1173</v>
      </c>
      <c r="H93" s="1143" t="s">
        <v>1202</v>
      </c>
      <c r="I93" s="1244" t="s">
        <v>1167</v>
      </c>
      <c r="J93" s="1244" t="s">
        <v>1212</v>
      </c>
      <c r="K93" s="1244" t="s">
        <v>1210</v>
      </c>
      <c r="L93" s="1244" t="s">
        <v>1197</v>
      </c>
      <c r="M93" s="1321"/>
      <c r="N93" s="1321"/>
      <c r="O93" s="802" t="s">
        <v>1452</v>
      </c>
      <c r="P93" s="802">
        <f>IF(SUM(ChoixEspèceAuPré)="",0,SUMIF(ChoixEspèceAuPré,Bovins,NbreMâles_3_6MoisAuPréEté))</f>
        <v>0</v>
      </c>
      <c r="Q93" s="802">
        <f>IF(SUM(ChoixEspèceAuPré)="",0,SUMIF(ChoixEspèceAuPré,Ovins,NbreMâles_3_6MoisAuPréEté))</f>
        <v>0</v>
      </c>
      <c r="R93" s="802">
        <f>IF(SUM(ChoixEspèceAuPré)="",0,SUMIF(ChoixEspèceAuPré,Caprins,NbreMâles_3_6MoisAuPréEté))</f>
        <v>0</v>
      </c>
      <c r="S93" s="802">
        <f>IF(SUM(ChoixEspèceAuPré)="",0,SUMIF(ChoixEspèceAuPré,Bisons,NbreMâles_3_6MoisAuPréEté))</f>
        <v>0</v>
      </c>
      <c r="T93" s="802">
        <f>IF(SUM(ChoixEspèceAuPré)="",0,SUMIF(ChoixEspèceAuPré,Daims,NbreMâles_3_6MoisAuPréEté))</f>
        <v>0</v>
      </c>
      <c r="U93" s="802">
        <f>IF(SUM(ChoixEspèceAuPré)="",0,SUMIF(ChoixEspèceAuPré,ChevauxSelle,NbreMâles_3_6MoisAuPréEté))</f>
        <v>0</v>
      </c>
      <c r="V93" s="802">
        <f>IF(SUM(ChoixEspèceAuPré)="",0,SUMIF(ChoixEspèceAuPré,ChevauxTrait,NbreMâles_3_6MoisAuPréEté))</f>
        <v>0</v>
      </c>
      <c r="W93" s="802">
        <f>IF(SUM(ChoixEspèceAuPré)="",0,SUMIF(ChoixEspèceAuPré,Poneys,NbreMâles_3_6MoisAuPréEté))</f>
        <v>0</v>
      </c>
      <c r="X93" s="1321"/>
      <c r="Y93" s="1080" t="s">
        <v>1684</v>
      </c>
      <c r="Z93" s="1080">
        <f>IF('coût alimentation'!$B$6=$Y$93,35,0)</f>
        <v>0</v>
      </c>
      <c r="AA93" s="1080">
        <f>IF('coût alimentation'!$B$6=$Y$93,35,0)</f>
        <v>0</v>
      </c>
      <c r="AB93" s="1080">
        <f>IF('coût alimentation'!$B$6=$Y$93,35,0)</f>
        <v>0</v>
      </c>
      <c r="AC93" s="1080">
        <f>IF('coût alimentation'!$B$6=$Y$93,35,0)</f>
        <v>0</v>
      </c>
      <c r="AD93" s="1080">
        <f>IF('coût alimentation'!$B$6=$Y$93,35,0)</f>
        <v>0</v>
      </c>
      <c r="AE93" s="1080">
        <f>IF(AND(ChoixChevauxSellePréEté="OUI",'coût alimentation'!$B$6=$Y$93),21,IF(Y93&lt;&gt;'coût alimentation'!$B$6,0,84))</f>
        <v>0</v>
      </c>
      <c r="AF93" s="1080">
        <f>IF(AND(ChoixChevauxTraitPréEté="OUI",'coût alimentation'!$B$6=$Y$93),21,IF(Y93&lt;&gt;'coût alimentation'!$B$6,0,84))</f>
        <v>0</v>
      </c>
      <c r="AG93" s="1080">
        <f>IF(AND(ChoixPoneysPréEté="OUI",'coût alimentation'!$B$6=$Y$93),21,IF(Y93&lt;&gt;'coût alimentation'!$B$6,0,84))</f>
        <v>0</v>
      </c>
      <c r="AH93" s="1321"/>
      <c r="AI93" s="1321"/>
      <c r="AJ93" s="1321"/>
      <c r="AK93" s="1321"/>
      <c r="AL93" s="1321"/>
      <c r="AM93" s="1321"/>
      <c r="AN93" s="1321"/>
      <c r="AO93" s="1321"/>
      <c r="AP93" s="1321"/>
      <c r="AQ93" s="1321"/>
      <c r="AR93" s="1321"/>
      <c r="AS93" s="1321"/>
      <c r="AT93" s="1321"/>
      <c r="AU93" s="1321"/>
      <c r="AV93" s="1321"/>
      <c r="AW93" s="1321"/>
      <c r="AX93" s="1321"/>
      <c r="AY93" s="1321"/>
      <c r="AZ93" s="1321"/>
      <c r="BA93" s="1321"/>
      <c r="BB93" s="1236" t="s">
        <v>727</v>
      </c>
      <c r="BC93" s="1190" t="s">
        <v>1718</v>
      </c>
      <c r="BD93" s="1190" t="s">
        <v>1252</v>
      </c>
      <c r="BE93" s="1237">
        <v>0</v>
      </c>
      <c r="BF93" s="1237">
        <v>0</v>
      </c>
      <c r="BG93" s="1237">
        <v>0</v>
      </c>
      <c r="BH93" s="1237">
        <v>0</v>
      </c>
      <c r="BI93" s="1237">
        <v>0</v>
      </c>
      <c r="BJ93" s="1237">
        <v>0</v>
      </c>
      <c r="BK93" s="1238">
        <v>8</v>
      </c>
      <c r="BL93" s="1348"/>
      <c r="BM93" s="1076" t="str">
        <f t="shared" si="23"/>
        <v>Orge</v>
      </c>
      <c r="BN93" s="1076">
        <f t="array" ref="BN93">IF(Ration_hivernale_complète_bisons[somme]&gt;0,0,IFERROR(IF(OR(AND(INDEX(Règles_bison[Specificite],MATCH(ChoixRationBisons&amp;$BM93,Règles_bison[Ration]&amp;Règles_bison[Aliment],0))="s1",IF($BM93=ChoixSpécificité1Bisons,1)),
AND(INDEX(Règles_bison[Specificite],MATCH(ChoixRationBisons&amp;$BM93,Règles_bison[Ration]&amp;Règles_bison[Aliment],0))="s2",IF($BM93=ChoixSpécificité2Bisons,1)),INDEX(Règles_bison[Specificite],MATCH(ChoixRationBisons&amp;$BM93,Règles_bison[Ration]&amp;Règles_bison[Aliment],0))="c"),
INDEX(Règles_bison[Valeur 36 et plus],MATCH(ChoixRationBisons&amp;$BM93,Règles_bison[Ration]&amp;Règles_bison[Aliment],0)),0),0)*TotalBisonnes*SUM(NbreJoursNourrirBisonsDaims))</f>
        <v>0</v>
      </c>
      <c r="BO93" s="1076">
        <f t="array" ref="BO93">IF(Ration_hivernale_complète_bisons[somme]&gt;0,0,IFERROR(IF(OR(AND(INDEX(Règles_bison[Specificite],MATCH(ChoixRationBisons&amp;$BM93,Règles_bison[Ration]&amp;Règles_bison[Aliment],0))="s1",IF($BM93=ChoixSpécificité1Bisons,1)),
AND(INDEX(Règles_bison[Specificite],MATCH(ChoixRationBisons&amp;$BM93,Règles_bison[Ration]&amp;Règles_bison[Aliment],0))="s2",IF($BM93=ChoixSpécificité2Bisons,1)),INDEX(Règles_bison[Specificite],MATCH(ChoixRationBisons&amp;$BM93,Règles_bison[Ration]&amp;Règles_bison[Aliment],0))="c"),
INDEX(Règles_bison[Valeur 24-36],MATCH(ChoixRationBisons&amp;$BM93,Règles_bison[Ration]&amp;Règles_bison[Aliment],0)),0),0)*TotalBisonsFemelles_24_36_mois*SUM(NbreJoursNourrirBisonsDaims))</f>
        <v>0</v>
      </c>
      <c r="BP93" s="1076">
        <f t="array" ref="BP93">IF(Ration_hivernale_complète_bisons[somme]&gt;0,0,IFERROR(IF(OR(AND(INDEX(Règles_bison[Specificite],MATCH(ChoixRationBisons&amp;$BM93,Règles_bison[Ration]&amp;Règles_bison[Aliment],0))="s1",IF($BM93=ChoixSpécificité1Bisons,1)),
AND(INDEX(Règles_bison[Specificite],MATCH(ChoixRationBisons&amp;$BM93,Règles_bison[Ration]&amp;Règles_bison[Aliment],0))="s2",IF($BM93=ChoixSpécificité2Bisons,1)),INDEX(Règles_bison[Specificite],MATCH(ChoixRationBisons&amp;$BM93,Règles_bison[Ration]&amp;Règles_bison[Aliment],0))="c"),
INDEX(Règles_bison[Valeur 18-24],MATCH(ChoixRationBisons&amp;$BM93,Règles_bison[Ration]&amp;Règles_bison[Aliment],0)),0),0)*TotalBisonsFemelles_18_24_mois*SUM(NbreJoursNourrirBisonsDaims))</f>
        <v>0</v>
      </c>
      <c r="BQ93" s="1076">
        <f t="array" ref="BQ93">IF(Ration_hivernale_complète_bisons[somme]&gt;0,0,IFERROR(IF(OR(AND(INDEX(Règles_bison[Specificite],MATCH(ChoixRationBisons&amp;$BM93,Règles_bison[Ration]&amp;Règles_bison[Aliment],0))="s1",IF($BM93=ChoixSpécificité1Bisons,1)),
AND(INDEX(Règles_bison[Specificite],MATCH(ChoixRationBisons&amp;$BM93,Règles_bison[Ration]&amp;Règles_bison[Aliment],0))="s2",IF($BM93=ChoixSpécificité2Bisons,1)),INDEX(Règles_bison[Specificite],MATCH(ChoixRationBisons&amp;$BM93,Règles_bison[Ration]&amp;Règles_bison[Aliment],0))="c"),
INDEX(Règles_bison[Valeur 12-18],MATCH(ChoixRationBisons&amp;$BM93,Règles_bison[Ration]&amp;Règles_bison[Aliment],0)),0),0)*TotalBisonsFemelles_12_18_mois*SUM(NbreJoursNourrirBisonsDaims))</f>
        <v>0</v>
      </c>
      <c r="BR93" s="1076">
        <f t="array" ref="BR93">IF(Ration_hivernale_complète_bisons[somme]&gt;0,0,IFERROR(IF(OR(AND(INDEX(Règles_bison[Specificite],MATCH(ChoixRationBisons&amp;$BM93,Règles_bison[Ration]&amp;Règles_bison[Aliment],0))="s1",IF($BM93=ChoixSpécificité1Bisons,1)),
AND(INDEX(Règles_bison[Specificite],MATCH(ChoixRationBisons&amp;$BM93,Règles_bison[Ration]&amp;Règles_bison[Aliment],0))="s2",IF($BM93=ChoixSpécificité2Bisons,1)),INDEX(Règles_bison[Specificite],MATCH(ChoixRationBisons&amp;$BM93,Règles_bison[Ration]&amp;Règles_bison[Aliment],0))="c"),
INDEX(Règles_bison[Valeur 6-12],MATCH(ChoixRationBisons&amp;$BM93,Règles_bison[Ration]&amp;Règles_bison[Aliment],0)),0),0)*TotalBisonsFemelles_6_12_mois*SUM(NbreJoursNourrirBisonsDaims))</f>
        <v>0</v>
      </c>
      <c r="BS93" s="1076">
        <f t="array" ref="BS93">IF(Ration_hivernale_complète_bisons[somme]&gt;0,0,IFERROR(IF(OR(AND(INDEX(Règles_bison[Specificite],MATCH(ChoixRationBisons&amp;$BM93,Règles_bison[Ration]&amp;Règles_bison[Aliment],0))="s1",IF($BM93=ChoixSpécificité1Bisons,1)),
AND(INDEX(Règles_bison[Specificite],MATCH(ChoixRationBisons&amp;$BM93,Règles_bison[Ration]&amp;Règles_bison[Aliment],0))="s2",IF($BM93=ChoixSpécificité2Bisons,1)),INDEX(Règles_bison[Specificite],MATCH(ChoixRationBisons&amp;$BM93,Règles_bison[Ration]&amp;Règles_bison[Aliment],0))="c"),
INDEX(Règles_bison[Valeur 3-6],MATCH(ChoixRationBisons&amp;$BM93,Règles_bison[Ration]&amp;Règles_bison[Aliment],0)),0),0)*TotalBisonsFemelles_3_6_mois*SUM(NbreJoursNourrirBisonsDaims))</f>
        <v>0</v>
      </c>
      <c r="BT93" s="1076">
        <f t="array" ref="BT93">IF(Ration_hivernale_complète_bisons[somme]&gt;0,0,IFERROR(IF(OR(AND(INDEX(Règles_bison[Specificite],MATCH(ChoixRationBisons&amp;$BM93,Règles_bison[Ration]&amp;Règles_bison[Aliment],0))="s1",IF($BM93=ChoixSpécificité1Bisons,1)),
AND(INDEX(Règles_bison[Specificite],MATCH(ChoixRationBisons&amp;$BM93,Règles_bison[Ration]&amp;Règles_bison[Aliment],0))="s2",IF($BM93=ChoixSpécificité2Bisons,1)),INDEX(Règles_bison[Specificite],MATCH(ChoixRationBisons&amp;$BM93,Règles_bison[Ration]&amp;Règles_bison[Aliment],0))="c"),
INDEX(Règles_bison[Valeur 0-3],MATCH(ChoixRationBisons&amp;$BM93,Règles_bison[Ration]&amp;Règles_bison[Aliment],0)),0),0)*TotalBisonsFemelles_0_3_mois*SUM(NbreJoursNourrirBisonsDaims))</f>
        <v>0</v>
      </c>
      <c r="BU93" s="1076">
        <f t="shared" si="22"/>
        <v>0</v>
      </c>
      <c r="BV93" s="1346"/>
      <c r="BW93" s="1346"/>
      <c r="BX93" s="1176" t="s">
        <v>765</v>
      </c>
      <c r="BY93" s="1177" t="s">
        <v>672</v>
      </c>
      <c r="BZ93" s="1177" t="s">
        <v>1252</v>
      </c>
      <c r="CA93" s="1177">
        <v>1.6</v>
      </c>
      <c r="CB93" s="1177">
        <v>1.4</v>
      </c>
      <c r="CC93" s="1177">
        <v>1.2</v>
      </c>
      <c r="CD93" s="1199">
        <v>1</v>
      </c>
      <c r="CE93" s="1350"/>
      <c r="CF93" s="1350"/>
      <c r="CG93" s="1350"/>
      <c r="CH93" s="1350"/>
      <c r="CI93" s="1321"/>
      <c r="CJ93" s="808" t="str">
        <f t="shared" si="26"/>
        <v>Canola</v>
      </c>
      <c r="CK93" s="788">
        <f t="array" ref="CK9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93" s="788">
        <f t="array" ref="CL9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93" s="788">
        <f t="array" ref="CM9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93" s="788">
        <f t="array" ref="CN9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93" s="788">
        <f t="array" ref="CO9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93" s="812">
        <f>SUM(AlimentsRationPorcinsFemelles[[#This Row],[Valeur 12 et plus]:[Valeur 0-1]])</f>
        <v>0</v>
      </c>
      <c r="CQ93" s="1321"/>
      <c r="CR93" s="1321"/>
      <c r="CS93" s="808"/>
      <c r="CT93" s="817">
        <f t="array" ref="CT9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93" s="817">
        <f t="array" ref="CU9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93" s="817">
        <f t="array" ref="CV93">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93" s="818">
        <f>SUM(AlimentsRationLapinsMâles[[#This Row],[Valeur 3 et plus]:[Valeur 0-1]])</f>
        <v>0</v>
      </c>
      <c r="CX93" s="1321"/>
      <c r="CY93" s="1321"/>
      <c r="CZ93" s="808"/>
      <c r="DA93" s="817">
        <f t="array" ref="DA9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93" s="817">
        <f t="array" ref="DB9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93" s="817">
        <f t="array" ref="DC93">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93" s="818">
        <f>SUM(AlimentsRationVolaillesMâles[[#This Row],[Valeur 6 et plus]:[Valeur 0-1]])</f>
        <v>0</v>
      </c>
      <c r="DE93" s="1364"/>
      <c r="DF93" s="1321"/>
      <c r="DG93" s="788" t="str">
        <f t="shared" si="27"/>
        <v>Bouchons luzerne</v>
      </c>
      <c r="DH93" s="817">
        <f t="array" ref="DH9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93" s="817">
        <f t="array" ref="DI9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93" s="817">
        <f t="array" ref="DJ9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93" s="821">
        <f>SUM(AlimentsRationPintadesFemelles[[#This Row],[Valeur 6 et plus]:[Valeur 0-1]])</f>
        <v>0</v>
      </c>
      <c r="DL93" s="1321"/>
      <c r="DM93" s="1321"/>
      <c r="DN93" s="1176" t="s">
        <v>727</v>
      </c>
      <c r="DO93" s="1177" t="s">
        <v>715</v>
      </c>
      <c r="DP93" s="1177" t="s">
        <v>1252</v>
      </c>
      <c r="DQ93" s="1181">
        <v>1.2</v>
      </c>
      <c r="DR93" s="1181">
        <v>0.8</v>
      </c>
      <c r="DS93" s="1181">
        <v>0.6</v>
      </c>
      <c r="DT93" s="1243">
        <v>0.4</v>
      </c>
      <c r="DU93" s="1345"/>
      <c r="DV93" s="1075" t="str">
        <f t="shared" si="24"/>
        <v>Haricot vert</v>
      </c>
      <c r="DW93" s="1269">
        <f t="array" ref="DW93">SUM((IF(QualitéAlimentsFaonMâle_0_3_mois=BONNE,VLOOKUP("Haricot vert",AlimentsRationHivernaleDaims,8,FALSE),0)+(IF(QualitéAlimentsFaonFemelle_0_3_mois=BONNE,VLOOKUP("Haricot vert",AlimentsRationHivernaleDaims,8,FALSE),0)+(IF(QualitéAlimentsFaonMâle_3_6_mois=BONNE,VLOOKUP("Haricot vert",AlimentsRationHivernaleDaims,7,FALSE),0)+(IF(QualitéAlimentsFaonFemelle_3_6_mois=BONNE,VLOOKUP("Haricot vert",AlimentsRationHivernaleDaims,7,FALSE),0)+(IF(QualitéAlimentsFaonMâle_6_12_mois=BONNE,VLOOKUP("Haricot vert",AlimentsRationHivernaleDaims,6,FALSE),0)+(IF(QualitéAlimentsFaonFemelle_6_12_mois=BONNE,VLOOKUP("Haricot vert",AlimentsRationHivernaleDaims,6,FALSE),0)+(IF(QualitéAlimentsJeuneDaim_12_18_mois=BONNE,VLOOKUP("Haricot vert",AlimentsRationHivernaleDaims,5,FALSE),0)+(IF(QualitéAlimentsJeuneDaine_12_18_mois=BONNE,VLOOKUP("Haricot vert",AlimentsRationHivernaleDaims,5,FALSE),0)+(IF(QualitéAlimentsJeuneDaim_18_24_mois=BONNE,VLOOKUP("Haricot vert",AlimentsRationHivernaleDaims,4,FALSE),0)+(IF(QualitéAlimentsJeuneDaine_18_24_mois=BONNE,VLOOKUP("Haricot vert",AlimentsRationHivernaleDaims,4,FALSE),0)+(IF(QualitéAlimentsJeuneDaim_24_36_mois=BONNE,VLOOKUP("Haricot vert",AlimentsRationHivernaleDaims,3,FALSE),0)+(IF(QualitéAlimentsJeuneDaine_24_36_mois=BONNE,VLOOKUP("Haricot vert",AlimentsRationHivernaleDaims,3,FALSE),0)+(IF(QualitéAlimentsDaim=BONNE,VLOOKUP("Haricot vert",AlimentsRationHivernaleDaims,2,FALSE),0)+(IF(QualitéAlimentsDaine=BONNE,VLOOKUP("Haricot vert",AlimentsRationHivernaleDaims,2,FALSE),0))))))))))))))))</f>
        <v>0</v>
      </c>
      <c r="DX93" s="1269">
        <f t="array" ref="DX93">SUM((IF(QualitéAlimentsFaonMâle_0_3_mois=MOYENNE,VLOOKUP("Haricot vert",AlimentsRationHivernaleDaims,8,FALSE),0)+(IF(QualitéAlimentsFaonFemelle_0_3_mois=MOYENNE,VLOOKUP("Haricot vert",AlimentsRationHivernaleDaims,8,FALSE),0)+(IF(QualitéAlimentsFaonMâle_3_6_mois=MOYENNE,VLOOKUP("Haricot vert",AlimentsRationHivernaleDaims,7,FALSE),0)+(IF(QualitéAlimentsFaonFemelle_3_6_mois=MOYENNE,VLOOKUP("Haricot vert",AlimentsRationHivernaleDaims,7,FALSE),0)+(IF(QualitéAlimentsFaonMâle_6_12_mois=MOYENNE,VLOOKUP("Haricot vert",AlimentsRationHivernaleDaims,6,FALSE),0)+(IF(QualitéAlimentsFaonFemelle_6_12_mois=MOYENNE,VLOOKUP("Haricot vert",AlimentsRationHivernaleDaims,6,FALSE),0)+(IF(QualitéAlimentsJeuneDaim_12_18_mois=MOYENNE,VLOOKUP("Haricot vert",AlimentsRationHivernaleDaims,5,FALSE),0)+(IF(QualitéAlimentsJeuneDaine_12_18_mois=MOYENNE,VLOOKUP("Haricot vert",AlimentsRationHivernaleDaims,5,FALSE),0)+(IF(QualitéAlimentsJeuneDaim_18_24_mois=MOYENNE,VLOOKUP("Haricot vert",AlimentsRationHivernaleDaims,4,FALSE),0)+(IF(QualitéAlimentsJeuneDaine_18_24_mois=MOYENNE,VLOOKUP("Haricot vert",AlimentsRationHivernaleDaims,4,FALSE),0)+(IF(QualitéAlimentsJeuneDaim_24_36_mois=MOYENNE,VLOOKUP("Haricot vert",AlimentsRationHivernaleDaims,3,FALSE),0)+(IF(QualitéAlimentsJeuneDaine_24_36_mois=MOYENNE,VLOOKUP("Haricot vert",AlimentsRationHivernaleDaims,3,FALSE),0)+(IF(QualitéAlimentsDaim=MOYENNE,VLOOKUP("Haricot vert",AlimentsRationHivernaleDaims,2,FALSE),0)+(IF(QualitéAlimentsDaine=MOYENNE,VLOOKUP("Haricot vert",AlimentsRationHivernaleDaims,2,FALSE),0))))))))))))))))</f>
        <v>0</v>
      </c>
      <c r="DY93" s="1269">
        <f t="array" ref="DY93">SUM((IF(QualitéAlimentsFaonMâle_0_3_mois=MAUVAISE,VLOOKUP("Haricot vert",AlimentsRationHivernaleDaims,8,FALSE),0)+(IF(QualitéAlimentsFaonFemelle_0_3_mois=MAUVAISE,VLOOKUP("Haricot vert",AlimentsRationHivernaleDaims,8,FALSE),0)+(IF(QualitéAlimentsFaonMâle_3_6_mois=MAUVAISE,VLOOKUP("Haricot vert",AlimentsRationHivernaleDaims,7,FALSE),0)+(IF(QualitéAlimentsFaonFemelle_3_6_mois=MAUVAISE,VLOOKUP("Haricot vert",AlimentsRationHivernaleDaims,7,FALSE),0)+(IF(QualitéAlimentsFaonMâle_6_12_mois=MAUVAISE,VLOOKUP("Haricot vert",AlimentsRationHivernaleDaims,6,FALSE),0)+(IF(QualitéAlimentsFaonFemelle_6_12_mois=MAUVAISE,VLOOKUP("Haricot vert",AlimentsRationHivernaleDaims,6,FALSE),0)+(IF(QualitéAlimentsJeuneDaim_12_18_mois=MAUVAISE,VLOOKUP("Haricot vert",AlimentsRationHivernaleDaims,5,FALSE),0)+(IF(QualitéAlimentsJeuneDaine_12_18_mois=MAUVAISE,VLOOKUP("Haricot vert",AlimentsRationHivernaleDaims,5,FALSE),0)+(IF(QualitéAlimentsJeuneDaim_18_24_mois=MAUVAISE,VLOOKUP("Haricot vert",AlimentsRationHivernaleDaims,4,FALSE),0)+(IF(QualitéAlimentsJeuneDaine_18_24_mois=MAUVAISE,VLOOKUP("Haricot vert",AlimentsRationHivernaleDaims,4,FALSE),0)+(IF(QualitéAlimentsJeuneDaim_24_36_mois=MAUVAISE,VLOOKUP("Haricot vert",AlimentsRationHivernaleDaims,3,FALSE),0)+(IF(QualitéAlimentsJeuneDaine_24_36_mois=MAUVAISE,VLOOKUP("Haricot vert",AlimentsRationHivernaleDaims,3,FALSE),0)+(IF(QualitéAlimentsDaim=MAUVAISE,VLOOKUP("Haricot vert",AlimentsRationHivernaleDaims,2,FALSE),0)+(IF(QualitéAlimentsDaine=MAUVAISE,VLOOKUP("Haricot vert",AlimentsRationHivernaleDaims,2,FALSE),0))))))))))))))))</f>
        <v>0</v>
      </c>
      <c r="DZ93" s="1345"/>
      <c r="EA93" s="1345"/>
      <c r="EB93" s="1345"/>
      <c r="EC93" s="1345"/>
      <c r="ED93" s="1345"/>
      <c r="EE93" s="1345"/>
      <c r="EF93" s="1321"/>
      <c r="EG93" s="1336" t="s">
        <v>1710</v>
      </c>
      <c r="EH93" s="1336"/>
      <c r="EI93" s="1336"/>
      <c r="EJ93" s="1336"/>
      <c r="EK93" s="1336"/>
      <c r="EL93" s="1321"/>
      <c r="EM93" s="1321"/>
      <c r="EN93" s="789" t="s">
        <v>1276</v>
      </c>
      <c r="EO93" s="790" t="s">
        <v>1295</v>
      </c>
      <c r="EP93" s="790" t="s">
        <v>1256</v>
      </c>
      <c r="EQ93" s="790" t="s">
        <v>1255</v>
      </c>
      <c r="ER93" s="791" t="s">
        <v>1269</v>
      </c>
      <c r="ES93" s="1321"/>
      <c r="ET93" s="1321"/>
      <c r="EU93" s="1083"/>
      <c r="EV93" s="1283">
        <f t="array" ref="EV93">IF(OR(ChoixRationComplèteEtéChevauxSelle=OUI,ChoixRationComplèteEtéChevauxSelle="",AND(ChoixChevauxSellePréHiver=OUI,ChoixChevauxSellePréEté=OUI)),0,IFERROR(IF(OR(AND(INDEX(Règles_chevaux_selle[Specificite],MATCH(RationEtéChevauxSelle&amp;$EU93,Règles_chevaux_selle[Ration]&amp;Règles_chevaux_selle[Aliment],0))="s1",IF($EU93=Spécificité1ChevauxSelle,1)),
AND(INDEX(Règles_chevaux_selle[Specificite],MATCH(RationEtéChevauxSelle&amp;$EU93,Règles_chevaux_selle[Ration]&amp;Règles_chevaux_selle[Aliment],0))="s2",IF($EU93=Spécificité2ChevauxSelle,1)),
INDEX(Règles_chevaux_selle[Specificite],MATCH(RationEtéChevauxSelle&amp;$EU93,Règles_chevaux_selle[Ration]&amp;Règles_chevaux_selle[Aliment],0))="c"),
INDEX(Règles_chevaux_selle[Valeur 36 et plus],MATCH(RationEtéChevauxSelle&amp;$EU93,Règles_chevaux_selle[Ration]&amp;Règles_chevaux_selle[Aliment],0)),0),0)*TotalEtalonSelle*SUM(NbreJoursNourrirChevauxSelle))</f>
        <v>0</v>
      </c>
      <c r="EW93" s="1283">
        <f t="array" ref="EW93">IF(OR(ChoixRationComplèteEtéChevauxSelle=OUI,ChoixRationComplèteEtéChevauxSelle="",AND(ChoixChevauxSellePréHiver=OUI,ChoixChevauxSellePréEté=OUI)),0,IFERROR(IF(OR(AND(INDEX(Règles_chevaux_selle[Specificite],MATCH(RationEtéChevauxSelle&amp;$EU93,Règles_chevaux_selle[Ration]&amp;Règles_chevaux_selle[Aliment],0))="s1",IF($EU93=Spécificité1ChevauxSelle,1)),
AND(INDEX(Règles_chevaux_selle[Specificite],MATCH(RationEtéChevauxSelle&amp;$EU93,Règles_chevaux_selle[Ration]&amp;Règles_chevaux_selle[Aliment],0))="s2",IF($EU93=Spécificité2ChevauxSelle,1)),
INDEX(Règles_chevaux_selle[Specificite],MATCH(RationEtéChevauxSelle&amp;$EU93,Règles_chevaux_selle[Ration]&amp;Règles_chevaux_selle[Aliment],0))="c"),
INDEX(Règles_chevaux_selle[Valeur 24-36],MATCH(RationEtéChevauxSelle&amp;$EU93,Règles_chevaux_selle[Ration]&amp;Règles_chevaux_selle[Aliment],0)),0),0)*TotalJeuneEtalonSelle_24_36_mois*SUM(NbreJoursNourrirChevauxSelle))</f>
        <v>0</v>
      </c>
      <c r="EX93" s="1283">
        <f t="array" ref="EX93">IF(OR(ChoixRationComplèteEtéChevauxSelle=OUI,ChoixRationComplèteEtéChevauxSelle="",AND(ChoixChevauxSellePréHiver=OUI,ChoixChevauxSellePréEté=OUI)),0,IFERROR(IF(OR(AND(INDEX(Règles_chevaux_selle[Specificite],MATCH(RationEtéChevauxSelle&amp;$EU93,Règles_chevaux_selle[Ration]&amp;Règles_chevaux_selle[Aliment],0))="s1",IF($EU93=Spécificité1ChevauxSelle,1)),
AND(INDEX(Règles_chevaux_selle[Specificite],MATCH(RationEtéChevauxSelle&amp;$EU93,Règles_chevaux_selle[Ration]&amp;Règles_chevaux_selle[Aliment],0))="s2",IF($EU93=Spécificité2ChevauxSelle,1)),
INDEX(Règles_chevaux_selle[Specificite],MATCH(RationEtéChevauxSelle&amp;$EU93,Règles_chevaux_selle[Ration]&amp;Règles_chevaux_selle[Aliment],0))="c"),
INDEX(Règles_chevaux_selle[Valeur 12-24],MATCH(RationEtéChevauxSelle&amp;$EU93,Règles_chevaux_selle[Ration]&amp;Règles_chevaux_selle[Aliment],0)),0),0)*TotalJeuneEtalonSelle_12_24_mois*SUM(NbreJoursNourrirChevauxSelle))</f>
        <v>0</v>
      </c>
      <c r="EY93" s="1286">
        <f t="array" ref="EY93">IF(OR(ChoixRationComplèteEtéChevauxSelle=OUI,ChoixRationComplèteEtéChevauxSelle="",AND(ChoixChevauxSellePréHiver=OUI,ChoixChevauxSellePréEté=OUI)),0,IFERROR(IF(OR(AND(INDEX(Règles_chevaux_selle[Specificite],MATCH(RationEtéChevauxSelle&amp;$EU93,Règles_chevaux_selle[Ration]&amp;Règles_chevaux_selle[Aliment],0))="s1",IF($EU93=Spécificité1ChevauxSelle,1)),
AND(INDEX(Règles_chevaux_selle[Specificite],MATCH(RationEtéChevauxSelle&amp;$EU93,Règles_chevaux_selle[Ration]&amp;Règles_chevaux_selle[Aliment],0))="s2",IF($EU93=Spécificité2ChevauxSelle,1)),
INDEX(Règles_chevaux_selle[Specificite],MATCH(RationEtéChevauxSelle&amp;$EU93,Règles_chevaux_selle[Ration]&amp;Règles_chevaux_selle[Aliment],0))="c"),
INDEX(Règles_chevaux_selle[Valeur 0-12],MATCH(RationEtéChevauxSelle&amp;$EU93,Règles_chevaux_selle[Ration]&amp;Règles_chevaux_selle[Aliment],0)),0),0)*TotalPoulainSelle_0_12_mois*SUM(NbreJoursNourrirChevauxSelle))</f>
        <v>0</v>
      </c>
      <c r="EZ93" s="1286">
        <f t="shared" si="16"/>
        <v>0</v>
      </c>
      <c r="FA93" s="1345"/>
      <c r="FB93" s="1345"/>
      <c r="FC93" s="1321"/>
      <c r="FD93" s="1336"/>
      <c r="FE93" s="1336"/>
      <c r="FF93" s="1336"/>
      <c r="FG93" s="1336"/>
      <c r="FH93" s="1336"/>
      <c r="FI93" s="1336"/>
      <c r="FJ93" s="1345"/>
      <c r="FK93" s="1345"/>
      <c r="FL93" s="1345"/>
      <c r="FM93" s="1321"/>
      <c r="FN93" s="1336" t="s">
        <v>1714</v>
      </c>
      <c r="FO93" s="1336"/>
      <c r="FP93" s="1336"/>
      <c r="FQ93" s="1336"/>
      <c r="FR93" s="1336"/>
      <c r="FS93" s="1336"/>
      <c r="FT93" s="1345"/>
      <c r="FU93" s="1345"/>
      <c r="FV93" s="1345"/>
      <c r="FW93" s="823" t="str">
        <f t="shared" si="28"/>
        <v>Bouchons luzerne</v>
      </c>
      <c r="FX93" s="828">
        <f t="array" ref="FX9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93" s="828">
        <f t="array" ref="FY9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93" s="828">
        <f t="array" ref="FZ9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93" s="828">
        <f t="array" ref="GA9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93" s="829">
        <f>SUM(AlimentsGavageCanards[[#This Row],[Valeur 3 et plus]:[Valeur 0-1]])</f>
        <v>0</v>
      </c>
      <c r="GC93" s="1321"/>
      <c r="GD93" s="1321"/>
      <c r="GE93" s="1321"/>
      <c r="GF93" s="1321"/>
      <c r="GG93" s="1321" t="s">
        <v>1349</v>
      </c>
      <c r="GH93" s="1321" t="s">
        <v>1349</v>
      </c>
      <c r="GI93" s="1321" t="s">
        <v>1349</v>
      </c>
      <c r="GJ93" s="1321" t="s">
        <v>1349</v>
      </c>
      <c r="GK93" s="1321" t="s">
        <v>1349</v>
      </c>
      <c r="GL93" s="1321" t="s">
        <v>1349</v>
      </c>
      <c r="GM93" s="1321" t="s">
        <v>1349</v>
      </c>
      <c r="GN93" s="1321" t="s">
        <v>1349</v>
      </c>
      <c r="GO93" s="1321" t="s">
        <v>1349</v>
      </c>
      <c r="GP93" s="1321" t="s">
        <v>1349</v>
      </c>
      <c r="GQ93" s="1321" t="s">
        <v>1349</v>
      </c>
      <c r="GR93" s="1321" t="s">
        <v>1349</v>
      </c>
      <c r="GS93" s="1321" t="s">
        <v>1349</v>
      </c>
      <c r="GT93" s="1321" t="s">
        <v>1349</v>
      </c>
      <c r="GU93" s="1321" t="s">
        <v>1349</v>
      </c>
      <c r="GV93" s="1321" t="s">
        <v>1349</v>
      </c>
      <c r="GW93" s="1321"/>
      <c r="GX93" s="1321"/>
      <c r="GY93" s="1082" t="str">
        <f t="shared" si="25"/>
        <v>Magnésium</v>
      </c>
      <c r="GZ93" s="1082"/>
      <c r="HA93" s="1085"/>
      <c r="HB93" s="1085">
        <f>IF(COUNTIF(TypeArticleDansEntrepôt,GY93)=0,0,SUMIF(TypeArticleDansEntrepôt,GY93,QtéArticleDansEntrepôt)*VLOOKUP(GY93,place_necessaire_entrepots_aire_paille[],2,FALSE))</f>
        <v>0</v>
      </c>
      <c r="HC93" s="1321"/>
      <c r="HD93" s="1321"/>
      <c r="HE93" s="1321"/>
      <c r="HF93" s="1321"/>
      <c r="HG93" s="1321"/>
      <c r="HH93" s="1321"/>
      <c r="HI93" s="1321"/>
      <c r="HJ93" s="1321"/>
      <c r="HK93" s="1321"/>
      <c r="HL93" s="1321"/>
      <c r="HM93" s="1321"/>
      <c r="HN93" s="1085" t="str">
        <f>IF(parcelles!B141="","",(VLOOKUP(parcelles!C141,BDD!$HN$5:$HU$38,2,FALSE))*parcelles!E141)</f>
        <v/>
      </c>
      <c r="HO93" s="1085" t="str">
        <f>IF(parcelles!B141="","",IF(OR(parcelles!C141=Moutarde,parcelles!C141=Phacélie),0,IF(parcelles!C141=Luzerne,10*parcelles!E141*VLOOKUP(parcelles!C141,BDD!$HN$5:$HU$38,3,FALSE),IF(parcelles!C141=Miscanthus,10.5*parcelles!E141*VLOOKUP(parcelles!C141,BDD!$HN$5:$HU$38,3,FALSE),INDEX(parcelles!$C$56:'parcelles'!$Y$77,MATCH(parcelles!B141,parcelles!$B$56:'parcelles'!$B$77,0),MATCH(parcelles!C141,parcelles!$C$53:'parcelles'!$Y$53,0))*parcelles!E141*VLOOKUP(parcelles!C141,BDD!$HN$5:$HU$38,3,FALSE)))))</f>
        <v/>
      </c>
      <c r="HP93" s="1085" t="str">
        <f>IF(parcelles!B141="","",IF(OR(parcelles!C141=Moutarde,parcelles!C141=Phacélie),0,IF(parcelles!C141=Luzerne,10*parcelles!E141*VLOOKUP(parcelles!C141,BDD!$HN$5:$HU$38,4,FALSE),IF(parcelles!C141=Miscanthus,10.5*parcelles!E141*VLOOKUP(parcelles!C141,BDD!$HN$5:$HU$38,4,FALSE),INDEX(parcelles!$C$56:'parcelles'!$Y$77,MATCH(parcelles!B141,parcelles!$B$56:'parcelles'!$B$77,0),MATCH(parcelles!C141,parcelles!$C$53:'parcelles'!$Y$53,0))*parcelles!E141*VLOOKUP(parcelles!C141,BDD!$HN$5:$HU$38,4,FALSE)))))</f>
        <v/>
      </c>
      <c r="HQ93" s="1085" t="str">
        <f>IF(parcelles!B141="","",IF(OR(parcelles!C141=Moutarde,parcelles!C141=Phacélie),0,IF(parcelles!C141=Luzerne,10*parcelles!E141*VLOOKUP(parcelles!C141,BDD!$HN$5:$HU$38,5,FALSE),IF(parcelles!C141=Miscanthus,10.5*parcelles!E141*VLOOKUP(parcelles!C141,BDD!$HN$5:$HU$38,5,FALSE),INDEX(parcelles!$C$56:'parcelles'!$Y$77,MATCH(parcelles!B141,parcelles!$B$56:'parcelles'!$B$77,0),MATCH(parcelles!C141,parcelles!$C$53:'parcelles'!$Y$53,0))*parcelles!E141*VLOOKUP(parcelles!C141,BDD!$HN$5:$HU$38,5,FALSE)))))</f>
        <v/>
      </c>
      <c r="HR93" s="1085" t="str">
        <f>IF(parcelles!B141="","",IF(OR(parcelles!C141=Moutarde,parcelles!C141=Phacélie),0,IF(parcelles!C141=Luzerne,10*parcelles!E141*VLOOKUP(parcelles!C141,BDD!$HN$5:$HU$38,6,FALSE),IF(parcelles!C141=Miscanthus,10.5*parcelles!E141*VLOOKUP(parcelles!C141,BDD!$HN$5:$HU$38,6,FALSE),INDEX(parcelles!$C$56:'parcelles'!$Y$77,MATCH(parcelles!B141,parcelles!$B$56:'parcelles'!$B$77,0),MATCH(parcelles!C141,parcelles!$C$53:'parcelles'!$Y$53,0))*parcelles!E141*VLOOKUP(parcelles!C141,BDD!$HN$5:$HU$38,6,FALSE)))))</f>
        <v/>
      </c>
      <c r="HS93" s="1085" t="str">
        <f>IF(parcelles!B141="","",IF(OR(parcelles!C141=Moutarde,parcelles!C141=Phacélie),0,IF(parcelles!C141=Luzerne,10*parcelles!E141*VLOOKUP(parcelles!C141,BDD!$HN$5:$HU$38,7,FALSE),IF(parcelles!C141=Miscanthus,10.5*parcelles!E141*VLOOKUP(parcelles!C141,BDD!$HN$5:$HU$38,7,FALSE),INDEX(parcelles!$C$56:'parcelles'!$Y$77,MATCH(parcelles!B141,parcelles!$B$56:'parcelles'!$B$77,0),MATCH(parcelles!C141,parcelles!$C$53:'parcelles'!$Y$53,0))*parcelles!E141*VLOOKUP(parcelles!C141,BDD!$HN$5:$HU$38,7,FALSE)))))</f>
        <v/>
      </c>
      <c r="HT93" s="1085" t="str">
        <f>IF(parcelles!B141="","",IF(OR(parcelles!C141=Moutarde,parcelles!C141=Phacélie),0,IF(parcelles!C141=Luzerne,10*parcelles!E141*VLOOKUP(parcelles!C141,BDD!$HN$5:$HU$38,8,FALSE),IF(parcelles!C141=Miscanthus,10.5*parcelles!E141*VLOOKUP(parcelles!C141,BDD!$HN$5:$HU$38,8,FALSE),INDEX(parcelles!$C$56:'parcelles'!$Y$77,MATCH(parcelles!B141,parcelles!$B$56:'parcelles'!$B$77,0),MATCH(parcelles!C141,parcelles!$C$53:'parcelles'!$Y$53,0))*parcelles!E141*VLOOKUP(parcelles!C141,BDD!$HN$5:$HU$38,8,FALSE)))))</f>
        <v/>
      </c>
      <c r="HU93" s="1085" t="str">
        <f>IF(parcelles!B141="","",IF(OR(parcelles!C141=Moutarde,parcelles!C141=Phacélie),0,1.6*parcelles!E141))</f>
        <v/>
      </c>
      <c r="HV93" s="1085" t="str">
        <f>IF(parcelles!B141="","",IF(OR(parcelles!C141=Moutarde,parcelles!C141=Phacélie),0,1.6*parcelles!E141))</f>
        <v/>
      </c>
      <c r="HW93" s="1085" t="str">
        <f>IF(parcelles!B141="","",IF(OR(parcelles!C141=Moutarde,parcelles!C141=Phacélie),0,1.6*parcelles!E141))</f>
        <v/>
      </c>
      <c r="HX93" s="1092" t="str">
        <f>IF(parcelles!D141="","",IF(parcelles!C141=ChanvreIndustriel,INDEX(parcelles!$C$56:$Y$77,MATCH(parcelles!B141,parcelles!$B$56:$B$77,0),MATCH(parcelles!C141,parcelles!$C$53:$Y$53,0))*parcelles!E141*SUMIF(ListeCulturesBDD,parcelles!C141,PrixVenteCulturesConventionnel)+RIGHT(BDD!$HM$7,3)*7*parcelles!E141,IF(parcelles!C141=Luzerne,parcelles!E141*10*VLOOKUP(parcelles!C141,TarifsCoopCultures,2,FALSE),IF(parcelles!C141=Miscanthus,parcelles!E141*10.5*VLOOKUP(Luzerne,TarifsCoopCultures,2,FALSE),INDEX(parcelles!$C$56:$Y$77,MATCH(parcelles!B141,parcelles!$B$56:$B$77,0),MATCH(parcelles!C141,parcelles!$C$53:$Y$53,0))*parcelles!E141*SUMIF(ListeCulturesBDD,parcelles!C141,PrixVenteCulturesConventionnel)))))</f>
        <v/>
      </c>
      <c r="HY93" s="1085" t="str">
        <f>IF(parcelles!D141="","",IF(parcelles!F141=0,"",IF(parcelles!C141=ChanvreIndustriel,"soit "&amp;parcelles!E141*0.8&amp;"t de grain et "&amp;parcelles!E141*7&amp;"t de paille",IF(parcelles!C141=Luzerne,"soit "&amp;10*parcelles!E141&amp;"t/an",IF(parcelles!C141=Miscanthus,"soit "&amp;10.5*parcelles!E141&amp;"t/an","soit "&amp;INDEX(parcelles!$C$56:$Y$77,MATCH(parcelles!B141,parcelles!$B$56:$B$77,0),MATCH(parcelles!C141,parcelles!$C$53:$Y$53,0))*parcelles!E141&amp;"t")))))</f>
        <v/>
      </c>
      <c r="HZ93" s="1085" t="str">
        <f>IF(parcelles!D141="","",IF(parcelles!F141=0,"",IF(parcelles!C141=ChanvreIndustriel,"soit "&amp;parcelles!E141*0.8*0.8&amp;"t de grain et "&amp;parcelles!E141*7*0.8&amp;"t de paille",IF(parcelles!C141=Luzerne,"soit "&amp;10*0.8*parcelles!E141&amp;"t/an",IF(parcelles!C141=Miscanthus,"soit "&amp;10.5*0.8*parcelles!E141&amp;"t/an","soit "&amp;INDEX(parcelles!$C$56:$Y$77,MATCH(parcelles!B141,parcelles!$B$56:$B$77,0),MATCH(parcelles!C141,parcelles!$C$53:$Y$53,0))*0.8*parcelles!E141&amp;"t")))))</f>
        <v/>
      </c>
      <c r="IA93" s="1085" t="str">
        <f>IF(parcelles!L141="","",(VLOOKUP(parcelles!M141,BDD!$HN$5:$HU$38,2,FALSE))*parcelles!O141)</f>
        <v/>
      </c>
      <c r="IB93" s="1085" t="str">
        <f>IF(parcelles!L141="","",IF(OR(parcelles!M141=Moutarde,parcelles!M141=Phacélie),0,IF(parcelles!M141=Luzerne,10*parcelles!O141*VLOOKUP(parcelles!M141,BDD!$HN$5:$HU$38,3,FALSE),IF(parcelles!M141=Miscanthus,10.5*parcelles!O141*VLOOKUP(parcelles!M141,BDD!$HN$5:$HU$38,3,FALSE),INDEX(parcelles!$C$56:'parcelles'!$Y$77,MATCH(parcelles!L141,parcelles!$B$56:'parcelles'!$B$77,0),MATCH(parcelles!M141,parcelles!$C$53:'parcelles'!$Y$53,0))*parcelles!O141*VLOOKUP(parcelles!M141,BDD!$HN$5:$HU$38,3,FALSE)))))</f>
        <v/>
      </c>
      <c r="IC93" s="1085" t="str">
        <f>IF(parcelles!L141="","",IF(OR(parcelles!M141=Moutarde,parcelles!M141=Phacélie),0,IF(parcelles!M141=Luzerne,10*parcelles!O141*VLOOKUP(parcelles!M141,BDD!$HN$5:$HU$38,4,FALSE),IF(parcelles!M141=Miscanthus,10.5*parcelles!O141*VLOOKUP(parcelles!M141,BDD!$HN$5:$HU$38,4,FALSE),INDEX(parcelles!$C$56:'parcelles'!$Y$77,MATCH(parcelles!L141,parcelles!$B$56:'parcelles'!$B$77,0),MATCH(parcelles!M141,parcelles!$C$53:'parcelles'!$Y$53,0))*parcelles!O141*VLOOKUP(parcelles!M141,BDD!$HN$5:$HU$38,4,FALSE)))))</f>
        <v/>
      </c>
      <c r="ID93" s="1085" t="str">
        <f>IF(parcelles!L141="","",IF(OR(parcelles!M141=Moutarde,parcelles!M141=Phacélie),0,IF(parcelles!M141=Luzerne,10*parcelles!O141*VLOOKUP(parcelles!M141,BDD!$HN$5:$HU$38,5,FALSE),IF(parcelles!M141=Miscanthus,10.5*parcelles!O141*VLOOKUP(parcelles!M141,BDD!$HN$5:$HU$38,5,FALSE),INDEX(parcelles!$C$56:'parcelles'!$Y$77,MATCH(parcelles!L141,parcelles!$B$56:'parcelles'!$B$77,0),MATCH(parcelles!M141,parcelles!$C$53:'parcelles'!$Y$53,0))*parcelles!O141*VLOOKUP(parcelles!M141,BDD!$HN$5:$HU$38,5,FALSE)))))</f>
        <v/>
      </c>
      <c r="IE93" s="1085" t="str">
        <f>IF(parcelles!L141="","",IF(OR(parcelles!M141=Moutarde,parcelles!M141=Phacélie),0,IF(parcelles!M141=Luzerne,10*parcelles!O141*VLOOKUP(parcelles!M141,BDD!$HN$5:$HU$38,6,FALSE),IF(parcelles!M141=Miscanthus,10.5*parcelles!O141*VLOOKUP(parcelles!M141,BDD!$HN$5:$HU$38,6,FALSE),INDEX(parcelles!$C$56:'parcelles'!$Y$77,MATCH(parcelles!L141,parcelles!$B$56:'parcelles'!$B$77,0),MATCH(parcelles!M141,parcelles!$C$53:'parcelles'!$Y$53,0))*parcelles!O141*VLOOKUP(parcelles!M141,BDD!$HN$5:$HU$38,6,FALSE)))))</f>
        <v/>
      </c>
      <c r="IF93" s="1085" t="str">
        <f>IF(parcelles!L141="","",IF(OR(parcelles!M141=Moutarde,parcelles!M141=Phacélie),0,IF(parcelles!M141=Luzerne,10*parcelles!O141*VLOOKUP(parcelles!M141,BDD!$HN$5:$HU$38,7,FALSE),IF(parcelles!M141=Miscanthus,10.5*parcelles!O141*VLOOKUP(parcelles!M141,BDD!$HN$5:$HU$38,7,FALSE),INDEX(parcelles!$C$56:'parcelles'!$Y$77,MATCH(parcelles!L141,parcelles!$B$56:'parcelles'!$B$77,0),MATCH(parcelles!M141,parcelles!$C$53:'parcelles'!$Y$53,0))*parcelles!O141*VLOOKUP(parcelles!M141,BDD!$HN$5:$HU$38,7,FALSE)))))</f>
        <v/>
      </c>
      <c r="IG93" s="1085" t="str">
        <f>IF(parcelles!L141="","",IF(OR(parcelles!M141=Moutarde,parcelles!M141=Phacélie),0,IF(parcelles!M141=Luzerne,10*parcelles!O141*VLOOKUP(parcelles!M141,BDD!$HN$5:$HU$38,8,FALSE),IF(parcelles!M141=Miscanthus,10.5*parcelles!O141*VLOOKUP(parcelles!M141,BDD!$HN$5:$HU$38,8,FALSE),INDEX(parcelles!$C$56:'parcelles'!$Y$77,MATCH(parcelles!L141,parcelles!$B$56:'parcelles'!$B$77,0),MATCH(parcelles!M141,parcelles!$C$53:'parcelles'!$Y$53,0))*parcelles!O141*VLOOKUP(parcelles!M141,BDD!$HN$5:$HU$38,8,FALSE)))))</f>
        <v/>
      </c>
      <c r="IH93" s="1085" t="str">
        <f>IF(parcelles!L141="","",IF(OR(parcelles!L141=Moutarde,parcelles!L141=Phacélie),0,1.6*parcelles!O141))</f>
        <v/>
      </c>
      <c r="II93" s="1085" t="str">
        <f>IF(parcelles!L141="","",IF(OR(parcelles!L141=Moutarde,parcelles!L141=Phacélie),0,1.6*parcelles!O141))</f>
        <v/>
      </c>
      <c r="IJ93" s="1085" t="str">
        <f>IF(parcelles!L141="","",IF(OR(parcelles!L141=Moutarde,parcelles!L141=Phacélie),0,1.6*parcelles!O141))</f>
        <v/>
      </c>
      <c r="IK93" s="1085" t="str">
        <f>IF(parcelles!P141="","",IF(parcelles!R141=0,"",IF(parcelles!O141=ChanvreIndustriel,"soit "&amp;parcelles!Q141*0.8&amp;"t de grain et "&amp;parcelles!Q141*7&amp;"t de paille",IF(parcelles!O141=Luzerne,"soit "&amp;10*parcelles!Q141&amp;"t/an",IF(parcelles!O141=Miscanthus,"soit "&amp;10.5*parcelles!Q141&amp;"t/an","soit "&amp;INDEX(parcelles!$C$56:$Y$77,MATCH(parcelles!N141,parcelles!$B$56:$B$77,0),MATCH(parcelles!O141,parcelles!$C$53:$Y$53,0))*parcelles!Q141&amp;"t")))))</f>
        <v/>
      </c>
      <c r="IL93" s="1085" t="str">
        <f>IF(parcelles!P141="","",IF(parcelles!R141=0,"",IF(parcelles!O141=ChanvreIndustriel,"soit "&amp;parcelles!Q141*0.8*0.8&amp;"t de grain et "&amp;parcelles!Q141*7*0.8&amp;"t de paille",IF(parcelles!O141=Luzerne,"soit "&amp;10*0.8*parcelles!Q141&amp;"t/an",IF(parcelles!O141=Miscanthus,"soit "&amp;10.5*0.8*parcelles!Q141&amp;"t/an","soit "&amp;INDEX(parcelles!$C$56:$Y$77,MATCH(parcelles!N141,parcelles!$B$56:$B$77,0),MATCH(parcelles!O141,parcelles!$C$53:$Y$53,0))*0.8*parcelles!Q141&amp;"t")))))</f>
        <v/>
      </c>
      <c r="IM93" s="1085" t="str">
        <f>IF(parcelles!S141="","",IF(parcelles!U141=0,"",IF(parcelles!R141=ChanvreIndustriel,parcelles!T141*0.8*0.8+parcelles!T141*7*0.8,IF(parcelles!R141=Luzerne,10*0.8*parcelles!T141,IF(parcelles!R141=Miscanthus,10.5*0.8*parcelles!T141,INDEX(parcelles!$C$56:$Y$77,MATCH(parcelles!Q141,parcelles!$B$56:$B$77,0),MATCH(parcelles!R141,parcelles!$C$53:$Y$53,0))*0.8*parcelles!T141)))))</f>
        <v/>
      </c>
      <c r="IN93" s="1368"/>
    </row>
    <row r="94" spans="1:248" ht="12.75" customHeight="1" x14ac:dyDescent="0.2">
      <c r="A94" s="1307" t="s">
        <v>1341</v>
      </c>
      <c r="B94" s="1241">
        <f t="shared" si="17"/>
        <v>1E-3</v>
      </c>
      <c r="C94" s="1321"/>
      <c r="D94" s="1321"/>
      <c r="E94" s="1321"/>
      <c r="F94" s="1149" t="s">
        <v>76</v>
      </c>
      <c r="G94" s="1149" t="s">
        <v>1173</v>
      </c>
      <c r="H94" s="1149" t="s">
        <v>1202</v>
      </c>
      <c r="I94" s="1245" t="s">
        <v>1167</v>
      </c>
      <c r="J94" s="1245" t="s">
        <v>1212</v>
      </c>
      <c r="K94" s="1245" t="s">
        <v>1210</v>
      </c>
      <c r="L94" s="1245" t="s">
        <v>1197</v>
      </c>
      <c r="M94" s="1321"/>
      <c r="N94" s="1321"/>
      <c r="O94" s="802" t="s">
        <v>1453</v>
      </c>
      <c r="P94" s="802">
        <f>IF(SUM(ChoixEspèceAuPré)="",0,SUMIF(ChoixEspèceAuPré,Bovins,NbreFemelles_3_6MoisAuPréEté))</f>
        <v>0</v>
      </c>
      <c r="Q94" s="802">
        <f>IF(SUM(ChoixEspèceAuPré)="",0,SUMIF(ChoixEspèceAuPré,Ovins,NbreFemelles_3_6MoisAuPréEté))</f>
        <v>0</v>
      </c>
      <c r="R94" s="802">
        <f>IF(SUM(ChoixEspèceAuPré)="",0,SUMIF(ChoixEspèceAuPré,Caprins,NbreFemelles_3_6MoisAuPréEté))</f>
        <v>0</v>
      </c>
      <c r="S94" s="802">
        <f>IF(SUM(ChoixEspèceAuPré)="",0,SUMIF(ChoixEspèceAuPré,Bisons,NbreFemelles_3_6MoisAuPréEté))</f>
        <v>0</v>
      </c>
      <c r="T94" s="802">
        <f>IF(SUM(ChoixEspèceAuPré)="",0,SUMIF(ChoixEspèceAuPré,Daims,NbreFemelles_3_6MoisAuPréEté))</f>
        <v>0</v>
      </c>
      <c r="U94" s="802">
        <f>IF(SUM(ChoixEspèceAuPré)="",0,SUMIF(ChoixEspèceAuPré,ChevauxSelle,NbreFemelles_3_6MoisAuPréEté))</f>
        <v>0</v>
      </c>
      <c r="V94" s="802">
        <f>IF(SUM(ChoixEspèceAuPré)="",0,SUMIF(ChoixEspèceAuPré,ChevauxTrait,NbreFemelles_3_6MoisAuPréEté))</f>
        <v>0</v>
      </c>
      <c r="W94" s="802">
        <f>IF(SUM(ChoixEspèceAuPré)="",0,SUMIF(ChoixEspèceAuPré,Poneys,NbreFemelles_3_6MoisAuPréEté))</f>
        <v>0</v>
      </c>
      <c r="X94" s="1321"/>
      <c r="Y94" s="1081" t="s">
        <v>1685</v>
      </c>
      <c r="Z94" s="1081">
        <f>IF('coût alimentation'!$B$6=$Y$94,42,0)</f>
        <v>0</v>
      </c>
      <c r="AA94" s="1081">
        <f>IF(AND(ChoixBovinsPréEté="OUI",'coût alimentation'!$B$6=$Y$94),35,Z94)</f>
        <v>0</v>
      </c>
      <c r="AB94" s="1081">
        <f>IF('coût alimentation'!$B$6=$Y$94,42,0)</f>
        <v>0</v>
      </c>
      <c r="AC94" s="1081">
        <f>IF('coût alimentation'!$B$6=$Y$94,35,0)</f>
        <v>0</v>
      </c>
      <c r="AD94" s="1081">
        <f>IF(AND(ChoixOvinsPréEté="OUI",'coût alimentation'!$B$6=$Y$94),35,Z94)</f>
        <v>0</v>
      </c>
      <c r="AE94" s="1081">
        <f>IF(AND(ChoixChevauxSellePréEté="OUI",'coût alimentation'!$B$6=$Y$94),21,IF(Y94&lt;&gt;'coût alimentation'!$B$6,0,84))</f>
        <v>0</v>
      </c>
      <c r="AF94" s="1081">
        <f>IF(AND(ChoixChevauxTraitPréEté="OUI",'coût alimentation'!$B$6=$Y$94),21,IF(Y94&lt;&gt;'coût alimentation'!$B$6,0,84))</f>
        <v>0</v>
      </c>
      <c r="AG94" s="1081">
        <f>IF(AND(ChoixPoneysPréEté="OUI",'coût alimentation'!$B$6=$Y$94),21,IF(Y94&lt;&gt;'coût alimentation'!$B$6,0,84))</f>
        <v>0</v>
      </c>
      <c r="AH94" s="1321"/>
      <c r="AI94" s="1321"/>
      <c r="AJ94" s="1321"/>
      <c r="AK94" s="1321"/>
      <c r="AL94" s="1321"/>
      <c r="AM94" s="1321"/>
      <c r="AN94" s="1321"/>
      <c r="AO94" s="1321"/>
      <c r="AP94" s="1321"/>
      <c r="AQ94" s="1321"/>
      <c r="AR94" s="1321"/>
      <c r="AS94" s="1321"/>
      <c r="AT94" s="1321"/>
      <c r="AU94" s="1321"/>
      <c r="AV94" s="1321"/>
      <c r="AW94" s="1321"/>
      <c r="AX94" s="1321"/>
      <c r="AY94" s="1321"/>
      <c r="AZ94" s="1321"/>
      <c r="BA94" s="1321"/>
      <c r="BB94" s="1236" t="s">
        <v>727</v>
      </c>
      <c r="BC94" s="1190" t="s">
        <v>733</v>
      </c>
      <c r="BD94" s="1190" t="s">
        <v>1252</v>
      </c>
      <c r="BE94" s="1237">
        <v>200</v>
      </c>
      <c r="BF94" s="1237">
        <v>100</v>
      </c>
      <c r="BG94" s="1237">
        <v>80</v>
      </c>
      <c r="BH94" s="1237">
        <v>60</v>
      </c>
      <c r="BI94" s="1237">
        <v>40</v>
      </c>
      <c r="BJ94" s="1237">
        <v>28</v>
      </c>
      <c r="BK94" s="1238">
        <v>12</v>
      </c>
      <c r="BL94" s="1348"/>
      <c r="BM94" s="1075" t="str">
        <f t="shared" si="23"/>
        <v>Paille</v>
      </c>
      <c r="BN94" s="1075">
        <f t="array" ref="BN94">IF(Ration_hivernale_complète_bisons[somme]&gt;0,0,IFERROR(IF(OR(AND(INDEX(Règles_bison[Specificite],MATCH(ChoixRationBisons&amp;$BM94,Règles_bison[Ration]&amp;Règles_bison[Aliment],0))="s1",IF($BM94=ChoixSpécificité1Bisons,1)),
AND(INDEX(Règles_bison[Specificite],MATCH(ChoixRationBisons&amp;$BM94,Règles_bison[Ration]&amp;Règles_bison[Aliment],0))="s2",IF($BM94=ChoixSpécificité2Bisons,1)),INDEX(Règles_bison[Specificite],MATCH(ChoixRationBisons&amp;$BM94,Règles_bison[Ration]&amp;Règles_bison[Aliment],0))="c"),
INDEX(Règles_bison[Valeur 36 et plus],MATCH(ChoixRationBisons&amp;$BM94,Règles_bison[Ration]&amp;Règles_bison[Aliment],0)),0),0)*TotalBisonnes*SUM(NbreJoursNourrirBisonsDaims))</f>
        <v>0</v>
      </c>
      <c r="BO94" s="1075">
        <f t="array" ref="BO94">IF(Ration_hivernale_complète_bisons[somme]&gt;0,0,IFERROR(IF(OR(AND(INDEX(Règles_bison[Specificite],MATCH(ChoixRationBisons&amp;$BM94,Règles_bison[Ration]&amp;Règles_bison[Aliment],0))="s1",IF($BM94=ChoixSpécificité1Bisons,1)),
AND(INDEX(Règles_bison[Specificite],MATCH(ChoixRationBisons&amp;$BM94,Règles_bison[Ration]&amp;Règles_bison[Aliment],0))="s2",IF($BM94=ChoixSpécificité2Bisons,1)),INDEX(Règles_bison[Specificite],MATCH(ChoixRationBisons&amp;$BM94,Règles_bison[Ration]&amp;Règles_bison[Aliment],0))="c"),
INDEX(Règles_bison[Valeur 24-36],MATCH(ChoixRationBisons&amp;$BM94,Règles_bison[Ration]&amp;Règles_bison[Aliment],0)),0),0)*TotalBisonsFemelles_24_36_mois*SUM(NbreJoursNourrirBisonsDaims))</f>
        <v>0</v>
      </c>
      <c r="BP94" s="1075">
        <f t="array" ref="BP94">IF(Ration_hivernale_complète_bisons[somme]&gt;0,0,IFERROR(IF(OR(AND(INDEX(Règles_bison[Specificite],MATCH(ChoixRationBisons&amp;$BM94,Règles_bison[Ration]&amp;Règles_bison[Aliment],0))="s1",IF($BM94=ChoixSpécificité1Bisons,1)),
AND(INDEX(Règles_bison[Specificite],MATCH(ChoixRationBisons&amp;$BM94,Règles_bison[Ration]&amp;Règles_bison[Aliment],0))="s2",IF($BM94=ChoixSpécificité2Bisons,1)),INDEX(Règles_bison[Specificite],MATCH(ChoixRationBisons&amp;$BM94,Règles_bison[Ration]&amp;Règles_bison[Aliment],0))="c"),
INDEX(Règles_bison[Valeur 18-24],MATCH(ChoixRationBisons&amp;$BM94,Règles_bison[Ration]&amp;Règles_bison[Aliment],0)),0),0)*TotalBisonsFemelles_18_24_mois*SUM(NbreJoursNourrirBisonsDaims))</f>
        <v>0</v>
      </c>
      <c r="BQ94" s="1075">
        <f t="array" ref="BQ94">IF(Ration_hivernale_complète_bisons[somme]&gt;0,0,IFERROR(IF(OR(AND(INDEX(Règles_bison[Specificite],MATCH(ChoixRationBisons&amp;$BM94,Règles_bison[Ration]&amp;Règles_bison[Aliment],0))="s1",IF($BM94=ChoixSpécificité1Bisons,1)),
AND(INDEX(Règles_bison[Specificite],MATCH(ChoixRationBisons&amp;$BM94,Règles_bison[Ration]&amp;Règles_bison[Aliment],0))="s2",IF($BM94=ChoixSpécificité2Bisons,1)),INDEX(Règles_bison[Specificite],MATCH(ChoixRationBisons&amp;$BM94,Règles_bison[Ration]&amp;Règles_bison[Aliment],0))="c"),
INDEX(Règles_bison[Valeur 12-18],MATCH(ChoixRationBisons&amp;$BM94,Règles_bison[Ration]&amp;Règles_bison[Aliment],0)),0),0)*TotalBisonsFemelles_12_18_mois*SUM(NbreJoursNourrirBisonsDaims))</f>
        <v>0</v>
      </c>
      <c r="BR94" s="1075">
        <f t="array" ref="BR94">IF(Ration_hivernale_complète_bisons[somme]&gt;0,0,IFERROR(IF(OR(AND(INDEX(Règles_bison[Specificite],MATCH(ChoixRationBisons&amp;$BM94,Règles_bison[Ration]&amp;Règles_bison[Aliment],0))="s1",IF($BM94=ChoixSpécificité1Bisons,1)),
AND(INDEX(Règles_bison[Specificite],MATCH(ChoixRationBisons&amp;$BM94,Règles_bison[Ration]&amp;Règles_bison[Aliment],0))="s2",IF($BM94=ChoixSpécificité2Bisons,1)),INDEX(Règles_bison[Specificite],MATCH(ChoixRationBisons&amp;$BM94,Règles_bison[Ration]&amp;Règles_bison[Aliment],0))="c"),
INDEX(Règles_bison[Valeur 6-12],MATCH(ChoixRationBisons&amp;$BM94,Règles_bison[Ration]&amp;Règles_bison[Aliment],0)),0),0)*TotalBisonsFemelles_6_12_mois*SUM(NbreJoursNourrirBisonsDaims))</f>
        <v>0</v>
      </c>
      <c r="BS94" s="1075">
        <f t="array" ref="BS94">IF(Ration_hivernale_complète_bisons[somme]&gt;0,0,IFERROR(IF(OR(AND(INDEX(Règles_bison[Specificite],MATCH(ChoixRationBisons&amp;$BM94,Règles_bison[Ration]&amp;Règles_bison[Aliment],0))="s1",IF($BM94=ChoixSpécificité1Bisons,1)),
AND(INDEX(Règles_bison[Specificite],MATCH(ChoixRationBisons&amp;$BM94,Règles_bison[Ration]&amp;Règles_bison[Aliment],0))="s2",IF($BM94=ChoixSpécificité2Bisons,1)),INDEX(Règles_bison[Specificite],MATCH(ChoixRationBisons&amp;$BM94,Règles_bison[Ration]&amp;Règles_bison[Aliment],0))="c"),
INDEX(Règles_bison[Valeur 3-6],MATCH(ChoixRationBisons&amp;$BM94,Règles_bison[Ration]&amp;Règles_bison[Aliment],0)),0),0)*TotalBisonsFemelles_3_6_mois*SUM(NbreJoursNourrirBisonsDaims))</f>
        <v>0</v>
      </c>
      <c r="BT94" s="1075">
        <f t="array" ref="BT94">IF(Ration_hivernale_complète_bisons[somme]&gt;0,0,IFERROR(IF(OR(AND(INDEX(Règles_bison[Specificite],MATCH(ChoixRationBisons&amp;$BM94,Règles_bison[Ration]&amp;Règles_bison[Aliment],0))="s1",IF($BM94=ChoixSpécificité1Bisons,1)),
AND(INDEX(Règles_bison[Specificite],MATCH(ChoixRationBisons&amp;$BM94,Règles_bison[Ration]&amp;Règles_bison[Aliment],0))="s2",IF($BM94=ChoixSpécificité2Bisons,1)),INDEX(Règles_bison[Specificite],MATCH(ChoixRationBisons&amp;$BM94,Règles_bison[Ration]&amp;Règles_bison[Aliment],0))="c"),
INDEX(Règles_bison[Valeur 0-3],MATCH(ChoixRationBisons&amp;$BM94,Règles_bison[Ration]&amp;Règles_bison[Aliment],0)),0),0)*TotalBisonsFemelles_0_3_mois*SUM(NbreJoursNourrirBisonsDaims))</f>
        <v>0</v>
      </c>
      <c r="BU94" s="1075">
        <f t="shared" si="22"/>
        <v>0</v>
      </c>
      <c r="BV94" s="1346"/>
      <c r="BW94" s="1346"/>
      <c r="BX94" s="1176" t="s">
        <v>765</v>
      </c>
      <c r="BY94" s="1177" t="s">
        <v>285</v>
      </c>
      <c r="BZ94" s="1177" t="s">
        <v>1253</v>
      </c>
      <c r="CA94" s="1177">
        <v>1.6</v>
      </c>
      <c r="CB94" s="1177">
        <v>1.4</v>
      </c>
      <c r="CC94" s="1177">
        <v>1.2</v>
      </c>
      <c r="CD94" s="1199">
        <v>1</v>
      </c>
      <c r="CE94" s="1350"/>
      <c r="CF94" s="1350"/>
      <c r="CG94" s="1350"/>
      <c r="CH94" s="1350"/>
      <c r="CI94" s="1321"/>
      <c r="CJ94" s="808" t="str">
        <f t="shared" si="26"/>
        <v>Colza</v>
      </c>
      <c r="CK94" s="788">
        <f t="array" ref="CK9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94" s="788">
        <f t="array" ref="CL9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94" s="788">
        <f t="array" ref="CM9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94" s="788">
        <f t="array" ref="CN9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94" s="788">
        <f t="array" ref="CO9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94" s="812">
        <f>SUM(AlimentsRationPorcinsFemelles[[#This Row],[Valeur 12 et plus]:[Valeur 0-1]])</f>
        <v>0</v>
      </c>
      <c r="CQ94" s="1321"/>
      <c r="CR94" s="1321"/>
      <c r="CS94" s="808"/>
      <c r="CT94" s="817">
        <f t="array" ref="CT9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94" s="817">
        <f t="array" ref="CU9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94" s="817">
        <f t="array" ref="CV94">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94" s="818">
        <f>SUM(AlimentsRationLapinsMâles[[#This Row],[Valeur 3 et plus]:[Valeur 0-1]])</f>
        <v>0</v>
      </c>
      <c r="CX94" s="1321"/>
      <c r="CY94" s="1321"/>
      <c r="CZ94" s="808"/>
      <c r="DA94" s="817">
        <f t="array" ref="DA9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94" s="817">
        <f t="array" ref="DB9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94" s="817">
        <f t="array" ref="DC94">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94" s="818">
        <f>SUM(AlimentsRationVolaillesMâles[[#This Row],[Valeur 6 et plus]:[Valeur 0-1]])</f>
        <v>0</v>
      </c>
      <c r="DE94" s="1364"/>
      <c r="DF94" s="1321"/>
      <c r="DG94" s="788" t="str">
        <f t="shared" si="27"/>
        <v>Chanvre</v>
      </c>
      <c r="DH94" s="817">
        <f t="array" ref="DH9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94" s="817">
        <f t="array" ref="DI9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94" s="817">
        <f t="array" ref="DJ9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94" s="821">
        <f>SUM(AlimentsRationPintadesFemelles[[#This Row],[Valeur 6 et plus]:[Valeur 0-1]])</f>
        <v>0</v>
      </c>
      <c r="DL94" s="1321"/>
      <c r="DM94" s="1321"/>
      <c r="DN94" s="1176" t="s">
        <v>727</v>
      </c>
      <c r="DO94" s="1177" t="s">
        <v>1271</v>
      </c>
      <c r="DP94" s="1177" t="s">
        <v>1252</v>
      </c>
      <c r="DQ94" s="1181">
        <v>0.14000000000000001</v>
      </c>
      <c r="DR94" s="1181">
        <v>0.08</v>
      </c>
      <c r="DS94" s="1181">
        <v>0.04</v>
      </c>
      <c r="DT94" s="1243">
        <v>0.04</v>
      </c>
      <c r="DU94" s="1345"/>
      <c r="DV94" s="1076" t="str">
        <f t="shared" si="24"/>
        <v>Lentille</v>
      </c>
      <c r="DW94" s="1267">
        <f t="array" ref="DW94">SUM((IF(QualitéAlimentsFaonMâle_0_3_mois=BONNE,VLOOKUP("Lentille",AlimentsRationHivernaleDaims,8,FALSE),0)+(IF(QualitéAlimentsFaonFemelle_0_3_mois=BONNE,VLOOKUP("Lentille",AlimentsRationHivernaleDaims,8,FALSE),0)+(IF(QualitéAlimentsFaonMâle_3_6_mois=BONNE,VLOOKUP("Lentille",AlimentsRationHivernaleDaims,7,FALSE),0)+(IF(QualitéAlimentsFaonFemelle_3_6_mois=BONNE,VLOOKUP("Lentille",AlimentsRationHivernaleDaims,7,FALSE),0)+(IF(QualitéAlimentsFaonMâle_6_12_mois=BONNE,VLOOKUP("Lentille",AlimentsRationHivernaleDaims,6,FALSE),0)+(IF(QualitéAlimentsFaonFemelle_6_12_mois=BONNE,VLOOKUP("Lentille",AlimentsRationHivernaleDaims,6,FALSE),0)+(IF(QualitéAlimentsJeuneDaim_12_18_mois=BONNE,VLOOKUP("Lentille",AlimentsRationHivernaleDaims,5,FALSE),0)+(IF(QualitéAlimentsJeuneDaine_12_18_mois=BONNE,VLOOKUP("Lentille",AlimentsRationHivernaleDaims,5,FALSE),0)+(IF(QualitéAlimentsJeuneDaim_18_24_mois=BONNE,VLOOKUP("Lentille",AlimentsRationHivernaleDaims,4,FALSE),0)+(IF(QualitéAlimentsJeuneDaine_18_24_mois=BONNE,VLOOKUP("Lentille",AlimentsRationHivernaleDaims,4,FALSE),0)+(IF(QualitéAlimentsJeuneDaim_24_36_mois=BONNE,VLOOKUP("Lentille",AlimentsRationHivernaleDaims,3,FALSE),0)+(IF(QualitéAlimentsJeuneDaine_24_36_mois=BONNE,VLOOKUP("Lentille",AlimentsRationHivernaleDaims,3,FALSE),0)+(IF(QualitéAlimentsDaim=BONNE,VLOOKUP("Lentille",AlimentsRationHivernaleDaims,2,FALSE),0)+(IF(QualitéAlimentsDaine=BONNE,VLOOKUP("Lentille",AlimentsRationHivernaleDaims,2,FALSE),0))))))))))))))))</f>
        <v>0</v>
      </c>
      <c r="DX94" s="1267">
        <f t="array" ref="DX94">SUM((IF(QualitéAlimentsFaonMâle_0_3_mois=MOYENNE,VLOOKUP("Lentille",AlimentsRationHivernaleDaims,8,FALSE),0)+(IF(QualitéAlimentsFaonFemelle_0_3_mois=MOYENNE,VLOOKUP("Lentille",AlimentsRationHivernaleDaims,8,FALSE),0)+(IF(QualitéAlimentsFaonMâle_3_6_mois=MOYENNE,VLOOKUP("Lentille",AlimentsRationHivernaleDaims,7,FALSE),0)+(IF(QualitéAlimentsFaonFemelle_3_6_mois=MOYENNE,VLOOKUP("Lentille",AlimentsRationHivernaleDaims,7,FALSE),0)+(IF(QualitéAlimentsFaonMâle_6_12_mois=MOYENNE,VLOOKUP("Lentille",AlimentsRationHivernaleDaims,6,FALSE),0)+(IF(QualitéAlimentsFaonFemelle_6_12_mois=MOYENNE,VLOOKUP("Lentille",AlimentsRationHivernaleDaims,6,FALSE),0)+(IF(QualitéAlimentsJeuneDaim_12_18_mois=MOYENNE,VLOOKUP("Lentille",AlimentsRationHivernaleDaims,5,FALSE),0)+(IF(QualitéAlimentsJeuneDaine_12_18_mois=MOYENNE,VLOOKUP("Lentille",AlimentsRationHivernaleDaims,5,FALSE),0)+(IF(QualitéAlimentsJeuneDaim_18_24_mois=MOYENNE,VLOOKUP("Lentille",AlimentsRationHivernaleDaims,4,FALSE),0)+(IF(QualitéAlimentsJeuneDaine_18_24_mois=MOYENNE,VLOOKUP("Lentille",AlimentsRationHivernaleDaims,4,FALSE),0)+(IF(QualitéAlimentsJeuneDaim_24_36_mois=MOYENNE,VLOOKUP("Lentille",AlimentsRationHivernaleDaims,3,FALSE),0)+(IF(QualitéAlimentsJeuneDaine_24_36_mois=MOYENNE,VLOOKUP("Lentille",AlimentsRationHivernaleDaims,3,FALSE),0)+(IF(QualitéAlimentsDaim=MOYENNE,VLOOKUP("Lentille",AlimentsRationHivernaleDaims,2,FALSE),0)+(IF(QualitéAlimentsDaine=MOYENNE,VLOOKUP("Lentille",AlimentsRationHivernaleDaims,2,FALSE),0))))))))))))))))</f>
        <v>0</v>
      </c>
      <c r="DY94" s="1267">
        <f t="array" ref="DY94">SUM((IF(QualitéAlimentsFaonMâle_0_3_mois=MAUVAISE,VLOOKUP("Lentille",AlimentsRationHivernaleDaims,8,FALSE),0)+(IF(QualitéAlimentsFaonFemelle_0_3_mois=MAUVAISE,VLOOKUP("Lentille",AlimentsRationHivernaleDaims,8,FALSE),0)+(IF(QualitéAlimentsFaonMâle_3_6_mois=MAUVAISE,VLOOKUP("Lentille",AlimentsRationHivernaleDaims,7,FALSE),0)+(IF(QualitéAlimentsFaonFemelle_3_6_mois=MAUVAISE,VLOOKUP("Lentille",AlimentsRationHivernaleDaims,7,FALSE),0)+(IF(QualitéAlimentsFaonMâle_6_12_mois=MAUVAISE,VLOOKUP("Lentille",AlimentsRationHivernaleDaims,6,FALSE),0)+(IF(QualitéAlimentsFaonFemelle_6_12_mois=MAUVAISE,VLOOKUP("Lentille",AlimentsRationHivernaleDaims,6,FALSE),0)+(IF(QualitéAlimentsJeuneDaim_12_18_mois=MAUVAISE,VLOOKUP("Lentille",AlimentsRationHivernaleDaims,5,FALSE),0)+(IF(QualitéAlimentsJeuneDaine_12_18_mois=MAUVAISE,VLOOKUP("Lentille",AlimentsRationHivernaleDaims,5,FALSE),0)+(IF(QualitéAlimentsJeuneDaim_18_24_mois=MAUVAISE,VLOOKUP("Lentille",AlimentsRationHivernaleDaims,4,FALSE),0)+(IF(QualitéAlimentsJeuneDaine_18_24_mois=MAUVAISE,VLOOKUP("Lentille",AlimentsRationHivernaleDaims,4,FALSE),0)+(IF(QualitéAlimentsJeuneDaim_24_36_mois=MAUVAISE,VLOOKUP("Lentille",AlimentsRationHivernaleDaims,3,FALSE),0)+(IF(QualitéAlimentsJeuneDaine_24_36_mois=MAUVAISE,VLOOKUP("Lentille",AlimentsRationHivernaleDaims,3,FALSE),0)+(IF(QualitéAlimentsDaim=MAUVAISE,VLOOKUP("Lentille",AlimentsRationHivernaleDaims,2,FALSE),0)+(IF(QualitéAlimentsDaine=MAUVAISE,VLOOKUP("Lentille",AlimentsRationHivernaleDaims,2,FALSE),0))))))))))))))))</f>
        <v>0</v>
      </c>
      <c r="DZ94" s="1345"/>
      <c r="EA94" s="1345"/>
      <c r="EB94" s="1345"/>
      <c r="EC94" s="1345"/>
      <c r="ED94" s="1345"/>
      <c r="EE94" s="1345"/>
      <c r="EF94" s="1321"/>
      <c r="EG94" s="789" t="s">
        <v>1276</v>
      </c>
      <c r="EH94" s="790" t="s">
        <v>1295</v>
      </c>
      <c r="EI94" s="790" t="s">
        <v>1256</v>
      </c>
      <c r="EJ94" s="790" t="s">
        <v>1255</v>
      </c>
      <c r="EK94" s="791" t="s">
        <v>1269</v>
      </c>
      <c r="EL94" s="1321"/>
      <c r="EM94" s="1321"/>
      <c r="EN94" s="823" t="str">
        <f>EN52</f>
        <v>Avoine</v>
      </c>
      <c r="EO94" s="828">
        <f t="array" ref="EO94">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94" s="828">
        <f t="array" ref="EP94">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94" s="828">
        <f t="array" ref="EQ94">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94" s="829">
        <f>SUM(Ration_canards_Femelles[[#This Row],[Valeur 6 et plus]:[Valeur 0-3]])</f>
        <v>0</v>
      </c>
      <c r="ES94" s="1321"/>
      <c r="ET94" s="1321"/>
      <c r="EU94" s="1082"/>
      <c r="EV94" s="1282">
        <f t="array" ref="EV94">IF(OR(ChoixRationComplèteEtéChevauxSelle=OUI,ChoixRationComplèteEtéChevauxSelle="",AND(ChoixChevauxSellePréHiver=OUI,ChoixChevauxSellePréEté=OUI)),0,IFERROR(IF(OR(AND(INDEX(Règles_chevaux_selle[Specificite],MATCH(RationEtéChevauxSelle&amp;$EU94,Règles_chevaux_selle[Ration]&amp;Règles_chevaux_selle[Aliment],0))="s1",IF($EU94=Spécificité1ChevauxSelle,1)),
AND(INDEX(Règles_chevaux_selle[Specificite],MATCH(RationEtéChevauxSelle&amp;$EU94,Règles_chevaux_selle[Ration]&amp;Règles_chevaux_selle[Aliment],0))="s2",IF($EU94=Spécificité2ChevauxSelle,1)),
INDEX(Règles_chevaux_selle[Specificite],MATCH(RationEtéChevauxSelle&amp;$EU94,Règles_chevaux_selle[Ration]&amp;Règles_chevaux_selle[Aliment],0))="c"),
INDEX(Règles_chevaux_selle[Valeur 36 et plus],MATCH(RationEtéChevauxSelle&amp;$EU94,Règles_chevaux_selle[Ration]&amp;Règles_chevaux_selle[Aliment],0)),0),0)*TotalEtalonSelle*SUM(NbreJoursNourrirChevauxSelle))</f>
        <v>0</v>
      </c>
      <c r="EW94" s="1282">
        <f t="array" ref="EW94">IF(OR(ChoixRationComplèteEtéChevauxSelle=OUI,ChoixRationComplèteEtéChevauxSelle="",AND(ChoixChevauxSellePréHiver=OUI,ChoixChevauxSellePréEté=OUI)),0,IFERROR(IF(OR(AND(INDEX(Règles_chevaux_selle[Specificite],MATCH(RationEtéChevauxSelle&amp;$EU94,Règles_chevaux_selle[Ration]&amp;Règles_chevaux_selle[Aliment],0))="s1",IF($EU94=Spécificité1ChevauxSelle,1)),
AND(INDEX(Règles_chevaux_selle[Specificite],MATCH(RationEtéChevauxSelle&amp;$EU94,Règles_chevaux_selle[Ration]&amp;Règles_chevaux_selle[Aliment],0))="s2",IF($EU94=Spécificité2ChevauxSelle,1)),
INDEX(Règles_chevaux_selle[Specificite],MATCH(RationEtéChevauxSelle&amp;$EU94,Règles_chevaux_selle[Ration]&amp;Règles_chevaux_selle[Aliment],0))="c"),
INDEX(Règles_chevaux_selle[Valeur 24-36],MATCH(RationEtéChevauxSelle&amp;$EU94,Règles_chevaux_selle[Ration]&amp;Règles_chevaux_selle[Aliment],0)),0),0)*TotalJeuneEtalonSelle_24_36_mois*SUM(NbreJoursNourrirChevauxSelle))</f>
        <v>0</v>
      </c>
      <c r="EX94" s="1282">
        <f t="array" ref="EX94">IF(OR(ChoixRationComplèteEtéChevauxSelle=OUI,ChoixRationComplèteEtéChevauxSelle="",AND(ChoixChevauxSellePréHiver=OUI,ChoixChevauxSellePréEté=OUI)),0,IFERROR(IF(OR(AND(INDEX(Règles_chevaux_selle[Specificite],MATCH(RationEtéChevauxSelle&amp;$EU94,Règles_chevaux_selle[Ration]&amp;Règles_chevaux_selle[Aliment],0))="s1",IF($EU94=Spécificité1ChevauxSelle,1)),
AND(INDEX(Règles_chevaux_selle[Specificite],MATCH(RationEtéChevauxSelle&amp;$EU94,Règles_chevaux_selle[Ration]&amp;Règles_chevaux_selle[Aliment],0))="s2",IF($EU94=Spécificité2ChevauxSelle,1)),
INDEX(Règles_chevaux_selle[Specificite],MATCH(RationEtéChevauxSelle&amp;$EU94,Règles_chevaux_selle[Ration]&amp;Règles_chevaux_selle[Aliment],0))="c"),
INDEX(Règles_chevaux_selle[Valeur 12-24],MATCH(RationEtéChevauxSelle&amp;$EU94,Règles_chevaux_selle[Ration]&amp;Règles_chevaux_selle[Aliment],0)),0),0)*TotalJeuneEtalonSelle_12_24_mois*SUM(NbreJoursNourrirChevauxSelle))</f>
        <v>0</v>
      </c>
      <c r="EY94" s="1285">
        <f t="array" ref="EY94">IF(OR(ChoixRationComplèteEtéChevauxSelle=OUI,ChoixRationComplèteEtéChevauxSelle="",AND(ChoixChevauxSellePréHiver=OUI,ChoixChevauxSellePréEté=OUI)),0,IFERROR(IF(OR(AND(INDEX(Règles_chevaux_selle[Specificite],MATCH(RationEtéChevauxSelle&amp;$EU94,Règles_chevaux_selle[Ration]&amp;Règles_chevaux_selle[Aliment],0))="s1",IF($EU94=Spécificité1ChevauxSelle,1)),
AND(INDEX(Règles_chevaux_selle[Specificite],MATCH(RationEtéChevauxSelle&amp;$EU94,Règles_chevaux_selle[Ration]&amp;Règles_chevaux_selle[Aliment],0))="s2",IF($EU94=Spécificité2ChevauxSelle,1)),
INDEX(Règles_chevaux_selle[Specificite],MATCH(RationEtéChevauxSelle&amp;$EU94,Règles_chevaux_selle[Ration]&amp;Règles_chevaux_selle[Aliment],0))="c"),
INDEX(Règles_chevaux_selle[Valeur 0-12],MATCH(RationEtéChevauxSelle&amp;$EU94,Règles_chevaux_selle[Ration]&amp;Règles_chevaux_selle[Aliment],0)),0),0)*TotalPoulainSelle_0_12_mois*SUM(NbreJoursNourrirChevauxSelle))</f>
        <v>0</v>
      </c>
      <c r="EZ94" s="1285">
        <f t="shared" si="16"/>
        <v>0</v>
      </c>
      <c r="FA94" s="1345"/>
      <c r="FB94" s="1345"/>
      <c r="FC94" s="1321"/>
      <c r="FD94" s="1336" t="s">
        <v>1710</v>
      </c>
      <c r="FE94" s="1336"/>
      <c r="FF94" s="1336"/>
      <c r="FG94" s="1336"/>
      <c r="FH94" s="1336"/>
      <c r="FI94" s="1336"/>
      <c r="FJ94" s="1345"/>
      <c r="FK94" s="1345"/>
      <c r="FL94" s="1345"/>
      <c r="FM94" s="1321"/>
      <c r="FN94" s="1281" t="s">
        <v>1276</v>
      </c>
      <c r="FO94" s="1281" t="s">
        <v>1261</v>
      </c>
      <c r="FP94" s="1281" t="s">
        <v>1260</v>
      </c>
      <c r="FQ94" s="1281" t="s">
        <v>1304</v>
      </c>
      <c r="FR94" s="1284" t="s">
        <v>1303</v>
      </c>
      <c r="FS94" s="1281" t="s">
        <v>1269</v>
      </c>
      <c r="FT94" s="1345"/>
      <c r="FU94" s="1345"/>
      <c r="FV94" s="1345"/>
      <c r="FW94" s="823" t="str">
        <f t="shared" si="28"/>
        <v>Chanvre</v>
      </c>
      <c r="FX94" s="828">
        <f t="array" ref="FX9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94" s="828">
        <f t="array" ref="FY9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94" s="828">
        <f t="array" ref="FZ9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94" s="828">
        <f t="array" ref="GA9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94" s="829">
        <f>SUM(AlimentsGavageCanards[[#This Row],[Valeur 3 et plus]:[Valeur 0-1]])</f>
        <v>0</v>
      </c>
      <c r="GC94" s="1321"/>
      <c r="GD94" s="1321"/>
      <c r="GE94" s="1321"/>
      <c r="GF94" s="1321"/>
      <c r="GG94" s="1321" t="s">
        <v>1349</v>
      </c>
      <c r="GH94" s="1321" t="s">
        <v>1349</v>
      </c>
      <c r="GI94" s="1321" t="s">
        <v>1349</v>
      </c>
      <c r="GJ94" s="1321" t="s">
        <v>1349</v>
      </c>
      <c r="GK94" s="1321" t="s">
        <v>1349</v>
      </c>
      <c r="GL94" s="1321" t="s">
        <v>1349</v>
      </c>
      <c r="GM94" s="1321" t="s">
        <v>1349</v>
      </c>
      <c r="GN94" s="1321" t="s">
        <v>1349</v>
      </c>
      <c r="GO94" s="1321" t="s">
        <v>1349</v>
      </c>
      <c r="GP94" s="1321" t="s">
        <v>1349</v>
      </c>
      <c r="GQ94" s="1321" t="s">
        <v>1349</v>
      </c>
      <c r="GR94" s="1321" t="s">
        <v>1349</v>
      </c>
      <c r="GS94" s="1321" t="s">
        <v>1349</v>
      </c>
      <c r="GT94" s="1321" t="s">
        <v>1349</v>
      </c>
      <c r="GU94" s="1321" t="s">
        <v>1349</v>
      </c>
      <c r="GV94" s="1321" t="s">
        <v>1349</v>
      </c>
      <c r="GW94" s="1321"/>
      <c r="GX94" s="1321"/>
      <c r="GY94" s="1083" t="str">
        <f t="shared" si="25"/>
        <v>Soufre</v>
      </c>
      <c r="GZ94" s="1083"/>
      <c r="HA94" s="1084"/>
      <c r="HB94" s="1084">
        <f>IF(COUNTIF(TypeArticleDansEntrepôt,GY94)=0,0,SUMIF(TypeArticleDansEntrepôt,GY94,QtéArticleDansEntrepôt)*VLOOKUP(GY94,place_necessaire_entrepots_aire_paille[],2,FALSE))</f>
        <v>0</v>
      </c>
      <c r="HC94" s="1321"/>
      <c r="HD94" s="1321"/>
      <c r="HE94" s="1321"/>
      <c r="HF94" s="1321"/>
      <c r="HG94" s="1321"/>
      <c r="HH94" s="1321"/>
      <c r="HI94" s="1321"/>
      <c r="HJ94" s="1321"/>
      <c r="HK94" s="1321"/>
      <c r="HL94" s="1321"/>
      <c r="HM94" s="1321"/>
      <c r="HN94" s="1321"/>
      <c r="HO94" s="1321"/>
      <c r="HP94" s="1321"/>
      <c r="HQ94" s="1321"/>
      <c r="HR94" s="1321"/>
      <c r="HS94" s="1321"/>
      <c r="HT94" s="1321"/>
      <c r="HU94" s="1321"/>
      <c r="HV94" s="1321"/>
      <c r="HW94" s="1321"/>
      <c r="HX94" s="1321"/>
      <c r="HY94" s="1321"/>
      <c r="HZ94" s="1321"/>
      <c r="IA94" s="1321"/>
      <c r="IB94" s="1321"/>
      <c r="IC94" s="1321"/>
      <c r="ID94" s="1321"/>
      <c r="IE94" s="1321"/>
      <c r="IF94" s="1321"/>
      <c r="IG94" s="1321"/>
      <c r="IH94" s="1321"/>
      <c r="II94" s="1321"/>
      <c r="IJ94" s="1321"/>
      <c r="IK94" s="1321"/>
      <c r="IL94" s="1321"/>
      <c r="IM94" s="1321"/>
      <c r="IN94" s="1368"/>
    </row>
    <row r="95" spans="1:248" ht="12.75" customHeight="1" x14ac:dyDescent="0.2">
      <c r="A95" s="1307" t="s">
        <v>318</v>
      </c>
      <c r="B95" s="1241">
        <f t="shared" si="17"/>
        <v>1E-3</v>
      </c>
      <c r="C95" s="1321"/>
      <c r="D95" s="1321"/>
      <c r="E95" s="1321"/>
      <c r="F95" s="1143" t="s">
        <v>500</v>
      </c>
      <c r="G95" s="1143" t="s">
        <v>1173</v>
      </c>
      <c r="H95" s="1143" t="s">
        <v>1202</v>
      </c>
      <c r="I95" s="1244" t="s">
        <v>1167</v>
      </c>
      <c r="J95" s="1244" t="s">
        <v>1212</v>
      </c>
      <c r="K95" s="1244" t="s">
        <v>1210</v>
      </c>
      <c r="L95" s="1244" t="s">
        <v>1197</v>
      </c>
      <c r="M95" s="1321"/>
      <c r="N95" s="1321"/>
      <c r="O95" s="802" t="s">
        <v>1454</v>
      </c>
      <c r="P95" s="802">
        <f>IF(SUM(ChoixEspèceAuPré)="",0,SUMIF(ChoixEspèceAuPré,Bovins,NbreMâles_6_12MoisAuPréEté))</f>
        <v>0</v>
      </c>
      <c r="Q95" s="802">
        <f>IF(SUM(ChoixEspèceAuPré)="",0,SUMIF(ChoixEspèceAuPré,Ovins,NbreMâles_6_12MoisAuPréEté))</f>
        <v>0</v>
      </c>
      <c r="R95" s="802">
        <f>IF(SUM(ChoixEspèceAuPré)="",0,SUMIF(ChoixEspèceAuPré,Caprins,NbreMâles_6_12MoisAuPréEté))</f>
        <v>0</v>
      </c>
      <c r="S95" s="802">
        <f>IF(SUM(ChoixEspèceAuPré)="",0,SUMIF(ChoixEspèceAuPré,Bisons,NbreMâles_6_12MoisAuPréEté))</f>
        <v>0</v>
      </c>
      <c r="T95" s="802">
        <f>IF(SUM(ChoixEspèceAuPré)="",0,SUMIF(ChoixEspèceAuPré,Daims,NbreMâles_6_12MoisAuPréEté))</f>
        <v>0</v>
      </c>
      <c r="U95" s="802">
        <f>IF(SUM(ChoixEspèceAuPré)="",0,SUMIF(ChoixEspèceAuPré,ChevauxSelle,NbreMâles_6_12MoisAuPréEté))</f>
        <v>0</v>
      </c>
      <c r="V95" s="802">
        <f>IF(SUM(ChoixEspèceAuPré)="",0,SUMIF(ChoixEspèceAuPré,ChevauxTrait,NbreMâles_6_12MoisAuPréEté))</f>
        <v>0</v>
      </c>
      <c r="W95" s="802">
        <f>IF(SUM(ChoixEspèceAuPré)="",0,SUMIF(ChoixEspèceAuPré,Poneys,NbreMâles_6_12MoisAuPréEté))</f>
        <v>0</v>
      </c>
      <c r="X95" s="1321"/>
      <c r="Y95" s="1080" t="s">
        <v>1686</v>
      </c>
      <c r="Z95" s="1080">
        <f>IF('coût alimentation'!$B$6=$Y$95,49,0)</f>
        <v>0</v>
      </c>
      <c r="AA95" s="1080">
        <f>IF(AND(ChoixBovinsPréEté="OUI",'coût alimentation'!$B$6=$Y$95),35,Z95)</f>
        <v>0</v>
      </c>
      <c r="AB95" s="1080">
        <f>IF('coût alimentation'!$B$6=$Y$95,42,0)</f>
        <v>0</v>
      </c>
      <c r="AC95" s="1080">
        <f>IF(AND(ChoixCaprinsPréEté="OUI",'coût alimentation'!$B$6=$Y$95),35,Z95)</f>
        <v>0</v>
      </c>
      <c r="AD95" s="1080">
        <f>IF(AND(ChoixOvinsPréEté="OUI",'coût alimentation'!$B$6=$Y$95),35,Z95)</f>
        <v>0</v>
      </c>
      <c r="AE95" s="1080">
        <f>IF(AND(ChoixChevauxSellePréEté="OUI",'coût alimentation'!$B$6=$Y$95),21,IF(Y95&lt;&gt;'coût alimentation'!$B$6,0,84))</f>
        <v>0</v>
      </c>
      <c r="AF95" s="1080">
        <f>IF(AND(ChoixChevauxTraitPréEté="OUI",'coût alimentation'!$B$6=$Y$95),21,IF(Y95&lt;&gt;'coût alimentation'!$B$6,0,84))</f>
        <v>0</v>
      </c>
      <c r="AG95" s="1080">
        <f>IF(AND(ChoixPoneysPréEté="OUI",'coût alimentation'!$B$6=$Y$95),21,IF(Y95&lt;&gt;'coût alimentation'!$B$6,0,84))</f>
        <v>0</v>
      </c>
      <c r="AH95" s="1321"/>
      <c r="AI95" s="1321"/>
      <c r="AJ95" s="1321"/>
      <c r="AK95" s="1321"/>
      <c r="AL95" s="1321"/>
      <c r="AM95" s="1321"/>
      <c r="AN95" s="1321"/>
      <c r="AO95" s="1321"/>
      <c r="AP95" s="1321"/>
      <c r="AQ95" s="1321"/>
      <c r="AR95" s="1321"/>
      <c r="AS95" s="1321"/>
      <c r="AT95" s="1321"/>
      <c r="AU95" s="1321"/>
      <c r="AV95" s="1321"/>
      <c r="AW95" s="1321"/>
      <c r="AX95" s="1321"/>
      <c r="AY95" s="1321"/>
      <c r="AZ95" s="1321"/>
      <c r="BA95" s="1321"/>
      <c r="BB95" s="1236" t="s">
        <v>729</v>
      </c>
      <c r="BC95" s="1190" t="s">
        <v>723</v>
      </c>
      <c r="BD95" s="1190" t="s">
        <v>1277</v>
      </c>
      <c r="BE95" s="1237">
        <v>0</v>
      </c>
      <c r="BF95" s="1237">
        <v>0</v>
      </c>
      <c r="BG95" s="1237">
        <v>0</v>
      </c>
      <c r="BH95" s="1237">
        <v>0</v>
      </c>
      <c r="BI95" s="1237">
        <v>0</v>
      </c>
      <c r="BJ95" s="1237">
        <v>0</v>
      </c>
      <c r="BK95" s="1238">
        <v>0</v>
      </c>
      <c r="BL95" s="1348"/>
      <c r="BM95" s="1076" t="str">
        <f t="shared" si="23"/>
        <v>Pois</v>
      </c>
      <c r="BN95" s="1076">
        <f t="array" ref="BN95">IF(Ration_hivernale_complète_bisons[somme]&gt;0,0,IFERROR(IF(OR(AND(INDEX(Règles_bison[Specificite],MATCH(ChoixRationBisons&amp;$BM95,Règles_bison[Ration]&amp;Règles_bison[Aliment],0))="s1",IF($BM95=ChoixSpécificité1Bisons,1)),
AND(INDEX(Règles_bison[Specificite],MATCH(ChoixRationBisons&amp;$BM95,Règles_bison[Ration]&amp;Règles_bison[Aliment],0))="s2",IF($BM95=ChoixSpécificité2Bisons,1)),INDEX(Règles_bison[Specificite],MATCH(ChoixRationBisons&amp;$BM95,Règles_bison[Ration]&amp;Règles_bison[Aliment],0))="c"),
INDEX(Règles_bison[Valeur 36 et plus],MATCH(ChoixRationBisons&amp;$BM95,Règles_bison[Ration]&amp;Règles_bison[Aliment],0)),0),0)*TotalBisonnes*SUM(NbreJoursNourrirBisonsDaims))</f>
        <v>0</v>
      </c>
      <c r="BO95" s="1076">
        <f t="array" ref="BO95">IF(Ration_hivernale_complète_bisons[somme]&gt;0,0,IFERROR(IF(OR(AND(INDEX(Règles_bison[Specificite],MATCH(ChoixRationBisons&amp;$BM95,Règles_bison[Ration]&amp;Règles_bison[Aliment],0))="s1",IF($BM95=ChoixSpécificité1Bisons,1)),
AND(INDEX(Règles_bison[Specificite],MATCH(ChoixRationBisons&amp;$BM95,Règles_bison[Ration]&amp;Règles_bison[Aliment],0))="s2",IF($BM95=ChoixSpécificité2Bisons,1)),INDEX(Règles_bison[Specificite],MATCH(ChoixRationBisons&amp;$BM95,Règles_bison[Ration]&amp;Règles_bison[Aliment],0))="c"),
INDEX(Règles_bison[Valeur 24-36],MATCH(ChoixRationBisons&amp;$BM95,Règles_bison[Ration]&amp;Règles_bison[Aliment],0)),0),0)*TotalBisonsFemelles_24_36_mois*SUM(NbreJoursNourrirBisonsDaims))</f>
        <v>0</v>
      </c>
      <c r="BP95" s="1076">
        <f t="array" ref="BP95">IF(Ration_hivernale_complète_bisons[somme]&gt;0,0,IFERROR(IF(OR(AND(INDEX(Règles_bison[Specificite],MATCH(ChoixRationBisons&amp;$BM95,Règles_bison[Ration]&amp;Règles_bison[Aliment],0))="s1",IF($BM95=ChoixSpécificité1Bisons,1)),
AND(INDEX(Règles_bison[Specificite],MATCH(ChoixRationBisons&amp;$BM95,Règles_bison[Ration]&amp;Règles_bison[Aliment],0))="s2",IF($BM95=ChoixSpécificité2Bisons,1)),INDEX(Règles_bison[Specificite],MATCH(ChoixRationBisons&amp;$BM95,Règles_bison[Ration]&amp;Règles_bison[Aliment],0))="c"),
INDEX(Règles_bison[Valeur 18-24],MATCH(ChoixRationBisons&amp;$BM95,Règles_bison[Ration]&amp;Règles_bison[Aliment],0)),0),0)*TotalBisonsFemelles_18_24_mois*SUM(NbreJoursNourrirBisonsDaims))</f>
        <v>0</v>
      </c>
      <c r="BQ95" s="1076">
        <f t="array" ref="BQ95">IF(Ration_hivernale_complète_bisons[somme]&gt;0,0,IFERROR(IF(OR(AND(INDEX(Règles_bison[Specificite],MATCH(ChoixRationBisons&amp;$BM95,Règles_bison[Ration]&amp;Règles_bison[Aliment],0))="s1",IF($BM95=ChoixSpécificité1Bisons,1)),
AND(INDEX(Règles_bison[Specificite],MATCH(ChoixRationBisons&amp;$BM95,Règles_bison[Ration]&amp;Règles_bison[Aliment],0))="s2",IF($BM95=ChoixSpécificité2Bisons,1)),INDEX(Règles_bison[Specificite],MATCH(ChoixRationBisons&amp;$BM95,Règles_bison[Ration]&amp;Règles_bison[Aliment],0))="c"),
INDEX(Règles_bison[Valeur 12-18],MATCH(ChoixRationBisons&amp;$BM95,Règles_bison[Ration]&amp;Règles_bison[Aliment],0)),0),0)*TotalBisonsFemelles_12_18_mois*SUM(NbreJoursNourrirBisonsDaims))</f>
        <v>0</v>
      </c>
      <c r="BR95" s="1076">
        <f t="array" ref="BR95">IF(Ration_hivernale_complète_bisons[somme]&gt;0,0,IFERROR(IF(OR(AND(INDEX(Règles_bison[Specificite],MATCH(ChoixRationBisons&amp;$BM95,Règles_bison[Ration]&amp;Règles_bison[Aliment],0))="s1",IF($BM95=ChoixSpécificité1Bisons,1)),
AND(INDEX(Règles_bison[Specificite],MATCH(ChoixRationBisons&amp;$BM95,Règles_bison[Ration]&amp;Règles_bison[Aliment],0))="s2",IF($BM95=ChoixSpécificité2Bisons,1)),INDEX(Règles_bison[Specificite],MATCH(ChoixRationBisons&amp;$BM95,Règles_bison[Ration]&amp;Règles_bison[Aliment],0))="c"),
INDEX(Règles_bison[Valeur 6-12],MATCH(ChoixRationBisons&amp;$BM95,Règles_bison[Ration]&amp;Règles_bison[Aliment],0)),0),0)*TotalBisonsFemelles_6_12_mois*SUM(NbreJoursNourrirBisonsDaims))</f>
        <v>0</v>
      </c>
      <c r="BS95" s="1076">
        <f t="array" ref="BS95">IF(Ration_hivernale_complète_bisons[somme]&gt;0,0,IFERROR(IF(OR(AND(INDEX(Règles_bison[Specificite],MATCH(ChoixRationBisons&amp;$BM95,Règles_bison[Ration]&amp;Règles_bison[Aliment],0))="s1",IF($BM95=ChoixSpécificité1Bisons,1)),
AND(INDEX(Règles_bison[Specificite],MATCH(ChoixRationBisons&amp;$BM95,Règles_bison[Ration]&amp;Règles_bison[Aliment],0))="s2",IF($BM95=ChoixSpécificité2Bisons,1)),INDEX(Règles_bison[Specificite],MATCH(ChoixRationBisons&amp;$BM95,Règles_bison[Ration]&amp;Règles_bison[Aliment],0))="c"),
INDEX(Règles_bison[Valeur 3-6],MATCH(ChoixRationBisons&amp;$BM95,Règles_bison[Ration]&amp;Règles_bison[Aliment],0)),0),0)*TotalBisonsFemelles_3_6_mois*SUM(NbreJoursNourrirBisonsDaims))</f>
        <v>0</v>
      </c>
      <c r="BT95" s="1076">
        <f t="array" ref="BT95">IF(Ration_hivernale_complète_bisons[somme]&gt;0,0,IFERROR(IF(OR(AND(INDEX(Règles_bison[Specificite],MATCH(ChoixRationBisons&amp;$BM95,Règles_bison[Ration]&amp;Règles_bison[Aliment],0))="s1",IF($BM95=ChoixSpécificité1Bisons,1)),
AND(INDEX(Règles_bison[Specificite],MATCH(ChoixRationBisons&amp;$BM95,Règles_bison[Ration]&amp;Règles_bison[Aliment],0))="s2",IF($BM95=ChoixSpécificité2Bisons,1)),INDEX(Règles_bison[Specificite],MATCH(ChoixRationBisons&amp;$BM95,Règles_bison[Ration]&amp;Règles_bison[Aliment],0))="c"),
INDEX(Règles_bison[Valeur 0-3],MATCH(ChoixRationBisons&amp;$BM95,Règles_bison[Ration]&amp;Règles_bison[Aliment],0)),0),0)*TotalBisonsFemelles_0_3_mois*SUM(NbreJoursNourrirBisonsDaims))</f>
        <v>0</v>
      </c>
      <c r="BU95" s="1076">
        <f t="shared" si="22"/>
        <v>0</v>
      </c>
      <c r="BV95" s="1346"/>
      <c r="BW95" s="1346"/>
      <c r="BX95" s="1176" t="s">
        <v>765</v>
      </c>
      <c r="BY95" s="1177" t="s">
        <v>76</v>
      </c>
      <c r="BZ95" s="1177" t="s">
        <v>1253</v>
      </c>
      <c r="CA95" s="1177">
        <v>1.6</v>
      </c>
      <c r="CB95" s="1177">
        <v>1.4</v>
      </c>
      <c r="CC95" s="1177">
        <v>1.2</v>
      </c>
      <c r="CD95" s="1199">
        <v>1</v>
      </c>
      <c r="CE95" s="1350"/>
      <c r="CF95" s="1350"/>
      <c r="CG95" s="1350"/>
      <c r="CH95" s="1350"/>
      <c r="CI95" s="1321"/>
      <c r="CJ95" s="808" t="str">
        <f t="shared" si="26"/>
        <v>concentré jeunes bovins</v>
      </c>
      <c r="CK95" s="788">
        <f t="array" ref="CK9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95" s="788">
        <f t="array" ref="CL9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95" s="788">
        <f t="array" ref="CM9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95" s="788">
        <f t="array" ref="CN9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95" s="788">
        <f t="array" ref="CO9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95" s="812">
        <f>SUM(AlimentsRationPorcinsFemelles[[#This Row],[Valeur 12 et plus]:[Valeur 0-1]])</f>
        <v>0</v>
      </c>
      <c r="CQ95" s="1321"/>
      <c r="CR95" s="1321"/>
      <c r="CS95" s="792"/>
      <c r="CT95" s="793">
        <f t="array" ref="CT9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3 et plus],MATCH(ChoixRationLapins&amp;AlimentsRationLapinsMâles[[#This Row],[aliment]],Règles_lapins[Ration]&amp;Règles_lapins[Aliment],0)),0),0)*TotalLapins*SUM(NbreJoursNourrirAutres))</f>
        <v>0</v>
      </c>
      <c r="CU95" s="793">
        <f t="array" ref="CU9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1-3],MATCH(ChoixRationLapins&amp;AlimentsRationLapinsMâles[[#This Row],[aliment]],Règles_lapins[Ration]&amp;Règles_lapins[Aliment],0)),0),0)*TotalJeuneLapin_1_3_mois*SUM(NbreJoursNourrirAutres))</f>
        <v>0</v>
      </c>
      <c r="CV95" s="793">
        <f t="array" ref="CV95">IF(ChoixRationComplèteLapins=OUI,0,IFERROR(IF(OR(AND(INDEX(Règles_lapins[Specificite],MATCH(ChoixRationLapins&amp;AlimentsRationLapinsMâles[[#This Row],[aliment]],Règles_lapins[Ration]&amp;Règles_lapins[Aliment],0))="s1",IF(AlimentsRationLapinsMâles[[#This Row],[aliment]]=Spécificité1Lapins,1)),
AND(INDEX(Règles_lapins[Specificite],MATCH(ChoixRationLapins&amp;AlimentsRationLapinsMâles[[#This Row],[aliment]],Règles_lapins[Ration]&amp;Règles_lapins[Aliment],0))="s2",IF(AlimentsRationLapinsMâles[[#This Row],[aliment]]=Spécificité2Lapins,1)),
INDEX(Règles_lapins[Specificite],MATCH(ChoixRationLapins&amp;AlimentsRationLapinsMâles[[#This Row],[aliment]],Règles_lapins[Ration]&amp;Règles_lapins[Aliment],0))="c"),
INDEX(Règles_lapins[Valeur 0-1],MATCH(ChoixRationLapins&amp;AlimentsRationLapinsMâles[[#This Row],[aliment]],Règles_lapins[Ration]&amp;Règles_lapins[Aliment],0)),0),0)*TotalLapereauMale_0_1_mois*SUM(NbreJoursNourrirAutres))</f>
        <v>0</v>
      </c>
      <c r="CW95" s="819">
        <f>SUM(AlimentsRationLapinsMâles[[#This Row],[Valeur 3 et plus]:[Valeur 0-1]])</f>
        <v>0</v>
      </c>
      <c r="CX95" s="1321"/>
      <c r="CY95" s="1321"/>
      <c r="CZ95" s="792"/>
      <c r="DA95" s="793">
        <f t="array" ref="DA9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6 et plus],MATCH(ChoixRationVolailles&amp;AlimentsRationVolaillesMâles[[#This Row],[aliment]],Règles_volailles[Ration]&amp;Règles_volailles[Aliment],0)),0),0)*TotalCoqs*SUM(NbreJoursNourrirAutres))</f>
        <v>0</v>
      </c>
      <c r="DB95" s="793">
        <f t="array" ref="DB9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1-6],MATCH(ChoixRationVolailles&amp;AlimentsRationVolaillesMâles[[#This Row],[aliment]],Règles_volailles[Ration]&amp;Règles_volailles[Aliment],0)),0),0)*JeuneCoq_1_6_mois*SUM(NbreJoursNourrirAutres))</f>
        <v>0</v>
      </c>
      <c r="DC95" s="793">
        <f t="array" ref="DC95">IF(ChoixRationComplètePoules=OUI,0,IFERROR(IF(OR(AND(INDEX(Règles_volailles[Specificite],MATCH(ChoixRationVolailles&amp;AlimentsRationVolaillesMâles[[#This Row],[aliment]],Règles_volailles[Ration]&amp;Règles_volailles[Aliment],0))="s1",IF(AlimentsRationVolaillesMâles[[#This Row],[aliment]]=Spécificité1Volailles,1)),
AND(INDEX(Règles_volailles[Specificite],MATCH(ChoixRationVolailles&amp;AlimentsRationVolaillesMâles[[#This Row],[aliment]],Règles_volailles[Ration]&amp;Règles_volailles[Aliment],0))="s2",IF(AlimentsRationVolaillesMâles[[#This Row],[aliment]]=Spécificité2Volailles,1)),
INDEX(Règles_volailles[Specificite],MATCH(ChoixRationVolailles&amp;AlimentsRationVolaillesMâles[[#This Row],[aliment]],Règles_volailles[Ration]&amp;Règles_volailles[Aliment],0))="c"),
INDEX(Règles_volailles[Valeur 0-1],MATCH(ChoixRationVolailles&amp;AlimentsRationVolaillesMâles[[#This Row],[aliment]],Règles_volailles[Ration]&amp;Règles_volailles[Aliment],0)),0),0)*Total_poussin_mâle_0_1_mois*SUM(NbreJoursNourrirAutres))</f>
        <v>0</v>
      </c>
      <c r="DD95" s="819">
        <f>SUM(AlimentsRationVolaillesMâles[[#This Row],[Valeur 6 et plus]:[Valeur 0-1]])</f>
        <v>0</v>
      </c>
      <c r="DE95" s="1364"/>
      <c r="DF95" s="1321"/>
      <c r="DG95" s="788" t="str">
        <f t="shared" si="27"/>
        <v>Canola</v>
      </c>
      <c r="DH95" s="817">
        <f t="array" ref="DH9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95" s="817">
        <f t="array" ref="DI9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95" s="817">
        <f t="array" ref="DJ9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95" s="821">
        <f>SUM(AlimentsRationPintadesFemelles[[#This Row],[Valeur 6 et plus]:[Valeur 0-1]])</f>
        <v>0</v>
      </c>
      <c r="DL95" s="1321"/>
      <c r="DM95" s="1321"/>
      <c r="DN95" s="1176" t="s">
        <v>727</v>
      </c>
      <c r="DO95" s="1177" t="s">
        <v>733</v>
      </c>
      <c r="DP95" s="1177" t="s">
        <v>1252</v>
      </c>
      <c r="DQ95" s="1181">
        <v>20</v>
      </c>
      <c r="DR95" s="1181">
        <v>12</v>
      </c>
      <c r="DS95" s="1181">
        <v>8</v>
      </c>
      <c r="DT95" s="1243">
        <v>4</v>
      </c>
      <c r="DU95" s="1345"/>
      <c r="DV95" s="1075" t="str">
        <f t="shared" si="24"/>
        <v>Maïs ensilé</v>
      </c>
      <c r="DW95" s="1269">
        <f t="array" ref="DW95">SUM((IF(QualitéAlimentsFaonMâle_0_3_mois=BONNE,VLOOKUP("Maïs ensilé",AlimentsRationHivernaleDaims,8,FALSE),0)+(IF(QualitéAlimentsFaonFemelle_0_3_mois=BONNE,VLOOKUP("Maïs ensilé",AlimentsRationHivernaleDaims,8,FALSE),0)+(IF(QualitéAlimentsFaonMâle_3_6_mois=BONNE,VLOOKUP("Maïs ensilé",AlimentsRationHivernaleDaims,7,FALSE),0)+(IF(QualitéAlimentsFaonFemelle_3_6_mois=BONNE,VLOOKUP("Maïs ensilé",AlimentsRationHivernaleDaims,7,FALSE),0)+(IF(QualitéAlimentsFaonMâle_6_12_mois=BONNE,VLOOKUP("Maïs ensilé",AlimentsRationHivernaleDaims,6,FALSE),0)+(IF(QualitéAlimentsFaonFemelle_6_12_mois=BONNE,VLOOKUP("Maïs ensilé",AlimentsRationHivernaleDaims,6,FALSE),0)+(IF(QualitéAlimentsJeuneDaim_12_18_mois=BONNE,VLOOKUP("Maïs ensilé",AlimentsRationHivernaleDaims,5,FALSE),0)+(IF(QualitéAlimentsJeuneDaine_12_18_mois=BONNE,VLOOKUP("Maïs ensilé",AlimentsRationHivernaleDaims,5,FALSE),0)+(IF(QualitéAlimentsJeuneDaim_18_24_mois=BONNE,VLOOKUP("Maïs ensilé",AlimentsRationHivernaleDaims,4,FALSE),0)+(IF(QualitéAlimentsJeuneDaine_18_24_mois=BONNE,VLOOKUP("Maïs ensilé",AlimentsRationHivernaleDaims,4,FALSE),0)+(IF(QualitéAlimentsJeuneDaim_24_36_mois=BONNE,VLOOKUP("Maïs ensilé",AlimentsRationHivernaleDaims,3,FALSE),0)+(IF(QualitéAlimentsJeuneDaine_24_36_mois=BONNE,VLOOKUP("Maïs ensilé",AlimentsRationHivernaleDaims,3,FALSE),0)+(IF(QualitéAlimentsDaim=BONNE,VLOOKUP("Maïs ensilé",AlimentsRationHivernaleDaims,2,FALSE),0)+(IF(QualitéAlimentsDaine=BONNE,VLOOKUP("Maïs ensilé",AlimentsRationHivernaleDaims,2,FALSE),0))))))))))))))))</f>
        <v>0</v>
      </c>
      <c r="DX95" s="1269">
        <f t="array" ref="DX95">SUM((IF(QualitéAlimentsFaonMâle_0_3_mois=MOYENNE,VLOOKUP("Maïs ensilé",AlimentsRationHivernaleDaims,8,FALSE),0)+(IF(QualitéAlimentsFaonFemelle_0_3_mois=MOYENNE,VLOOKUP("Maïs ensilé",AlimentsRationHivernaleDaims,8,FALSE),0)+(IF(QualitéAlimentsFaonMâle_3_6_mois=MOYENNE,VLOOKUP("Maïs ensilé",AlimentsRationHivernaleDaims,7,FALSE),0)+(IF(QualitéAlimentsFaonFemelle_3_6_mois=MOYENNE,VLOOKUP("Maïs ensilé",AlimentsRationHivernaleDaims,7,FALSE),0)+(IF(QualitéAlimentsFaonMâle_6_12_mois=MOYENNE,VLOOKUP("Maïs ensilé",AlimentsRationHivernaleDaims,6,FALSE),0)+(IF(QualitéAlimentsFaonFemelle_6_12_mois=MOYENNE,VLOOKUP("Maïs ensilé",AlimentsRationHivernaleDaims,6,FALSE),0)+(IF(QualitéAlimentsJeuneDaim_12_18_mois=MOYENNE,VLOOKUP("Maïs ensilé",AlimentsRationHivernaleDaims,5,FALSE),0)+(IF(QualitéAlimentsJeuneDaine_12_18_mois=MOYENNE,VLOOKUP("Maïs ensilé",AlimentsRationHivernaleDaims,5,FALSE),0)+(IF(QualitéAlimentsJeuneDaim_18_24_mois=MOYENNE,VLOOKUP("Maïs ensilé",AlimentsRationHivernaleDaims,4,FALSE),0)+(IF(QualitéAlimentsJeuneDaine_18_24_mois=MOYENNE,VLOOKUP("Maïs ensilé",AlimentsRationHivernaleDaims,4,FALSE),0)+(IF(QualitéAlimentsJeuneDaim_24_36_mois=MOYENNE,VLOOKUP("Maïs ensilé",AlimentsRationHivernaleDaims,3,FALSE),0)+(IF(QualitéAlimentsJeuneDaine_24_36_mois=MOYENNE,VLOOKUP("Maïs ensilé",AlimentsRationHivernaleDaims,3,FALSE),0)+(IF(QualitéAlimentsDaim=MOYENNE,VLOOKUP("Maïs ensilé",AlimentsRationHivernaleDaims,2,FALSE),0)+(IF(QualitéAlimentsDaine=MOYENNE,VLOOKUP("Maïs ensilé",AlimentsRationHivernaleDaims,2,FALSE),0))))))))))))))))</f>
        <v>0</v>
      </c>
      <c r="DY95" s="1269">
        <f t="array" ref="DY95">SUM((IF(QualitéAlimentsFaonMâle_0_3_mois=MAUVAISE,VLOOKUP("Maïs ensilé",AlimentsRationHivernaleDaims,8,FALSE),0)+(IF(QualitéAlimentsFaonFemelle_0_3_mois=MAUVAISE,VLOOKUP("Maïs ensilé",AlimentsRationHivernaleDaims,8,FALSE),0)+(IF(QualitéAlimentsFaonMâle_3_6_mois=MAUVAISE,VLOOKUP("Maïs ensilé",AlimentsRationHivernaleDaims,7,FALSE),0)+(IF(QualitéAlimentsFaonFemelle_3_6_mois=MAUVAISE,VLOOKUP("Maïs ensilé",AlimentsRationHivernaleDaims,7,FALSE),0)+(IF(QualitéAlimentsFaonMâle_6_12_mois=MAUVAISE,VLOOKUP("Maïs ensilé",AlimentsRationHivernaleDaims,6,FALSE),0)+(IF(QualitéAlimentsFaonFemelle_6_12_mois=MAUVAISE,VLOOKUP("Maïs ensilé",AlimentsRationHivernaleDaims,6,FALSE),0)+(IF(QualitéAlimentsJeuneDaim_12_18_mois=MAUVAISE,VLOOKUP("Maïs ensilé",AlimentsRationHivernaleDaims,5,FALSE),0)+(IF(QualitéAlimentsJeuneDaine_12_18_mois=MAUVAISE,VLOOKUP("Maïs ensilé",AlimentsRationHivernaleDaims,5,FALSE),0)+(IF(QualitéAlimentsJeuneDaim_18_24_mois=MAUVAISE,VLOOKUP("Maïs ensilé",AlimentsRationHivernaleDaims,4,FALSE),0)+(IF(QualitéAlimentsJeuneDaine_18_24_mois=MAUVAISE,VLOOKUP("Maïs ensilé",AlimentsRationHivernaleDaims,4,FALSE),0)+(IF(QualitéAlimentsJeuneDaim_24_36_mois=MAUVAISE,VLOOKUP("Maïs ensilé",AlimentsRationHivernaleDaims,3,FALSE),0)+(IF(QualitéAlimentsJeuneDaine_24_36_mois=MAUVAISE,VLOOKUP("Maïs ensilé",AlimentsRationHivernaleDaims,3,FALSE),0)+(IF(QualitéAlimentsDaim=MAUVAISE,VLOOKUP("Maïs ensilé",AlimentsRationHivernaleDaims,2,FALSE),0)+(IF(QualitéAlimentsDaine=MAUVAISE,VLOOKUP("Maïs ensilé",AlimentsRationHivernaleDaims,2,FALSE),0))))))))))))))))</f>
        <v>0</v>
      </c>
      <c r="DZ95" s="1345"/>
      <c r="EA95" s="1345"/>
      <c r="EB95" s="1345"/>
      <c r="EC95" s="1345"/>
      <c r="ED95" s="1345"/>
      <c r="EE95" s="1345"/>
      <c r="EF95" s="1321"/>
      <c r="EG95" s="808" t="str">
        <f>EG53</f>
        <v>Avoine</v>
      </c>
      <c r="EH95" s="817">
        <f t="array" ref="EH9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95" s="817">
        <f t="array" ref="EI9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95" s="817">
        <f t="array" ref="EJ9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95" s="818">
        <f>SUM(AlimentsRationOiesFemelles[[#This Row],[Valeur 6 et plus]:[Valeur 0-3]])</f>
        <v>0</v>
      </c>
      <c r="EL95" s="1321"/>
      <c r="EM95" s="1321"/>
      <c r="EN95" s="823" t="str">
        <f t="shared" ref="EN95:EN132" si="29">EN53</f>
        <v>Betterave</v>
      </c>
      <c r="EO95" s="828">
        <f t="array" ref="EO95">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95" s="828">
        <f t="array" ref="EP95">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95" s="828">
        <f t="array" ref="EQ95">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95" s="829">
        <f>SUM(Ration_canards_Femelles[[#This Row],[Valeur 6 et plus]:[Valeur 0-3]])</f>
        <v>0</v>
      </c>
      <c r="ES95" s="1345"/>
      <c r="ET95" s="1321"/>
      <c r="EU95" s="1083"/>
      <c r="EV95" s="1283">
        <f t="array" ref="EV95">IF(OR(ChoixRationComplèteEtéChevauxSelle=OUI,ChoixRationComplèteEtéChevauxSelle="",AND(ChoixChevauxSellePréHiver=OUI,ChoixChevauxSellePréEté=OUI)),0,IFERROR(IF(OR(AND(INDEX(Règles_chevaux_selle[Specificite],MATCH(RationEtéChevauxSelle&amp;$EU95,Règles_chevaux_selle[Ration]&amp;Règles_chevaux_selle[Aliment],0))="s1",IF($EU95=Spécificité1ChevauxSelle,1)),
AND(INDEX(Règles_chevaux_selle[Specificite],MATCH(RationEtéChevauxSelle&amp;$EU95,Règles_chevaux_selle[Ration]&amp;Règles_chevaux_selle[Aliment],0))="s2",IF($EU95=Spécificité2ChevauxSelle,1)),
INDEX(Règles_chevaux_selle[Specificite],MATCH(RationEtéChevauxSelle&amp;$EU95,Règles_chevaux_selle[Ration]&amp;Règles_chevaux_selle[Aliment],0))="c"),
INDEX(Règles_chevaux_selle[Valeur 36 et plus],MATCH(RationEtéChevauxSelle&amp;$EU95,Règles_chevaux_selle[Ration]&amp;Règles_chevaux_selle[Aliment],0)),0),0)*TotalEtalonSelle*SUM(NbreJoursNourrirChevauxSelle))</f>
        <v>0</v>
      </c>
      <c r="EW95" s="1283">
        <f t="array" ref="EW95">IF(OR(ChoixRationComplèteEtéChevauxSelle=OUI,ChoixRationComplèteEtéChevauxSelle="",AND(ChoixChevauxSellePréHiver=OUI,ChoixChevauxSellePréEté=OUI)),0,IFERROR(IF(OR(AND(INDEX(Règles_chevaux_selle[Specificite],MATCH(RationEtéChevauxSelle&amp;$EU95,Règles_chevaux_selle[Ration]&amp;Règles_chevaux_selle[Aliment],0))="s1",IF($EU95=Spécificité1ChevauxSelle,1)),
AND(INDEX(Règles_chevaux_selle[Specificite],MATCH(RationEtéChevauxSelle&amp;$EU95,Règles_chevaux_selle[Ration]&amp;Règles_chevaux_selle[Aliment],0))="s2",IF($EU95=Spécificité2ChevauxSelle,1)),
INDEX(Règles_chevaux_selle[Specificite],MATCH(RationEtéChevauxSelle&amp;$EU95,Règles_chevaux_selle[Ration]&amp;Règles_chevaux_selle[Aliment],0))="c"),
INDEX(Règles_chevaux_selle[Valeur 24-36],MATCH(RationEtéChevauxSelle&amp;$EU95,Règles_chevaux_selle[Ration]&amp;Règles_chevaux_selle[Aliment],0)),0),0)*TotalJeuneEtalonSelle_24_36_mois*SUM(NbreJoursNourrirChevauxSelle))</f>
        <v>0</v>
      </c>
      <c r="EX95" s="1283">
        <f t="array" ref="EX95">IF(OR(ChoixRationComplèteEtéChevauxSelle=OUI,ChoixRationComplèteEtéChevauxSelle="",AND(ChoixChevauxSellePréHiver=OUI,ChoixChevauxSellePréEté=OUI)),0,IFERROR(IF(OR(AND(INDEX(Règles_chevaux_selle[Specificite],MATCH(RationEtéChevauxSelle&amp;$EU95,Règles_chevaux_selle[Ration]&amp;Règles_chevaux_selle[Aliment],0))="s1",IF($EU95=Spécificité1ChevauxSelle,1)),
AND(INDEX(Règles_chevaux_selle[Specificite],MATCH(RationEtéChevauxSelle&amp;$EU95,Règles_chevaux_selle[Ration]&amp;Règles_chevaux_selle[Aliment],0))="s2",IF($EU95=Spécificité2ChevauxSelle,1)),
INDEX(Règles_chevaux_selle[Specificite],MATCH(RationEtéChevauxSelle&amp;$EU95,Règles_chevaux_selle[Ration]&amp;Règles_chevaux_selle[Aliment],0))="c"),
INDEX(Règles_chevaux_selle[Valeur 12-24],MATCH(RationEtéChevauxSelle&amp;$EU95,Règles_chevaux_selle[Ration]&amp;Règles_chevaux_selle[Aliment],0)),0),0)*TotalJeuneEtalonSelle_12_24_mois*SUM(NbreJoursNourrirChevauxSelle))</f>
        <v>0</v>
      </c>
      <c r="EY95" s="1286">
        <f t="array" ref="EY95">IF(OR(ChoixRationComplèteEtéChevauxSelle=OUI,ChoixRationComplèteEtéChevauxSelle="",AND(ChoixChevauxSellePréHiver=OUI,ChoixChevauxSellePréEté=OUI)),0,IFERROR(IF(OR(AND(INDEX(Règles_chevaux_selle[Specificite],MATCH(RationEtéChevauxSelle&amp;$EU95,Règles_chevaux_selle[Ration]&amp;Règles_chevaux_selle[Aliment],0))="s1",IF($EU95=Spécificité1ChevauxSelle,1)),
AND(INDEX(Règles_chevaux_selle[Specificite],MATCH(RationEtéChevauxSelle&amp;$EU95,Règles_chevaux_selle[Ration]&amp;Règles_chevaux_selle[Aliment],0))="s2",IF($EU95=Spécificité2ChevauxSelle,1)),
INDEX(Règles_chevaux_selle[Specificite],MATCH(RationEtéChevauxSelle&amp;$EU95,Règles_chevaux_selle[Ration]&amp;Règles_chevaux_selle[Aliment],0))="c"),
INDEX(Règles_chevaux_selle[Valeur 0-12],MATCH(RationEtéChevauxSelle&amp;$EU95,Règles_chevaux_selle[Ration]&amp;Règles_chevaux_selle[Aliment],0)),0),0)*TotalPoulainSelle_0_12_mois*SUM(NbreJoursNourrirChevauxSelle))</f>
        <v>0</v>
      </c>
      <c r="EZ95" s="1286">
        <f t="shared" si="16"/>
        <v>0</v>
      </c>
      <c r="FA95" s="1345"/>
      <c r="FB95" s="1345"/>
      <c r="FC95" s="1321"/>
      <c r="FD95" s="1281" t="s">
        <v>1276</v>
      </c>
      <c r="FE95" s="1281" t="s">
        <v>1261</v>
      </c>
      <c r="FF95" s="1281" t="s">
        <v>1260</v>
      </c>
      <c r="FG95" s="1281" t="s">
        <v>1304</v>
      </c>
      <c r="FH95" s="1284" t="s">
        <v>1303</v>
      </c>
      <c r="FI95" s="1281" t="s">
        <v>1269</v>
      </c>
      <c r="FJ95" s="1345"/>
      <c r="FK95" s="1345"/>
      <c r="FL95" s="1345"/>
      <c r="FM95" s="1321"/>
      <c r="FN95" s="1082" t="str">
        <f>FN53</f>
        <v>Avoine</v>
      </c>
      <c r="FO95" s="1282">
        <f t="array" ref="FO95">IF(OR(ChoixRationComplèteEtéPoneys=OUI,ChoixRationComplèteEtéPoneys="",AND(ChoixPoneysPréHiver=OUI,ChoixPoneysPréEté=OUI)),0,IFERROR(IF(OR(AND(INDEX(Règles_poneys[Specificite],MATCH(RationEtéPoneys&amp;$FN95,Règles_poneys[Ration]&amp;Règles_poneys[Aliment],0))="s1",IF($FN95=Spécificité1Poneys,1)),
AND(INDEX(Règles_poneys[Specificite],MATCH(RationEtéPoneys&amp;$FN95,Règles_poneys[Ration]&amp;Règles_poneys[Aliment],0))="s2",IF($FN95=Spécificité2Poneys,1)),
INDEX(Règles_poneys[Specificite],MATCH(RationEtéPoneys&amp;$FN95,Règles_poneys[Ration]&amp;Règles_poneys[Aliment],0))="c"),
INDEX(Règles_poneys[Valeur 36 et plus],MATCH(RationEtéPoneys&amp;$FN95,Règles_poneys[Ration]&amp;Règles_poneys[Aliment],0)),0),0)*TotalJumentPoney*SUM(NbreJoursNourrirPoneys))</f>
        <v>0</v>
      </c>
      <c r="FP95" s="1282">
        <f t="array" ref="FP95">IF(OR(ChoixRationComplèteEtéPoneys=OUI,ChoixRationComplèteEtéPoneys="",AND(ChoixPoneysPréHiver=OUI,ChoixPoneysPréEté=OUI)),0,IFERROR(IF(OR(AND(INDEX(Règles_poneys[Specificite],MATCH(RationEtéPoneys&amp;$FN95,Règles_poneys[Ration]&amp;Règles_poneys[Aliment],0))="s1",IF($FN95=Spécificité1Poneys,1)),
AND(INDEX(Règles_poneys[Specificite],MATCH(RationEtéPoneys&amp;$FN95,Règles_poneys[Ration]&amp;Règles_poneys[Aliment],0))="s2",IF($FN95=Spécificité2Poneys,1)),
INDEX(Règles_poneys[Specificite],MATCH(RationEtéPoneys&amp;$FN95,Règles_poneys[Ration]&amp;Règles_poneys[Aliment],0))="c"),
INDEX(Règles_poneys[Valeur 36 et plus],MATCH(RationEtéPoneys&amp;$FN95,Règles_poneys[Ration]&amp;Règles_poneys[Aliment],0)),0),0)*TotalJeuneJumentPoney_24_36_mois*SUM(NbreJoursNourrirPoneys))</f>
        <v>0</v>
      </c>
      <c r="FQ95" s="1282">
        <f t="array" ref="FQ95">IF(OR(ChoixRationComplèteEtéPoneys=OUI,ChoixRationComplèteEtéPoneys="",AND(ChoixPoneysPréHiver=OUI,ChoixPoneysPréEté=OUI)),0,IFERROR(IF(OR(AND(INDEX(Règles_poneys[Specificite],MATCH(RationEtéPoneys&amp;$FN95,Règles_poneys[Ration]&amp;Règles_poneys[Aliment],0))="s1",IF($FN95=Spécificité1Poneys,1)),
AND(INDEX(Règles_poneys[Specificite],MATCH(RationEtéPoneys&amp;$FN95,Règles_poneys[Ration]&amp;Règles_poneys[Aliment],0))="s2",IF($FN95=Spécificité2Poneys,1)),
INDEX(Règles_poneys[Specificite],MATCH(RationEtéPoneys&amp;$FN95,Règles_poneys[Ration]&amp;Règles_poneys[Aliment],0))="c"),
INDEX(Règles_poneys[Valeur 36 et plus],MATCH(RationEtéPoneys&amp;$FN95,Règles_poneys[Ration]&amp;Règles_poneys[Aliment],0)),0),0)*TotalJeuneJumentPoney_12_24_mois*SUM(NbreJoursNourrirPoneys))</f>
        <v>0</v>
      </c>
      <c r="FR95" s="1282">
        <f t="array" ref="FR95">IF(OR(ChoixRationComplèteEtéPoneys=OUI,ChoixRationComplèteEtéPoneys="",AND(ChoixPoneysPréHiver=OUI,ChoixPoneysPréEté=OUI)),0,IFERROR(IF(OR(AND(INDEX(Règles_poneys[Specificite],MATCH(RationEtéPoneys&amp;$FN95,Règles_poneys[Ration]&amp;Règles_poneys[Aliment],0))="s1",IF($FN95=Spécificité1Poneys,1)),
AND(INDEX(Règles_poneys[Specificite],MATCH(RationEtéPoneys&amp;$FN95,Règles_poneys[Ration]&amp;Règles_poneys[Aliment],0))="s2",IF($FN95=Spécificité2Poneys,1)),
INDEX(Règles_poneys[Specificite],MATCH(RationEtéPoneys&amp;$FN95,Règles_poneys[Ration]&amp;Règles_poneys[Aliment],0))="c"),
INDEX(Règles_poneys[Valeur 36 et plus],MATCH(RationEtéPoneys&amp;$FN95,Règles_poneys[Ration]&amp;Règles_poneys[Aliment],0)),0),0)*TotalPoulichePoney_0_12_mois*SUM(NbreJoursNourrirPoneys))</f>
        <v>0</v>
      </c>
      <c r="FS95" s="1285">
        <f t="shared" ref="FS95:FS133" si="30">SUM($FO95:$FQ95)</f>
        <v>0</v>
      </c>
      <c r="FT95" s="1345"/>
      <c r="FU95" s="1345"/>
      <c r="FV95" s="1345"/>
      <c r="FW95" s="823" t="str">
        <f t="shared" si="28"/>
        <v>Canola</v>
      </c>
      <c r="FX95" s="828">
        <f t="array" ref="FX9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95" s="828">
        <f t="array" ref="FY9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95" s="828">
        <f t="array" ref="FZ9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95" s="828">
        <f t="array" ref="GA9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95" s="829">
        <f>SUM(AlimentsGavageCanards[[#This Row],[Valeur 3 et plus]:[Valeur 0-1]])</f>
        <v>0</v>
      </c>
      <c r="GC95" s="1321"/>
      <c r="GD95" s="1321"/>
      <c r="GE95" s="1321"/>
      <c r="GF95" s="1321"/>
      <c r="GG95" s="1321" t="s">
        <v>1349</v>
      </c>
      <c r="GH95" s="1321" t="s">
        <v>1349</v>
      </c>
      <c r="GI95" s="1321" t="s">
        <v>1349</v>
      </c>
      <c r="GJ95" s="1321" t="s">
        <v>1349</v>
      </c>
      <c r="GK95" s="1321" t="s">
        <v>1349</v>
      </c>
      <c r="GL95" s="1321" t="s">
        <v>1349</v>
      </c>
      <c r="GM95" s="1321" t="s">
        <v>1349</v>
      </c>
      <c r="GN95" s="1321" t="s">
        <v>1349</v>
      </c>
      <c r="GO95" s="1321" t="s">
        <v>1349</v>
      </c>
      <c r="GP95" s="1321" t="s">
        <v>1349</v>
      </c>
      <c r="GQ95" s="1321" t="s">
        <v>1349</v>
      </c>
      <c r="GR95" s="1321" t="s">
        <v>1349</v>
      </c>
      <c r="GS95" s="1321" t="s">
        <v>1349</v>
      </c>
      <c r="GT95" s="1321" t="s">
        <v>1349</v>
      </c>
      <c r="GU95" s="1321" t="s">
        <v>1349</v>
      </c>
      <c r="GV95" s="1321" t="s">
        <v>1349</v>
      </c>
      <c r="GW95" s="1321"/>
      <c r="GX95" s="1321"/>
      <c r="GY95" s="1082" t="s">
        <v>1648</v>
      </c>
      <c r="GZ95" s="1082"/>
      <c r="HA95" s="1082"/>
      <c r="HB95" s="1085">
        <f>SUM(HB82:HB94)</f>
        <v>0</v>
      </c>
      <c r="HC95" s="1321"/>
      <c r="HD95" s="1321"/>
      <c r="HE95" s="1321"/>
      <c r="HF95" s="1321"/>
      <c r="HG95" s="1321"/>
      <c r="HH95" s="1321"/>
      <c r="HI95" s="1321"/>
      <c r="HJ95" s="1321"/>
      <c r="HK95" s="1321"/>
      <c r="HL95" s="1321"/>
      <c r="HM95" s="1321"/>
      <c r="HN95" s="1336" t="s">
        <v>1627</v>
      </c>
      <c r="HO95" s="1336"/>
      <c r="HP95" s="1336"/>
      <c r="HQ95" s="1336"/>
      <c r="HR95" s="1336"/>
      <c r="HS95" s="1336"/>
      <c r="HT95" s="1336"/>
      <c r="HU95" s="1336"/>
      <c r="HV95" s="1336"/>
      <c r="HW95" s="1336"/>
      <c r="HX95" s="1336"/>
      <c r="HY95" s="1336"/>
      <c r="HZ95" s="1336"/>
      <c r="IA95" s="1336"/>
      <c r="IB95" s="1336"/>
      <c r="IC95" s="1321"/>
      <c r="ID95" s="1321"/>
      <c r="IE95" s="1321"/>
      <c r="IF95" s="1321"/>
      <c r="IG95" s="1321"/>
      <c r="IH95" s="1321"/>
      <c r="II95" s="1321"/>
      <c r="IJ95" s="1321"/>
      <c r="IK95" s="1321"/>
      <c r="IL95" s="1321"/>
      <c r="IM95" s="1321"/>
      <c r="IN95" s="1368"/>
    </row>
    <row r="96" spans="1:248" ht="12.75" customHeight="1" x14ac:dyDescent="0.2">
      <c r="A96" s="1307" t="s">
        <v>50</v>
      </c>
      <c r="B96" s="1241">
        <f t="shared" si="17"/>
        <v>1E-3</v>
      </c>
      <c r="C96" s="1321"/>
      <c r="D96" s="1321"/>
      <c r="E96" s="1321"/>
      <c r="F96" s="1149" t="s">
        <v>339</v>
      </c>
      <c r="G96" s="1149" t="s">
        <v>1175</v>
      </c>
      <c r="H96" s="1245" t="s">
        <v>1199</v>
      </c>
      <c r="I96" s="1245" t="s">
        <v>1197</v>
      </c>
      <c r="J96" s="1245" t="s">
        <v>1168</v>
      </c>
      <c r="K96" s="1245" t="s">
        <v>1210</v>
      </c>
      <c r="L96" s="1149">
        <v>0</v>
      </c>
      <c r="M96" s="1321"/>
      <c r="N96" s="1321"/>
      <c r="O96" s="802" t="s">
        <v>1455</v>
      </c>
      <c r="P96" s="802">
        <f>IF(SUM(ChoixEspèceAuPré)="",0,SUMIF(ChoixEspèceAuPré,Bovins,NbreFemelles_6_12MoisAuPréEté))</f>
        <v>0</v>
      </c>
      <c r="Q96" s="802">
        <f>IF(SUM(ChoixEspèceAuPré)="",0,SUMIF(ChoixEspèceAuPré,Ovins,NbreFemelles_6_12MoisAuPréEté))</f>
        <v>0</v>
      </c>
      <c r="R96" s="802">
        <f>IF(SUM(ChoixEspèceAuPré)="",0,SUMIF(ChoixEspèceAuPré,Caprins,NbreFemelles_6_12MoisAuPréEté))</f>
        <v>0</v>
      </c>
      <c r="S96" s="802">
        <f>IF(SUM(ChoixEspèceAuPré)="",0,SUMIF(ChoixEspèceAuPré,Bisons,NbreFemelles_6_12MoisAuPréEté))</f>
        <v>0</v>
      </c>
      <c r="T96" s="802">
        <f>IF(SUM(ChoixEspèceAuPré)="",0,SUMIF(ChoixEspèceAuPré,Daims,NbreFemelles_6_12MoisAuPréEté))</f>
        <v>0</v>
      </c>
      <c r="U96" s="802">
        <f>IF(SUM(ChoixEspèceAuPré)="",0,SUMIF(ChoixEspèceAuPré,ChevauxSelle,NbreFemelles_6_12MoisAuPréEté))</f>
        <v>0</v>
      </c>
      <c r="V96" s="802">
        <f>IF(SUM(ChoixEspèceAuPré)="",0,SUMIF(ChoixEspèceAuPré,ChevauxTrait,NbreFemelles_6_12MoisAuPréEté))</f>
        <v>0</v>
      </c>
      <c r="W96" s="802">
        <f>IF(SUM(ChoixEspèceAuPré)="",0,SUMIF(ChoixEspèceAuPré,Poneys,NbreFemelles_6_12MoisAuPréEté))</f>
        <v>0</v>
      </c>
      <c r="X96" s="1321"/>
      <c r="Y96" s="1081" t="s">
        <v>1687</v>
      </c>
      <c r="Z96" s="1081">
        <f>IF('coût alimentation'!$B$6=$Y$96,56,0)</f>
        <v>0</v>
      </c>
      <c r="AA96" s="1081">
        <f>IF(AND(ChoixBovinsPréEté="OUI",'coût alimentation'!$B$6=$Y$96),35,Z96)</f>
        <v>0</v>
      </c>
      <c r="AB96" s="1081">
        <f>IF('coût alimentation'!$B$6=$Y$96,42,0)</f>
        <v>0</v>
      </c>
      <c r="AC96" s="1081">
        <f>IF(AND(ChoixCaprinsPréEté="OUI",'coût alimentation'!$B$6=$Y$96),35,Z96)</f>
        <v>0</v>
      </c>
      <c r="AD96" s="1081">
        <f>IF(AND(ChoixOvinsPréEté="OUI",'coût alimentation'!$B$6=$Y$96),35,Z96)</f>
        <v>0</v>
      </c>
      <c r="AE96" s="1081">
        <f>IF(AND(ChoixChevauxSellePréEté="OUI",'coût alimentation'!$B$6=$Y$96),21,IF(Y96&lt;&gt;'coût alimentation'!$B$6,0,84))</f>
        <v>0</v>
      </c>
      <c r="AF96" s="1081">
        <f>IF(AND(ChoixChevauxTraitPréEté="OUI",'coût alimentation'!$B$6=$Y$96),21,IF(Y96&lt;&gt;'coût alimentation'!$B$6,0,84))</f>
        <v>0</v>
      </c>
      <c r="AG96" s="1081">
        <f>IF(AND(ChoixPoneysPréEté="OUI",'coût alimentation'!$B$6=$Y$96),21,IF(Y96&lt;&gt;'coût alimentation'!$B$6,0,84))</f>
        <v>0</v>
      </c>
      <c r="AH96" s="1321"/>
      <c r="AI96" s="1321"/>
      <c r="AJ96" s="1321"/>
      <c r="AK96" s="1321"/>
      <c r="AL96" s="1321"/>
      <c r="AM96" s="1321"/>
      <c r="AN96" s="1321"/>
      <c r="AO96" s="1321"/>
      <c r="AP96" s="1321"/>
      <c r="AQ96" s="1321"/>
      <c r="AR96" s="1321"/>
      <c r="AS96" s="1321"/>
      <c r="AT96" s="1321"/>
      <c r="AU96" s="1321"/>
      <c r="AV96" s="1321"/>
      <c r="AW96" s="1321"/>
      <c r="AX96" s="1321"/>
      <c r="AY96" s="1321"/>
      <c r="AZ96" s="1321"/>
      <c r="BA96" s="1321"/>
      <c r="BB96" s="1236" t="s">
        <v>729</v>
      </c>
      <c r="BC96" s="1190" t="s">
        <v>219</v>
      </c>
      <c r="BD96" s="1190" t="s">
        <v>1252</v>
      </c>
      <c r="BE96" s="1237">
        <v>56</v>
      </c>
      <c r="BF96" s="1237">
        <v>48</v>
      </c>
      <c r="BG96" s="1237">
        <v>32</v>
      </c>
      <c r="BH96" s="1237">
        <v>24</v>
      </c>
      <c r="BI96" s="1237">
        <v>16</v>
      </c>
      <c r="BJ96" s="1237">
        <v>8</v>
      </c>
      <c r="BK96" s="1238">
        <v>0</v>
      </c>
      <c r="BL96" s="1348"/>
      <c r="BM96" s="1075" t="str">
        <f t="shared" si="23"/>
        <v>Pomme de terre</v>
      </c>
      <c r="BN96" s="1075">
        <f t="array" ref="BN96">IF(Ration_hivernale_complète_bisons[somme]&gt;0,0,IFERROR(IF(OR(AND(INDEX(Règles_bison[Specificite],MATCH(ChoixRationBisons&amp;$BM96,Règles_bison[Ration]&amp;Règles_bison[Aliment],0))="s1",IF($BM96=ChoixSpécificité1Bisons,1)),
AND(INDEX(Règles_bison[Specificite],MATCH(ChoixRationBisons&amp;$BM96,Règles_bison[Ration]&amp;Règles_bison[Aliment],0))="s2",IF($BM96=ChoixSpécificité2Bisons,1)),INDEX(Règles_bison[Specificite],MATCH(ChoixRationBisons&amp;$BM96,Règles_bison[Ration]&amp;Règles_bison[Aliment],0))="c"),
INDEX(Règles_bison[Valeur 36 et plus],MATCH(ChoixRationBisons&amp;$BM96,Règles_bison[Ration]&amp;Règles_bison[Aliment],0)),0),0)*TotalBisonnes*SUM(NbreJoursNourrirBisonsDaims))</f>
        <v>0</v>
      </c>
      <c r="BO96" s="1075">
        <f t="array" ref="BO96">IF(Ration_hivernale_complète_bisons[somme]&gt;0,0,IFERROR(IF(OR(AND(INDEX(Règles_bison[Specificite],MATCH(ChoixRationBisons&amp;$BM96,Règles_bison[Ration]&amp;Règles_bison[Aliment],0))="s1",IF($BM96=ChoixSpécificité1Bisons,1)),
AND(INDEX(Règles_bison[Specificite],MATCH(ChoixRationBisons&amp;$BM96,Règles_bison[Ration]&amp;Règles_bison[Aliment],0))="s2",IF($BM96=ChoixSpécificité2Bisons,1)),INDEX(Règles_bison[Specificite],MATCH(ChoixRationBisons&amp;$BM96,Règles_bison[Ration]&amp;Règles_bison[Aliment],0))="c"),
INDEX(Règles_bison[Valeur 24-36],MATCH(ChoixRationBisons&amp;$BM96,Règles_bison[Ration]&amp;Règles_bison[Aliment],0)),0),0)*TotalBisonsFemelles_24_36_mois*SUM(NbreJoursNourrirBisonsDaims))</f>
        <v>0</v>
      </c>
      <c r="BP96" s="1075">
        <f t="array" ref="BP96">IF(Ration_hivernale_complète_bisons[somme]&gt;0,0,IFERROR(IF(OR(AND(INDEX(Règles_bison[Specificite],MATCH(ChoixRationBisons&amp;$BM96,Règles_bison[Ration]&amp;Règles_bison[Aliment],0))="s1",IF($BM96=ChoixSpécificité1Bisons,1)),
AND(INDEX(Règles_bison[Specificite],MATCH(ChoixRationBisons&amp;$BM96,Règles_bison[Ration]&amp;Règles_bison[Aliment],0))="s2",IF($BM96=ChoixSpécificité2Bisons,1)),INDEX(Règles_bison[Specificite],MATCH(ChoixRationBisons&amp;$BM96,Règles_bison[Ration]&amp;Règles_bison[Aliment],0))="c"),
INDEX(Règles_bison[Valeur 18-24],MATCH(ChoixRationBisons&amp;$BM96,Règles_bison[Ration]&amp;Règles_bison[Aliment],0)),0),0)*TotalBisonsFemelles_18_24_mois*SUM(NbreJoursNourrirBisonsDaims))</f>
        <v>0</v>
      </c>
      <c r="BQ96" s="1075">
        <f t="array" ref="BQ96">IF(Ration_hivernale_complète_bisons[somme]&gt;0,0,IFERROR(IF(OR(AND(INDEX(Règles_bison[Specificite],MATCH(ChoixRationBisons&amp;$BM96,Règles_bison[Ration]&amp;Règles_bison[Aliment],0))="s1",IF($BM96=ChoixSpécificité1Bisons,1)),
AND(INDEX(Règles_bison[Specificite],MATCH(ChoixRationBisons&amp;$BM96,Règles_bison[Ration]&amp;Règles_bison[Aliment],0))="s2",IF($BM96=ChoixSpécificité2Bisons,1)),INDEX(Règles_bison[Specificite],MATCH(ChoixRationBisons&amp;$BM96,Règles_bison[Ration]&amp;Règles_bison[Aliment],0))="c"),
INDEX(Règles_bison[Valeur 12-18],MATCH(ChoixRationBisons&amp;$BM96,Règles_bison[Ration]&amp;Règles_bison[Aliment],0)),0),0)*TotalBisonsFemelles_12_18_mois*SUM(NbreJoursNourrirBisonsDaims))</f>
        <v>0</v>
      </c>
      <c r="BR96" s="1075">
        <f t="array" ref="BR96">IF(Ration_hivernale_complète_bisons[somme]&gt;0,0,IFERROR(IF(OR(AND(INDEX(Règles_bison[Specificite],MATCH(ChoixRationBisons&amp;$BM96,Règles_bison[Ration]&amp;Règles_bison[Aliment],0))="s1",IF($BM96=ChoixSpécificité1Bisons,1)),
AND(INDEX(Règles_bison[Specificite],MATCH(ChoixRationBisons&amp;$BM96,Règles_bison[Ration]&amp;Règles_bison[Aliment],0))="s2",IF($BM96=ChoixSpécificité2Bisons,1)),INDEX(Règles_bison[Specificite],MATCH(ChoixRationBisons&amp;$BM96,Règles_bison[Ration]&amp;Règles_bison[Aliment],0))="c"),
INDEX(Règles_bison[Valeur 6-12],MATCH(ChoixRationBisons&amp;$BM96,Règles_bison[Ration]&amp;Règles_bison[Aliment],0)),0),0)*TotalBisonsFemelles_6_12_mois*SUM(NbreJoursNourrirBisonsDaims))</f>
        <v>0</v>
      </c>
      <c r="BS96" s="1075">
        <f t="array" ref="BS96">IF(Ration_hivernale_complète_bisons[somme]&gt;0,0,IFERROR(IF(OR(AND(INDEX(Règles_bison[Specificite],MATCH(ChoixRationBisons&amp;$BM96,Règles_bison[Ration]&amp;Règles_bison[Aliment],0))="s1",IF($BM96=ChoixSpécificité1Bisons,1)),
AND(INDEX(Règles_bison[Specificite],MATCH(ChoixRationBisons&amp;$BM96,Règles_bison[Ration]&amp;Règles_bison[Aliment],0))="s2",IF($BM96=ChoixSpécificité2Bisons,1)),INDEX(Règles_bison[Specificite],MATCH(ChoixRationBisons&amp;$BM96,Règles_bison[Ration]&amp;Règles_bison[Aliment],0))="c"),
INDEX(Règles_bison[Valeur 3-6],MATCH(ChoixRationBisons&amp;$BM96,Règles_bison[Ration]&amp;Règles_bison[Aliment],0)),0),0)*TotalBisonsFemelles_3_6_mois*SUM(NbreJoursNourrirBisonsDaims))</f>
        <v>0</v>
      </c>
      <c r="BT96" s="1075">
        <f t="array" ref="BT96">IF(Ration_hivernale_complète_bisons[somme]&gt;0,0,IFERROR(IF(OR(AND(INDEX(Règles_bison[Specificite],MATCH(ChoixRationBisons&amp;$BM96,Règles_bison[Ration]&amp;Règles_bison[Aliment],0))="s1",IF($BM96=ChoixSpécificité1Bisons,1)),
AND(INDEX(Règles_bison[Specificite],MATCH(ChoixRationBisons&amp;$BM96,Règles_bison[Ration]&amp;Règles_bison[Aliment],0))="s2",IF($BM96=ChoixSpécificité2Bisons,1)),INDEX(Règles_bison[Specificite],MATCH(ChoixRationBisons&amp;$BM96,Règles_bison[Ration]&amp;Règles_bison[Aliment],0))="c"),
INDEX(Règles_bison[Valeur 0-3],MATCH(ChoixRationBisons&amp;$BM96,Règles_bison[Ration]&amp;Règles_bison[Aliment],0)),0),0)*TotalBisonsFemelles_0_3_mois*SUM(NbreJoursNourrirBisonsDaims))</f>
        <v>0</v>
      </c>
      <c r="BU96" s="1075">
        <f t="shared" si="22"/>
        <v>0</v>
      </c>
      <c r="BV96" s="1346"/>
      <c r="BW96" s="1346"/>
      <c r="BX96" s="1176" t="s">
        <v>765</v>
      </c>
      <c r="BY96" s="1177" t="s">
        <v>1271</v>
      </c>
      <c r="BZ96" s="1177" t="s">
        <v>1252</v>
      </c>
      <c r="CA96" s="1177">
        <v>0.08</v>
      </c>
      <c r="CB96" s="1177">
        <v>0.04</v>
      </c>
      <c r="CC96" s="1177">
        <v>0.04</v>
      </c>
      <c r="CD96" s="1199">
        <v>0.04</v>
      </c>
      <c r="CE96" s="1350"/>
      <c r="CF96" s="1350"/>
      <c r="CG96" s="1350"/>
      <c r="CH96" s="1350"/>
      <c r="CI96" s="1321"/>
      <c r="CJ96" s="808" t="str">
        <f t="shared" si="26"/>
        <v>concentré jeunes lapins</v>
      </c>
      <c r="CK96" s="788">
        <f t="array" ref="CK9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96" s="788">
        <f t="array" ref="CL9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96" s="788">
        <f t="array" ref="CM9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96" s="788">
        <f t="array" ref="CN9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96" s="788">
        <f t="array" ref="CO9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96" s="812">
        <f>SUM(AlimentsRationPorcinsFemelles[[#This Row],[Valeur 12 et plus]:[Valeur 0-1]])</f>
        <v>0</v>
      </c>
      <c r="CQ96" s="1345"/>
      <c r="CR96" s="1321"/>
      <c r="CS96" s="1336"/>
      <c r="CT96" s="1341"/>
      <c r="CU96" s="1341"/>
      <c r="CV96" s="1341"/>
      <c r="CW96" s="1336"/>
      <c r="CX96" s="1321"/>
      <c r="CY96" s="1321"/>
      <c r="CZ96" s="1336"/>
      <c r="DA96" s="1336"/>
      <c r="DB96" s="1336"/>
      <c r="DC96" s="1336"/>
      <c r="DD96" s="1336"/>
      <c r="DE96" s="1321"/>
      <c r="DF96" s="1321"/>
      <c r="DG96" s="788" t="str">
        <f t="shared" si="27"/>
        <v>Colza</v>
      </c>
      <c r="DH96" s="817">
        <f t="array" ref="DH9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96" s="817">
        <f t="array" ref="DI9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96" s="817">
        <f t="array" ref="DJ9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96" s="821">
        <f>SUM(AlimentsRationPintadesFemelles[[#This Row],[Valeur 6 et plus]:[Valeur 0-1]])</f>
        <v>0</v>
      </c>
      <c r="DL96" s="1321"/>
      <c r="DM96" s="1321"/>
      <c r="DN96" s="1176" t="s">
        <v>729</v>
      </c>
      <c r="DO96" s="1177" t="s">
        <v>723</v>
      </c>
      <c r="DP96" s="1177" t="s">
        <v>1252</v>
      </c>
      <c r="DQ96" s="1181"/>
      <c r="DR96" s="1181"/>
      <c r="DS96" s="1181"/>
      <c r="DT96" s="1243"/>
      <c r="DU96" s="1345"/>
      <c r="DV96" s="1076" t="str">
        <f t="shared" si="24"/>
        <v>Maïs grain</v>
      </c>
      <c r="DW96" s="1267">
        <f t="array" ref="DW96">SUM((IF(QualitéAlimentsFaonMâle_0_3_mois=BONNE,VLOOKUP("Maïs grain",AlimentsRationHivernaleDaims,8,FALSE),0)+(IF(QualitéAlimentsFaonFemelle_0_3_mois=BONNE,VLOOKUP("Maïs grain",AlimentsRationHivernaleDaims,8,FALSE),0)+(IF(QualitéAlimentsFaonMâle_3_6_mois=BONNE,VLOOKUP("Maïs grain",AlimentsRationHivernaleDaims,7,FALSE),0)+(IF(QualitéAlimentsFaonFemelle_3_6_mois=BONNE,VLOOKUP("Maïs grain",AlimentsRationHivernaleDaims,7,FALSE),0)+(IF(QualitéAlimentsFaonMâle_6_12_mois=BONNE,VLOOKUP("Maïs grain",AlimentsRationHivernaleDaims,6,FALSE),0)+(IF(QualitéAlimentsFaonFemelle_6_12_mois=BONNE,VLOOKUP("Maïs grain",AlimentsRationHivernaleDaims,6,FALSE),0)+(IF(QualitéAlimentsJeuneDaim_12_18_mois=BONNE,VLOOKUP("Maïs grain",AlimentsRationHivernaleDaims,5,FALSE),0)+(IF(QualitéAlimentsJeuneDaine_12_18_mois=BONNE,VLOOKUP("Maïs grain",AlimentsRationHivernaleDaims,5,FALSE),0)+(IF(QualitéAlimentsJeuneDaim_18_24_mois=BONNE,VLOOKUP("Maïs grain",AlimentsRationHivernaleDaims,4,FALSE),0)+(IF(QualitéAlimentsJeuneDaine_18_24_mois=BONNE,VLOOKUP("Maïs grain",AlimentsRationHivernaleDaims,4,FALSE),0)+(IF(QualitéAlimentsJeuneDaim_24_36_mois=BONNE,VLOOKUP("Maïs grain",AlimentsRationHivernaleDaims,3,FALSE),0)+(IF(QualitéAlimentsJeuneDaine_24_36_mois=BONNE,VLOOKUP("Maïs grain",AlimentsRationHivernaleDaims,3,FALSE),0)+(IF(QualitéAlimentsDaim=BONNE,VLOOKUP("Maïs grain",AlimentsRationHivernaleDaims,2,FALSE),0)+(IF(QualitéAlimentsDaine=BONNE,VLOOKUP("Maïs grain",AlimentsRationHivernaleDaims,2,FALSE),0))))))))))))))))</f>
        <v>0</v>
      </c>
      <c r="DX96" s="1267">
        <f t="array" ref="DX96">SUM((IF(QualitéAlimentsFaonMâle_0_3_mois=MOYENNE,VLOOKUP("Maïs grain",AlimentsRationHivernaleDaims,8,FALSE),0)+(IF(QualitéAlimentsFaonFemelle_0_3_mois=MOYENNE,VLOOKUP("Maïs grain",AlimentsRationHivernaleDaims,8,FALSE),0)+(IF(QualitéAlimentsFaonMâle_3_6_mois=MOYENNE,VLOOKUP("Maïs grain",AlimentsRationHivernaleDaims,7,FALSE),0)+(IF(QualitéAlimentsFaonFemelle_3_6_mois=MOYENNE,VLOOKUP("Maïs grain",AlimentsRationHivernaleDaims,7,FALSE),0)+(IF(QualitéAlimentsFaonMâle_6_12_mois=MOYENNE,VLOOKUP("Maïs grain",AlimentsRationHivernaleDaims,6,FALSE),0)+(IF(QualitéAlimentsFaonFemelle_6_12_mois=MOYENNE,VLOOKUP("Maïs grain",AlimentsRationHivernaleDaims,6,FALSE),0)+(IF(QualitéAlimentsJeuneDaim_12_18_mois=MOYENNE,VLOOKUP("Maïs grain",AlimentsRationHivernaleDaims,5,FALSE),0)+(IF(QualitéAlimentsJeuneDaine_12_18_mois=MOYENNE,VLOOKUP("Maïs grain",AlimentsRationHivernaleDaims,5,FALSE),0)+(IF(QualitéAlimentsJeuneDaim_18_24_mois=MOYENNE,VLOOKUP("Maïs grain",AlimentsRationHivernaleDaims,4,FALSE),0)+(IF(QualitéAlimentsJeuneDaine_18_24_mois=MOYENNE,VLOOKUP("Maïs grain",AlimentsRationHivernaleDaims,4,FALSE),0)+(IF(QualitéAlimentsJeuneDaim_24_36_mois=MOYENNE,VLOOKUP("Maïs grain",AlimentsRationHivernaleDaims,3,FALSE),0)+(IF(QualitéAlimentsJeuneDaine_24_36_mois=MOYENNE,VLOOKUP("Maïs grain",AlimentsRationHivernaleDaims,3,FALSE),0)+(IF(QualitéAlimentsDaim=MOYENNE,VLOOKUP("Maïs grain",AlimentsRationHivernaleDaims,2,FALSE),0)+(IF(QualitéAlimentsDaine=MOYENNE,VLOOKUP("Maïs grain",AlimentsRationHivernaleDaims,2,FALSE),0))))))))))))))))</f>
        <v>0</v>
      </c>
      <c r="DY96" s="1267">
        <f t="array" ref="DY96">SUM((IF(QualitéAlimentsFaonMâle_0_3_mois=MAUVAISE,VLOOKUP("Maïs grain",AlimentsRationHivernaleDaims,8,FALSE),0)+(IF(QualitéAlimentsFaonFemelle_0_3_mois=MAUVAISE,VLOOKUP("Maïs grain",AlimentsRationHivernaleDaims,8,FALSE),0)+(IF(QualitéAlimentsFaonMâle_3_6_mois=MAUVAISE,VLOOKUP("Maïs grain",AlimentsRationHivernaleDaims,7,FALSE),0)+(IF(QualitéAlimentsFaonFemelle_3_6_mois=MAUVAISE,VLOOKUP("Maïs grain",AlimentsRationHivernaleDaims,7,FALSE),0)+(IF(QualitéAlimentsFaonMâle_6_12_mois=MAUVAISE,VLOOKUP("Maïs grain",AlimentsRationHivernaleDaims,6,FALSE),0)+(IF(QualitéAlimentsFaonFemelle_6_12_mois=MAUVAISE,VLOOKUP("Maïs grain",AlimentsRationHivernaleDaims,6,FALSE),0)+(IF(QualitéAlimentsJeuneDaim_12_18_mois=MAUVAISE,VLOOKUP("Maïs grain",AlimentsRationHivernaleDaims,5,FALSE),0)+(IF(QualitéAlimentsJeuneDaine_12_18_mois=MAUVAISE,VLOOKUP("Maïs grain",AlimentsRationHivernaleDaims,5,FALSE),0)+(IF(QualitéAlimentsJeuneDaim_18_24_mois=MAUVAISE,VLOOKUP("Maïs grain",AlimentsRationHivernaleDaims,4,FALSE),0)+(IF(QualitéAlimentsJeuneDaine_18_24_mois=MAUVAISE,VLOOKUP("Maïs grain",AlimentsRationHivernaleDaims,4,FALSE),0)+(IF(QualitéAlimentsJeuneDaim_24_36_mois=MAUVAISE,VLOOKUP("Maïs grain",AlimentsRationHivernaleDaims,3,FALSE),0)+(IF(QualitéAlimentsJeuneDaine_24_36_mois=MAUVAISE,VLOOKUP("Maïs grain",AlimentsRationHivernaleDaims,3,FALSE),0)+(IF(QualitéAlimentsDaim=MAUVAISE,VLOOKUP("Maïs grain",AlimentsRationHivernaleDaims,2,FALSE),0)+(IF(QualitéAlimentsDaine=MAUVAISE,VLOOKUP("Maïs grain",AlimentsRationHivernaleDaims,2,FALSE),0))))))))))))))))</f>
        <v>0</v>
      </c>
      <c r="DZ96" s="1345"/>
      <c r="EA96" s="1345"/>
      <c r="EB96" s="1345"/>
      <c r="EC96" s="1345"/>
      <c r="ED96" s="1345"/>
      <c r="EE96" s="1345"/>
      <c r="EF96" s="1321"/>
      <c r="EG96" s="808" t="str">
        <f t="shared" ref="EG96:EG133" si="31">EG54</f>
        <v>Betterave</v>
      </c>
      <c r="EH96" s="817">
        <f t="array" ref="EH96">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96" s="817">
        <f t="array" ref="EI96">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96" s="817">
        <f t="array" ref="EJ96">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96" s="818">
        <f>SUM(AlimentsRationOiesFemelles[[#This Row],[Valeur 6 et plus]:[Valeur 0-3]])</f>
        <v>0</v>
      </c>
      <c r="EL96" s="1345"/>
      <c r="EM96" s="1321"/>
      <c r="EN96" s="823" t="str">
        <f t="shared" si="29"/>
        <v>Blé</v>
      </c>
      <c r="EO96" s="828">
        <f t="array" ref="EO9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96" s="828">
        <f t="array" ref="EP9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96" s="828">
        <f t="array" ref="EQ9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96" s="829">
        <f>SUM(Ration_canards_Femelles[[#This Row],[Valeur 6 et plus]:[Valeur 0-3]])</f>
        <v>0</v>
      </c>
      <c r="ES96" s="1345"/>
      <c r="ET96" s="1321"/>
      <c r="EU96" s="1082"/>
      <c r="EV96" s="1282">
        <f t="array" ref="EV96">IF(OR(ChoixRationComplèteEtéChevauxSelle=OUI,ChoixRationComplèteEtéChevauxSelle="",AND(ChoixChevauxSellePréHiver=OUI,ChoixChevauxSellePréEté=OUI)),0,IFERROR(IF(OR(AND(INDEX(Règles_chevaux_selle[Specificite],MATCH(RationEtéChevauxSelle&amp;$EU96,Règles_chevaux_selle[Ration]&amp;Règles_chevaux_selle[Aliment],0))="s1",IF($EU96=Spécificité1ChevauxSelle,1)),
AND(INDEX(Règles_chevaux_selle[Specificite],MATCH(RationEtéChevauxSelle&amp;$EU96,Règles_chevaux_selle[Ration]&amp;Règles_chevaux_selle[Aliment],0))="s2",IF($EU96=Spécificité2ChevauxSelle,1)),
INDEX(Règles_chevaux_selle[Specificite],MATCH(RationEtéChevauxSelle&amp;$EU96,Règles_chevaux_selle[Ration]&amp;Règles_chevaux_selle[Aliment],0))="c"),
INDEX(Règles_chevaux_selle[Valeur 36 et plus],MATCH(RationEtéChevauxSelle&amp;$EU96,Règles_chevaux_selle[Ration]&amp;Règles_chevaux_selle[Aliment],0)),0),0)*TotalEtalonSelle*SUM(NbreJoursNourrirChevauxSelle))</f>
        <v>0</v>
      </c>
      <c r="EW96" s="1282">
        <f t="array" ref="EW96">IF(OR(ChoixRationComplèteEtéChevauxSelle=OUI,ChoixRationComplèteEtéChevauxSelle="",AND(ChoixChevauxSellePréHiver=OUI,ChoixChevauxSellePréEté=OUI)),0,IFERROR(IF(OR(AND(INDEX(Règles_chevaux_selle[Specificite],MATCH(RationEtéChevauxSelle&amp;$EU96,Règles_chevaux_selle[Ration]&amp;Règles_chevaux_selle[Aliment],0))="s1",IF($EU96=Spécificité1ChevauxSelle,1)),
AND(INDEX(Règles_chevaux_selle[Specificite],MATCH(RationEtéChevauxSelle&amp;$EU96,Règles_chevaux_selle[Ration]&amp;Règles_chevaux_selle[Aliment],0))="s2",IF($EU96=Spécificité2ChevauxSelle,1)),
INDEX(Règles_chevaux_selle[Specificite],MATCH(RationEtéChevauxSelle&amp;$EU96,Règles_chevaux_selle[Ration]&amp;Règles_chevaux_selle[Aliment],0))="c"),
INDEX(Règles_chevaux_selle[Valeur 24-36],MATCH(RationEtéChevauxSelle&amp;$EU96,Règles_chevaux_selle[Ration]&amp;Règles_chevaux_selle[Aliment],0)),0),0)*TotalJeuneEtalonSelle_24_36_mois*SUM(NbreJoursNourrirChevauxSelle))</f>
        <v>0</v>
      </c>
      <c r="EX96" s="1282">
        <f t="array" ref="EX96">IF(OR(ChoixRationComplèteEtéChevauxSelle=OUI,ChoixRationComplèteEtéChevauxSelle="",AND(ChoixChevauxSellePréHiver=OUI,ChoixChevauxSellePréEté=OUI)),0,IFERROR(IF(OR(AND(INDEX(Règles_chevaux_selle[Specificite],MATCH(RationEtéChevauxSelle&amp;$EU96,Règles_chevaux_selle[Ration]&amp;Règles_chevaux_selle[Aliment],0))="s1",IF($EU96=Spécificité1ChevauxSelle,1)),
AND(INDEX(Règles_chevaux_selle[Specificite],MATCH(RationEtéChevauxSelle&amp;$EU96,Règles_chevaux_selle[Ration]&amp;Règles_chevaux_selle[Aliment],0))="s2",IF($EU96=Spécificité2ChevauxSelle,1)),
INDEX(Règles_chevaux_selle[Specificite],MATCH(RationEtéChevauxSelle&amp;$EU96,Règles_chevaux_selle[Ration]&amp;Règles_chevaux_selle[Aliment],0))="c"),
INDEX(Règles_chevaux_selle[Valeur 12-24],MATCH(RationEtéChevauxSelle&amp;$EU96,Règles_chevaux_selle[Ration]&amp;Règles_chevaux_selle[Aliment],0)),0),0)*TotalJeuneEtalonSelle_12_24_mois*SUM(NbreJoursNourrirChevauxSelle))</f>
        <v>0</v>
      </c>
      <c r="EY96" s="1285">
        <f t="array" ref="EY96">IF(OR(ChoixRationComplèteEtéChevauxSelle=OUI,ChoixRationComplèteEtéChevauxSelle="",AND(ChoixChevauxSellePréHiver=OUI,ChoixChevauxSellePréEté=OUI)),0,IFERROR(IF(OR(AND(INDEX(Règles_chevaux_selle[Specificite],MATCH(RationEtéChevauxSelle&amp;$EU96,Règles_chevaux_selle[Ration]&amp;Règles_chevaux_selle[Aliment],0))="s1",IF($EU96=Spécificité1ChevauxSelle,1)),
AND(INDEX(Règles_chevaux_selle[Specificite],MATCH(RationEtéChevauxSelle&amp;$EU96,Règles_chevaux_selle[Ration]&amp;Règles_chevaux_selle[Aliment],0))="s2",IF($EU96=Spécificité2ChevauxSelle,1)),
INDEX(Règles_chevaux_selle[Specificite],MATCH(RationEtéChevauxSelle&amp;$EU96,Règles_chevaux_selle[Ration]&amp;Règles_chevaux_selle[Aliment],0))="c"),
INDEX(Règles_chevaux_selle[Valeur 0-12],MATCH(RationEtéChevauxSelle&amp;$EU96,Règles_chevaux_selle[Ration]&amp;Règles_chevaux_selle[Aliment],0)),0),0)*TotalPoulainSelle_0_12_mois*SUM(NbreJoursNourrirChevauxSelle))</f>
        <v>0</v>
      </c>
      <c r="EZ96" s="1285">
        <f t="shared" si="16"/>
        <v>0</v>
      </c>
      <c r="FA96" s="1345"/>
      <c r="FB96" s="1345"/>
      <c r="FC96" s="1321"/>
      <c r="FD96" s="1082" t="str">
        <f>FD54</f>
        <v>Avoine</v>
      </c>
      <c r="FE96" s="1282">
        <f t="array" ref="FE96">IF(OR(ChoixRationComplèteEtéChevauxTrait=OUI,ChoixRationComplèteEtéChevauxTrait="",AND(ChoixChevauxTraitPréHiver=OUI,ChoixChevauxTraitPréEté=OUI)),0,IFERROR(IF(OR(AND(INDEX(Règles_chevaux_trait[Specificite],MATCH(RationEtéChevauxTrait&amp;$FD96,Règles_chevaux_trait[Ration]&amp;Règles_chevaux_trait[Aliment],0))="s1",IF($FD96=Spécificité1ChevauxTrait,1)),
AND(INDEX(Règles_chevaux_trait[Specificite],MATCH(RationEtéChevauxTrait&amp;$FD96,Règles_chevaux_trait[Ration]&amp;Règles_chevaux_trait[Aliment],0))="s2",IF($FD96=Spécificité2ChevauxTrait,1)),
INDEX(Règles_chevaux_trait[Specificite],MATCH(RationEtéChevauxTrait&amp;$FD96,Règles_chevaux_trait[Ration]&amp;Règles_chevaux_trait[Aliment],0))="c"),
INDEX(Règles_chevaux_trait[Valeur 36 et plus],MATCH(RationEtéChevauxTrait&amp;$FD96,Règles_chevaux_trait[Ration]&amp;Règles_chevaux_trait[Aliment],0)),0),0)*TotalJumentTrait*SUM(NbreJoursNourrirChevauxTrait))</f>
        <v>0</v>
      </c>
      <c r="FF96" s="1282">
        <f t="array" ref="FF96">IF(OR(ChoixRationComplèteEtéChevauxTrait=OUI,ChoixRationComplèteEtéChevauxTrait="",AND(ChoixChevauxTraitPréHiver=OUI,ChoixChevauxTraitPréEté=OUI)),0,IFERROR(IF(OR(AND(INDEX(Règles_chevaux_trait[Specificite],MATCH(RationEtéChevauxTrait&amp;$FD96,Règles_chevaux_trait[Ration]&amp;Règles_chevaux_trait[Aliment],0))="s1",IF($FD96=Spécificité1ChevauxTrait,1)),
AND(INDEX(Règles_chevaux_trait[Specificite],MATCH(RationEtéChevauxTrait&amp;$FD96,Règles_chevaux_trait[Ration]&amp;Règles_chevaux_trait[Aliment],0))="s2",IF($FD96=Spécificité2ChevauxTrait,1)),
INDEX(Règles_chevaux_trait[Specificite],MATCH(RationEtéChevauxTrait&amp;$FD96,Règles_chevaux_trait[Ration]&amp;Règles_chevaux_trait[Aliment],0))="c"),
INDEX(Règles_chevaux_trait[Valeur 24-36],MATCH(RationEtéChevauxTrait&amp;$FD96,Règles_chevaux_trait[Ration]&amp;Règles_chevaux_trait[Aliment],0)),0),0)*TotalJeuneJumentTrait_24_36_mois*SUM(NbreJoursNourrirChevauxTrait))</f>
        <v>0</v>
      </c>
      <c r="FG96" s="1282">
        <f t="array" ref="FG96">IF(OR(ChoixRationComplèteEtéChevauxTrait=OUI,ChoixRationComplèteEtéChevauxTrait="",AND(ChoixChevauxTraitPréHiver=OUI,ChoixChevauxTraitPréEté=OUI)),0,IFERROR(IF(OR(AND(INDEX(Règles_chevaux_trait[Specificite],MATCH(RationEtéChevauxTrait&amp;$FD96,Règles_chevaux_trait[Ration]&amp;Règles_chevaux_trait[Aliment],0))="s1",IF($FD96=Spécificité1ChevauxTrait,1)),
AND(INDEX(Règles_chevaux_trait[Specificite],MATCH(RationEtéChevauxTrait&amp;$FD96,Règles_chevaux_trait[Ration]&amp;Règles_chevaux_trait[Aliment],0))="s2",IF($FD96=Spécificité2ChevauxTrait,1)),
INDEX(Règles_chevaux_trait[Specificite],MATCH(RationEtéChevauxTrait&amp;$FD96,Règles_chevaux_trait[Ration]&amp;Règles_chevaux_trait[Aliment],0))="c"),
INDEX(Règles_chevaux_trait[Valeur 12-24],MATCH(RationEtéChevauxTrait&amp;$FD96,Règles_chevaux_trait[Ration]&amp;Règles_chevaux_trait[Aliment],0)),0),0)*TotalJeuneJumentTrait_12_24_mois*SUM(NbreJoursNourrirChevauxTrait))</f>
        <v>0</v>
      </c>
      <c r="FH96" s="1282">
        <f t="array" ref="FH96">IF(OR(ChoixRationComplèteEtéChevauxTrait=OUI,ChoixRationComplèteEtéChevauxTrait="",AND(ChoixChevauxTraitPréHiver=OUI,ChoixChevauxTraitPréEté=OUI)),0,IFERROR(IF(OR(AND(INDEX(Règles_chevaux_trait[Specificite],MATCH(RationEtéChevauxTrait&amp;$FD96,Règles_chevaux_trait[Ration]&amp;Règles_chevaux_trait[Aliment],0))="s1",IF($FD96=Spécificité1ChevauxTrait,1)),
AND(INDEX(Règles_chevaux_trait[Specificite],MATCH(RationEtéChevauxTrait&amp;$FD96,Règles_chevaux_trait[Ration]&amp;Règles_chevaux_trait[Aliment],0))="s2",IF($FD96=Spécificité2ChevauxTrait,1)),
INDEX(Règles_chevaux_trait[Specificite],MATCH(RationEtéChevauxTrait&amp;$FD96,Règles_chevaux_trait[Ration]&amp;Règles_chevaux_trait[Aliment],0))="c"),
INDEX(Règles_chevaux_trait[Valeur 0-12],MATCH(RationEtéChevauxTrait&amp;$FD96,Règles_chevaux_trait[Ration]&amp;Règles_chevaux_trait[Aliment],0)),0),0)*TotalPoulicheTrait_0_12_mois*SUM(NbreJoursNourrirChevauxTrait))</f>
        <v>0</v>
      </c>
      <c r="FI96" s="1285">
        <f t="shared" ref="FI96:FI134" si="32">SUM($FE96:$FH96)</f>
        <v>0</v>
      </c>
      <c r="FJ96" s="1345"/>
      <c r="FK96" s="1345"/>
      <c r="FL96" s="1345"/>
      <c r="FM96" s="1321"/>
      <c r="FN96" s="1083" t="str">
        <f t="shared" ref="FN96:FN133" si="33">FN54</f>
        <v>Betterave</v>
      </c>
      <c r="FO96" s="1283">
        <f t="array" ref="FO96">IF(OR(ChoixRationComplèteEtéPoneys=OUI,ChoixRationComplèteEtéPoneys="",AND(ChoixPoneysPréHiver=OUI,ChoixPoneysPréEté=OUI)),0,IFERROR(IF(OR(AND(INDEX(Règles_poneys[Specificite],MATCH(RationEtéPoneys&amp;$FN96,Règles_poneys[Ration]&amp;Règles_poneys[Aliment],0))="s1",IF($FN96=Spécificité1Poneys,1)),
AND(INDEX(Règles_poneys[Specificite],MATCH(RationEtéPoneys&amp;$FN96,Règles_poneys[Ration]&amp;Règles_poneys[Aliment],0))="s2",IF($FN96=Spécificité2Poneys,1)),
INDEX(Règles_poneys[Specificite],MATCH(RationEtéPoneys&amp;$FN96,Règles_poneys[Ration]&amp;Règles_poneys[Aliment],0))="c"),
INDEX(Règles_poneys[Valeur 36 et plus],MATCH(RationEtéPoneys&amp;$FN96,Règles_poneys[Ration]&amp;Règles_poneys[Aliment],0)),0),0)*TotalJumentPoney*SUM(NbreJoursNourrirPoneys))</f>
        <v>0</v>
      </c>
      <c r="FP96" s="1283">
        <f t="array" ref="FP96">IF(OR(ChoixRationComplèteEtéPoneys=OUI,ChoixRationComplèteEtéPoneys="",AND(ChoixPoneysPréHiver=OUI,ChoixPoneysPréEté=OUI)),0,IFERROR(IF(OR(AND(INDEX(Règles_poneys[Specificite],MATCH(RationEtéPoneys&amp;$FN96,Règles_poneys[Ration]&amp;Règles_poneys[Aliment],0))="s1",IF($FN96=Spécificité1Poneys,1)),
AND(INDEX(Règles_poneys[Specificite],MATCH(RationEtéPoneys&amp;$FN96,Règles_poneys[Ration]&amp;Règles_poneys[Aliment],0))="s2",IF($FN96=Spécificité2Poneys,1)),
INDEX(Règles_poneys[Specificite],MATCH(RationEtéPoneys&amp;$FN96,Règles_poneys[Ration]&amp;Règles_poneys[Aliment],0))="c"),
INDEX(Règles_poneys[Valeur 36 et plus],MATCH(RationEtéPoneys&amp;$FN96,Règles_poneys[Ration]&amp;Règles_poneys[Aliment],0)),0),0)*TotalJeuneJumentPoney_24_36_mois*SUM(NbreJoursNourrirPoneys))</f>
        <v>0</v>
      </c>
      <c r="FQ96" s="1283">
        <f t="array" ref="FQ96">IF(OR(ChoixRationComplèteEtéPoneys=OUI,ChoixRationComplèteEtéPoneys="",AND(ChoixPoneysPréHiver=OUI,ChoixPoneysPréEté=OUI)),0,IFERROR(IF(OR(AND(INDEX(Règles_poneys[Specificite],MATCH(RationEtéPoneys&amp;$FN96,Règles_poneys[Ration]&amp;Règles_poneys[Aliment],0))="s1",IF($FN96=Spécificité1Poneys,1)),
AND(INDEX(Règles_poneys[Specificite],MATCH(RationEtéPoneys&amp;$FN96,Règles_poneys[Ration]&amp;Règles_poneys[Aliment],0))="s2",IF($FN96=Spécificité2Poneys,1)),
INDEX(Règles_poneys[Specificite],MATCH(RationEtéPoneys&amp;$FN96,Règles_poneys[Ration]&amp;Règles_poneys[Aliment],0))="c"),
INDEX(Règles_poneys[Valeur 36 et plus],MATCH(RationEtéPoneys&amp;$FN96,Règles_poneys[Ration]&amp;Règles_poneys[Aliment],0)),0),0)*TotalJeuneJumentPoney_12_24_mois*SUM(NbreJoursNourrirPoneys))</f>
        <v>0</v>
      </c>
      <c r="FR96" s="1286">
        <f t="array" ref="FR96">IF(OR(ChoixRationComplèteEtéPoneys=OUI,ChoixRationComplèteEtéPoneys="",AND(ChoixPoneysPréHiver=OUI,ChoixPoneysPréEté=OUI)),0,IFERROR(IF(OR(AND(INDEX(Règles_poneys[Specificite],MATCH(RationEtéPoneys&amp;$FN96,Règles_poneys[Ration]&amp;Règles_poneys[Aliment],0))="s1",IF($FN96=Spécificité1Poneys,1)),
AND(INDEX(Règles_poneys[Specificite],MATCH(RationEtéPoneys&amp;$FN96,Règles_poneys[Ration]&amp;Règles_poneys[Aliment],0))="s2",IF($FN96=Spécificité2Poneys,1)),
INDEX(Règles_poneys[Specificite],MATCH(RationEtéPoneys&amp;$FN96,Règles_poneys[Ration]&amp;Règles_poneys[Aliment],0))="c"),
INDEX(Règles_poneys[Valeur 36 et plus],MATCH(RationEtéPoneys&amp;$FN96,Règles_poneys[Ration]&amp;Règles_poneys[Aliment],0)),0),0)*TotalPoulichePoney_0_12_mois*SUM(NbreJoursNourrirPoneys))</f>
        <v>0</v>
      </c>
      <c r="FS96" s="1286">
        <f t="shared" si="30"/>
        <v>0</v>
      </c>
      <c r="FT96" s="1345"/>
      <c r="FU96" s="1345"/>
      <c r="FV96" s="1345"/>
      <c r="FW96" s="823" t="str">
        <f t="shared" si="28"/>
        <v>Colza</v>
      </c>
      <c r="FX96" s="828">
        <f t="array" ref="FX9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96" s="828">
        <f t="array" ref="FY9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96" s="828">
        <f t="array" ref="FZ9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96" s="828">
        <f t="array" ref="GA9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96" s="829">
        <f>SUM(AlimentsGavageCanards[[#This Row],[Valeur 3 et plus]:[Valeur 0-1]])</f>
        <v>0</v>
      </c>
      <c r="GC96" s="1321"/>
      <c r="GD96" s="1321"/>
      <c r="GE96" s="1321"/>
      <c r="GF96" s="1321"/>
      <c r="GG96" s="1321" t="s">
        <v>1349</v>
      </c>
      <c r="GH96" s="1321" t="s">
        <v>1349</v>
      </c>
      <c r="GI96" s="1321" t="s">
        <v>1349</v>
      </c>
      <c r="GJ96" s="1321" t="s">
        <v>1349</v>
      </c>
      <c r="GK96" s="1321" t="s">
        <v>1349</v>
      </c>
      <c r="GL96" s="1321" t="s">
        <v>1349</v>
      </c>
      <c r="GM96" s="1321" t="s">
        <v>1349</v>
      </c>
      <c r="GN96" s="1321" t="s">
        <v>1349</v>
      </c>
      <c r="GO96" s="1321" t="s">
        <v>1349</v>
      </c>
      <c r="GP96" s="1321" t="s">
        <v>1349</v>
      </c>
      <c r="GQ96" s="1321" t="s">
        <v>1349</v>
      </c>
      <c r="GR96" s="1321" t="s">
        <v>1349</v>
      </c>
      <c r="GS96" s="1321" t="s">
        <v>1349</v>
      </c>
      <c r="GT96" s="1321" t="s">
        <v>1349</v>
      </c>
      <c r="GU96" s="1321" t="s">
        <v>1349</v>
      </c>
      <c r="GV96" s="1321" t="s">
        <v>1349</v>
      </c>
      <c r="GW96" s="1321"/>
      <c r="GX96" s="1321"/>
      <c r="GY96" s="1083" t="str">
        <f>GI3</f>
        <v>herbicide</v>
      </c>
      <c r="GZ96" s="1083"/>
      <c r="HA96" s="1084"/>
      <c r="HB96" s="1084">
        <f>IF(COUNTIF(TypeArticleDansEntrepôt,GY96)=0,0,SUMIF(TypeArticleDansEntrepôt,GY96,QtéArticleDansEntrepôt)*VLOOKUP(GY96,place_necessaire_entrepots_aire_paille[],2,FALSE))</f>
        <v>0</v>
      </c>
      <c r="HC96" s="1321"/>
      <c r="HD96" s="1321"/>
      <c r="HE96" s="1321"/>
      <c r="HF96" s="1321"/>
      <c r="HG96" s="1321"/>
      <c r="HH96" s="1321"/>
      <c r="HI96" s="1321"/>
      <c r="HJ96" s="1321"/>
      <c r="HK96" s="1321"/>
      <c r="HL96" s="1321"/>
      <c r="HM96" s="1321"/>
      <c r="HN96" s="1289"/>
      <c r="HO96" s="1289" t="s">
        <v>114</v>
      </c>
      <c r="HP96" s="1289" t="s">
        <v>580</v>
      </c>
      <c r="HQ96" s="1289" t="s">
        <v>158</v>
      </c>
      <c r="HR96" s="1289" t="s">
        <v>115</v>
      </c>
      <c r="HS96" s="1289" t="s">
        <v>1603</v>
      </c>
      <c r="HT96" s="1289" t="s">
        <v>214</v>
      </c>
      <c r="HU96" s="1289" t="s">
        <v>117</v>
      </c>
      <c r="HV96" s="1289" t="s">
        <v>116</v>
      </c>
      <c r="HW96" s="1289" t="s">
        <v>255</v>
      </c>
      <c r="HX96" s="1289" t="s">
        <v>256</v>
      </c>
      <c r="HY96" s="1289" t="s">
        <v>1625</v>
      </c>
      <c r="HZ96" s="1289" t="s">
        <v>1626</v>
      </c>
      <c r="IA96" s="1289" t="s">
        <v>21</v>
      </c>
      <c r="IB96" s="1289" t="s">
        <v>1604</v>
      </c>
      <c r="IC96" s="1321"/>
      <c r="ID96" s="1321"/>
      <c r="IE96" s="1321"/>
      <c r="IF96" s="1321"/>
      <c r="IG96" s="1321"/>
      <c r="IH96" s="1321"/>
      <c r="II96" s="1321"/>
      <c r="IJ96" s="1321"/>
      <c r="IK96" s="1321"/>
      <c r="IL96" s="1321"/>
      <c r="IM96" s="1321"/>
      <c r="IN96" s="1368"/>
    </row>
    <row r="97" spans="1:248" ht="12.75" customHeight="1" x14ac:dyDescent="0.2">
      <c r="A97" s="1307" t="s">
        <v>51</v>
      </c>
      <c r="B97" s="1241">
        <f t="shared" si="17"/>
        <v>1E-3</v>
      </c>
      <c r="C97" s="1321"/>
      <c r="D97" s="1321"/>
      <c r="E97" s="1321"/>
      <c r="F97" s="1143" t="s">
        <v>340</v>
      </c>
      <c r="G97" s="1246" t="s">
        <v>1196</v>
      </c>
      <c r="H97" s="1244" t="s">
        <v>1168</v>
      </c>
      <c r="I97" s="1246" t="s">
        <v>1207</v>
      </c>
      <c r="J97" s="1244" t="s">
        <v>1198</v>
      </c>
      <c r="K97" s="1244" t="s">
        <v>1210</v>
      </c>
      <c r="L97" s="1143">
        <v>0</v>
      </c>
      <c r="M97" s="1321"/>
      <c r="N97" s="1321"/>
      <c r="O97" s="802" t="s">
        <v>1456</v>
      </c>
      <c r="P97" s="802">
        <f>IF(SUM(ChoixEspèceAuPré)="",0,SUMIF(ChoixEspèceAuPré,Bovins,NbreMâles_12_18MoisAuPréEté))</f>
        <v>0</v>
      </c>
      <c r="Q97" s="802">
        <f>IF(SUM(ChoixEspèceAuPré)="",0,SUMIF(ChoixEspèceAuPré,Ovins,NbreMâles_12_18MoisAuPréEté))</f>
        <v>0</v>
      </c>
      <c r="R97" s="802">
        <f>IF(SUM(ChoixEspèceAuPré)="",0,SUMIF(ChoixEspèceAuPré,Caprins,NbreMâles_12_18MoisAuPréEté))</f>
        <v>0</v>
      </c>
      <c r="S97" s="802">
        <f>IF(SUM(ChoixEspèceAuPré)="",0,SUMIF(ChoixEspèceAuPré,Bisons,NbreMâles_12_18MoisAuPréEté))</f>
        <v>0</v>
      </c>
      <c r="T97" s="802">
        <f>IF(SUM(ChoixEspèceAuPré)="",0,SUMIF(ChoixEspèceAuPré,Daims,NbreMâles_12_18MoisAuPréEté))</f>
        <v>0</v>
      </c>
      <c r="U97" s="802">
        <f>IF(SUM(ChoixEspèceAuPré)="",0,SUMIF(ChoixEspèceAuPré,ChevauxSelle,NbreMâles_12_18MoisAuPréEté))</f>
        <v>0</v>
      </c>
      <c r="V97" s="802">
        <f>IF(SUM(ChoixEspèceAuPré)="",0,SUMIF(ChoixEspèceAuPré,ChevauxTrait,NbreMâles_12_18MoisAuPréEté))</f>
        <v>0</v>
      </c>
      <c r="W97" s="802">
        <f>IF(SUM(ChoixEspèceAuPré)="",0,SUMIF(ChoixEspèceAuPré,Poneys,NbreMâles_12_18MoisAuPréEté))</f>
        <v>0</v>
      </c>
      <c r="X97" s="1321"/>
      <c r="Y97" s="1080" t="s">
        <v>1688</v>
      </c>
      <c r="Z97" s="1080">
        <f>IF('coût alimentation'!$B$6=$Y$97,63,0)</f>
        <v>0</v>
      </c>
      <c r="AA97" s="1080">
        <f>IF(AND(ChoixBovinsPréEté="OUI",'coût alimentation'!$B$6=$Y$97),35,Z97)</f>
        <v>0</v>
      </c>
      <c r="AB97" s="1080">
        <f>IF('coût alimentation'!$B$6=$Y$97,42,0)</f>
        <v>0</v>
      </c>
      <c r="AC97" s="1080">
        <f>IF(AND(ChoixCaprinsPréEté="OUI",'coût alimentation'!$B$6=$Y$97),35,Z97)</f>
        <v>0</v>
      </c>
      <c r="AD97" s="1080">
        <f>IF(AND(ChoixOvinsPréEté="OUI",'coût alimentation'!$B$6=$Y$97),35,Z97)</f>
        <v>0</v>
      </c>
      <c r="AE97" s="1080">
        <f>IF(AND(ChoixChevauxSellePréEté="OUI",'coût alimentation'!$B$6=$Y$97),21,IF(Y97&lt;&gt;'coût alimentation'!$B$6,0,84))</f>
        <v>0</v>
      </c>
      <c r="AF97" s="1080">
        <f>IF(AND(ChoixChevauxTraitPréEté="OUI",'coût alimentation'!$B$6=$Y$97),21,IF(Y97&lt;&gt;'coût alimentation'!$B$6,0,84))</f>
        <v>0</v>
      </c>
      <c r="AG97" s="1080">
        <f>IF(AND(ChoixPoneysPréEté="OUI",'coût alimentation'!$B$6=$Y$97),21,IF(Y97&lt;&gt;'coût alimentation'!$B$6,0,84))</f>
        <v>0</v>
      </c>
      <c r="AH97" s="1321"/>
      <c r="AI97" s="1321"/>
      <c r="AJ97" s="1321"/>
      <c r="AK97" s="1321"/>
      <c r="AL97" s="1321"/>
      <c r="AM97" s="1321"/>
      <c r="AN97" s="1321"/>
      <c r="AO97" s="1321"/>
      <c r="AP97" s="1321"/>
      <c r="AQ97" s="1321"/>
      <c r="AR97" s="1321"/>
      <c r="AS97" s="1321"/>
      <c r="AT97" s="1321"/>
      <c r="AU97" s="1321"/>
      <c r="AV97" s="1321"/>
      <c r="AW97" s="1321"/>
      <c r="AX97" s="1321"/>
      <c r="AY97" s="1321"/>
      <c r="AZ97" s="1321"/>
      <c r="BA97" s="1321"/>
      <c r="BB97" s="1236" t="s">
        <v>729</v>
      </c>
      <c r="BC97" s="1190" t="s">
        <v>340</v>
      </c>
      <c r="BD97" s="1190" t="s">
        <v>1252</v>
      </c>
      <c r="BE97" s="1237">
        <v>48</v>
      </c>
      <c r="BF97" s="1237">
        <v>48</v>
      </c>
      <c r="BG97" s="1237">
        <v>32</v>
      </c>
      <c r="BH97" s="1237">
        <v>24</v>
      </c>
      <c r="BI97" s="1237">
        <v>16</v>
      </c>
      <c r="BJ97" s="1237">
        <v>8</v>
      </c>
      <c r="BK97" s="1238">
        <v>0</v>
      </c>
      <c r="BL97" s="1348"/>
      <c r="BM97" s="1076" t="str">
        <f t="shared" si="23"/>
        <v>Pulpe déshydratée de betterave</v>
      </c>
      <c r="BN97" s="1076">
        <f t="array" ref="BN97">IF(Ration_hivernale_complète_bisons[somme]&gt;0,0,IFERROR(IF(OR(AND(INDEX(Règles_bison[Specificite],MATCH(ChoixRationBisons&amp;$BM97,Règles_bison[Ration]&amp;Règles_bison[Aliment],0))="s1",IF($BM97=ChoixSpécificité1Bisons,1)),
AND(INDEX(Règles_bison[Specificite],MATCH(ChoixRationBisons&amp;$BM97,Règles_bison[Ration]&amp;Règles_bison[Aliment],0))="s2",IF($BM97=ChoixSpécificité2Bisons,1)),INDEX(Règles_bison[Specificite],MATCH(ChoixRationBisons&amp;$BM97,Règles_bison[Ration]&amp;Règles_bison[Aliment],0))="c"),
INDEX(Règles_bison[Valeur 36 et plus],MATCH(ChoixRationBisons&amp;$BM97,Règles_bison[Ration]&amp;Règles_bison[Aliment],0)),0),0)*TotalBisonnes*SUM(NbreJoursNourrirBisonsDaims))</f>
        <v>0</v>
      </c>
      <c r="BO97" s="1076">
        <f t="array" ref="BO97">IF(Ration_hivernale_complète_bisons[somme]&gt;0,0,IFERROR(IF(OR(AND(INDEX(Règles_bison[Specificite],MATCH(ChoixRationBisons&amp;$BM97,Règles_bison[Ration]&amp;Règles_bison[Aliment],0))="s1",IF($BM97=ChoixSpécificité1Bisons,1)),
AND(INDEX(Règles_bison[Specificite],MATCH(ChoixRationBisons&amp;$BM97,Règles_bison[Ration]&amp;Règles_bison[Aliment],0))="s2",IF($BM97=ChoixSpécificité2Bisons,1)),INDEX(Règles_bison[Specificite],MATCH(ChoixRationBisons&amp;$BM97,Règles_bison[Ration]&amp;Règles_bison[Aliment],0))="c"),
INDEX(Règles_bison[Valeur 24-36],MATCH(ChoixRationBisons&amp;$BM97,Règles_bison[Ration]&amp;Règles_bison[Aliment],0)),0),0)*TotalBisonsFemelles_24_36_mois*SUM(NbreJoursNourrirBisonsDaims))</f>
        <v>0</v>
      </c>
      <c r="BP97" s="1076">
        <f t="array" ref="BP97">IF(Ration_hivernale_complète_bisons[somme]&gt;0,0,IFERROR(IF(OR(AND(INDEX(Règles_bison[Specificite],MATCH(ChoixRationBisons&amp;$BM97,Règles_bison[Ration]&amp;Règles_bison[Aliment],0))="s1",IF($BM97=ChoixSpécificité1Bisons,1)),
AND(INDEX(Règles_bison[Specificite],MATCH(ChoixRationBisons&amp;$BM97,Règles_bison[Ration]&amp;Règles_bison[Aliment],0))="s2",IF($BM97=ChoixSpécificité2Bisons,1)),INDEX(Règles_bison[Specificite],MATCH(ChoixRationBisons&amp;$BM97,Règles_bison[Ration]&amp;Règles_bison[Aliment],0))="c"),
INDEX(Règles_bison[Valeur 18-24],MATCH(ChoixRationBisons&amp;$BM97,Règles_bison[Ration]&amp;Règles_bison[Aliment],0)),0),0)*TotalBisonsFemelles_18_24_mois*SUM(NbreJoursNourrirBisonsDaims))</f>
        <v>0</v>
      </c>
      <c r="BQ97" s="1076">
        <f t="array" ref="BQ97">IF(Ration_hivernale_complète_bisons[somme]&gt;0,0,IFERROR(IF(OR(AND(INDEX(Règles_bison[Specificite],MATCH(ChoixRationBisons&amp;$BM97,Règles_bison[Ration]&amp;Règles_bison[Aliment],0))="s1",IF($BM97=ChoixSpécificité1Bisons,1)),
AND(INDEX(Règles_bison[Specificite],MATCH(ChoixRationBisons&amp;$BM97,Règles_bison[Ration]&amp;Règles_bison[Aliment],0))="s2",IF($BM97=ChoixSpécificité2Bisons,1)),INDEX(Règles_bison[Specificite],MATCH(ChoixRationBisons&amp;$BM97,Règles_bison[Ration]&amp;Règles_bison[Aliment],0))="c"),
INDEX(Règles_bison[Valeur 12-18],MATCH(ChoixRationBisons&amp;$BM97,Règles_bison[Ration]&amp;Règles_bison[Aliment],0)),0),0)*TotalBisonsFemelles_12_18_mois*SUM(NbreJoursNourrirBisonsDaims))</f>
        <v>0</v>
      </c>
      <c r="BR97" s="1076">
        <f t="array" ref="BR97">IF(Ration_hivernale_complète_bisons[somme]&gt;0,0,IFERROR(IF(OR(AND(INDEX(Règles_bison[Specificite],MATCH(ChoixRationBisons&amp;$BM97,Règles_bison[Ration]&amp;Règles_bison[Aliment],0))="s1",IF($BM97=ChoixSpécificité1Bisons,1)),
AND(INDEX(Règles_bison[Specificite],MATCH(ChoixRationBisons&amp;$BM97,Règles_bison[Ration]&amp;Règles_bison[Aliment],0))="s2",IF($BM97=ChoixSpécificité2Bisons,1)),INDEX(Règles_bison[Specificite],MATCH(ChoixRationBisons&amp;$BM97,Règles_bison[Ration]&amp;Règles_bison[Aliment],0))="c"),
INDEX(Règles_bison[Valeur 6-12],MATCH(ChoixRationBisons&amp;$BM97,Règles_bison[Ration]&amp;Règles_bison[Aliment],0)),0),0)*TotalBisonsFemelles_6_12_mois*SUM(NbreJoursNourrirBisonsDaims))</f>
        <v>0</v>
      </c>
      <c r="BS97" s="1076">
        <f t="array" ref="BS97">IF(Ration_hivernale_complète_bisons[somme]&gt;0,0,IFERROR(IF(OR(AND(INDEX(Règles_bison[Specificite],MATCH(ChoixRationBisons&amp;$BM97,Règles_bison[Ration]&amp;Règles_bison[Aliment],0))="s1",IF($BM97=ChoixSpécificité1Bisons,1)),
AND(INDEX(Règles_bison[Specificite],MATCH(ChoixRationBisons&amp;$BM97,Règles_bison[Ration]&amp;Règles_bison[Aliment],0))="s2",IF($BM97=ChoixSpécificité2Bisons,1)),INDEX(Règles_bison[Specificite],MATCH(ChoixRationBisons&amp;$BM97,Règles_bison[Ration]&amp;Règles_bison[Aliment],0))="c"),
INDEX(Règles_bison[Valeur 3-6],MATCH(ChoixRationBisons&amp;$BM97,Règles_bison[Ration]&amp;Règles_bison[Aliment],0)),0),0)*TotalBisonsFemelles_3_6_mois*SUM(NbreJoursNourrirBisonsDaims))</f>
        <v>0</v>
      </c>
      <c r="BT97" s="1076">
        <f t="array" ref="BT97">IF(Ration_hivernale_complète_bisons[somme]&gt;0,0,IFERROR(IF(OR(AND(INDEX(Règles_bison[Specificite],MATCH(ChoixRationBisons&amp;$BM97,Règles_bison[Ration]&amp;Règles_bison[Aliment],0))="s1",IF($BM97=ChoixSpécificité1Bisons,1)),
AND(INDEX(Règles_bison[Specificite],MATCH(ChoixRationBisons&amp;$BM97,Règles_bison[Ration]&amp;Règles_bison[Aliment],0))="s2",IF($BM97=ChoixSpécificité2Bisons,1)),INDEX(Règles_bison[Specificite],MATCH(ChoixRationBisons&amp;$BM97,Règles_bison[Ration]&amp;Règles_bison[Aliment],0))="c"),
INDEX(Règles_bison[Valeur 0-3],MATCH(ChoixRationBisons&amp;$BM97,Règles_bison[Ration]&amp;Règles_bison[Aliment],0)),0),0)*TotalBisonsFemelles_0_3_mois*SUM(NbreJoursNourrirBisonsDaims))</f>
        <v>0</v>
      </c>
      <c r="BU97" s="1076">
        <f t="shared" si="22"/>
        <v>0</v>
      </c>
      <c r="BV97" s="1346"/>
      <c r="BW97" s="1346"/>
      <c r="BX97" s="1176" t="s">
        <v>765</v>
      </c>
      <c r="BY97" s="1177" t="s">
        <v>733</v>
      </c>
      <c r="BZ97" s="1177" t="s">
        <v>1252</v>
      </c>
      <c r="CA97" s="1177">
        <v>20</v>
      </c>
      <c r="CB97" s="1177">
        <v>12</v>
      </c>
      <c r="CC97" s="1177">
        <v>8</v>
      </c>
      <c r="CD97" s="1199">
        <v>4</v>
      </c>
      <c r="CE97" s="1350"/>
      <c r="CF97" s="1350"/>
      <c r="CG97" s="1350"/>
      <c r="CH97" s="1350"/>
      <c r="CI97" s="1321"/>
      <c r="CJ97" s="808" t="str">
        <f t="shared" si="26"/>
        <v>concentré jeunes porcins</v>
      </c>
      <c r="CK97" s="788">
        <f t="array" ref="CK9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97" s="788">
        <f t="array" ref="CL9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97" s="788">
        <f t="array" ref="CM9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97" s="788">
        <f t="array" ref="CN9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97" s="788">
        <f t="array" ref="CO9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97" s="812">
        <f>SUM(AlimentsRationPorcinsFemelles[[#This Row],[Valeur 12 et plus]:[Valeur 0-1]])</f>
        <v>0</v>
      </c>
      <c r="CQ97" s="1345"/>
      <c r="CR97" s="1321"/>
      <c r="CS97" s="1336" t="s">
        <v>1707</v>
      </c>
      <c r="CT97" s="1336"/>
      <c r="CU97" s="1336"/>
      <c r="CV97" s="1336"/>
      <c r="CW97" s="1336"/>
      <c r="CX97" s="1321"/>
      <c r="CY97" s="1321"/>
      <c r="CZ97" s="1336" t="s">
        <v>1710</v>
      </c>
      <c r="DA97" s="1336"/>
      <c r="DB97" s="1336"/>
      <c r="DC97" s="1336"/>
      <c r="DD97" s="1336"/>
      <c r="DE97" s="1321"/>
      <c r="DF97" s="1321"/>
      <c r="DG97" s="788" t="str">
        <f t="shared" si="27"/>
        <v>concentré jeunes bovins</v>
      </c>
      <c r="DH97" s="817">
        <f t="array" ref="DH9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97" s="817">
        <f t="array" ref="DI9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97" s="817">
        <f t="array" ref="DJ9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97" s="821">
        <f>SUM(AlimentsRationPintadesFemelles[[#This Row],[Valeur 6 et plus]:[Valeur 0-1]])</f>
        <v>0</v>
      </c>
      <c r="DL97" s="1321"/>
      <c r="DM97" s="1321"/>
      <c r="DN97" s="1176" t="s">
        <v>729</v>
      </c>
      <c r="DO97" s="1177" t="s">
        <v>219</v>
      </c>
      <c r="DP97" s="1177" t="s">
        <v>1252</v>
      </c>
      <c r="DQ97" s="1181">
        <v>10</v>
      </c>
      <c r="DR97" s="1181">
        <v>8</v>
      </c>
      <c r="DS97" s="1181">
        <v>6</v>
      </c>
      <c r="DT97" s="1243">
        <v>0</v>
      </c>
      <c r="DU97" s="1345"/>
      <c r="DV97" s="1075" t="str">
        <f t="shared" si="24"/>
        <v>Minéraux + vitamines</v>
      </c>
      <c r="DW97" s="1269">
        <f t="array" ref="DW97">SUM((IF(QualitéAlimentsFaonMâle_0_3_mois=BONNE,VLOOKUP("Minéraux + vitamines",AlimentsRationHivernaleDaims,8,FALSE),0)+(IF(QualitéAlimentsFaonFemelle_0_3_mois=BONNE,VLOOKUP("Minéraux + vitamines",AlimentsRationHivernaleDaims,8,FALSE),0)+(IF(QualitéAlimentsFaonMâle_3_6_mois=BONNE,VLOOKUP("Minéraux + vitamines",AlimentsRationHivernaleDaims,7,FALSE),0)+(IF(QualitéAlimentsFaonFemelle_3_6_mois=BONNE,VLOOKUP("Minéraux + vitamines",AlimentsRationHivernaleDaims,7,FALSE),0)+(IF(QualitéAlimentsFaonMâle_6_12_mois=BONNE,VLOOKUP("Minéraux + vitamines",AlimentsRationHivernaleDaims,6,FALSE),0)+(IF(QualitéAlimentsFaonFemelle_6_12_mois=BONNE,VLOOKUP("Minéraux + vitamines",AlimentsRationHivernaleDaims,6,FALSE),0)+(IF(QualitéAlimentsJeuneDaim_12_18_mois=BONNE,VLOOKUP("Minéraux + vitamines",AlimentsRationHivernaleDaims,5,FALSE),0)+(IF(QualitéAlimentsJeuneDaine_12_18_mois=BONNE,VLOOKUP("Minéraux + vitamines",AlimentsRationHivernaleDaims,5,FALSE),0)+(IF(QualitéAlimentsJeuneDaim_18_24_mois=BONNE,VLOOKUP("Minéraux + vitamines",AlimentsRationHivernaleDaims,4,FALSE),0)+(IF(QualitéAlimentsJeuneDaine_18_24_mois=BONNE,VLOOKUP("Minéraux + vitamines",AlimentsRationHivernaleDaims,4,FALSE),0)+(IF(QualitéAlimentsJeuneDaim_24_36_mois=BONNE,VLOOKUP("Minéraux + vitamines",AlimentsRationHivernaleDaims,3,FALSE),0)+(IF(QualitéAlimentsJeuneDaine_24_36_mois=BONNE,VLOOKUP("Minéraux + vitamines",AlimentsRationHivernaleDaims,3,FALSE),0)+(IF(QualitéAlimentsDaim=BONNE,VLOOKUP("Minéraux + vitamines",AlimentsRationHivernaleDaims,2,FALSE),0)+(IF(QualitéAlimentsDaine=BONNE,VLOOKUP("Minéraux + vitamines",AlimentsRationHivernaleDaims,2,FALSE),0))))))))))))))))</f>
        <v>0</v>
      </c>
      <c r="DX97" s="1269">
        <f t="array" ref="DX97">SUM((IF(QualitéAlimentsFaonMâle_0_3_mois=MOYENNE,VLOOKUP("Minéraux + vitamines",AlimentsRationHivernaleDaims,8,FALSE),0)+(IF(QualitéAlimentsFaonFemelle_0_3_mois=MOYENNE,VLOOKUP("Minéraux + vitamines",AlimentsRationHivernaleDaims,8,FALSE),0)+(IF(QualitéAlimentsFaonMâle_3_6_mois=MOYENNE,VLOOKUP("Minéraux + vitamines",AlimentsRationHivernaleDaims,7,FALSE),0)+(IF(QualitéAlimentsFaonFemelle_3_6_mois=MOYENNE,VLOOKUP("Minéraux + vitamines",AlimentsRationHivernaleDaims,7,FALSE),0)+(IF(QualitéAlimentsFaonMâle_6_12_mois=MOYENNE,VLOOKUP("Minéraux + vitamines",AlimentsRationHivernaleDaims,6,FALSE),0)+(IF(QualitéAlimentsFaonFemelle_6_12_mois=MOYENNE,VLOOKUP("Minéraux + vitamines",AlimentsRationHivernaleDaims,6,FALSE),0)+(IF(QualitéAlimentsJeuneDaim_12_18_mois=MOYENNE,VLOOKUP("Minéraux + vitamines",AlimentsRationHivernaleDaims,5,FALSE),0)+(IF(QualitéAlimentsJeuneDaine_12_18_mois=MOYENNE,VLOOKUP("Minéraux + vitamines",AlimentsRationHivernaleDaims,5,FALSE),0)+(IF(QualitéAlimentsJeuneDaim_18_24_mois=MOYENNE,VLOOKUP("Minéraux + vitamines",AlimentsRationHivernaleDaims,4,FALSE),0)+(IF(QualitéAlimentsJeuneDaine_18_24_mois=MOYENNE,VLOOKUP("Minéraux + vitamines",AlimentsRationHivernaleDaims,4,FALSE),0)+(IF(QualitéAlimentsJeuneDaim_24_36_mois=MOYENNE,VLOOKUP("Minéraux + vitamines",AlimentsRationHivernaleDaims,3,FALSE),0)+(IF(QualitéAlimentsJeuneDaine_24_36_mois=MOYENNE,VLOOKUP("Minéraux + vitamines",AlimentsRationHivernaleDaims,3,FALSE),0)+(IF(QualitéAlimentsDaim=MOYENNE,VLOOKUP("Minéraux + vitamines",AlimentsRationHivernaleDaims,2,FALSE),0)+(IF(QualitéAlimentsDaine=MOYENNE,VLOOKUP("Minéraux + vitamines",AlimentsRationHivernaleDaims,2,FALSE),0))))))))))))))))</f>
        <v>0</v>
      </c>
      <c r="DY97" s="1269">
        <f t="array" ref="DY97">SUM((IF(QualitéAlimentsFaonMâle_0_3_mois=MAUVAISE,VLOOKUP("Minéraux + vitamines",AlimentsRationHivernaleDaims,8,FALSE),0)+(IF(QualitéAlimentsFaonFemelle_0_3_mois=MAUVAISE,VLOOKUP("Minéraux + vitamines",AlimentsRationHivernaleDaims,8,FALSE),0)+(IF(QualitéAlimentsFaonMâle_3_6_mois=MAUVAISE,VLOOKUP("Minéraux + vitamines",AlimentsRationHivernaleDaims,7,FALSE),0)+(IF(QualitéAlimentsFaonFemelle_3_6_mois=MAUVAISE,VLOOKUP("Minéraux + vitamines",AlimentsRationHivernaleDaims,7,FALSE),0)+(IF(QualitéAlimentsFaonMâle_6_12_mois=MAUVAISE,VLOOKUP("Minéraux + vitamines",AlimentsRationHivernaleDaims,6,FALSE),0)+(IF(QualitéAlimentsFaonFemelle_6_12_mois=MAUVAISE,VLOOKUP("Minéraux + vitamines",AlimentsRationHivernaleDaims,6,FALSE),0)+(IF(QualitéAlimentsJeuneDaim_12_18_mois=MAUVAISE,VLOOKUP("Minéraux + vitamines",AlimentsRationHivernaleDaims,5,FALSE),0)+(IF(QualitéAlimentsJeuneDaine_12_18_mois=MAUVAISE,VLOOKUP("Minéraux + vitamines",AlimentsRationHivernaleDaims,5,FALSE),0)+(IF(QualitéAlimentsJeuneDaim_18_24_mois=MAUVAISE,VLOOKUP("Minéraux + vitamines",AlimentsRationHivernaleDaims,4,FALSE),0)+(IF(QualitéAlimentsJeuneDaine_18_24_mois=MAUVAISE,VLOOKUP("Minéraux + vitamines",AlimentsRationHivernaleDaims,4,FALSE),0)+(IF(QualitéAlimentsJeuneDaim_24_36_mois=MAUVAISE,VLOOKUP("Minéraux + vitamines",AlimentsRationHivernaleDaims,3,FALSE),0)+(IF(QualitéAlimentsJeuneDaine_24_36_mois=MAUVAISE,VLOOKUP("Minéraux + vitamines",AlimentsRationHivernaleDaims,3,FALSE),0)+(IF(QualitéAlimentsDaim=MAUVAISE,VLOOKUP("Minéraux + vitamines",AlimentsRationHivernaleDaims,2,FALSE),0)+(IF(QualitéAlimentsDaine=MAUVAISE,VLOOKUP("Minéraux + vitamines",AlimentsRationHivernaleDaims,2,FALSE),0))))))))))))))))</f>
        <v>0</v>
      </c>
      <c r="DZ97" s="1345"/>
      <c r="EA97" s="1345"/>
      <c r="EB97" s="1345"/>
      <c r="EC97" s="1345"/>
      <c r="ED97" s="1345"/>
      <c r="EE97" s="1345"/>
      <c r="EF97" s="1321"/>
      <c r="EG97" s="808" t="str">
        <f t="shared" si="31"/>
        <v>Blé</v>
      </c>
      <c r="EH97" s="817">
        <f t="array" ref="EH9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97" s="817">
        <f t="array" ref="EI9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97" s="817">
        <f t="array" ref="EJ9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97" s="818">
        <f>SUM(AlimentsRationOiesFemelles[[#This Row],[Valeur 6 et plus]:[Valeur 0-3]])</f>
        <v>0</v>
      </c>
      <c r="EL97" s="1345"/>
      <c r="EM97" s="1321"/>
      <c r="EN97" s="823" t="str">
        <f t="shared" si="29"/>
        <v>Bouchons luzerne</v>
      </c>
      <c r="EO97" s="828">
        <f t="array" ref="EO9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97" s="828">
        <f t="array" ref="EP9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97" s="828">
        <f t="array" ref="EQ9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97" s="829">
        <f>SUM(Ration_canards_Femelles[[#This Row],[Valeur 6 et plus]:[Valeur 0-3]])</f>
        <v>0</v>
      </c>
      <c r="ES97" s="1345"/>
      <c r="ET97" s="1321"/>
      <c r="EU97" s="1083"/>
      <c r="EV97" s="1283">
        <f t="array" ref="EV97">IF(OR(ChoixRationComplèteEtéChevauxSelle=OUI,ChoixRationComplèteEtéChevauxSelle="",AND(ChoixChevauxSellePréHiver=OUI,ChoixChevauxSellePréEté=OUI)),0,IFERROR(IF(OR(AND(INDEX(Règles_chevaux_selle[Specificite],MATCH(RationEtéChevauxSelle&amp;$EU97,Règles_chevaux_selle[Ration]&amp;Règles_chevaux_selle[Aliment],0))="s1",IF($EU97=Spécificité1ChevauxSelle,1)),
AND(INDEX(Règles_chevaux_selle[Specificite],MATCH(RationEtéChevauxSelle&amp;$EU97,Règles_chevaux_selle[Ration]&amp;Règles_chevaux_selle[Aliment],0))="s2",IF($EU97=Spécificité2ChevauxSelle,1)),
INDEX(Règles_chevaux_selle[Specificite],MATCH(RationEtéChevauxSelle&amp;$EU97,Règles_chevaux_selle[Ration]&amp;Règles_chevaux_selle[Aliment],0))="c"),
INDEX(Règles_chevaux_selle[Valeur 36 et plus],MATCH(RationEtéChevauxSelle&amp;$EU97,Règles_chevaux_selle[Ration]&amp;Règles_chevaux_selle[Aliment],0)),0),0)*TotalEtalonSelle*SUM(NbreJoursNourrirChevauxSelle))</f>
        <v>0</v>
      </c>
      <c r="EW97" s="1283">
        <f t="array" ref="EW97">IF(OR(ChoixRationComplèteEtéChevauxSelle=OUI,ChoixRationComplèteEtéChevauxSelle="",AND(ChoixChevauxSellePréHiver=OUI,ChoixChevauxSellePréEté=OUI)),0,IFERROR(IF(OR(AND(INDEX(Règles_chevaux_selle[Specificite],MATCH(RationEtéChevauxSelle&amp;$EU97,Règles_chevaux_selle[Ration]&amp;Règles_chevaux_selle[Aliment],0))="s1",IF($EU97=Spécificité1ChevauxSelle,1)),
AND(INDEX(Règles_chevaux_selle[Specificite],MATCH(RationEtéChevauxSelle&amp;$EU97,Règles_chevaux_selle[Ration]&amp;Règles_chevaux_selle[Aliment],0))="s2",IF($EU97=Spécificité2ChevauxSelle,1)),
INDEX(Règles_chevaux_selle[Specificite],MATCH(RationEtéChevauxSelle&amp;$EU97,Règles_chevaux_selle[Ration]&amp;Règles_chevaux_selle[Aliment],0))="c"),
INDEX(Règles_chevaux_selle[Valeur 24-36],MATCH(RationEtéChevauxSelle&amp;$EU97,Règles_chevaux_selle[Ration]&amp;Règles_chevaux_selle[Aliment],0)),0),0)*TotalJeuneEtalonSelle_24_36_mois*SUM(NbreJoursNourrirChevauxSelle))</f>
        <v>0</v>
      </c>
      <c r="EX97" s="1283">
        <f t="array" ref="EX97">IF(OR(ChoixRationComplèteEtéChevauxSelle=OUI,ChoixRationComplèteEtéChevauxSelle="",AND(ChoixChevauxSellePréHiver=OUI,ChoixChevauxSellePréEté=OUI)),0,IFERROR(IF(OR(AND(INDEX(Règles_chevaux_selle[Specificite],MATCH(RationEtéChevauxSelle&amp;$EU97,Règles_chevaux_selle[Ration]&amp;Règles_chevaux_selle[Aliment],0))="s1",IF($EU97=Spécificité1ChevauxSelle,1)),
AND(INDEX(Règles_chevaux_selle[Specificite],MATCH(RationEtéChevauxSelle&amp;$EU97,Règles_chevaux_selle[Ration]&amp;Règles_chevaux_selle[Aliment],0))="s2",IF($EU97=Spécificité2ChevauxSelle,1)),
INDEX(Règles_chevaux_selle[Specificite],MATCH(RationEtéChevauxSelle&amp;$EU97,Règles_chevaux_selle[Ration]&amp;Règles_chevaux_selle[Aliment],0))="c"),
INDEX(Règles_chevaux_selle[Valeur 12-24],MATCH(RationEtéChevauxSelle&amp;$EU97,Règles_chevaux_selle[Ration]&amp;Règles_chevaux_selle[Aliment],0)),0),0)*TotalJeuneEtalonSelle_12_24_mois*SUM(NbreJoursNourrirChevauxSelle))</f>
        <v>0</v>
      </c>
      <c r="EY97" s="1286">
        <f t="array" ref="EY97">IF(OR(ChoixRationComplèteEtéChevauxSelle=OUI,ChoixRationComplèteEtéChevauxSelle="",AND(ChoixChevauxSellePréHiver=OUI,ChoixChevauxSellePréEté=OUI)),0,IFERROR(IF(OR(AND(INDEX(Règles_chevaux_selle[Specificite],MATCH(RationEtéChevauxSelle&amp;$EU97,Règles_chevaux_selle[Ration]&amp;Règles_chevaux_selle[Aliment],0))="s1",IF($EU97=Spécificité1ChevauxSelle,1)),
AND(INDEX(Règles_chevaux_selle[Specificite],MATCH(RationEtéChevauxSelle&amp;$EU97,Règles_chevaux_selle[Ration]&amp;Règles_chevaux_selle[Aliment],0))="s2",IF($EU97=Spécificité2ChevauxSelle,1)),
INDEX(Règles_chevaux_selle[Specificite],MATCH(RationEtéChevauxSelle&amp;$EU97,Règles_chevaux_selle[Ration]&amp;Règles_chevaux_selle[Aliment],0))="c"),
INDEX(Règles_chevaux_selle[Valeur 0-12],MATCH(RationEtéChevauxSelle&amp;$EU97,Règles_chevaux_selle[Ration]&amp;Règles_chevaux_selle[Aliment],0)),0),0)*TotalPoulainSelle_0_12_mois*SUM(NbreJoursNourrirChevauxSelle))</f>
        <v>0</v>
      </c>
      <c r="EZ97" s="1286">
        <f t="shared" si="16"/>
        <v>0</v>
      </c>
      <c r="FA97" s="1345"/>
      <c r="FB97" s="1345"/>
      <c r="FC97" s="1321"/>
      <c r="FD97" s="1083" t="str">
        <f t="shared" ref="FD97:FD134" si="34">FD55</f>
        <v>Betterave</v>
      </c>
      <c r="FE97" s="1283">
        <f t="array" ref="FE97">IF(OR(ChoixRationComplèteEtéChevauxTrait=OUI,ChoixRationComplèteEtéChevauxTrait="",AND(ChoixChevauxTraitPréHiver=OUI,ChoixChevauxTraitPréEté=OUI)),0,IFERROR(IF(OR(AND(INDEX(Règles_chevaux_trait[Specificite],MATCH(RationEtéChevauxTrait&amp;$FD97,Règles_chevaux_trait[Ration]&amp;Règles_chevaux_trait[Aliment],0))="s1",IF($FD97=Spécificité1ChevauxTrait,1)),
AND(INDEX(Règles_chevaux_trait[Specificite],MATCH(RationEtéChevauxTrait&amp;$FD97,Règles_chevaux_trait[Ration]&amp;Règles_chevaux_trait[Aliment],0))="s2",IF($FD97=Spécificité2ChevauxTrait,1)),
INDEX(Règles_chevaux_trait[Specificite],MATCH(RationEtéChevauxTrait&amp;$FD97,Règles_chevaux_trait[Ration]&amp;Règles_chevaux_trait[Aliment],0))="c"),
INDEX(Règles_chevaux_trait[Valeur 36 et plus],MATCH(RationEtéChevauxTrait&amp;$FD97,Règles_chevaux_trait[Ration]&amp;Règles_chevaux_trait[Aliment],0)),0),0)*TotalJumentTrait*SUM(NbreJoursNourrirChevauxTrait))</f>
        <v>0</v>
      </c>
      <c r="FF97" s="1283">
        <f t="array" ref="FF97">IF(OR(ChoixRationComplèteEtéChevauxTrait=OUI,ChoixRationComplèteEtéChevauxTrait="",AND(ChoixChevauxTraitPréHiver=OUI,ChoixChevauxTraitPréEté=OUI)),0,IFERROR(IF(OR(AND(INDEX(Règles_chevaux_trait[Specificite],MATCH(RationEtéChevauxTrait&amp;$FD97,Règles_chevaux_trait[Ration]&amp;Règles_chevaux_trait[Aliment],0))="s1",IF($FD97=Spécificité1ChevauxTrait,1)),
AND(INDEX(Règles_chevaux_trait[Specificite],MATCH(RationEtéChevauxTrait&amp;$FD97,Règles_chevaux_trait[Ration]&amp;Règles_chevaux_trait[Aliment],0))="s2",IF($FD97=Spécificité2ChevauxTrait,1)),
INDEX(Règles_chevaux_trait[Specificite],MATCH(RationEtéChevauxTrait&amp;$FD97,Règles_chevaux_trait[Ration]&amp;Règles_chevaux_trait[Aliment],0))="c"),
INDEX(Règles_chevaux_trait[Valeur 24-36],MATCH(RationEtéChevauxTrait&amp;$FD97,Règles_chevaux_trait[Ration]&amp;Règles_chevaux_trait[Aliment],0)),0),0)*TotalJeuneJumentTrait_24_36_mois*SUM(NbreJoursNourrirChevauxTrait))</f>
        <v>0</v>
      </c>
      <c r="FG97" s="1283">
        <f t="array" ref="FG97">IF(OR(ChoixRationComplèteEtéChevauxTrait=OUI,ChoixRationComplèteEtéChevauxTrait="",AND(ChoixChevauxTraitPréHiver=OUI,ChoixChevauxTraitPréEté=OUI)),0,IFERROR(IF(OR(AND(INDEX(Règles_chevaux_trait[Specificite],MATCH(RationEtéChevauxTrait&amp;$FD97,Règles_chevaux_trait[Ration]&amp;Règles_chevaux_trait[Aliment],0))="s1",IF($FD97=Spécificité1ChevauxTrait,1)),
AND(INDEX(Règles_chevaux_trait[Specificite],MATCH(RationEtéChevauxTrait&amp;$FD97,Règles_chevaux_trait[Ration]&amp;Règles_chevaux_trait[Aliment],0))="s2",IF($FD97=Spécificité2ChevauxTrait,1)),
INDEX(Règles_chevaux_trait[Specificite],MATCH(RationEtéChevauxTrait&amp;$FD97,Règles_chevaux_trait[Ration]&amp;Règles_chevaux_trait[Aliment],0))="c"),
INDEX(Règles_chevaux_trait[Valeur 12-24],MATCH(RationEtéChevauxTrait&amp;$FD97,Règles_chevaux_trait[Ration]&amp;Règles_chevaux_trait[Aliment],0)),0),0)*TotalJeuneJumentTrait_12_24_mois*SUM(NbreJoursNourrirChevauxTrait))</f>
        <v>0</v>
      </c>
      <c r="FH97" s="1286">
        <f t="array" ref="FH97">IF(OR(ChoixRationComplèteEtéChevauxTrait=OUI,ChoixRationComplèteEtéChevauxTrait="",AND(ChoixChevauxTraitPréHiver=OUI,ChoixChevauxTraitPréEté=OUI)),0,IFERROR(IF(OR(AND(INDEX(Règles_chevaux_trait[Specificite],MATCH(RationEtéChevauxTrait&amp;$FD97,Règles_chevaux_trait[Ration]&amp;Règles_chevaux_trait[Aliment],0))="s1",IF($FD97=Spécificité1ChevauxTrait,1)),
AND(INDEX(Règles_chevaux_trait[Specificite],MATCH(RationEtéChevauxTrait&amp;$FD97,Règles_chevaux_trait[Ration]&amp;Règles_chevaux_trait[Aliment],0))="s2",IF($FD97=Spécificité2ChevauxTrait,1)),
INDEX(Règles_chevaux_trait[Specificite],MATCH(RationEtéChevauxTrait&amp;$FD97,Règles_chevaux_trait[Ration]&amp;Règles_chevaux_trait[Aliment],0))="c"),
INDEX(Règles_chevaux_trait[Valeur 0-12],MATCH(RationEtéChevauxTrait&amp;$FD97,Règles_chevaux_trait[Ration]&amp;Règles_chevaux_trait[Aliment],0)),0),0)*TotalPoulicheTrait_0_12_mois*SUM(NbreJoursNourrirChevauxTrait))</f>
        <v>0</v>
      </c>
      <c r="FI97" s="1286">
        <f t="shared" si="32"/>
        <v>0</v>
      </c>
      <c r="FJ97" s="1345"/>
      <c r="FK97" s="1345"/>
      <c r="FL97" s="1345"/>
      <c r="FM97" s="1321"/>
      <c r="FN97" s="1082" t="str">
        <f t="shared" si="33"/>
        <v>Blé</v>
      </c>
      <c r="FO97" s="1282">
        <f t="array" ref="FO97">IF(OR(ChoixRationComplèteEtéPoneys=OUI,ChoixRationComplèteEtéPoneys="",AND(ChoixPoneysPréHiver=OUI,ChoixPoneysPréEté=OUI)),0,IFERROR(IF(OR(AND(INDEX(Règles_poneys[Specificite],MATCH(RationEtéPoneys&amp;$FN97,Règles_poneys[Ration]&amp;Règles_poneys[Aliment],0))="s1",IF($FN97=Spécificité1Poneys,1)),
AND(INDEX(Règles_poneys[Specificite],MATCH(RationEtéPoneys&amp;$FN97,Règles_poneys[Ration]&amp;Règles_poneys[Aliment],0))="s2",IF($FN97=Spécificité2Poneys,1)),
INDEX(Règles_poneys[Specificite],MATCH(RationEtéPoneys&amp;$FN97,Règles_poneys[Ration]&amp;Règles_poneys[Aliment],0))="c"),
INDEX(Règles_poneys[Valeur 36 et plus],MATCH(RationEtéPoneys&amp;$FN97,Règles_poneys[Ration]&amp;Règles_poneys[Aliment],0)),0),0)*TotalJumentPoney*SUM(NbreJoursNourrirPoneys))</f>
        <v>0</v>
      </c>
      <c r="FP97" s="1282">
        <f t="array" ref="FP97">IF(OR(ChoixRationComplèteEtéPoneys=OUI,ChoixRationComplèteEtéPoneys="",AND(ChoixPoneysPréHiver=OUI,ChoixPoneysPréEté=OUI)),0,IFERROR(IF(OR(AND(INDEX(Règles_poneys[Specificite],MATCH(RationEtéPoneys&amp;$FN97,Règles_poneys[Ration]&amp;Règles_poneys[Aliment],0))="s1",IF($FN97=Spécificité1Poneys,1)),
AND(INDEX(Règles_poneys[Specificite],MATCH(RationEtéPoneys&amp;$FN97,Règles_poneys[Ration]&amp;Règles_poneys[Aliment],0))="s2",IF($FN97=Spécificité2Poneys,1)),
INDEX(Règles_poneys[Specificite],MATCH(RationEtéPoneys&amp;$FN97,Règles_poneys[Ration]&amp;Règles_poneys[Aliment],0))="c"),
INDEX(Règles_poneys[Valeur 36 et plus],MATCH(RationEtéPoneys&amp;$FN97,Règles_poneys[Ration]&amp;Règles_poneys[Aliment],0)),0),0)*TotalJeuneJumentPoney_24_36_mois*SUM(NbreJoursNourrirPoneys))</f>
        <v>0</v>
      </c>
      <c r="FQ97" s="1282">
        <f t="array" ref="FQ97">IF(OR(ChoixRationComplèteEtéPoneys=OUI,ChoixRationComplèteEtéPoneys="",AND(ChoixPoneysPréHiver=OUI,ChoixPoneysPréEté=OUI)),0,IFERROR(IF(OR(AND(INDEX(Règles_poneys[Specificite],MATCH(RationEtéPoneys&amp;$FN97,Règles_poneys[Ration]&amp;Règles_poneys[Aliment],0))="s1",IF($FN97=Spécificité1Poneys,1)),
AND(INDEX(Règles_poneys[Specificite],MATCH(RationEtéPoneys&amp;$FN97,Règles_poneys[Ration]&amp;Règles_poneys[Aliment],0))="s2",IF($FN97=Spécificité2Poneys,1)),
INDEX(Règles_poneys[Specificite],MATCH(RationEtéPoneys&amp;$FN97,Règles_poneys[Ration]&amp;Règles_poneys[Aliment],0))="c"),
INDEX(Règles_poneys[Valeur 36 et plus],MATCH(RationEtéPoneys&amp;$FN97,Règles_poneys[Ration]&amp;Règles_poneys[Aliment],0)),0),0)*TotalJeuneJumentPoney_12_24_mois*SUM(NbreJoursNourrirPoneys))</f>
        <v>0</v>
      </c>
      <c r="FR97" s="1285">
        <f t="array" ref="FR97">IF(OR(ChoixRationComplèteEtéPoneys=OUI,ChoixRationComplèteEtéPoneys="",AND(ChoixPoneysPréHiver=OUI,ChoixPoneysPréEté=OUI)),0,IFERROR(IF(OR(AND(INDEX(Règles_poneys[Specificite],MATCH(RationEtéPoneys&amp;$FN97,Règles_poneys[Ration]&amp;Règles_poneys[Aliment],0))="s1",IF($FN97=Spécificité1Poneys,1)),
AND(INDEX(Règles_poneys[Specificite],MATCH(RationEtéPoneys&amp;$FN97,Règles_poneys[Ration]&amp;Règles_poneys[Aliment],0))="s2",IF($FN97=Spécificité2Poneys,1)),
INDEX(Règles_poneys[Specificite],MATCH(RationEtéPoneys&amp;$FN97,Règles_poneys[Ration]&amp;Règles_poneys[Aliment],0))="c"),
INDEX(Règles_poneys[Valeur 36 et plus],MATCH(RationEtéPoneys&amp;$FN97,Règles_poneys[Ration]&amp;Règles_poneys[Aliment],0)),0),0)*TotalPoulichePoney_0_12_mois*SUM(NbreJoursNourrirPoneys))</f>
        <v>0</v>
      </c>
      <c r="FS97" s="1285">
        <f t="shared" si="30"/>
        <v>0</v>
      </c>
      <c r="FT97" s="1345"/>
      <c r="FU97" s="1345"/>
      <c r="FV97" s="1345"/>
      <c r="FW97" s="823" t="str">
        <f t="shared" si="28"/>
        <v>concentré jeunes bovins</v>
      </c>
      <c r="FX97" s="828">
        <f t="array" ref="FX9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97" s="828">
        <f t="array" ref="FY9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97" s="828">
        <f t="array" ref="FZ9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97" s="828">
        <f t="array" ref="GA9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97" s="829">
        <f>SUM(AlimentsGavageCanards[[#This Row],[Valeur 3 et plus]:[Valeur 0-1]])</f>
        <v>0</v>
      </c>
      <c r="GC97" s="1321"/>
      <c r="GD97" s="1321"/>
      <c r="GE97" s="1321"/>
      <c r="GF97" s="1321"/>
      <c r="GG97" s="1321" t="s">
        <v>1349</v>
      </c>
      <c r="GH97" s="1321" t="s">
        <v>1349</v>
      </c>
      <c r="GI97" s="1321" t="s">
        <v>1349</v>
      </c>
      <c r="GJ97" s="1321" t="s">
        <v>1349</v>
      </c>
      <c r="GK97" s="1321" t="s">
        <v>1349</v>
      </c>
      <c r="GL97" s="1321" t="s">
        <v>1349</v>
      </c>
      <c r="GM97" s="1321" t="s">
        <v>1349</v>
      </c>
      <c r="GN97" s="1321" t="s">
        <v>1349</v>
      </c>
      <c r="GO97" s="1321" t="s">
        <v>1349</v>
      </c>
      <c r="GP97" s="1321" t="s">
        <v>1349</v>
      </c>
      <c r="GQ97" s="1321" t="s">
        <v>1349</v>
      </c>
      <c r="GR97" s="1321" t="s">
        <v>1349</v>
      </c>
      <c r="GS97" s="1321" t="s">
        <v>1349</v>
      </c>
      <c r="GT97" s="1321" t="s">
        <v>1349</v>
      </c>
      <c r="GU97" s="1321" t="s">
        <v>1349</v>
      </c>
      <c r="GV97" s="1321" t="s">
        <v>1349</v>
      </c>
      <c r="GW97" s="1321"/>
      <c r="GX97" s="1321"/>
      <c r="GY97" s="1082" t="str">
        <f t="shared" ref="GY97:GY98" si="35">GI4</f>
        <v>fongicide</v>
      </c>
      <c r="GZ97" s="1082"/>
      <c r="HA97" s="1085"/>
      <c r="HB97" s="1085">
        <f>IF(COUNTIF(TypeArticleDansEntrepôt,GY97)=0,0,SUMIF(TypeArticleDansEntrepôt,GY97,QtéArticleDansEntrepôt)*VLOOKUP(GY97,place_necessaire_entrepots_aire_paille[],2,FALSE))</f>
        <v>0</v>
      </c>
      <c r="HC97" s="1321"/>
      <c r="HD97" s="1321"/>
      <c r="HE97" s="1321"/>
      <c r="HF97" s="1321"/>
      <c r="HG97" s="1321"/>
      <c r="HH97" s="1321"/>
      <c r="HI97" s="1321"/>
      <c r="HJ97" s="1321"/>
      <c r="HK97" s="1321"/>
      <c r="HL97" s="1321"/>
      <c r="HM97" s="1321"/>
      <c r="HN97" s="1099" t="s">
        <v>673</v>
      </c>
      <c r="HO97" s="1085" t="e">
        <f>IF(SUM((VLOOKUP(HN97,AlimentsRationBovinsMâles,9,FALSE)+VLOOKUP(HN97,AlimentsRationBovinsFemelles,9,FALSE)+VLOOKUP(HN97,BDD!BB$284:BJ$323,9,FALSE))/1000/SUM(NbreJoursNourrirBovins)*IF('semences, engrais et traitement'!I$16=OUI,42,84))&lt;0,0,SUM((VLOOKUP(HN97,AlimentsRationBovinsMâles,9,FALSE)+VLOOKUP(HN97,AlimentsRationBovinsFemelles,9,FALSE)+VLOOKUP(HN97,BDD!BB$284:BJ$323,9,FALSE))/1000/SUM(NbreJoursNourrirBovins)*IF('semences, engrais et traitement'!I$16=OUI,42,84)))</f>
        <v>#DIV/0!</v>
      </c>
      <c r="HP97" s="1085">
        <f t="shared" ref="HP97:HP129" si="36">IF(SUM(VLOOKUP(HN97,AlimentsRationHivernaleBisonsMâles,9,FALSE)+VLOOKUP(HN97,AlimentsRationHivernaleBisonsFemelles,9,FALSE)/1000*42)&lt;0,0,SUM(VLOOKUP(HN97,AlimentsRationHivernaleBisonsMâles,9,FALSE)+VLOOKUP(HN97,AlimentsRationHivernaleBisonsFemelles,9,FALSE)/1000*42))</f>
        <v>0</v>
      </c>
      <c r="HQ97" s="1085" t="e">
        <f>IF(SUM(VLOOKUP(HN97,AlimentsRationPorcinsMâles[],7,FALSE)+VLOOKUP(HN97,AlimentsRationPorcinsFemelles[],7,FALSE))/1000/SUM(NbreJoursNourrirAutres)*84&lt;0,0,SUM(VLOOKUP(HN97,AlimentsRationPorcinsMâles[],7,FALSE)+VLOOKUP(HN97,AlimentsRationPorcinsFemelles[],7,FALSE)/1000/SUM(NbreJoursNourrirAutres)*84))</f>
        <v>#DIV/0!</v>
      </c>
      <c r="HR97" s="1085" t="e">
        <f>IF(SUM(VLOOKUP(HN97,AlimentsRationCaprinsMâles,6,FALSE)+VLOOKUP(HN97,AlimentsRationCaprinsFemelles,6,FALSE))/1000/SUM(NbreJoursNourrirCaprins)*IF('semences, engrais et traitement'!I$17=OUI,42,84)&lt;0,0,SUM(VLOOKUP(HN97,AlimentsRationCaprinsMâles,6,FALSE)+VLOOKUP(HN97,AlimentsRationCaprinsFemelles,6,FALSE))/1000/SUM(NbreJoursNourrirCaprins)*IF('semences, engrais et traitement'!I$17=OUI,42,84))</f>
        <v>#DIV/0!</v>
      </c>
      <c r="HS97" s="1085" t="e">
        <f>IF(SUM(VLOOKUP(HN97,AlimentsRationVolaillesMâles[],5,FALSE)+VLOOKUP(HN97,AlimentsRationVolaillesFemelles[],5,FALSE))/1000/SUM(NbreJoursNourrirAutres)*84&lt;0,0,SUM(VLOOKUP(HN97,AlimentsRationVolaillesMâles[],5,FALSE)+VLOOKUP(HN97,AlimentsRationVolaillesFemelles[],5,FALSE)/1000/SUM(NbreJoursNourrirAutres)*84))</f>
        <v>#DIV/0!</v>
      </c>
      <c r="HT97" s="1085" t="e">
        <f>IF(SUM(VLOOKUP(HN97,AlimentsRationPintadesMâles[],5,FALSE)+VLOOKUP(HN97,AlimentsRationPintadesFemelles[],5,FALSE))/1000/SUM(NbreJoursNourrirAutres)*84&lt;0,0,SUM(VLOOKUP(HN97,AlimentsRationPintadesMâles[],5,FALSE)+VLOOKUP(HN97,AlimentsRationPintadesFemelles[],5,FALSE)/1000/SUM(NbreJoursNourrirAutres)*84))</f>
        <v>#DIV/0!</v>
      </c>
      <c r="HU97" s="1085" t="e">
        <f>IF(SUM(VLOOKUP(HN97,AlimentsRationLapinsMâles[],5,FALSE)+VLOOKUP(HN97,AlimentsRationLapinsFemelles[],5,FALSE))/1000/SUM(NbreJoursNourrirAutres)*84&lt;0,0,SUM(VLOOKUP(HN97,AlimentsRationLapinsMâles[],5,FALSE)+VLOOKUP(HN97,AlimentsRationLapinsFemelles[],5,FALSE)/1000/SUM(NbreJoursNourrirAutres)*84))</f>
        <v>#DIV/0!</v>
      </c>
      <c r="HV97" s="1085" t="e">
        <f>IF(SUM(VLOOKUP(HN97,AlimentsRationOvinsMâles,6,FALSE)+VLOOKUP(HN97,AlimentsRationOvinsFemelles,6,FALSE))/1000/SUM(NbreJoursNourrirOvins)*IF('semences, engrais et traitement'!I$18=OUI,42,84)&lt;0,0,SUM(VLOOKUP(HN97,AlimentsRationOvinsMâles,6,FALSE)+VLOOKUP(HN97,AlimentsRationOvinsFemelles,6,FALSE))/1000/SUM(NbreJoursNourrirOvins)*IF('semences, engrais et traitement'!I$18=OUI,42,84))</f>
        <v>#DIV/0!</v>
      </c>
      <c r="HW97" s="1085" t="e">
        <f>IF(SUM(VLOOKUP(HN97,AlimentsRationOiesMâles[],5,FALSE)+VLOOKUP(HN97,AlimentsRationOiesFemelles[],5,FALSE))/1000/SUM(NbreJoursNourrirAutres)*84&lt;0,0,SUM(VLOOKUP(HN97,AlimentsRationOiesMâles[],5,FALSE)+VLOOKUP(HN97,AlimentsRationOiesFemelles[],5,FALSE)/1000/SUM(NbreJoursNourrirAutres)*84))</f>
        <v>#DIV/0!</v>
      </c>
      <c r="HX97" s="1085" t="e">
        <f t="shared" ref="HX97:HX117" si="37">IF(SUM(VLOOKUP(HN97,AlimentsRationCanardsMâles,5,FALSE)+VLOOKUP(HN97,AlimentsRationCanardsFemelles,5,FALSE))/1000/SUM(NbreJoursNourrirAutres)*84&lt;0,0,SUM(VLOOKUP(HN97,AlimentsRationCanardsMâles,5,FALSE)+VLOOKUP(HN97,AlimentsRationCanardsFemelles,5,FALSE)/1000/SUM(NbreJoursNourrirAutres)*84))</f>
        <v>#DIV/0!</v>
      </c>
      <c r="HY97" s="1085" t="e">
        <f>IF(SUM(VLOOKUP(HN97,AlimentsRationEcurieChevauxMâlesSelle,6,FALSE)+VLOOKUP(HN97,AlimentsRationEcurieChevauxFemellesSelle,6,FALSE))/1000/SUM(NbreJoursNourrirChevauxSelle)*IF('semences, engrais et traitement'!M$16=OUI,56,84)&lt;0,0,SUM(VLOOKUP(HN97,AlimentsRationEcurieChevauxMâlesSelle,6,FALSE)+VLOOKUP(HN97,AlimentsRationEcurieChevauxFemellesSelle,6,FALSE))/1000/SUM(NbreJoursNourrirChevauxSelle)*IF('semences, engrais et traitement'!M$16=OUI,56,84))</f>
        <v>#DIV/0!</v>
      </c>
      <c r="HZ97" s="1085" t="e">
        <f>IF(SUM(VLOOKUP(HN97,AlimentsRationEcurieChevauxMâlesTrait,6,FALSE)+VLOOKUP(HN97,AlimentsRationEcurieChevauxFemellesTrait,6,FALSE))/1000/SUM(NbreJoursNourrirChevauxTrait)*IF('semences, engrais et traitement'!M$17=OUI,56,84)&lt;0,0,SUM(VLOOKUP(HN97,AlimentsRationEcurieChevauxMâlesTrait,6,FALSE)+VLOOKUP(HN97,AlimentsRationEcurieChevauxFemellesTrait,6,FALSE))/1000/SUM(NbreJoursNourrirChevauxTrait)*IF('semences, engrais et traitement'!M$17=OUI,56,84))</f>
        <v>#DIV/0!</v>
      </c>
      <c r="IA97" s="1085" t="e">
        <f>IF(SUM(VLOOKUP(HN97,AlimentsRationEcuriePoneysMâles,6,FALSE)+VLOOKUP(HN97,AlimentsRationEcuriePoneysFemelles,6,FALSE))/1000/SUM(NbreJoursNourrirPoneys)*IF('semences, engrais et traitement'!M$18=OUI,56,84)&lt;0,0,SUM(VLOOKUP(HN97,AlimentsRationEcuriePoneysMâles,6,FALSE)+VLOOKUP(HN97,AlimentsRationEcuriePoneysFemelles,6,FALSE))/1000/SUM(NbreJoursNourrirPoneys)*IF('semences, engrais et traitement'!M$18=OUI,56,84))</f>
        <v>#DIV/0!</v>
      </c>
      <c r="IB97" s="1099" t="e">
        <f>SUM(HO97:IA97)</f>
        <v>#DIV/0!</v>
      </c>
      <c r="IC97" s="1321"/>
      <c r="ID97" s="1321"/>
      <c r="IE97" s="1321"/>
      <c r="IF97" s="1321"/>
      <c r="IG97" s="1321"/>
      <c r="IH97" s="1321"/>
      <c r="II97" s="1321"/>
      <c r="IJ97" s="1321"/>
      <c r="IK97" s="1321"/>
      <c r="IL97" s="1321"/>
      <c r="IM97" s="1321"/>
      <c r="IN97" s="1368"/>
    </row>
    <row r="98" spans="1:248" ht="12.75" customHeight="1" x14ac:dyDescent="0.2">
      <c r="A98" s="1307" t="s">
        <v>163</v>
      </c>
      <c r="B98" s="1241">
        <f>1/1000</f>
        <v>1E-3</v>
      </c>
      <c r="C98" s="1321"/>
      <c r="D98" s="1321"/>
      <c r="E98" s="1321"/>
      <c r="F98" s="1149" t="s">
        <v>523</v>
      </c>
      <c r="G98" s="1245" t="s">
        <v>1167</v>
      </c>
      <c r="H98" s="1149" t="s">
        <v>1202</v>
      </c>
      <c r="I98" s="1245" t="s">
        <v>1197</v>
      </c>
      <c r="J98" s="1245" t="s">
        <v>1168</v>
      </c>
      <c r="K98" s="1149" t="s">
        <v>1203</v>
      </c>
      <c r="L98" s="1149" t="s">
        <v>1202</v>
      </c>
      <c r="M98" s="1321"/>
      <c r="N98" s="1321"/>
      <c r="O98" s="802" t="s">
        <v>1457</v>
      </c>
      <c r="P98" s="802">
        <f>IF(SUM(ChoixEspèceAuPré)="",0,SUMIF(ChoixEspèceAuPré,Bovins,NbreFemelles_12_18MoisAuPréEté))</f>
        <v>0</v>
      </c>
      <c r="Q98" s="802">
        <f>IF(SUM(ChoixEspèceAuPré)="",0,SUMIF(ChoixEspèceAuPré,Ovins,NbreFemelles_12_18MoisAuPréEté))</f>
        <v>0</v>
      </c>
      <c r="R98" s="802">
        <f>IF(SUM(ChoixEspèceAuPré)="",0,SUMIF(ChoixEspèceAuPré,Caprins,NbreFemelles_12_18MoisAuPréEté))</f>
        <v>0</v>
      </c>
      <c r="S98" s="802">
        <f>IF(SUM(ChoixEspèceAuPré)="",0,SUMIF(ChoixEspèceAuPré,Bisons,NbreFemelles_12_18MoisAuPréEté))</f>
        <v>0</v>
      </c>
      <c r="T98" s="802">
        <f>IF(SUM(ChoixEspèceAuPré)="",0,SUMIF(ChoixEspèceAuPré,Daims,NbreFemelles_12_18MoisAuPréEté))</f>
        <v>0</v>
      </c>
      <c r="U98" s="802">
        <f>IF(SUM(ChoixEspèceAuPré)="",0,SUMIF(ChoixEspèceAuPré,ChevauxSelle,NbreFemelles_12_18MoisAuPréEté))</f>
        <v>0</v>
      </c>
      <c r="V98" s="802">
        <f>IF(SUM(ChoixEspèceAuPré)="",0,SUMIF(ChoixEspèceAuPré,ChevauxTrait,NbreFemelles_12_18MoisAuPréEté))</f>
        <v>0</v>
      </c>
      <c r="W98" s="802">
        <f>IF(SUM(ChoixEspèceAuPré)="",0,SUMIF(ChoixEspèceAuPré,Poneys,NbreFemelles_12_18MoisAuPréEté))</f>
        <v>0</v>
      </c>
      <c r="X98" s="1321"/>
      <c r="Y98" s="1081" t="s">
        <v>1689</v>
      </c>
      <c r="Z98" s="1081">
        <f>IF('coût alimentation'!$B$6=$Y$98,70,0)</f>
        <v>0</v>
      </c>
      <c r="AA98" s="1081">
        <f>IF(AND(ChoixBovinsPréEté="OUI",'coût alimentation'!$B$6=$Y$98),35,Z98)</f>
        <v>0</v>
      </c>
      <c r="AB98" s="1081">
        <f>IF('coût alimentation'!$B$6=$Y$98,42,0)</f>
        <v>0</v>
      </c>
      <c r="AC98" s="1081">
        <f>IF(AND(ChoixCaprinsPréEté="OUI",'coût alimentation'!$B$6=$Y$98),35,Z98)</f>
        <v>0</v>
      </c>
      <c r="AD98" s="1081">
        <f>IF(AND(ChoixOvinsPréEté="OUI",'coût alimentation'!$B$6=$Y$98),35,Z98)</f>
        <v>0</v>
      </c>
      <c r="AE98" s="1081">
        <f>IF(AND(ChoixChevauxSellePréEté="OUI",'coût alimentation'!$B$6=$Y$98),21,IF(Y98&lt;&gt;'coût alimentation'!$B$6,0,84))</f>
        <v>0</v>
      </c>
      <c r="AF98" s="1081">
        <f>IF(AND(ChoixChevauxTraitPréEté="OUI",'coût alimentation'!$B$6=$Y$98),21,IF(Y98&lt;&gt;'coût alimentation'!$B$6,0,84))</f>
        <v>0</v>
      </c>
      <c r="AG98" s="1081">
        <f>IF(AND(ChoixPoneysPréEté="OUI",'coût alimentation'!$B$6=$Y$98),21,IF(Y98&lt;&gt;'coût alimentation'!$B$6,0,84))</f>
        <v>0</v>
      </c>
      <c r="AH98" s="1321"/>
      <c r="AI98" s="1321"/>
      <c r="AJ98" s="1321"/>
      <c r="AK98" s="1321"/>
      <c r="AL98" s="1321"/>
      <c r="AM98" s="1321"/>
      <c r="AN98" s="1321"/>
      <c r="AO98" s="1321"/>
      <c r="AP98" s="1321"/>
      <c r="AQ98" s="1321"/>
      <c r="AR98" s="1321"/>
      <c r="AS98" s="1321"/>
      <c r="AT98" s="1321"/>
      <c r="AU98" s="1321"/>
      <c r="AV98" s="1321"/>
      <c r="AW98" s="1321"/>
      <c r="AX98" s="1321"/>
      <c r="AY98" s="1321"/>
      <c r="AZ98" s="1321"/>
      <c r="BA98" s="1321"/>
      <c r="BB98" s="1236" t="s">
        <v>729</v>
      </c>
      <c r="BC98" s="1190" t="s">
        <v>728</v>
      </c>
      <c r="BD98" s="1190" t="s">
        <v>1252</v>
      </c>
      <c r="BE98" s="1237">
        <v>28</v>
      </c>
      <c r="BF98" s="1237">
        <v>24</v>
      </c>
      <c r="BG98" s="1237">
        <v>16</v>
      </c>
      <c r="BH98" s="1237">
        <v>12</v>
      </c>
      <c r="BI98" s="1237">
        <v>8</v>
      </c>
      <c r="BJ98" s="1237">
        <v>4</v>
      </c>
      <c r="BK98" s="1238">
        <v>0</v>
      </c>
      <c r="BL98" s="1348"/>
      <c r="BM98" s="1075" t="str">
        <f t="shared" si="23"/>
        <v>Ration complète</v>
      </c>
      <c r="BN98" s="1075">
        <f t="array" ref="BN98">IF(Ration_hivernale_complète_bisons[somme]&gt;0,0,IFERROR(IF(OR(AND(INDEX(Règles_bison[Specificite],MATCH(ChoixRationBisons&amp;$BM98,Règles_bison[Ration]&amp;Règles_bison[Aliment],0))="s1",IF($BM98=ChoixSpécificité1Bisons,1)),
AND(INDEX(Règles_bison[Specificite],MATCH(ChoixRationBisons&amp;$BM98,Règles_bison[Ration]&amp;Règles_bison[Aliment],0))="s2",IF($BM98=ChoixSpécificité2Bisons,1)),INDEX(Règles_bison[Specificite],MATCH(ChoixRationBisons&amp;$BM98,Règles_bison[Ration]&amp;Règles_bison[Aliment],0))="c"),
INDEX(Règles_bison[Valeur 36 et plus],MATCH(ChoixRationBisons&amp;$BM98,Règles_bison[Ration]&amp;Règles_bison[Aliment],0)),0),0)*TotalBisonnes*SUM(NbreJoursNourrirBisonsDaims))</f>
        <v>0</v>
      </c>
      <c r="BO98" s="1075">
        <f t="array" ref="BO98">IF(Ration_hivernale_complète_bisons[somme]&gt;0,0,IFERROR(IF(OR(AND(INDEX(Règles_bison[Specificite],MATCH(ChoixRationBisons&amp;$BM98,Règles_bison[Ration]&amp;Règles_bison[Aliment],0))="s1",IF($BM98=ChoixSpécificité1Bisons,1)),
AND(INDEX(Règles_bison[Specificite],MATCH(ChoixRationBisons&amp;$BM98,Règles_bison[Ration]&amp;Règles_bison[Aliment],0))="s2",IF($BM98=ChoixSpécificité2Bisons,1)),INDEX(Règles_bison[Specificite],MATCH(ChoixRationBisons&amp;$BM98,Règles_bison[Ration]&amp;Règles_bison[Aliment],0))="c"),
INDEX(Règles_bison[Valeur 24-36],MATCH(ChoixRationBisons&amp;$BM98,Règles_bison[Ration]&amp;Règles_bison[Aliment],0)),0),0)*TotalBisonsFemelles_24_36_mois*SUM(NbreJoursNourrirBisonsDaims))</f>
        <v>0</v>
      </c>
      <c r="BP98" s="1075">
        <f t="array" ref="BP98">IF(Ration_hivernale_complète_bisons[somme]&gt;0,0,IFERROR(IF(OR(AND(INDEX(Règles_bison[Specificite],MATCH(ChoixRationBisons&amp;$BM98,Règles_bison[Ration]&amp;Règles_bison[Aliment],0))="s1",IF($BM98=ChoixSpécificité1Bisons,1)),
AND(INDEX(Règles_bison[Specificite],MATCH(ChoixRationBisons&amp;$BM98,Règles_bison[Ration]&amp;Règles_bison[Aliment],0))="s2",IF($BM98=ChoixSpécificité2Bisons,1)),INDEX(Règles_bison[Specificite],MATCH(ChoixRationBisons&amp;$BM98,Règles_bison[Ration]&amp;Règles_bison[Aliment],0))="c"),
INDEX(Règles_bison[Valeur 18-24],MATCH(ChoixRationBisons&amp;$BM98,Règles_bison[Ration]&amp;Règles_bison[Aliment],0)),0),0)*TotalBisonsFemelles_18_24_mois*SUM(NbreJoursNourrirBisonsDaims))</f>
        <v>0</v>
      </c>
      <c r="BQ98" s="1075">
        <f t="array" ref="BQ98">IF(Ration_hivernale_complète_bisons[somme]&gt;0,0,IFERROR(IF(OR(AND(INDEX(Règles_bison[Specificite],MATCH(ChoixRationBisons&amp;$BM98,Règles_bison[Ration]&amp;Règles_bison[Aliment],0))="s1",IF($BM98=ChoixSpécificité1Bisons,1)),
AND(INDEX(Règles_bison[Specificite],MATCH(ChoixRationBisons&amp;$BM98,Règles_bison[Ration]&amp;Règles_bison[Aliment],0))="s2",IF($BM98=ChoixSpécificité2Bisons,1)),INDEX(Règles_bison[Specificite],MATCH(ChoixRationBisons&amp;$BM98,Règles_bison[Ration]&amp;Règles_bison[Aliment],0))="c"),
INDEX(Règles_bison[Valeur 12-18],MATCH(ChoixRationBisons&amp;$BM98,Règles_bison[Ration]&amp;Règles_bison[Aliment],0)),0),0)*TotalBisonsFemelles_12_18_mois*SUM(NbreJoursNourrirBisonsDaims))</f>
        <v>0</v>
      </c>
      <c r="BR98" s="1075">
        <f t="array" ref="BR98">IF(Ration_hivernale_complète_bisons[somme]&gt;0,0,IFERROR(IF(OR(AND(INDEX(Règles_bison[Specificite],MATCH(ChoixRationBisons&amp;$BM98,Règles_bison[Ration]&amp;Règles_bison[Aliment],0))="s1",IF($BM98=ChoixSpécificité1Bisons,1)),
AND(INDEX(Règles_bison[Specificite],MATCH(ChoixRationBisons&amp;$BM98,Règles_bison[Ration]&amp;Règles_bison[Aliment],0))="s2",IF($BM98=ChoixSpécificité2Bisons,1)),INDEX(Règles_bison[Specificite],MATCH(ChoixRationBisons&amp;$BM98,Règles_bison[Ration]&amp;Règles_bison[Aliment],0))="c"),
INDEX(Règles_bison[Valeur 6-12],MATCH(ChoixRationBisons&amp;$BM98,Règles_bison[Ration]&amp;Règles_bison[Aliment],0)),0),0)*TotalBisonsFemelles_6_12_mois*SUM(NbreJoursNourrirBisonsDaims))</f>
        <v>0</v>
      </c>
      <c r="BS98" s="1075">
        <f t="array" ref="BS98">IF(Ration_hivernale_complète_bisons[somme]&gt;0,0,IFERROR(IF(OR(AND(INDEX(Règles_bison[Specificite],MATCH(ChoixRationBisons&amp;$BM98,Règles_bison[Ration]&amp;Règles_bison[Aliment],0))="s1",IF($BM98=ChoixSpécificité1Bisons,1)),
AND(INDEX(Règles_bison[Specificite],MATCH(ChoixRationBisons&amp;$BM98,Règles_bison[Ration]&amp;Règles_bison[Aliment],0))="s2",IF($BM98=ChoixSpécificité2Bisons,1)),INDEX(Règles_bison[Specificite],MATCH(ChoixRationBisons&amp;$BM98,Règles_bison[Ration]&amp;Règles_bison[Aliment],0))="c"),
INDEX(Règles_bison[Valeur 3-6],MATCH(ChoixRationBisons&amp;$BM98,Règles_bison[Ration]&amp;Règles_bison[Aliment],0)),0),0)*TotalBisonsFemelles_3_6_mois*SUM(NbreJoursNourrirBisonsDaims))</f>
        <v>0</v>
      </c>
      <c r="BT98" s="1075">
        <f t="array" ref="BT98">IF(Ration_hivernale_complète_bisons[somme]&gt;0,0,IFERROR(IF(OR(AND(INDEX(Règles_bison[Specificite],MATCH(ChoixRationBisons&amp;$BM98,Règles_bison[Ration]&amp;Règles_bison[Aliment],0))="s1",IF($BM98=ChoixSpécificité1Bisons,1)),
AND(INDEX(Règles_bison[Specificite],MATCH(ChoixRationBisons&amp;$BM98,Règles_bison[Ration]&amp;Règles_bison[Aliment],0))="s2",IF($BM98=ChoixSpécificité2Bisons,1)),INDEX(Règles_bison[Specificite],MATCH(ChoixRationBisons&amp;$BM98,Règles_bison[Ration]&amp;Règles_bison[Aliment],0))="c"),
INDEX(Règles_bison[Valeur 0-3],MATCH(ChoixRationBisons&amp;$BM98,Règles_bison[Ration]&amp;Règles_bison[Aliment],0)),0),0)*TotalBisonsFemelles_0_3_mois*SUM(NbreJoursNourrirBisonsDaims))</f>
        <v>0</v>
      </c>
      <c r="BU98" s="1075">
        <f t="shared" si="22"/>
        <v>0</v>
      </c>
      <c r="BV98" s="1346"/>
      <c r="BW98" s="1346"/>
      <c r="BX98" s="1176"/>
      <c r="BY98" s="1177"/>
      <c r="BZ98" s="1177"/>
      <c r="CA98" s="1177"/>
      <c r="CB98" s="1177"/>
      <c r="CC98" s="1177"/>
      <c r="CD98" s="1199"/>
      <c r="CE98" s="1350"/>
      <c r="CF98" s="1350"/>
      <c r="CG98" s="1350"/>
      <c r="CH98" s="1350"/>
      <c r="CI98" s="1321"/>
      <c r="CJ98" s="808" t="str">
        <f t="shared" si="26"/>
        <v>Ensilage d'herbe</v>
      </c>
      <c r="CK98" s="788">
        <f t="array" ref="CK9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98" s="788">
        <f t="array" ref="CL9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98" s="788">
        <f t="array" ref="CM9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98" s="788">
        <f t="array" ref="CN9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98" s="788">
        <f t="array" ref="CO9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98" s="812">
        <f>SUM(AlimentsRationPorcinsFemelles[[#This Row],[Valeur 12 et plus]:[Valeur 0-1]])</f>
        <v>0</v>
      </c>
      <c r="CQ98" s="1345"/>
      <c r="CR98" s="1321"/>
      <c r="CS98" s="789" t="s">
        <v>1276</v>
      </c>
      <c r="CT98" s="790" t="s">
        <v>1290</v>
      </c>
      <c r="CU98" s="790" t="s">
        <v>1283</v>
      </c>
      <c r="CV98" s="790" t="s">
        <v>1284</v>
      </c>
      <c r="CW98" s="791" t="s">
        <v>1269</v>
      </c>
      <c r="CX98" s="1321"/>
      <c r="CY98" s="1321"/>
      <c r="CZ98" s="789" t="s">
        <v>1276</v>
      </c>
      <c r="DA98" s="790" t="s">
        <v>1295</v>
      </c>
      <c r="DB98" s="790" t="s">
        <v>1296</v>
      </c>
      <c r="DC98" s="790" t="s">
        <v>1284</v>
      </c>
      <c r="DD98" s="791" t="s">
        <v>1269</v>
      </c>
      <c r="DE98" s="1321"/>
      <c r="DF98" s="1321"/>
      <c r="DG98" s="788" t="str">
        <f t="shared" si="27"/>
        <v>concentré jeunes lapins</v>
      </c>
      <c r="DH98" s="817">
        <f t="array" ref="DH9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98" s="817">
        <f t="array" ref="DI9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98" s="817">
        <f t="array" ref="DJ9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98" s="821">
        <f>SUM(AlimentsRationPintadesFemelles[[#This Row],[Valeur 6 et plus]:[Valeur 0-1]])</f>
        <v>0</v>
      </c>
      <c r="DL98" s="1321"/>
      <c r="DM98" s="1321"/>
      <c r="DN98" s="1176" t="s">
        <v>729</v>
      </c>
      <c r="DO98" s="1177" t="s">
        <v>340</v>
      </c>
      <c r="DP98" s="1177" t="s">
        <v>1252</v>
      </c>
      <c r="DQ98" s="1181">
        <v>8</v>
      </c>
      <c r="DR98" s="1181">
        <v>6</v>
      </c>
      <c r="DS98" s="1181">
        <v>4</v>
      </c>
      <c r="DT98" s="1243">
        <v>0</v>
      </c>
      <c r="DU98" s="1345"/>
      <c r="DV98" s="1076" t="str">
        <f t="shared" si="24"/>
        <v>Orge</v>
      </c>
      <c r="DW98" s="1267">
        <f t="array" ref="DW98">SUM((IF(QualitéAlimentsFaonMâle_0_3_mois=BONNE,VLOOKUP("Orge",AlimentsRationHivernaleDaims,8,FALSE),0)+(IF(QualitéAlimentsFaonFemelle_0_3_mois=BONNE,VLOOKUP("Orge",AlimentsRationHivernaleDaims,8,FALSE),0)+(IF(QualitéAlimentsFaonMâle_3_6_mois=BONNE,VLOOKUP("Orge",AlimentsRationHivernaleDaims,7,FALSE),0)+(IF(QualitéAlimentsFaonFemelle_3_6_mois=BONNE,VLOOKUP("Orge",AlimentsRationHivernaleDaims,7,FALSE),0)+(IF(QualitéAlimentsFaonMâle_6_12_mois=BONNE,VLOOKUP("Orge",AlimentsRationHivernaleDaims,6,FALSE),0)+(IF(QualitéAlimentsFaonFemelle_6_12_mois=BONNE,VLOOKUP("Orge",AlimentsRationHivernaleDaims,6,FALSE),0)+(IF(QualitéAlimentsJeuneDaim_12_18_mois=BONNE,VLOOKUP("Orge",AlimentsRationHivernaleDaims,5,FALSE),0)+(IF(QualitéAlimentsJeuneDaine_12_18_mois=BONNE,VLOOKUP("Orge",AlimentsRationHivernaleDaims,5,FALSE),0)+(IF(QualitéAlimentsJeuneDaim_18_24_mois=BONNE,VLOOKUP("Orge",AlimentsRationHivernaleDaims,4,FALSE),0)+(IF(QualitéAlimentsJeuneDaine_18_24_mois=BONNE,VLOOKUP("Orge",AlimentsRationHivernaleDaims,4,FALSE),0)+(IF(QualitéAlimentsJeuneDaim_24_36_mois=BONNE,VLOOKUP("Orge",AlimentsRationHivernaleDaims,3,FALSE),0)+(IF(QualitéAlimentsJeuneDaine_24_36_mois=BONNE,VLOOKUP("Orge",AlimentsRationHivernaleDaims,3,FALSE),0)+(IF(QualitéAlimentsDaim=BONNE,VLOOKUP("Orge",AlimentsRationHivernaleDaims,2,FALSE),0)+(IF(QualitéAlimentsDaine=BONNE,VLOOKUP("Orge",AlimentsRationHivernaleDaims,2,FALSE),0))))))))))))))))</f>
        <v>0</v>
      </c>
      <c r="DX98" s="1267">
        <f t="array" ref="DX98">SUM((IF(QualitéAlimentsFaonMâle_0_3_mois=MOYENNE,VLOOKUP("Orge",AlimentsRationHivernaleDaims,8,FALSE),0)+(IF(QualitéAlimentsFaonFemelle_0_3_mois=MOYENNE,VLOOKUP("Orge",AlimentsRationHivernaleDaims,8,FALSE),0)+(IF(QualitéAlimentsFaonMâle_3_6_mois=MOYENNE,VLOOKUP("Orge",AlimentsRationHivernaleDaims,7,FALSE),0)+(IF(QualitéAlimentsFaonFemelle_3_6_mois=MOYENNE,VLOOKUP("Orge",AlimentsRationHivernaleDaims,7,FALSE),0)+(IF(QualitéAlimentsFaonMâle_6_12_mois=MOYENNE,VLOOKUP("Orge",AlimentsRationHivernaleDaims,6,FALSE),0)+(IF(QualitéAlimentsFaonFemelle_6_12_mois=MOYENNE,VLOOKUP("Orge",AlimentsRationHivernaleDaims,6,FALSE),0)+(IF(QualitéAlimentsJeuneDaim_12_18_mois=MOYENNE,VLOOKUP("Orge",AlimentsRationHivernaleDaims,5,FALSE),0)+(IF(QualitéAlimentsJeuneDaine_12_18_mois=MOYENNE,VLOOKUP("Orge",AlimentsRationHivernaleDaims,5,FALSE),0)+(IF(QualitéAlimentsJeuneDaim_18_24_mois=MOYENNE,VLOOKUP("Orge",AlimentsRationHivernaleDaims,4,FALSE),0)+(IF(QualitéAlimentsJeuneDaine_18_24_mois=MOYENNE,VLOOKUP("Orge",AlimentsRationHivernaleDaims,4,FALSE),0)+(IF(QualitéAlimentsJeuneDaim_24_36_mois=MOYENNE,VLOOKUP("Orge",AlimentsRationHivernaleDaims,3,FALSE),0)+(IF(QualitéAlimentsJeuneDaine_24_36_mois=MOYENNE,VLOOKUP("Orge",AlimentsRationHivernaleDaims,3,FALSE),0)+(IF(QualitéAlimentsDaim=MOYENNE,VLOOKUP("Orge",AlimentsRationHivernaleDaims,2,FALSE),0)+(IF(QualitéAlimentsDaine=MOYENNE,VLOOKUP("Orge",AlimentsRationHivernaleDaims,2,FALSE),0))))))))))))))))</f>
        <v>0</v>
      </c>
      <c r="DY98" s="1267">
        <f t="array" ref="DY98">SUM((IF(QualitéAlimentsFaonMâle_0_3_mois=MAUVAISE,VLOOKUP("Orge",AlimentsRationHivernaleDaims,8,FALSE),0)+(IF(QualitéAlimentsFaonFemelle_0_3_mois=MAUVAISE,VLOOKUP("Orge",AlimentsRationHivernaleDaims,8,FALSE),0)+(IF(QualitéAlimentsFaonMâle_3_6_mois=MAUVAISE,VLOOKUP("Orge",AlimentsRationHivernaleDaims,7,FALSE),0)+(IF(QualitéAlimentsFaonFemelle_3_6_mois=MAUVAISE,VLOOKUP("Orge",AlimentsRationHivernaleDaims,7,FALSE),0)+(IF(QualitéAlimentsFaonMâle_6_12_mois=MAUVAISE,VLOOKUP("Orge",AlimentsRationHivernaleDaims,6,FALSE),0)+(IF(QualitéAlimentsFaonFemelle_6_12_mois=MAUVAISE,VLOOKUP("Orge",AlimentsRationHivernaleDaims,6,FALSE),0)+(IF(QualitéAlimentsJeuneDaim_12_18_mois=MAUVAISE,VLOOKUP("Orge",AlimentsRationHivernaleDaims,5,FALSE),0)+(IF(QualitéAlimentsJeuneDaine_12_18_mois=MAUVAISE,VLOOKUP("Orge",AlimentsRationHivernaleDaims,5,FALSE),0)+(IF(QualitéAlimentsJeuneDaim_18_24_mois=MAUVAISE,VLOOKUP("Orge",AlimentsRationHivernaleDaims,4,FALSE),0)+(IF(QualitéAlimentsJeuneDaine_18_24_mois=MAUVAISE,VLOOKUP("Orge",AlimentsRationHivernaleDaims,4,FALSE),0)+(IF(QualitéAlimentsJeuneDaim_24_36_mois=MAUVAISE,VLOOKUP("Orge",AlimentsRationHivernaleDaims,3,FALSE),0)+(IF(QualitéAlimentsJeuneDaine_24_36_mois=MAUVAISE,VLOOKUP("Orge",AlimentsRationHivernaleDaims,3,FALSE),0)+(IF(QualitéAlimentsDaim=MAUVAISE,VLOOKUP("Orge",AlimentsRationHivernaleDaims,2,FALSE),0)+(IF(QualitéAlimentsDaine=MAUVAISE,VLOOKUP("Orge",AlimentsRationHivernaleDaims,2,FALSE),0))))))))))))))))</f>
        <v>0</v>
      </c>
      <c r="DZ98" s="1345"/>
      <c r="EA98" s="1345"/>
      <c r="EB98" s="1345"/>
      <c r="EC98" s="1345"/>
      <c r="ED98" s="1345"/>
      <c r="EE98" s="1345"/>
      <c r="EF98" s="1321"/>
      <c r="EG98" s="808" t="str">
        <f t="shared" si="31"/>
        <v>Bouchons luzerne</v>
      </c>
      <c r="EH98" s="817">
        <f t="array" ref="EH9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98" s="817">
        <f t="array" ref="EI9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98" s="817">
        <f t="array" ref="EJ9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98" s="818">
        <f>SUM(AlimentsRationOiesFemelles[[#This Row],[Valeur 6 et plus]:[Valeur 0-3]])</f>
        <v>0</v>
      </c>
      <c r="EL98" s="1345"/>
      <c r="EM98" s="1321"/>
      <c r="EN98" s="823" t="str">
        <f t="shared" si="29"/>
        <v>Chanvre</v>
      </c>
      <c r="EO98" s="828">
        <f t="array" ref="EO9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98" s="828">
        <f t="array" ref="EP9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98" s="828">
        <f t="array" ref="EQ9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98" s="829">
        <f>SUM(Ration_canards_Femelles[[#This Row],[Valeur 6 et plus]:[Valeur 0-3]])</f>
        <v>0</v>
      </c>
      <c r="ES98" s="1345"/>
      <c r="ET98" s="1321"/>
      <c r="EU98" s="1082"/>
      <c r="EV98" s="1282">
        <f t="array" ref="EV98">IF(OR(ChoixRationComplèteEtéChevauxSelle=OUI,ChoixRationComplèteEtéChevauxSelle="",AND(ChoixChevauxSellePréHiver=OUI,ChoixChevauxSellePréEté=OUI)),0,IFERROR(IF(OR(AND(INDEX(Règles_chevaux_selle[Specificite],MATCH(RationEtéChevauxSelle&amp;$EU98,Règles_chevaux_selle[Ration]&amp;Règles_chevaux_selle[Aliment],0))="s1",IF($EU98=Spécificité1ChevauxSelle,1)),
AND(INDEX(Règles_chevaux_selle[Specificite],MATCH(RationEtéChevauxSelle&amp;$EU98,Règles_chevaux_selle[Ration]&amp;Règles_chevaux_selle[Aliment],0))="s2",IF($EU98=Spécificité2ChevauxSelle,1)),
INDEX(Règles_chevaux_selle[Specificite],MATCH(RationEtéChevauxSelle&amp;$EU98,Règles_chevaux_selle[Ration]&amp;Règles_chevaux_selle[Aliment],0))="c"),
INDEX(Règles_chevaux_selle[Valeur 36 et plus],MATCH(RationEtéChevauxSelle&amp;$EU98,Règles_chevaux_selle[Ration]&amp;Règles_chevaux_selle[Aliment],0)),0),0)*TotalEtalonSelle*SUM(NbreJoursNourrirChevauxSelle))</f>
        <v>0</v>
      </c>
      <c r="EW98" s="1282">
        <f t="array" ref="EW98">IF(OR(ChoixRationComplèteEtéChevauxSelle=OUI,ChoixRationComplèteEtéChevauxSelle="",AND(ChoixChevauxSellePréHiver=OUI,ChoixChevauxSellePréEté=OUI)),0,IFERROR(IF(OR(AND(INDEX(Règles_chevaux_selle[Specificite],MATCH(RationEtéChevauxSelle&amp;$EU98,Règles_chevaux_selle[Ration]&amp;Règles_chevaux_selle[Aliment],0))="s1",IF($EU98=Spécificité1ChevauxSelle,1)),
AND(INDEX(Règles_chevaux_selle[Specificite],MATCH(RationEtéChevauxSelle&amp;$EU98,Règles_chevaux_selle[Ration]&amp;Règles_chevaux_selle[Aliment],0))="s2",IF($EU98=Spécificité2ChevauxSelle,1)),
INDEX(Règles_chevaux_selle[Specificite],MATCH(RationEtéChevauxSelle&amp;$EU98,Règles_chevaux_selle[Ration]&amp;Règles_chevaux_selle[Aliment],0))="c"),
INDEX(Règles_chevaux_selle[Valeur 24-36],MATCH(RationEtéChevauxSelle&amp;$EU98,Règles_chevaux_selle[Ration]&amp;Règles_chevaux_selle[Aliment],0)),0),0)*TotalJeuneEtalonSelle_24_36_mois*SUM(NbreJoursNourrirChevauxSelle))</f>
        <v>0</v>
      </c>
      <c r="EX98" s="1282">
        <f t="array" ref="EX98">IF(OR(ChoixRationComplèteEtéChevauxSelle=OUI,ChoixRationComplèteEtéChevauxSelle="",AND(ChoixChevauxSellePréHiver=OUI,ChoixChevauxSellePréEté=OUI)),0,IFERROR(IF(OR(AND(INDEX(Règles_chevaux_selle[Specificite],MATCH(RationEtéChevauxSelle&amp;$EU98,Règles_chevaux_selle[Ration]&amp;Règles_chevaux_selle[Aliment],0))="s1",IF($EU98=Spécificité1ChevauxSelle,1)),
AND(INDEX(Règles_chevaux_selle[Specificite],MATCH(RationEtéChevauxSelle&amp;$EU98,Règles_chevaux_selle[Ration]&amp;Règles_chevaux_selle[Aliment],0))="s2",IF($EU98=Spécificité2ChevauxSelle,1)),
INDEX(Règles_chevaux_selle[Specificite],MATCH(RationEtéChevauxSelle&amp;$EU98,Règles_chevaux_selle[Ration]&amp;Règles_chevaux_selle[Aliment],0))="c"),
INDEX(Règles_chevaux_selle[Valeur 12-24],MATCH(RationEtéChevauxSelle&amp;$EU98,Règles_chevaux_selle[Ration]&amp;Règles_chevaux_selle[Aliment],0)),0),0)*TotalJeuneEtalonSelle_12_24_mois*SUM(NbreJoursNourrirChevauxSelle))</f>
        <v>0</v>
      </c>
      <c r="EY98" s="1285">
        <f t="array" ref="EY98">IF(OR(ChoixRationComplèteEtéChevauxSelle=OUI,ChoixRationComplèteEtéChevauxSelle="",AND(ChoixChevauxSellePréHiver=OUI,ChoixChevauxSellePréEté=OUI)),0,IFERROR(IF(OR(AND(INDEX(Règles_chevaux_selle[Specificite],MATCH(RationEtéChevauxSelle&amp;$EU98,Règles_chevaux_selle[Ration]&amp;Règles_chevaux_selle[Aliment],0))="s1",IF($EU98=Spécificité1ChevauxSelle,1)),
AND(INDEX(Règles_chevaux_selle[Specificite],MATCH(RationEtéChevauxSelle&amp;$EU98,Règles_chevaux_selle[Ration]&amp;Règles_chevaux_selle[Aliment],0))="s2",IF($EU98=Spécificité2ChevauxSelle,1)),
INDEX(Règles_chevaux_selle[Specificite],MATCH(RationEtéChevauxSelle&amp;$EU98,Règles_chevaux_selle[Ration]&amp;Règles_chevaux_selle[Aliment],0))="c"),
INDEX(Règles_chevaux_selle[Valeur 0-12],MATCH(RationEtéChevauxSelle&amp;$EU98,Règles_chevaux_selle[Ration]&amp;Règles_chevaux_selle[Aliment],0)),0),0)*TotalPoulainSelle_0_12_mois*SUM(NbreJoursNourrirChevauxSelle))</f>
        <v>0</v>
      </c>
      <c r="EZ98" s="1285">
        <f t="shared" si="16"/>
        <v>0</v>
      </c>
      <c r="FA98" s="1345"/>
      <c r="FB98" s="1345"/>
      <c r="FC98" s="1321"/>
      <c r="FD98" s="1082" t="str">
        <f t="shared" si="34"/>
        <v>Blé</v>
      </c>
      <c r="FE98" s="1282">
        <f t="array" ref="FE98">IF(OR(ChoixRationComplèteEtéChevauxTrait=OUI,ChoixRationComplèteEtéChevauxTrait="",AND(ChoixChevauxTraitPréHiver=OUI,ChoixChevauxTraitPréEté=OUI)),0,IFERROR(IF(OR(AND(INDEX(Règles_chevaux_trait[Specificite],MATCH(RationEtéChevauxTrait&amp;$FD98,Règles_chevaux_trait[Ration]&amp;Règles_chevaux_trait[Aliment],0))="s1",IF($FD98=Spécificité1ChevauxTrait,1)),
AND(INDEX(Règles_chevaux_trait[Specificite],MATCH(RationEtéChevauxTrait&amp;$FD98,Règles_chevaux_trait[Ration]&amp;Règles_chevaux_trait[Aliment],0))="s2",IF($FD98=Spécificité2ChevauxTrait,1)),
INDEX(Règles_chevaux_trait[Specificite],MATCH(RationEtéChevauxTrait&amp;$FD98,Règles_chevaux_trait[Ration]&amp;Règles_chevaux_trait[Aliment],0))="c"),
INDEX(Règles_chevaux_trait[Valeur 36 et plus],MATCH(RationEtéChevauxTrait&amp;$FD98,Règles_chevaux_trait[Ration]&amp;Règles_chevaux_trait[Aliment],0)),0),0)*TotalJumentTrait*SUM(NbreJoursNourrirChevauxTrait))</f>
        <v>0</v>
      </c>
      <c r="FF98" s="1282">
        <f t="array" ref="FF98">IF(OR(ChoixRationComplèteEtéChevauxTrait=OUI,ChoixRationComplèteEtéChevauxTrait="",AND(ChoixChevauxTraitPréHiver=OUI,ChoixChevauxTraitPréEté=OUI)),0,IFERROR(IF(OR(AND(INDEX(Règles_chevaux_trait[Specificite],MATCH(RationEtéChevauxTrait&amp;$FD98,Règles_chevaux_trait[Ration]&amp;Règles_chevaux_trait[Aliment],0))="s1",IF($FD98=Spécificité1ChevauxTrait,1)),
AND(INDEX(Règles_chevaux_trait[Specificite],MATCH(RationEtéChevauxTrait&amp;$FD98,Règles_chevaux_trait[Ration]&amp;Règles_chevaux_trait[Aliment],0))="s2",IF($FD98=Spécificité2ChevauxTrait,1)),
INDEX(Règles_chevaux_trait[Specificite],MATCH(RationEtéChevauxTrait&amp;$FD98,Règles_chevaux_trait[Ration]&amp;Règles_chevaux_trait[Aliment],0))="c"),
INDEX(Règles_chevaux_trait[Valeur 24-36],MATCH(RationEtéChevauxTrait&amp;$FD98,Règles_chevaux_trait[Ration]&amp;Règles_chevaux_trait[Aliment],0)),0),0)*TotalJeuneJumentTrait_24_36_mois*SUM(NbreJoursNourrirChevauxTrait))</f>
        <v>0</v>
      </c>
      <c r="FG98" s="1282">
        <f t="array" ref="FG98">IF(OR(ChoixRationComplèteEtéChevauxTrait=OUI,ChoixRationComplèteEtéChevauxTrait="",AND(ChoixChevauxTraitPréHiver=OUI,ChoixChevauxTraitPréEté=OUI)),0,IFERROR(IF(OR(AND(INDEX(Règles_chevaux_trait[Specificite],MATCH(RationEtéChevauxTrait&amp;$FD98,Règles_chevaux_trait[Ration]&amp;Règles_chevaux_trait[Aliment],0))="s1",IF($FD98=Spécificité1ChevauxTrait,1)),
AND(INDEX(Règles_chevaux_trait[Specificite],MATCH(RationEtéChevauxTrait&amp;$FD98,Règles_chevaux_trait[Ration]&amp;Règles_chevaux_trait[Aliment],0))="s2",IF($FD98=Spécificité2ChevauxTrait,1)),
INDEX(Règles_chevaux_trait[Specificite],MATCH(RationEtéChevauxTrait&amp;$FD98,Règles_chevaux_trait[Ration]&amp;Règles_chevaux_trait[Aliment],0))="c"),
INDEX(Règles_chevaux_trait[Valeur 12-24],MATCH(RationEtéChevauxTrait&amp;$FD98,Règles_chevaux_trait[Ration]&amp;Règles_chevaux_trait[Aliment],0)),0),0)*TotalJeuneJumentTrait_12_24_mois*SUM(NbreJoursNourrirChevauxTrait))</f>
        <v>0</v>
      </c>
      <c r="FH98" s="1285">
        <f t="array" ref="FH98">IF(OR(ChoixRationComplèteEtéChevauxTrait=OUI,ChoixRationComplèteEtéChevauxTrait="",AND(ChoixChevauxTraitPréHiver=OUI,ChoixChevauxTraitPréEté=OUI)),0,IFERROR(IF(OR(AND(INDEX(Règles_chevaux_trait[Specificite],MATCH(RationEtéChevauxTrait&amp;$FD98,Règles_chevaux_trait[Ration]&amp;Règles_chevaux_trait[Aliment],0))="s1",IF($FD98=Spécificité1ChevauxTrait,1)),
AND(INDEX(Règles_chevaux_trait[Specificite],MATCH(RationEtéChevauxTrait&amp;$FD98,Règles_chevaux_trait[Ration]&amp;Règles_chevaux_trait[Aliment],0))="s2",IF($FD98=Spécificité2ChevauxTrait,1)),
INDEX(Règles_chevaux_trait[Specificite],MATCH(RationEtéChevauxTrait&amp;$FD98,Règles_chevaux_trait[Ration]&amp;Règles_chevaux_trait[Aliment],0))="c"),
INDEX(Règles_chevaux_trait[Valeur 0-12],MATCH(RationEtéChevauxTrait&amp;$FD98,Règles_chevaux_trait[Ration]&amp;Règles_chevaux_trait[Aliment],0)),0),0)*TotalPoulicheTrait_0_12_mois*SUM(NbreJoursNourrirChevauxTrait))</f>
        <v>0</v>
      </c>
      <c r="FI98" s="1285">
        <f t="shared" si="32"/>
        <v>0</v>
      </c>
      <c r="FJ98" s="1345"/>
      <c r="FK98" s="1345"/>
      <c r="FL98" s="1345"/>
      <c r="FM98" s="1321"/>
      <c r="FN98" s="1083" t="str">
        <f t="shared" si="33"/>
        <v>Bouchons luzerne</v>
      </c>
      <c r="FO98" s="1283">
        <f t="array" ref="FO98">IF(OR(ChoixRationComplèteEtéPoneys=OUI,ChoixRationComplèteEtéPoneys="",AND(ChoixPoneysPréHiver=OUI,ChoixPoneysPréEté=OUI)),0,IFERROR(IF(OR(AND(INDEX(Règles_poneys[Specificite],MATCH(RationEtéPoneys&amp;$FN98,Règles_poneys[Ration]&amp;Règles_poneys[Aliment],0))="s1",IF($FN98=Spécificité1Poneys,1)),
AND(INDEX(Règles_poneys[Specificite],MATCH(RationEtéPoneys&amp;$FN98,Règles_poneys[Ration]&amp;Règles_poneys[Aliment],0))="s2",IF($FN98=Spécificité2Poneys,1)),
INDEX(Règles_poneys[Specificite],MATCH(RationEtéPoneys&amp;$FN98,Règles_poneys[Ration]&amp;Règles_poneys[Aliment],0))="c"),
INDEX(Règles_poneys[Valeur 36 et plus],MATCH(RationEtéPoneys&amp;$FN98,Règles_poneys[Ration]&amp;Règles_poneys[Aliment],0)),0),0)*TotalJumentPoney*SUM(NbreJoursNourrirPoneys))</f>
        <v>0</v>
      </c>
      <c r="FP98" s="1283">
        <f t="array" ref="FP98">IF(OR(ChoixRationComplèteEtéPoneys=OUI,ChoixRationComplèteEtéPoneys="",AND(ChoixPoneysPréHiver=OUI,ChoixPoneysPréEté=OUI)),0,IFERROR(IF(OR(AND(INDEX(Règles_poneys[Specificite],MATCH(RationEtéPoneys&amp;$FN98,Règles_poneys[Ration]&amp;Règles_poneys[Aliment],0))="s1",IF($FN98=Spécificité1Poneys,1)),
AND(INDEX(Règles_poneys[Specificite],MATCH(RationEtéPoneys&amp;$FN98,Règles_poneys[Ration]&amp;Règles_poneys[Aliment],0))="s2",IF($FN98=Spécificité2Poneys,1)),
INDEX(Règles_poneys[Specificite],MATCH(RationEtéPoneys&amp;$FN98,Règles_poneys[Ration]&amp;Règles_poneys[Aliment],0))="c"),
INDEX(Règles_poneys[Valeur 36 et plus],MATCH(RationEtéPoneys&amp;$FN98,Règles_poneys[Ration]&amp;Règles_poneys[Aliment],0)),0),0)*TotalJeuneJumentPoney_24_36_mois*SUM(NbreJoursNourrirPoneys))</f>
        <v>0</v>
      </c>
      <c r="FQ98" s="1283">
        <f t="array" ref="FQ98">IF(OR(ChoixRationComplèteEtéPoneys=OUI,ChoixRationComplèteEtéPoneys="",AND(ChoixPoneysPréHiver=OUI,ChoixPoneysPréEté=OUI)),0,IFERROR(IF(OR(AND(INDEX(Règles_poneys[Specificite],MATCH(RationEtéPoneys&amp;$FN98,Règles_poneys[Ration]&amp;Règles_poneys[Aliment],0))="s1",IF($FN98=Spécificité1Poneys,1)),
AND(INDEX(Règles_poneys[Specificite],MATCH(RationEtéPoneys&amp;$FN98,Règles_poneys[Ration]&amp;Règles_poneys[Aliment],0))="s2",IF($FN98=Spécificité2Poneys,1)),
INDEX(Règles_poneys[Specificite],MATCH(RationEtéPoneys&amp;$FN98,Règles_poneys[Ration]&amp;Règles_poneys[Aliment],0))="c"),
INDEX(Règles_poneys[Valeur 36 et plus],MATCH(RationEtéPoneys&amp;$FN98,Règles_poneys[Ration]&amp;Règles_poneys[Aliment],0)),0),0)*TotalJeuneJumentPoney_12_24_mois*SUM(NbreJoursNourrirPoneys))</f>
        <v>0</v>
      </c>
      <c r="FR98" s="1286">
        <f t="array" ref="FR98">IF(OR(ChoixRationComplèteEtéPoneys=OUI,ChoixRationComplèteEtéPoneys="",AND(ChoixPoneysPréHiver=OUI,ChoixPoneysPréEté=OUI)),0,IFERROR(IF(OR(AND(INDEX(Règles_poneys[Specificite],MATCH(RationEtéPoneys&amp;$FN98,Règles_poneys[Ration]&amp;Règles_poneys[Aliment],0))="s1",IF($FN98=Spécificité1Poneys,1)),
AND(INDEX(Règles_poneys[Specificite],MATCH(RationEtéPoneys&amp;$FN98,Règles_poneys[Ration]&amp;Règles_poneys[Aliment],0))="s2",IF($FN98=Spécificité2Poneys,1)),
INDEX(Règles_poneys[Specificite],MATCH(RationEtéPoneys&amp;$FN98,Règles_poneys[Ration]&amp;Règles_poneys[Aliment],0))="c"),
INDEX(Règles_poneys[Valeur 36 et plus],MATCH(RationEtéPoneys&amp;$FN98,Règles_poneys[Ration]&amp;Règles_poneys[Aliment],0)),0),0)*TotalPoulichePoney_0_12_mois*SUM(NbreJoursNourrirPoneys))</f>
        <v>0</v>
      </c>
      <c r="FS98" s="1286">
        <f t="shared" si="30"/>
        <v>0</v>
      </c>
      <c r="FT98" s="1345"/>
      <c r="FU98" s="1345"/>
      <c r="FV98" s="1345"/>
      <c r="FW98" s="823" t="str">
        <f t="shared" si="28"/>
        <v>concentré jeunes lapins</v>
      </c>
      <c r="FX98" s="828">
        <f t="array" ref="FX9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98" s="828">
        <f t="array" ref="FY9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98" s="828">
        <f t="array" ref="FZ9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98" s="828">
        <f t="array" ref="GA9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98" s="829">
        <f>SUM(AlimentsGavageCanards[[#This Row],[Valeur 3 et plus]:[Valeur 0-1]])</f>
        <v>0</v>
      </c>
      <c r="GC98" s="1321"/>
      <c r="GD98" s="1321"/>
      <c r="GE98" s="1321"/>
      <c r="GF98" s="1321"/>
      <c r="GG98" s="1321" t="s">
        <v>1349</v>
      </c>
      <c r="GH98" s="1321" t="s">
        <v>1349</v>
      </c>
      <c r="GI98" s="1321" t="s">
        <v>1349</v>
      </c>
      <c r="GJ98" s="1321" t="s">
        <v>1349</v>
      </c>
      <c r="GK98" s="1321" t="s">
        <v>1349</v>
      </c>
      <c r="GL98" s="1321" t="s">
        <v>1349</v>
      </c>
      <c r="GM98" s="1321" t="s">
        <v>1349</v>
      </c>
      <c r="GN98" s="1321" t="s">
        <v>1349</v>
      </c>
      <c r="GO98" s="1321" t="s">
        <v>1349</v>
      </c>
      <c r="GP98" s="1321" t="s">
        <v>1349</v>
      </c>
      <c r="GQ98" s="1321" t="s">
        <v>1349</v>
      </c>
      <c r="GR98" s="1321" t="s">
        <v>1349</v>
      </c>
      <c r="GS98" s="1321" t="s">
        <v>1349</v>
      </c>
      <c r="GT98" s="1321" t="s">
        <v>1349</v>
      </c>
      <c r="GU98" s="1321" t="s">
        <v>1349</v>
      </c>
      <c r="GV98" s="1321" t="s">
        <v>1349</v>
      </c>
      <c r="GW98" s="1321"/>
      <c r="GX98" s="1321"/>
      <c r="GY98" s="1083" t="str">
        <f t="shared" si="35"/>
        <v>insecticide</v>
      </c>
      <c r="GZ98" s="1083"/>
      <c r="HA98" s="1084"/>
      <c r="HB98" s="1084">
        <f>IF(COUNTIF(TypeArticleDansEntrepôt,GY98)=0,0,SUMIF(TypeArticleDansEntrepôt,GY98,QtéArticleDansEntrepôt)*VLOOKUP(GY98,place_necessaire_entrepots_aire_paille[],2,FALSE))</f>
        <v>0</v>
      </c>
      <c r="HC98" s="1321"/>
      <c r="HD98" s="1321"/>
      <c r="HE98" s="1321"/>
      <c r="HF98" s="1321"/>
      <c r="HG98" s="1321"/>
      <c r="HH98" s="1321"/>
      <c r="HI98" s="1321"/>
      <c r="HJ98" s="1321"/>
      <c r="HK98" s="1321"/>
      <c r="HL98" s="1321"/>
      <c r="HM98" s="1321"/>
      <c r="HN98" s="1100" t="s">
        <v>523</v>
      </c>
      <c r="HO98" s="1084" t="e">
        <f>IF(SUM((VLOOKUP(HN98,AlimentsRationBovinsMâles,9,FALSE)+VLOOKUP(HN98,AlimentsRationBovinsFemelles,9,FALSE)+VLOOKUP(HN98,BDD!BB$284:BJ$323,9,FALSE))/1000/SUM(NbreJoursNourrirBovins)*IF('semences, engrais et traitement'!I$16=OUI,42,84))&lt;0,0,SUM((VLOOKUP(HN98,AlimentsRationBovinsMâles,9,FALSE)+VLOOKUP(HN98,AlimentsRationBovinsFemelles,9,FALSE)+VLOOKUP(HN98,BDD!BB$284:BJ$323,9,FALSE))/1000/SUM(NbreJoursNourrirBovins)*IF('semences, engrais et traitement'!I$16=OUI,42,84)))</f>
        <v>#DIV/0!</v>
      </c>
      <c r="HP98" s="1084">
        <f t="shared" si="36"/>
        <v>0</v>
      </c>
      <c r="HQ98" s="1084" t="e">
        <f>IF(SUM(VLOOKUP(HN98,AlimentsRationPorcinsMâles[],7,FALSE)+VLOOKUP(HN98,AlimentsRationPorcinsFemelles[],7,FALSE))/1000/SUM(NbreJoursNourrirAutres)*84&lt;0,0,SUM(VLOOKUP(HN98,AlimentsRationPorcinsMâles[],7,FALSE)+VLOOKUP(HN98,AlimentsRationPorcinsFemelles[],7,FALSE)/1000/SUM(NbreJoursNourrirAutres)*84))</f>
        <v>#DIV/0!</v>
      </c>
      <c r="HR98" s="1084" t="e">
        <f>IF(SUM(VLOOKUP(HN98,AlimentsRationCaprinsMâles,6,FALSE)+VLOOKUP(HN98,AlimentsRationCaprinsFemelles,6,FALSE))/1000/SUM(NbreJoursNourrirCaprins)*IF('semences, engrais et traitement'!I$17=OUI,42,84)&lt;0,0,SUM(VLOOKUP(HN98,AlimentsRationCaprinsMâles,6,FALSE)+VLOOKUP(HN98,AlimentsRationCaprinsFemelles,6,FALSE))/1000/SUM(NbreJoursNourrirCaprins)*IF('semences, engrais et traitement'!I$17=OUI,42,84))</f>
        <v>#DIV/0!</v>
      </c>
      <c r="HS98" s="1084" t="e">
        <f>IF(SUM(VLOOKUP(HN98,AlimentsRationVolaillesMâles[],5,FALSE)+VLOOKUP(HN98,AlimentsRationVolaillesFemelles[],5,FALSE))/1000/SUM(NbreJoursNourrirAutres)*84&lt;0,0,SUM(VLOOKUP(HN98,AlimentsRationVolaillesMâles[],5,FALSE)+VLOOKUP(HN98,AlimentsRationVolaillesFemelles[],5,FALSE)/1000/SUM(NbreJoursNourrirAutres)*84))</f>
        <v>#DIV/0!</v>
      </c>
      <c r="HT98" s="1084" t="e">
        <f>IF(SUM(VLOOKUP(HN98,AlimentsRationPintadesMâles[],5,FALSE)+VLOOKUP(HN98,AlimentsRationPintadesFemelles[],5,FALSE))/1000/SUM(NbreJoursNourrirAutres)*84&lt;0,0,SUM(VLOOKUP(HN98,AlimentsRationPintadesMâles[],5,FALSE)+VLOOKUP(HN98,AlimentsRationPintadesFemelles[],5,FALSE)/1000/SUM(NbreJoursNourrirAutres)*84))</f>
        <v>#DIV/0!</v>
      </c>
      <c r="HU98" s="1084" t="e">
        <f>IF(SUM(VLOOKUP(HN98,AlimentsRationLapinsMâles[],5,FALSE)+VLOOKUP(HN98,AlimentsRationLapinsFemelles[],5,FALSE))/1000/SUM(NbreJoursNourrirAutres)*84&lt;0,0,SUM(VLOOKUP(HN98,AlimentsRationLapinsMâles[],5,FALSE)+VLOOKUP(HN98,AlimentsRationLapinsFemelles[],5,FALSE)/1000/SUM(NbreJoursNourrirAutres)*84))</f>
        <v>#DIV/0!</v>
      </c>
      <c r="HV98" s="1084" t="e">
        <f>IF(SUM(VLOOKUP(HN98,AlimentsRationOvinsMâles,6,FALSE)+VLOOKUP(HN98,AlimentsRationOvinsFemelles,6,FALSE))/1000/SUM(NbreJoursNourrirOvins)*IF('semences, engrais et traitement'!I$18=OUI,42,84)&lt;0,0,SUM(VLOOKUP(HN98,AlimentsRationOvinsMâles,6,FALSE)+VLOOKUP(HN98,AlimentsRationOvinsFemelles,6,FALSE))/1000/SUM(NbreJoursNourrirOvins)*IF('semences, engrais et traitement'!I$18=OUI,42,84))</f>
        <v>#DIV/0!</v>
      </c>
      <c r="HW98" s="1084" t="e">
        <f>IF(SUM(VLOOKUP(HN98,AlimentsRationOiesMâles[],5,FALSE)+VLOOKUP(HN98,AlimentsRationOiesFemelles[],5,FALSE))/1000/SUM(NbreJoursNourrirAutres)*84&lt;0,0,SUM(VLOOKUP(HN98,AlimentsRationOiesMâles[],5,FALSE)+VLOOKUP(HN98,AlimentsRationOiesFemelles[],5,FALSE)/1000/SUM(NbreJoursNourrirAutres)*84))</f>
        <v>#DIV/0!</v>
      </c>
      <c r="HX98" s="1084" t="e">
        <f t="shared" si="37"/>
        <v>#DIV/0!</v>
      </c>
      <c r="HY98" s="1084" t="e">
        <f>IF(SUM(VLOOKUP(HN98,AlimentsRationEcurieChevauxMâlesSelle,6,FALSE)+VLOOKUP(HN98,AlimentsRationEcurieChevauxFemellesSelle,6,FALSE))/1000/SUM(NbreJoursNourrirChevauxSelle)*IF('semences, engrais et traitement'!M$16=OUI,56,84)&lt;0,0,SUM(VLOOKUP(HN98,AlimentsRationEcurieChevauxMâlesSelle,6,FALSE)+VLOOKUP(HN98,AlimentsRationEcurieChevauxFemellesSelle,6,FALSE))/1000/SUM(NbreJoursNourrirChevauxSelle)*IF('semences, engrais et traitement'!M$16=OUI,56,84))</f>
        <v>#DIV/0!</v>
      </c>
      <c r="HZ98" s="1084" t="e">
        <f>IF(SUM(VLOOKUP(HN98,AlimentsRationEcurieChevauxMâlesTrait,6,FALSE)+VLOOKUP(HN98,AlimentsRationEcurieChevauxFemellesTrait,6,FALSE))/1000/SUM(NbreJoursNourrirChevauxTrait)*IF('semences, engrais et traitement'!M$17=OUI,56,84)&lt;0,0,SUM(VLOOKUP(HN98,AlimentsRationEcurieChevauxMâlesTrait,6,FALSE)+VLOOKUP(HN98,AlimentsRationEcurieChevauxFemellesTrait,6,FALSE))/1000/SUM(NbreJoursNourrirChevauxTrait)*IF('semences, engrais et traitement'!M$17=OUI,56,84))</f>
        <v>#DIV/0!</v>
      </c>
      <c r="IA98" s="1084" t="e">
        <f>IF(SUM(VLOOKUP(HN98,AlimentsRationEcuriePoneysMâles,6,FALSE)+VLOOKUP(HN98,AlimentsRationEcuriePoneysFemelles,6,FALSE))/1000/SUM(NbreJoursNourrirPoneys)*IF('semences, engrais et traitement'!M$18=OUI,56,84)&lt;0,0,SUM(VLOOKUP(HN98,AlimentsRationEcuriePoneysMâles,6,FALSE)+VLOOKUP(HN98,AlimentsRationEcuriePoneysFemelles,6,FALSE))/1000/SUM(NbreJoursNourrirPoneys)*IF('semences, engrais et traitement'!M$18=OUI,56,84))</f>
        <v>#DIV/0!</v>
      </c>
      <c r="IB98" s="1100" t="e">
        <f t="shared" ref="IB98:IB129" si="38">SUM(HO98:IA98)</f>
        <v>#DIV/0!</v>
      </c>
      <c r="IC98" s="1321"/>
      <c r="ID98" s="1321"/>
      <c r="IE98" s="1321"/>
      <c r="IF98" s="1321"/>
      <c r="IG98" s="1321"/>
      <c r="IH98" s="1321"/>
      <c r="II98" s="1321"/>
      <c r="IJ98" s="1321"/>
      <c r="IK98" s="1321"/>
      <c r="IL98" s="1321"/>
      <c r="IM98" s="1321"/>
      <c r="IN98" s="1368"/>
    </row>
    <row r="99" spans="1:248" ht="12.75" customHeight="1" x14ac:dyDescent="0.2">
      <c r="A99" s="1307" t="s">
        <v>521</v>
      </c>
      <c r="B99" s="1241">
        <f>1/1000</f>
        <v>1E-3</v>
      </c>
      <c r="C99" s="1321"/>
      <c r="D99" s="1321"/>
      <c r="E99" s="1321"/>
      <c r="F99" s="1143" t="s">
        <v>714</v>
      </c>
      <c r="G99" s="1143" t="s">
        <v>1176</v>
      </c>
      <c r="H99" s="1246" t="s">
        <v>1207</v>
      </c>
      <c r="I99" s="1244" t="s">
        <v>1200</v>
      </c>
      <c r="J99" s="1143" t="s">
        <v>1177</v>
      </c>
      <c r="K99" s="1246" t="s">
        <v>1209</v>
      </c>
      <c r="L99" s="1143" t="s">
        <v>1178</v>
      </c>
      <c r="M99" s="1321"/>
      <c r="N99" s="1321"/>
      <c r="O99" s="802" t="s">
        <v>1458</v>
      </c>
      <c r="P99" s="802">
        <f>IF(SUM(ChoixEspèceAuPré)="",0,SUMIF(ChoixEspèceAuPré,Bovins,NbreMâles_18_24MoisAuPréEté))</f>
        <v>0</v>
      </c>
      <c r="Q99" s="802">
        <f>IF(SUM(ChoixEspèceAuPré)="",0,SUMIF(ChoixEspèceAuPré,Ovins,NbreMâles_18_24MoisAuPréEté))</f>
        <v>0</v>
      </c>
      <c r="R99" s="802">
        <f>IF(SUM(ChoixEspèceAuPré)="",0,SUMIF(ChoixEspèceAuPré,Caprins,NbreMâles_18_24MoisAuPréEté))</f>
        <v>0</v>
      </c>
      <c r="S99" s="802">
        <f>IF(SUM(ChoixEspèceAuPré)="",0,SUMIF(ChoixEspèceAuPré,Bisons,NbreMâles_18_24MoisAuPréEté))</f>
        <v>0</v>
      </c>
      <c r="T99" s="802">
        <f>IF(SUM(ChoixEspèceAuPré)="",0,SUMIF(ChoixEspèceAuPré,Daims,NbreMâles_18_24MoisAuPréEté))</f>
        <v>0</v>
      </c>
      <c r="U99" s="802">
        <f>IF(SUM(ChoixEspèceAuPré)="",0,SUMIF(ChoixEspèceAuPré,ChevauxSelle,NbreMâles_18_24MoisAuPréEté))</f>
        <v>0</v>
      </c>
      <c r="V99" s="802">
        <f>IF(SUM(ChoixEspèceAuPré)="",0,SUMIF(ChoixEspèceAuPré,ChevauxTrait,NbreMâles_18_24MoisAuPréEté))</f>
        <v>0</v>
      </c>
      <c r="W99" s="802">
        <f>IF(SUM(ChoixEspèceAuPré)="",0,SUMIF(ChoixEspèceAuPré,Poneys,NbreMâles_18_24MoisAuPréEté))</f>
        <v>0</v>
      </c>
      <c r="X99" s="1321"/>
      <c r="Y99" s="1080" t="s">
        <v>1690</v>
      </c>
      <c r="Z99" s="1080">
        <f>IF('coût alimentation'!$B$6=$Y$99,77,0)</f>
        <v>0</v>
      </c>
      <c r="AA99" s="1080">
        <f>IF(AND(ChoixBovinsPréEté="OUI",'coût alimentation'!$B$6=$Y$99),35,Z99)</f>
        <v>0</v>
      </c>
      <c r="AB99" s="1080">
        <f>IF('coût alimentation'!$B$6=$Y$99,42,0)</f>
        <v>0</v>
      </c>
      <c r="AC99" s="1080">
        <f>IF(AND(ChoixCaprinsPréEté="OUI",'coût alimentation'!$B$6=$Y$99),35,Z99)</f>
        <v>0</v>
      </c>
      <c r="AD99" s="1080">
        <f>IF(AND(ChoixOvinsPréEté="OUI",'coût alimentation'!$B$6=$Y$99),35,Z99)</f>
        <v>0</v>
      </c>
      <c r="AE99" s="1080">
        <f>IF(AND(ChoixChevauxSellePréEté="OUI",'coût alimentation'!$B$6=$Y$99),21,IF(Y99&lt;&gt;'coût alimentation'!$B$6,0,84))</f>
        <v>0</v>
      </c>
      <c r="AF99" s="1080">
        <f>IF(AND(ChoixChevauxTraitPréEté="OUI",'coût alimentation'!$B$6=$Y$99),21,IF(Y99&lt;&gt;'coût alimentation'!$B$6,0,84))</f>
        <v>0</v>
      </c>
      <c r="AG99" s="1080">
        <f>IF(AND(ChoixPoneysPréEté="OUI",'coût alimentation'!$B$6=$Y$99),21,IF(Y99&lt;&gt;'coût alimentation'!$B$6,0,84))</f>
        <v>0</v>
      </c>
      <c r="AH99" s="1321"/>
      <c r="AI99" s="1321"/>
      <c r="AJ99" s="1321"/>
      <c r="AK99" s="1321"/>
      <c r="AL99" s="1321"/>
      <c r="AM99" s="1321"/>
      <c r="AN99" s="1321"/>
      <c r="AO99" s="1321"/>
      <c r="AP99" s="1321"/>
      <c r="AQ99" s="1321"/>
      <c r="AR99" s="1321"/>
      <c r="AS99" s="1321"/>
      <c r="AT99" s="1321"/>
      <c r="AU99" s="1321"/>
      <c r="AV99" s="1321"/>
      <c r="AW99" s="1321"/>
      <c r="AX99" s="1321"/>
      <c r="AY99" s="1321"/>
      <c r="AZ99" s="1321"/>
      <c r="BA99" s="1321"/>
      <c r="BB99" s="1236" t="s">
        <v>729</v>
      </c>
      <c r="BC99" s="1190" t="s">
        <v>672</v>
      </c>
      <c r="BD99" s="1190" t="s">
        <v>1253</v>
      </c>
      <c r="BE99" s="1237">
        <v>7.2</v>
      </c>
      <c r="BF99" s="1237">
        <v>6</v>
      </c>
      <c r="BG99" s="1237">
        <v>4</v>
      </c>
      <c r="BH99" s="1237">
        <v>2</v>
      </c>
      <c r="BI99" s="1237">
        <v>1.2</v>
      </c>
      <c r="BJ99" s="1237">
        <v>0.6</v>
      </c>
      <c r="BK99" s="1238">
        <v>0</v>
      </c>
      <c r="BL99" s="1348"/>
      <c r="BM99" s="1076" t="str">
        <f t="shared" si="23"/>
        <v>Seigle</v>
      </c>
      <c r="BN99" s="1076">
        <f t="array" ref="BN99">IF(Ration_hivernale_complète_bisons[somme]&gt;0,0,IFERROR(IF(OR(AND(INDEX(Règles_bison[Specificite],MATCH(ChoixRationBisons&amp;$BM99,Règles_bison[Ration]&amp;Règles_bison[Aliment],0))="s1",IF($BM99=ChoixSpécificité1Bisons,1)),
AND(INDEX(Règles_bison[Specificite],MATCH(ChoixRationBisons&amp;$BM99,Règles_bison[Ration]&amp;Règles_bison[Aliment],0))="s2",IF($BM99=ChoixSpécificité2Bisons,1)),INDEX(Règles_bison[Specificite],MATCH(ChoixRationBisons&amp;$BM99,Règles_bison[Ration]&amp;Règles_bison[Aliment],0))="c"),
INDEX(Règles_bison[Valeur 36 et plus],MATCH(ChoixRationBisons&amp;$BM99,Règles_bison[Ration]&amp;Règles_bison[Aliment],0)),0),0)*TotalBisonnes*SUM(NbreJoursNourrirBisonsDaims))</f>
        <v>0</v>
      </c>
      <c r="BO99" s="1076">
        <f t="array" ref="BO99">IF(Ration_hivernale_complète_bisons[somme]&gt;0,0,IFERROR(IF(OR(AND(INDEX(Règles_bison[Specificite],MATCH(ChoixRationBisons&amp;$BM99,Règles_bison[Ration]&amp;Règles_bison[Aliment],0))="s1",IF($BM99=ChoixSpécificité1Bisons,1)),
AND(INDEX(Règles_bison[Specificite],MATCH(ChoixRationBisons&amp;$BM99,Règles_bison[Ration]&amp;Règles_bison[Aliment],0))="s2",IF($BM99=ChoixSpécificité2Bisons,1)),INDEX(Règles_bison[Specificite],MATCH(ChoixRationBisons&amp;$BM99,Règles_bison[Ration]&amp;Règles_bison[Aliment],0))="c"),
INDEX(Règles_bison[Valeur 24-36],MATCH(ChoixRationBisons&amp;$BM99,Règles_bison[Ration]&amp;Règles_bison[Aliment],0)),0),0)*TotalBisonsFemelles_24_36_mois*SUM(NbreJoursNourrirBisonsDaims))</f>
        <v>0</v>
      </c>
      <c r="BP99" s="1076">
        <f t="array" ref="BP99">IF(Ration_hivernale_complète_bisons[somme]&gt;0,0,IFERROR(IF(OR(AND(INDEX(Règles_bison[Specificite],MATCH(ChoixRationBisons&amp;$BM99,Règles_bison[Ration]&amp;Règles_bison[Aliment],0))="s1",IF($BM99=ChoixSpécificité1Bisons,1)),
AND(INDEX(Règles_bison[Specificite],MATCH(ChoixRationBisons&amp;$BM99,Règles_bison[Ration]&amp;Règles_bison[Aliment],0))="s2",IF($BM99=ChoixSpécificité2Bisons,1)),INDEX(Règles_bison[Specificite],MATCH(ChoixRationBisons&amp;$BM99,Règles_bison[Ration]&amp;Règles_bison[Aliment],0))="c"),
INDEX(Règles_bison[Valeur 18-24],MATCH(ChoixRationBisons&amp;$BM99,Règles_bison[Ration]&amp;Règles_bison[Aliment],0)),0),0)*TotalBisonsFemelles_18_24_mois*SUM(NbreJoursNourrirBisonsDaims))</f>
        <v>0</v>
      </c>
      <c r="BQ99" s="1076">
        <f t="array" ref="BQ99">IF(Ration_hivernale_complète_bisons[somme]&gt;0,0,IFERROR(IF(OR(AND(INDEX(Règles_bison[Specificite],MATCH(ChoixRationBisons&amp;$BM99,Règles_bison[Ration]&amp;Règles_bison[Aliment],0))="s1",IF($BM99=ChoixSpécificité1Bisons,1)),
AND(INDEX(Règles_bison[Specificite],MATCH(ChoixRationBisons&amp;$BM99,Règles_bison[Ration]&amp;Règles_bison[Aliment],0))="s2",IF($BM99=ChoixSpécificité2Bisons,1)),INDEX(Règles_bison[Specificite],MATCH(ChoixRationBisons&amp;$BM99,Règles_bison[Ration]&amp;Règles_bison[Aliment],0))="c"),
INDEX(Règles_bison[Valeur 12-18],MATCH(ChoixRationBisons&amp;$BM99,Règles_bison[Ration]&amp;Règles_bison[Aliment],0)),0),0)*TotalBisonsFemelles_12_18_mois*SUM(NbreJoursNourrirBisonsDaims))</f>
        <v>0</v>
      </c>
      <c r="BR99" s="1076">
        <f t="array" ref="BR99">IF(Ration_hivernale_complète_bisons[somme]&gt;0,0,IFERROR(IF(OR(AND(INDEX(Règles_bison[Specificite],MATCH(ChoixRationBisons&amp;$BM99,Règles_bison[Ration]&amp;Règles_bison[Aliment],0))="s1",IF($BM99=ChoixSpécificité1Bisons,1)),
AND(INDEX(Règles_bison[Specificite],MATCH(ChoixRationBisons&amp;$BM99,Règles_bison[Ration]&amp;Règles_bison[Aliment],0))="s2",IF($BM99=ChoixSpécificité2Bisons,1)),INDEX(Règles_bison[Specificite],MATCH(ChoixRationBisons&amp;$BM99,Règles_bison[Ration]&amp;Règles_bison[Aliment],0))="c"),
INDEX(Règles_bison[Valeur 6-12],MATCH(ChoixRationBisons&amp;$BM99,Règles_bison[Ration]&amp;Règles_bison[Aliment],0)),0),0)*TotalBisonsFemelles_6_12_mois*SUM(NbreJoursNourrirBisonsDaims))</f>
        <v>0</v>
      </c>
      <c r="BS99" s="1076">
        <f t="array" ref="BS99">IF(Ration_hivernale_complète_bisons[somme]&gt;0,0,IFERROR(IF(OR(AND(INDEX(Règles_bison[Specificite],MATCH(ChoixRationBisons&amp;$BM99,Règles_bison[Ration]&amp;Règles_bison[Aliment],0))="s1",IF($BM99=ChoixSpécificité1Bisons,1)),
AND(INDEX(Règles_bison[Specificite],MATCH(ChoixRationBisons&amp;$BM99,Règles_bison[Ration]&amp;Règles_bison[Aliment],0))="s2",IF($BM99=ChoixSpécificité2Bisons,1)),INDEX(Règles_bison[Specificite],MATCH(ChoixRationBisons&amp;$BM99,Règles_bison[Ration]&amp;Règles_bison[Aliment],0))="c"),
INDEX(Règles_bison[Valeur 3-6],MATCH(ChoixRationBisons&amp;$BM99,Règles_bison[Ration]&amp;Règles_bison[Aliment],0)),0),0)*TotalBisonsFemelles_3_6_mois*SUM(NbreJoursNourrirBisonsDaims))</f>
        <v>0</v>
      </c>
      <c r="BT99" s="1076">
        <f t="array" ref="BT99">IF(Ration_hivernale_complète_bisons[somme]&gt;0,0,IFERROR(IF(OR(AND(INDEX(Règles_bison[Specificite],MATCH(ChoixRationBisons&amp;$BM99,Règles_bison[Ration]&amp;Règles_bison[Aliment],0))="s1",IF($BM99=ChoixSpécificité1Bisons,1)),
AND(INDEX(Règles_bison[Specificite],MATCH(ChoixRationBisons&amp;$BM99,Règles_bison[Ration]&amp;Règles_bison[Aliment],0))="s2",IF($BM99=ChoixSpécificité2Bisons,1)),INDEX(Règles_bison[Specificite],MATCH(ChoixRationBisons&amp;$BM99,Règles_bison[Ration]&amp;Règles_bison[Aliment],0))="c"),
INDEX(Règles_bison[Valeur 0-3],MATCH(ChoixRationBisons&amp;$BM99,Règles_bison[Ration]&amp;Règles_bison[Aliment],0)),0),0)*TotalBisonsFemelles_0_3_mois*SUM(NbreJoursNourrirBisonsDaims))</f>
        <v>0</v>
      </c>
      <c r="BU99" s="1076">
        <f t="shared" si="22"/>
        <v>0</v>
      </c>
      <c r="BV99" s="1346"/>
      <c r="BW99" s="1346"/>
      <c r="BX99" s="1176"/>
      <c r="BY99" s="1177"/>
      <c r="BZ99" s="1177"/>
      <c r="CA99" s="1177"/>
      <c r="CB99" s="1177"/>
      <c r="CC99" s="1177"/>
      <c r="CD99" s="1199"/>
      <c r="CE99" s="1350"/>
      <c r="CF99" s="1350"/>
      <c r="CG99" s="1350"/>
      <c r="CH99" s="1350"/>
      <c r="CI99" s="1321"/>
      <c r="CJ99" s="808" t="str">
        <f t="shared" si="26"/>
        <v>Eau</v>
      </c>
      <c r="CK99" s="788">
        <f t="array" ref="CK99">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99" s="788">
        <f t="array" ref="CL99">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99" s="788">
        <f t="array" ref="CM99">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99" s="788">
        <f t="array" ref="CN99">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99" s="788">
        <f t="array" ref="CO99">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99" s="812">
        <f>SUM(AlimentsRationPorcinsFemelles[[#This Row],[Valeur 12 et plus]:[Valeur 0-1]])</f>
        <v>0</v>
      </c>
      <c r="CQ99" s="1345"/>
      <c r="CR99" s="1321"/>
      <c r="CS99" s="808" t="str">
        <f>CS57</f>
        <v>Avoine</v>
      </c>
      <c r="CT99" s="817">
        <f t="array" ref="CT9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99" s="817">
        <f t="array" ref="CU9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99" s="817">
        <f t="array" ref="CV9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99" s="818">
        <f>SUM(AlimentsRationLapinsFemelles[[#This Row],[Valeur 3 et plus]:[Valeur 0-1]])</f>
        <v>0</v>
      </c>
      <c r="CX99" s="1321"/>
      <c r="CY99" s="1321"/>
      <c r="CZ99" s="808" t="str">
        <f>CZ57</f>
        <v>Avoine</v>
      </c>
      <c r="DA99" s="817">
        <f t="array" ref="DA9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99" s="817">
        <f t="array" ref="DB9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99" s="817">
        <f t="array" ref="DC9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99" s="818">
        <f>SUM(AlimentsRationVolaillesFemelles[[#This Row],[Valeur 6 et plus]:[Valeur 0-1]])</f>
        <v>0</v>
      </c>
      <c r="DE99" s="1321"/>
      <c r="DF99" s="1321"/>
      <c r="DG99" s="788" t="str">
        <f t="shared" si="27"/>
        <v>concentré jeunes porcins</v>
      </c>
      <c r="DH99" s="817">
        <f t="array" ref="DH99">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99" s="817">
        <f t="array" ref="DI99">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99" s="817">
        <f t="array" ref="DJ99">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99" s="821">
        <f>SUM(AlimentsRationPintadesFemelles[[#This Row],[Valeur 6 et plus]:[Valeur 0-1]])</f>
        <v>0</v>
      </c>
      <c r="DL99" s="1321"/>
      <c r="DM99" s="1321"/>
      <c r="DN99" s="1176" t="s">
        <v>729</v>
      </c>
      <c r="DO99" s="1177" t="s">
        <v>728</v>
      </c>
      <c r="DP99" s="1177" t="s">
        <v>1252</v>
      </c>
      <c r="DQ99" s="1181">
        <v>6</v>
      </c>
      <c r="DR99" s="1181">
        <v>4</v>
      </c>
      <c r="DS99" s="1181">
        <v>2</v>
      </c>
      <c r="DT99" s="1243">
        <v>0</v>
      </c>
      <c r="DU99" s="1345"/>
      <c r="DV99" s="1075" t="str">
        <f t="shared" si="24"/>
        <v>Paille</v>
      </c>
      <c r="DW99" s="1269">
        <f t="array" ref="DW99">SUM((IF(QualitéAlimentsFaonMâle_0_3_mois=BONNE,VLOOKUP("Paille",AlimentsRationHivernaleDaims,8,FALSE),0)+(IF(QualitéAlimentsFaonFemelle_0_3_mois=BONNE,VLOOKUP("Paille",AlimentsRationHivernaleDaims,8,FALSE),0)+(IF(QualitéAlimentsFaonMâle_3_6_mois=BONNE,VLOOKUP("Paille",AlimentsRationHivernaleDaims,7,FALSE),0)+(IF(QualitéAlimentsFaonFemelle_3_6_mois=BONNE,VLOOKUP("Paille",AlimentsRationHivernaleDaims,7,FALSE),0)+(IF(QualitéAlimentsFaonMâle_6_12_mois=BONNE,VLOOKUP("Paille",AlimentsRationHivernaleDaims,6,FALSE),0)+(IF(QualitéAlimentsFaonFemelle_6_12_mois=BONNE,VLOOKUP("Paille",AlimentsRationHivernaleDaims,6,FALSE),0)+(IF(QualitéAlimentsJeuneDaim_12_18_mois=BONNE,VLOOKUP("Paille",AlimentsRationHivernaleDaims,5,FALSE),0)+(IF(QualitéAlimentsJeuneDaine_12_18_mois=BONNE,VLOOKUP("Paille",AlimentsRationHivernaleDaims,5,FALSE),0)+(IF(QualitéAlimentsJeuneDaim_18_24_mois=BONNE,VLOOKUP("Paille",AlimentsRationHivernaleDaims,4,FALSE),0)+(IF(QualitéAlimentsJeuneDaine_18_24_mois=BONNE,VLOOKUP("Paille",AlimentsRationHivernaleDaims,4,FALSE),0)+(IF(QualitéAlimentsJeuneDaim_24_36_mois=BONNE,VLOOKUP("Paille",AlimentsRationHivernaleDaims,3,FALSE),0)+(IF(QualitéAlimentsJeuneDaine_24_36_mois=BONNE,VLOOKUP("Paille",AlimentsRationHivernaleDaims,3,FALSE),0)+(IF(QualitéAlimentsDaim=BONNE,VLOOKUP("Paille",AlimentsRationHivernaleDaims,2,FALSE),0)+(IF(QualitéAlimentsDaine=BONNE,VLOOKUP("Paille",AlimentsRationHivernaleDaims,2,FALSE),0))))))))))))))))</f>
        <v>0</v>
      </c>
      <c r="DX99" s="1269">
        <f t="array" ref="DX99">SUM((IF(QualitéAlimentsFaonMâle_0_3_mois=MOYENNE,VLOOKUP("Paille",AlimentsRationHivernaleDaims,8,FALSE),0)+(IF(QualitéAlimentsFaonFemelle_0_3_mois=MOYENNE,VLOOKUP("Paille",AlimentsRationHivernaleDaims,8,FALSE),0)+(IF(QualitéAlimentsFaonMâle_3_6_mois=MOYENNE,VLOOKUP("Paille",AlimentsRationHivernaleDaims,7,FALSE),0)+(IF(QualitéAlimentsFaonFemelle_3_6_mois=MOYENNE,VLOOKUP("Paille",AlimentsRationHivernaleDaims,7,FALSE),0)+(IF(QualitéAlimentsFaonMâle_6_12_mois=MOYENNE,VLOOKUP("Paille",AlimentsRationHivernaleDaims,6,FALSE),0)+(IF(QualitéAlimentsFaonFemelle_6_12_mois=MOYENNE,VLOOKUP("Paille",AlimentsRationHivernaleDaims,6,FALSE),0)+(IF(QualitéAlimentsJeuneDaim_12_18_mois=MOYENNE,VLOOKUP("Paille",AlimentsRationHivernaleDaims,5,FALSE),0)+(IF(QualitéAlimentsJeuneDaine_12_18_mois=MOYENNE,VLOOKUP("Paille",AlimentsRationHivernaleDaims,5,FALSE),0)+(IF(QualitéAlimentsJeuneDaim_18_24_mois=MOYENNE,VLOOKUP("Paille",AlimentsRationHivernaleDaims,4,FALSE),0)+(IF(QualitéAlimentsJeuneDaine_18_24_mois=MOYENNE,VLOOKUP("Paille",AlimentsRationHivernaleDaims,4,FALSE),0)+(IF(QualitéAlimentsJeuneDaim_24_36_mois=MOYENNE,VLOOKUP("Paille",AlimentsRationHivernaleDaims,3,FALSE),0)+(IF(QualitéAlimentsJeuneDaine_24_36_mois=MOYENNE,VLOOKUP("Paille",AlimentsRationHivernaleDaims,3,FALSE),0)+(IF(QualitéAlimentsDaim=MOYENNE,VLOOKUP("Paille",AlimentsRationHivernaleDaims,2,FALSE),0)+(IF(QualitéAlimentsDaine=MOYENNE,VLOOKUP("Paille",AlimentsRationHivernaleDaims,2,FALSE),0))))))))))))))))</f>
        <v>0</v>
      </c>
      <c r="DY99" s="1269">
        <f t="array" ref="DY99">SUM((IF(QualitéAlimentsFaonMâle_0_3_mois=MAUVAISE,VLOOKUP("Paille",AlimentsRationHivernaleDaims,8,FALSE),0)+(IF(QualitéAlimentsFaonFemelle_0_3_mois=MAUVAISE,VLOOKUP("Paille",AlimentsRationHivernaleDaims,8,FALSE),0)+(IF(QualitéAlimentsFaonMâle_3_6_mois=MAUVAISE,VLOOKUP("Paille",AlimentsRationHivernaleDaims,7,FALSE),0)+(IF(QualitéAlimentsFaonFemelle_3_6_mois=MAUVAISE,VLOOKUP("Paille",AlimentsRationHivernaleDaims,7,FALSE),0)+(IF(QualitéAlimentsFaonMâle_6_12_mois=MAUVAISE,VLOOKUP("Paille",AlimentsRationHivernaleDaims,6,FALSE),0)+(IF(QualitéAlimentsFaonFemelle_6_12_mois=MAUVAISE,VLOOKUP("Paille",AlimentsRationHivernaleDaims,6,FALSE),0)+(IF(QualitéAlimentsJeuneDaim_12_18_mois=MAUVAISE,VLOOKUP("Paille",AlimentsRationHivernaleDaims,5,FALSE),0)+(IF(QualitéAlimentsJeuneDaine_12_18_mois=MAUVAISE,VLOOKUP("Paille",AlimentsRationHivernaleDaims,5,FALSE),0)+(IF(QualitéAlimentsJeuneDaim_18_24_mois=MAUVAISE,VLOOKUP("Paille",AlimentsRationHivernaleDaims,4,FALSE),0)+(IF(QualitéAlimentsJeuneDaine_18_24_mois=MAUVAISE,VLOOKUP("Paille",AlimentsRationHivernaleDaims,4,FALSE),0)+(IF(QualitéAlimentsJeuneDaim_24_36_mois=MAUVAISE,VLOOKUP("Paille",AlimentsRationHivernaleDaims,3,FALSE),0)+(IF(QualitéAlimentsJeuneDaine_24_36_mois=MAUVAISE,VLOOKUP("Paille",AlimentsRationHivernaleDaims,3,FALSE),0)+(IF(QualitéAlimentsDaim=MAUVAISE,VLOOKUP("Paille",AlimentsRationHivernaleDaims,2,FALSE),0)+(IF(QualitéAlimentsDaine=MAUVAISE,VLOOKUP("Paille",AlimentsRationHivernaleDaims,2,FALSE),0))))))))))))))))</f>
        <v>0</v>
      </c>
      <c r="DZ99" s="1345"/>
      <c r="EA99" s="1345"/>
      <c r="EB99" s="1345"/>
      <c r="EC99" s="1345"/>
      <c r="ED99" s="1345"/>
      <c r="EE99" s="1345"/>
      <c r="EF99" s="1321"/>
      <c r="EG99" s="808" t="str">
        <f t="shared" si="31"/>
        <v>Chanvre</v>
      </c>
      <c r="EH99" s="817">
        <f t="array" ref="EH9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99" s="817">
        <f t="array" ref="EI9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99" s="817">
        <f t="array" ref="EJ9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99" s="818">
        <f>SUM(AlimentsRationOiesFemelles[[#This Row],[Valeur 6 et plus]:[Valeur 0-3]])</f>
        <v>0</v>
      </c>
      <c r="EL99" s="1345"/>
      <c r="EM99" s="1321"/>
      <c r="EN99" s="823" t="str">
        <f t="shared" si="29"/>
        <v>Canola</v>
      </c>
      <c r="EO99" s="828">
        <f t="array" ref="EO99">IF(AND(ChoixPaysPartie&lt;&gt;USA,ChoixPaysPartie&lt;&gt;CANADA,ChoixPaysPartie&lt;&gt;""),0,IF(ChoixRationComplèteCanards=OUI,0,IFERROR(IF(OR(AND(INDEX(Règles_canards[Specificite],MATCH(ChoixRationCanards&amp;Ration_canards_Femelles[[#This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99" s="828">
        <f t="array" ref="EP99">IF(AND(ChoixPaysPartie&lt;&gt;USA,ChoixPaysPartie&lt;&gt;CANADA,ChoixPaysPartie&lt;&gt;""),0,IF(ChoixRationComplèteCanards=OUI,0,IFERROR(IF(OR(AND(INDEX(Règles_canards[Specificite],MATCH(ChoixRationCanards&amp;Ration_canards_Femelles[[#This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99" s="828">
        <f>IF(AND(ChoixPaysPartie&lt;&gt;USA,ChoixPaysPartie&lt;&gt;CANADA,ChoixPaysPartie&lt;&gt;""),0,IF(ChoixRationComplèteCanards=OUI,0,IFERROR(IF(OR(AND(INDEX(Règles_canards[Specificite],MATCH(ChoixRationCanards&amp;Ration_canards_Femelles[[#This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99" s="829">
        <f>SUM(Ration_canards_Femelles[[#This Row],[Valeur 6 et plus]:[Valeur 0-3]])</f>
        <v>0</v>
      </c>
      <c r="ES99" s="1345"/>
      <c r="ET99" s="1321"/>
      <c r="EU99" s="1336"/>
      <c r="EV99" s="1336"/>
      <c r="EW99" s="1336"/>
      <c r="EX99" s="1336"/>
      <c r="EY99" s="1336"/>
      <c r="EZ99" s="1336"/>
      <c r="FA99" s="1345"/>
      <c r="FB99" s="1345"/>
      <c r="FC99" s="1321"/>
      <c r="FD99" s="1083" t="str">
        <f t="shared" si="34"/>
        <v>Bouchons luzerne</v>
      </c>
      <c r="FE99" s="1283">
        <f t="array" ref="FE99">IF(OR(ChoixRationComplèteEtéChevauxTrait=OUI,ChoixRationComplèteEtéChevauxTrait="",AND(ChoixChevauxTraitPréHiver=OUI,ChoixChevauxTraitPréEté=OUI)),0,IFERROR(IF(OR(AND(INDEX(Règles_chevaux_trait[Specificite],MATCH(RationEtéChevauxTrait&amp;$FD99,Règles_chevaux_trait[Ration]&amp;Règles_chevaux_trait[Aliment],0))="s1",IF($FD99=Spécificité1ChevauxTrait,1)),
AND(INDEX(Règles_chevaux_trait[Specificite],MATCH(RationEtéChevauxTrait&amp;$FD99,Règles_chevaux_trait[Ration]&amp;Règles_chevaux_trait[Aliment],0))="s2",IF($FD99=Spécificité2ChevauxTrait,1)),
INDEX(Règles_chevaux_trait[Specificite],MATCH(RationEtéChevauxTrait&amp;$FD99,Règles_chevaux_trait[Ration]&amp;Règles_chevaux_trait[Aliment],0))="c"),
INDEX(Règles_chevaux_trait[Valeur 36 et plus],MATCH(RationEtéChevauxTrait&amp;$FD99,Règles_chevaux_trait[Ration]&amp;Règles_chevaux_trait[Aliment],0)),0),0)*TotalJumentTrait*SUM(NbreJoursNourrirChevauxTrait))</f>
        <v>0</v>
      </c>
      <c r="FF99" s="1283">
        <f t="array" ref="FF99">IF(OR(ChoixRationComplèteEtéChevauxTrait=OUI,ChoixRationComplèteEtéChevauxTrait="",AND(ChoixChevauxTraitPréHiver=OUI,ChoixChevauxTraitPréEté=OUI)),0,IFERROR(IF(OR(AND(INDEX(Règles_chevaux_trait[Specificite],MATCH(RationEtéChevauxTrait&amp;$FD99,Règles_chevaux_trait[Ration]&amp;Règles_chevaux_trait[Aliment],0))="s1",IF($FD99=Spécificité1ChevauxTrait,1)),
AND(INDEX(Règles_chevaux_trait[Specificite],MATCH(RationEtéChevauxTrait&amp;$FD99,Règles_chevaux_trait[Ration]&amp;Règles_chevaux_trait[Aliment],0))="s2",IF($FD99=Spécificité2ChevauxTrait,1)),
INDEX(Règles_chevaux_trait[Specificite],MATCH(RationEtéChevauxTrait&amp;$FD99,Règles_chevaux_trait[Ration]&amp;Règles_chevaux_trait[Aliment],0))="c"),
INDEX(Règles_chevaux_trait[Valeur 24-36],MATCH(RationEtéChevauxTrait&amp;$FD99,Règles_chevaux_trait[Ration]&amp;Règles_chevaux_trait[Aliment],0)),0),0)*TotalJeuneJumentTrait_24_36_mois*SUM(NbreJoursNourrirChevauxTrait))</f>
        <v>0</v>
      </c>
      <c r="FG99" s="1283">
        <f t="array" ref="FG99">IF(OR(ChoixRationComplèteEtéChevauxTrait=OUI,ChoixRationComplèteEtéChevauxTrait="",AND(ChoixChevauxTraitPréHiver=OUI,ChoixChevauxTraitPréEté=OUI)),0,IFERROR(IF(OR(AND(INDEX(Règles_chevaux_trait[Specificite],MATCH(RationEtéChevauxTrait&amp;$FD99,Règles_chevaux_trait[Ration]&amp;Règles_chevaux_trait[Aliment],0))="s1",IF($FD99=Spécificité1ChevauxTrait,1)),
AND(INDEX(Règles_chevaux_trait[Specificite],MATCH(RationEtéChevauxTrait&amp;$FD99,Règles_chevaux_trait[Ration]&amp;Règles_chevaux_trait[Aliment],0))="s2",IF($FD99=Spécificité2ChevauxTrait,1)),
INDEX(Règles_chevaux_trait[Specificite],MATCH(RationEtéChevauxTrait&amp;$FD99,Règles_chevaux_trait[Ration]&amp;Règles_chevaux_trait[Aliment],0))="c"),
INDEX(Règles_chevaux_trait[Valeur 12-24],MATCH(RationEtéChevauxTrait&amp;$FD99,Règles_chevaux_trait[Ration]&amp;Règles_chevaux_trait[Aliment],0)),0),0)*TotalJeuneJumentTrait_12_24_mois*SUM(NbreJoursNourrirChevauxTrait))</f>
        <v>0</v>
      </c>
      <c r="FH99" s="1286">
        <f t="array" ref="FH99">IF(OR(ChoixRationComplèteEtéChevauxTrait=OUI,ChoixRationComplèteEtéChevauxTrait="",AND(ChoixChevauxTraitPréHiver=OUI,ChoixChevauxTraitPréEté=OUI)),0,IFERROR(IF(OR(AND(INDEX(Règles_chevaux_trait[Specificite],MATCH(RationEtéChevauxTrait&amp;$FD99,Règles_chevaux_trait[Ration]&amp;Règles_chevaux_trait[Aliment],0))="s1",IF($FD99=Spécificité1ChevauxTrait,1)),
AND(INDEX(Règles_chevaux_trait[Specificite],MATCH(RationEtéChevauxTrait&amp;$FD99,Règles_chevaux_trait[Ration]&amp;Règles_chevaux_trait[Aliment],0))="s2",IF($FD99=Spécificité2ChevauxTrait,1)),
INDEX(Règles_chevaux_trait[Specificite],MATCH(RationEtéChevauxTrait&amp;$FD99,Règles_chevaux_trait[Ration]&amp;Règles_chevaux_trait[Aliment],0))="c"),
INDEX(Règles_chevaux_trait[Valeur 0-12],MATCH(RationEtéChevauxTrait&amp;$FD99,Règles_chevaux_trait[Ration]&amp;Règles_chevaux_trait[Aliment],0)),0),0)*TotalPoulicheTrait_0_12_mois*SUM(NbreJoursNourrirChevauxTrait))</f>
        <v>0</v>
      </c>
      <c r="FI99" s="1286">
        <f t="shared" si="32"/>
        <v>0</v>
      </c>
      <c r="FJ99" s="1345"/>
      <c r="FK99" s="1345"/>
      <c r="FL99" s="1345"/>
      <c r="FM99" s="1321"/>
      <c r="FN99" s="1082" t="str">
        <f t="shared" si="33"/>
        <v>Chanvre</v>
      </c>
      <c r="FO99" s="1282">
        <f t="array" ref="FO99">IF(OR(ChoixRationComplèteEtéPoneys=OUI,ChoixRationComplèteEtéPoneys="",AND(ChoixPoneysPréHiver=OUI,ChoixPoneysPréEté=OUI)),0,IFERROR(IF(OR(AND(INDEX(Règles_poneys[Specificite],MATCH(RationEtéPoneys&amp;$FN99,Règles_poneys[Ration]&amp;Règles_poneys[Aliment],0))="s1",IF($FN99=Spécificité1Poneys,1)),
AND(INDEX(Règles_poneys[Specificite],MATCH(RationEtéPoneys&amp;$FN99,Règles_poneys[Ration]&amp;Règles_poneys[Aliment],0))="s2",IF($FN99=Spécificité2Poneys,1)),
INDEX(Règles_poneys[Specificite],MATCH(RationEtéPoneys&amp;$FN99,Règles_poneys[Ration]&amp;Règles_poneys[Aliment],0))="c"),
INDEX(Règles_poneys[Valeur 36 et plus],MATCH(RationEtéPoneys&amp;$FN99,Règles_poneys[Ration]&amp;Règles_poneys[Aliment],0)),0),0)*TotalJumentPoney*SUM(NbreJoursNourrirPoneys))</f>
        <v>0</v>
      </c>
      <c r="FP99" s="1282">
        <f t="array" ref="FP99">IF(OR(ChoixRationComplèteEtéPoneys=OUI,ChoixRationComplèteEtéPoneys="",AND(ChoixPoneysPréHiver=OUI,ChoixPoneysPréEté=OUI)),0,IFERROR(IF(OR(AND(INDEX(Règles_poneys[Specificite],MATCH(RationEtéPoneys&amp;$FN99,Règles_poneys[Ration]&amp;Règles_poneys[Aliment],0))="s1",IF($FN99=Spécificité1Poneys,1)),
AND(INDEX(Règles_poneys[Specificite],MATCH(RationEtéPoneys&amp;$FN99,Règles_poneys[Ration]&amp;Règles_poneys[Aliment],0))="s2",IF($FN99=Spécificité2Poneys,1)),
INDEX(Règles_poneys[Specificite],MATCH(RationEtéPoneys&amp;$FN99,Règles_poneys[Ration]&amp;Règles_poneys[Aliment],0))="c"),
INDEX(Règles_poneys[Valeur 36 et plus],MATCH(RationEtéPoneys&amp;$FN99,Règles_poneys[Ration]&amp;Règles_poneys[Aliment],0)),0),0)*TotalJeuneJumentPoney_24_36_mois*SUM(NbreJoursNourrirPoneys))</f>
        <v>0</v>
      </c>
      <c r="FQ99" s="1282">
        <f t="array" ref="FQ99">IF(OR(ChoixRationComplèteEtéPoneys=OUI,ChoixRationComplèteEtéPoneys="",AND(ChoixPoneysPréHiver=OUI,ChoixPoneysPréEté=OUI)),0,IFERROR(IF(OR(AND(INDEX(Règles_poneys[Specificite],MATCH(RationEtéPoneys&amp;$FN99,Règles_poneys[Ration]&amp;Règles_poneys[Aliment],0))="s1",IF($FN99=Spécificité1Poneys,1)),
AND(INDEX(Règles_poneys[Specificite],MATCH(RationEtéPoneys&amp;$FN99,Règles_poneys[Ration]&amp;Règles_poneys[Aliment],0))="s2",IF($FN99=Spécificité2Poneys,1)),
INDEX(Règles_poneys[Specificite],MATCH(RationEtéPoneys&amp;$FN99,Règles_poneys[Ration]&amp;Règles_poneys[Aliment],0))="c"),
INDEX(Règles_poneys[Valeur 36 et plus],MATCH(RationEtéPoneys&amp;$FN99,Règles_poneys[Ration]&amp;Règles_poneys[Aliment],0)),0),0)*TotalJeuneJumentPoney_12_24_mois*SUM(NbreJoursNourrirPoneys))</f>
        <v>0</v>
      </c>
      <c r="FR99" s="1285">
        <f t="array" ref="FR99">IF(OR(ChoixRationComplèteEtéPoneys=OUI,ChoixRationComplèteEtéPoneys="",AND(ChoixPoneysPréHiver=OUI,ChoixPoneysPréEté=OUI)),0,IFERROR(IF(OR(AND(INDEX(Règles_poneys[Specificite],MATCH(RationEtéPoneys&amp;$FN99,Règles_poneys[Ration]&amp;Règles_poneys[Aliment],0))="s1",IF($FN99=Spécificité1Poneys,1)),
AND(INDEX(Règles_poneys[Specificite],MATCH(RationEtéPoneys&amp;$FN99,Règles_poneys[Ration]&amp;Règles_poneys[Aliment],0))="s2",IF($FN99=Spécificité2Poneys,1)),
INDEX(Règles_poneys[Specificite],MATCH(RationEtéPoneys&amp;$FN99,Règles_poneys[Ration]&amp;Règles_poneys[Aliment],0))="c"),
INDEX(Règles_poneys[Valeur 36 et plus],MATCH(RationEtéPoneys&amp;$FN99,Règles_poneys[Ration]&amp;Règles_poneys[Aliment],0)),0),0)*TotalPoulichePoney_0_12_mois*SUM(NbreJoursNourrirPoneys))</f>
        <v>0</v>
      </c>
      <c r="FS99" s="1285">
        <f t="shared" si="30"/>
        <v>0</v>
      </c>
      <c r="FT99" s="1345"/>
      <c r="FU99" s="1345"/>
      <c r="FV99" s="1345"/>
      <c r="FW99" s="823" t="str">
        <f t="shared" si="28"/>
        <v>concentré jeunes porcins</v>
      </c>
      <c r="FX99" s="828">
        <f t="array" ref="FX9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99" s="828">
        <f t="array" ref="FY9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99" s="828">
        <f t="array" ref="FZ9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99" s="828">
        <f t="array" ref="GA9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99" s="829">
        <f>SUM(AlimentsGavageCanards[[#This Row],[Valeur 3 et plus]:[Valeur 0-1]])</f>
        <v>0</v>
      </c>
      <c r="GC99" s="1321"/>
      <c r="GD99" s="1321"/>
      <c r="GE99" s="1321"/>
      <c r="GF99" s="1321"/>
      <c r="GG99" s="1321" t="s">
        <v>1349</v>
      </c>
      <c r="GH99" s="1321" t="s">
        <v>1349</v>
      </c>
      <c r="GI99" s="1321" t="s">
        <v>1349</v>
      </c>
      <c r="GJ99" s="1321" t="s">
        <v>1349</v>
      </c>
      <c r="GK99" s="1321" t="s">
        <v>1349</v>
      </c>
      <c r="GL99" s="1321" t="s">
        <v>1349</v>
      </c>
      <c r="GM99" s="1321" t="s">
        <v>1349</v>
      </c>
      <c r="GN99" s="1321" t="s">
        <v>1349</v>
      </c>
      <c r="GO99" s="1321" t="s">
        <v>1349</v>
      </c>
      <c r="GP99" s="1321" t="s">
        <v>1349</v>
      </c>
      <c r="GQ99" s="1321" t="s">
        <v>1349</v>
      </c>
      <c r="GR99" s="1321" t="s">
        <v>1349</v>
      </c>
      <c r="GS99" s="1321" t="s">
        <v>1349</v>
      </c>
      <c r="GT99" s="1321" t="s">
        <v>1349</v>
      </c>
      <c r="GU99" s="1321" t="s">
        <v>1349</v>
      </c>
      <c r="GV99" s="1321" t="s">
        <v>1349</v>
      </c>
      <c r="GW99" s="1321"/>
      <c r="GX99" s="1321"/>
      <c r="GY99" s="1082" t="str">
        <f>GI6</f>
        <v>traitement pêchers</v>
      </c>
      <c r="GZ99" s="1082"/>
      <c r="HA99" s="1085"/>
      <c r="HB99" s="1085">
        <f>IF(COUNTIF(TypeArticleDansEntrepôt,GY99)=0,0,SUMIF(TypeArticleDansEntrepôt,GY99,QtéArticleDansEntrepôt)*VLOOKUP(GY99,place_necessaire_entrepots_aire_paille[],2,FALSE))</f>
        <v>0</v>
      </c>
      <c r="HC99" s="1321"/>
      <c r="HD99" s="1321"/>
      <c r="HE99" s="1321"/>
      <c r="HF99" s="1321"/>
      <c r="HG99" s="1321"/>
      <c r="HH99" s="1321"/>
      <c r="HI99" s="1321"/>
      <c r="HJ99" s="1321"/>
      <c r="HK99" s="1321"/>
      <c r="HL99" s="1321"/>
      <c r="HM99" s="1321"/>
      <c r="HN99" s="1099" t="s">
        <v>285</v>
      </c>
      <c r="HO99" s="1085" t="e">
        <f>IF(SUM((VLOOKUP(HN99,AlimentsRationBovinsMâles,9,FALSE)+VLOOKUP(HN99,AlimentsRationBovinsFemelles,9,FALSE)+VLOOKUP(HN99,BDD!BB$284:BJ$323,9,FALSE))/1000/SUM(NbreJoursNourrirBovins)*IF('semences, engrais et traitement'!I$16=OUI,42,84))&lt;0,0,SUM((VLOOKUP(HN99,AlimentsRationBovinsMâles,9,FALSE)+VLOOKUP(HN99,AlimentsRationBovinsFemelles,9,FALSE)+VLOOKUP(HN99,BDD!BB$284:BJ$323,9,FALSE))/1000/SUM(NbreJoursNourrirBovins)*IF('semences, engrais et traitement'!I$16=OUI,42,84)))</f>
        <v>#DIV/0!</v>
      </c>
      <c r="HP99" s="1085">
        <f t="shared" si="36"/>
        <v>0</v>
      </c>
      <c r="HQ99" s="1085" t="e">
        <f>IF(SUM(VLOOKUP(HN99,AlimentsRationPorcinsMâles[],7,FALSE)+VLOOKUP(HN99,AlimentsRationPorcinsFemelles[],7,FALSE))/1000/SUM(NbreJoursNourrirAutres)*84&lt;0,0,SUM(VLOOKUP(HN99,AlimentsRationPorcinsMâles[],7,FALSE)+VLOOKUP(HN99,AlimentsRationPorcinsFemelles[],7,FALSE)/1000/SUM(NbreJoursNourrirAutres)*84))</f>
        <v>#DIV/0!</v>
      </c>
      <c r="HR99" s="1085" t="e">
        <f>IF(SUM(VLOOKUP(HN99,AlimentsRationCaprinsMâles,6,FALSE)+VLOOKUP(HN99,AlimentsRationCaprinsFemelles,6,FALSE))/1000/SUM(NbreJoursNourrirCaprins)*IF('semences, engrais et traitement'!I$17=OUI,42,84)&lt;0,0,SUM(VLOOKUP(HN99,AlimentsRationCaprinsMâles,6,FALSE)+VLOOKUP(HN99,AlimentsRationCaprinsFemelles,6,FALSE))/1000/SUM(NbreJoursNourrirCaprins)*IF('semences, engrais et traitement'!I$17=OUI,42,84))</f>
        <v>#DIV/0!</v>
      </c>
      <c r="HS99" s="1085" t="e">
        <f>IF(SUM(VLOOKUP(HN99,AlimentsRationVolaillesMâles[],5,FALSE)+VLOOKUP(HN99,AlimentsRationVolaillesFemelles[],5,FALSE))/1000/SUM(NbreJoursNourrirAutres)*84&lt;0,0,SUM(VLOOKUP(HN99,AlimentsRationVolaillesMâles[],5,FALSE)+VLOOKUP(HN99,AlimentsRationVolaillesFemelles[],5,FALSE)/1000/SUM(NbreJoursNourrirAutres)*84))</f>
        <v>#DIV/0!</v>
      </c>
      <c r="HT99" s="1085" t="e">
        <f>IF(SUM(VLOOKUP(HN99,AlimentsRationPintadesMâles[],5,FALSE)+VLOOKUP(HN99,AlimentsRationPintadesFemelles[],5,FALSE))/1000/SUM(NbreJoursNourrirAutres)*84&lt;0,0,SUM(VLOOKUP(HN99,AlimentsRationPintadesMâles[],5,FALSE)+VLOOKUP(HN99,AlimentsRationPintadesFemelles[],5,FALSE)/1000/SUM(NbreJoursNourrirAutres)*84))</f>
        <v>#DIV/0!</v>
      </c>
      <c r="HU99" s="1085" t="e">
        <f>IF(SUM(VLOOKUP(HN99,AlimentsRationLapinsMâles[],5,FALSE)+VLOOKUP(HN99,AlimentsRationLapinsFemelles[],5,FALSE))/1000/SUM(NbreJoursNourrirAutres)*84&lt;0,0,SUM(VLOOKUP(HN99,AlimentsRationLapinsMâles[],5,FALSE)+VLOOKUP(HN99,AlimentsRationLapinsFemelles[],5,FALSE)/1000/SUM(NbreJoursNourrirAutres)*84))</f>
        <v>#DIV/0!</v>
      </c>
      <c r="HV99" s="1085" t="e">
        <f>IF(SUM(VLOOKUP(HN99,AlimentsRationOvinsMâles,6,FALSE)+VLOOKUP(HN99,AlimentsRationOvinsFemelles,6,FALSE))/1000/SUM(NbreJoursNourrirOvins)*IF('semences, engrais et traitement'!I$18=OUI,42,84)&lt;0,0,SUM(VLOOKUP(HN99,AlimentsRationOvinsMâles,6,FALSE)+VLOOKUP(HN99,AlimentsRationOvinsFemelles,6,FALSE))/1000/SUM(NbreJoursNourrirOvins)*IF('semences, engrais et traitement'!I$18=OUI,42,84))</f>
        <v>#DIV/0!</v>
      </c>
      <c r="HW99" s="1085" t="e">
        <f>IF(SUM(VLOOKUP(HN99,AlimentsRationOiesMâles[],5,FALSE)+VLOOKUP(HN99,AlimentsRationOiesFemelles[],5,FALSE))/1000/SUM(NbreJoursNourrirAutres)*84&lt;0,0,SUM(VLOOKUP(HN99,AlimentsRationOiesMâles[],5,FALSE)+VLOOKUP(HN99,AlimentsRationOiesFemelles[],5,FALSE)/1000/SUM(NbreJoursNourrirAutres)*84))</f>
        <v>#DIV/0!</v>
      </c>
      <c r="HX99" s="1085" t="e">
        <f t="shared" si="37"/>
        <v>#DIV/0!</v>
      </c>
      <c r="HY99" s="1085" t="e">
        <f>IF(SUM(VLOOKUP(HN99,AlimentsRationEcurieChevauxMâlesSelle,6,FALSE)+VLOOKUP(HN99,AlimentsRationEcurieChevauxFemellesSelle,6,FALSE))/1000/SUM(NbreJoursNourrirChevauxSelle)*IF('semences, engrais et traitement'!M$16=OUI,56,84)&lt;0,0,SUM(VLOOKUP(HN99,AlimentsRationEcurieChevauxMâlesSelle,6,FALSE)+VLOOKUP(HN99,AlimentsRationEcurieChevauxFemellesSelle,6,FALSE))/1000/SUM(NbreJoursNourrirChevauxSelle)*IF('semences, engrais et traitement'!M$16=OUI,56,84))</f>
        <v>#DIV/0!</v>
      </c>
      <c r="HZ99" s="1085" t="e">
        <f>IF(SUM(VLOOKUP(HN99,AlimentsRationEcurieChevauxMâlesTrait,6,FALSE)+VLOOKUP(HN99,AlimentsRationEcurieChevauxFemellesTrait,6,FALSE))/1000/SUM(NbreJoursNourrirChevauxTrait)*IF('semences, engrais et traitement'!M$17=OUI,56,84)&lt;0,0,SUM(VLOOKUP(HN99,AlimentsRationEcurieChevauxMâlesTrait,6,FALSE)+VLOOKUP(HN99,AlimentsRationEcurieChevauxFemellesTrait,6,FALSE))/1000/SUM(NbreJoursNourrirChevauxTrait)*IF('semences, engrais et traitement'!M$17=OUI,56,84))</f>
        <v>#DIV/0!</v>
      </c>
      <c r="IA99" s="1085" t="e">
        <f>IF(SUM(VLOOKUP(HN99,AlimentsRationEcuriePoneysMâles,6,FALSE)+VLOOKUP(HN99,AlimentsRationEcuriePoneysFemelles,6,FALSE))/1000/SUM(NbreJoursNourrirPoneys)*IF('semences, engrais et traitement'!M$18=OUI,56,84)&lt;0,0,SUM(VLOOKUP(HN99,AlimentsRationEcuriePoneysMâles,6,FALSE)+VLOOKUP(HN99,AlimentsRationEcuriePoneysFemelles,6,FALSE))/1000/SUM(NbreJoursNourrirPoneys)*IF('semences, engrais et traitement'!M$18=OUI,56,84))</f>
        <v>#DIV/0!</v>
      </c>
      <c r="IB99" s="1099" t="e">
        <f t="shared" si="38"/>
        <v>#DIV/0!</v>
      </c>
      <c r="IC99" s="1321"/>
      <c r="ID99" s="1321"/>
      <c r="IE99" s="1321"/>
      <c r="IF99" s="1321"/>
      <c r="IG99" s="1321"/>
      <c r="IH99" s="1321"/>
      <c r="II99" s="1321"/>
      <c r="IJ99" s="1321"/>
      <c r="IK99" s="1321"/>
      <c r="IL99" s="1321"/>
      <c r="IM99" s="1321"/>
      <c r="IN99" s="1368"/>
    </row>
    <row r="100" spans="1:248" ht="12.75" customHeight="1" x14ac:dyDescent="0.2">
      <c r="A100" s="1307" t="s">
        <v>610</v>
      </c>
      <c r="B100" s="1241">
        <f t="shared" ref="B100:B129" si="39">1/1000</f>
        <v>1E-3</v>
      </c>
      <c r="C100" s="1321"/>
      <c r="D100" s="1321"/>
      <c r="E100" s="1321"/>
      <c r="F100" s="1149" t="s">
        <v>715</v>
      </c>
      <c r="G100" s="1149" t="s">
        <v>1176</v>
      </c>
      <c r="H100" s="1247" t="s">
        <v>1207</v>
      </c>
      <c r="I100" s="1245" t="s">
        <v>1200</v>
      </c>
      <c r="J100" s="1149" t="s">
        <v>1177</v>
      </c>
      <c r="K100" s="1247" t="s">
        <v>1209</v>
      </c>
      <c r="L100" s="1149" t="s">
        <v>1178</v>
      </c>
      <c r="M100" s="1321"/>
      <c r="N100" s="1321"/>
      <c r="O100" s="802" t="s">
        <v>1459</v>
      </c>
      <c r="P100" s="802">
        <f>IF(SUM(ChoixEspèceAuPré)="",0,SUMIF(ChoixEspèceAuPré,Bovins,NbreFemelles_18_24MoisAuPréEté))</f>
        <v>0</v>
      </c>
      <c r="Q100" s="802">
        <f>IF(SUM(ChoixEspèceAuPré)="",0,SUMIF(ChoixEspèceAuPré,Ovins,NbreFemelles_18_24MoisAuPréEté))</f>
        <v>0</v>
      </c>
      <c r="R100" s="802">
        <f>IF(SUM(ChoixEspèceAuPré)="",0,SUMIF(ChoixEspèceAuPré,Caprins,NbreFemelles_18_24MoisAuPréEté))</f>
        <v>0</v>
      </c>
      <c r="S100" s="802">
        <f>IF(SUM(ChoixEspèceAuPré)="",0,SUMIF(ChoixEspèceAuPré,Bisons,NbreFemelles_18_24MoisAuPréEté))</f>
        <v>0</v>
      </c>
      <c r="T100" s="802">
        <f>IF(SUM(ChoixEspèceAuPré)="",0,SUMIF(ChoixEspèceAuPré,Daims,NbreFemelles_18_24MoisAuPréEté))</f>
        <v>0</v>
      </c>
      <c r="U100" s="802">
        <f>IF(SUM(ChoixEspèceAuPré)="",0,SUMIF(ChoixEspèceAuPré,ChevauxSelle,NbreFemelles_18_24MoisAuPréEté))</f>
        <v>0</v>
      </c>
      <c r="V100" s="802">
        <f>IF(SUM(ChoixEspèceAuPré)="",0,SUMIF(ChoixEspèceAuPré,ChevauxTrait,NbreFemelles_18_24MoisAuPréEté))</f>
        <v>0</v>
      </c>
      <c r="W100" s="802">
        <f>IF(SUM(ChoixEspèceAuPré)="",0,SUMIF(ChoixEspèceAuPré,Poneys,NbreFemelles_18_24MoisAuPréEté))</f>
        <v>0</v>
      </c>
      <c r="X100" s="1321"/>
      <c r="Y100" s="1081" t="s">
        <v>425</v>
      </c>
      <c r="Z100" s="1081">
        <f>IF('coût alimentation'!$B$6=$Y$100,84,0)</f>
        <v>0</v>
      </c>
      <c r="AA100" s="1081">
        <f>IF(AND(ChoixBovinsPréEté="OUI",'coût alimentation'!$B$6=$Y$100),84-V109,Z100)</f>
        <v>0</v>
      </c>
      <c r="AB100" s="1081">
        <f>IF('coût alimentation'!$B$6=$Y$100,84-V110,0)</f>
        <v>0</v>
      </c>
      <c r="AC100" s="1081">
        <f>IF(AND(ChoixCaprinsPréEté="OUI",'coût alimentation'!$B$6=$Y$100),84-V112,Z100)</f>
        <v>0</v>
      </c>
      <c r="AD100" s="1081">
        <f>IF(AND(ChoixOvinsPréEté="OUI",'coût alimentation'!$B$6=$Y$100),84-V113,Z100)</f>
        <v>0</v>
      </c>
      <c r="AE100" s="1081">
        <f>IF(AND(ChoixChevauxSellePréEté="OUI",'coût alimentation'!$B$6=$Y$100),84-V114,IF(Y100&lt;&gt;'coût alimentation'!$B$6,0,84))</f>
        <v>0</v>
      </c>
      <c r="AF100" s="1081">
        <f>IF(AND(ChoixChevauxTraitPréEté="OUI",'coût alimentation'!$B$6=$Y$100),84-V115,IF(Y100&lt;&gt;'coût alimentation'!$B$6,0,84))</f>
        <v>0</v>
      </c>
      <c r="AG100" s="1081">
        <f>IF(AND(ChoixPoneysPréEté="OUI",'coût alimentation'!$B$6=$Y$100),84-V116,IF(Y100&lt;&gt;'coût alimentation'!$B$6,0,84))</f>
        <v>0</v>
      </c>
      <c r="AH100" s="1321"/>
      <c r="AI100" s="1321"/>
      <c r="AJ100" s="1321"/>
      <c r="AK100" s="1321"/>
      <c r="AL100" s="1321"/>
      <c r="AM100" s="1321"/>
      <c r="AN100" s="1321"/>
      <c r="AO100" s="1321"/>
      <c r="AP100" s="1321"/>
      <c r="AQ100" s="1321"/>
      <c r="AR100" s="1321"/>
      <c r="AS100" s="1321"/>
      <c r="AT100" s="1321"/>
      <c r="AU100" s="1321"/>
      <c r="AV100" s="1321"/>
      <c r="AW100" s="1321"/>
      <c r="AX100" s="1321"/>
      <c r="AY100" s="1321"/>
      <c r="AZ100" s="1321"/>
      <c r="BA100" s="1321"/>
      <c r="BB100" s="1236" t="s">
        <v>729</v>
      </c>
      <c r="BC100" s="1190" t="s">
        <v>285</v>
      </c>
      <c r="BD100" s="1190" t="s">
        <v>1253</v>
      </c>
      <c r="BE100" s="1237">
        <v>7.2</v>
      </c>
      <c r="BF100" s="1237">
        <v>6</v>
      </c>
      <c r="BG100" s="1237">
        <v>4</v>
      </c>
      <c r="BH100" s="1237">
        <v>2</v>
      </c>
      <c r="BI100" s="1237">
        <v>1.2</v>
      </c>
      <c r="BJ100" s="1237">
        <v>0.6</v>
      </c>
      <c r="BK100" s="1238">
        <v>0</v>
      </c>
      <c r="BL100" s="1348"/>
      <c r="BM100" s="1075" t="str">
        <f t="shared" si="23"/>
        <v>Soja</v>
      </c>
      <c r="BN100" s="1075">
        <f t="array" ref="BN100">IF(Ration_hivernale_complète_bisons[somme]&gt;0,0,IFERROR(IF(OR(AND(INDEX(Règles_bison[Specificite],MATCH(ChoixRationBisons&amp;$BM100,Règles_bison[Ration]&amp;Règles_bison[Aliment],0))="s1",IF($BM100=ChoixSpécificité1Bisons,1)),
AND(INDEX(Règles_bison[Specificite],MATCH(ChoixRationBisons&amp;$BM100,Règles_bison[Ration]&amp;Règles_bison[Aliment],0))="s2",IF($BM100=ChoixSpécificité2Bisons,1)),INDEX(Règles_bison[Specificite],MATCH(ChoixRationBisons&amp;$BM100,Règles_bison[Ration]&amp;Règles_bison[Aliment],0))="c"),
INDEX(Règles_bison[Valeur 36 et plus],MATCH(ChoixRationBisons&amp;$BM100,Règles_bison[Ration]&amp;Règles_bison[Aliment],0)),0),0)*TotalBisonnes*SUM(NbreJoursNourrirBisonsDaims))</f>
        <v>0</v>
      </c>
      <c r="BO100" s="1075">
        <f t="array" ref="BO100">IF(Ration_hivernale_complète_bisons[somme]&gt;0,0,IFERROR(IF(OR(AND(INDEX(Règles_bison[Specificite],MATCH(ChoixRationBisons&amp;$BM100,Règles_bison[Ration]&amp;Règles_bison[Aliment],0))="s1",IF($BM100=ChoixSpécificité1Bisons,1)),
AND(INDEX(Règles_bison[Specificite],MATCH(ChoixRationBisons&amp;$BM100,Règles_bison[Ration]&amp;Règles_bison[Aliment],0))="s2",IF($BM100=ChoixSpécificité2Bisons,1)),INDEX(Règles_bison[Specificite],MATCH(ChoixRationBisons&amp;$BM100,Règles_bison[Ration]&amp;Règles_bison[Aliment],0))="c"),
INDEX(Règles_bison[Valeur 24-36],MATCH(ChoixRationBisons&amp;$BM100,Règles_bison[Ration]&amp;Règles_bison[Aliment],0)),0),0)*TotalBisonsFemelles_24_36_mois*SUM(NbreJoursNourrirBisonsDaims))</f>
        <v>0</v>
      </c>
      <c r="BP100" s="1075">
        <f t="array" ref="BP100">IF(Ration_hivernale_complète_bisons[somme]&gt;0,0,IFERROR(IF(OR(AND(INDEX(Règles_bison[Specificite],MATCH(ChoixRationBisons&amp;$BM100,Règles_bison[Ration]&amp;Règles_bison[Aliment],0))="s1",IF($BM100=ChoixSpécificité1Bisons,1)),
AND(INDEX(Règles_bison[Specificite],MATCH(ChoixRationBisons&amp;$BM100,Règles_bison[Ration]&amp;Règles_bison[Aliment],0))="s2",IF($BM100=ChoixSpécificité2Bisons,1)),INDEX(Règles_bison[Specificite],MATCH(ChoixRationBisons&amp;$BM100,Règles_bison[Ration]&amp;Règles_bison[Aliment],0))="c"),
INDEX(Règles_bison[Valeur 18-24],MATCH(ChoixRationBisons&amp;$BM100,Règles_bison[Ration]&amp;Règles_bison[Aliment],0)),0),0)*TotalBisonsFemelles_18_24_mois*SUM(NbreJoursNourrirBisonsDaims))</f>
        <v>0</v>
      </c>
      <c r="BQ100" s="1075">
        <f t="array" ref="BQ100">IF(Ration_hivernale_complète_bisons[somme]&gt;0,0,IFERROR(IF(OR(AND(INDEX(Règles_bison[Specificite],MATCH(ChoixRationBisons&amp;$BM100,Règles_bison[Ration]&amp;Règles_bison[Aliment],0))="s1",IF($BM100=ChoixSpécificité1Bisons,1)),
AND(INDEX(Règles_bison[Specificite],MATCH(ChoixRationBisons&amp;$BM100,Règles_bison[Ration]&amp;Règles_bison[Aliment],0))="s2",IF($BM100=ChoixSpécificité2Bisons,1)),INDEX(Règles_bison[Specificite],MATCH(ChoixRationBisons&amp;$BM100,Règles_bison[Ration]&amp;Règles_bison[Aliment],0))="c"),
INDEX(Règles_bison[Valeur 12-18],MATCH(ChoixRationBisons&amp;$BM100,Règles_bison[Ration]&amp;Règles_bison[Aliment],0)),0),0)*TotalBisonsFemelles_12_18_mois*SUM(NbreJoursNourrirBisonsDaims))</f>
        <v>0</v>
      </c>
      <c r="BR100" s="1075">
        <f t="array" ref="BR100">IF(Ration_hivernale_complète_bisons[somme]&gt;0,0,IFERROR(IF(OR(AND(INDEX(Règles_bison[Specificite],MATCH(ChoixRationBisons&amp;$BM100,Règles_bison[Ration]&amp;Règles_bison[Aliment],0))="s1",IF($BM100=ChoixSpécificité1Bisons,1)),
AND(INDEX(Règles_bison[Specificite],MATCH(ChoixRationBisons&amp;$BM100,Règles_bison[Ration]&amp;Règles_bison[Aliment],0))="s2",IF($BM100=ChoixSpécificité2Bisons,1)),INDEX(Règles_bison[Specificite],MATCH(ChoixRationBisons&amp;$BM100,Règles_bison[Ration]&amp;Règles_bison[Aliment],0))="c"),
INDEX(Règles_bison[Valeur 6-12],MATCH(ChoixRationBisons&amp;$BM100,Règles_bison[Ration]&amp;Règles_bison[Aliment],0)),0),0)*TotalBisonsFemelles_6_12_mois*SUM(NbreJoursNourrirBisonsDaims))</f>
        <v>0</v>
      </c>
      <c r="BS100" s="1075">
        <f t="array" ref="BS100">IF(Ration_hivernale_complète_bisons[somme]&gt;0,0,IFERROR(IF(OR(AND(INDEX(Règles_bison[Specificite],MATCH(ChoixRationBisons&amp;$BM100,Règles_bison[Ration]&amp;Règles_bison[Aliment],0))="s1",IF($BM100=ChoixSpécificité1Bisons,1)),
AND(INDEX(Règles_bison[Specificite],MATCH(ChoixRationBisons&amp;$BM100,Règles_bison[Ration]&amp;Règles_bison[Aliment],0))="s2",IF($BM100=ChoixSpécificité2Bisons,1)),INDEX(Règles_bison[Specificite],MATCH(ChoixRationBisons&amp;$BM100,Règles_bison[Ration]&amp;Règles_bison[Aliment],0))="c"),
INDEX(Règles_bison[Valeur 3-6],MATCH(ChoixRationBisons&amp;$BM100,Règles_bison[Ration]&amp;Règles_bison[Aliment],0)),0),0)*TotalBisonsFemelles_3_6_mois*SUM(NbreJoursNourrirBisonsDaims))</f>
        <v>0</v>
      </c>
      <c r="BT100" s="1075">
        <f t="array" ref="BT100">IF(Ration_hivernale_complète_bisons[somme]&gt;0,0,IFERROR(IF(OR(AND(INDEX(Règles_bison[Specificite],MATCH(ChoixRationBisons&amp;$BM100,Règles_bison[Ration]&amp;Règles_bison[Aliment],0))="s1",IF($BM100=ChoixSpécificité1Bisons,1)),
AND(INDEX(Règles_bison[Specificite],MATCH(ChoixRationBisons&amp;$BM100,Règles_bison[Ration]&amp;Règles_bison[Aliment],0))="s2",IF($BM100=ChoixSpécificité2Bisons,1)),INDEX(Règles_bison[Specificite],MATCH(ChoixRationBisons&amp;$BM100,Règles_bison[Ration]&amp;Règles_bison[Aliment],0))="c"),
INDEX(Règles_bison[Valeur 0-3],MATCH(ChoixRationBisons&amp;$BM100,Règles_bison[Ration]&amp;Règles_bison[Aliment],0)),0),0)*TotalBisonsFemelles_0_3_mois*SUM(NbreJoursNourrirBisonsDaims))</f>
        <v>0</v>
      </c>
      <c r="BU100" s="1075">
        <f t="shared" si="22"/>
        <v>0</v>
      </c>
      <c r="BV100" s="1346"/>
      <c r="BW100" s="1346"/>
      <c r="BX100" s="1176"/>
      <c r="BY100" s="1177"/>
      <c r="BZ100" s="1177"/>
      <c r="CA100" s="1177"/>
      <c r="CB100" s="1177"/>
      <c r="CC100" s="1177"/>
      <c r="CD100" s="1199"/>
      <c r="CE100" s="1350"/>
      <c r="CF100" s="1350"/>
      <c r="CG100" s="1350"/>
      <c r="CH100" s="1350"/>
      <c r="CI100" s="1321"/>
      <c r="CJ100" s="808" t="str">
        <f t="shared" si="26"/>
        <v>Epinard</v>
      </c>
      <c r="CK100" s="788">
        <f t="array" ref="CK10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00" s="788">
        <f t="array" ref="CL10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00" s="788">
        <f t="array" ref="CM10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00" s="788">
        <f t="array" ref="CN10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00" s="788">
        <f t="array" ref="CO10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00" s="812">
        <f>SUM(AlimentsRationPorcinsFemelles[[#This Row],[Valeur 12 et plus]:[Valeur 0-1]])</f>
        <v>0</v>
      </c>
      <c r="CQ100" s="1345"/>
      <c r="CR100" s="1321"/>
      <c r="CS100" s="808" t="str">
        <f t="shared" ref="CS100:CS137" si="40">CS58</f>
        <v>Betterave</v>
      </c>
      <c r="CT100" s="817">
        <f t="array" ref="CT100">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00" s="817">
        <f t="array" ref="CU100">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00" s="817">
        <f t="array" ref="CV100">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00" s="818">
        <f>SUM(AlimentsRationLapinsFemelles[[#This Row],[Valeur 3 et plus]:[Valeur 0-1]])</f>
        <v>0</v>
      </c>
      <c r="CX100" s="1321"/>
      <c r="CY100" s="1321"/>
      <c r="CZ100" s="808" t="str">
        <f t="shared" ref="CZ100:CZ137" si="41">CZ58</f>
        <v>Betterave</v>
      </c>
      <c r="DA100" s="817">
        <f t="array" ref="DA100">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00" s="817">
        <f t="array" ref="DB100">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00" s="817">
        <f t="array" ref="DC100">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00" s="818">
        <f>SUM(AlimentsRationVolaillesFemelles[[#This Row],[Valeur 6 et plus]:[Valeur 0-1]])</f>
        <v>0</v>
      </c>
      <c r="DE100" s="1321"/>
      <c r="DF100" s="1321"/>
      <c r="DG100" s="788" t="str">
        <f t="shared" si="27"/>
        <v>Ensilage d'herbe</v>
      </c>
      <c r="DH100" s="817">
        <f t="array" ref="DH10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00" s="817">
        <f t="array" ref="DI10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00" s="817">
        <f t="array" ref="DJ10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00" s="821">
        <f>SUM(AlimentsRationPintadesFemelles[[#This Row],[Valeur 6 et plus]:[Valeur 0-1]])</f>
        <v>0</v>
      </c>
      <c r="DL100" s="1321"/>
      <c r="DM100" s="1321"/>
      <c r="DN100" s="1176" t="s">
        <v>729</v>
      </c>
      <c r="DO100" s="1177" t="s">
        <v>672</v>
      </c>
      <c r="DP100" s="1177" t="s">
        <v>1253</v>
      </c>
      <c r="DQ100" s="1181">
        <v>1.6</v>
      </c>
      <c r="DR100" s="1181">
        <v>1.4</v>
      </c>
      <c r="DS100" s="1181">
        <v>1.2</v>
      </c>
      <c r="DT100" s="1243">
        <v>1</v>
      </c>
      <c r="DU100" s="1345"/>
      <c r="DV100" s="1076" t="str">
        <f t="shared" si="24"/>
        <v>Pois</v>
      </c>
      <c r="DW100" s="1267">
        <f t="array" ref="DW100">SUM((IF(QualitéAlimentsFaonMâle_0_3_mois=BONNE,VLOOKUP("Pois",AlimentsRationHivernaleDaims,8,FALSE),0)+(IF(QualitéAlimentsFaonFemelle_0_3_mois=BONNE,VLOOKUP("Pois",AlimentsRationHivernaleDaims,8,FALSE),0)+(IF(QualitéAlimentsFaonMâle_3_6_mois=BONNE,VLOOKUP("Pois",AlimentsRationHivernaleDaims,7,FALSE),0)+(IF(QualitéAlimentsFaonFemelle_3_6_mois=BONNE,VLOOKUP("Pois",AlimentsRationHivernaleDaims,7,FALSE),0)+(IF(QualitéAlimentsFaonMâle_6_12_mois=BONNE,VLOOKUP("Pois",AlimentsRationHivernaleDaims,6,FALSE),0)+(IF(QualitéAlimentsFaonFemelle_6_12_mois=BONNE,VLOOKUP("Pois",AlimentsRationHivernaleDaims,6,FALSE),0)+(IF(QualitéAlimentsJeuneDaim_12_18_mois=BONNE,VLOOKUP("Pois",AlimentsRationHivernaleDaims,5,FALSE),0)+(IF(QualitéAlimentsJeuneDaine_12_18_mois=BONNE,VLOOKUP("Pois",AlimentsRationHivernaleDaims,5,FALSE),0)+(IF(QualitéAlimentsJeuneDaim_18_24_mois=BONNE,VLOOKUP("Pois",AlimentsRationHivernaleDaims,4,FALSE),0)+(IF(QualitéAlimentsJeuneDaine_18_24_mois=BONNE,VLOOKUP("Pois",AlimentsRationHivernaleDaims,4,FALSE),0)+(IF(QualitéAlimentsJeuneDaim_24_36_mois=BONNE,VLOOKUP("Pois",AlimentsRationHivernaleDaims,3,FALSE),0)+(IF(QualitéAlimentsJeuneDaine_24_36_mois=BONNE,VLOOKUP("Pois",AlimentsRationHivernaleDaims,3,FALSE),0)+(IF(QualitéAlimentsDaim=BONNE,VLOOKUP("Pois",AlimentsRationHivernaleDaims,2,FALSE),0)+(IF(QualitéAlimentsDaine=BONNE,VLOOKUP("Pois",AlimentsRationHivernaleDaims,2,FALSE),0))))))))))))))))</f>
        <v>0</v>
      </c>
      <c r="DX100" s="1267">
        <f t="array" ref="DX100">SUM((IF(QualitéAlimentsFaonMâle_0_3_mois=MOYENNE,VLOOKUP("Pois",AlimentsRationHivernaleDaims,8,FALSE),0)+(IF(QualitéAlimentsFaonFemelle_0_3_mois=MOYENNE,VLOOKUP("Pois",AlimentsRationHivernaleDaims,8,FALSE),0)+(IF(QualitéAlimentsFaonMâle_3_6_mois=MOYENNE,VLOOKUP("Pois",AlimentsRationHivernaleDaims,7,FALSE),0)+(IF(QualitéAlimentsFaonFemelle_3_6_mois=MOYENNE,VLOOKUP("Pois",AlimentsRationHivernaleDaims,7,FALSE),0)+(IF(QualitéAlimentsFaonMâle_6_12_mois=MOYENNE,VLOOKUP("Pois",AlimentsRationHivernaleDaims,6,FALSE),0)+(IF(QualitéAlimentsFaonFemelle_6_12_mois=MOYENNE,VLOOKUP("Pois",AlimentsRationHivernaleDaims,6,FALSE),0)+(IF(QualitéAlimentsJeuneDaim_12_18_mois=MOYENNE,VLOOKUP("Pois",AlimentsRationHivernaleDaims,5,FALSE),0)+(IF(QualitéAlimentsJeuneDaine_12_18_mois=MOYENNE,VLOOKUP("Pois",AlimentsRationHivernaleDaims,5,FALSE),0)+(IF(QualitéAlimentsJeuneDaim_18_24_mois=MOYENNE,VLOOKUP("Pois",AlimentsRationHivernaleDaims,4,FALSE),0)+(IF(QualitéAlimentsJeuneDaine_18_24_mois=MOYENNE,VLOOKUP("Pois",AlimentsRationHivernaleDaims,4,FALSE),0)+(IF(QualitéAlimentsJeuneDaim_24_36_mois=MOYENNE,VLOOKUP("Pois",AlimentsRationHivernaleDaims,3,FALSE),0)+(IF(QualitéAlimentsJeuneDaine_24_36_mois=MOYENNE,VLOOKUP("Pois",AlimentsRationHivernaleDaims,3,FALSE),0)+(IF(QualitéAlimentsDaim=MOYENNE,VLOOKUP("Pois",AlimentsRationHivernaleDaims,2,FALSE),0)+(IF(QualitéAlimentsDaine=MOYENNE,VLOOKUP("Pois",AlimentsRationHivernaleDaims,2,FALSE),0))))))))))))))))</f>
        <v>0</v>
      </c>
      <c r="DY100" s="1267">
        <f t="array" ref="DY100">SUM((IF(QualitéAlimentsFaonMâle_0_3_mois=MAUVAISE,VLOOKUP("Pois",AlimentsRationHivernaleDaims,8,FALSE),0)+(IF(QualitéAlimentsFaonFemelle_0_3_mois=MAUVAISE,VLOOKUP("Pois",AlimentsRationHivernaleDaims,8,FALSE),0)+(IF(QualitéAlimentsFaonMâle_3_6_mois=MAUVAISE,VLOOKUP("Pois",AlimentsRationHivernaleDaims,7,FALSE),0)+(IF(QualitéAlimentsFaonFemelle_3_6_mois=MAUVAISE,VLOOKUP("Pois",AlimentsRationHivernaleDaims,7,FALSE),0)+(IF(QualitéAlimentsFaonMâle_6_12_mois=MAUVAISE,VLOOKUP("Pois",AlimentsRationHivernaleDaims,6,FALSE),0)+(IF(QualitéAlimentsFaonFemelle_6_12_mois=MAUVAISE,VLOOKUP("Pois",AlimentsRationHivernaleDaims,6,FALSE),0)+(IF(QualitéAlimentsJeuneDaim_12_18_mois=MAUVAISE,VLOOKUP("Pois",AlimentsRationHivernaleDaims,5,FALSE),0)+(IF(QualitéAlimentsJeuneDaine_12_18_mois=MAUVAISE,VLOOKUP("Pois",AlimentsRationHivernaleDaims,5,FALSE),0)+(IF(QualitéAlimentsJeuneDaim_18_24_mois=MAUVAISE,VLOOKUP("Pois",AlimentsRationHivernaleDaims,4,FALSE),0)+(IF(QualitéAlimentsJeuneDaine_18_24_mois=MAUVAISE,VLOOKUP("Pois",AlimentsRationHivernaleDaims,4,FALSE),0)+(IF(QualitéAlimentsJeuneDaim_24_36_mois=MAUVAISE,VLOOKUP("Pois",AlimentsRationHivernaleDaims,3,FALSE),0)+(IF(QualitéAlimentsJeuneDaine_24_36_mois=MAUVAISE,VLOOKUP("Pois",AlimentsRationHivernaleDaims,3,FALSE),0)+(IF(QualitéAlimentsDaim=MAUVAISE,VLOOKUP("Pois",AlimentsRationHivernaleDaims,2,FALSE),0)+(IF(QualitéAlimentsDaine=MAUVAISE,VLOOKUP("Pois",AlimentsRationHivernaleDaims,2,FALSE),0))))))))))))))))</f>
        <v>0</v>
      </c>
      <c r="DZ100" s="1345"/>
      <c r="EA100" s="1345"/>
      <c r="EB100" s="1345"/>
      <c r="EC100" s="1345"/>
      <c r="ED100" s="1345"/>
      <c r="EE100" s="1345"/>
      <c r="EF100" s="1321"/>
      <c r="EG100" s="808" t="str">
        <f t="shared" si="31"/>
        <v>Canola</v>
      </c>
      <c r="EH100" s="817">
        <f t="array" ref="EH10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00" s="817">
        <f t="array" ref="EI10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00" s="817">
        <f t="array" ref="EJ10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00" s="818">
        <f>SUM(AlimentsRationOiesFemelles[[#This Row],[Valeur 6 et plus]:[Valeur 0-3]])</f>
        <v>0</v>
      </c>
      <c r="EL100" s="1345"/>
      <c r="EM100" s="1321"/>
      <c r="EN100" s="823" t="str">
        <f t="shared" si="29"/>
        <v>Colza</v>
      </c>
      <c r="EO100" s="828">
        <f t="array" ref="EO10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00" s="828">
        <f t="array" ref="EP10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00" s="828">
        <f t="array" ref="EQ10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00" s="829">
        <f>SUM(Ration_canards_Femelles[[#This Row],[Valeur 6 et plus]:[Valeur 0-3]])</f>
        <v>0</v>
      </c>
      <c r="ES100" s="1345"/>
      <c r="ET100" s="1321"/>
      <c r="EU100" s="1336" t="s">
        <v>1716</v>
      </c>
      <c r="EV100" s="1336"/>
      <c r="EW100" s="1336"/>
      <c r="EX100" s="1336"/>
      <c r="EY100" s="1336"/>
      <c r="EZ100" s="1336"/>
      <c r="FA100" s="1345"/>
      <c r="FB100" s="1345"/>
      <c r="FC100" s="1321"/>
      <c r="FD100" s="1082" t="str">
        <f t="shared" si="34"/>
        <v>Chanvre</v>
      </c>
      <c r="FE100" s="1282">
        <f t="array" ref="FE100">IF(OR(ChoixRationComplèteEtéChevauxTrait=OUI,ChoixRationComplèteEtéChevauxTrait="",AND(ChoixChevauxTraitPréHiver=OUI,ChoixChevauxTraitPréEté=OUI)),0,IFERROR(IF(OR(AND(INDEX(Règles_chevaux_trait[Specificite],MATCH(RationEtéChevauxTrait&amp;$FD100,Règles_chevaux_trait[Ration]&amp;Règles_chevaux_trait[Aliment],0))="s1",IF($FD100=Spécificité1ChevauxTrait,1)),
AND(INDEX(Règles_chevaux_trait[Specificite],MATCH(RationEtéChevauxTrait&amp;$FD100,Règles_chevaux_trait[Ration]&amp;Règles_chevaux_trait[Aliment],0))="s2",IF($FD100=Spécificité2ChevauxTrait,1)),
INDEX(Règles_chevaux_trait[Specificite],MATCH(RationEtéChevauxTrait&amp;$FD100,Règles_chevaux_trait[Ration]&amp;Règles_chevaux_trait[Aliment],0))="c"),
INDEX(Règles_chevaux_trait[Valeur 36 et plus],MATCH(RationEtéChevauxTrait&amp;$FD100,Règles_chevaux_trait[Ration]&amp;Règles_chevaux_trait[Aliment],0)),0),0)*TotalJumentTrait*SUM(NbreJoursNourrirChevauxTrait))</f>
        <v>0</v>
      </c>
      <c r="FF100" s="1282">
        <f t="array" ref="FF100">IF(OR(ChoixRationComplèteEtéChevauxTrait=OUI,ChoixRationComplèteEtéChevauxTrait="",AND(ChoixChevauxTraitPréHiver=OUI,ChoixChevauxTraitPréEté=OUI)),0,IFERROR(IF(OR(AND(INDEX(Règles_chevaux_trait[Specificite],MATCH(RationEtéChevauxTrait&amp;$FD100,Règles_chevaux_trait[Ration]&amp;Règles_chevaux_trait[Aliment],0))="s1",IF($FD100=Spécificité1ChevauxTrait,1)),
AND(INDEX(Règles_chevaux_trait[Specificite],MATCH(RationEtéChevauxTrait&amp;$FD100,Règles_chevaux_trait[Ration]&amp;Règles_chevaux_trait[Aliment],0))="s2",IF($FD100=Spécificité2ChevauxTrait,1)),
INDEX(Règles_chevaux_trait[Specificite],MATCH(RationEtéChevauxTrait&amp;$FD100,Règles_chevaux_trait[Ration]&amp;Règles_chevaux_trait[Aliment],0))="c"),
INDEX(Règles_chevaux_trait[Valeur 24-36],MATCH(RationEtéChevauxTrait&amp;$FD100,Règles_chevaux_trait[Ration]&amp;Règles_chevaux_trait[Aliment],0)),0),0)*TotalJeuneJumentTrait_24_36_mois*SUM(NbreJoursNourrirChevauxTrait))</f>
        <v>0</v>
      </c>
      <c r="FG100" s="1282">
        <f t="array" ref="FG100">IF(OR(ChoixRationComplèteEtéChevauxTrait=OUI,ChoixRationComplèteEtéChevauxTrait="",AND(ChoixChevauxTraitPréHiver=OUI,ChoixChevauxTraitPréEté=OUI)),0,IFERROR(IF(OR(AND(INDEX(Règles_chevaux_trait[Specificite],MATCH(RationEtéChevauxTrait&amp;$FD100,Règles_chevaux_trait[Ration]&amp;Règles_chevaux_trait[Aliment],0))="s1",IF($FD100=Spécificité1ChevauxTrait,1)),
AND(INDEX(Règles_chevaux_trait[Specificite],MATCH(RationEtéChevauxTrait&amp;$FD100,Règles_chevaux_trait[Ration]&amp;Règles_chevaux_trait[Aliment],0))="s2",IF($FD100=Spécificité2ChevauxTrait,1)),
INDEX(Règles_chevaux_trait[Specificite],MATCH(RationEtéChevauxTrait&amp;$FD100,Règles_chevaux_trait[Ration]&amp;Règles_chevaux_trait[Aliment],0))="c"),
INDEX(Règles_chevaux_trait[Valeur 12-24],MATCH(RationEtéChevauxTrait&amp;$FD100,Règles_chevaux_trait[Ration]&amp;Règles_chevaux_trait[Aliment],0)),0),0)*TotalJeuneJumentTrait_12_24_mois*SUM(NbreJoursNourrirChevauxTrait))</f>
        <v>0</v>
      </c>
      <c r="FH100" s="1285">
        <f t="array" ref="FH100">IF(OR(ChoixRationComplèteEtéChevauxTrait=OUI,ChoixRationComplèteEtéChevauxTrait="",AND(ChoixChevauxTraitPréHiver=OUI,ChoixChevauxTraitPréEté=OUI)),0,IFERROR(IF(OR(AND(INDEX(Règles_chevaux_trait[Specificite],MATCH(RationEtéChevauxTrait&amp;$FD100,Règles_chevaux_trait[Ration]&amp;Règles_chevaux_trait[Aliment],0))="s1",IF($FD100=Spécificité1ChevauxTrait,1)),
AND(INDEX(Règles_chevaux_trait[Specificite],MATCH(RationEtéChevauxTrait&amp;$FD100,Règles_chevaux_trait[Ration]&amp;Règles_chevaux_trait[Aliment],0))="s2",IF($FD100=Spécificité2ChevauxTrait,1)),
INDEX(Règles_chevaux_trait[Specificite],MATCH(RationEtéChevauxTrait&amp;$FD100,Règles_chevaux_trait[Ration]&amp;Règles_chevaux_trait[Aliment],0))="c"),
INDEX(Règles_chevaux_trait[Valeur 0-12],MATCH(RationEtéChevauxTrait&amp;$FD100,Règles_chevaux_trait[Ration]&amp;Règles_chevaux_trait[Aliment],0)),0),0)*TotalPoulicheTrait_0_12_mois*SUM(NbreJoursNourrirChevauxTrait))</f>
        <v>0</v>
      </c>
      <c r="FI100" s="1285">
        <f t="shared" si="32"/>
        <v>0</v>
      </c>
      <c r="FJ100" s="1345"/>
      <c r="FK100" s="1345"/>
      <c r="FL100" s="1345"/>
      <c r="FM100" s="1321"/>
      <c r="FN100" s="1083" t="str">
        <f t="shared" si="33"/>
        <v>Canola</v>
      </c>
      <c r="FO100" s="1283">
        <f t="array" ref="FO100">IF(OR(ChoixRationComplèteEtéPoneys=OUI,ChoixRationComplèteEtéPoneys="",AND(ChoixPoneysPréHiver=OUI,ChoixPoneysPréEté=OUI)),0,IFERROR(IF(OR(AND(INDEX(Règles_poneys[Specificite],MATCH(RationEtéPoneys&amp;$FN100,Règles_poneys[Ration]&amp;Règles_poneys[Aliment],0))="s1",IF($FN100=Spécificité1Poneys,1)),
AND(INDEX(Règles_poneys[Specificite],MATCH(RationEtéPoneys&amp;$FN100,Règles_poneys[Ration]&amp;Règles_poneys[Aliment],0))="s2",IF($FN100=Spécificité2Poneys,1)),
INDEX(Règles_poneys[Specificite],MATCH(RationEtéPoneys&amp;$FN100,Règles_poneys[Ration]&amp;Règles_poneys[Aliment],0))="c"),
INDEX(Règles_poneys[Valeur 36 et plus],MATCH(RationEtéPoneys&amp;$FN100,Règles_poneys[Ration]&amp;Règles_poneys[Aliment],0)),0),0)*TotalJumentPoney*SUM(NbreJoursNourrirPoneys))</f>
        <v>0</v>
      </c>
      <c r="FP100" s="1283">
        <f t="array" ref="FP100">IF(OR(ChoixRationComplèteEtéPoneys=OUI,ChoixRationComplèteEtéPoneys="",AND(ChoixPoneysPréHiver=OUI,ChoixPoneysPréEté=OUI)),0,IFERROR(IF(OR(AND(INDEX(Règles_poneys[Specificite],MATCH(RationEtéPoneys&amp;$FN100,Règles_poneys[Ration]&amp;Règles_poneys[Aliment],0))="s1",IF($FN100=Spécificité1Poneys,1)),
AND(INDEX(Règles_poneys[Specificite],MATCH(RationEtéPoneys&amp;$FN100,Règles_poneys[Ration]&amp;Règles_poneys[Aliment],0))="s2",IF($FN100=Spécificité2Poneys,1)),
INDEX(Règles_poneys[Specificite],MATCH(RationEtéPoneys&amp;$FN100,Règles_poneys[Ration]&amp;Règles_poneys[Aliment],0))="c"),
INDEX(Règles_poneys[Valeur 36 et plus],MATCH(RationEtéPoneys&amp;$FN100,Règles_poneys[Ration]&amp;Règles_poneys[Aliment],0)),0),0)*TotalJeuneJumentPoney_24_36_mois*SUM(NbreJoursNourrirPoneys))</f>
        <v>0</v>
      </c>
      <c r="FQ100" s="1283">
        <f t="array" ref="FQ100">IF(OR(ChoixRationComplèteEtéPoneys=OUI,ChoixRationComplèteEtéPoneys="",AND(ChoixPoneysPréHiver=OUI,ChoixPoneysPréEté=OUI)),0,IFERROR(IF(OR(AND(INDEX(Règles_poneys[Specificite],MATCH(RationEtéPoneys&amp;$FN100,Règles_poneys[Ration]&amp;Règles_poneys[Aliment],0))="s1",IF($FN100=Spécificité1Poneys,1)),
AND(INDEX(Règles_poneys[Specificite],MATCH(RationEtéPoneys&amp;$FN100,Règles_poneys[Ration]&amp;Règles_poneys[Aliment],0))="s2",IF($FN100=Spécificité2Poneys,1)),
INDEX(Règles_poneys[Specificite],MATCH(RationEtéPoneys&amp;$FN100,Règles_poneys[Ration]&amp;Règles_poneys[Aliment],0))="c"),
INDEX(Règles_poneys[Valeur 36 et plus],MATCH(RationEtéPoneys&amp;$FN100,Règles_poneys[Ration]&amp;Règles_poneys[Aliment],0)),0),0)*TotalJeuneJumentPoney_12_24_mois*SUM(NbreJoursNourrirPoneys))</f>
        <v>0</v>
      </c>
      <c r="FR100" s="1286">
        <f t="array" ref="FR100">IF(OR(ChoixRationComplèteEtéPoneys=OUI,ChoixRationComplèteEtéPoneys="",AND(ChoixPoneysPréHiver=OUI,ChoixPoneysPréEté=OUI)),0,IFERROR(IF(OR(AND(INDEX(Règles_poneys[Specificite],MATCH(RationEtéPoneys&amp;$FN100,Règles_poneys[Ration]&amp;Règles_poneys[Aliment],0))="s1",IF($FN100=Spécificité1Poneys,1)),
AND(INDEX(Règles_poneys[Specificite],MATCH(RationEtéPoneys&amp;$FN100,Règles_poneys[Ration]&amp;Règles_poneys[Aliment],0))="s2",IF($FN100=Spécificité2Poneys,1)),
INDEX(Règles_poneys[Specificite],MATCH(RationEtéPoneys&amp;$FN100,Règles_poneys[Ration]&amp;Règles_poneys[Aliment],0))="c"),
INDEX(Règles_poneys[Valeur 36 et plus],MATCH(RationEtéPoneys&amp;$FN100,Règles_poneys[Ration]&amp;Règles_poneys[Aliment],0)),0),0)*TotalPoulichePoney_0_12_mois*SUM(NbreJoursNourrirPoneys))</f>
        <v>0</v>
      </c>
      <c r="FS100" s="1286">
        <f t="shared" si="30"/>
        <v>0</v>
      </c>
      <c r="FT100" s="1345"/>
      <c r="FU100" s="1345"/>
      <c r="FV100" s="1345"/>
      <c r="FW100" s="823" t="str">
        <f t="shared" si="28"/>
        <v>Ensilage d'herbe</v>
      </c>
      <c r="FX100" s="828">
        <f t="array" ref="FX10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00" s="828">
        <f t="array" ref="FY10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00" s="828">
        <f t="array" ref="FZ10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00" s="828">
        <f t="array" ref="GA10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00" s="829">
        <f>SUM(AlimentsGavageCanards[[#This Row],[Valeur 3 et plus]:[Valeur 0-1]])</f>
        <v>0</v>
      </c>
      <c r="GC100" s="1321"/>
      <c r="GD100" s="1321"/>
      <c r="GE100" s="1321"/>
      <c r="GF100" s="1321"/>
      <c r="GG100" s="1321" t="s">
        <v>1349</v>
      </c>
      <c r="GH100" s="1321" t="s">
        <v>1349</v>
      </c>
      <c r="GI100" s="1321" t="s">
        <v>1349</v>
      </c>
      <c r="GJ100" s="1321" t="s">
        <v>1349</v>
      </c>
      <c r="GK100" s="1321" t="s">
        <v>1349</v>
      </c>
      <c r="GL100" s="1321" t="s">
        <v>1349</v>
      </c>
      <c r="GM100" s="1321" t="s">
        <v>1349</v>
      </c>
      <c r="GN100" s="1321" t="s">
        <v>1349</v>
      </c>
      <c r="GO100" s="1321" t="s">
        <v>1349</v>
      </c>
      <c r="GP100" s="1321" t="s">
        <v>1349</v>
      </c>
      <c r="GQ100" s="1321" t="s">
        <v>1349</v>
      </c>
      <c r="GR100" s="1321" t="s">
        <v>1349</v>
      </c>
      <c r="GS100" s="1321" t="s">
        <v>1349</v>
      </c>
      <c r="GT100" s="1321" t="s">
        <v>1349</v>
      </c>
      <c r="GU100" s="1321" t="s">
        <v>1349</v>
      </c>
      <c r="GV100" s="1321" t="s">
        <v>1349</v>
      </c>
      <c r="GW100" s="1321"/>
      <c r="GX100" s="1321"/>
      <c r="GY100" s="1083" t="str">
        <f t="shared" ref="GY100:GY103" si="42">GI7</f>
        <v>traitement poiriers</v>
      </c>
      <c r="GZ100" s="1083"/>
      <c r="HA100" s="1084"/>
      <c r="HB100" s="1084">
        <f>IF(COUNTIF(TypeArticleDansEntrepôt,GY100)=0,0,SUMIF(TypeArticleDansEntrepôt,GY100,QtéArticleDansEntrepôt)*VLOOKUP(GY100,place_necessaire_entrepots_aire_paille[],2,FALSE))</f>
        <v>0</v>
      </c>
      <c r="HC100" s="1321"/>
      <c r="HD100" s="1321"/>
      <c r="HE100" s="1321"/>
      <c r="HF100" s="1321"/>
      <c r="HG100" s="1321"/>
      <c r="HH100" s="1321"/>
      <c r="HI100" s="1321"/>
      <c r="HJ100" s="1321"/>
      <c r="HK100" s="1321"/>
      <c r="HL100" s="1321"/>
      <c r="HM100" s="1321"/>
      <c r="HN100" s="1100" t="s">
        <v>730</v>
      </c>
      <c r="HO100" s="1084" t="e">
        <f>IF(SUM((VLOOKUP(HN100,AlimentsRationBovinsMâles,9,FALSE)+VLOOKUP(HN100,AlimentsRationBovinsFemelles,9,FALSE)+VLOOKUP(HN100,BDD!BB$284:BJ$323,9,FALSE))/1000/SUM(NbreJoursNourrirBovins)*IF('semences, engrais et traitement'!I$16=OUI,42,84))&lt;0,0,SUM((VLOOKUP(HN100,AlimentsRationBovinsMâles,9,FALSE)+VLOOKUP(HN100,AlimentsRationBovinsFemelles,9,FALSE)+VLOOKUP(HN100,BDD!BB$284:BJ$323,9,FALSE))/1000/SUM(NbreJoursNourrirBovins)*IF('semences, engrais et traitement'!I$16=OUI,42,84)))</f>
        <v>#DIV/0!</v>
      </c>
      <c r="HP100" s="1084">
        <f t="shared" si="36"/>
        <v>0</v>
      </c>
      <c r="HQ100" s="1084" t="e">
        <f>IF(SUM(VLOOKUP(HN100,AlimentsRationPorcinsMâles[],7,FALSE)+VLOOKUP(HN100,AlimentsRationPorcinsFemelles[],7,FALSE))/1000/SUM(NbreJoursNourrirAutres)*84&lt;0,0,SUM(VLOOKUP(HN100,AlimentsRationPorcinsMâles[],7,FALSE)+VLOOKUP(HN100,AlimentsRationPorcinsFemelles[],7,FALSE)/1000/SUM(NbreJoursNourrirAutres)*84))</f>
        <v>#DIV/0!</v>
      </c>
      <c r="HR100" s="1084" t="e">
        <f>IF(SUM(VLOOKUP(HN100,AlimentsRationCaprinsMâles,6,FALSE)+VLOOKUP(HN100,AlimentsRationCaprinsFemelles,6,FALSE))/1000/SUM(NbreJoursNourrirCaprins)*IF('semences, engrais et traitement'!I$17=OUI,42,84)&lt;0,0,SUM(VLOOKUP(HN100,AlimentsRationCaprinsMâles,6,FALSE)+VLOOKUP(HN100,AlimentsRationCaprinsFemelles,6,FALSE))/1000/SUM(NbreJoursNourrirCaprins)*IF('semences, engrais et traitement'!I$17=OUI,42,84))</f>
        <v>#DIV/0!</v>
      </c>
      <c r="HS100" s="1084" t="e">
        <f>IF(SUM(VLOOKUP(HN100,AlimentsRationVolaillesMâles[],5,FALSE)+VLOOKUP(HN100,AlimentsRationVolaillesFemelles[],5,FALSE))/1000/SUM(NbreJoursNourrirAutres)*84&lt;0,0,SUM(VLOOKUP(HN100,AlimentsRationVolaillesMâles[],5,FALSE)+VLOOKUP(HN100,AlimentsRationVolaillesFemelles[],5,FALSE)/1000/SUM(NbreJoursNourrirAutres)*84))</f>
        <v>#DIV/0!</v>
      </c>
      <c r="HT100" s="1084" t="e">
        <f>IF(SUM(VLOOKUP(HN100,AlimentsRationPintadesMâles[],5,FALSE)+VLOOKUP(HN100,AlimentsRationPintadesFemelles[],5,FALSE))/1000/SUM(NbreJoursNourrirAutres)*84&lt;0,0,SUM(VLOOKUP(HN100,AlimentsRationPintadesMâles[],5,FALSE)+VLOOKUP(HN100,AlimentsRationPintadesFemelles[],5,FALSE)/1000/SUM(NbreJoursNourrirAutres)*84))</f>
        <v>#DIV/0!</v>
      </c>
      <c r="HU100" s="1084" t="e">
        <f>IF(SUM(VLOOKUP(HN100,AlimentsRationLapinsMâles[],5,FALSE)+VLOOKUP(HN100,AlimentsRationLapinsFemelles[],5,FALSE))/1000/SUM(NbreJoursNourrirAutres)*84&lt;0,0,SUM(VLOOKUP(HN100,AlimentsRationLapinsMâles[],5,FALSE)+VLOOKUP(HN100,AlimentsRationLapinsFemelles[],5,FALSE)/1000/SUM(NbreJoursNourrirAutres)*84))</f>
        <v>#DIV/0!</v>
      </c>
      <c r="HV100" s="1084" t="e">
        <f>IF(SUM(VLOOKUP(HN100,AlimentsRationOvinsMâles,6,FALSE)+VLOOKUP(HN100,AlimentsRationOvinsFemelles,6,FALSE))/1000/SUM(NbreJoursNourrirOvins)*IF('semences, engrais et traitement'!I$18=OUI,42,84)&lt;0,0,SUM(VLOOKUP(HN100,AlimentsRationOvinsMâles,6,FALSE)+VLOOKUP(HN100,AlimentsRationOvinsFemelles,6,FALSE))/1000/SUM(NbreJoursNourrirOvins)*IF('semences, engrais et traitement'!I$18=OUI,42,84))</f>
        <v>#DIV/0!</v>
      </c>
      <c r="HW100" s="1084" t="e">
        <f>IF(SUM(VLOOKUP(HN100,AlimentsRationOiesMâles[],5,FALSE)+VLOOKUP(HN100,AlimentsRationOiesFemelles[],5,FALSE))/1000/SUM(NbreJoursNourrirAutres)*84&lt;0,0,SUM(VLOOKUP(HN100,AlimentsRationOiesMâles[],5,FALSE)+VLOOKUP(HN100,AlimentsRationOiesFemelles[],5,FALSE)/1000/SUM(NbreJoursNourrirAutres)*84))</f>
        <v>#DIV/0!</v>
      </c>
      <c r="HX100" s="1084" t="e">
        <f t="shared" si="37"/>
        <v>#DIV/0!</v>
      </c>
      <c r="HY100" s="1084" t="e">
        <f>IF(SUM(VLOOKUP(HN100,AlimentsRationEcurieChevauxMâlesSelle,6,FALSE)+VLOOKUP(HN100,AlimentsRationEcurieChevauxFemellesSelle,6,FALSE))/1000/SUM(NbreJoursNourrirChevauxSelle)*IF('semences, engrais et traitement'!M$16=OUI,56,84)&lt;0,0,SUM(VLOOKUP(HN100,AlimentsRationEcurieChevauxMâlesSelle,6,FALSE)+VLOOKUP(HN100,AlimentsRationEcurieChevauxFemellesSelle,6,FALSE))/1000/SUM(NbreJoursNourrirChevauxSelle)*IF('semences, engrais et traitement'!M$16=OUI,56,84))</f>
        <v>#DIV/0!</v>
      </c>
      <c r="HZ100" s="1084" t="e">
        <f>IF(SUM(VLOOKUP(HN100,AlimentsRationEcurieChevauxMâlesTrait,6,FALSE)+VLOOKUP(HN100,AlimentsRationEcurieChevauxFemellesTrait,6,FALSE))/1000/SUM(NbreJoursNourrirChevauxTrait)*IF('semences, engrais et traitement'!M$17=OUI,56,84)&lt;0,0,SUM(VLOOKUP(HN100,AlimentsRationEcurieChevauxMâlesTrait,6,FALSE)+VLOOKUP(HN100,AlimentsRationEcurieChevauxFemellesTrait,6,FALSE))/1000/SUM(NbreJoursNourrirChevauxTrait)*IF('semences, engrais et traitement'!M$17=OUI,56,84))</f>
        <v>#DIV/0!</v>
      </c>
      <c r="IA100" s="1084" t="e">
        <f>IF(SUM(VLOOKUP(HN100,AlimentsRationEcuriePoneysMâles,6,FALSE)+VLOOKUP(HN100,AlimentsRationEcuriePoneysFemelles,6,FALSE))/1000/SUM(NbreJoursNourrirPoneys)*IF('semences, engrais et traitement'!M$18=OUI,56,84)&lt;0,0,SUM(VLOOKUP(HN100,AlimentsRationEcuriePoneysMâles,6,FALSE)+VLOOKUP(HN100,AlimentsRationEcuriePoneysFemelles,6,FALSE))/1000/SUM(NbreJoursNourrirPoneys)*IF('semences, engrais et traitement'!M$18=OUI,56,84))</f>
        <v>#DIV/0!</v>
      </c>
      <c r="IB100" s="1100" t="e">
        <f t="shared" si="38"/>
        <v>#DIV/0!</v>
      </c>
      <c r="IC100" s="1321"/>
      <c r="ID100" s="1321"/>
      <c r="IE100" s="1321"/>
      <c r="IF100" s="1321"/>
      <c r="IG100" s="1321"/>
      <c r="IH100" s="1321"/>
      <c r="II100" s="1321"/>
      <c r="IJ100" s="1321"/>
      <c r="IK100" s="1321"/>
      <c r="IL100" s="1321"/>
      <c r="IM100" s="1321"/>
      <c r="IN100" s="1368"/>
    </row>
    <row r="101" spans="1:248" ht="12.75" customHeight="1" x14ac:dyDescent="0.2">
      <c r="A101" s="1307" t="s">
        <v>611</v>
      </c>
      <c r="B101" s="1241">
        <f t="shared" si="39"/>
        <v>1E-3</v>
      </c>
      <c r="C101" s="1321"/>
      <c r="D101" s="1321"/>
      <c r="E101" s="1321"/>
      <c r="F101" s="1143" t="s">
        <v>296</v>
      </c>
      <c r="G101" s="1143" t="s">
        <v>1179</v>
      </c>
      <c r="H101" s="1246" t="s">
        <v>1208</v>
      </c>
      <c r="I101" s="1143" t="s">
        <v>1180</v>
      </c>
      <c r="J101" s="1143" t="s">
        <v>1181</v>
      </c>
      <c r="K101" s="1246" t="s">
        <v>1208</v>
      </c>
      <c r="L101" s="1143">
        <v>0</v>
      </c>
      <c r="M101" s="1321"/>
      <c r="N101" s="1321"/>
      <c r="O101" s="802" t="s">
        <v>1460</v>
      </c>
      <c r="P101" s="802">
        <f>IF(SUM(ChoixEspèceAuPré)="",0,SUMIF(ChoixEspèceAuPré,Bovins,NbreMâles_24_36MoisAuPréEté))</f>
        <v>0</v>
      </c>
      <c r="Q101" s="802">
        <f>IF(SUM(ChoixEspèceAuPré)="",0,SUMIF(ChoixEspèceAuPré,Ovins,NbreMâles_24_36MoisAuPréEté))</f>
        <v>0</v>
      </c>
      <c r="R101" s="802">
        <f>IF(SUM(ChoixEspèceAuPré)="",0,SUMIF(ChoixEspèceAuPré,Caprins,NbreMâles_24_36MoisAuPréEté))</f>
        <v>0</v>
      </c>
      <c r="S101" s="802">
        <f>IF(SUM(ChoixEspèceAuPré)="",0,SUMIF(ChoixEspèceAuPré,Bisons,NbreMâles_24_36MoisAuPréEté))</f>
        <v>0</v>
      </c>
      <c r="T101" s="802">
        <f>IF(SUM(ChoixEspèceAuPré)="",0,SUMIF(ChoixEspèceAuPré,Daims,NbreMâles_24_36MoisAuPréEté))</f>
        <v>0</v>
      </c>
      <c r="U101" s="802">
        <f>IF(SUM(ChoixEspèceAuPré)="",0,SUMIF(ChoixEspèceAuPré,ChevauxSelle,NbreMâles_24_36MoisAuPréEté))</f>
        <v>0</v>
      </c>
      <c r="V101" s="802">
        <f>IF(SUM(ChoixEspèceAuPré)="",0,SUMIF(ChoixEspèceAuPré,ChevauxTrait,NbreMâles_24_36MoisAuPréEté))</f>
        <v>0</v>
      </c>
      <c r="W101" s="802">
        <f>IF(SUM(ChoixEspèceAuPré)="",0,SUMIF(ChoixEspèceAuPré,Poneys,NbreMâles_24_36MoisAuPréEté))</f>
        <v>0</v>
      </c>
      <c r="X101" s="1321"/>
      <c r="Y101" s="1321"/>
      <c r="Z101" s="1321"/>
      <c r="AA101" s="1321"/>
      <c r="AB101" s="1321"/>
      <c r="AC101" s="1321"/>
      <c r="AD101" s="1321"/>
      <c r="AE101" s="1321"/>
      <c r="AF101" s="1321"/>
      <c r="AG101" s="1321"/>
      <c r="AH101" s="1321"/>
      <c r="AI101" s="1321"/>
      <c r="AJ101" s="1321"/>
      <c r="AK101" s="1321"/>
      <c r="AL101" s="1321"/>
      <c r="AM101" s="1321"/>
      <c r="AN101" s="1321"/>
      <c r="AO101" s="1321"/>
      <c r="AP101" s="1321"/>
      <c r="AQ101" s="1321"/>
      <c r="AR101" s="1321"/>
      <c r="AS101" s="1321"/>
      <c r="AT101" s="1321"/>
      <c r="AU101" s="1321"/>
      <c r="AV101" s="1321"/>
      <c r="AW101" s="1321"/>
      <c r="AX101" s="1321"/>
      <c r="AY101" s="1321"/>
      <c r="AZ101" s="1321"/>
      <c r="BA101" s="1321"/>
      <c r="BB101" s="1236" t="s">
        <v>729</v>
      </c>
      <c r="BC101" s="1190" t="s">
        <v>76</v>
      </c>
      <c r="BD101" s="1190" t="s">
        <v>1253</v>
      </c>
      <c r="BE101" s="1237">
        <v>7.2</v>
      </c>
      <c r="BF101" s="1237">
        <v>6</v>
      </c>
      <c r="BG101" s="1237">
        <v>4</v>
      </c>
      <c r="BH101" s="1237">
        <v>2</v>
      </c>
      <c r="BI101" s="1237">
        <v>1.2</v>
      </c>
      <c r="BJ101" s="1237">
        <v>0.6</v>
      </c>
      <c r="BK101" s="1238">
        <v>0</v>
      </c>
      <c r="BL101" s="1348"/>
      <c r="BM101" s="1076" t="str">
        <f t="shared" si="23"/>
        <v>Sorgho ensilé</v>
      </c>
      <c r="BN101" s="1076">
        <f t="array" ref="BN101">IF(Ration_hivernale_complète_bisons[somme]&gt;0,0,IFERROR(IF(OR(AND(INDEX(Règles_bison[Specificite],MATCH(ChoixRationBisons&amp;$BM101,Règles_bison[Ration]&amp;Règles_bison[Aliment],0))="s1",IF($BM101=ChoixSpécificité1Bisons,1)),
AND(INDEX(Règles_bison[Specificite],MATCH(ChoixRationBisons&amp;$BM101,Règles_bison[Ration]&amp;Règles_bison[Aliment],0))="s2",IF($BM101=ChoixSpécificité2Bisons,1)),INDEX(Règles_bison[Specificite],MATCH(ChoixRationBisons&amp;$BM101,Règles_bison[Ration]&amp;Règles_bison[Aliment],0))="c"),
INDEX(Règles_bison[Valeur 36 et plus],MATCH(ChoixRationBisons&amp;$BM101,Règles_bison[Ration]&amp;Règles_bison[Aliment],0)),0),0)*TotalBisonnes*SUM(NbreJoursNourrirBisonsDaims))</f>
        <v>0</v>
      </c>
      <c r="BO101" s="1076">
        <f t="array" ref="BO101">IF(Ration_hivernale_complète_bisons[somme]&gt;0,0,IFERROR(IF(OR(AND(INDEX(Règles_bison[Specificite],MATCH(ChoixRationBisons&amp;$BM101,Règles_bison[Ration]&amp;Règles_bison[Aliment],0))="s1",IF($BM101=ChoixSpécificité1Bisons,1)),
AND(INDEX(Règles_bison[Specificite],MATCH(ChoixRationBisons&amp;$BM101,Règles_bison[Ration]&amp;Règles_bison[Aliment],0))="s2",IF($BM101=ChoixSpécificité2Bisons,1)),INDEX(Règles_bison[Specificite],MATCH(ChoixRationBisons&amp;$BM101,Règles_bison[Ration]&amp;Règles_bison[Aliment],0))="c"),
INDEX(Règles_bison[Valeur 24-36],MATCH(ChoixRationBisons&amp;$BM101,Règles_bison[Ration]&amp;Règles_bison[Aliment],0)),0),0)*TotalBisonsFemelles_24_36_mois*SUM(NbreJoursNourrirBisonsDaims))</f>
        <v>0</v>
      </c>
      <c r="BP101" s="1076">
        <f t="array" ref="BP101">IF(Ration_hivernale_complète_bisons[somme]&gt;0,0,IFERROR(IF(OR(AND(INDEX(Règles_bison[Specificite],MATCH(ChoixRationBisons&amp;$BM101,Règles_bison[Ration]&amp;Règles_bison[Aliment],0))="s1",IF($BM101=ChoixSpécificité1Bisons,1)),
AND(INDEX(Règles_bison[Specificite],MATCH(ChoixRationBisons&amp;$BM101,Règles_bison[Ration]&amp;Règles_bison[Aliment],0))="s2",IF($BM101=ChoixSpécificité2Bisons,1)),INDEX(Règles_bison[Specificite],MATCH(ChoixRationBisons&amp;$BM101,Règles_bison[Ration]&amp;Règles_bison[Aliment],0))="c"),
INDEX(Règles_bison[Valeur 18-24],MATCH(ChoixRationBisons&amp;$BM101,Règles_bison[Ration]&amp;Règles_bison[Aliment],0)),0),0)*TotalBisonsFemelles_18_24_mois*SUM(NbreJoursNourrirBisonsDaims))</f>
        <v>0</v>
      </c>
      <c r="BQ101" s="1076">
        <f t="array" ref="BQ101">IF(Ration_hivernale_complète_bisons[somme]&gt;0,0,IFERROR(IF(OR(AND(INDEX(Règles_bison[Specificite],MATCH(ChoixRationBisons&amp;$BM101,Règles_bison[Ration]&amp;Règles_bison[Aliment],0))="s1",IF($BM101=ChoixSpécificité1Bisons,1)),
AND(INDEX(Règles_bison[Specificite],MATCH(ChoixRationBisons&amp;$BM101,Règles_bison[Ration]&amp;Règles_bison[Aliment],0))="s2",IF($BM101=ChoixSpécificité2Bisons,1)),INDEX(Règles_bison[Specificite],MATCH(ChoixRationBisons&amp;$BM101,Règles_bison[Ration]&amp;Règles_bison[Aliment],0))="c"),
INDEX(Règles_bison[Valeur 12-18],MATCH(ChoixRationBisons&amp;$BM101,Règles_bison[Ration]&amp;Règles_bison[Aliment],0)),0),0)*TotalBisonsFemelles_12_18_mois*SUM(NbreJoursNourrirBisonsDaims))</f>
        <v>0</v>
      </c>
      <c r="BR101" s="1076">
        <f t="array" ref="BR101">IF(Ration_hivernale_complète_bisons[somme]&gt;0,0,IFERROR(IF(OR(AND(INDEX(Règles_bison[Specificite],MATCH(ChoixRationBisons&amp;$BM101,Règles_bison[Ration]&amp;Règles_bison[Aliment],0))="s1",IF($BM101=ChoixSpécificité1Bisons,1)),
AND(INDEX(Règles_bison[Specificite],MATCH(ChoixRationBisons&amp;$BM101,Règles_bison[Ration]&amp;Règles_bison[Aliment],0))="s2",IF($BM101=ChoixSpécificité2Bisons,1)),INDEX(Règles_bison[Specificite],MATCH(ChoixRationBisons&amp;$BM101,Règles_bison[Ration]&amp;Règles_bison[Aliment],0))="c"),
INDEX(Règles_bison[Valeur 6-12],MATCH(ChoixRationBisons&amp;$BM101,Règles_bison[Ration]&amp;Règles_bison[Aliment],0)),0),0)*TotalBisonsFemelles_6_12_mois*SUM(NbreJoursNourrirBisonsDaims))</f>
        <v>0</v>
      </c>
      <c r="BS101" s="1076">
        <f t="array" ref="BS101">IF(Ration_hivernale_complète_bisons[somme]&gt;0,0,IFERROR(IF(OR(AND(INDEX(Règles_bison[Specificite],MATCH(ChoixRationBisons&amp;$BM101,Règles_bison[Ration]&amp;Règles_bison[Aliment],0))="s1",IF($BM101=ChoixSpécificité1Bisons,1)),
AND(INDEX(Règles_bison[Specificite],MATCH(ChoixRationBisons&amp;$BM101,Règles_bison[Ration]&amp;Règles_bison[Aliment],0))="s2",IF($BM101=ChoixSpécificité2Bisons,1)),INDEX(Règles_bison[Specificite],MATCH(ChoixRationBisons&amp;$BM101,Règles_bison[Ration]&amp;Règles_bison[Aliment],0))="c"),
INDEX(Règles_bison[Valeur 3-6],MATCH(ChoixRationBisons&amp;$BM101,Règles_bison[Ration]&amp;Règles_bison[Aliment],0)),0),0)*TotalBisonsFemelles_3_6_mois*SUM(NbreJoursNourrirBisonsDaims))</f>
        <v>0</v>
      </c>
      <c r="BT101" s="1076">
        <f t="array" ref="BT101">IF(Ration_hivernale_complète_bisons[somme]&gt;0,0,IFERROR(IF(OR(AND(INDEX(Règles_bison[Specificite],MATCH(ChoixRationBisons&amp;$BM101,Règles_bison[Ration]&amp;Règles_bison[Aliment],0))="s1",IF($BM101=ChoixSpécificité1Bisons,1)),
AND(INDEX(Règles_bison[Specificite],MATCH(ChoixRationBisons&amp;$BM101,Règles_bison[Ration]&amp;Règles_bison[Aliment],0))="s2",IF($BM101=ChoixSpécificité2Bisons,1)),INDEX(Règles_bison[Specificite],MATCH(ChoixRationBisons&amp;$BM101,Règles_bison[Ration]&amp;Règles_bison[Aliment],0))="c"),
INDEX(Règles_bison[Valeur 0-3],MATCH(ChoixRationBisons&amp;$BM101,Règles_bison[Ration]&amp;Règles_bison[Aliment],0)),0),0)*TotalBisonsFemelles_0_3_mois*SUM(NbreJoursNourrirBisonsDaims))</f>
        <v>0</v>
      </c>
      <c r="BU101" s="1076">
        <f t="shared" si="22"/>
        <v>0</v>
      </c>
      <c r="BV101" s="1346"/>
      <c r="BW101" s="1346"/>
      <c r="BX101" s="1176"/>
      <c r="BY101" s="1177"/>
      <c r="BZ101" s="1177"/>
      <c r="CA101" s="1177"/>
      <c r="CB101" s="1177"/>
      <c r="CC101" s="1177"/>
      <c r="CD101" s="1199"/>
      <c r="CE101" s="1350"/>
      <c r="CF101" s="1350"/>
      <c r="CG101" s="1350"/>
      <c r="CH101" s="1350"/>
      <c r="CI101" s="1321"/>
      <c r="CJ101" s="808" t="str">
        <f t="shared" si="26"/>
        <v>Féverole</v>
      </c>
      <c r="CK101" s="788">
        <f t="array" ref="CK10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01" s="788">
        <f t="array" ref="CL10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01" s="788">
        <f t="array" ref="CM10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01" s="788">
        <f t="array" ref="CN10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01" s="788">
        <f t="array" ref="CO10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01" s="812">
        <f>SUM(AlimentsRationPorcinsFemelles[[#This Row],[Valeur 12 et plus]:[Valeur 0-1]])</f>
        <v>0</v>
      </c>
      <c r="CQ101" s="1345"/>
      <c r="CR101" s="1321"/>
      <c r="CS101" s="808" t="str">
        <f t="shared" si="40"/>
        <v>Blé</v>
      </c>
      <c r="CT101" s="817">
        <f t="array" ref="CT10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01" s="817">
        <f t="array" ref="CU10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01" s="817">
        <f t="array" ref="CV10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01" s="818">
        <f>SUM(AlimentsRationLapinsFemelles[[#This Row],[Valeur 3 et plus]:[Valeur 0-1]])</f>
        <v>0</v>
      </c>
      <c r="CX101" s="1321"/>
      <c r="CY101" s="1321"/>
      <c r="CZ101" s="808" t="str">
        <f t="shared" si="41"/>
        <v>Blé</v>
      </c>
      <c r="DA101" s="817">
        <f t="array" ref="DA10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01" s="817">
        <f t="array" ref="DB10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01" s="817">
        <f t="array" ref="DC10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01" s="818">
        <f>SUM(AlimentsRationVolaillesFemelles[[#This Row],[Valeur 6 et plus]:[Valeur 0-1]])</f>
        <v>0</v>
      </c>
      <c r="DE101" s="1321"/>
      <c r="DF101" s="1321"/>
      <c r="DG101" s="788" t="str">
        <f t="shared" si="27"/>
        <v>Eau</v>
      </c>
      <c r="DH101" s="817">
        <f t="array" ref="DH101">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01" s="817">
        <f t="array" ref="DI101">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01" s="817">
        <f t="array" ref="DJ101">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01" s="821">
        <f>SUM(AlimentsRationPintadesFemelles[[#This Row],[Valeur 6 et plus]:[Valeur 0-1]])</f>
        <v>0</v>
      </c>
      <c r="DL101" s="1321"/>
      <c r="DM101" s="1321"/>
      <c r="DN101" s="1176" t="s">
        <v>729</v>
      </c>
      <c r="DO101" s="1177" t="s">
        <v>285</v>
      </c>
      <c r="DP101" s="1177" t="s">
        <v>1253</v>
      </c>
      <c r="DQ101" s="1181">
        <v>1.6</v>
      </c>
      <c r="DR101" s="1181">
        <v>1.4</v>
      </c>
      <c r="DS101" s="1181">
        <v>1.2</v>
      </c>
      <c r="DT101" s="1243">
        <v>1</v>
      </c>
      <c r="DU101" s="1345"/>
      <c r="DV101" s="1075" t="str">
        <f t="shared" si="24"/>
        <v>Pomme de terre</v>
      </c>
      <c r="DW101" s="1269">
        <f t="array" ref="DW101">SUM((IF(QualitéAlimentsFaonMâle_0_3_mois=BONNE,VLOOKUP("Pomme de terre",AlimentsRationHivernaleDaims,8,FALSE),0)+(IF(QualitéAlimentsFaonFemelle_0_3_mois=BONNE,VLOOKUP("Pomme de terre",AlimentsRationHivernaleDaims,8,FALSE),0)+(IF(QualitéAlimentsFaonMâle_3_6_mois=BONNE,VLOOKUP("Pomme de terre",AlimentsRationHivernaleDaims,7,FALSE),0)+(IF(QualitéAlimentsFaonFemelle_3_6_mois=BONNE,VLOOKUP("Pomme de terre",AlimentsRationHivernaleDaims,7,FALSE),0)+(IF(QualitéAlimentsFaonMâle_6_12_mois=BONNE,VLOOKUP("Pomme de terre",AlimentsRationHivernaleDaims,6,FALSE),0)+(IF(QualitéAlimentsFaonFemelle_6_12_mois=BONNE,VLOOKUP("Pomme de terre",AlimentsRationHivernaleDaims,6,FALSE),0)+(IF(QualitéAlimentsJeuneDaim_12_18_mois=BONNE,VLOOKUP("Pomme de terre",AlimentsRationHivernaleDaims,5,FALSE),0)+(IF(QualitéAlimentsJeuneDaine_12_18_mois=BONNE,VLOOKUP("Pomme de terre",AlimentsRationHivernaleDaims,5,FALSE),0)+(IF(QualitéAlimentsJeuneDaim_18_24_mois=BONNE,VLOOKUP("Pomme de terre",AlimentsRationHivernaleDaims,4,FALSE),0)+(IF(QualitéAlimentsJeuneDaine_18_24_mois=BONNE,VLOOKUP("Pomme de terre",AlimentsRationHivernaleDaims,4,FALSE),0)+(IF(QualitéAlimentsJeuneDaim_24_36_mois=BONNE,VLOOKUP("Pomme de terre",AlimentsRationHivernaleDaims,3,FALSE),0)+(IF(QualitéAlimentsJeuneDaine_24_36_mois=BONNE,VLOOKUP("Pomme de terre",AlimentsRationHivernaleDaims,3,FALSE),0)+(IF(QualitéAlimentsDaim=BONNE,VLOOKUP("Pomme de terre",AlimentsRationHivernaleDaims,2,FALSE),0)+(IF(QualitéAlimentsDaine=BONNE,VLOOKUP("Pomme de terre",AlimentsRationHivernaleDaims,2,FALSE),0))))))))))))))))</f>
        <v>0</v>
      </c>
      <c r="DX101" s="1269">
        <f t="array" ref="DX101">SUM((IF(QualitéAlimentsFaonMâle_0_3_mois=MOYENNE,VLOOKUP("Pomme de terre",AlimentsRationHivernaleDaims,8,FALSE),0)+(IF(QualitéAlimentsFaonFemelle_0_3_mois=MOYENNE,VLOOKUP("Pomme de terre",AlimentsRationHivernaleDaims,8,FALSE),0)+(IF(QualitéAlimentsFaonMâle_3_6_mois=MOYENNE,VLOOKUP("Pomme de terre",AlimentsRationHivernaleDaims,7,FALSE),0)+(IF(QualitéAlimentsFaonFemelle_3_6_mois=MOYENNE,VLOOKUP("Pomme de terre",AlimentsRationHivernaleDaims,7,FALSE),0)+(IF(QualitéAlimentsFaonMâle_6_12_mois=MOYENNE,VLOOKUP("Pomme de terre",AlimentsRationHivernaleDaims,6,FALSE),0)+(IF(QualitéAlimentsFaonFemelle_6_12_mois=MOYENNE,VLOOKUP("Pomme de terre",AlimentsRationHivernaleDaims,6,FALSE),0)+(IF(QualitéAlimentsJeuneDaim_12_18_mois=MOYENNE,VLOOKUP("Pomme de terre",AlimentsRationHivernaleDaims,5,FALSE),0)+(IF(QualitéAlimentsJeuneDaine_12_18_mois=MOYENNE,VLOOKUP("Pomme de terre",AlimentsRationHivernaleDaims,5,FALSE),0)+(IF(QualitéAlimentsJeuneDaim_18_24_mois=MOYENNE,VLOOKUP("Pomme de terre",AlimentsRationHivernaleDaims,4,FALSE),0)+(IF(QualitéAlimentsJeuneDaine_18_24_mois=MOYENNE,VLOOKUP("Pomme de terre",AlimentsRationHivernaleDaims,4,FALSE),0)+(IF(QualitéAlimentsJeuneDaim_24_36_mois=MOYENNE,VLOOKUP("Pomme de terre",AlimentsRationHivernaleDaims,3,FALSE),0)+(IF(QualitéAlimentsJeuneDaine_24_36_mois=MOYENNE,VLOOKUP("Pomme de terre",AlimentsRationHivernaleDaims,3,FALSE),0)+(IF(QualitéAlimentsDaim=MOYENNE,VLOOKUP("Pomme de terre",AlimentsRationHivernaleDaims,2,FALSE),0)+(IF(QualitéAlimentsDaine=MOYENNE,VLOOKUP("Pomme de terre",AlimentsRationHivernaleDaims,2,FALSE),0))))))))))))))))</f>
        <v>0</v>
      </c>
      <c r="DY101" s="1269">
        <f t="array" ref="DY101">SUM((IF(QualitéAlimentsFaonMâle_0_3_mois=MAUVAISE,VLOOKUP("Pomme de terre",AlimentsRationHivernaleDaims,8,FALSE),0)+(IF(QualitéAlimentsFaonFemelle_0_3_mois=MAUVAISE,VLOOKUP("Pomme de terre",AlimentsRationHivernaleDaims,8,FALSE),0)+(IF(QualitéAlimentsFaonMâle_3_6_mois=MAUVAISE,VLOOKUP("Pomme de terre",AlimentsRationHivernaleDaims,7,FALSE),0)+(IF(QualitéAlimentsFaonFemelle_3_6_mois=MAUVAISE,VLOOKUP("Pomme de terre",AlimentsRationHivernaleDaims,7,FALSE),0)+(IF(QualitéAlimentsFaonMâle_6_12_mois=MAUVAISE,VLOOKUP("Pomme de terre",AlimentsRationHivernaleDaims,6,FALSE),0)+(IF(QualitéAlimentsFaonFemelle_6_12_mois=MAUVAISE,VLOOKUP("Pomme de terre",AlimentsRationHivernaleDaims,6,FALSE),0)+(IF(QualitéAlimentsJeuneDaim_12_18_mois=MAUVAISE,VLOOKUP("Pomme de terre",AlimentsRationHivernaleDaims,5,FALSE),0)+(IF(QualitéAlimentsJeuneDaine_12_18_mois=MAUVAISE,VLOOKUP("Pomme de terre",AlimentsRationHivernaleDaims,5,FALSE),0)+(IF(QualitéAlimentsJeuneDaim_18_24_mois=MAUVAISE,VLOOKUP("Pomme de terre",AlimentsRationHivernaleDaims,4,FALSE),0)+(IF(QualitéAlimentsJeuneDaine_18_24_mois=MAUVAISE,VLOOKUP("Pomme de terre",AlimentsRationHivernaleDaims,4,FALSE),0)+(IF(QualitéAlimentsJeuneDaim_24_36_mois=MAUVAISE,VLOOKUP("Pomme de terre",AlimentsRationHivernaleDaims,3,FALSE),0)+(IF(QualitéAlimentsJeuneDaine_24_36_mois=MAUVAISE,VLOOKUP("Pomme de terre",AlimentsRationHivernaleDaims,3,FALSE),0)+(IF(QualitéAlimentsDaim=MAUVAISE,VLOOKUP("Pomme de terre",AlimentsRationHivernaleDaims,2,FALSE),0)+(IF(QualitéAlimentsDaine=MAUVAISE,VLOOKUP("Pomme de terre",AlimentsRationHivernaleDaims,2,FALSE),0))))))))))))))))</f>
        <v>0</v>
      </c>
      <c r="DZ101" s="1345"/>
      <c r="EA101" s="1345"/>
      <c r="EB101" s="1345"/>
      <c r="EC101" s="1345"/>
      <c r="ED101" s="1345"/>
      <c r="EE101" s="1345"/>
      <c r="EF101" s="1321"/>
      <c r="EG101" s="808" t="str">
        <f t="shared" si="31"/>
        <v>Colza</v>
      </c>
      <c r="EH101" s="817">
        <f t="array" ref="EH10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01" s="817">
        <f t="array" ref="EI10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01" s="817">
        <f t="array" ref="EJ10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01" s="818">
        <f>SUM(AlimentsRationOiesFemelles[[#This Row],[Valeur 6 et plus]:[Valeur 0-3]])</f>
        <v>0</v>
      </c>
      <c r="EL101" s="1345"/>
      <c r="EM101" s="1321"/>
      <c r="EN101" s="823" t="str">
        <f t="shared" si="29"/>
        <v>concentré jeunes bovins</v>
      </c>
      <c r="EO101" s="828">
        <f t="array" ref="EO10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01" s="828">
        <f t="array" ref="EP10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01" s="828">
        <f t="array" ref="EQ10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01" s="829">
        <f>SUM(Ration_canards_Femelles[[#This Row],[Valeur 6 et plus]:[Valeur 0-3]])</f>
        <v>0</v>
      </c>
      <c r="ES101" s="1345"/>
      <c r="ET101" s="1321"/>
      <c r="EU101" s="1281" t="s">
        <v>1276</v>
      </c>
      <c r="EV101" s="1281" t="s">
        <v>1261</v>
      </c>
      <c r="EW101" s="1281" t="s">
        <v>1260</v>
      </c>
      <c r="EX101" s="1281" t="s">
        <v>1304</v>
      </c>
      <c r="EY101" s="1284" t="s">
        <v>1303</v>
      </c>
      <c r="EZ101" s="1281" t="s">
        <v>1269</v>
      </c>
      <c r="FA101" s="1345"/>
      <c r="FB101" s="1345"/>
      <c r="FC101" s="1321"/>
      <c r="FD101" s="1083" t="str">
        <f t="shared" si="34"/>
        <v>Canola</v>
      </c>
      <c r="FE101" s="1283">
        <f t="array" ref="FE101">IF(OR(ChoixRationComplèteEtéChevauxTrait=OUI,ChoixRationComplèteEtéChevauxTrait="",AND(ChoixChevauxTraitPréHiver=OUI,ChoixChevauxTraitPréEté=OUI)),0,IFERROR(IF(OR(AND(INDEX(Règles_chevaux_trait[Specificite],MATCH(RationEtéChevauxTrait&amp;$FD101,Règles_chevaux_trait[Ration]&amp;Règles_chevaux_trait[Aliment],0))="s1",IF($FD101=Spécificité1ChevauxTrait,1)),
AND(INDEX(Règles_chevaux_trait[Specificite],MATCH(RationEtéChevauxTrait&amp;$FD101,Règles_chevaux_trait[Ration]&amp;Règles_chevaux_trait[Aliment],0))="s2",IF($FD101=Spécificité2ChevauxTrait,1)),
INDEX(Règles_chevaux_trait[Specificite],MATCH(RationEtéChevauxTrait&amp;$FD101,Règles_chevaux_trait[Ration]&amp;Règles_chevaux_trait[Aliment],0))="c"),
INDEX(Règles_chevaux_trait[Valeur 36 et plus],MATCH(RationEtéChevauxTrait&amp;$FD101,Règles_chevaux_trait[Ration]&amp;Règles_chevaux_trait[Aliment],0)),0),0)*TotalJumentTrait*SUM(NbreJoursNourrirChevauxTrait))</f>
        <v>0</v>
      </c>
      <c r="FF101" s="1283">
        <f t="array" ref="FF101">IF(OR(ChoixRationComplèteEtéChevauxTrait=OUI,ChoixRationComplèteEtéChevauxTrait="",AND(ChoixChevauxTraitPréHiver=OUI,ChoixChevauxTraitPréEté=OUI)),0,IFERROR(IF(OR(AND(INDEX(Règles_chevaux_trait[Specificite],MATCH(RationEtéChevauxTrait&amp;$FD101,Règles_chevaux_trait[Ration]&amp;Règles_chevaux_trait[Aliment],0))="s1",IF($FD101=Spécificité1ChevauxTrait,1)),
AND(INDEX(Règles_chevaux_trait[Specificite],MATCH(RationEtéChevauxTrait&amp;$FD101,Règles_chevaux_trait[Ration]&amp;Règles_chevaux_trait[Aliment],0))="s2",IF($FD101=Spécificité2ChevauxTrait,1)),
INDEX(Règles_chevaux_trait[Specificite],MATCH(RationEtéChevauxTrait&amp;$FD101,Règles_chevaux_trait[Ration]&amp;Règles_chevaux_trait[Aliment],0))="c"),
INDEX(Règles_chevaux_trait[Valeur 24-36],MATCH(RationEtéChevauxTrait&amp;$FD101,Règles_chevaux_trait[Ration]&amp;Règles_chevaux_trait[Aliment],0)),0),0)*TotalJeuneJumentTrait_24_36_mois*SUM(NbreJoursNourrirChevauxTrait))</f>
        <v>0</v>
      </c>
      <c r="FG101" s="1283">
        <f t="array" ref="FG101">IF(OR(ChoixRationComplèteEtéChevauxTrait=OUI,ChoixRationComplèteEtéChevauxTrait="",AND(ChoixChevauxTraitPréHiver=OUI,ChoixChevauxTraitPréEté=OUI)),0,IFERROR(IF(OR(AND(INDEX(Règles_chevaux_trait[Specificite],MATCH(RationEtéChevauxTrait&amp;$FD101,Règles_chevaux_trait[Ration]&amp;Règles_chevaux_trait[Aliment],0))="s1",IF($FD101=Spécificité1ChevauxTrait,1)),
AND(INDEX(Règles_chevaux_trait[Specificite],MATCH(RationEtéChevauxTrait&amp;$FD101,Règles_chevaux_trait[Ration]&amp;Règles_chevaux_trait[Aliment],0))="s2",IF($FD101=Spécificité2ChevauxTrait,1)),
INDEX(Règles_chevaux_trait[Specificite],MATCH(RationEtéChevauxTrait&amp;$FD101,Règles_chevaux_trait[Ration]&amp;Règles_chevaux_trait[Aliment],0))="c"),
INDEX(Règles_chevaux_trait[Valeur 12-24],MATCH(RationEtéChevauxTrait&amp;$FD101,Règles_chevaux_trait[Ration]&amp;Règles_chevaux_trait[Aliment],0)),0),0)*TotalJeuneJumentTrait_12_24_mois*SUM(NbreJoursNourrirChevauxTrait))</f>
        <v>0</v>
      </c>
      <c r="FH101" s="1286">
        <f t="array" ref="FH101">IF(OR(ChoixRationComplèteEtéChevauxTrait=OUI,ChoixRationComplèteEtéChevauxTrait="",AND(ChoixChevauxTraitPréHiver=OUI,ChoixChevauxTraitPréEté=OUI)),0,IFERROR(IF(OR(AND(INDEX(Règles_chevaux_trait[Specificite],MATCH(RationEtéChevauxTrait&amp;$FD101,Règles_chevaux_trait[Ration]&amp;Règles_chevaux_trait[Aliment],0))="s1",IF($FD101=Spécificité1ChevauxTrait,1)),
AND(INDEX(Règles_chevaux_trait[Specificite],MATCH(RationEtéChevauxTrait&amp;$FD101,Règles_chevaux_trait[Ration]&amp;Règles_chevaux_trait[Aliment],0))="s2",IF($FD101=Spécificité2ChevauxTrait,1)),
INDEX(Règles_chevaux_trait[Specificite],MATCH(RationEtéChevauxTrait&amp;$FD101,Règles_chevaux_trait[Ration]&amp;Règles_chevaux_trait[Aliment],0))="c"),
INDEX(Règles_chevaux_trait[Valeur 0-12],MATCH(RationEtéChevauxTrait&amp;$FD101,Règles_chevaux_trait[Ration]&amp;Règles_chevaux_trait[Aliment],0)),0),0)*TotalPoulicheTrait_0_12_mois*SUM(NbreJoursNourrirChevauxTrait))</f>
        <v>0</v>
      </c>
      <c r="FI101" s="1286">
        <f t="shared" si="32"/>
        <v>0</v>
      </c>
      <c r="FJ101" s="1345"/>
      <c r="FK101" s="1345"/>
      <c r="FL101" s="1345"/>
      <c r="FM101" s="1321"/>
      <c r="FN101" s="1082" t="str">
        <f t="shared" si="33"/>
        <v>Colza</v>
      </c>
      <c r="FO101" s="1282">
        <f t="array" ref="FO101">IF(OR(ChoixRationComplèteEtéPoneys=OUI,ChoixRationComplèteEtéPoneys="",AND(ChoixPoneysPréHiver=OUI,ChoixPoneysPréEté=OUI)),0,IFERROR(IF(OR(AND(INDEX(Règles_poneys[Specificite],MATCH(RationEtéPoneys&amp;$FN101,Règles_poneys[Ration]&amp;Règles_poneys[Aliment],0))="s1",IF($FN101=Spécificité1Poneys,1)),
AND(INDEX(Règles_poneys[Specificite],MATCH(RationEtéPoneys&amp;$FN101,Règles_poneys[Ration]&amp;Règles_poneys[Aliment],0))="s2",IF($FN101=Spécificité2Poneys,1)),
INDEX(Règles_poneys[Specificite],MATCH(RationEtéPoneys&amp;$FN101,Règles_poneys[Ration]&amp;Règles_poneys[Aliment],0))="c"),
INDEX(Règles_poneys[Valeur 36 et plus],MATCH(RationEtéPoneys&amp;$FN101,Règles_poneys[Ration]&amp;Règles_poneys[Aliment],0)),0),0)*TotalJumentPoney*SUM(NbreJoursNourrirPoneys))</f>
        <v>0</v>
      </c>
      <c r="FP101" s="1282">
        <f t="array" ref="FP101">IF(OR(ChoixRationComplèteEtéPoneys=OUI,ChoixRationComplèteEtéPoneys="",AND(ChoixPoneysPréHiver=OUI,ChoixPoneysPréEté=OUI)),0,IFERROR(IF(OR(AND(INDEX(Règles_poneys[Specificite],MATCH(RationEtéPoneys&amp;$FN101,Règles_poneys[Ration]&amp;Règles_poneys[Aliment],0))="s1",IF($FN101=Spécificité1Poneys,1)),
AND(INDEX(Règles_poneys[Specificite],MATCH(RationEtéPoneys&amp;$FN101,Règles_poneys[Ration]&amp;Règles_poneys[Aliment],0))="s2",IF($FN101=Spécificité2Poneys,1)),
INDEX(Règles_poneys[Specificite],MATCH(RationEtéPoneys&amp;$FN101,Règles_poneys[Ration]&amp;Règles_poneys[Aliment],0))="c"),
INDEX(Règles_poneys[Valeur 36 et plus],MATCH(RationEtéPoneys&amp;$FN101,Règles_poneys[Ration]&amp;Règles_poneys[Aliment],0)),0),0)*TotalJeuneJumentPoney_24_36_mois*SUM(NbreJoursNourrirPoneys))</f>
        <v>0</v>
      </c>
      <c r="FQ101" s="1282">
        <f t="array" ref="FQ101">IF(OR(ChoixRationComplèteEtéPoneys=OUI,ChoixRationComplèteEtéPoneys="",AND(ChoixPoneysPréHiver=OUI,ChoixPoneysPréEté=OUI)),0,IFERROR(IF(OR(AND(INDEX(Règles_poneys[Specificite],MATCH(RationEtéPoneys&amp;$FN101,Règles_poneys[Ration]&amp;Règles_poneys[Aliment],0))="s1",IF($FN101=Spécificité1Poneys,1)),
AND(INDEX(Règles_poneys[Specificite],MATCH(RationEtéPoneys&amp;$FN101,Règles_poneys[Ration]&amp;Règles_poneys[Aliment],0))="s2",IF($FN101=Spécificité2Poneys,1)),
INDEX(Règles_poneys[Specificite],MATCH(RationEtéPoneys&amp;$FN101,Règles_poneys[Ration]&amp;Règles_poneys[Aliment],0))="c"),
INDEX(Règles_poneys[Valeur 36 et plus],MATCH(RationEtéPoneys&amp;$FN101,Règles_poneys[Ration]&amp;Règles_poneys[Aliment],0)),0),0)*TotalJeuneJumentPoney_12_24_mois*SUM(NbreJoursNourrirPoneys))</f>
        <v>0</v>
      </c>
      <c r="FR101" s="1285">
        <f t="array" ref="FR101">IF(OR(ChoixRationComplèteEtéPoneys=OUI,ChoixRationComplèteEtéPoneys="",AND(ChoixPoneysPréHiver=OUI,ChoixPoneysPréEté=OUI)),0,IFERROR(IF(OR(AND(INDEX(Règles_poneys[Specificite],MATCH(RationEtéPoneys&amp;$FN101,Règles_poneys[Ration]&amp;Règles_poneys[Aliment],0))="s1",IF($FN101=Spécificité1Poneys,1)),
AND(INDEX(Règles_poneys[Specificite],MATCH(RationEtéPoneys&amp;$FN101,Règles_poneys[Ration]&amp;Règles_poneys[Aliment],0))="s2",IF($FN101=Spécificité2Poneys,1)),
INDEX(Règles_poneys[Specificite],MATCH(RationEtéPoneys&amp;$FN101,Règles_poneys[Ration]&amp;Règles_poneys[Aliment],0))="c"),
INDEX(Règles_poneys[Valeur 36 et plus],MATCH(RationEtéPoneys&amp;$FN101,Règles_poneys[Ration]&amp;Règles_poneys[Aliment],0)),0),0)*TotalPoulichePoney_0_12_mois*SUM(NbreJoursNourrirPoneys))</f>
        <v>0</v>
      </c>
      <c r="FS101" s="1285">
        <f t="shared" si="30"/>
        <v>0</v>
      </c>
      <c r="FT101" s="1345"/>
      <c r="FU101" s="1345"/>
      <c r="FV101" s="1345"/>
      <c r="FW101" s="823" t="str">
        <f t="shared" si="28"/>
        <v>Eau</v>
      </c>
      <c r="FX101" s="828">
        <f t="array" ref="FX101">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01" s="828">
        <f t="array" ref="FY101">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01" s="828">
        <f t="array" ref="FZ101">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01" s="828">
        <f t="array" ref="GA101">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01" s="829">
        <f>SUM(AlimentsGavageCanards[[#This Row],[Valeur 3 et plus]:[Valeur 0-1]])</f>
        <v>0</v>
      </c>
      <c r="GC101" s="1321"/>
      <c r="GD101" s="1321"/>
      <c r="GE101" s="1321"/>
      <c r="GF101" s="1321"/>
      <c r="GG101" s="1321" t="s">
        <v>1349</v>
      </c>
      <c r="GH101" s="1321" t="s">
        <v>1349</v>
      </c>
      <c r="GI101" s="1321" t="s">
        <v>1349</v>
      </c>
      <c r="GJ101" s="1321" t="s">
        <v>1349</v>
      </c>
      <c r="GK101" s="1321" t="s">
        <v>1349</v>
      </c>
      <c r="GL101" s="1321" t="s">
        <v>1349</v>
      </c>
      <c r="GM101" s="1321" t="s">
        <v>1349</v>
      </c>
      <c r="GN101" s="1321" t="s">
        <v>1349</v>
      </c>
      <c r="GO101" s="1321" t="s">
        <v>1349</v>
      </c>
      <c r="GP101" s="1321" t="s">
        <v>1349</v>
      </c>
      <c r="GQ101" s="1321" t="s">
        <v>1349</v>
      </c>
      <c r="GR101" s="1321" t="s">
        <v>1349</v>
      </c>
      <c r="GS101" s="1321" t="s">
        <v>1349</v>
      </c>
      <c r="GT101" s="1321" t="s">
        <v>1349</v>
      </c>
      <c r="GU101" s="1321" t="s">
        <v>1349</v>
      </c>
      <c r="GV101" s="1321" t="s">
        <v>1349</v>
      </c>
      <c r="GW101" s="1321"/>
      <c r="GX101" s="1321"/>
      <c r="GY101" s="1082" t="str">
        <f t="shared" si="42"/>
        <v>traitement pommiers</v>
      </c>
      <c r="GZ101" s="1082"/>
      <c r="HA101" s="1085"/>
      <c r="HB101" s="1085">
        <f>IF(COUNTIF(TypeArticleDansEntrepôt,GY101)=0,0,SUMIF(TypeArticleDansEntrepôt,GY101,QtéArticleDansEntrepôt)*VLOOKUP(GY101,place_necessaire_entrepots_aire_paille[],2,FALSE))</f>
        <v>0</v>
      </c>
      <c r="HC101" s="1321"/>
      <c r="HD101" s="1321"/>
      <c r="HE101" s="1321"/>
      <c r="HF101" s="1321"/>
      <c r="HG101" s="1321"/>
      <c r="HH101" s="1321"/>
      <c r="HI101" s="1321"/>
      <c r="HJ101" s="1321"/>
      <c r="HK101" s="1321"/>
      <c r="HL101" s="1321"/>
      <c r="HM101" s="1321"/>
      <c r="HN101" s="1099" t="s">
        <v>1270</v>
      </c>
      <c r="HO101" s="1085" t="e">
        <f>IF(SUM((VLOOKUP(HN101,AlimentsRationBovinsMâles,9,FALSE)+VLOOKUP(HN101,AlimentsRationBovinsFemelles,9,FALSE)+VLOOKUP(HN101,BDD!BB$284:BJ$323,9,FALSE))/1000/SUM(NbreJoursNourrirBovins)*IF('semences, engrais et traitement'!I$16=OUI,42,84))&lt;0,0,SUM((VLOOKUP(HN101,AlimentsRationBovinsMâles,9,FALSE)+VLOOKUP(HN101,AlimentsRationBovinsFemelles,9,FALSE)+VLOOKUP(HN101,BDD!BB$284:BJ$323,9,FALSE))/1000/SUM(NbreJoursNourrirBovins)*IF('semences, engrais et traitement'!I$16=OUI,42,84)))</f>
        <v>#DIV/0!</v>
      </c>
      <c r="HP101" s="1085">
        <f t="shared" si="36"/>
        <v>0</v>
      </c>
      <c r="HQ101" s="1085" t="e">
        <f>IF(SUM(VLOOKUP(HN101,AlimentsRationPorcinsMâles[],7,FALSE)+VLOOKUP(HN101,AlimentsRationPorcinsFemelles[],7,FALSE))/1000/SUM(NbreJoursNourrirAutres)*84&lt;0,0,SUM(VLOOKUP(HN101,AlimentsRationPorcinsMâles[],7,FALSE)+VLOOKUP(HN101,AlimentsRationPorcinsFemelles[],7,FALSE)/1000/SUM(NbreJoursNourrirAutres)*84))</f>
        <v>#DIV/0!</v>
      </c>
      <c r="HR101" s="1085" t="e">
        <f>IF(SUM(VLOOKUP(HN101,AlimentsRationCaprinsMâles,6,FALSE)+VLOOKUP(HN101,AlimentsRationCaprinsFemelles,6,FALSE))/1000/SUM(NbreJoursNourrirCaprins)*IF('semences, engrais et traitement'!I$17=OUI,42,84)&lt;0,0,SUM(VLOOKUP(HN101,AlimentsRationCaprinsMâles,6,FALSE)+VLOOKUP(HN101,AlimentsRationCaprinsFemelles,6,FALSE))/1000/SUM(NbreJoursNourrirCaprins)*IF('semences, engrais et traitement'!I$17=OUI,42,84))</f>
        <v>#DIV/0!</v>
      </c>
      <c r="HS101" s="1085" t="e">
        <f>IF(SUM(VLOOKUP(HN101,AlimentsRationVolaillesMâles[],5,FALSE)+VLOOKUP(HN101,AlimentsRationVolaillesFemelles[],5,FALSE))/1000/SUM(NbreJoursNourrirAutres)*84&lt;0,0,SUM(VLOOKUP(HN101,AlimentsRationVolaillesMâles[],5,FALSE)+VLOOKUP(HN101,AlimentsRationVolaillesFemelles[],5,FALSE)/1000/SUM(NbreJoursNourrirAutres)*84))</f>
        <v>#DIV/0!</v>
      </c>
      <c r="HT101" s="1085" t="e">
        <f>IF(SUM(VLOOKUP(HN101,AlimentsRationPintadesMâles[],5,FALSE)+VLOOKUP(HN101,AlimentsRationPintadesFemelles[],5,FALSE))/1000/SUM(NbreJoursNourrirAutres)*84&lt;0,0,SUM(VLOOKUP(HN101,AlimentsRationPintadesMâles[],5,FALSE)+VLOOKUP(HN101,AlimentsRationPintadesFemelles[],5,FALSE)/1000/SUM(NbreJoursNourrirAutres)*84))</f>
        <v>#DIV/0!</v>
      </c>
      <c r="HU101" s="1085" t="e">
        <f>IF(SUM(VLOOKUP(HN101,AlimentsRationLapinsMâles[],5,FALSE)+VLOOKUP(HN101,AlimentsRationLapinsFemelles[],5,FALSE))/1000/SUM(NbreJoursNourrirAutres)*84&lt;0,0,SUM(VLOOKUP(HN101,AlimentsRationLapinsMâles[],5,FALSE)+VLOOKUP(HN101,AlimentsRationLapinsFemelles[],5,FALSE)/1000/SUM(NbreJoursNourrirAutres)*84))</f>
        <v>#DIV/0!</v>
      </c>
      <c r="HV101" s="1085" t="e">
        <f>IF(SUM(VLOOKUP(HN101,AlimentsRationOvinsMâles,6,FALSE)+VLOOKUP(HN101,AlimentsRationOvinsFemelles,6,FALSE))/1000/SUM(NbreJoursNourrirOvins)*IF('semences, engrais et traitement'!I$18=OUI,42,84)&lt;0,0,SUM(VLOOKUP(HN101,AlimentsRationOvinsMâles,6,FALSE)+VLOOKUP(HN101,AlimentsRationOvinsFemelles,6,FALSE))/1000/SUM(NbreJoursNourrirOvins)*IF('semences, engrais et traitement'!I$18=OUI,42,84))</f>
        <v>#DIV/0!</v>
      </c>
      <c r="HW101" s="1085" t="e">
        <f>IF(SUM(VLOOKUP(HN101,AlimentsRationOiesMâles[],5,FALSE)+VLOOKUP(HN101,AlimentsRationOiesFemelles[],5,FALSE))/1000/SUM(NbreJoursNourrirAutres)*84&lt;0,0,SUM(VLOOKUP(HN101,AlimentsRationOiesMâles[],5,FALSE)+VLOOKUP(HN101,AlimentsRationOiesFemelles[],5,FALSE)/1000/SUM(NbreJoursNourrirAutres)*84))</f>
        <v>#DIV/0!</v>
      </c>
      <c r="HX101" s="1085" t="e">
        <f t="shared" si="37"/>
        <v>#DIV/0!</v>
      </c>
      <c r="HY101" s="1085" t="e">
        <f>IF(SUM(VLOOKUP(HN101,AlimentsRationEcurieChevauxMâlesSelle,6,FALSE)+VLOOKUP(HN101,AlimentsRationEcurieChevauxFemellesSelle,6,FALSE))/1000/SUM(NbreJoursNourrirChevauxSelle)*IF('semences, engrais et traitement'!M$16=OUI,56,84)&lt;0,0,SUM(VLOOKUP(HN101,AlimentsRationEcurieChevauxMâlesSelle,6,FALSE)+VLOOKUP(HN101,AlimentsRationEcurieChevauxFemellesSelle,6,FALSE))/1000/SUM(NbreJoursNourrirChevauxSelle)*IF('semences, engrais et traitement'!M$16=OUI,56,84))</f>
        <v>#DIV/0!</v>
      </c>
      <c r="HZ101" s="1085" t="e">
        <f>IF(SUM(VLOOKUP(HN101,AlimentsRationEcurieChevauxMâlesTrait,6,FALSE)+VLOOKUP(HN101,AlimentsRationEcurieChevauxFemellesTrait,6,FALSE))/1000/SUM(NbreJoursNourrirChevauxTrait)*IF('semences, engrais et traitement'!M$17=OUI,56,84)&lt;0,0,SUM(VLOOKUP(HN101,AlimentsRationEcurieChevauxMâlesTrait,6,FALSE)+VLOOKUP(HN101,AlimentsRationEcurieChevauxFemellesTrait,6,FALSE))/1000/SUM(NbreJoursNourrirChevauxTrait)*IF('semences, engrais et traitement'!M$17=OUI,56,84))</f>
        <v>#DIV/0!</v>
      </c>
      <c r="IA101" s="1085" t="e">
        <f>IF(SUM(VLOOKUP(HN101,AlimentsRationEcuriePoneysMâles,6,FALSE)+VLOOKUP(HN101,AlimentsRationEcuriePoneysFemelles,6,FALSE))/1000/SUM(NbreJoursNourrirPoneys)*IF('semences, engrais et traitement'!M$18=OUI,56,84)&lt;0,0,SUM(VLOOKUP(HN101,AlimentsRationEcuriePoneysMâles,6,FALSE)+VLOOKUP(HN101,AlimentsRationEcuriePoneysFemelles,6,FALSE))/1000/SUM(NbreJoursNourrirPoneys)*IF('semences, engrais et traitement'!M$18=OUI,56,84))</f>
        <v>#DIV/0!</v>
      </c>
      <c r="IB101" s="1099" t="e">
        <f t="shared" si="38"/>
        <v>#DIV/0!</v>
      </c>
      <c r="IC101" s="1321"/>
      <c r="ID101" s="1321"/>
      <c r="IE101" s="1321"/>
      <c r="IF101" s="1321"/>
      <c r="IG101" s="1321"/>
      <c r="IH101" s="1321"/>
      <c r="II101" s="1321"/>
      <c r="IJ101" s="1321"/>
      <c r="IK101" s="1321"/>
      <c r="IL101" s="1321"/>
      <c r="IM101" s="1321"/>
      <c r="IN101" s="1368"/>
    </row>
    <row r="102" spans="1:248" ht="12.75" customHeight="1" x14ac:dyDescent="0.2">
      <c r="A102" s="1307" t="s">
        <v>150</v>
      </c>
      <c r="B102" s="1241">
        <f t="shared" si="39"/>
        <v>1E-3</v>
      </c>
      <c r="C102" s="1321"/>
      <c r="D102" s="1321"/>
      <c r="E102" s="1321"/>
      <c r="F102" s="1149" t="s">
        <v>297</v>
      </c>
      <c r="G102" s="1149">
        <v>0</v>
      </c>
      <c r="H102" s="1247" t="s">
        <v>1209</v>
      </c>
      <c r="I102" s="1149" t="s">
        <v>1182</v>
      </c>
      <c r="J102" s="1245" t="s">
        <v>1210</v>
      </c>
      <c r="K102" s="1245" t="s">
        <v>1198</v>
      </c>
      <c r="L102" s="1245" t="s">
        <v>1210</v>
      </c>
      <c r="M102" s="1321"/>
      <c r="N102" s="1321"/>
      <c r="O102" s="802" t="s">
        <v>1461</v>
      </c>
      <c r="P102" s="802">
        <f>IF(SUM(ChoixEspèceAuPré)="",0,SUMIF(ChoixEspèceAuPré,Bovins,NbreFemelles_24_36MoisAuPréEté))</f>
        <v>0</v>
      </c>
      <c r="Q102" s="802">
        <f>IF(SUM(ChoixEspèceAuPré)="",0,SUMIF(ChoixEspèceAuPré,Ovins,NbreFemelles_24_36MoisAuPréEté))</f>
        <v>0</v>
      </c>
      <c r="R102" s="802">
        <f>IF(SUM(ChoixEspèceAuPré)="",0,SUMIF(ChoixEspèceAuPré,Caprins,NbreFemelles_24_36MoisAuPréEté))</f>
        <v>0</v>
      </c>
      <c r="S102" s="802">
        <f>IF(SUM(ChoixEspèceAuPré)="",0,SUMIF(ChoixEspèceAuPré,Bisons,NbreFemelles_24_36MoisAuPréEté))</f>
        <v>0</v>
      </c>
      <c r="T102" s="802">
        <f>IF(SUM(ChoixEspèceAuPré)="",0,SUMIF(ChoixEspèceAuPré,Daims,NbreFemelles_24_36MoisAuPréEté))</f>
        <v>0</v>
      </c>
      <c r="U102" s="802">
        <f>IF(SUM(ChoixEspèceAuPré)="",0,SUMIF(ChoixEspèceAuPré,ChevauxSelle,NbreFemelles_24_36MoisAuPréEté))</f>
        <v>0</v>
      </c>
      <c r="V102" s="802">
        <f>IF(SUM(ChoixEspèceAuPré)="",0,SUMIF(ChoixEspèceAuPré,ChevauxTrait,NbreFemelles_24_36MoisAuPréEté))</f>
        <v>0</v>
      </c>
      <c r="W102" s="802">
        <f>IF(SUM(ChoixEspèceAuPré)="",0,SUMIF(ChoixEspèceAuPré,Poneys,NbreFemelles_24_36MoisAuPréEté))</f>
        <v>0</v>
      </c>
      <c r="X102" s="1321"/>
      <c r="Y102" s="1321"/>
      <c r="Z102" s="1321"/>
      <c r="AA102" s="1321"/>
      <c r="AB102" s="1321"/>
      <c r="AC102" s="1321"/>
      <c r="AD102" s="1321"/>
      <c r="AE102" s="1321"/>
      <c r="AF102" s="1321"/>
      <c r="AG102" s="1321"/>
      <c r="AH102" s="1321"/>
      <c r="AI102" s="1321"/>
      <c r="AJ102" s="1321"/>
      <c r="AK102" s="1321"/>
      <c r="AL102" s="1321"/>
      <c r="AM102" s="1321"/>
      <c r="AN102" s="1321"/>
      <c r="AO102" s="1321"/>
      <c r="AP102" s="1321"/>
      <c r="AQ102" s="1321"/>
      <c r="AR102" s="1321"/>
      <c r="AS102" s="1321"/>
      <c r="AT102" s="1321"/>
      <c r="AU102" s="1321"/>
      <c r="AV102" s="1321"/>
      <c r="AW102" s="1321"/>
      <c r="AX102" s="1321"/>
      <c r="AY102" s="1321"/>
      <c r="AZ102" s="1321"/>
      <c r="BA102" s="1321"/>
      <c r="BB102" s="1236" t="s">
        <v>729</v>
      </c>
      <c r="BC102" s="1190" t="s">
        <v>1273</v>
      </c>
      <c r="BD102" s="1190" t="s">
        <v>1254</v>
      </c>
      <c r="BE102" s="1237">
        <v>4.8</v>
      </c>
      <c r="BF102" s="1237">
        <v>4</v>
      </c>
      <c r="BG102" s="1237">
        <v>4</v>
      </c>
      <c r="BH102" s="1237">
        <v>4</v>
      </c>
      <c r="BI102" s="1237">
        <v>2</v>
      </c>
      <c r="BJ102" s="1237">
        <v>1.2</v>
      </c>
      <c r="BK102" s="1238">
        <v>0</v>
      </c>
      <c r="BL102" s="1348"/>
      <c r="BM102" s="1075" t="str">
        <f t="shared" si="23"/>
        <v>Tournesol</v>
      </c>
      <c r="BN102" s="1075">
        <f t="array" ref="BN102">IF(Ration_hivernale_complète_bisons[somme]&gt;0,0,IFERROR(IF(OR(AND(INDEX(Règles_bison[Specificite],MATCH(ChoixRationBisons&amp;$BM102,Règles_bison[Ration]&amp;Règles_bison[Aliment],0))="s1",IF($BM102=ChoixSpécificité1Bisons,1)),
AND(INDEX(Règles_bison[Specificite],MATCH(ChoixRationBisons&amp;$BM102,Règles_bison[Ration]&amp;Règles_bison[Aliment],0))="s2",IF($BM102=ChoixSpécificité2Bisons,1)),INDEX(Règles_bison[Specificite],MATCH(ChoixRationBisons&amp;$BM102,Règles_bison[Ration]&amp;Règles_bison[Aliment],0))="c"),
INDEX(Règles_bison[Valeur 36 et plus],MATCH(ChoixRationBisons&amp;$BM102,Règles_bison[Ration]&amp;Règles_bison[Aliment],0)),0),0)*TotalBisonnes*SUM(NbreJoursNourrirBisonsDaims))</f>
        <v>0</v>
      </c>
      <c r="BO102" s="1075">
        <f t="array" ref="BO102">IF(Ration_hivernale_complète_bisons[somme]&gt;0,0,IFERROR(IF(OR(AND(INDEX(Règles_bison[Specificite],MATCH(ChoixRationBisons&amp;$BM102,Règles_bison[Ration]&amp;Règles_bison[Aliment],0))="s1",IF($BM102=ChoixSpécificité1Bisons,1)),
AND(INDEX(Règles_bison[Specificite],MATCH(ChoixRationBisons&amp;$BM102,Règles_bison[Ration]&amp;Règles_bison[Aliment],0))="s2",IF($BM102=ChoixSpécificité2Bisons,1)),INDEX(Règles_bison[Specificite],MATCH(ChoixRationBisons&amp;$BM102,Règles_bison[Ration]&amp;Règles_bison[Aliment],0))="c"),
INDEX(Règles_bison[Valeur 24-36],MATCH(ChoixRationBisons&amp;$BM102,Règles_bison[Ration]&amp;Règles_bison[Aliment],0)),0),0)*TotalBisonsFemelles_24_36_mois*SUM(NbreJoursNourrirBisonsDaims))</f>
        <v>0</v>
      </c>
      <c r="BP102" s="1075">
        <f t="array" ref="BP102">IF(Ration_hivernale_complète_bisons[somme]&gt;0,0,IFERROR(IF(OR(AND(INDEX(Règles_bison[Specificite],MATCH(ChoixRationBisons&amp;$BM102,Règles_bison[Ration]&amp;Règles_bison[Aliment],0))="s1",IF($BM102=ChoixSpécificité1Bisons,1)),
AND(INDEX(Règles_bison[Specificite],MATCH(ChoixRationBisons&amp;$BM102,Règles_bison[Ration]&amp;Règles_bison[Aliment],0))="s2",IF($BM102=ChoixSpécificité2Bisons,1)),INDEX(Règles_bison[Specificite],MATCH(ChoixRationBisons&amp;$BM102,Règles_bison[Ration]&amp;Règles_bison[Aliment],0))="c"),
INDEX(Règles_bison[Valeur 18-24],MATCH(ChoixRationBisons&amp;$BM102,Règles_bison[Ration]&amp;Règles_bison[Aliment],0)),0),0)*TotalBisonsFemelles_18_24_mois*SUM(NbreJoursNourrirBisonsDaims))</f>
        <v>0</v>
      </c>
      <c r="BQ102" s="1075">
        <f t="array" ref="BQ102">IF(Ration_hivernale_complète_bisons[somme]&gt;0,0,IFERROR(IF(OR(AND(INDEX(Règles_bison[Specificite],MATCH(ChoixRationBisons&amp;$BM102,Règles_bison[Ration]&amp;Règles_bison[Aliment],0))="s1",IF($BM102=ChoixSpécificité1Bisons,1)),
AND(INDEX(Règles_bison[Specificite],MATCH(ChoixRationBisons&amp;$BM102,Règles_bison[Ration]&amp;Règles_bison[Aliment],0))="s2",IF($BM102=ChoixSpécificité2Bisons,1)),INDEX(Règles_bison[Specificite],MATCH(ChoixRationBisons&amp;$BM102,Règles_bison[Ration]&amp;Règles_bison[Aliment],0))="c"),
INDEX(Règles_bison[Valeur 12-18],MATCH(ChoixRationBisons&amp;$BM102,Règles_bison[Ration]&amp;Règles_bison[Aliment],0)),0),0)*TotalBisonsFemelles_12_18_mois*SUM(NbreJoursNourrirBisonsDaims))</f>
        <v>0</v>
      </c>
      <c r="BR102" s="1075">
        <f t="array" ref="BR102">IF(Ration_hivernale_complète_bisons[somme]&gt;0,0,IFERROR(IF(OR(AND(INDEX(Règles_bison[Specificite],MATCH(ChoixRationBisons&amp;$BM102,Règles_bison[Ration]&amp;Règles_bison[Aliment],0))="s1",IF($BM102=ChoixSpécificité1Bisons,1)),
AND(INDEX(Règles_bison[Specificite],MATCH(ChoixRationBisons&amp;$BM102,Règles_bison[Ration]&amp;Règles_bison[Aliment],0))="s2",IF($BM102=ChoixSpécificité2Bisons,1)),INDEX(Règles_bison[Specificite],MATCH(ChoixRationBisons&amp;$BM102,Règles_bison[Ration]&amp;Règles_bison[Aliment],0))="c"),
INDEX(Règles_bison[Valeur 6-12],MATCH(ChoixRationBisons&amp;$BM102,Règles_bison[Ration]&amp;Règles_bison[Aliment],0)),0),0)*TotalBisonsFemelles_6_12_mois*SUM(NbreJoursNourrirBisonsDaims))</f>
        <v>0</v>
      </c>
      <c r="BS102" s="1075">
        <f t="array" ref="BS102">IF(Ration_hivernale_complète_bisons[somme]&gt;0,0,IFERROR(IF(OR(AND(INDEX(Règles_bison[Specificite],MATCH(ChoixRationBisons&amp;$BM102,Règles_bison[Ration]&amp;Règles_bison[Aliment],0))="s1",IF($BM102=ChoixSpécificité1Bisons,1)),
AND(INDEX(Règles_bison[Specificite],MATCH(ChoixRationBisons&amp;$BM102,Règles_bison[Ration]&amp;Règles_bison[Aliment],0))="s2",IF($BM102=ChoixSpécificité2Bisons,1)),INDEX(Règles_bison[Specificite],MATCH(ChoixRationBisons&amp;$BM102,Règles_bison[Ration]&amp;Règles_bison[Aliment],0))="c"),
INDEX(Règles_bison[Valeur 3-6],MATCH(ChoixRationBisons&amp;$BM102,Règles_bison[Ration]&amp;Règles_bison[Aliment],0)),0),0)*TotalBisonsFemelles_3_6_mois*SUM(NbreJoursNourrirBisonsDaims))</f>
        <v>0</v>
      </c>
      <c r="BT102" s="1075">
        <f t="array" ref="BT102">IF(Ration_hivernale_complète_bisons[somme]&gt;0,0,IFERROR(IF(OR(AND(INDEX(Règles_bison[Specificite],MATCH(ChoixRationBisons&amp;$BM102,Règles_bison[Ration]&amp;Règles_bison[Aliment],0))="s1",IF($BM102=ChoixSpécificité1Bisons,1)),
AND(INDEX(Règles_bison[Specificite],MATCH(ChoixRationBisons&amp;$BM102,Règles_bison[Ration]&amp;Règles_bison[Aliment],0))="s2",IF($BM102=ChoixSpécificité2Bisons,1)),INDEX(Règles_bison[Specificite],MATCH(ChoixRationBisons&amp;$BM102,Règles_bison[Ration]&amp;Règles_bison[Aliment],0))="c"),
INDEX(Règles_bison[Valeur 0-3],MATCH(ChoixRationBisons&amp;$BM102,Règles_bison[Ration]&amp;Règles_bison[Aliment],0)),0),0)*TotalBisonsFemelles_0_3_mois*SUM(NbreJoursNourrirBisonsDaims))</f>
        <v>0</v>
      </c>
      <c r="BU102" s="1075">
        <f t="shared" si="22"/>
        <v>0</v>
      </c>
      <c r="BV102" s="1346"/>
      <c r="BW102" s="1346"/>
      <c r="BX102" s="1200"/>
      <c r="BY102" s="1201"/>
      <c r="BZ102" s="1201"/>
      <c r="CA102" s="1201"/>
      <c r="CB102" s="1201"/>
      <c r="CC102" s="1201"/>
      <c r="CD102" s="1248"/>
      <c r="CE102" s="1350"/>
      <c r="CF102" s="1350"/>
      <c r="CG102" s="1350"/>
      <c r="CH102" s="1350"/>
      <c r="CI102" s="1321"/>
      <c r="CJ102" s="808" t="str">
        <f t="shared" si="26"/>
        <v>Foin</v>
      </c>
      <c r="CK102" s="788">
        <f t="array" ref="CK10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02" s="788">
        <f t="array" ref="CL10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02" s="788">
        <f t="array" ref="CM10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02" s="788">
        <f t="array" ref="CN10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02" s="788">
        <f t="array" ref="CO10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02" s="812">
        <f>SUM(AlimentsRationPorcinsFemelles[[#This Row],[Valeur 12 et plus]:[Valeur 0-1]])</f>
        <v>0</v>
      </c>
      <c r="CQ102" s="1345"/>
      <c r="CR102" s="1321"/>
      <c r="CS102" s="808" t="str">
        <f t="shared" si="40"/>
        <v>Bouchons luzerne</v>
      </c>
      <c r="CT102" s="817">
        <f t="array" ref="CT10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02" s="817">
        <f t="array" ref="CU10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02" s="817">
        <f t="array" ref="CV10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02" s="818">
        <f>SUM(AlimentsRationLapinsFemelles[[#This Row],[Valeur 3 et plus]:[Valeur 0-1]])</f>
        <v>0</v>
      </c>
      <c r="CX102" s="1321"/>
      <c r="CY102" s="1321"/>
      <c r="CZ102" s="808" t="str">
        <f t="shared" si="41"/>
        <v>Bouchons luzerne</v>
      </c>
      <c r="DA102" s="817">
        <f t="array" ref="DA10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02" s="817">
        <f t="array" ref="DB10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02" s="817">
        <f t="array" ref="DC10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02" s="818">
        <f>SUM(AlimentsRationVolaillesFemelles[[#This Row],[Valeur 6 et plus]:[Valeur 0-1]])</f>
        <v>0</v>
      </c>
      <c r="DE102" s="1321"/>
      <c r="DF102" s="1321"/>
      <c r="DG102" s="788" t="str">
        <f t="shared" si="27"/>
        <v>Epinard</v>
      </c>
      <c r="DH102" s="817">
        <f t="array" ref="DH10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02" s="817">
        <f t="array" ref="DI10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02" s="817">
        <f t="array" ref="DJ10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02" s="821">
        <f>SUM(AlimentsRationPintadesFemelles[[#This Row],[Valeur 6 et plus]:[Valeur 0-1]])</f>
        <v>0</v>
      </c>
      <c r="DL102" s="1321"/>
      <c r="DM102" s="1321"/>
      <c r="DN102" s="1176" t="s">
        <v>729</v>
      </c>
      <c r="DO102" s="1177" t="s">
        <v>76</v>
      </c>
      <c r="DP102" s="1177" t="s">
        <v>1253</v>
      </c>
      <c r="DQ102" s="1181">
        <v>1.6</v>
      </c>
      <c r="DR102" s="1181">
        <v>1.4</v>
      </c>
      <c r="DS102" s="1181">
        <v>1.2</v>
      </c>
      <c r="DT102" s="1243">
        <v>1</v>
      </c>
      <c r="DU102" s="1345"/>
      <c r="DV102" s="1076" t="str">
        <f t="shared" si="24"/>
        <v>Pulpe déshydratée de betterave</v>
      </c>
      <c r="DW102" s="1267">
        <f t="array" ref="DW102">SUM((IF(QualitéAlimentsFaonMâle_0_3_mois=BONNE,VLOOKUP("Pulpe déshydratée de betterave",AlimentsRationHivernaleDaims,8,FALSE),0)+(IF(QualitéAlimentsFaonFemelle_0_3_mois=BONNE,VLOOKUP("Pulpe déshydratée de betterave",AlimentsRationHivernaleDaims,8,FALSE),0)+(IF(QualitéAlimentsFaonMâle_3_6_mois=BONNE,VLOOKUP("Pulpe déshydratée de betterave",AlimentsRationHivernaleDaims,7,FALSE),0)+(IF(QualitéAlimentsFaonFemelle_3_6_mois=BONNE,VLOOKUP("Pulpe déshydratée de betterave",AlimentsRationHivernaleDaims,7,FALSE),0)+(IF(QualitéAlimentsFaonMâle_6_12_mois=BONNE,VLOOKUP("Pulpe déshydratée de betterave",AlimentsRationHivernaleDaims,6,FALSE),0)+(IF(QualitéAlimentsFaonFemelle_6_12_mois=BONNE,VLOOKUP("Pulpe déshydratée de betterave",AlimentsRationHivernaleDaims,6,FALSE),0)+(IF(QualitéAlimentsJeuneDaim_12_18_mois=BONNE,VLOOKUP("Pulpe déshydratée de betterave",AlimentsRationHivernaleDaims,5,FALSE),0)+(IF(QualitéAlimentsJeuneDaine_12_18_mois=BONNE,VLOOKUP("Pulpe déshydratée de betterave",AlimentsRationHivernaleDaims,5,FALSE),0)+(IF(QualitéAlimentsJeuneDaim_18_24_mois=BONNE,VLOOKUP("Pulpe déshydratée de betterave",AlimentsRationHivernaleDaims,4,FALSE),0)+(IF(QualitéAlimentsJeuneDaine_18_24_mois=BONNE,VLOOKUP("Pulpe déshydratée de betterave",AlimentsRationHivernaleDaims,4,FALSE),0)+(IF(QualitéAlimentsJeuneDaim_24_36_mois=BONNE,VLOOKUP("Pulpe déshydratée de betterave",AlimentsRationHivernaleDaims,3,FALSE),0)+(IF(QualitéAlimentsJeuneDaine_24_36_mois=BONNE,VLOOKUP("Pulpe déshydratée de betterave",AlimentsRationHivernaleDaims,3,FALSE),0)+(IF(QualitéAlimentsDaim=BONNE,VLOOKUP("Pulpe déshydratée de betterave",AlimentsRationHivernaleDaims,2,FALSE),0)+(IF(QualitéAlimentsDaine=BONNE,VLOOKUP("Pulpe déshydratée de betterave",AlimentsRationHivernaleDaims,2,FALSE),0))))))))))))))))</f>
        <v>0</v>
      </c>
      <c r="DX102" s="1267">
        <f t="array" ref="DX102">SUM((IF(QualitéAlimentsFaonMâle_0_3_mois=MOYENNE,VLOOKUP("Pulpe déshydratée de betterave",AlimentsRationHivernaleDaims,8,FALSE),0)+(IF(QualitéAlimentsFaonFemelle_0_3_mois=MOYENNE,VLOOKUP("Pulpe déshydratée de betterave",AlimentsRationHivernaleDaims,8,FALSE),0)+(IF(QualitéAlimentsFaonMâle_3_6_mois=MOYENNE,VLOOKUP("Pulpe déshydratée de betterave",AlimentsRationHivernaleDaims,7,FALSE),0)+(IF(QualitéAlimentsFaonFemelle_3_6_mois=MOYENNE,VLOOKUP("Pulpe déshydratée de betterave",AlimentsRationHivernaleDaims,7,FALSE),0)+(IF(QualitéAlimentsFaonMâle_6_12_mois=MOYENNE,VLOOKUP("Pulpe déshydratée de betterave",AlimentsRationHivernaleDaims,6,FALSE),0)+(IF(QualitéAlimentsFaonFemelle_6_12_mois=MOYENNE,VLOOKUP("Pulpe déshydratée de betterave",AlimentsRationHivernaleDaims,6,FALSE),0)+(IF(QualitéAlimentsJeuneDaim_12_18_mois=MOYENNE,VLOOKUP("Pulpe déshydratée de betterave",AlimentsRationHivernaleDaims,5,FALSE),0)+(IF(QualitéAlimentsJeuneDaine_12_18_mois=MOYENNE,VLOOKUP("Pulpe déshydratée de betterave",AlimentsRationHivernaleDaims,5,FALSE),0)+(IF(QualitéAlimentsJeuneDaim_18_24_mois=MOYENNE,VLOOKUP("Pulpe déshydratée de betterave",AlimentsRationHivernaleDaims,4,FALSE),0)+(IF(QualitéAlimentsJeuneDaine_18_24_mois=MOYENNE,VLOOKUP("Pulpe déshydratée de betterave",AlimentsRationHivernaleDaims,4,FALSE),0)+(IF(QualitéAlimentsJeuneDaim_24_36_mois=MOYENNE,VLOOKUP("Pulpe déshydratée de betterave",AlimentsRationHivernaleDaims,3,FALSE),0)+(IF(QualitéAlimentsJeuneDaine_24_36_mois=MOYENNE,VLOOKUP("Pulpe déshydratée de betterave",AlimentsRationHivernaleDaims,3,FALSE),0)+(IF(QualitéAlimentsDaim=MOYENNE,VLOOKUP("Pulpe déshydratée de betterave",AlimentsRationHivernaleDaims,2,FALSE),0)+(IF(QualitéAlimentsDaine=MOYENNE,VLOOKUP("Pulpe déshydratée de betterave",AlimentsRationHivernaleDaims,2,FALSE),0))))))))))))))))</f>
        <v>0</v>
      </c>
      <c r="DY102" s="1267">
        <f t="array" ref="DY102">SUM((IF(QualitéAlimentsFaonMâle_0_3_mois=MAUVAISE,VLOOKUP("Pulpe déshydratée de betterave",AlimentsRationHivernaleDaims,8,FALSE),0)+(IF(QualitéAlimentsFaonFemelle_0_3_mois=MAUVAISE,VLOOKUP("Pulpe déshydratée de betterave",AlimentsRationHivernaleDaims,8,FALSE),0)+(IF(QualitéAlimentsFaonMâle_3_6_mois=MAUVAISE,VLOOKUP("Pulpe déshydratée de betterave",AlimentsRationHivernaleDaims,7,FALSE),0)+(IF(QualitéAlimentsFaonFemelle_3_6_mois=MAUVAISE,VLOOKUP("Pulpe déshydratée de betterave",AlimentsRationHivernaleDaims,7,FALSE),0)+(IF(QualitéAlimentsFaonMâle_6_12_mois=MAUVAISE,VLOOKUP("Pulpe déshydratée de betterave",AlimentsRationHivernaleDaims,6,FALSE),0)+(IF(QualitéAlimentsFaonFemelle_6_12_mois=MAUVAISE,VLOOKUP("Pulpe déshydratée de betterave",AlimentsRationHivernaleDaims,6,FALSE),0)+(IF(QualitéAlimentsJeuneDaim_12_18_mois=MAUVAISE,VLOOKUP("Pulpe déshydratée de betterave",AlimentsRationHivernaleDaims,5,FALSE),0)+(IF(QualitéAlimentsJeuneDaine_12_18_mois=MAUVAISE,VLOOKUP("Pulpe déshydratée de betterave",AlimentsRationHivernaleDaims,5,FALSE),0)+(IF(QualitéAlimentsJeuneDaim_18_24_mois=MAUVAISE,VLOOKUP("Pulpe déshydratée de betterave",AlimentsRationHivernaleDaims,4,FALSE),0)+(IF(QualitéAlimentsJeuneDaine_18_24_mois=MAUVAISE,VLOOKUP("Pulpe déshydratée de betterave",AlimentsRationHivernaleDaims,4,FALSE),0)+(IF(QualitéAlimentsJeuneDaim_24_36_mois=MAUVAISE,VLOOKUP("Pulpe déshydratée de betterave",AlimentsRationHivernaleDaims,3,FALSE),0)+(IF(QualitéAlimentsJeuneDaine_24_36_mois=MAUVAISE,VLOOKUP("Pulpe déshydratée de betterave",AlimentsRationHivernaleDaims,3,FALSE),0)+(IF(QualitéAlimentsDaim=MAUVAISE,VLOOKUP("Pulpe déshydratée de betterave",AlimentsRationHivernaleDaims,2,FALSE),0)+(IF(QualitéAlimentsDaine=MAUVAISE,VLOOKUP("Pulpe déshydratée de betterave",AlimentsRationHivernaleDaims,2,FALSE),0))))))))))))))))</f>
        <v>0</v>
      </c>
      <c r="DZ102" s="1345"/>
      <c r="EA102" s="1345"/>
      <c r="EB102" s="1345"/>
      <c r="EC102" s="1345"/>
      <c r="ED102" s="1345"/>
      <c r="EE102" s="1345"/>
      <c r="EF102" s="1321"/>
      <c r="EG102" s="808" t="str">
        <f t="shared" si="31"/>
        <v>concentré jeunes bovins</v>
      </c>
      <c r="EH102" s="817">
        <f t="array" ref="EH10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02" s="817">
        <f t="array" ref="EI10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02" s="817">
        <f t="array" ref="EJ10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02" s="818">
        <f>SUM(AlimentsRationOiesFemelles[[#This Row],[Valeur 6 et plus]:[Valeur 0-3]])</f>
        <v>0</v>
      </c>
      <c r="EL102" s="1345"/>
      <c r="EM102" s="1321"/>
      <c r="EN102" s="823" t="str">
        <f t="shared" si="29"/>
        <v>concentré jeunes lapins</v>
      </c>
      <c r="EO102" s="828">
        <f t="array" ref="EO10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02" s="828">
        <f t="array" ref="EP10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02" s="828">
        <f t="array" ref="EQ10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02" s="829">
        <f>SUM(Ration_canards_Femelles[[#This Row],[Valeur 6 et plus]:[Valeur 0-3]])</f>
        <v>0</v>
      </c>
      <c r="ES102" s="1345"/>
      <c r="ET102" s="1321"/>
      <c r="EU102" s="1082" t="str">
        <f>EU60</f>
        <v>Avoine</v>
      </c>
      <c r="EV102" s="1282">
        <f t="array" ref="EV102">IF(OR(ChoixRationComplèteEtéChevauxSelle=OUI,ChoixRationComplèteEtéChevauxSelle="",AND(ChoixChevauxSellePréHiver=OUI,ChoixChevauxSellePréEté=OUI)),0,IFERROR(IF(OR(AND(INDEX(Règles_chevaux_selle[Specificite],MATCH(RationEtéChevauxSelle&amp;$EU102,Règles_chevaux_selle[Ration]&amp;Règles_chevaux_selle[Aliment],0))="s1",IF($EU102=Spécificité1ChevauxSelle,1)),
AND(INDEX(Règles_chevaux_selle[Specificite],MATCH(RationEtéChevauxSelle&amp;$EU102,Règles_chevaux_selle[Ration]&amp;Règles_chevaux_selle[Aliment],0))="s2",IF($EU102=Spécificité2ChevauxSelle,1)),
INDEX(Règles_chevaux_selle[Specificite],MATCH(RationEtéChevauxSelle&amp;$EU102,Règles_chevaux_selle[Ration]&amp;Règles_chevaux_selle[Aliment],0))="c"),
INDEX(Règles_chevaux_selle[Valeur 36 et plus],MATCH(RationEtéChevauxSelle&amp;$EU102,Règles_chevaux_selle[Ration]&amp;Règles_chevaux_selle[Aliment],0)),0),0)*TotalJumentSelle*SUM(NbreJoursNourrirChevauxSelle))</f>
        <v>0</v>
      </c>
      <c r="EW102" s="1282">
        <f t="array" ref="EW102">IF(OR(ChoixRationComplèteEtéChevauxSelle=OUI,ChoixRationComplèteEtéChevauxSelle="",AND(ChoixChevauxSellePréHiver=OUI,ChoixChevauxSellePréEté=OUI)),0,IFERROR(IF(OR(AND(INDEX(Règles_chevaux_selle[Specificite],MATCH(RationEtéChevauxSelle&amp;$EU102,Règles_chevaux_selle[Ration]&amp;Règles_chevaux_selle[Aliment],0))="s1",IF($EU102=Spécificité1ChevauxSelle,1)),
AND(INDEX(Règles_chevaux_selle[Specificite],MATCH(RationEtéChevauxSelle&amp;$EU102,Règles_chevaux_selle[Ration]&amp;Règles_chevaux_selle[Aliment],0))="s2",IF($EU102=Spécificité2ChevauxSelle,1)),
INDEX(Règles_chevaux_selle[Specificite],MATCH(RationEtéChevauxSelle&amp;$EU102,Règles_chevaux_selle[Ration]&amp;Règles_chevaux_selle[Aliment],0))="c"),
INDEX(Règles_chevaux_selle[Valeur 24-36],MATCH(RationEtéChevauxSelle&amp;$EU102,Règles_chevaux_selle[Ration]&amp;Règles_chevaux_selle[Aliment],0)),0),0)*TotalJeuneJumentSelle_24_36_mois*SUM(NbreJoursNourrirChevauxSelle))</f>
        <v>0</v>
      </c>
      <c r="EX102" s="1282">
        <f t="array" ref="EX102">IF(OR(ChoixRationComplèteEtéChevauxSelle=OUI,ChoixRationComplèteEtéChevauxSelle="",AND(ChoixChevauxSellePréHiver=OUI,ChoixChevauxSellePréEté=OUI)),0,IFERROR(IF(OR(AND(INDEX(Règles_chevaux_selle[Specificite],MATCH(RationEtéChevauxSelle&amp;$EU102,Règles_chevaux_selle[Ration]&amp;Règles_chevaux_selle[Aliment],0))="s1",IF($EU102=Spécificité1ChevauxSelle,1)),
AND(INDEX(Règles_chevaux_selle[Specificite],MATCH(RationEtéChevauxSelle&amp;$EU102,Règles_chevaux_selle[Ration]&amp;Règles_chevaux_selle[Aliment],0))="s2",IF($EU102=Spécificité2ChevauxSelle,1)),
INDEX(Règles_chevaux_selle[Specificite],MATCH(RationEtéChevauxSelle&amp;$EU102,Règles_chevaux_selle[Ration]&amp;Règles_chevaux_selle[Aliment],0))="c"),
INDEX(Règles_chevaux_selle[Valeur 12-24],MATCH(RationEtéChevauxSelle&amp;$EU102,Règles_chevaux_selle[Ration]&amp;Règles_chevaux_selle[Aliment],0)),0),0)*TotalJeuneJumentSelle_12_24_mois*SUM(NbreJoursNourrirChevauxSelle))</f>
        <v>0</v>
      </c>
      <c r="EY102" s="1282">
        <f t="array" ref="EY102">IF(OR(ChoixRationComplèteEtéChevauxSelle=OUI,ChoixRationComplèteEtéChevauxSelle="",AND(ChoixChevauxSellePréHiver=OUI,ChoixChevauxSellePréEté=OUI)),0,IFERROR(IF(OR(AND(INDEX(Règles_chevaux_selle[Specificite],MATCH(RationEtéChevauxSelle&amp;$EU102,Règles_chevaux_selle[Ration]&amp;Règles_chevaux_selle[Aliment],0))="s1",IF($EU102=Spécificité1ChevauxSelle,1)),
AND(INDEX(Règles_chevaux_selle[Specificite],MATCH(RationEtéChevauxSelle&amp;$EU102,Règles_chevaux_selle[Ration]&amp;Règles_chevaux_selle[Aliment],0))="s2",IF($EU102=Spécificité2ChevauxSelle,1)),
INDEX(Règles_chevaux_selle[Specificite],MATCH(RationEtéChevauxSelle&amp;$EU102,Règles_chevaux_selle[Ration]&amp;Règles_chevaux_selle[Aliment],0))="c"),
INDEX(Règles_chevaux_selle[Valeur 0-12],MATCH(RationEtéChevauxSelle&amp;$EU102,Règles_chevaux_selle[Ration]&amp;Règles_chevaux_selle[Aliment],0)),0),0)*TotalPoulicheSelle_0_12_mois*SUM(NbreJoursNourrirChevauxSelle))</f>
        <v>0</v>
      </c>
      <c r="EZ102" s="1285">
        <f t="shared" ref="EZ102:EZ140" si="43">SUM($EV102:$EY102)</f>
        <v>0</v>
      </c>
      <c r="FA102" s="1345"/>
      <c r="FB102" s="1345"/>
      <c r="FC102" s="1321"/>
      <c r="FD102" s="1082" t="str">
        <f t="shared" si="34"/>
        <v>Colza</v>
      </c>
      <c r="FE102" s="1282">
        <f t="array" ref="FE102">IF(OR(ChoixRationComplèteEtéChevauxTrait=OUI,ChoixRationComplèteEtéChevauxTrait="",AND(ChoixChevauxTraitPréHiver=OUI,ChoixChevauxTraitPréEté=OUI)),0,IFERROR(IF(OR(AND(INDEX(Règles_chevaux_trait[Specificite],MATCH(RationEtéChevauxTrait&amp;$FD102,Règles_chevaux_trait[Ration]&amp;Règles_chevaux_trait[Aliment],0))="s1",IF($FD102=Spécificité1ChevauxTrait,1)),
AND(INDEX(Règles_chevaux_trait[Specificite],MATCH(RationEtéChevauxTrait&amp;$FD102,Règles_chevaux_trait[Ration]&amp;Règles_chevaux_trait[Aliment],0))="s2",IF($FD102=Spécificité2ChevauxTrait,1)),
INDEX(Règles_chevaux_trait[Specificite],MATCH(RationEtéChevauxTrait&amp;$FD102,Règles_chevaux_trait[Ration]&amp;Règles_chevaux_trait[Aliment],0))="c"),
INDEX(Règles_chevaux_trait[Valeur 36 et plus],MATCH(RationEtéChevauxTrait&amp;$FD102,Règles_chevaux_trait[Ration]&amp;Règles_chevaux_trait[Aliment],0)),0),0)*TotalJumentTrait*SUM(NbreJoursNourrirChevauxTrait))</f>
        <v>0</v>
      </c>
      <c r="FF102" s="1282">
        <f t="array" ref="FF102">IF(OR(ChoixRationComplèteEtéChevauxTrait=OUI,ChoixRationComplèteEtéChevauxTrait="",AND(ChoixChevauxTraitPréHiver=OUI,ChoixChevauxTraitPréEté=OUI)),0,IFERROR(IF(OR(AND(INDEX(Règles_chevaux_trait[Specificite],MATCH(RationEtéChevauxTrait&amp;$FD102,Règles_chevaux_trait[Ration]&amp;Règles_chevaux_trait[Aliment],0))="s1",IF($FD102=Spécificité1ChevauxTrait,1)),
AND(INDEX(Règles_chevaux_trait[Specificite],MATCH(RationEtéChevauxTrait&amp;$FD102,Règles_chevaux_trait[Ration]&amp;Règles_chevaux_trait[Aliment],0))="s2",IF($FD102=Spécificité2ChevauxTrait,1)),
INDEX(Règles_chevaux_trait[Specificite],MATCH(RationEtéChevauxTrait&amp;$FD102,Règles_chevaux_trait[Ration]&amp;Règles_chevaux_trait[Aliment],0))="c"),
INDEX(Règles_chevaux_trait[Valeur 24-36],MATCH(RationEtéChevauxTrait&amp;$FD102,Règles_chevaux_trait[Ration]&amp;Règles_chevaux_trait[Aliment],0)),0),0)*TotalJeuneJumentTrait_24_36_mois*SUM(NbreJoursNourrirChevauxTrait))</f>
        <v>0</v>
      </c>
      <c r="FG102" s="1282">
        <f t="array" ref="FG102">IF(OR(ChoixRationComplèteEtéChevauxTrait=OUI,ChoixRationComplèteEtéChevauxTrait="",AND(ChoixChevauxTraitPréHiver=OUI,ChoixChevauxTraitPréEté=OUI)),0,IFERROR(IF(OR(AND(INDEX(Règles_chevaux_trait[Specificite],MATCH(RationEtéChevauxTrait&amp;$FD102,Règles_chevaux_trait[Ration]&amp;Règles_chevaux_trait[Aliment],0))="s1",IF($FD102=Spécificité1ChevauxTrait,1)),
AND(INDEX(Règles_chevaux_trait[Specificite],MATCH(RationEtéChevauxTrait&amp;$FD102,Règles_chevaux_trait[Ration]&amp;Règles_chevaux_trait[Aliment],0))="s2",IF($FD102=Spécificité2ChevauxTrait,1)),
INDEX(Règles_chevaux_trait[Specificite],MATCH(RationEtéChevauxTrait&amp;$FD102,Règles_chevaux_trait[Ration]&amp;Règles_chevaux_trait[Aliment],0))="c"),
INDEX(Règles_chevaux_trait[Valeur 12-24],MATCH(RationEtéChevauxTrait&amp;$FD102,Règles_chevaux_trait[Ration]&amp;Règles_chevaux_trait[Aliment],0)),0),0)*TotalJeuneJumentTrait_12_24_mois*SUM(NbreJoursNourrirChevauxTrait))</f>
        <v>0</v>
      </c>
      <c r="FH102" s="1285">
        <f t="array" ref="FH102">IF(OR(ChoixRationComplèteEtéChevauxTrait=OUI,ChoixRationComplèteEtéChevauxTrait="",AND(ChoixChevauxTraitPréHiver=OUI,ChoixChevauxTraitPréEté=OUI)),0,IFERROR(IF(OR(AND(INDEX(Règles_chevaux_trait[Specificite],MATCH(RationEtéChevauxTrait&amp;$FD102,Règles_chevaux_trait[Ration]&amp;Règles_chevaux_trait[Aliment],0))="s1",IF($FD102=Spécificité1ChevauxTrait,1)),
AND(INDEX(Règles_chevaux_trait[Specificite],MATCH(RationEtéChevauxTrait&amp;$FD102,Règles_chevaux_trait[Ration]&amp;Règles_chevaux_trait[Aliment],0))="s2",IF($FD102=Spécificité2ChevauxTrait,1)),
INDEX(Règles_chevaux_trait[Specificite],MATCH(RationEtéChevauxTrait&amp;$FD102,Règles_chevaux_trait[Ration]&amp;Règles_chevaux_trait[Aliment],0))="c"),
INDEX(Règles_chevaux_trait[Valeur 0-12],MATCH(RationEtéChevauxTrait&amp;$FD102,Règles_chevaux_trait[Ration]&amp;Règles_chevaux_trait[Aliment],0)),0),0)*TotalPoulicheTrait_0_12_mois*SUM(NbreJoursNourrirChevauxTrait))</f>
        <v>0</v>
      </c>
      <c r="FI102" s="1285">
        <f t="shared" si="32"/>
        <v>0</v>
      </c>
      <c r="FJ102" s="1345"/>
      <c r="FK102" s="1345"/>
      <c r="FL102" s="1345"/>
      <c r="FM102" s="1321"/>
      <c r="FN102" s="1083" t="str">
        <f t="shared" si="33"/>
        <v>concentré jeunes bovins</v>
      </c>
      <c r="FO102" s="1283">
        <f t="array" ref="FO102">IF(OR(ChoixRationComplèteEtéPoneys=OUI,ChoixRationComplèteEtéPoneys="",AND(ChoixPoneysPréHiver=OUI,ChoixPoneysPréEté=OUI)),0,IFERROR(IF(OR(AND(INDEX(Règles_poneys[Specificite],MATCH(RationEtéPoneys&amp;$FN102,Règles_poneys[Ration]&amp;Règles_poneys[Aliment],0))="s1",IF($FN102=Spécificité1Poneys,1)),
AND(INDEX(Règles_poneys[Specificite],MATCH(RationEtéPoneys&amp;$FN102,Règles_poneys[Ration]&amp;Règles_poneys[Aliment],0))="s2",IF($FN102=Spécificité2Poneys,1)),
INDEX(Règles_poneys[Specificite],MATCH(RationEtéPoneys&amp;$FN102,Règles_poneys[Ration]&amp;Règles_poneys[Aliment],0))="c"),
INDEX(Règles_poneys[Valeur 36 et plus],MATCH(RationEtéPoneys&amp;$FN102,Règles_poneys[Ration]&amp;Règles_poneys[Aliment],0)),0),0)*TotalJumentPoney*SUM(NbreJoursNourrirPoneys))</f>
        <v>0</v>
      </c>
      <c r="FP102" s="1283">
        <f t="array" ref="FP102">IF(OR(ChoixRationComplèteEtéPoneys=OUI,ChoixRationComplèteEtéPoneys="",AND(ChoixPoneysPréHiver=OUI,ChoixPoneysPréEté=OUI)),0,IFERROR(IF(OR(AND(INDEX(Règles_poneys[Specificite],MATCH(RationEtéPoneys&amp;$FN102,Règles_poneys[Ration]&amp;Règles_poneys[Aliment],0))="s1",IF($FN102=Spécificité1Poneys,1)),
AND(INDEX(Règles_poneys[Specificite],MATCH(RationEtéPoneys&amp;$FN102,Règles_poneys[Ration]&amp;Règles_poneys[Aliment],0))="s2",IF($FN102=Spécificité2Poneys,1)),
INDEX(Règles_poneys[Specificite],MATCH(RationEtéPoneys&amp;$FN102,Règles_poneys[Ration]&amp;Règles_poneys[Aliment],0))="c"),
INDEX(Règles_poneys[Valeur 36 et plus],MATCH(RationEtéPoneys&amp;$FN102,Règles_poneys[Ration]&amp;Règles_poneys[Aliment],0)),0),0)*TotalJeuneJumentPoney_24_36_mois*SUM(NbreJoursNourrirPoneys))</f>
        <v>0</v>
      </c>
      <c r="FQ102" s="1283">
        <f t="array" ref="FQ102">IF(OR(ChoixRationComplèteEtéPoneys=OUI,ChoixRationComplèteEtéPoneys="",AND(ChoixPoneysPréHiver=OUI,ChoixPoneysPréEté=OUI)),0,IFERROR(IF(OR(AND(INDEX(Règles_poneys[Specificite],MATCH(RationEtéPoneys&amp;$FN102,Règles_poneys[Ration]&amp;Règles_poneys[Aliment],0))="s1",IF($FN102=Spécificité1Poneys,1)),
AND(INDEX(Règles_poneys[Specificite],MATCH(RationEtéPoneys&amp;$FN102,Règles_poneys[Ration]&amp;Règles_poneys[Aliment],0))="s2",IF($FN102=Spécificité2Poneys,1)),
INDEX(Règles_poneys[Specificite],MATCH(RationEtéPoneys&amp;$FN102,Règles_poneys[Ration]&amp;Règles_poneys[Aliment],0))="c"),
INDEX(Règles_poneys[Valeur 36 et plus],MATCH(RationEtéPoneys&amp;$FN102,Règles_poneys[Ration]&amp;Règles_poneys[Aliment],0)),0),0)*TotalJeuneJumentPoney_12_24_mois*SUM(NbreJoursNourrirPoneys))</f>
        <v>0</v>
      </c>
      <c r="FR102" s="1286">
        <f t="array" ref="FR102">IF(OR(ChoixRationComplèteEtéPoneys=OUI,ChoixRationComplèteEtéPoneys="",AND(ChoixPoneysPréHiver=OUI,ChoixPoneysPréEté=OUI)),0,IFERROR(IF(OR(AND(INDEX(Règles_poneys[Specificite],MATCH(RationEtéPoneys&amp;$FN102,Règles_poneys[Ration]&amp;Règles_poneys[Aliment],0))="s1",IF($FN102=Spécificité1Poneys,1)),
AND(INDEX(Règles_poneys[Specificite],MATCH(RationEtéPoneys&amp;$FN102,Règles_poneys[Ration]&amp;Règles_poneys[Aliment],0))="s2",IF($FN102=Spécificité2Poneys,1)),
INDEX(Règles_poneys[Specificite],MATCH(RationEtéPoneys&amp;$FN102,Règles_poneys[Ration]&amp;Règles_poneys[Aliment],0))="c"),
INDEX(Règles_poneys[Valeur 36 et plus],MATCH(RationEtéPoneys&amp;$FN102,Règles_poneys[Ration]&amp;Règles_poneys[Aliment],0)),0),0)*TotalPoulichePoney_0_12_mois*SUM(NbreJoursNourrirPoneys))</f>
        <v>0</v>
      </c>
      <c r="FS102" s="1286">
        <f t="shared" si="30"/>
        <v>0</v>
      </c>
      <c r="FT102" s="1345"/>
      <c r="FU102" s="1345"/>
      <c r="FV102" s="1345"/>
      <c r="FW102" s="823" t="str">
        <f t="shared" si="28"/>
        <v>Epinard</v>
      </c>
      <c r="FX102" s="828">
        <f t="array" ref="FX10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02" s="828">
        <f t="array" ref="FY10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02" s="828">
        <f t="array" ref="FZ10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02" s="828">
        <f t="array" ref="GA10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02" s="829">
        <f>SUM(AlimentsGavageCanards[[#This Row],[Valeur 3 et plus]:[Valeur 0-1]])</f>
        <v>0</v>
      </c>
      <c r="GC102" s="1321"/>
      <c r="GD102" s="1321"/>
      <c r="GE102" s="1321"/>
      <c r="GF102" s="1321"/>
      <c r="GG102" s="1321" t="s">
        <v>1349</v>
      </c>
      <c r="GH102" s="1321" t="s">
        <v>1349</v>
      </c>
      <c r="GI102" s="1321" t="s">
        <v>1349</v>
      </c>
      <c r="GJ102" s="1321" t="s">
        <v>1349</v>
      </c>
      <c r="GK102" s="1321" t="s">
        <v>1349</v>
      </c>
      <c r="GL102" s="1321" t="s">
        <v>1349</v>
      </c>
      <c r="GM102" s="1321" t="s">
        <v>1349</v>
      </c>
      <c r="GN102" s="1321" t="s">
        <v>1349</v>
      </c>
      <c r="GO102" s="1321" t="s">
        <v>1349</v>
      </c>
      <c r="GP102" s="1321" t="s">
        <v>1349</v>
      </c>
      <c r="GQ102" s="1321" t="s">
        <v>1349</v>
      </c>
      <c r="GR102" s="1321" t="s">
        <v>1349</v>
      </c>
      <c r="GS102" s="1321" t="s">
        <v>1349</v>
      </c>
      <c r="GT102" s="1321" t="s">
        <v>1349</v>
      </c>
      <c r="GU102" s="1321" t="s">
        <v>1349</v>
      </c>
      <c r="GV102" s="1321" t="s">
        <v>1349</v>
      </c>
      <c r="GW102" s="1321"/>
      <c r="GX102" s="1321"/>
      <c r="GY102" s="1083" t="str">
        <f t="shared" si="42"/>
        <v>traitement pruniers</v>
      </c>
      <c r="GZ102" s="1083"/>
      <c r="HA102" s="1084"/>
      <c r="HB102" s="1084">
        <f>IF(COUNTIF(TypeArticleDansEntrepôt,GY102)=0,0,SUMIF(TypeArticleDansEntrepôt,GY102,QtéArticleDansEntrepôt)*VLOOKUP(GY102,place_necessaire_entrepots_aire_paille[],2,FALSE))</f>
        <v>0</v>
      </c>
      <c r="HC102" s="1321"/>
      <c r="HD102" s="1321"/>
      <c r="HE102" s="1321"/>
      <c r="HF102" s="1321"/>
      <c r="HG102" s="1321"/>
      <c r="HH102" s="1321"/>
      <c r="HI102" s="1321"/>
      <c r="HJ102" s="1321"/>
      <c r="HK102" s="1321"/>
      <c r="HL102" s="1321"/>
      <c r="HM102" s="1321"/>
      <c r="HN102" s="1100" t="s">
        <v>715</v>
      </c>
      <c r="HO102" s="1084" t="e">
        <f>IF(SUM((VLOOKUP(HN102,AlimentsRationBovinsMâles,9,FALSE)+VLOOKUP(HN102,AlimentsRationBovinsFemelles,9,FALSE)+VLOOKUP(HN102,BDD!BB$284:BJ$323,9,FALSE))/1000/SUM(NbreJoursNourrirBovins)*IF('semences, engrais et traitement'!I$16=OUI,42,84))&lt;0,0,SUM((VLOOKUP(HN102,AlimentsRationBovinsMâles,9,FALSE)+VLOOKUP(HN102,AlimentsRationBovinsFemelles,9,FALSE)+VLOOKUP(HN102,BDD!BB$284:BJ$323,9,FALSE))/1000/SUM(NbreJoursNourrirBovins)*IF('semences, engrais et traitement'!I$16=OUI,42,84)))</f>
        <v>#DIV/0!</v>
      </c>
      <c r="HP102" s="1084">
        <f t="shared" si="36"/>
        <v>0</v>
      </c>
      <c r="HQ102" s="1084" t="e">
        <f>IF(SUM(VLOOKUP(HN102,AlimentsRationPorcinsMâles[],7,FALSE)+VLOOKUP(HN102,AlimentsRationPorcinsFemelles[],7,FALSE))/1000/SUM(NbreJoursNourrirAutres)*84&lt;0,0,SUM(VLOOKUP(HN102,AlimentsRationPorcinsMâles[],7,FALSE)+VLOOKUP(HN102,AlimentsRationPorcinsFemelles[],7,FALSE)/1000/SUM(NbreJoursNourrirAutres)*84))</f>
        <v>#DIV/0!</v>
      </c>
      <c r="HR102" s="1084" t="e">
        <f>IF(SUM(VLOOKUP(HN102,AlimentsRationCaprinsMâles,6,FALSE)+VLOOKUP(HN102,AlimentsRationCaprinsFemelles,6,FALSE))/1000/SUM(NbreJoursNourrirCaprins)*IF('semences, engrais et traitement'!I$17=OUI,42,84)&lt;0,0,SUM(VLOOKUP(HN102,AlimentsRationCaprinsMâles,6,FALSE)+VLOOKUP(HN102,AlimentsRationCaprinsFemelles,6,FALSE))/1000/SUM(NbreJoursNourrirCaprins)*IF('semences, engrais et traitement'!I$17=OUI,42,84))</f>
        <v>#DIV/0!</v>
      </c>
      <c r="HS102" s="1084" t="e">
        <f>IF(SUM(VLOOKUP(HN102,AlimentsRationVolaillesMâles[],5,FALSE)+VLOOKUP(HN102,AlimentsRationVolaillesFemelles[],5,FALSE))/1000/SUM(NbreJoursNourrirAutres)*84&lt;0,0,SUM(VLOOKUP(HN102,AlimentsRationVolaillesMâles[],5,FALSE)+VLOOKUP(HN102,AlimentsRationVolaillesFemelles[],5,FALSE)/1000/SUM(NbreJoursNourrirAutres)*84))</f>
        <v>#DIV/0!</v>
      </c>
      <c r="HT102" s="1084" t="e">
        <f>IF(SUM(VLOOKUP(HN102,AlimentsRationPintadesMâles[],5,FALSE)+VLOOKUP(HN102,AlimentsRationPintadesFemelles[],5,FALSE))/1000/SUM(NbreJoursNourrirAutres)*84&lt;0,0,SUM(VLOOKUP(HN102,AlimentsRationPintadesMâles[],5,FALSE)+VLOOKUP(HN102,AlimentsRationPintadesFemelles[],5,FALSE)/1000/SUM(NbreJoursNourrirAutres)*84))</f>
        <v>#DIV/0!</v>
      </c>
      <c r="HU102" s="1084" t="e">
        <f>IF(SUM(VLOOKUP(HN102,AlimentsRationLapinsMâles[],5,FALSE)+VLOOKUP(HN102,AlimentsRationLapinsFemelles[],5,FALSE))/1000/SUM(NbreJoursNourrirAutres)*84&lt;0,0,SUM(VLOOKUP(HN102,AlimentsRationLapinsMâles[],5,FALSE)+VLOOKUP(HN102,AlimentsRationLapinsFemelles[],5,FALSE)/1000/SUM(NbreJoursNourrirAutres)*84))</f>
        <v>#DIV/0!</v>
      </c>
      <c r="HV102" s="1084" t="e">
        <f>IF(SUM(VLOOKUP(HN102,AlimentsRationOvinsMâles,6,FALSE)+VLOOKUP(HN102,AlimentsRationOvinsFemelles,6,FALSE))/1000/SUM(NbreJoursNourrirOvins)*IF('semences, engrais et traitement'!I$18=OUI,42,84)&lt;0,0,SUM(VLOOKUP(HN102,AlimentsRationOvinsMâles,6,FALSE)+VLOOKUP(HN102,AlimentsRationOvinsFemelles,6,FALSE))/1000/SUM(NbreJoursNourrirOvins)*IF('semences, engrais et traitement'!I$18=OUI,42,84))</f>
        <v>#DIV/0!</v>
      </c>
      <c r="HW102" s="1084" t="e">
        <f>IF(SUM(VLOOKUP(HN102,AlimentsRationOiesMâles[],5,FALSE)+VLOOKUP(HN102,AlimentsRationOiesFemelles[],5,FALSE))/1000/SUM(NbreJoursNourrirAutres)*84&lt;0,0,SUM(VLOOKUP(HN102,AlimentsRationOiesMâles[],5,FALSE)+VLOOKUP(HN102,AlimentsRationOiesFemelles[],5,FALSE)/1000/SUM(NbreJoursNourrirAutres)*84))</f>
        <v>#DIV/0!</v>
      </c>
      <c r="HX102" s="1084" t="e">
        <f t="shared" si="37"/>
        <v>#DIV/0!</v>
      </c>
      <c r="HY102" s="1084" t="e">
        <f>IF(SUM(VLOOKUP(HN102,AlimentsRationEcurieChevauxMâlesSelle,6,FALSE)+VLOOKUP(HN102,AlimentsRationEcurieChevauxFemellesSelle,6,FALSE))/1000/SUM(NbreJoursNourrirChevauxSelle)*IF('semences, engrais et traitement'!M$16=OUI,56,84)&lt;0,0,SUM(VLOOKUP(HN102,AlimentsRationEcurieChevauxMâlesSelle,6,FALSE)+VLOOKUP(HN102,AlimentsRationEcurieChevauxFemellesSelle,6,FALSE))/1000/SUM(NbreJoursNourrirChevauxSelle)*IF('semences, engrais et traitement'!M$16=OUI,56,84))</f>
        <v>#DIV/0!</v>
      </c>
      <c r="HZ102" s="1084" t="e">
        <f>IF(SUM(VLOOKUP(HN102,AlimentsRationEcurieChevauxMâlesTrait,6,FALSE)+VLOOKUP(HN102,AlimentsRationEcurieChevauxFemellesTrait,6,FALSE))/1000/SUM(NbreJoursNourrirChevauxTrait)*IF('semences, engrais et traitement'!M$17=OUI,56,84)&lt;0,0,SUM(VLOOKUP(HN102,AlimentsRationEcurieChevauxMâlesTrait,6,FALSE)+VLOOKUP(HN102,AlimentsRationEcurieChevauxFemellesTrait,6,FALSE))/1000/SUM(NbreJoursNourrirChevauxTrait)*IF('semences, engrais et traitement'!M$17=OUI,56,84))</f>
        <v>#DIV/0!</v>
      </c>
      <c r="IA102" s="1084" t="e">
        <f>IF(SUM(VLOOKUP(HN102,AlimentsRationEcuriePoneysMâles,6,FALSE)+VLOOKUP(HN102,AlimentsRationEcuriePoneysFemelles,6,FALSE))/1000/SUM(NbreJoursNourrirPoneys)*IF('semences, engrais et traitement'!M$18=OUI,56,84)&lt;0,0,SUM(VLOOKUP(HN102,AlimentsRationEcuriePoneysMâles,6,FALSE)+VLOOKUP(HN102,AlimentsRationEcuriePoneysFemelles,6,FALSE))/1000/SUM(NbreJoursNourrirPoneys)*IF('semences, engrais et traitement'!M$18=OUI,56,84))</f>
        <v>#DIV/0!</v>
      </c>
      <c r="IB102" s="1100" t="e">
        <f t="shared" si="38"/>
        <v>#DIV/0!</v>
      </c>
      <c r="IC102" s="1321"/>
      <c r="ID102" s="1321"/>
      <c r="IE102" s="1321"/>
      <c r="IF102" s="1321"/>
      <c r="IG102" s="1321"/>
      <c r="IH102" s="1321"/>
      <c r="II102" s="1321"/>
      <c r="IJ102" s="1321"/>
      <c r="IK102" s="1321"/>
      <c r="IL102" s="1321"/>
      <c r="IM102" s="1321"/>
      <c r="IN102" s="1368"/>
    </row>
    <row r="103" spans="1:248" ht="12.75" customHeight="1" x14ac:dyDescent="0.2">
      <c r="A103" s="1307" t="s">
        <v>151</v>
      </c>
      <c r="B103" s="1241">
        <f t="shared" si="39"/>
        <v>1E-3</v>
      </c>
      <c r="C103" s="1321"/>
      <c r="D103" s="1321"/>
      <c r="E103" s="1321"/>
      <c r="F103" s="1143" t="s">
        <v>298</v>
      </c>
      <c r="G103" s="1143">
        <v>0</v>
      </c>
      <c r="H103" s="1246" t="s">
        <v>1209</v>
      </c>
      <c r="I103" s="1143" t="s">
        <v>1182</v>
      </c>
      <c r="J103" s="1244" t="s">
        <v>1210</v>
      </c>
      <c r="K103" s="1244" t="s">
        <v>1198</v>
      </c>
      <c r="L103" s="1244" t="s">
        <v>1210</v>
      </c>
      <c r="M103" s="1321"/>
      <c r="N103" s="1321"/>
      <c r="O103" s="802" t="s">
        <v>1462</v>
      </c>
      <c r="P103" s="802">
        <f>IF(SUM(ChoixEspèceAuPré)="",0,SUMIF(ChoixEspèceAuPré,Bovins,NbreMâles_3_AnsEtPlusAuPréEté))</f>
        <v>0</v>
      </c>
      <c r="Q103" s="802">
        <f>IF(SUM(ChoixEspèceAuPré)="",0,SUMIF(ChoixEspèceAuPré,Ovins,NbreMâles_3_AnsEtPlusAuPréEté))</f>
        <v>0</v>
      </c>
      <c r="R103" s="802">
        <f>IF(SUM(ChoixEspèceAuPré)="",0,SUMIF(ChoixEspèceAuPré,Caprins,NbreMâles_3_AnsEtPlusAuPréEté))</f>
        <v>0</v>
      </c>
      <c r="S103" s="802">
        <f>IF(SUM(ChoixEspèceAuPré)="",0,SUMIF(ChoixEspèceAuPré,Bisons,NbreMâles_3_AnsEtPlusAuPréEté))</f>
        <v>0</v>
      </c>
      <c r="T103" s="802">
        <f>IF(SUM(ChoixEspèceAuPré)="",0,SUMIF(ChoixEspèceAuPré,Daims,NbreMâles_3_AnsEtPlusAuPréEté))</f>
        <v>0</v>
      </c>
      <c r="U103" s="802">
        <f>IF(SUM(ChoixEspèceAuPré)="",0,SUMIF(ChoixEspèceAuPré,ChevauxSelle,NbreMâles_3_AnsEtPlusAuPréEté))</f>
        <v>0</v>
      </c>
      <c r="V103" s="802">
        <f>IF(SUM(ChoixEspèceAuPré)="",0,SUMIF(ChoixEspèceAuPré,ChevauxTrait,NbreMâles_3_AnsEtPlusAuPréEté))</f>
        <v>0</v>
      </c>
      <c r="W103" s="802">
        <f>IF(SUM(ChoixEspèceAuPré)="",0,SUMIF(ChoixEspèceAuPré,Poneys,NbreMâles_3_AnsEtPlusAuPréEté))</f>
        <v>0</v>
      </c>
      <c r="X103" s="1321"/>
      <c r="Y103" s="1321"/>
      <c r="Z103" s="1321"/>
      <c r="AA103" s="1321"/>
      <c r="AB103" s="1321"/>
      <c r="AC103" s="1321"/>
      <c r="AD103" s="1321"/>
      <c r="AE103" s="1321"/>
      <c r="AF103" s="1321"/>
      <c r="AG103" s="1321"/>
      <c r="AH103" s="1321"/>
      <c r="AI103" s="1321"/>
      <c r="AJ103" s="1321"/>
      <c r="AK103" s="1321"/>
      <c r="AL103" s="1321"/>
      <c r="AM103" s="1321"/>
      <c r="AN103" s="1321"/>
      <c r="AO103" s="1321"/>
      <c r="AP103" s="1321"/>
      <c r="AQ103" s="1321"/>
      <c r="AR103" s="1321"/>
      <c r="AS103" s="1321"/>
      <c r="AT103" s="1321"/>
      <c r="AU103" s="1321"/>
      <c r="AV103" s="1321"/>
      <c r="AW103" s="1321"/>
      <c r="AX103" s="1321"/>
      <c r="AY103" s="1321"/>
      <c r="AZ103" s="1321"/>
      <c r="BA103" s="1321"/>
      <c r="BB103" s="1236" t="s">
        <v>729</v>
      </c>
      <c r="BC103" s="1190" t="s">
        <v>715</v>
      </c>
      <c r="BD103" s="1190" t="s">
        <v>1254</v>
      </c>
      <c r="BE103" s="1237">
        <v>4.8</v>
      </c>
      <c r="BF103" s="1237">
        <v>4</v>
      </c>
      <c r="BG103" s="1237">
        <v>4</v>
      </c>
      <c r="BH103" s="1237">
        <v>4</v>
      </c>
      <c r="BI103" s="1237">
        <v>2</v>
      </c>
      <c r="BJ103" s="1237">
        <v>1.2</v>
      </c>
      <c r="BK103" s="1238">
        <v>0</v>
      </c>
      <c r="BL103" s="1348"/>
      <c r="BM103" s="1076" t="str">
        <f t="shared" si="23"/>
        <v>Tourteau de colza</v>
      </c>
      <c r="BN103" s="1076">
        <f t="array" ref="BN103">IF(Ration_hivernale_complète_bisons[somme]&gt;0,0,IFERROR(IF(OR(AND(INDEX(Règles_bison[Specificite],MATCH(ChoixRationBisons&amp;$BM103,Règles_bison[Ration]&amp;Règles_bison[Aliment],0))="s1",IF($BM103=ChoixSpécificité1Bisons,1)),
AND(INDEX(Règles_bison[Specificite],MATCH(ChoixRationBisons&amp;$BM103,Règles_bison[Ration]&amp;Règles_bison[Aliment],0))="s2",IF($BM103=ChoixSpécificité2Bisons,1)),INDEX(Règles_bison[Specificite],MATCH(ChoixRationBisons&amp;$BM103,Règles_bison[Ration]&amp;Règles_bison[Aliment],0))="c"),
INDEX(Règles_bison[Valeur 36 et plus],MATCH(ChoixRationBisons&amp;$BM103,Règles_bison[Ration]&amp;Règles_bison[Aliment],0)),0),0)*TotalBisonnes*SUM(NbreJoursNourrirBisonsDaims))</f>
        <v>0</v>
      </c>
      <c r="BO103" s="1076">
        <f t="array" ref="BO103">IF(Ration_hivernale_complète_bisons[somme]&gt;0,0,IFERROR(IF(OR(AND(INDEX(Règles_bison[Specificite],MATCH(ChoixRationBisons&amp;$BM103,Règles_bison[Ration]&amp;Règles_bison[Aliment],0))="s1",IF($BM103=ChoixSpécificité1Bisons,1)),
AND(INDEX(Règles_bison[Specificite],MATCH(ChoixRationBisons&amp;$BM103,Règles_bison[Ration]&amp;Règles_bison[Aliment],0))="s2",IF($BM103=ChoixSpécificité2Bisons,1)),INDEX(Règles_bison[Specificite],MATCH(ChoixRationBisons&amp;$BM103,Règles_bison[Ration]&amp;Règles_bison[Aliment],0))="c"),
INDEX(Règles_bison[Valeur 24-36],MATCH(ChoixRationBisons&amp;$BM103,Règles_bison[Ration]&amp;Règles_bison[Aliment],0)),0),0)*TotalBisonsFemelles_24_36_mois*SUM(NbreJoursNourrirBisonsDaims))</f>
        <v>0</v>
      </c>
      <c r="BP103" s="1076">
        <f t="array" ref="BP103">IF(Ration_hivernale_complète_bisons[somme]&gt;0,0,IFERROR(IF(OR(AND(INDEX(Règles_bison[Specificite],MATCH(ChoixRationBisons&amp;$BM103,Règles_bison[Ration]&amp;Règles_bison[Aliment],0))="s1",IF($BM103=ChoixSpécificité1Bisons,1)),
AND(INDEX(Règles_bison[Specificite],MATCH(ChoixRationBisons&amp;$BM103,Règles_bison[Ration]&amp;Règles_bison[Aliment],0))="s2",IF($BM103=ChoixSpécificité2Bisons,1)),INDEX(Règles_bison[Specificite],MATCH(ChoixRationBisons&amp;$BM103,Règles_bison[Ration]&amp;Règles_bison[Aliment],0))="c"),
INDEX(Règles_bison[Valeur 18-24],MATCH(ChoixRationBisons&amp;$BM103,Règles_bison[Ration]&amp;Règles_bison[Aliment],0)),0),0)*TotalBisonsFemelles_18_24_mois*SUM(NbreJoursNourrirBisonsDaims))</f>
        <v>0</v>
      </c>
      <c r="BQ103" s="1076">
        <f t="array" ref="BQ103">IF(Ration_hivernale_complète_bisons[somme]&gt;0,0,IFERROR(IF(OR(AND(INDEX(Règles_bison[Specificite],MATCH(ChoixRationBisons&amp;$BM103,Règles_bison[Ration]&amp;Règles_bison[Aliment],0))="s1",IF($BM103=ChoixSpécificité1Bisons,1)),
AND(INDEX(Règles_bison[Specificite],MATCH(ChoixRationBisons&amp;$BM103,Règles_bison[Ration]&amp;Règles_bison[Aliment],0))="s2",IF($BM103=ChoixSpécificité2Bisons,1)),INDEX(Règles_bison[Specificite],MATCH(ChoixRationBisons&amp;$BM103,Règles_bison[Ration]&amp;Règles_bison[Aliment],0))="c"),
INDEX(Règles_bison[Valeur 12-18],MATCH(ChoixRationBisons&amp;$BM103,Règles_bison[Ration]&amp;Règles_bison[Aliment],0)),0),0)*TotalBisonsFemelles_12_18_mois*SUM(NbreJoursNourrirBisonsDaims))</f>
        <v>0</v>
      </c>
      <c r="BR103" s="1076">
        <f t="array" ref="BR103">IF(Ration_hivernale_complète_bisons[somme]&gt;0,0,IFERROR(IF(OR(AND(INDEX(Règles_bison[Specificite],MATCH(ChoixRationBisons&amp;$BM103,Règles_bison[Ration]&amp;Règles_bison[Aliment],0))="s1",IF($BM103=ChoixSpécificité1Bisons,1)),
AND(INDEX(Règles_bison[Specificite],MATCH(ChoixRationBisons&amp;$BM103,Règles_bison[Ration]&amp;Règles_bison[Aliment],0))="s2",IF($BM103=ChoixSpécificité2Bisons,1)),INDEX(Règles_bison[Specificite],MATCH(ChoixRationBisons&amp;$BM103,Règles_bison[Ration]&amp;Règles_bison[Aliment],0))="c"),
INDEX(Règles_bison[Valeur 6-12],MATCH(ChoixRationBisons&amp;$BM103,Règles_bison[Ration]&amp;Règles_bison[Aliment],0)),0),0)*TotalBisonsFemelles_6_12_mois*SUM(NbreJoursNourrirBisonsDaims))</f>
        <v>0</v>
      </c>
      <c r="BS103" s="1076">
        <f t="array" ref="BS103">IF(Ration_hivernale_complète_bisons[somme]&gt;0,0,IFERROR(IF(OR(AND(INDEX(Règles_bison[Specificite],MATCH(ChoixRationBisons&amp;$BM103,Règles_bison[Ration]&amp;Règles_bison[Aliment],0))="s1",IF($BM103=ChoixSpécificité1Bisons,1)),
AND(INDEX(Règles_bison[Specificite],MATCH(ChoixRationBisons&amp;$BM103,Règles_bison[Ration]&amp;Règles_bison[Aliment],0))="s2",IF($BM103=ChoixSpécificité2Bisons,1)),INDEX(Règles_bison[Specificite],MATCH(ChoixRationBisons&amp;$BM103,Règles_bison[Ration]&amp;Règles_bison[Aliment],0))="c"),
INDEX(Règles_bison[Valeur 3-6],MATCH(ChoixRationBisons&amp;$BM103,Règles_bison[Ration]&amp;Règles_bison[Aliment],0)),0),0)*TotalBisonsFemelles_3_6_mois*SUM(NbreJoursNourrirBisonsDaims))</f>
        <v>0</v>
      </c>
      <c r="BT103" s="1076">
        <f t="array" ref="BT103">IF(Ration_hivernale_complète_bisons[somme]&gt;0,0,IFERROR(IF(OR(AND(INDEX(Règles_bison[Specificite],MATCH(ChoixRationBisons&amp;$BM103,Règles_bison[Ration]&amp;Règles_bison[Aliment],0))="s1",IF($BM103=ChoixSpécificité1Bisons,1)),
AND(INDEX(Règles_bison[Specificite],MATCH(ChoixRationBisons&amp;$BM103,Règles_bison[Ration]&amp;Règles_bison[Aliment],0))="s2",IF($BM103=ChoixSpécificité2Bisons,1)),INDEX(Règles_bison[Specificite],MATCH(ChoixRationBisons&amp;$BM103,Règles_bison[Ration]&amp;Règles_bison[Aliment],0))="c"),
INDEX(Règles_bison[Valeur 0-3],MATCH(ChoixRationBisons&amp;$BM103,Règles_bison[Ration]&amp;Règles_bison[Aliment],0)),0),0)*TotalBisonsFemelles_0_3_mois*SUM(NbreJoursNourrirBisonsDaims))</f>
        <v>0</v>
      </c>
      <c r="BU103" s="1076">
        <f t="shared" si="22"/>
        <v>0</v>
      </c>
      <c r="BV103" s="1346"/>
      <c r="BW103" s="1346"/>
      <c r="BX103" s="1321"/>
      <c r="BY103" s="1321"/>
      <c r="BZ103" s="1321"/>
      <c r="CA103" s="1321"/>
      <c r="CB103" s="1321"/>
      <c r="CC103" s="1321"/>
      <c r="CD103" s="1345"/>
      <c r="CE103" s="1345"/>
      <c r="CF103" s="1345"/>
      <c r="CG103" s="1345"/>
      <c r="CH103" s="1345"/>
      <c r="CI103" s="1321"/>
      <c r="CJ103" s="808" t="str">
        <f t="shared" si="26"/>
        <v>Haricot vert</v>
      </c>
      <c r="CK103" s="788">
        <f t="array" ref="CK10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03" s="788">
        <f t="array" ref="CL10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03" s="788">
        <f t="array" ref="CM10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03" s="788">
        <f t="array" ref="CN10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03" s="788">
        <f t="array" ref="CO10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03" s="812">
        <f>SUM(AlimentsRationPorcinsFemelles[[#This Row],[Valeur 12 et plus]:[Valeur 0-1]])</f>
        <v>0</v>
      </c>
      <c r="CQ103" s="1345"/>
      <c r="CR103" s="1321"/>
      <c r="CS103" s="808" t="str">
        <f t="shared" si="40"/>
        <v>Chanvre</v>
      </c>
      <c r="CT103" s="817">
        <f t="array" ref="CT10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03" s="817">
        <f t="array" ref="CU10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03" s="817">
        <f t="array" ref="CV10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03" s="818">
        <f>SUM(AlimentsRationLapinsFemelles[[#This Row],[Valeur 3 et plus]:[Valeur 0-1]])</f>
        <v>0</v>
      </c>
      <c r="CX103" s="1321"/>
      <c r="CY103" s="1321"/>
      <c r="CZ103" s="808" t="str">
        <f t="shared" si="41"/>
        <v>Chanvre</v>
      </c>
      <c r="DA103" s="817">
        <f t="array" ref="DA10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03" s="817">
        <f t="array" ref="DB10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03" s="817">
        <f t="array" ref="DC10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03" s="818">
        <f>SUM(AlimentsRationVolaillesFemelles[[#This Row],[Valeur 6 et plus]:[Valeur 0-1]])</f>
        <v>0</v>
      </c>
      <c r="DE103" s="1321"/>
      <c r="DF103" s="1321"/>
      <c r="DG103" s="788" t="str">
        <f t="shared" si="27"/>
        <v>Féverole</v>
      </c>
      <c r="DH103" s="817">
        <f t="array" ref="DH10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03" s="817">
        <f t="array" ref="DI10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03" s="817">
        <f t="array" ref="DJ10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03" s="821">
        <f>SUM(AlimentsRationPintadesFemelles[[#This Row],[Valeur 6 et plus]:[Valeur 0-1]])</f>
        <v>0</v>
      </c>
      <c r="DL103" s="1321"/>
      <c r="DM103" s="1321"/>
      <c r="DN103" s="1176" t="s">
        <v>729</v>
      </c>
      <c r="DO103" s="1177" t="s">
        <v>1273</v>
      </c>
      <c r="DP103" s="1177" t="s">
        <v>1252</v>
      </c>
      <c r="DQ103" s="1181">
        <v>1.2</v>
      </c>
      <c r="DR103" s="1181">
        <v>0.8</v>
      </c>
      <c r="DS103" s="1181">
        <v>0.6</v>
      </c>
      <c r="DT103" s="1243">
        <v>0.4</v>
      </c>
      <c r="DU103" s="1345"/>
      <c r="DV103" s="1075" t="str">
        <f t="shared" si="24"/>
        <v>Ration complète</v>
      </c>
      <c r="DW103" s="1269">
        <f>IF(ChoixRationComplèteDaims&lt;&gt;OUI,0,IF(QualitéRationComplèteDaims=BONNE,Ration_complète_daims[somme],0))</f>
        <v>0</v>
      </c>
      <c r="DX103" s="1269">
        <f>IF(ChoixRationComplèteDaims&lt;&gt;OUI,0,IF(QualitéRationComplèteDaims=MOYENNE,Ration_complète_daims[somme],0))</f>
        <v>0</v>
      </c>
      <c r="DY103" s="1269">
        <f>IF(ChoixRationComplèteDaims&lt;&gt;OUI,0,IF(QualitéRationComplèteDaims=MAUVAISE,Ration_complète_daims[somme],0))</f>
        <v>0</v>
      </c>
      <c r="DZ103" s="1345"/>
      <c r="EA103" s="1345"/>
      <c r="EB103" s="1345"/>
      <c r="EC103" s="1345"/>
      <c r="ED103" s="1345"/>
      <c r="EE103" s="1345"/>
      <c r="EF103" s="1321"/>
      <c r="EG103" s="808" t="str">
        <f t="shared" si="31"/>
        <v>concentré jeunes lapins</v>
      </c>
      <c r="EH103" s="817">
        <f t="array" ref="EH10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03" s="817">
        <f t="array" ref="EI10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03" s="817">
        <f t="array" ref="EJ10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03" s="818">
        <f>SUM(AlimentsRationOiesFemelles[[#This Row],[Valeur 6 et plus]:[Valeur 0-3]])</f>
        <v>0</v>
      </c>
      <c r="EL103" s="1345"/>
      <c r="EM103" s="1321"/>
      <c r="EN103" s="823" t="str">
        <f t="shared" si="29"/>
        <v>concentré jeunes porcins</v>
      </c>
      <c r="EO103" s="828">
        <f t="array" ref="EO103">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03" s="828">
        <f t="array" ref="EP103">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03" s="828">
        <f t="array" ref="EQ103">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03" s="829">
        <f>SUM(Ration_canards_Femelles[[#This Row],[Valeur 6 et plus]:[Valeur 0-3]])</f>
        <v>0</v>
      </c>
      <c r="ES103" s="1345"/>
      <c r="ET103" s="1321"/>
      <c r="EU103" s="1083" t="str">
        <f t="shared" ref="EU103:EU140" si="44">EU61</f>
        <v>Betterave</v>
      </c>
      <c r="EV103" s="1283">
        <f t="array" ref="EV103">IF(OR(ChoixRationComplèteEtéChevauxSelle=OUI,ChoixRationComplèteEtéChevauxSelle="",AND(ChoixChevauxSellePréHiver=OUI,ChoixChevauxSellePréEté=OUI)),0,IFERROR(IF(OR(AND(INDEX(Règles_chevaux_selle[Specificite],MATCH(RationEtéChevauxSelle&amp;$EU103,Règles_chevaux_selle[Ration]&amp;Règles_chevaux_selle[Aliment],0))="s1",IF($EU103=Spécificité1ChevauxSelle,1)),
AND(INDEX(Règles_chevaux_selle[Specificite],MATCH(RationEtéChevauxSelle&amp;$EU103,Règles_chevaux_selle[Ration]&amp;Règles_chevaux_selle[Aliment],0))="s2",IF($EU103=Spécificité2ChevauxSelle,1)),
INDEX(Règles_chevaux_selle[Specificite],MATCH(RationEtéChevauxSelle&amp;$EU103,Règles_chevaux_selle[Ration]&amp;Règles_chevaux_selle[Aliment],0))="c"),
INDEX(Règles_chevaux_selle[Valeur 36 et plus],MATCH(RationEtéChevauxSelle&amp;$EU103,Règles_chevaux_selle[Ration]&amp;Règles_chevaux_selle[Aliment],0)),0),0)*TotalJumentSelle*SUM(NbreJoursNourrirChevauxSelle))</f>
        <v>0</v>
      </c>
      <c r="EW103" s="1283">
        <f t="array" ref="EW103">IF(OR(ChoixRationComplèteEtéChevauxSelle=OUI,ChoixRationComplèteEtéChevauxSelle="",AND(ChoixChevauxSellePréHiver=OUI,ChoixChevauxSellePréEté=OUI)),0,IFERROR(IF(OR(AND(INDEX(Règles_chevaux_selle[Specificite],MATCH(RationEtéChevauxSelle&amp;$EU103,Règles_chevaux_selle[Ration]&amp;Règles_chevaux_selle[Aliment],0))="s1",IF($EU103=Spécificité1ChevauxSelle,1)),
AND(INDEX(Règles_chevaux_selle[Specificite],MATCH(RationEtéChevauxSelle&amp;$EU103,Règles_chevaux_selle[Ration]&amp;Règles_chevaux_selle[Aliment],0))="s2",IF($EU103=Spécificité2ChevauxSelle,1)),
INDEX(Règles_chevaux_selle[Specificite],MATCH(RationEtéChevauxSelle&amp;$EU103,Règles_chevaux_selle[Ration]&amp;Règles_chevaux_selle[Aliment],0))="c"),
INDEX(Règles_chevaux_selle[Valeur 24-36],MATCH(RationEtéChevauxSelle&amp;$EU103,Règles_chevaux_selle[Ration]&amp;Règles_chevaux_selle[Aliment],0)),0),0)*TotalJeuneJumentSelle_24_36_mois*SUM(NbreJoursNourrirChevauxSelle))</f>
        <v>0</v>
      </c>
      <c r="EX103" s="1283">
        <f t="array" ref="EX103">IF(OR(ChoixRationComplèteEtéChevauxSelle=OUI,ChoixRationComplèteEtéChevauxSelle="",AND(ChoixChevauxSellePréHiver=OUI,ChoixChevauxSellePréEté=OUI)),0,IFERROR(IF(OR(AND(INDEX(Règles_chevaux_selle[Specificite],MATCH(RationEtéChevauxSelle&amp;$EU103,Règles_chevaux_selle[Ration]&amp;Règles_chevaux_selle[Aliment],0))="s1",IF($EU103=Spécificité1ChevauxSelle,1)),
AND(INDEX(Règles_chevaux_selle[Specificite],MATCH(RationEtéChevauxSelle&amp;$EU103,Règles_chevaux_selle[Ration]&amp;Règles_chevaux_selle[Aliment],0))="s2",IF($EU103=Spécificité2ChevauxSelle,1)),
INDEX(Règles_chevaux_selle[Specificite],MATCH(RationEtéChevauxSelle&amp;$EU103,Règles_chevaux_selle[Ration]&amp;Règles_chevaux_selle[Aliment],0))="c"),
INDEX(Règles_chevaux_selle[Valeur 12-24],MATCH(RationEtéChevauxSelle&amp;$EU103,Règles_chevaux_selle[Ration]&amp;Règles_chevaux_selle[Aliment],0)),0),0)*TotalJeuneJumentSelle_12_24_mois*SUM(NbreJoursNourrirChevauxSelle))</f>
        <v>0</v>
      </c>
      <c r="EY103" s="1286">
        <f t="array" ref="EY103">IF(OR(ChoixRationComplèteEtéChevauxSelle=OUI,ChoixRationComplèteEtéChevauxSelle="",AND(ChoixChevauxSellePréHiver=OUI,ChoixChevauxSellePréEté=OUI)),0,IFERROR(IF(OR(AND(INDEX(Règles_chevaux_selle[Specificite],MATCH(RationEtéChevauxSelle&amp;$EU103,Règles_chevaux_selle[Ration]&amp;Règles_chevaux_selle[Aliment],0))="s1",IF($EU103=Spécificité1ChevauxSelle,1)),
AND(INDEX(Règles_chevaux_selle[Specificite],MATCH(RationEtéChevauxSelle&amp;$EU103,Règles_chevaux_selle[Ration]&amp;Règles_chevaux_selle[Aliment],0))="s2",IF($EU103=Spécificité2ChevauxSelle,1)),
INDEX(Règles_chevaux_selle[Specificite],MATCH(RationEtéChevauxSelle&amp;$EU103,Règles_chevaux_selle[Ration]&amp;Règles_chevaux_selle[Aliment],0))="c"),
INDEX(Règles_chevaux_selle[Valeur 0-12],MATCH(RationEtéChevauxSelle&amp;$EU103,Règles_chevaux_selle[Ration]&amp;Règles_chevaux_selle[Aliment],0)),0),0)*TotalPoulicheSelle_0_12_mois*SUM(NbreJoursNourrirChevauxSelle))</f>
        <v>0</v>
      </c>
      <c r="EZ103" s="1286">
        <f t="shared" si="43"/>
        <v>0</v>
      </c>
      <c r="FA103" s="1345"/>
      <c r="FB103" s="1345"/>
      <c r="FC103" s="1321"/>
      <c r="FD103" s="1083" t="str">
        <f t="shared" si="34"/>
        <v>concentré jeunes bovins</v>
      </c>
      <c r="FE103" s="1283">
        <f t="array" ref="FE103">IF(OR(ChoixRationComplèteEtéChevauxTrait=OUI,ChoixRationComplèteEtéChevauxTrait="",AND(ChoixChevauxTraitPréHiver=OUI,ChoixChevauxTraitPréEté=OUI)),0,IFERROR(IF(OR(AND(INDEX(Règles_chevaux_trait[Specificite],MATCH(RationEtéChevauxTrait&amp;$FD103,Règles_chevaux_trait[Ration]&amp;Règles_chevaux_trait[Aliment],0))="s1",IF($FD103=Spécificité1ChevauxTrait,1)),
AND(INDEX(Règles_chevaux_trait[Specificite],MATCH(RationEtéChevauxTrait&amp;$FD103,Règles_chevaux_trait[Ration]&amp;Règles_chevaux_trait[Aliment],0))="s2",IF($FD103=Spécificité2ChevauxTrait,1)),
INDEX(Règles_chevaux_trait[Specificite],MATCH(RationEtéChevauxTrait&amp;$FD103,Règles_chevaux_trait[Ration]&amp;Règles_chevaux_trait[Aliment],0))="c"),
INDEX(Règles_chevaux_trait[Valeur 36 et plus],MATCH(RationEtéChevauxTrait&amp;$FD103,Règles_chevaux_trait[Ration]&amp;Règles_chevaux_trait[Aliment],0)),0),0)*TotalJumentTrait*SUM(NbreJoursNourrirChevauxTrait))</f>
        <v>0</v>
      </c>
      <c r="FF103" s="1283">
        <f t="array" ref="FF103">IF(OR(ChoixRationComplèteEtéChevauxTrait=OUI,ChoixRationComplèteEtéChevauxTrait="",AND(ChoixChevauxTraitPréHiver=OUI,ChoixChevauxTraitPréEté=OUI)),0,IFERROR(IF(OR(AND(INDEX(Règles_chevaux_trait[Specificite],MATCH(RationEtéChevauxTrait&amp;$FD103,Règles_chevaux_trait[Ration]&amp;Règles_chevaux_trait[Aliment],0))="s1",IF($FD103=Spécificité1ChevauxTrait,1)),
AND(INDEX(Règles_chevaux_trait[Specificite],MATCH(RationEtéChevauxTrait&amp;$FD103,Règles_chevaux_trait[Ration]&amp;Règles_chevaux_trait[Aliment],0))="s2",IF($FD103=Spécificité2ChevauxTrait,1)),
INDEX(Règles_chevaux_trait[Specificite],MATCH(RationEtéChevauxTrait&amp;$FD103,Règles_chevaux_trait[Ration]&amp;Règles_chevaux_trait[Aliment],0))="c"),
INDEX(Règles_chevaux_trait[Valeur 24-36],MATCH(RationEtéChevauxTrait&amp;$FD103,Règles_chevaux_trait[Ration]&amp;Règles_chevaux_trait[Aliment],0)),0),0)*TotalJeuneJumentTrait_24_36_mois*SUM(NbreJoursNourrirChevauxTrait))</f>
        <v>0</v>
      </c>
      <c r="FG103" s="1283">
        <f t="array" ref="FG103">IF(OR(ChoixRationComplèteEtéChevauxTrait=OUI,ChoixRationComplèteEtéChevauxTrait="",AND(ChoixChevauxTraitPréHiver=OUI,ChoixChevauxTraitPréEté=OUI)),0,IFERROR(IF(OR(AND(INDEX(Règles_chevaux_trait[Specificite],MATCH(RationEtéChevauxTrait&amp;$FD103,Règles_chevaux_trait[Ration]&amp;Règles_chevaux_trait[Aliment],0))="s1",IF($FD103=Spécificité1ChevauxTrait,1)),
AND(INDEX(Règles_chevaux_trait[Specificite],MATCH(RationEtéChevauxTrait&amp;$FD103,Règles_chevaux_trait[Ration]&amp;Règles_chevaux_trait[Aliment],0))="s2",IF($FD103=Spécificité2ChevauxTrait,1)),
INDEX(Règles_chevaux_trait[Specificite],MATCH(RationEtéChevauxTrait&amp;$FD103,Règles_chevaux_trait[Ration]&amp;Règles_chevaux_trait[Aliment],0))="c"),
INDEX(Règles_chevaux_trait[Valeur 12-24],MATCH(RationEtéChevauxTrait&amp;$FD103,Règles_chevaux_trait[Ration]&amp;Règles_chevaux_trait[Aliment],0)),0),0)*TotalJeuneJumentTrait_12_24_mois*SUM(NbreJoursNourrirChevauxTrait))</f>
        <v>0</v>
      </c>
      <c r="FH103" s="1286">
        <f t="array" ref="FH103">IF(OR(ChoixRationComplèteEtéChevauxTrait=OUI,ChoixRationComplèteEtéChevauxTrait="",AND(ChoixChevauxTraitPréHiver=OUI,ChoixChevauxTraitPréEté=OUI)),0,IFERROR(IF(OR(AND(INDEX(Règles_chevaux_trait[Specificite],MATCH(RationEtéChevauxTrait&amp;$FD103,Règles_chevaux_trait[Ration]&amp;Règles_chevaux_trait[Aliment],0))="s1",IF($FD103=Spécificité1ChevauxTrait,1)),
AND(INDEX(Règles_chevaux_trait[Specificite],MATCH(RationEtéChevauxTrait&amp;$FD103,Règles_chevaux_trait[Ration]&amp;Règles_chevaux_trait[Aliment],0))="s2",IF($FD103=Spécificité2ChevauxTrait,1)),
INDEX(Règles_chevaux_trait[Specificite],MATCH(RationEtéChevauxTrait&amp;$FD103,Règles_chevaux_trait[Ration]&amp;Règles_chevaux_trait[Aliment],0))="c"),
INDEX(Règles_chevaux_trait[Valeur 0-12],MATCH(RationEtéChevauxTrait&amp;$FD103,Règles_chevaux_trait[Ration]&amp;Règles_chevaux_trait[Aliment],0)),0),0)*TotalPoulicheTrait_0_12_mois*SUM(NbreJoursNourrirChevauxTrait))</f>
        <v>0</v>
      </c>
      <c r="FI103" s="1286">
        <f t="shared" si="32"/>
        <v>0</v>
      </c>
      <c r="FJ103" s="1345"/>
      <c r="FK103" s="1345"/>
      <c r="FL103" s="1345"/>
      <c r="FM103" s="1321"/>
      <c r="FN103" s="1082" t="str">
        <f t="shared" si="33"/>
        <v>concentré jeunes lapins</v>
      </c>
      <c r="FO103" s="1282">
        <f t="array" ref="FO103">IF(OR(ChoixRationComplèteEtéPoneys=OUI,ChoixRationComplèteEtéPoneys="",AND(ChoixPoneysPréHiver=OUI,ChoixPoneysPréEté=OUI)),0,IFERROR(IF(OR(AND(INDEX(Règles_poneys[Specificite],MATCH(RationEtéPoneys&amp;$FN103,Règles_poneys[Ration]&amp;Règles_poneys[Aliment],0))="s1",IF($FN103=Spécificité1Poneys,1)),
AND(INDEX(Règles_poneys[Specificite],MATCH(RationEtéPoneys&amp;$FN103,Règles_poneys[Ration]&amp;Règles_poneys[Aliment],0))="s2",IF($FN103=Spécificité2Poneys,1)),
INDEX(Règles_poneys[Specificite],MATCH(RationEtéPoneys&amp;$FN103,Règles_poneys[Ration]&amp;Règles_poneys[Aliment],0))="c"),
INDEX(Règles_poneys[Valeur 36 et plus],MATCH(RationEtéPoneys&amp;$FN103,Règles_poneys[Ration]&amp;Règles_poneys[Aliment],0)),0),0)*TotalJumentPoney*SUM(NbreJoursNourrirPoneys))</f>
        <v>0</v>
      </c>
      <c r="FP103" s="1282">
        <f t="array" ref="FP103">IF(OR(ChoixRationComplèteEtéPoneys=OUI,ChoixRationComplèteEtéPoneys="",AND(ChoixPoneysPréHiver=OUI,ChoixPoneysPréEté=OUI)),0,IFERROR(IF(OR(AND(INDEX(Règles_poneys[Specificite],MATCH(RationEtéPoneys&amp;$FN103,Règles_poneys[Ration]&amp;Règles_poneys[Aliment],0))="s1",IF($FN103=Spécificité1Poneys,1)),
AND(INDEX(Règles_poneys[Specificite],MATCH(RationEtéPoneys&amp;$FN103,Règles_poneys[Ration]&amp;Règles_poneys[Aliment],0))="s2",IF($FN103=Spécificité2Poneys,1)),
INDEX(Règles_poneys[Specificite],MATCH(RationEtéPoneys&amp;$FN103,Règles_poneys[Ration]&amp;Règles_poneys[Aliment],0))="c"),
INDEX(Règles_poneys[Valeur 36 et plus],MATCH(RationEtéPoneys&amp;$FN103,Règles_poneys[Ration]&amp;Règles_poneys[Aliment],0)),0),0)*TotalJeuneJumentPoney_24_36_mois*SUM(NbreJoursNourrirPoneys))</f>
        <v>0</v>
      </c>
      <c r="FQ103" s="1282">
        <f t="array" ref="FQ103">IF(OR(ChoixRationComplèteEtéPoneys=OUI,ChoixRationComplèteEtéPoneys="",AND(ChoixPoneysPréHiver=OUI,ChoixPoneysPréEté=OUI)),0,IFERROR(IF(OR(AND(INDEX(Règles_poneys[Specificite],MATCH(RationEtéPoneys&amp;$FN103,Règles_poneys[Ration]&amp;Règles_poneys[Aliment],0))="s1",IF($FN103=Spécificité1Poneys,1)),
AND(INDEX(Règles_poneys[Specificite],MATCH(RationEtéPoneys&amp;$FN103,Règles_poneys[Ration]&amp;Règles_poneys[Aliment],0))="s2",IF($FN103=Spécificité2Poneys,1)),
INDEX(Règles_poneys[Specificite],MATCH(RationEtéPoneys&amp;$FN103,Règles_poneys[Ration]&amp;Règles_poneys[Aliment],0))="c"),
INDEX(Règles_poneys[Valeur 36 et plus],MATCH(RationEtéPoneys&amp;$FN103,Règles_poneys[Ration]&amp;Règles_poneys[Aliment],0)),0),0)*TotalJeuneJumentPoney_12_24_mois*SUM(NbreJoursNourrirPoneys))</f>
        <v>0</v>
      </c>
      <c r="FR103" s="1285">
        <f t="array" ref="FR103">IF(OR(ChoixRationComplèteEtéPoneys=OUI,ChoixRationComplèteEtéPoneys="",AND(ChoixPoneysPréHiver=OUI,ChoixPoneysPréEté=OUI)),0,IFERROR(IF(OR(AND(INDEX(Règles_poneys[Specificite],MATCH(RationEtéPoneys&amp;$FN103,Règles_poneys[Ration]&amp;Règles_poneys[Aliment],0))="s1",IF($FN103=Spécificité1Poneys,1)),
AND(INDEX(Règles_poneys[Specificite],MATCH(RationEtéPoneys&amp;$FN103,Règles_poneys[Ration]&amp;Règles_poneys[Aliment],0))="s2",IF($FN103=Spécificité2Poneys,1)),
INDEX(Règles_poneys[Specificite],MATCH(RationEtéPoneys&amp;$FN103,Règles_poneys[Ration]&amp;Règles_poneys[Aliment],0))="c"),
INDEX(Règles_poneys[Valeur 36 et plus],MATCH(RationEtéPoneys&amp;$FN103,Règles_poneys[Ration]&amp;Règles_poneys[Aliment],0)),0),0)*TotalPoulichePoney_0_12_mois*SUM(NbreJoursNourrirPoneys))</f>
        <v>0</v>
      </c>
      <c r="FS103" s="1285">
        <f t="shared" si="30"/>
        <v>0</v>
      </c>
      <c r="FT103" s="1345"/>
      <c r="FU103" s="1345"/>
      <c r="FV103" s="1345"/>
      <c r="FW103" s="823" t="str">
        <f t="shared" si="28"/>
        <v>Féverole</v>
      </c>
      <c r="FX103" s="828">
        <f t="array" ref="FX10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03" s="828">
        <f t="array" ref="FY10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03" s="828">
        <f t="array" ref="FZ10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03" s="828">
        <f t="array" ref="GA10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03" s="829">
        <f>SUM(AlimentsGavageCanards[[#This Row],[Valeur 3 et plus]:[Valeur 0-1]])</f>
        <v>0</v>
      </c>
      <c r="GC103" s="1321"/>
      <c r="GD103" s="1321"/>
      <c r="GE103" s="1321"/>
      <c r="GF103" s="1321"/>
      <c r="GG103" s="1321" t="s">
        <v>1349</v>
      </c>
      <c r="GH103" s="1321" t="s">
        <v>1349</v>
      </c>
      <c r="GI103" s="1321" t="s">
        <v>1349</v>
      </c>
      <c r="GJ103" s="1321" t="s">
        <v>1349</v>
      </c>
      <c r="GK103" s="1321" t="s">
        <v>1349</v>
      </c>
      <c r="GL103" s="1321" t="s">
        <v>1349</v>
      </c>
      <c r="GM103" s="1321" t="s">
        <v>1349</v>
      </c>
      <c r="GN103" s="1321" t="s">
        <v>1349</v>
      </c>
      <c r="GO103" s="1321" t="s">
        <v>1349</v>
      </c>
      <c r="GP103" s="1321" t="s">
        <v>1349</v>
      </c>
      <c r="GQ103" s="1321" t="s">
        <v>1349</v>
      </c>
      <c r="GR103" s="1321" t="s">
        <v>1349</v>
      </c>
      <c r="GS103" s="1321" t="s">
        <v>1349</v>
      </c>
      <c r="GT103" s="1321" t="s">
        <v>1349</v>
      </c>
      <c r="GU103" s="1321" t="s">
        <v>1349</v>
      </c>
      <c r="GV103" s="1321" t="s">
        <v>1349</v>
      </c>
      <c r="GW103" s="1321"/>
      <c r="GX103" s="1321"/>
      <c r="GY103" s="1082" t="str">
        <f t="shared" si="42"/>
        <v>traitement mirabelliers</v>
      </c>
      <c r="GZ103" s="1082"/>
      <c r="HA103" s="1085"/>
      <c r="HB103" s="1085">
        <f>IF(COUNTIF(TypeArticleDansEntrepôt,GY103)=0,0,SUMIF(TypeArticleDansEntrepôt,GY103,QtéArticleDansEntrepôt)*VLOOKUP(GY103,place_necessaire_entrepots_aire_paille[],2,FALSE))</f>
        <v>0</v>
      </c>
      <c r="HC103" s="1321"/>
      <c r="HD103" s="1321"/>
      <c r="HE103" s="1321"/>
      <c r="HF103" s="1321"/>
      <c r="HG103" s="1321"/>
      <c r="HH103" s="1321"/>
      <c r="HI103" s="1321"/>
      <c r="HJ103" s="1321"/>
      <c r="HK103" s="1321"/>
      <c r="HL103" s="1321"/>
      <c r="HM103" s="1321"/>
      <c r="HN103" s="1099" t="s">
        <v>714</v>
      </c>
      <c r="HO103" s="1085" t="e">
        <f>IF(SUM((VLOOKUP(HN103,AlimentsRationBovinsMâles,9,FALSE)+VLOOKUP(HN103,AlimentsRationBovinsFemelles,9,FALSE)+VLOOKUP(HN103,BDD!BB$284:BJ$323,9,FALSE))/1000/SUM(NbreJoursNourrirBovins)*IF('semences, engrais et traitement'!I$16=OUI,42,84))&lt;0,0,SUM((VLOOKUP(HN103,AlimentsRationBovinsMâles,9,FALSE)+VLOOKUP(HN103,AlimentsRationBovinsFemelles,9,FALSE)+VLOOKUP(HN103,BDD!BB$284:BJ$323,9,FALSE))/1000/SUM(NbreJoursNourrirBovins)*IF('semences, engrais et traitement'!I$16=OUI,42,84)))</f>
        <v>#DIV/0!</v>
      </c>
      <c r="HP103" s="1085">
        <f t="shared" si="36"/>
        <v>0</v>
      </c>
      <c r="HQ103" s="1085" t="e">
        <f>IF(SUM(VLOOKUP(HN103,AlimentsRationPorcinsMâles[],7,FALSE)+VLOOKUP(HN103,AlimentsRationPorcinsFemelles[],7,FALSE))/1000/SUM(NbreJoursNourrirAutres)*84&lt;0,0,SUM(VLOOKUP(HN103,AlimentsRationPorcinsMâles[],7,FALSE)+VLOOKUP(HN103,AlimentsRationPorcinsFemelles[],7,FALSE)/1000/SUM(NbreJoursNourrirAutres)*84))</f>
        <v>#DIV/0!</v>
      </c>
      <c r="HR103" s="1085" t="e">
        <f>IF(SUM(VLOOKUP(HN103,AlimentsRationCaprinsMâles,6,FALSE)+VLOOKUP(HN103,AlimentsRationCaprinsFemelles,6,FALSE))/1000/SUM(NbreJoursNourrirCaprins)*IF('semences, engrais et traitement'!I$17=OUI,42,84)&lt;0,0,SUM(VLOOKUP(HN103,AlimentsRationCaprinsMâles,6,FALSE)+VLOOKUP(HN103,AlimentsRationCaprinsFemelles,6,FALSE))/1000/SUM(NbreJoursNourrirCaprins)*IF('semences, engrais et traitement'!I$17=OUI,42,84))</f>
        <v>#DIV/0!</v>
      </c>
      <c r="HS103" s="1085" t="e">
        <f>IF(SUM(VLOOKUP(HN103,AlimentsRationVolaillesMâles[],5,FALSE)+VLOOKUP(HN103,AlimentsRationVolaillesFemelles[],5,FALSE))/1000/SUM(NbreJoursNourrirAutres)*84&lt;0,0,SUM(VLOOKUP(HN103,AlimentsRationVolaillesMâles[],5,FALSE)+VLOOKUP(HN103,AlimentsRationVolaillesFemelles[],5,FALSE)/1000/SUM(NbreJoursNourrirAutres)*84))</f>
        <v>#DIV/0!</v>
      </c>
      <c r="HT103" s="1085" t="e">
        <f>IF(SUM(VLOOKUP(HN103,AlimentsRationPintadesMâles[],5,FALSE)+VLOOKUP(HN103,AlimentsRationPintadesFemelles[],5,FALSE))/1000/SUM(NbreJoursNourrirAutres)*84&lt;0,0,SUM(VLOOKUP(HN103,AlimentsRationPintadesMâles[],5,FALSE)+VLOOKUP(HN103,AlimentsRationPintadesFemelles[],5,FALSE)/1000/SUM(NbreJoursNourrirAutres)*84))</f>
        <v>#DIV/0!</v>
      </c>
      <c r="HU103" s="1085" t="e">
        <f>IF(SUM(VLOOKUP(HN103,AlimentsRationLapinsMâles[],5,FALSE)+VLOOKUP(HN103,AlimentsRationLapinsFemelles[],5,FALSE))/1000/SUM(NbreJoursNourrirAutres)*84&lt;0,0,SUM(VLOOKUP(HN103,AlimentsRationLapinsMâles[],5,FALSE)+VLOOKUP(HN103,AlimentsRationLapinsFemelles[],5,FALSE)/1000/SUM(NbreJoursNourrirAutres)*84))</f>
        <v>#DIV/0!</v>
      </c>
      <c r="HV103" s="1085" t="e">
        <f>IF(SUM(VLOOKUP(HN103,AlimentsRationOvinsMâles,6,FALSE)+VLOOKUP(HN103,AlimentsRationOvinsFemelles,6,FALSE))/1000/SUM(NbreJoursNourrirOvins)*IF('semences, engrais et traitement'!I$18=OUI,42,84)&lt;0,0,SUM(VLOOKUP(HN103,AlimentsRationOvinsMâles,6,FALSE)+VLOOKUP(HN103,AlimentsRationOvinsFemelles,6,FALSE))/1000/SUM(NbreJoursNourrirOvins)*IF('semences, engrais et traitement'!I$18=OUI,42,84))</f>
        <v>#DIV/0!</v>
      </c>
      <c r="HW103" s="1085" t="e">
        <f>IF(SUM(VLOOKUP(HN103,AlimentsRationOiesMâles[],5,FALSE)+VLOOKUP(HN103,AlimentsRationOiesFemelles[],5,FALSE))/1000/SUM(NbreJoursNourrirAutres)*84&lt;0,0,SUM(VLOOKUP(HN103,AlimentsRationOiesMâles[],5,FALSE)+VLOOKUP(HN103,AlimentsRationOiesFemelles[],5,FALSE)/1000/SUM(NbreJoursNourrirAutres)*84))</f>
        <v>#DIV/0!</v>
      </c>
      <c r="HX103" s="1085" t="e">
        <f t="shared" si="37"/>
        <v>#DIV/0!</v>
      </c>
      <c r="HY103" s="1085" t="e">
        <f>IF(SUM(VLOOKUP(HN103,AlimentsRationEcurieChevauxMâlesSelle,6,FALSE)+VLOOKUP(HN103,AlimentsRationEcurieChevauxFemellesSelle,6,FALSE))/1000/SUM(NbreJoursNourrirChevauxSelle)*IF('semences, engrais et traitement'!M$16=OUI,56,84)&lt;0,0,SUM(VLOOKUP(HN103,AlimentsRationEcurieChevauxMâlesSelle,6,FALSE)+VLOOKUP(HN103,AlimentsRationEcurieChevauxFemellesSelle,6,FALSE))/1000/SUM(NbreJoursNourrirChevauxSelle)*IF('semences, engrais et traitement'!M$16=OUI,56,84))</f>
        <v>#DIV/0!</v>
      </c>
      <c r="HZ103" s="1085" t="e">
        <f>IF(SUM(VLOOKUP(HN103,AlimentsRationEcurieChevauxMâlesTrait,6,FALSE)+VLOOKUP(HN103,AlimentsRationEcurieChevauxFemellesTrait,6,FALSE))/1000/SUM(NbreJoursNourrirChevauxTrait)*IF('semences, engrais et traitement'!M$17=OUI,56,84)&lt;0,0,SUM(VLOOKUP(HN103,AlimentsRationEcurieChevauxMâlesTrait,6,FALSE)+VLOOKUP(HN103,AlimentsRationEcurieChevauxFemellesTrait,6,FALSE))/1000/SUM(NbreJoursNourrirChevauxTrait)*IF('semences, engrais et traitement'!M$17=OUI,56,84))</f>
        <v>#DIV/0!</v>
      </c>
      <c r="IA103" s="1085" t="e">
        <f>IF(SUM(VLOOKUP(HN103,AlimentsRationEcuriePoneysMâles,6,FALSE)+VLOOKUP(HN103,AlimentsRationEcuriePoneysFemelles,6,FALSE))/1000/SUM(NbreJoursNourrirPoneys)*IF('semences, engrais et traitement'!M$18=OUI,56,84)&lt;0,0,SUM(VLOOKUP(HN103,AlimentsRationEcuriePoneysMâles,6,FALSE)+VLOOKUP(HN103,AlimentsRationEcuriePoneysFemelles,6,FALSE))/1000/SUM(NbreJoursNourrirPoneys)*IF('semences, engrais et traitement'!M$18=OUI,56,84))</f>
        <v>#DIV/0!</v>
      </c>
      <c r="IB103" s="1099" t="e">
        <f t="shared" si="38"/>
        <v>#DIV/0!</v>
      </c>
      <c r="IC103" s="1321"/>
      <c r="ID103" s="1321"/>
      <c r="IE103" s="1321"/>
      <c r="IF103" s="1321"/>
      <c r="IG103" s="1321"/>
      <c r="IH103" s="1321"/>
      <c r="II103" s="1321"/>
      <c r="IJ103" s="1321"/>
      <c r="IK103" s="1321"/>
      <c r="IL103" s="1321"/>
      <c r="IM103" s="1321"/>
      <c r="IN103" s="1368"/>
    </row>
    <row r="104" spans="1:248" ht="12.75" customHeight="1" x14ac:dyDescent="0.2">
      <c r="A104" s="1307" t="s">
        <v>146</v>
      </c>
      <c r="B104" s="1241">
        <f t="shared" si="39"/>
        <v>1E-3</v>
      </c>
      <c r="C104" s="1321"/>
      <c r="D104" s="1321"/>
      <c r="E104" s="1321"/>
      <c r="F104" s="1149" t="s">
        <v>63</v>
      </c>
      <c r="G104" s="1149" t="s">
        <v>1183</v>
      </c>
      <c r="H104" s="1247" t="s">
        <v>1208</v>
      </c>
      <c r="I104" s="1149" t="s">
        <v>1184</v>
      </c>
      <c r="J104" s="1149" t="s">
        <v>1185</v>
      </c>
      <c r="K104" s="1247" t="s">
        <v>1215</v>
      </c>
      <c r="L104" s="1149">
        <v>0</v>
      </c>
      <c r="M104" s="1321"/>
      <c r="N104" s="1321"/>
      <c r="O104" s="802" t="s">
        <v>1463</v>
      </c>
      <c r="P104" s="802">
        <f>IF(SUM(ChoixEspèceAuPré)="",0,SUMIF(ChoixEspèceAuPré,Bovins,NbreFemelles_3_AnsEtPlusAuPréEté))</f>
        <v>0</v>
      </c>
      <c r="Q104" s="802">
        <f>IF(SUM(ChoixEspèceAuPré)="",0,SUMIF(ChoixEspèceAuPré,Ovins,NbreFemelles_3_AnsEtPlusAuPréEté))</f>
        <v>0</v>
      </c>
      <c r="R104" s="802">
        <f>IF(SUM(ChoixEspèceAuPré)="",0,SUMIF(ChoixEspèceAuPré,Caprins,NbreFemelles_3_AnsEtPlusAuPréEté))</f>
        <v>0</v>
      </c>
      <c r="S104" s="802">
        <f>IF(SUM(ChoixEspèceAuPré)="",0,SUMIF(ChoixEspèceAuPré,Bisons,NbreFemelles_3_AnsEtPlusAuPréEté))</f>
        <v>0</v>
      </c>
      <c r="T104" s="802">
        <f>IF(SUM(ChoixEspèceAuPré)="",0,SUMIF(ChoixEspèceAuPré,Daims,NbreFemelles_3_AnsEtPlusAuPréEté))</f>
        <v>0</v>
      </c>
      <c r="U104" s="802">
        <f>IF(SUM(ChoixEspèceAuPré)="",0,SUMIF(ChoixEspèceAuPré,ChevauxSelle,NbreFemelles_3_AnsEtPlusAuPréEté))</f>
        <v>0</v>
      </c>
      <c r="V104" s="802">
        <f>IF(SUM(ChoixEspèceAuPré)="",0,SUMIF(ChoixEspèceAuPré,ChevauxTrait,NbreFemelles_3_AnsEtPlusAuPréEté))</f>
        <v>0</v>
      </c>
      <c r="W104" s="802">
        <f>IF(SUM(ChoixEspèceAuPré)="",0,SUMIF(ChoixEspèceAuPré,Poneys,NbreFemelles_3_AnsEtPlusAuPréEté))</f>
        <v>0</v>
      </c>
      <c r="X104" s="1321"/>
      <c r="Y104" s="1321"/>
      <c r="Z104" s="1321"/>
      <c r="AA104" s="1321"/>
      <c r="AB104" s="1321"/>
      <c r="AC104" s="1321"/>
      <c r="AD104" s="1321"/>
      <c r="AE104" s="1321"/>
      <c r="AF104" s="1321"/>
      <c r="AG104" s="1321"/>
      <c r="AH104" s="1321"/>
      <c r="AI104" s="1321"/>
      <c r="AJ104" s="1321"/>
      <c r="AK104" s="1321"/>
      <c r="AL104" s="1321"/>
      <c r="AM104" s="1321"/>
      <c r="AN104" s="1321"/>
      <c r="AO104" s="1321"/>
      <c r="AP104" s="1321"/>
      <c r="AQ104" s="1321"/>
      <c r="AR104" s="1321"/>
      <c r="AS104" s="1321"/>
      <c r="AT104" s="1321"/>
      <c r="AU104" s="1321"/>
      <c r="AV104" s="1321"/>
      <c r="AW104" s="1321"/>
      <c r="AX104" s="1321"/>
      <c r="AY104" s="1321"/>
      <c r="AZ104" s="1321"/>
      <c r="BA104" s="1321"/>
      <c r="BB104" s="1236" t="s">
        <v>729</v>
      </c>
      <c r="BC104" s="1190" t="s">
        <v>63</v>
      </c>
      <c r="BD104" s="1190" t="s">
        <v>1254</v>
      </c>
      <c r="BE104" s="1237">
        <v>4.8</v>
      </c>
      <c r="BF104" s="1237">
        <v>4</v>
      </c>
      <c r="BG104" s="1237">
        <v>4</v>
      </c>
      <c r="BH104" s="1237">
        <v>4</v>
      </c>
      <c r="BI104" s="1237">
        <v>2</v>
      </c>
      <c r="BJ104" s="1237">
        <v>1.2</v>
      </c>
      <c r="BK104" s="1238">
        <v>0</v>
      </c>
      <c r="BL104" s="1348"/>
      <c r="BM104" s="1075" t="str">
        <f t="shared" si="23"/>
        <v>Tourteau de tournesol</v>
      </c>
      <c r="BN104" s="1075">
        <f t="array" ref="BN104">IF(Ration_hivernale_complète_bisons[somme]&gt;0,0,IFERROR(IF(OR(AND(INDEX(Règles_bison[Specificite],MATCH(ChoixRationBisons&amp;$BM104,Règles_bison[Ration]&amp;Règles_bison[Aliment],0))="s1",IF($BM104=ChoixSpécificité1Bisons,1)),
AND(INDEX(Règles_bison[Specificite],MATCH(ChoixRationBisons&amp;$BM104,Règles_bison[Ration]&amp;Règles_bison[Aliment],0))="s2",IF($BM104=ChoixSpécificité2Bisons,1)),INDEX(Règles_bison[Specificite],MATCH(ChoixRationBisons&amp;$BM104,Règles_bison[Ration]&amp;Règles_bison[Aliment],0))="c"),
INDEX(Règles_bison[Valeur 36 et plus],MATCH(ChoixRationBisons&amp;$BM104,Règles_bison[Ration]&amp;Règles_bison[Aliment],0)),0),0)*TotalBisonnes*SUM(NbreJoursNourrirBisonsDaims))</f>
        <v>0</v>
      </c>
      <c r="BO104" s="1075">
        <f t="array" ref="BO104">IF(Ration_hivernale_complète_bisons[somme]&gt;0,0,IFERROR(IF(OR(AND(INDEX(Règles_bison[Specificite],MATCH(ChoixRationBisons&amp;$BM104,Règles_bison[Ration]&amp;Règles_bison[Aliment],0))="s1",IF($BM104=ChoixSpécificité1Bisons,1)),
AND(INDEX(Règles_bison[Specificite],MATCH(ChoixRationBisons&amp;$BM104,Règles_bison[Ration]&amp;Règles_bison[Aliment],0))="s2",IF($BM104=ChoixSpécificité2Bisons,1)),INDEX(Règles_bison[Specificite],MATCH(ChoixRationBisons&amp;$BM104,Règles_bison[Ration]&amp;Règles_bison[Aliment],0))="c"),
INDEX(Règles_bison[Valeur 24-36],MATCH(ChoixRationBisons&amp;$BM104,Règles_bison[Ration]&amp;Règles_bison[Aliment],0)),0),0)*TotalBisonsFemelles_24_36_mois*SUM(NbreJoursNourrirBisonsDaims))</f>
        <v>0</v>
      </c>
      <c r="BP104" s="1075">
        <f t="array" ref="BP104">IF(Ration_hivernale_complète_bisons[somme]&gt;0,0,IFERROR(IF(OR(AND(INDEX(Règles_bison[Specificite],MATCH(ChoixRationBisons&amp;$BM104,Règles_bison[Ration]&amp;Règles_bison[Aliment],0))="s1",IF($BM104=ChoixSpécificité1Bisons,1)),
AND(INDEX(Règles_bison[Specificite],MATCH(ChoixRationBisons&amp;$BM104,Règles_bison[Ration]&amp;Règles_bison[Aliment],0))="s2",IF($BM104=ChoixSpécificité2Bisons,1)),INDEX(Règles_bison[Specificite],MATCH(ChoixRationBisons&amp;$BM104,Règles_bison[Ration]&amp;Règles_bison[Aliment],0))="c"),
INDEX(Règles_bison[Valeur 18-24],MATCH(ChoixRationBisons&amp;$BM104,Règles_bison[Ration]&amp;Règles_bison[Aliment],0)),0),0)*TotalBisonsFemelles_18_24_mois*SUM(NbreJoursNourrirBisonsDaims))</f>
        <v>0</v>
      </c>
      <c r="BQ104" s="1075">
        <f t="array" ref="BQ104">IF(Ration_hivernale_complète_bisons[somme]&gt;0,0,IFERROR(IF(OR(AND(INDEX(Règles_bison[Specificite],MATCH(ChoixRationBisons&amp;$BM104,Règles_bison[Ration]&amp;Règles_bison[Aliment],0))="s1",IF($BM104=ChoixSpécificité1Bisons,1)),
AND(INDEX(Règles_bison[Specificite],MATCH(ChoixRationBisons&amp;$BM104,Règles_bison[Ration]&amp;Règles_bison[Aliment],0))="s2",IF($BM104=ChoixSpécificité2Bisons,1)),INDEX(Règles_bison[Specificite],MATCH(ChoixRationBisons&amp;$BM104,Règles_bison[Ration]&amp;Règles_bison[Aliment],0))="c"),
INDEX(Règles_bison[Valeur 12-18],MATCH(ChoixRationBisons&amp;$BM104,Règles_bison[Ration]&amp;Règles_bison[Aliment],0)),0),0)*TotalBisonsFemelles_12_18_mois*SUM(NbreJoursNourrirBisonsDaims))</f>
        <v>0</v>
      </c>
      <c r="BR104" s="1075">
        <f t="array" ref="BR104">IF(Ration_hivernale_complète_bisons[somme]&gt;0,0,IFERROR(IF(OR(AND(INDEX(Règles_bison[Specificite],MATCH(ChoixRationBisons&amp;$BM104,Règles_bison[Ration]&amp;Règles_bison[Aliment],0))="s1",IF($BM104=ChoixSpécificité1Bisons,1)),
AND(INDEX(Règles_bison[Specificite],MATCH(ChoixRationBisons&amp;$BM104,Règles_bison[Ration]&amp;Règles_bison[Aliment],0))="s2",IF($BM104=ChoixSpécificité2Bisons,1)),INDEX(Règles_bison[Specificite],MATCH(ChoixRationBisons&amp;$BM104,Règles_bison[Ration]&amp;Règles_bison[Aliment],0))="c"),
INDEX(Règles_bison[Valeur 6-12],MATCH(ChoixRationBisons&amp;$BM104,Règles_bison[Ration]&amp;Règles_bison[Aliment],0)),0),0)*TotalBisonsFemelles_6_12_mois*SUM(NbreJoursNourrirBisonsDaims))</f>
        <v>0</v>
      </c>
      <c r="BS104" s="1075">
        <f t="array" ref="BS104">IF(Ration_hivernale_complète_bisons[somme]&gt;0,0,IFERROR(IF(OR(AND(INDEX(Règles_bison[Specificite],MATCH(ChoixRationBisons&amp;$BM104,Règles_bison[Ration]&amp;Règles_bison[Aliment],0))="s1",IF($BM104=ChoixSpécificité1Bisons,1)),
AND(INDEX(Règles_bison[Specificite],MATCH(ChoixRationBisons&amp;$BM104,Règles_bison[Ration]&amp;Règles_bison[Aliment],0))="s2",IF($BM104=ChoixSpécificité2Bisons,1)),INDEX(Règles_bison[Specificite],MATCH(ChoixRationBisons&amp;$BM104,Règles_bison[Ration]&amp;Règles_bison[Aliment],0))="c"),
INDEX(Règles_bison[Valeur 3-6],MATCH(ChoixRationBisons&amp;$BM104,Règles_bison[Ration]&amp;Règles_bison[Aliment],0)),0),0)*TotalBisonsFemelles_3_6_mois*SUM(NbreJoursNourrirBisonsDaims))</f>
        <v>0</v>
      </c>
      <c r="BT104" s="1075">
        <f t="array" ref="BT104">IF(Ration_hivernale_complète_bisons[somme]&gt;0,0,IFERROR(IF(OR(AND(INDEX(Règles_bison[Specificite],MATCH(ChoixRationBisons&amp;$BM104,Règles_bison[Ration]&amp;Règles_bison[Aliment],0))="s1",IF($BM104=ChoixSpécificité1Bisons,1)),
AND(INDEX(Règles_bison[Specificite],MATCH(ChoixRationBisons&amp;$BM104,Règles_bison[Ration]&amp;Règles_bison[Aliment],0))="s2",IF($BM104=ChoixSpécificité2Bisons,1)),INDEX(Règles_bison[Specificite],MATCH(ChoixRationBisons&amp;$BM104,Règles_bison[Ration]&amp;Règles_bison[Aliment],0))="c"),
INDEX(Règles_bison[Valeur 0-3],MATCH(ChoixRationBisons&amp;$BM104,Règles_bison[Ration]&amp;Règles_bison[Aliment],0)),0),0)*TotalBisonsFemelles_0_3_mois*SUM(NbreJoursNourrirBisonsDaims))</f>
        <v>0</v>
      </c>
      <c r="BU104" s="1274">
        <f t="shared" si="22"/>
        <v>0</v>
      </c>
      <c r="BV104" s="1346"/>
      <c r="BW104" s="1346"/>
      <c r="BX104" s="1349" t="s">
        <v>1706</v>
      </c>
      <c r="BY104" s="1336"/>
      <c r="BZ104" s="1336"/>
      <c r="CA104" s="1336"/>
      <c r="CB104" s="1359"/>
      <c r="CC104" s="1359"/>
      <c r="CD104" s="1345"/>
      <c r="CE104" s="1345"/>
      <c r="CF104" s="1345"/>
      <c r="CG104" s="1345"/>
      <c r="CH104" s="1345"/>
      <c r="CI104" s="1321"/>
      <c r="CJ104" s="808" t="str">
        <f t="shared" si="26"/>
        <v>Lentille</v>
      </c>
      <c r="CK104" s="788">
        <f t="array" ref="CK10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04" s="788">
        <f t="array" ref="CL10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04" s="788">
        <f t="array" ref="CM10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04" s="788">
        <f t="array" ref="CN10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04" s="788">
        <f t="array" ref="CO10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04" s="812">
        <f>SUM(AlimentsRationPorcinsFemelles[[#This Row],[Valeur 12 et plus]:[Valeur 0-1]])</f>
        <v>0</v>
      </c>
      <c r="CQ104" s="1345"/>
      <c r="CR104" s="1321"/>
      <c r="CS104" s="808" t="str">
        <f t="shared" si="40"/>
        <v>Canola</v>
      </c>
      <c r="CT104" s="817">
        <f t="array" ref="CT10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04" s="817">
        <f t="array" ref="CU10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04" s="817">
        <f t="array" ref="CV10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04" s="818">
        <f>SUM(AlimentsRationLapinsFemelles[[#This Row],[Valeur 3 et plus]:[Valeur 0-1]])</f>
        <v>0</v>
      </c>
      <c r="CX104" s="1321"/>
      <c r="CY104" s="1321"/>
      <c r="CZ104" s="808" t="str">
        <f t="shared" si="41"/>
        <v>Canola</v>
      </c>
      <c r="DA104" s="817">
        <f t="array" ref="DA10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04" s="817">
        <f t="array" ref="DB10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04" s="817">
        <f t="array" ref="DC10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04" s="818">
        <f>SUM(AlimentsRationVolaillesFemelles[[#This Row],[Valeur 6 et plus]:[Valeur 0-1]])</f>
        <v>0</v>
      </c>
      <c r="DE104" s="1321"/>
      <c r="DF104" s="1321"/>
      <c r="DG104" s="788" t="str">
        <f t="shared" si="27"/>
        <v>Foin</v>
      </c>
      <c r="DH104" s="817">
        <f t="array" ref="DH10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04" s="817">
        <f t="array" ref="DI10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04" s="817">
        <f t="array" ref="DJ10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04" s="821">
        <f>SUM(AlimentsRationPintadesFemelles[[#This Row],[Valeur 6 et plus]:[Valeur 0-1]])</f>
        <v>0</v>
      </c>
      <c r="DL104" s="1321"/>
      <c r="DM104" s="1321"/>
      <c r="DN104" s="1176" t="s">
        <v>729</v>
      </c>
      <c r="DO104" s="1177" t="s">
        <v>715</v>
      </c>
      <c r="DP104" s="1177" t="s">
        <v>1252</v>
      </c>
      <c r="DQ104" s="1181">
        <v>1.2</v>
      </c>
      <c r="DR104" s="1181">
        <v>0.8</v>
      </c>
      <c r="DS104" s="1181">
        <v>0.6</v>
      </c>
      <c r="DT104" s="1243">
        <v>0.4</v>
      </c>
      <c r="DU104" s="1345"/>
      <c r="DV104" s="1076" t="str">
        <f t="shared" si="24"/>
        <v>Seigle</v>
      </c>
      <c r="DW104" s="1267">
        <f t="array" ref="DW104">SUM((IF(QualitéAlimentsFaonMâle_0_3_mois=BONNE,VLOOKUP("Seigle",AlimentsRationHivernaleDaims,8,FALSE),0)+(IF(QualitéAlimentsFaonFemelle_0_3_mois=BONNE,VLOOKUP("Seigle",AlimentsRationHivernaleDaims,8,FALSE),0)+(IF(QualitéAlimentsFaonMâle_3_6_mois=BONNE,VLOOKUP("Seigle",AlimentsRationHivernaleDaims,7,FALSE),0)+(IF(QualitéAlimentsFaonFemelle_3_6_mois=BONNE,VLOOKUP("Seigle",AlimentsRationHivernaleDaims,7,FALSE),0)+(IF(QualitéAlimentsFaonMâle_6_12_mois=BONNE,VLOOKUP("Seigle",AlimentsRationHivernaleDaims,6,FALSE),0)+(IF(QualitéAlimentsFaonFemelle_6_12_mois=BONNE,VLOOKUP("Seigle",AlimentsRationHivernaleDaims,6,FALSE),0)+(IF(QualitéAlimentsJeuneDaim_12_18_mois=BONNE,VLOOKUP("Seigle",AlimentsRationHivernaleDaims,5,FALSE),0)+(IF(QualitéAlimentsJeuneDaine_12_18_mois=BONNE,VLOOKUP("Seigle",AlimentsRationHivernaleDaims,5,FALSE),0)+(IF(QualitéAlimentsJeuneDaim_18_24_mois=BONNE,VLOOKUP("Seigle",AlimentsRationHivernaleDaims,4,FALSE),0)+(IF(QualitéAlimentsJeuneDaine_18_24_mois=BONNE,VLOOKUP("Seigle",AlimentsRationHivernaleDaims,4,FALSE),0)+(IF(QualitéAlimentsJeuneDaim_24_36_mois=BONNE,VLOOKUP("Seigle",AlimentsRationHivernaleDaims,3,FALSE),0)+(IF(QualitéAlimentsJeuneDaine_24_36_mois=BONNE,VLOOKUP("Seigle",AlimentsRationHivernaleDaims,3,FALSE),0)+(IF(QualitéAlimentsDaim=BONNE,VLOOKUP("Seigle",AlimentsRationHivernaleDaims,2,FALSE),0)+(IF(QualitéAlimentsDaine=BONNE,VLOOKUP("Seigle",AlimentsRationHivernaleDaims,2,FALSE),0))))))))))))))))</f>
        <v>0</v>
      </c>
      <c r="DX104" s="1267">
        <f t="array" ref="DX104">SUM((IF(QualitéAlimentsFaonMâle_0_3_mois=MOYENNE,VLOOKUP("Seigle",AlimentsRationHivernaleDaims,8,FALSE),0)+(IF(QualitéAlimentsFaonFemelle_0_3_mois=MOYENNE,VLOOKUP("Seigle",AlimentsRationHivernaleDaims,8,FALSE),0)+(IF(QualitéAlimentsFaonMâle_3_6_mois=MOYENNE,VLOOKUP("Seigle",AlimentsRationHivernaleDaims,7,FALSE),0)+(IF(QualitéAlimentsFaonFemelle_3_6_mois=MOYENNE,VLOOKUP("Seigle",AlimentsRationHivernaleDaims,7,FALSE),0)+(IF(QualitéAlimentsFaonMâle_6_12_mois=MOYENNE,VLOOKUP("Seigle",AlimentsRationHivernaleDaims,6,FALSE),0)+(IF(QualitéAlimentsFaonFemelle_6_12_mois=MOYENNE,VLOOKUP("Seigle",AlimentsRationHivernaleDaims,6,FALSE),0)+(IF(QualitéAlimentsJeuneDaim_12_18_mois=MOYENNE,VLOOKUP("Seigle",AlimentsRationHivernaleDaims,5,FALSE),0)+(IF(QualitéAlimentsJeuneDaine_12_18_mois=MOYENNE,VLOOKUP("Seigle",AlimentsRationHivernaleDaims,5,FALSE),0)+(IF(QualitéAlimentsJeuneDaim_18_24_mois=MOYENNE,VLOOKUP("Seigle",AlimentsRationHivernaleDaims,4,FALSE),0)+(IF(QualitéAlimentsJeuneDaine_18_24_mois=MOYENNE,VLOOKUP("Seigle",AlimentsRationHivernaleDaims,4,FALSE),0)+(IF(QualitéAlimentsJeuneDaim_24_36_mois=MOYENNE,VLOOKUP("Seigle",AlimentsRationHivernaleDaims,3,FALSE),0)+(IF(QualitéAlimentsJeuneDaine_24_36_mois=MOYENNE,VLOOKUP("Seigle",AlimentsRationHivernaleDaims,3,FALSE),0)+(IF(QualitéAlimentsDaim=MOYENNE,VLOOKUP("Seigle",AlimentsRationHivernaleDaims,2,FALSE),0)+(IF(QualitéAlimentsDaine=MOYENNE,VLOOKUP("Seigle",AlimentsRationHivernaleDaims,2,FALSE),0))))))))))))))))</f>
        <v>0</v>
      </c>
      <c r="DY104" s="1267">
        <f t="array" ref="DY104">SUM((IF(QualitéAlimentsFaonMâle_0_3_mois=MAUVAISE,VLOOKUP("Seigle",AlimentsRationHivernaleDaims,8,FALSE),0)+(IF(QualitéAlimentsFaonFemelle_0_3_mois=MAUVAISE,VLOOKUP("Seigle",AlimentsRationHivernaleDaims,8,FALSE),0)+(IF(QualitéAlimentsFaonMâle_3_6_mois=MAUVAISE,VLOOKUP("Seigle",AlimentsRationHivernaleDaims,7,FALSE),0)+(IF(QualitéAlimentsFaonFemelle_3_6_mois=MAUVAISE,VLOOKUP("Seigle",AlimentsRationHivernaleDaims,7,FALSE),0)+(IF(QualitéAlimentsFaonMâle_6_12_mois=MAUVAISE,VLOOKUP("Seigle",AlimentsRationHivernaleDaims,6,FALSE),0)+(IF(QualitéAlimentsFaonFemelle_6_12_mois=MAUVAISE,VLOOKUP("Seigle",AlimentsRationHivernaleDaims,6,FALSE),0)+(IF(QualitéAlimentsJeuneDaim_12_18_mois=MAUVAISE,VLOOKUP("Seigle",AlimentsRationHivernaleDaims,5,FALSE),0)+(IF(QualitéAlimentsJeuneDaine_12_18_mois=MAUVAISE,VLOOKUP("Seigle",AlimentsRationHivernaleDaims,5,FALSE),0)+(IF(QualitéAlimentsJeuneDaim_18_24_mois=MAUVAISE,VLOOKUP("Seigle",AlimentsRationHivernaleDaims,4,FALSE),0)+(IF(QualitéAlimentsJeuneDaine_18_24_mois=MAUVAISE,VLOOKUP("Seigle",AlimentsRationHivernaleDaims,4,FALSE),0)+(IF(QualitéAlimentsJeuneDaim_24_36_mois=MAUVAISE,VLOOKUP("Seigle",AlimentsRationHivernaleDaims,3,FALSE),0)+(IF(QualitéAlimentsJeuneDaine_24_36_mois=MAUVAISE,VLOOKUP("Seigle",AlimentsRationHivernaleDaims,3,FALSE),0)+(IF(QualitéAlimentsDaim=MAUVAISE,VLOOKUP("Seigle",AlimentsRationHivernaleDaims,2,FALSE),0)+(IF(QualitéAlimentsDaine=MAUVAISE,VLOOKUP("Seigle",AlimentsRationHivernaleDaims,2,FALSE),0))))))))))))))))</f>
        <v>0</v>
      </c>
      <c r="DZ104" s="1345"/>
      <c r="EA104" s="1345"/>
      <c r="EB104" s="1345"/>
      <c r="EC104" s="1345"/>
      <c r="ED104" s="1345"/>
      <c r="EE104" s="1345"/>
      <c r="EF104" s="1321"/>
      <c r="EG104" s="808" t="str">
        <f t="shared" si="31"/>
        <v>concentré jeunes porcins</v>
      </c>
      <c r="EH104" s="817">
        <f t="array" ref="EH104">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04" s="817">
        <f t="array" ref="EI104">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04" s="817">
        <f t="array" ref="EJ104">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04" s="818">
        <f>SUM(AlimentsRationOiesFemelles[[#This Row],[Valeur 6 et plus]:[Valeur 0-3]])</f>
        <v>0</v>
      </c>
      <c r="EL104" s="1345"/>
      <c r="EM104" s="1321"/>
      <c r="EN104" s="823" t="str">
        <f t="shared" si="29"/>
        <v>Ensilage d'herbe</v>
      </c>
      <c r="EO104" s="828">
        <f t="array" ref="EO104">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04" s="828">
        <f t="array" ref="EP104">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04" s="828">
        <f t="array" ref="EQ104">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04" s="829">
        <f>SUM(Ration_canards_Femelles[[#This Row],[Valeur 6 et plus]:[Valeur 0-3]])</f>
        <v>0</v>
      </c>
      <c r="ES104" s="1345"/>
      <c r="ET104" s="1321"/>
      <c r="EU104" s="1082" t="str">
        <f t="shared" si="44"/>
        <v>Blé</v>
      </c>
      <c r="EV104" s="1282">
        <f t="array" ref="EV104">IF(OR(ChoixRationComplèteEtéChevauxSelle=OUI,ChoixRationComplèteEtéChevauxSelle="",AND(ChoixChevauxSellePréHiver=OUI,ChoixChevauxSellePréEté=OUI)),0,IFERROR(IF(OR(AND(INDEX(Règles_chevaux_selle[Specificite],MATCH(RationEtéChevauxSelle&amp;$EU104,Règles_chevaux_selle[Ration]&amp;Règles_chevaux_selle[Aliment],0))="s1",IF($EU104=Spécificité1ChevauxSelle,1)),
AND(INDEX(Règles_chevaux_selle[Specificite],MATCH(RationEtéChevauxSelle&amp;$EU104,Règles_chevaux_selle[Ration]&amp;Règles_chevaux_selle[Aliment],0))="s2",IF($EU104=Spécificité2ChevauxSelle,1)),
INDEX(Règles_chevaux_selle[Specificite],MATCH(RationEtéChevauxSelle&amp;$EU104,Règles_chevaux_selle[Ration]&amp;Règles_chevaux_selle[Aliment],0))="c"),
INDEX(Règles_chevaux_selle[Valeur 36 et plus],MATCH(RationEtéChevauxSelle&amp;$EU104,Règles_chevaux_selle[Ration]&amp;Règles_chevaux_selle[Aliment],0)),0),0)*TotalJumentSelle*SUM(NbreJoursNourrirChevauxSelle))</f>
        <v>0</v>
      </c>
      <c r="EW104" s="1282">
        <f t="array" ref="EW104">IF(OR(ChoixRationComplèteEtéChevauxSelle=OUI,ChoixRationComplèteEtéChevauxSelle="",AND(ChoixChevauxSellePréHiver=OUI,ChoixChevauxSellePréEté=OUI)),0,IFERROR(IF(OR(AND(INDEX(Règles_chevaux_selle[Specificite],MATCH(RationEtéChevauxSelle&amp;$EU104,Règles_chevaux_selle[Ration]&amp;Règles_chevaux_selle[Aliment],0))="s1",IF($EU104=Spécificité1ChevauxSelle,1)),
AND(INDEX(Règles_chevaux_selle[Specificite],MATCH(RationEtéChevauxSelle&amp;$EU104,Règles_chevaux_selle[Ration]&amp;Règles_chevaux_selle[Aliment],0))="s2",IF($EU104=Spécificité2ChevauxSelle,1)),
INDEX(Règles_chevaux_selle[Specificite],MATCH(RationEtéChevauxSelle&amp;$EU104,Règles_chevaux_selle[Ration]&amp;Règles_chevaux_selle[Aliment],0))="c"),
INDEX(Règles_chevaux_selle[Valeur 24-36],MATCH(RationEtéChevauxSelle&amp;$EU104,Règles_chevaux_selle[Ration]&amp;Règles_chevaux_selle[Aliment],0)),0),0)*TotalJeuneJumentSelle_24_36_mois*SUM(NbreJoursNourrirChevauxSelle))</f>
        <v>0</v>
      </c>
      <c r="EX104" s="1282">
        <f t="array" ref="EX104">IF(OR(ChoixRationComplèteEtéChevauxSelle=OUI,ChoixRationComplèteEtéChevauxSelle="",AND(ChoixChevauxSellePréHiver=OUI,ChoixChevauxSellePréEté=OUI)),0,IFERROR(IF(OR(AND(INDEX(Règles_chevaux_selle[Specificite],MATCH(RationEtéChevauxSelle&amp;$EU104,Règles_chevaux_selle[Ration]&amp;Règles_chevaux_selle[Aliment],0))="s1",IF($EU104=Spécificité1ChevauxSelle,1)),
AND(INDEX(Règles_chevaux_selle[Specificite],MATCH(RationEtéChevauxSelle&amp;$EU104,Règles_chevaux_selle[Ration]&amp;Règles_chevaux_selle[Aliment],0))="s2",IF($EU104=Spécificité2ChevauxSelle,1)),
INDEX(Règles_chevaux_selle[Specificite],MATCH(RationEtéChevauxSelle&amp;$EU104,Règles_chevaux_selle[Ration]&amp;Règles_chevaux_selle[Aliment],0))="c"),
INDEX(Règles_chevaux_selle[Valeur 12-24],MATCH(RationEtéChevauxSelle&amp;$EU104,Règles_chevaux_selle[Ration]&amp;Règles_chevaux_selle[Aliment],0)),0),0)*TotalJeuneJumentSelle_12_24_mois*SUM(NbreJoursNourrirChevauxSelle))</f>
        <v>0</v>
      </c>
      <c r="EY104" s="1285">
        <f t="array" ref="EY104">IF(OR(ChoixRationComplèteEtéChevauxSelle=OUI,ChoixRationComplèteEtéChevauxSelle="",AND(ChoixChevauxSellePréHiver=OUI,ChoixChevauxSellePréEté=OUI)),0,IFERROR(IF(OR(AND(INDEX(Règles_chevaux_selle[Specificite],MATCH(RationEtéChevauxSelle&amp;$EU104,Règles_chevaux_selle[Ration]&amp;Règles_chevaux_selle[Aliment],0))="s1",IF($EU104=Spécificité1ChevauxSelle,1)),
AND(INDEX(Règles_chevaux_selle[Specificite],MATCH(RationEtéChevauxSelle&amp;$EU104,Règles_chevaux_selle[Ration]&amp;Règles_chevaux_selle[Aliment],0))="s2",IF($EU104=Spécificité2ChevauxSelle,1)),
INDEX(Règles_chevaux_selle[Specificite],MATCH(RationEtéChevauxSelle&amp;$EU104,Règles_chevaux_selle[Ration]&amp;Règles_chevaux_selle[Aliment],0))="c"),
INDEX(Règles_chevaux_selle[Valeur 0-12],MATCH(RationEtéChevauxSelle&amp;$EU104,Règles_chevaux_selle[Ration]&amp;Règles_chevaux_selle[Aliment],0)),0),0)*TotalPoulicheSelle_0_12_mois*SUM(NbreJoursNourrirChevauxSelle))</f>
        <v>0</v>
      </c>
      <c r="EZ104" s="1285">
        <f t="shared" si="43"/>
        <v>0</v>
      </c>
      <c r="FA104" s="1345"/>
      <c r="FB104" s="1345"/>
      <c r="FC104" s="1321"/>
      <c r="FD104" s="1082" t="str">
        <f t="shared" si="34"/>
        <v>concentré jeunes lapins</v>
      </c>
      <c r="FE104" s="1282">
        <f t="array" ref="FE104">IF(OR(ChoixRationComplèteEtéChevauxTrait=OUI,ChoixRationComplèteEtéChevauxTrait="",AND(ChoixChevauxTraitPréHiver=OUI,ChoixChevauxTraitPréEté=OUI)),0,IFERROR(IF(OR(AND(INDEX(Règles_chevaux_trait[Specificite],MATCH(RationEtéChevauxTrait&amp;$FD104,Règles_chevaux_trait[Ration]&amp;Règles_chevaux_trait[Aliment],0))="s1",IF($FD104=Spécificité1ChevauxTrait,1)),
AND(INDEX(Règles_chevaux_trait[Specificite],MATCH(RationEtéChevauxTrait&amp;$FD104,Règles_chevaux_trait[Ration]&amp;Règles_chevaux_trait[Aliment],0))="s2",IF($FD104=Spécificité2ChevauxTrait,1)),
INDEX(Règles_chevaux_trait[Specificite],MATCH(RationEtéChevauxTrait&amp;$FD104,Règles_chevaux_trait[Ration]&amp;Règles_chevaux_trait[Aliment],0))="c"),
INDEX(Règles_chevaux_trait[Valeur 36 et plus],MATCH(RationEtéChevauxTrait&amp;$FD104,Règles_chevaux_trait[Ration]&amp;Règles_chevaux_trait[Aliment],0)),0),0)*TotalJumentTrait*SUM(NbreJoursNourrirChevauxTrait))</f>
        <v>0</v>
      </c>
      <c r="FF104" s="1282">
        <f t="array" ref="FF104">IF(OR(ChoixRationComplèteEtéChevauxTrait=OUI,ChoixRationComplèteEtéChevauxTrait="",AND(ChoixChevauxTraitPréHiver=OUI,ChoixChevauxTraitPréEté=OUI)),0,IFERROR(IF(OR(AND(INDEX(Règles_chevaux_trait[Specificite],MATCH(RationEtéChevauxTrait&amp;$FD104,Règles_chevaux_trait[Ration]&amp;Règles_chevaux_trait[Aliment],0))="s1",IF($FD104=Spécificité1ChevauxTrait,1)),
AND(INDEX(Règles_chevaux_trait[Specificite],MATCH(RationEtéChevauxTrait&amp;$FD104,Règles_chevaux_trait[Ration]&amp;Règles_chevaux_trait[Aliment],0))="s2",IF($FD104=Spécificité2ChevauxTrait,1)),
INDEX(Règles_chevaux_trait[Specificite],MATCH(RationEtéChevauxTrait&amp;$FD104,Règles_chevaux_trait[Ration]&amp;Règles_chevaux_trait[Aliment],0))="c"),
INDEX(Règles_chevaux_trait[Valeur 24-36],MATCH(RationEtéChevauxTrait&amp;$FD104,Règles_chevaux_trait[Ration]&amp;Règles_chevaux_trait[Aliment],0)),0),0)*TotalJeuneJumentTrait_24_36_mois*SUM(NbreJoursNourrirChevauxTrait))</f>
        <v>0</v>
      </c>
      <c r="FG104" s="1282">
        <f t="array" ref="FG104">IF(OR(ChoixRationComplèteEtéChevauxTrait=OUI,ChoixRationComplèteEtéChevauxTrait="",AND(ChoixChevauxTraitPréHiver=OUI,ChoixChevauxTraitPréEté=OUI)),0,IFERROR(IF(OR(AND(INDEX(Règles_chevaux_trait[Specificite],MATCH(RationEtéChevauxTrait&amp;$FD104,Règles_chevaux_trait[Ration]&amp;Règles_chevaux_trait[Aliment],0))="s1",IF($FD104=Spécificité1ChevauxTrait,1)),
AND(INDEX(Règles_chevaux_trait[Specificite],MATCH(RationEtéChevauxTrait&amp;$FD104,Règles_chevaux_trait[Ration]&amp;Règles_chevaux_trait[Aliment],0))="s2",IF($FD104=Spécificité2ChevauxTrait,1)),
INDEX(Règles_chevaux_trait[Specificite],MATCH(RationEtéChevauxTrait&amp;$FD104,Règles_chevaux_trait[Ration]&amp;Règles_chevaux_trait[Aliment],0))="c"),
INDEX(Règles_chevaux_trait[Valeur 12-24],MATCH(RationEtéChevauxTrait&amp;$FD104,Règles_chevaux_trait[Ration]&amp;Règles_chevaux_trait[Aliment],0)),0),0)*TotalJeuneJumentTrait_12_24_mois*SUM(NbreJoursNourrirChevauxTrait))</f>
        <v>0</v>
      </c>
      <c r="FH104" s="1285">
        <f t="array" ref="FH104">IF(OR(ChoixRationComplèteEtéChevauxTrait=OUI,ChoixRationComplèteEtéChevauxTrait="",AND(ChoixChevauxTraitPréHiver=OUI,ChoixChevauxTraitPréEté=OUI)),0,IFERROR(IF(OR(AND(INDEX(Règles_chevaux_trait[Specificite],MATCH(RationEtéChevauxTrait&amp;$FD104,Règles_chevaux_trait[Ration]&amp;Règles_chevaux_trait[Aliment],0))="s1",IF($FD104=Spécificité1ChevauxTrait,1)),
AND(INDEX(Règles_chevaux_trait[Specificite],MATCH(RationEtéChevauxTrait&amp;$FD104,Règles_chevaux_trait[Ration]&amp;Règles_chevaux_trait[Aliment],0))="s2",IF($FD104=Spécificité2ChevauxTrait,1)),
INDEX(Règles_chevaux_trait[Specificite],MATCH(RationEtéChevauxTrait&amp;$FD104,Règles_chevaux_trait[Ration]&amp;Règles_chevaux_trait[Aliment],0))="c"),
INDEX(Règles_chevaux_trait[Valeur 0-12],MATCH(RationEtéChevauxTrait&amp;$FD104,Règles_chevaux_trait[Ration]&amp;Règles_chevaux_trait[Aliment],0)),0),0)*TotalPoulicheTrait_0_12_mois*SUM(NbreJoursNourrirChevauxTrait))</f>
        <v>0</v>
      </c>
      <c r="FI104" s="1285">
        <f t="shared" si="32"/>
        <v>0</v>
      </c>
      <c r="FJ104" s="1345"/>
      <c r="FK104" s="1345"/>
      <c r="FL104" s="1345"/>
      <c r="FM104" s="1321"/>
      <c r="FN104" s="1083" t="str">
        <f t="shared" si="33"/>
        <v>concentré jeunes porcins</v>
      </c>
      <c r="FO104" s="1283">
        <f t="array" ref="FO104">IF(OR(ChoixRationComplèteEtéPoneys=OUI,ChoixRationComplèteEtéPoneys="",AND(ChoixPoneysPréHiver=OUI,ChoixPoneysPréEté=OUI)),0,IFERROR(IF(OR(AND(INDEX(Règles_poneys[Specificite],MATCH(RationEtéPoneys&amp;$FN104,Règles_poneys[Ration]&amp;Règles_poneys[Aliment],0))="s1",IF($FN104=Spécificité1Poneys,1)),
AND(INDEX(Règles_poneys[Specificite],MATCH(RationEtéPoneys&amp;$FN104,Règles_poneys[Ration]&amp;Règles_poneys[Aliment],0))="s2",IF($FN104=Spécificité2Poneys,1)),
INDEX(Règles_poneys[Specificite],MATCH(RationEtéPoneys&amp;$FN104,Règles_poneys[Ration]&amp;Règles_poneys[Aliment],0))="c"),
INDEX(Règles_poneys[Valeur 36 et plus],MATCH(RationEtéPoneys&amp;$FN104,Règles_poneys[Ration]&amp;Règles_poneys[Aliment],0)),0),0)*TotalJumentPoney*SUM(NbreJoursNourrirPoneys))</f>
        <v>0</v>
      </c>
      <c r="FP104" s="1283">
        <f t="array" ref="FP104">IF(OR(ChoixRationComplèteEtéPoneys=OUI,ChoixRationComplèteEtéPoneys="",AND(ChoixPoneysPréHiver=OUI,ChoixPoneysPréEté=OUI)),0,IFERROR(IF(OR(AND(INDEX(Règles_poneys[Specificite],MATCH(RationEtéPoneys&amp;$FN104,Règles_poneys[Ration]&amp;Règles_poneys[Aliment],0))="s1",IF($FN104=Spécificité1Poneys,1)),
AND(INDEX(Règles_poneys[Specificite],MATCH(RationEtéPoneys&amp;$FN104,Règles_poneys[Ration]&amp;Règles_poneys[Aliment],0))="s2",IF($FN104=Spécificité2Poneys,1)),
INDEX(Règles_poneys[Specificite],MATCH(RationEtéPoneys&amp;$FN104,Règles_poneys[Ration]&amp;Règles_poneys[Aliment],0))="c"),
INDEX(Règles_poneys[Valeur 36 et plus],MATCH(RationEtéPoneys&amp;$FN104,Règles_poneys[Ration]&amp;Règles_poneys[Aliment],0)),0),0)*TotalJeuneJumentPoney_24_36_mois*SUM(NbreJoursNourrirPoneys))</f>
        <v>0</v>
      </c>
      <c r="FQ104" s="1283">
        <f t="array" ref="FQ104">IF(OR(ChoixRationComplèteEtéPoneys=OUI,ChoixRationComplèteEtéPoneys="",AND(ChoixPoneysPréHiver=OUI,ChoixPoneysPréEté=OUI)),0,IFERROR(IF(OR(AND(INDEX(Règles_poneys[Specificite],MATCH(RationEtéPoneys&amp;$FN104,Règles_poneys[Ration]&amp;Règles_poneys[Aliment],0))="s1",IF($FN104=Spécificité1Poneys,1)),
AND(INDEX(Règles_poneys[Specificite],MATCH(RationEtéPoneys&amp;$FN104,Règles_poneys[Ration]&amp;Règles_poneys[Aliment],0))="s2",IF($FN104=Spécificité2Poneys,1)),
INDEX(Règles_poneys[Specificite],MATCH(RationEtéPoneys&amp;$FN104,Règles_poneys[Ration]&amp;Règles_poneys[Aliment],0))="c"),
INDEX(Règles_poneys[Valeur 36 et plus],MATCH(RationEtéPoneys&amp;$FN104,Règles_poneys[Ration]&amp;Règles_poneys[Aliment],0)),0),0)*TotalJeuneJumentPoney_12_24_mois*SUM(NbreJoursNourrirPoneys))</f>
        <v>0</v>
      </c>
      <c r="FR104" s="1286">
        <f t="array" ref="FR104">IF(OR(ChoixRationComplèteEtéPoneys=OUI,ChoixRationComplèteEtéPoneys="",AND(ChoixPoneysPréHiver=OUI,ChoixPoneysPréEté=OUI)),0,IFERROR(IF(OR(AND(INDEX(Règles_poneys[Specificite],MATCH(RationEtéPoneys&amp;$FN104,Règles_poneys[Ration]&amp;Règles_poneys[Aliment],0))="s1",IF($FN104=Spécificité1Poneys,1)),
AND(INDEX(Règles_poneys[Specificite],MATCH(RationEtéPoneys&amp;$FN104,Règles_poneys[Ration]&amp;Règles_poneys[Aliment],0))="s2",IF($FN104=Spécificité2Poneys,1)),
INDEX(Règles_poneys[Specificite],MATCH(RationEtéPoneys&amp;$FN104,Règles_poneys[Ration]&amp;Règles_poneys[Aliment],0))="c"),
INDEX(Règles_poneys[Valeur 36 et plus],MATCH(RationEtéPoneys&amp;$FN104,Règles_poneys[Ration]&amp;Règles_poneys[Aliment],0)),0),0)*TotalPoulichePoney_0_12_mois*SUM(NbreJoursNourrirPoneys))</f>
        <v>0</v>
      </c>
      <c r="FS104" s="1286">
        <f t="shared" si="30"/>
        <v>0</v>
      </c>
      <c r="FT104" s="1345"/>
      <c r="FU104" s="1345"/>
      <c r="FV104" s="1345"/>
      <c r="FW104" s="823" t="str">
        <f t="shared" si="28"/>
        <v>Foin</v>
      </c>
      <c r="FX104" s="828">
        <f t="array" ref="FX10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04" s="828">
        <f t="array" ref="FY10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04" s="828">
        <f t="array" ref="FZ10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04" s="828">
        <f t="array" ref="GA10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04" s="829">
        <f>SUM(AlimentsGavageCanards[[#This Row],[Valeur 3 et plus]:[Valeur 0-1]])</f>
        <v>0</v>
      </c>
      <c r="GC104" s="1321"/>
      <c r="GD104" s="1321"/>
      <c r="GE104" s="1321"/>
      <c r="GF104" s="1321"/>
      <c r="GG104" s="1321" t="s">
        <v>1349</v>
      </c>
      <c r="GH104" s="1321" t="s">
        <v>1349</v>
      </c>
      <c r="GI104" s="1321" t="s">
        <v>1349</v>
      </c>
      <c r="GJ104" s="1321" t="s">
        <v>1349</v>
      </c>
      <c r="GK104" s="1321" t="s">
        <v>1349</v>
      </c>
      <c r="GL104" s="1321" t="s">
        <v>1349</v>
      </c>
      <c r="GM104" s="1321" t="s">
        <v>1349</v>
      </c>
      <c r="GN104" s="1321" t="s">
        <v>1349</v>
      </c>
      <c r="GO104" s="1321" t="s">
        <v>1349</v>
      </c>
      <c r="GP104" s="1321" t="s">
        <v>1349</v>
      </c>
      <c r="GQ104" s="1321" t="s">
        <v>1349</v>
      </c>
      <c r="GR104" s="1321" t="s">
        <v>1349</v>
      </c>
      <c r="GS104" s="1321" t="s">
        <v>1349</v>
      </c>
      <c r="GT104" s="1321" t="s">
        <v>1349</v>
      </c>
      <c r="GU104" s="1321" t="s">
        <v>1349</v>
      </c>
      <c r="GV104" s="1321" t="s">
        <v>1349</v>
      </c>
      <c r="GW104" s="1321"/>
      <c r="GX104" s="1321"/>
      <c r="GY104" s="1083" t="s">
        <v>1649</v>
      </c>
      <c r="GZ104" s="1083"/>
      <c r="HA104" s="1083"/>
      <c r="HB104" s="1086">
        <f>SUM(HB96:HB103)</f>
        <v>0</v>
      </c>
      <c r="HC104" s="1321"/>
      <c r="HD104" s="1321"/>
      <c r="HE104" s="1321"/>
      <c r="HF104" s="1321"/>
      <c r="HG104" s="1321"/>
      <c r="HH104" s="1321"/>
      <c r="HI104" s="1321"/>
      <c r="HJ104" s="1321"/>
      <c r="HK104" s="1321"/>
      <c r="HL104" s="1321"/>
      <c r="HM104" s="1321"/>
      <c r="HN104" s="1100" t="s">
        <v>1718</v>
      </c>
      <c r="HO104" s="1084" t="e">
        <f>IF(SUM((VLOOKUP(HN104,AlimentsRationBovinsMâles,9,FALSE)+VLOOKUP(HN104,AlimentsRationBovinsFemelles,9,FALSE)+VLOOKUP(HN104,BDD!BB$284:BJ$323,9,FALSE))/1000/SUM(NbreJoursNourrirBovins)*IF('semences, engrais et traitement'!I$16=OUI,42,84))&lt;0,0,SUM((VLOOKUP(HN104,AlimentsRationBovinsMâles,9,FALSE)+VLOOKUP(HN104,AlimentsRationBovinsFemelles,9,FALSE)+VLOOKUP(HN104,BDD!BB$284:BJ$323,9,FALSE))/1000/SUM(NbreJoursNourrirBovins)*IF('semences, engrais et traitement'!I$16=OUI,42,84)))</f>
        <v>#DIV/0!</v>
      </c>
      <c r="HP104" s="1084">
        <f t="shared" si="36"/>
        <v>0</v>
      </c>
      <c r="HQ104" s="1084" t="e">
        <f>IF(SUM(VLOOKUP(HN104,AlimentsRationPorcinsMâles[],7,FALSE)+VLOOKUP(HN104,AlimentsRationPorcinsFemelles[],7,FALSE))/1000/SUM(NbreJoursNourrirAutres)*84&lt;0,0,SUM(VLOOKUP(HN104,AlimentsRationPorcinsMâles[],7,FALSE)+VLOOKUP(HN104,AlimentsRationPorcinsFemelles[],7,FALSE)/1000/SUM(NbreJoursNourrirAutres)*84))</f>
        <v>#DIV/0!</v>
      </c>
      <c r="HR104" s="1084" t="e">
        <f>IF(SUM(VLOOKUP(HN104,AlimentsRationCaprinsMâles,6,FALSE)+VLOOKUP(HN104,AlimentsRationCaprinsFemelles,6,FALSE))/1000/SUM(NbreJoursNourrirCaprins)*IF('semences, engrais et traitement'!I$17=OUI,42,84)&lt;0,0,SUM(VLOOKUP(HN104,AlimentsRationCaprinsMâles,6,FALSE)+VLOOKUP(HN104,AlimentsRationCaprinsFemelles,6,FALSE))/1000/SUM(NbreJoursNourrirCaprins)*IF('semences, engrais et traitement'!I$17=OUI,42,84))</f>
        <v>#DIV/0!</v>
      </c>
      <c r="HS104" s="1084" t="e">
        <f>IF(SUM(VLOOKUP(HN104,AlimentsRationVolaillesMâles[],5,FALSE)+VLOOKUP(HN104,AlimentsRationVolaillesFemelles[],5,FALSE))/1000/SUM(NbreJoursNourrirAutres)*84&lt;0,0,SUM(VLOOKUP(HN104,AlimentsRationVolaillesMâles[],5,FALSE)+VLOOKUP(HN104,AlimentsRationVolaillesFemelles[],5,FALSE)/1000/SUM(NbreJoursNourrirAutres)*84))</f>
        <v>#DIV/0!</v>
      </c>
      <c r="HT104" s="1084" t="e">
        <f>IF(SUM(VLOOKUP(HN104,AlimentsRationPintadesMâles[],5,FALSE)+VLOOKUP(HN104,AlimentsRationPintadesFemelles[],5,FALSE))/1000/SUM(NbreJoursNourrirAutres)*84&lt;0,0,SUM(VLOOKUP(HN104,AlimentsRationPintadesMâles[],5,FALSE)+VLOOKUP(HN104,AlimentsRationPintadesFemelles[],5,FALSE)/1000/SUM(NbreJoursNourrirAutres)*84))</f>
        <v>#DIV/0!</v>
      </c>
      <c r="HU104" s="1084" t="e">
        <f>IF(SUM(VLOOKUP(HN104,AlimentsRationLapinsMâles[],5,FALSE)+VLOOKUP(HN104,AlimentsRationLapinsFemelles[],5,FALSE))/1000/SUM(NbreJoursNourrirAutres)*84&lt;0,0,SUM(VLOOKUP(HN104,AlimentsRationLapinsMâles[],5,FALSE)+VLOOKUP(HN104,AlimentsRationLapinsFemelles[],5,FALSE)/1000/SUM(NbreJoursNourrirAutres)*84))</f>
        <v>#DIV/0!</v>
      </c>
      <c r="HV104" s="1084" t="e">
        <f>IF(SUM(VLOOKUP(HN104,AlimentsRationOvinsMâles,6,FALSE)+VLOOKUP(HN104,AlimentsRationOvinsFemelles,6,FALSE))/1000/SUM(NbreJoursNourrirOvins)*IF('semences, engrais et traitement'!I$18=OUI,42,84)&lt;0,0,SUM(VLOOKUP(HN104,AlimentsRationOvinsMâles,6,FALSE)+VLOOKUP(HN104,AlimentsRationOvinsFemelles,6,FALSE))/1000/SUM(NbreJoursNourrirOvins)*IF('semences, engrais et traitement'!I$18=OUI,42,84))</f>
        <v>#DIV/0!</v>
      </c>
      <c r="HW104" s="1084" t="e">
        <f>IF(SUM(VLOOKUP(HN104,AlimentsRationOiesMâles[],5,FALSE)+VLOOKUP(HN104,AlimentsRationOiesFemelles[],5,FALSE))/1000/SUM(NbreJoursNourrirAutres)*84&lt;0,0,SUM(VLOOKUP(HN104,AlimentsRationOiesMâles[],5,FALSE)+VLOOKUP(HN104,AlimentsRationOiesFemelles[],5,FALSE)/1000/SUM(NbreJoursNourrirAutres)*84))</f>
        <v>#DIV/0!</v>
      </c>
      <c r="HX104" s="1084" t="e">
        <f t="shared" si="37"/>
        <v>#DIV/0!</v>
      </c>
      <c r="HY104" s="1084" t="e">
        <f>IF(SUM(VLOOKUP(HN104,AlimentsRationEcurieChevauxMâlesSelle,6,FALSE)+VLOOKUP(HN104,AlimentsRationEcurieChevauxFemellesSelle,6,FALSE))/1000/SUM(NbreJoursNourrirChevauxSelle)*IF('semences, engrais et traitement'!M$16=OUI,56,84)&lt;0,0,SUM(VLOOKUP(HN104,AlimentsRationEcurieChevauxMâlesSelle,6,FALSE)+VLOOKUP(HN104,AlimentsRationEcurieChevauxFemellesSelle,6,FALSE))/1000/SUM(NbreJoursNourrirChevauxSelle)*IF('semences, engrais et traitement'!M$16=OUI,56,84))</f>
        <v>#DIV/0!</v>
      </c>
      <c r="HZ104" s="1084" t="e">
        <f>IF(SUM(VLOOKUP(HN104,AlimentsRationEcurieChevauxMâlesTrait,6,FALSE)+VLOOKUP(HN104,AlimentsRationEcurieChevauxFemellesTrait,6,FALSE))/1000/SUM(NbreJoursNourrirChevauxTrait)*IF('semences, engrais et traitement'!M$17=OUI,56,84)&lt;0,0,SUM(VLOOKUP(HN104,AlimentsRationEcurieChevauxMâlesTrait,6,FALSE)+VLOOKUP(HN104,AlimentsRationEcurieChevauxFemellesTrait,6,FALSE))/1000/SUM(NbreJoursNourrirChevauxTrait)*IF('semences, engrais et traitement'!M$17=OUI,56,84))</f>
        <v>#DIV/0!</v>
      </c>
      <c r="IA104" s="1084" t="e">
        <f>IF(SUM(VLOOKUP(HN104,AlimentsRationEcuriePoneysMâles,6,FALSE)+VLOOKUP(HN104,AlimentsRationEcuriePoneysFemelles,6,FALSE))/1000/SUM(NbreJoursNourrirPoneys)*IF('semences, engrais et traitement'!M$18=OUI,56,84)&lt;0,0,SUM(VLOOKUP(HN104,AlimentsRationEcuriePoneysMâles,6,FALSE)+VLOOKUP(HN104,AlimentsRationEcuriePoneysFemelles,6,FALSE))/1000/SUM(NbreJoursNourrirPoneys)*IF('semences, engrais et traitement'!M$18=OUI,56,84))</f>
        <v>#DIV/0!</v>
      </c>
      <c r="IB104" s="1100" t="e">
        <f t="shared" si="38"/>
        <v>#DIV/0!</v>
      </c>
      <c r="IC104" s="1321"/>
      <c r="ID104" s="1321"/>
      <c r="IE104" s="1321"/>
      <c r="IF104" s="1321"/>
      <c r="IG104" s="1321"/>
      <c r="IH104" s="1321"/>
      <c r="II104" s="1321"/>
      <c r="IJ104" s="1321"/>
      <c r="IK104" s="1321"/>
      <c r="IL104" s="1321"/>
      <c r="IM104" s="1321"/>
      <c r="IN104" s="1368"/>
    </row>
    <row r="105" spans="1:248" ht="12.75" customHeight="1" x14ac:dyDescent="0.2">
      <c r="A105" s="1307" t="s">
        <v>147</v>
      </c>
      <c r="B105" s="1241">
        <f t="shared" si="39"/>
        <v>1E-3</v>
      </c>
      <c r="C105" s="1321"/>
      <c r="D105" s="1321"/>
      <c r="E105" s="1321"/>
      <c r="F105" s="1143" t="s">
        <v>64</v>
      </c>
      <c r="G105" s="1244" t="s">
        <v>1197</v>
      </c>
      <c r="H105" s="1244" t="s">
        <v>1210</v>
      </c>
      <c r="I105" s="1244" t="s">
        <v>1210</v>
      </c>
      <c r="J105" s="1244" t="s">
        <v>1210</v>
      </c>
      <c r="K105" s="1244" t="s">
        <v>1167</v>
      </c>
      <c r="L105" s="1244" t="s">
        <v>1167</v>
      </c>
      <c r="M105" s="1321"/>
      <c r="N105" s="1321"/>
      <c r="O105" s="1321"/>
      <c r="P105" s="1321"/>
      <c r="Q105" s="1321"/>
      <c r="R105" s="1321"/>
      <c r="S105" s="1321"/>
      <c r="T105" s="1321"/>
      <c r="U105" s="1321"/>
      <c r="V105" s="1321"/>
      <c r="W105" s="1321"/>
      <c r="X105" s="1321"/>
      <c r="Y105" s="1321"/>
      <c r="Z105" s="1321"/>
      <c r="AA105" s="1321"/>
      <c r="AB105" s="1321"/>
      <c r="AC105" s="1321"/>
      <c r="AD105" s="1321"/>
      <c r="AE105" s="1321"/>
      <c r="AF105" s="1321"/>
      <c r="AG105" s="1321"/>
      <c r="AH105" s="1321"/>
      <c r="AI105" s="1321"/>
      <c r="AJ105" s="1321"/>
      <c r="AK105" s="1321"/>
      <c r="AL105" s="1321"/>
      <c r="AM105" s="1321"/>
      <c r="AN105" s="1321"/>
      <c r="AO105" s="1321"/>
      <c r="AP105" s="1321"/>
      <c r="AQ105" s="1321"/>
      <c r="AR105" s="1321"/>
      <c r="AS105" s="1321"/>
      <c r="AT105" s="1321"/>
      <c r="AU105" s="1321"/>
      <c r="AV105" s="1321"/>
      <c r="AW105" s="1321"/>
      <c r="AX105" s="1321"/>
      <c r="AY105" s="1321"/>
      <c r="AZ105" s="1321"/>
      <c r="BA105" s="1321"/>
      <c r="BB105" s="1236" t="s">
        <v>729</v>
      </c>
      <c r="BC105" s="1190" t="s">
        <v>1271</v>
      </c>
      <c r="BD105" s="1190" t="s">
        <v>1252</v>
      </c>
      <c r="BE105" s="1237">
        <v>1</v>
      </c>
      <c r="BF105" s="1237">
        <v>0.8</v>
      </c>
      <c r="BG105" s="1237">
        <v>0.6</v>
      </c>
      <c r="BH105" s="1237">
        <v>0.4</v>
      </c>
      <c r="BI105" s="1237">
        <v>0.4</v>
      </c>
      <c r="BJ105" s="1237">
        <v>0.4</v>
      </c>
      <c r="BK105" s="1238">
        <v>0</v>
      </c>
      <c r="BL105" s="1348"/>
      <c r="BM105" s="1076" t="str">
        <f t="shared" si="23"/>
        <v>Triticale</v>
      </c>
      <c r="BN105" s="1076">
        <f t="array" ref="BN105">IF(Ration_hivernale_complète_bisons[somme]&gt;0,0,IFERROR(IF(OR(AND(INDEX(Règles_bison[Specificite],MATCH(ChoixRationBisons&amp;$BM105,Règles_bison[Ration]&amp;Règles_bison[Aliment],0))="s1",IF($BM105=ChoixSpécificité1Bisons,1)),
AND(INDEX(Règles_bison[Specificite],MATCH(ChoixRationBisons&amp;$BM105,Règles_bison[Ration]&amp;Règles_bison[Aliment],0))="s2",IF($BM105=ChoixSpécificité2Bisons,1)),INDEX(Règles_bison[Specificite],MATCH(ChoixRationBisons&amp;$BM105,Règles_bison[Ration]&amp;Règles_bison[Aliment],0))="c"),
INDEX(Règles_bison[Valeur 36 et plus],MATCH(ChoixRationBisons&amp;$BM105,Règles_bison[Ration]&amp;Règles_bison[Aliment],0)),0),0)*TotalBisonnes*SUM(NbreJoursNourrirBisonsDaims))</f>
        <v>0</v>
      </c>
      <c r="BO105" s="1076">
        <f t="array" ref="BO105">IF(Ration_hivernale_complète_bisons[somme]&gt;0,0,IFERROR(IF(OR(AND(INDEX(Règles_bison[Specificite],MATCH(ChoixRationBisons&amp;$BM105,Règles_bison[Ration]&amp;Règles_bison[Aliment],0))="s1",IF($BM105=ChoixSpécificité1Bisons,1)),
AND(INDEX(Règles_bison[Specificite],MATCH(ChoixRationBisons&amp;$BM105,Règles_bison[Ration]&amp;Règles_bison[Aliment],0))="s2",IF($BM105=ChoixSpécificité2Bisons,1)),INDEX(Règles_bison[Specificite],MATCH(ChoixRationBisons&amp;$BM105,Règles_bison[Ration]&amp;Règles_bison[Aliment],0))="c"),
INDEX(Règles_bison[Valeur 24-36],MATCH(ChoixRationBisons&amp;$BM105,Règles_bison[Ration]&amp;Règles_bison[Aliment],0)),0),0)*TotalBisonsFemelles_24_36_mois*SUM(NbreJoursNourrirBisonsDaims))</f>
        <v>0</v>
      </c>
      <c r="BP105" s="1076">
        <f t="array" ref="BP105">IF(Ration_hivernale_complète_bisons[somme]&gt;0,0,IFERROR(IF(OR(AND(INDEX(Règles_bison[Specificite],MATCH(ChoixRationBisons&amp;$BM105,Règles_bison[Ration]&amp;Règles_bison[Aliment],0))="s1",IF($BM105=ChoixSpécificité1Bisons,1)),
AND(INDEX(Règles_bison[Specificite],MATCH(ChoixRationBisons&amp;$BM105,Règles_bison[Ration]&amp;Règles_bison[Aliment],0))="s2",IF($BM105=ChoixSpécificité2Bisons,1)),INDEX(Règles_bison[Specificite],MATCH(ChoixRationBisons&amp;$BM105,Règles_bison[Ration]&amp;Règles_bison[Aliment],0))="c"),
INDEX(Règles_bison[Valeur 18-24],MATCH(ChoixRationBisons&amp;$BM105,Règles_bison[Ration]&amp;Règles_bison[Aliment],0)),0),0)*TotalBisonsFemelles_18_24_mois*SUM(NbreJoursNourrirBisonsDaims))</f>
        <v>0</v>
      </c>
      <c r="BQ105" s="1076">
        <f t="array" ref="BQ105">IF(Ration_hivernale_complète_bisons[somme]&gt;0,0,IFERROR(IF(OR(AND(INDEX(Règles_bison[Specificite],MATCH(ChoixRationBisons&amp;$BM105,Règles_bison[Ration]&amp;Règles_bison[Aliment],0))="s1",IF($BM105=ChoixSpécificité1Bisons,1)),
AND(INDEX(Règles_bison[Specificite],MATCH(ChoixRationBisons&amp;$BM105,Règles_bison[Ration]&amp;Règles_bison[Aliment],0))="s2",IF($BM105=ChoixSpécificité2Bisons,1)),INDEX(Règles_bison[Specificite],MATCH(ChoixRationBisons&amp;$BM105,Règles_bison[Ration]&amp;Règles_bison[Aliment],0))="c"),
INDEX(Règles_bison[Valeur 12-18],MATCH(ChoixRationBisons&amp;$BM105,Règles_bison[Ration]&amp;Règles_bison[Aliment],0)),0),0)*TotalBisonsFemelles_12_18_mois*SUM(NbreJoursNourrirBisonsDaims))</f>
        <v>0</v>
      </c>
      <c r="BR105" s="1076">
        <f t="array" ref="BR105">IF(Ration_hivernale_complète_bisons[somme]&gt;0,0,IFERROR(IF(OR(AND(INDEX(Règles_bison[Specificite],MATCH(ChoixRationBisons&amp;$BM105,Règles_bison[Ration]&amp;Règles_bison[Aliment],0))="s1",IF($BM105=ChoixSpécificité1Bisons,1)),
AND(INDEX(Règles_bison[Specificite],MATCH(ChoixRationBisons&amp;$BM105,Règles_bison[Ration]&amp;Règles_bison[Aliment],0))="s2",IF($BM105=ChoixSpécificité2Bisons,1)),INDEX(Règles_bison[Specificite],MATCH(ChoixRationBisons&amp;$BM105,Règles_bison[Ration]&amp;Règles_bison[Aliment],0))="c"),
INDEX(Règles_bison[Valeur 6-12],MATCH(ChoixRationBisons&amp;$BM105,Règles_bison[Ration]&amp;Règles_bison[Aliment],0)),0),0)*TotalBisonsFemelles_6_12_mois*SUM(NbreJoursNourrirBisonsDaims))</f>
        <v>0</v>
      </c>
      <c r="BS105" s="1076">
        <f t="array" ref="BS105">IF(Ration_hivernale_complète_bisons[somme]&gt;0,0,IFERROR(IF(OR(AND(INDEX(Règles_bison[Specificite],MATCH(ChoixRationBisons&amp;$BM105,Règles_bison[Ration]&amp;Règles_bison[Aliment],0))="s1",IF($BM105=ChoixSpécificité1Bisons,1)),
AND(INDEX(Règles_bison[Specificite],MATCH(ChoixRationBisons&amp;$BM105,Règles_bison[Ration]&amp;Règles_bison[Aliment],0))="s2",IF($BM105=ChoixSpécificité2Bisons,1)),INDEX(Règles_bison[Specificite],MATCH(ChoixRationBisons&amp;$BM105,Règles_bison[Ration]&amp;Règles_bison[Aliment],0))="c"),
INDEX(Règles_bison[Valeur 3-6],MATCH(ChoixRationBisons&amp;$BM105,Règles_bison[Ration]&amp;Règles_bison[Aliment],0)),0),0)*TotalBisonsFemelles_3_6_mois*SUM(NbreJoursNourrirBisonsDaims))</f>
        <v>0</v>
      </c>
      <c r="BT105" s="1076">
        <f t="array" ref="BT105">IF(Ration_hivernale_complète_bisons[somme]&gt;0,0,IFERROR(IF(OR(AND(INDEX(Règles_bison[Specificite],MATCH(ChoixRationBisons&amp;$BM105,Règles_bison[Ration]&amp;Règles_bison[Aliment],0))="s1",IF($BM105=ChoixSpécificité1Bisons,1)),
AND(INDEX(Règles_bison[Specificite],MATCH(ChoixRationBisons&amp;$BM105,Règles_bison[Ration]&amp;Règles_bison[Aliment],0))="s2",IF($BM105=ChoixSpécificité2Bisons,1)),INDEX(Règles_bison[Specificite],MATCH(ChoixRationBisons&amp;$BM105,Règles_bison[Ration]&amp;Règles_bison[Aliment],0))="c"),
INDEX(Règles_bison[Valeur 0-3],MATCH(ChoixRationBisons&amp;$BM105,Règles_bison[Ration]&amp;Règles_bison[Aliment],0)),0),0)*TotalBisonsFemelles_0_3_mois*SUM(NbreJoursNourrirBisonsDaims))</f>
        <v>0</v>
      </c>
      <c r="BU105" s="1275">
        <f t="shared" si="22"/>
        <v>0</v>
      </c>
      <c r="BV105" s="1346"/>
      <c r="BW105" s="1346"/>
      <c r="BX105" s="1272" t="s">
        <v>1276</v>
      </c>
      <c r="BY105" s="1079" t="s">
        <v>1280</v>
      </c>
      <c r="BZ105" s="1079" t="s">
        <v>1257</v>
      </c>
      <c r="CA105" s="1079" t="s">
        <v>1256</v>
      </c>
      <c r="CB105" s="1079" t="s">
        <v>1255</v>
      </c>
      <c r="CC105" s="1079" t="s">
        <v>1269</v>
      </c>
      <c r="CD105" s="1345"/>
      <c r="CE105" s="1345"/>
      <c r="CF105" s="1345"/>
      <c r="CG105" s="1345"/>
      <c r="CH105" s="1321"/>
      <c r="CI105" s="1321"/>
      <c r="CJ105" s="808" t="str">
        <f t="shared" si="26"/>
        <v>Maïs ensilé</v>
      </c>
      <c r="CK105" s="788">
        <f t="array" ref="CK10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05" s="788">
        <f t="array" ref="CL10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05" s="788">
        <f t="array" ref="CM10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05" s="788">
        <f t="array" ref="CN10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05" s="788">
        <f t="array" ref="CO10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05" s="812">
        <f>SUM(AlimentsRationPorcinsFemelles[[#This Row],[Valeur 12 et plus]:[Valeur 0-1]])</f>
        <v>0</v>
      </c>
      <c r="CQ105" s="1345"/>
      <c r="CR105" s="1321"/>
      <c r="CS105" s="808" t="str">
        <f t="shared" si="40"/>
        <v>Colza</v>
      </c>
      <c r="CT105" s="817">
        <f t="array" ref="CT10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05" s="817">
        <f t="array" ref="CU10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05" s="817">
        <f t="array" ref="CV10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05" s="818">
        <f>SUM(AlimentsRationLapinsFemelles[[#This Row],[Valeur 3 et plus]:[Valeur 0-1]])</f>
        <v>0</v>
      </c>
      <c r="CX105" s="1321"/>
      <c r="CY105" s="1321"/>
      <c r="CZ105" s="808" t="str">
        <f t="shared" si="41"/>
        <v>Colza</v>
      </c>
      <c r="DA105" s="817">
        <f t="array" ref="DA10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05" s="817">
        <f t="array" ref="DB10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05" s="817">
        <f t="array" ref="DC10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05" s="818">
        <f>SUM(AlimentsRationVolaillesFemelles[[#This Row],[Valeur 6 et plus]:[Valeur 0-1]])</f>
        <v>0</v>
      </c>
      <c r="DE105" s="1321"/>
      <c r="DF105" s="1321"/>
      <c r="DG105" s="788" t="str">
        <f t="shared" si="27"/>
        <v>Haricot vert</v>
      </c>
      <c r="DH105" s="817">
        <f t="array" ref="DH10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05" s="817">
        <f t="array" ref="DI10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05" s="817">
        <f t="array" ref="DJ10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05" s="821">
        <f>SUM(AlimentsRationPintadesFemelles[[#This Row],[Valeur 6 et plus]:[Valeur 0-1]])</f>
        <v>0</v>
      </c>
      <c r="DL105" s="1321"/>
      <c r="DM105" s="1321"/>
      <c r="DN105" s="1176" t="s">
        <v>729</v>
      </c>
      <c r="DO105" s="1177" t="s">
        <v>1271</v>
      </c>
      <c r="DP105" s="1177" t="s">
        <v>1252</v>
      </c>
      <c r="DQ105" s="1181">
        <v>0.14000000000000001</v>
      </c>
      <c r="DR105" s="1181">
        <v>0.08</v>
      </c>
      <c r="DS105" s="1181">
        <v>0.04</v>
      </c>
      <c r="DT105" s="1243">
        <v>0.04</v>
      </c>
      <c r="DU105" s="1345"/>
      <c r="DV105" s="1075" t="str">
        <f t="shared" si="24"/>
        <v>Soja</v>
      </c>
      <c r="DW105" s="1269">
        <f t="array" ref="DW105">SUM((IF(QualitéAlimentsFaonMâle_0_3_mois=BONNE,VLOOKUP("Soja",AlimentsRationHivernaleDaims,8,FALSE),0)+(IF(QualitéAlimentsFaonFemelle_0_3_mois=BONNE,VLOOKUP("Soja",AlimentsRationHivernaleDaims,8,FALSE),0)+(IF(QualitéAlimentsFaonMâle_3_6_mois=BONNE,VLOOKUP("Soja",AlimentsRationHivernaleDaims,7,FALSE),0)+(IF(QualitéAlimentsFaonFemelle_3_6_mois=BONNE,VLOOKUP("Soja",AlimentsRationHivernaleDaims,7,FALSE),0)+(IF(QualitéAlimentsFaonMâle_6_12_mois=BONNE,VLOOKUP("Soja",AlimentsRationHivernaleDaims,6,FALSE),0)+(IF(QualitéAlimentsFaonFemelle_6_12_mois=BONNE,VLOOKUP("Soja",AlimentsRationHivernaleDaims,6,FALSE),0)+(IF(QualitéAlimentsJeuneDaim_12_18_mois=BONNE,VLOOKUP("Soja",AlimentsRationHivernaleDaims,5,FALSE),0)+(IF(QualitéAlimentsJeuneDaine_12_18_mois=BONNE,VLOOKUP("Soja",AlimentsRationHivernaleDaims,5,FALSE),0)+(IF(QualitéAlimentsJeuneDaim_18_24_mois=BONNE,VLOOKUP("Soja",AlimentsRationHivernaleDaims,4,FALSE),0)+(IF(QualitéAlimentsJeuneDaine_18_24_mois=BONNE,VLOOKUP("Soja",AlimentsRationHivernaleDaims,4,FALSE),0)+(IF(QualitéAlimentsJeuneDaim_24_36_mois=BONNE,VLOOKUP("Soja",AlimentsRationHivernaleDaims,3,FALSE),0)+(IF(QualitéAlimentsJeuneDaine_24_36_mois=BONNE,VLOOKUP("Soja",AlimentsRationHivernaleDaims,3,FALSE),0)+(IF(QualitéAlimentsDaim=BONNE,VLOOKUP("Soja",AlimentsRationHivernaleDaims,2,FALSE),0)+(IF(QualitéAlimentsDaine=BONNE,VLOOKUP("Soja",AlimentsRationHivernaleDaims,2,FALSE),0))))))))))))))))</f>
        <v>0</v>
      </c>
      <c r="DX105" s="1269">
        <f t="array" ref="DX105">SUM((IF(QualitéAlimentsFaonMâle_0_3_mois=MOYENNE,VLOOKUP("Soja",AlimentsRationHivernaleDaims,8,FALSE),0)+(IF(QualitéAlimentsFaonFemelle_0_3_mois=MOYENNE,VLOOKUP("Soja",AlimentsRationHivernaleDaims,8,FALSE),0)+(IF(QualitéAlimentsFaonMâle_3_6_mois=MOYENNE,VLOOKUP("Soja",AlimentsRationHivernaleDaims,7,FALSE),0)+(IF(QualitéAlimentsFaonFemelle_3_6_mois=MOYENNE,VLOOKUP("Soja",AlimentsRationHivernaleDaims,7,FALSE),0)+(IF(QualitéAlimentsFaonMâle_6_12_mois=MOYENNE,VLOOKUP("Soja",AlimentsRationHivernaleDaims,6,FALSE),0)+(IF(QualitéAlimentsFaonFemelle_6_12_mois=MOYENNE,VLOOKUP("Soja",AlimentsRationHivernaleDaims,6,FALSE),0)+(IF(QualitéAlimentsJeuneDaim_12_18_mois=MOYENNE,VLOOKUP("Soja",AlimentsRationHivernaleDaims,5,FALSE),0)+(IF(QualitéAlimentsJeuneDaine_12_18_mois=MOYENNE,VLOOKUP("Soja",AlimentsRationHivernaleDaims,5,FALSE),0)+(IF(QualitéAlimentsJeuneDaim_18_24_mois=MOYENNE,VLOOKUP("Soja",AlimentsRationHivernaleDaims,4,FALSE),0)+(IF(QualitéAlimentsJeuneDaine_18_24_mois=MOYENNE,VLOOKUP("Soja",AlimentsRationHivernaleDaims,4,FALSE),0)+(IF(QualitéAlimentsJeuneDaim_24_36_mois=MOYENNE,VLOOKUP("Soja",AlimentsRationHivernaleDaims,3,FALSE),0)+(IF(QualitéAlimentsJeuneDaine_24_36_mois=MOYENNE,VLOOKUP("Soja",AlimentsRationHivernaleDaims,3,FALSE),0)+(IF(QualitéAlimentsDaim=MOYENNE,VLOOKUP("Soja",AlimentsRationHivernaleDaims,2,FALSE),0)+(IF(QualitéAlimentsDaine=MOYENNE,VLOOKUP("Soja",AlimentsRationHivernaleDaims,2,FALSE),0))))))))))))))))</f>
        <v>0</v>
      </c>
      <c r="DY105" s="1269">
        <f t="array" ref="DY105">SUM((IF(QualitéAlimentsFaonMâle_0_3_mois=MAUVAISE,VLOOKUP("Soja",AlimentsRationHivernaleDaims,8,FALSE),0)+(IF(QualitéAlimentsFaonFemelle_0_3_mois=MAUVAISE,VLOOKUP("Soja",AlimentsRationHivernaleDaims,8,FALSE),0)+(IF(QualitéAlimentsFaonMâle_3_6_mois=MAUVAISE,VLOOKUP("Soja",AlimentsRationHivernaleDaims,7,FALSE),0)+(IF(QualitéAlimentsFaonFemelle_3_6_mois=MAUVAISE,VLOOKUP("Soja",AlimentsRationHivernaleDaims,7,FALSE),0)+(IF(QualitéAlimentsFaonMâle_6_12_mois=MAUVAISE,VLOOKUP("Soja",AlimentsRationHivernaleDaims,6,FALSE),0)+(IF(QualitéAlimentsFaonFemelle_6_12_mois=MAUVAISE,VLOOKUP("Soja",AlimentsRationHivernaleDaims,6,FALSE),0)+(IF(QualitéAlimentsJeuneDaim_12_18_mois=MAUVAISE,VLOOKUP("Soja",AlimentsRationHivernaleDaims,5,FALSE),0)+(IF(QualitéAlimentsJeuneDaine_12_18_mois=MAUVAISE,VLOOKUP("Soja",AlimentsRationHivernaleDaims,5,FALSE),0)+(IF(QualitéAlimentsJeuneDaim_18_24_mois=MAUVAISE,VLOOKUP("Soja",AlimentsRationHivernaleDaims,4,FALSE),0)+(IF(QualitéAlimentsJeuneDaine_18_24_mois=MAUVAISE,VLOOKUP("Soja",AlimentsRationHivernaleDaims,4,FALSE),0)+(IF(QualitéAlimentsJeuneDaim_24_36_mois=MAUVAISE,VLOOKUP("Soja",AlimentsRationHivernaleDaims,3,FALSE),0)+(IF(QualitéAlimentsJeuneDaine_24_36_mois=MAUVAISE,VLOOKUP("Soja",AlimentsRationHivernaleDaims,3,FALSE),0)+(IF(QualitéAlimentsDaim=MAUVAISE,VLOOKUP("Soja",AlimentsRationHivernaleDaims,2,FALSE),0)+(IF(QualitéAlimentsDaine=MAUVAISE,VLOOKUP("Soja",AlimentsRationHivernaleDaims,2,FALSE),0))))))))))))))))</f>
        <v>0</v>
      </c>
      <c r="DZ105" s="1345"/>
      <c r="EA105" s="1345"/>
      <c r="EB105" s="1345"/>
      <c r="EC105" s="1345"/>
      <c r="ED105" s="1345"/>
      <c r="EE105" s="1345"/>
      <c r="EF105" s="1321"/>
      <c r="EG105" s="808" t="str">
        <f t="shared" si="31"/>
        <v>Ensilage d'herbe</v>
      </c>
      <c r="EH105" s="817">
        <f t="array" ref="EH10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05" s="817">
        <f t="array" ref="EI10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05" s="817">
        <f t="array" ref="EJ10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05" s="818">
        <f>SUM(AlimentsRationOiesFemelles[[#This Row],[Valeur 6 et plus]:[Valeur 0-3]])</f>
        <v>0</v>
      </c>
      <c r="EL105" s="1345"/>
      <c r="EM105" s="1321"/>
      <c r="EN105" s="823" t="str">
        <f t="shared" si="29"/>
        <v>Eau</v>
      </c>
      <c r="EO105" s="828">
        <f t="array" ref="EO105">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05" s="828">
        <f t="array" ref="EP105">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05" s="828">
        <f t="array" ref="EQ105">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05" s="829">
        <f>SUM(Ration_canards_Femelles[[#This Row],[Valeur 6 et plus]:[Valeur 0-3]])</f>
        <v>0</v>
      </c>
      <c r="ES105" s="1345"/>
      <c r="ET105" s="1321"/>
      <c r="EU105" s="1083" t="str">
        <f t="shared" si="44"/>
        <v>Bouchons luzerne</v>
      </c>
      <c r="EV105" s="1283">
        <f t="array" ref="EV105">IF(OR(ChoixRationComplèteEtéChevauxSelle=OUI,ChoixRationComplèteEtéChevauxSelle="",AND(ChoixChevauxSellePréHiver=OUI,ChoixChevauxSellePréEté=OUI)),0,IFERROR(IF(OR(AND(INDEX(Règles_chevaux_selle[Specificite],MATCH(RationEtéChevauxSelle&amp;$EU105,Règles_chevaux_selle[Ration]&amp;Règles_chevaux_selle[Aliment],0))="s1",IF($EU105=Spécificité1ChevauxSelle,1)),
AND(INDEX(Règles_chevaux_selle[Specificite],MATCH(RationEtéChevauxSelle&amp;$EU105,Règles_chevaux_selle[Ration]&amp;Règles_chevaux_selle[Aliment],0))="s2",IF($EU105=Spécificité2ChevauxSelle,1)),
INDEX(Règles_chevaux_selle[Specificite],MATCH(RationEtéChevauxSelle&amp;$EU105,Règles_chevaux_selle[Ration]&amp;Règles_chevaux_selle[Aliment],0))="c"),
INDEX(Règles_chevaux_selle[Valeur 36 et plus],MATCH(RationEtéChevauxSelle&amp;$EU105,Règles_chevaux_selle[Ration]&amp;Règles_chevaux_selle[Aliment],0)),0),0)*TotalJumentSelle*SUM(NbreJoursNourrirChevauxSelle))</f>
        <v>0</v>
      </c>
      <c r="EW105" s="1283">
        <f t="array" ref="EW105">IF(OR(ChoixRationComplèteEtéChevauxSelle=OUI,ChoixRationComplèteEtéChevauxSelle="",AND(ChoixChevauxSellePréHiver=OUI,ChoixChevauxSellePréEté=OUI)),0,IFERROR(IF(OR(AND(INDEX(Règles_chevaux_selle[Specificite],MATCH(RationEtéChevauxSelle&amp;$EU105,Règles_chevaux_selle[Ration]&amp;Règles_chevaux_selle[Aliment],0))="s1",IF($EU105=Spécificité1ChevauxSelle,1)),
AND(INDEX(Règles_chevaux_selle[Specificite],MATCH(RationEtéChevauxSelle&amp;$EU105,Règles_chevaux_selle[Ration]&amp;Règles_chevaux_selle[Aliment],0))="s2",IF($EU105=Spécificité2ChevauxSelle,1)),
INDEX(Règles_chevaux_selle[Specificite],MATCH(RationEtéChevauxSelle&amp;$EU105,Règles_chevaux_selle[Ration]&amp;Règles_chevaux_selle[Aliment],0))="c"),
INDEX(Règles_chevaux_selle[Valeur 24-36],MATCH(RationEtéChevauxSelle&amp;$EU105,Règles_chevaux_selle[Ration]&amp;Règles_chevaux_selle[Aliment],0)),0),0)*TotalJeuneJumentSelle_24_36_mois*SUM(NbreJoursNourrirChevauxSelle))</f>
        <v>0</v>
      </c>
      <c r="EX105" s="1283">
        <f t="array" ref="EX105">IF(OR(ChoixRationComplèteEtéChevauxSelle=OUI,ChoixRationComplèteEtéChevauxSelle="",AND(ChoixChevauxSellePréHiver=OUI,ChoixChevauxSellePréEté=OUI)),0,IFERROR(IF(OR(AND(INDEX(Règles_chevaux_selle[Specificite],MATCH(RationEtéChevauxSelle&amp;$EU105,Règles_chevaux_selle[Ration]&amp;Règles_chevaux_selle[Aliment],0))="s1",IF($EU105=Spécificité1ChevauxSelle,1)),
AND(INDEX(Règles_chevaux_selle[Specificite],MATCH(RationEtéChevauxSelle&amp;$EU105,Règles_chevaux_selle[Ration]&amp;Règles_chevaux_selle[Aliment],0))="s2",IF($EU105=Spécificité2ChevauxSelle,1)),
INDEX(Règles_chevaux_selle[Specificite],MATCH(RationEtéChevauxSelle&amp;$EU105,Règles_chevaux_selle[Ration]&amp;Règles_chevaux_selle[Aliment],0))="c"),
INDEX(Règles_chevaux_selle[Valeur 12-24],MATCH(RationEtéChevauxSelle&amp;$EU105,Règles_chevaux_selle[Ration]&amp;Règles_chevaux_selle[Aliment],0)),0),0)*TotalJeuneJumentSelle_12_24_mois*SUM(NbreJoursNourrirChevauxSelle))</f>
        <v>0</v>
      </c>
      <c r="EY105" s="1286">
        <f t="array" ref="EY105">IF(OR(ChoixRationComplèteEtéChevauxSelle=OUI,ChoixRationComplèteEtéChevauxSelle="",AND(ChoixChevauxSellePréHiver=OUI,ChoixChevauxSellePréEté=OUI)),0,IFERROR(IF(OR(AND(INDEX(Règles_chevaux_selle[Specificite],MATCH(RationEtéChevauxSelle&amp;$EU105,Règles_chevaux_selle[Ration]&amp;Règles_chevaux_selle[Aliment],0))="s1",IF($EU105=Spécificité1ChevauxSelle,1)),
AND(INDEX(Règles_chevaux_selle[Specificite],MATCH(RationEtéChevauxSelle&amp;$EU105,Règles_chevaux_selle[Ration]&amp;Règles_chevaux_selle[Aliment],0))="s2",IF($EU105=Spécificité2ChevauxSelle,1)),
INDEX(Règles_chevaux_selle[Specificite],MATCH(RationEtéChevauxSelle&amp;$EU105,Règles_chevaux_selle[Ration]&amp;Règles_chevaux_selle[Aliment],0))="c"),
INDEX(Règles_chevaux_selle[Valeur 0-12],MATCH(RationEtéChevauxSelle&amp;$EU105,Règles_chevaux_selle[Ration]&amp;Règles_chevaux_selle[Aliment],0)),0),0)*TotalPoulicheSelle_0_12_mois*SUM(NbreJoursNourrirChevauxSelle))</f>
        <v>0</v>
      </c>
      <c r="EZ105" s="1286">
        <f t="shared" si="43"/>
        <v>0</v>
      </c>
      <c r="FA105" s="1345"/>
      <c r="FB105" s="1345"/>
      <c r="FC105" s="1321"/>
      <c r="FD105" s="1083" t="str">
        <f t="shared" si="34"/>
        <v>concentré jeunes porcins</v>
      </c>
      <c r="FE105" s="1283">
        <f t="array" ref="FE105">IF(OR(ChoixRationComplèteEtéChevauxTrait=OUI,ChoixRationComplèteEtéChevauxTrait="",AND(ChoixChevauxTraitPréHiver=OUI,ChoixChevauxTraitPréEté=OUI)),0,IFERROR(IF(OR(AND(INDEX(Règles_chevaux_trait[Specificite],MATCH(RationEtéChevauxTrait&amp;$FD105,Règles_chevaux_trait[Ration]&amp;Règles_chevaux_trait[Aliment],0))="s1",IF($FD105=Spécificité1ChevauxTrait,1)),
AND(INDEX(Règles_chevaux_trait[Specificite],MATCH(RationEtéChevauxTrait&amp;$FD105,Règles_chevaux_trait[Ration]&amp;Règles_chevaux_trait[Aliment],0))="s2",IF($FD105=Spécificité2ChevauxTrait,1)),
INDEX(Règles_chevaux_trait[Specificite],MATCH(RationEtéChevauxTrait&amp;$FD105,Règles_chevaux_trait[Ration]&amp;Règles_chevaux_trait[Aliment],0))="c"),
INDEX(Règles_chevaux_trait[Valeur 36 et plus],MATCH(RationEtéChevauxTrait&amp;$FD105,Règles_chevaux_trait[Ration]&amp;Règles_chevaux_trait[Aliment],0)),0),0)*TotalJumentTrait*SUM(NbreJoursNourrirChevauxTrait))</f>
        <v>0</v>
      </c>
      <c r="FF105" s="1283">
        <f t="array" ref="FF105">IF(OR(ChoixRationComplèteEtéChevauxTrait=OUI,ChoixRationComplèteEtéChevauxTrait="",AND(ChoixChevauxTraitPréHiver=OUI,ChoixChevauxTraitPréEté=OUI)),0,IFERROR(IF(OR(AND(INDEX(Règles_chevaux_trait[Specificite],MATCH(RationEtéChevauxTrait&amp;$FD105,Règles_chevaux_trait[Ration]&amp;Règles_chevaux_trait[Aliment],0))="s1",IF($FD105=Spécificité1ChevauxTrait,1)),
AND(INDEX(Règles_chevaux_trait[Specificite],MATCH(RationEtéChevauxTrait&amp;$FD105,Règles_chevaux_trait[Ration]&amp;Règles_chevaux_trait[Aliment],0))="s2",IF($FD105=Spécificité2ChevauxTrait,1)),
INDEX(Règles_chevaux_trait[Specificite],MATCH(RationEtéChevauxTrait&amp;$FD105,Règles_chevaux_trait[Ration]&amp;Règles_chevaux_trait[Aliment],0))="c"),
INDEX(Règles_chevaux_trait[Valeur 24-36],MATCH(RationEtéChevauxTrait&amp;$FD105,Règles_chevaux_trait[Ration]&amp;Règles_chevaux_trait[Aliment],0)),0),0)*TotalJeuneJumentTrait_24_36_mois*SUM(NbreJoursNourrirChevauxTrait))</f>
        <v>0</v>
      </c>
      <c r="FG105" s="1283">
        <f t="array" ref="FG105">IF(OR(ChoixRationComplèteEtéChevauxTrait=OUI,ChoixRationComplèteEtéChevauxTrait="",AND(ChoixChevauxTraitPréHiver=OUI,ChoixChevauxTraitPréEté=OUI)),0,IFERROR(IF(OR(AND(INDEX(Règles_chevaux_trait[Specificite],MATCH(RationEtéChevauxTrait&amp;$FD105,Règles_chevaux_trait[Ration]&amp;Règles_chevaux_trait[Aliment],0))="s1",IF($FD105=Spécificité1ChevauxTrait,1)),
AND(INDEX(Règles_chevaux_trait[Specificite],MATCH(RationEtéChevauxTrait&amp;$FD105,Règles_chevaux_trait[Ration]&amp;Règles_chevaux_trait[Aliment],0))="s2",IF($FD105=Spécificité2ChevauxTrait,1)),
INDEX(Règles_chevaux_trait[Specificite],MATCH(RationEtéChevauxTrait&amp;$FD105,Règles_chevaux_trait[Ration]&amp;Règles_chevaux_trait[Aliment],0))="c"),
INDEX(Règles_chevaux_trait[Valeur 12-24],MATCH(RationEtéChevauxTrait&amp;$FD105,Règles_chevaux_trait[Ration]&amp;Règles_chevaux_trait[Aliment],0)),0),0)*TotalJeuneJumentTrait_12_24_mois*SUM(NbreJoursNourrirChevauxTrait))</f>
        <v>0</v>
      </c>
      <c r="FH105" s="1286">
        <f t="array" ref="FH105">IF(OR(ChoixRationComplèteEtéChevauxTrait=OUI,ChoixRationComplèteEtéChevauxTrait="",AND(ChoixChevauxTraitPréHiver=OUI,ChoixChevauxTraitPréEté=OUI)),0,IFERROR(IF(OR(AND(INDEX(Règles_chevaux_trait[Specificite],MATCH(RationEtéChevauxTrait&amp;$FD105,Règles_chevaux_trait[Ration]&amp;Règles_chevaux_trait[Aliment],0))="s1",IF($FD105=Spécificité1ChevauxTrait,1)),
AND(INDEX(Règles_chevaux_trait[Specificite],MATCH(RationEtéChevauxTrait&amp;$FD105,Règles_chevaux_trait[Ration]&amp;Règles_chevaux_trait[Aliment],0))="s2",IF($FD105=Spécificité2ChevauxTrait,1)),
INDEX(Règles_chevaux_trait[Specificite],MATCH(RationEtéChevauxTrait&amp;$FD105,Règles_chevaux_trait[Ration]&amp;Règles_chevaux_trait[Aliment],0))="c"),
INDEX(Règles_chevaux_trait[Valeur 0-12],MATCH(RationEtéChevauxTrait&amp;$FD105,Règles_chevaux_trait[Ration]&amp;Règles_chevaux_trait[Aliment],0)),0),0)*TotalPoulicheTrait_0_12_mois*SUM(NbreJoursNourrirChevauxTrait))</f>
        <v>0</v>
      </c>
      <c r="FI105" s="1286">
        <f t="shared" si="32"/>
        <v>0</v>
      </c>
      <c r="FJ105" s="1345"/>
      <c r="FK105" s="1345"/>
      <c r="FL105" s="1345"/>
      <c r="FM105" s="1321"/>
      <c r="FN105" s="1082" t="str">
        <f t="shared" si="33"/>
        <v>Ensilage d'herbe</v>
      </c>
      <c r="FO105" s="1282">
        <f t="array" ref="FO105">IF(OR(ChoixRationComplèteEtéPoneys=OUI,ChoixRationComplèteEtéPoneys="",AND(ChoixPoneysPréHiver=OUI,ChoixPoneysPréEté=OUI)),0,IFERROR(IF(OR(AND(INDEX(Règles_poneys[Specificite],MATCH(RationEtéPoneys&amp;$FN105,Règles_poneys[Ration]&amp;Règles_poneys[Aliment],0))="s1",IF($FN105=Spécificité1Poneys,1)),
AND(INDEX(Règles_poneys[Specificite],MATCH(RationEtéPoneys&amp;$FN105,Règles_poneys[Ration]&amp;Règles_poneys[Aliment],0))="s2",IF($FN105=Spécificité2Poneys,1)),
INDEX(Règles_poneys[Specificite],MATCH(RationEtéPoneys&amp;$FN105,Règles_poneys[Ration]&amp;Règles_poneys[Aliment],0))="c"),
INDEX(Règles_poneys[Valeur 36 et plus],MATCH(RationEtéPoneys&amp;$FN105,Règles_poneys[Ration]&amp;Règles_poneys[Aliment],0)),0),0)*TotalJumentPoney*SUM(NbreJoursNourrirPoneys))</f>
        <v>0</v>
      </c>
      <c r="FP105" s="1282">
        <f t="array" ref="FP105">IF(OR(ChoixRationComplèteEtéPoneys=OUI,ChoixRationComplèteEtéPoneys="",AND(ChoixPoneysPréHiver=OUI,ChoixPoneysPréEté=OUI)),0,IFERROR(IF(OR(AND(INDEX(Règles_poneys[Specificite],MATCH(RationEtéPoneys&amp;$FN105,Règles_poneys[Ration]&amp;Règles_poneys[Aliment],0))="s1",IF($FN105=Spécificité1Poneys,1)),
AND(INDEX(Règles_poneys[Specificite],MATCH(RationEtéPoneys&amp;$FN105,Règles_poneys[Ration]&amp;Règles_poneys[Aliment],0))="s2",IF($FN105=Spécificité2Poneys,1)),
INDEX(Règles_poneys[Specificite],MATCH(RationEtéPoneys&amp;$FN105,Règles_poneys[Ration]&amp;Règles_poneys[Aliment],0))="c"),
INDEX(Règles_poneys[Valeur 36 et plus],MATCH(RationEtéPoneys&amp;$FN105,Règles_poneys[Ration]&amp;Règles_poneys[Aliment],0)),0),0)*TotalJeuneJumentPoney_24_36_mois*SUM(NbreJoursNourrirPoneys))</f>
        <v>0</v>
      </c>
      <c r="FQ105" s="1282">
        <f t="array" ref="FQ105">IF(OR(ChoixRationComplèteEtéPoneys=OUI,ChoixRationComplèteEtéPoneys="",AND(ChoixPoneysPréHiver=OUI,ChoixPoneysPréEté=OUI)),0,IFERROR(IF(OR(AND(INDEX(Règles_poneys[Specificite],MATCH(RationEtéPoneys&amp;$FN105,Règles_poneys[Ration]&amp;Règles_poneys[Aliment],0))="s1",IF($FN105=Spécificité1Poneys,1)),
AND(INDEX(Règles_poneys[Specificite],MATCH(RationEtéPoneys&amp;$FN105,Règles_poneys[Ration]&amp;Règles_poneys[Aliment],0))="s2",IF($FN105=Spécificité2Poneys,1)),
INDEX(Règles_poneys[Specificite],MATCH(RationEtéPoneys&amp;$FN105,Règles_poneys[Ration]&amp;Règles_poneys[Aliment],0))="c"),
INDEX(Règles_poneys[Valeur 36 et plus],MATCH(RationEtéPoneys&amp;$FN105,Règles_poneys[Ration]&amp;Règles_poneys[Aliment],0)),0),0)*TotalJeuneJumentPoney_12_24_mois*SUM(NbreJoursNourrirPoneys))</f>
        <v>0</v>
      </c>
      <c r="FR105" s="1285">
        <f t="array" ref="FR105">IF(OR(ChoixRationComplèteEtéPoneys=OUI,ChoixRationComplèteEtéPoneys="",AND(ChoixPoneysPréHiver=OUI,ChoixPoneysPréEté=OUI)),0,IFERROR(IF(OR(AND(INDEX(Règles_poneys[Specificite],MATCH(RationEtéPoneys&amp;$FN105,Règles_poneys[Ration]&amp;Règles_poneys[Aliment],0))="s1",IF($FN105=Spécificité1Poneys,1)),
AND(INDEX(Règles_poneys[Specificite],MATCH(RationEtéPoneys&amp;$FN105,Règles_poneys[Ration]&amp;Règles_poneys[Aliment],0))="s2",IF($FN105=Spécificité2Poneys,1)),
INDEX(Règles_poneys[Specificite],MATCH(RationEtéPoneys&amp;$FN105,Règles_poneys[Ration]&amp;Règles_poneys[Aliment],0))="c"),
INDEX(Règles_poneys[Valeur 36 et plus],MATCH(RationEtéPoneys&amp;$FN105,Règles_poneys[Ration]&amp;Règles_poneys[Aliment],0)),0),0)*TotalPoulichePoney_0_12_mois*SUM(NbreJoursNourrirPoneys))</f>
        <v>0</v>
      </c>
      <c r="FS105" s="1285">
        <f t="shared" si="30"/>
        <v>0</v>
      </c>
      <c r="FT105" s="1345"/>
      <c r="FU105" s="1345"/>
      <c r="FV105" s="1345"/>
      <c r="FW105" s="823" t="str">
        <f t="shared" si="28"/>
        <v>Haricot vert</v>
      </c>
      <c r="FX105" s="828">
        <f t="array" ref="FX10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05" s="828">
        <f t="array" ref="FY10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05" s="828">
        <f t="array" ref="FZ10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05" s="828">
        <f t="array" ref="GA10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05" s="829">
        <f>SUM(AlimentsGavageCanards[[#This Row],[Valeur 3 et plus]:[Valeur 0-1]])</f>
        <v>0</v>
      </c>
      <c r="GC105" s="1321"/>
      <c r="GD105" s="1321"/>
      <c r="GE105" s="1321"/>
      <c r="GF105" s="1321"/>
      <c r="GG105" s="1321" t="s">
        <v>1349</v>
      </c>
      <c r="GH105" s="1321" t="s">
        <v>1349</v>
      </c>
      <c r="GI105" s="1321" t="s">
        <v>1349</v>
      </c>
      <c r="GJ105" s="1321" t="s">
        <v>1349</v>
      </c>
      <c r="GK105" s="1321" t="s">
        <v>1349</v>
      </c>
      <c r="GL105" s="1321" t="s">
        <v>1349</v>
      </c>
      <c r="GM105" s="1321" t="s">
        <v>1349</v>
      </c>
      <c r="GN105" s="1321" t="s">
        <v>1349</v>
      </c>
      <c r="GO105" s="1321" t="s">
        <v>1349</v>
      </c>
      <c r="GP105" s="1321" t="s">
        <v>1349</v>
      </c>
      <c r="GQ105" s="1321" t="s">
        <v>1349</v>
      </c>
      <c r="GR105" s="1321" t="s">
        <v>1349</v>
      </c>
      <c r="GS105" s="1321" t="s">
        <v>1349</v>
      </c>
      <c r="GT105" s="1321" t="s">
        <v>1349</v>
      </c>
      <c r="GU105" s="1321" t="s">
        <v>1349</v>
      </c>
      <c r="GV105" s="1321" t="s">
        <v>1349</v>
      </c>
      <c r="GW105" s="1321"/>
      <c r="GX105" s="1321"/>
      <c r="GY105" s="1321"/>
      <c r="GZ105" s="1321"/>
      <c r="HA105" s="1321"/>
      <c r="HB105" s="1321"/>
      <c r="HC105" s="1321"/>
      <c r="HD105" s="1321"/>
      <c r="HE105" s="1321"/>
      <c r="HF105" s="1321"/>
      <c r="HG105" s="1321"/>
      <c r="HH105" s="1321"/>
      <c r="HI105" s="1321"/>
      <c r="HJ105" s="1321"/>
      <c r="HK105" s="1321"/>
      <c r="HL105" s="1321"/>
      <c r="HM105" s="1321"/>
      <c r="HN105" s="1099" t="s">
        <v>1719</v>
      </c>
      <c r="HO105" s="1085" t="e">
        <f>IF(SUM((VLOOKUP(HN105,AlimentsRationBovinsMâles,9,FALSE)+VLOOKUP(HN105,AlimentsRationBovinsFemelles,9,FALSE)+VLOOKUP(HN105,BDD!BB$284:BJ$323,9,FALSE))/1000/SUM(NbreJoursNourrirBovins)*IF('semences, engrais et traitement'!I$16=OUI,42,84))&lt;0,0,SUM((VLOOKUP(HN105,AlimentsRationBovinsMâles,9,FALSE)+VLOOKUP(HN105,AlimentsRationBovinsFemelles,9,FALSE)+VLOOKUP(HN105,BDD!BB$284:BJ$323,9,FALSE))/1000/SUM(NbreJoursNourrirBovins)*IF('semences, engrais et traitement'!I$16=OUI,42,84)))</f>
        <v>#DIV/0!</v>
      </c>
      <c r="HP105" s="1085">
        <f t="shared" si="36"/>
        <v>0</v>
      </c>
      <c r="HQ105" s="1085" t="e">
        <f>IF(SUM(VLOOKUP(HN105,AlimentsRationPorcinsMâles[],7,FALSE)+VLOOKUP(HN105,AlimentsRationPorcinsFemelles[],7,FALSE))/1000/SUM(NbreJoursNourrirAutres)*84&lt;0,0,SUM(VLOOKUP(HN105,AlimentsRationPorcinsMâles[],7,FALSE)+VLOOKUP(HN105,AlimentsRationPorcinsFemelles[],7,FALSE)/1000/SUM(NbreJoursNourrirAutres)*84))</f>
        <v>#DIV/0!</v>
      </c>
      <c r="HR105" s="1085" t="e">
        <f>IF(SUM(VLOOKUP(HN105,AlimentsRationCaprinsMâles,6,FALSE)+VLOOKUP(HN105,AlimentsRationCaprinsFemelles,6,FALSE))/1000/SUM(NbreJoursNourrirCaprins)*IF('semences, engrais et traitement'!I$17=OUI,42,84)&lt;0,0,SUM(VLOOKUP(HN105,AlimentsRationCaprinsMâles,6,FALSE)+VLOOKUP(HN105,AlimentsRationCaprinsFemelles,6,FALSE))/1000/SUM(NbreJoursNourrirCaprins)*IF('semences, engrais et traitement'!I$17=OUI,42,84))</f>
        <v>#DIV/0!</v>
      </c>
      <c r="HS105" s="1085" t="e">
        <f>IF(SUM(VLOOKUP(HN105,AlimentsRationVolaillesMâles[],5,FALSE)+VLOOKUP(HN105,AlimentsRationVolaillesFemelles[],5,FALSE))/1000/SUM(NbreJoursNourrirAutres)*84&lt;0,0,SUM(VLOOKUP(HN105,AlimentsRationVolaillesMâles[],5,FALSE)+VLOOKUP(HN105,AlimentsRationVolaillesFemelles[],5,FALSE)/1000/SUM(NbreJoursNourrirAutres)*84))</f>
        <v>#DIV/0!</v>
      </c>
      <c r="HT105" s="1085" t="e">
        <f>IF(SUM(VLOOKUP(HN105,AlimentsRationPintadesMâles[],5,FALSE)+VLOOKUP(HN105,AlimentsRationPintadesFemelles[],5,FALSE))/1000/SUM(NbreJoursNourrirAutres)*84&lt;0,0,SUM(VLOOKUP(HN105,AlimentsRationPintadesMâles[],5,FALSE)+VLOOKUP(HN105,AlimentsRationPintadesFemelles[],5,FALSE)/1000/SUM(NbreJoursNourrirAutres)*84))</f>
        <v>#DIV/0!</v>
      </c>
      <c r="HU105" s="1085" t="e">
        <f>IF(SUM(VLOOKUP(HN105,AlimentsRationLapinsMâles[],5,FALSE)+VLOOKUP(HN105,AlimentsRationLapinsFemelles[],5,FALSE))/1000/SUM(NbreJoursNourrirAutres)*84&lt;0,0,SUM(VLOOKUP(HN105,AlimentsRationLapinsMâles[],5,FALSE)+VLOOKUP(HN105,AlimentsRationLapinsFemelles[],5,FALSE)/1000/SUM(NbreJoursNourrirAutres)*84))</f>
        <v>#DIV/0!</v>
      </c>
      <c r="HV105" s="1085" t="e">
        <f>IF(SUM(VLOOKUP(HN105,AlimentsRationOvinsMâles,6,FALSE)+VLOOKUP(HN105,AlimentsRationOvinsFemelles,6,FALSE))/1000/SUM(NbreJoursNourrirOvins)*IF('semences, engrais et traitement'!I$18=OUI,42,84)&lt;0,0,SUM(VLOOKUP(HN105,AlimentsRationOvinsMâles,6,FALSE)+VLOOKUP(HN105,AlimentsRationOvinsFemelles,6,FALSE))/1000/SUM(NbreJoursNourrirOvins)*IF('semences, engrais et traitement'!I$18=OUI,42,84))</f>
        <v>#DIV/0!</v>
      </c>
      <c r="HW105" s="1085" t="e">
        <f>IF(SUM(VLOOKUP(HN105,AlimentsRationOiesMâles[],5,FALSE)+VLOOKUP(HN105,AlimentsRationOiesFemelles[],5,FALSE))/1000/SUM(NbreJoursNourrirAutres)*84&lt;0,0,SUM(VLOOKUP(HN105,AlimentsRationOiesMâles[],5,FALSE)+VLOOKUP(HN105,AlimentsRationOiesFemelles[],5,FALSE)/1000/SUM(NbreJoursNourrirAutres)*84))</f>
        <v>#DIV/0!</v>
      </c>
      <c r="HX105" s="1085" t="e">
        <f t="shared" si="37"/>
        <v>#DIV/0!</v>
      </c>
      <c r="HY105" s="1085" t="e">
        <f>IF(SUM(VLOOKUP(HN105,AlimentsRationEcurieChevauxMâlesSelle,6,FALSE)+VLOOKUP(HN105,AlimentsRationEcurieChevauxFemellesSelle,6,FALSE))/1000/SUM(NbreJoursNourrirChevauxSelle)*IF('semences, engrais et traitement'!M$16=OUI,56,84)&lt;0,0,SUM(VLOOKUP(HN105,AlimentsRationEcurieChevauxMâlesSelle,6,FALSE)+VLOOKUP(HN105,AlimentsRationEcurieChevauxFemellesSelle,6,FALSE))/1000/SUM(NbreJoursNourrirChevauxSelle)*IF('semences, engrais et traitement'!M$16=OUI,56,84))</f>
        <v>#DIV/0!</v>
      </c>
      <c r="HZ105" s="1085" t="e">
        <f>IF(SUM(VLOOKUP(HN105,AlimentsRationEcurieChevauxMâlesTrait,6,FALSE)+VLOOKUP(HN105,AlimentsRationEcurieChevauxFemellesTrait,6,FALSE))/1000/SUM(NbreJoursNourrirChevauxTrait)*IF('semences, engrais et traitement'!M$17=OUI,56,84)&lt;0,0,SUM(VLOOKUP(HN105,AlimentsRationEcurieChevauxMâlesTrait,6,FALSE)+VLOOKUP(HN105,AlimentsRationEcurieChevauxFemellesTrait,6,FALSE))/1000/SUM(NbreJoursNourrirChevauxTrait)*IF('semences, engrais et traitement'!M$17=OUI,56,84))</f>
        <v>#DIV/0!</v>
      </c>
      <c r="IA105" s="1085" t="e">
        <f>IF(SUM(VLOOKUP(HN105,AlimentsRationEcuriePoneysMâles,6,FALSE)+VLOOKUP(HN105,AlimentsRationEcuriePoneysFemelles,6,FALSE))/1000/SUM(NbreJoursNourrirPoneys)*IF('semences, engrais et traitement'!M$18=OUI,56,84)&lt;0,0,SUM(VLOOKUP(HN105,AlimentsRationEcuriePoneysMâles,6,FALSE)+VLOOKUP(HN105,AlimentsRationEcuriePoneysFemelles,6,FALSE))/1000/SUM(NbreJoursNourrirPoneys)*IF('semences, engrais et traitement'!M$18=OUI,56,84))</f>
        <v>#DIV/0!</v>
      </c>
      <c r="IB105" s="1099" t="e">
        <f t="shared" si="38"/>
        <v>#DIV/0!</v>
      </c>
      <c r="IC105" s="1321"/>
      <c r="ID105" s="1321"/>
      <c r="IE105" s="1321"/>
      <c r="IF105" s="1321"/>
      <c r="IG105" s="1321"/>
      <c r="IH105" s="1321"/>
      <c r="II105" s="1321"/>
      <c r="IJ105" s="1321"/>
      <c r="IK105" s="1321"/>
      <c r="IL105" s="1321"/>
      <c r="IM105" s="1321"/>
      <c r="IN105" s="1368"/>
    </row>
    <row r="106" spans="1:248" ht="12.75" customHeight="1" x14ac:dyDescent="0.2">
      <c r="A106" s="1307" t="s">
        <v>148</v>
      </c>
      <c r="B106" s="1241">
        <f t="shared" si="39"/>
        <v>1E-3</v>
      </c>
      <c r="C106" s="1321"/>
      <c r="D106" s="1321"/>
      <c r="E106" s="1321"/>
      <c r="F106" s="1149" t="s">
        <v>65</v>
      </c>
      <c r="G106" s="1245" t="s">
        <v>1198</v>
      </c>
      <c r="H106" s="1245" t="s">
        <v>1167</v>
      </c>
      <c r="I106" s="1245" t="s">
        <v>1199</v>
      </c>
      <c r="J106" s="1245" t="s">
        <v>1167</v>
      </c>
      <c r="K106" s="1149" t="s">
        <v>1202</v>
      </c>
      <c r="L106" s="1149" t="s">
        <v>1202</v>
      </c>
      <c r="M106" s="1321"/>
      <c r="N106" s="1321"/>
      <c r="O106" s="1321"/>
      <c r="P106" s="1321"/>
      <c r="Q106" s="1321"/>
      <c r="R106" s="1321"/>
      <c r="S106" s="1321"/>
      <c r="T106" s="1321"/>
      <c r="U106" s="1321"/>
      <c r="V106" s="1321"/>
      <c r="W106" s="1321"/>
      <c r="X106" s="1321"/>
      <c r="Y106" s="1321"/>
      <c r="Z106" s="1321"/>
      <c r="AA106" s="1321"/>
      <c r="AB106" s="1321"/>
      <c r="AC106" s="1321"/>
      <c r="AD106" s="1321"/>
      <c r="AE106" s="1321"/>
      <c r="AF106" s="1321"/>
      <c r="AG106" s="1321"/>
      <c r="AH106" s="1321"/>
      <c r="AI106" s="1321"/>
      <c r="AJ106" s="1321"/>
      <c r="AK106" s="1321"/>
      <c r="AL106" s="1321"/>
      <c r="AM106" s="1321"/>
      <c r="AN106" s="1321"/>
      <c r="AO106" s="1321"/>
      <c r="AP106" s="1321"/>
      <c r="AQ106" s="1321"/>
      <c r="AR106" s="1321"/>
      <c r="AS106" s="1321"/>
      <c r="AT106" s="1321"/>
      <c r="AU106" s="1321"/>
      <c r="AV106" s="1321"/>
      <c r="AW106" s="1321"/>
      <c r="AX106" s="1321"/>
      <c r="AY106" s="1321"/>
      <c r="AZ106" s="1321"/>
      <c r="BA106" s="1321"/>
      <c r="BB106" s="1236" t="s">
        <v>729</v>
      </c>
      <c r="BC106" s="1190" t="s">
        <v>1718</v>
      </c>
      <c r="BD106" s="1190" t="s">
        <v>1252</v>
      </c>
      <c r="BE106" s="1237">
        <v>0</v>
      </c>
      <c r="BF106" s="1237">
        <v>0</v>
      </c>
      <c r="BG106" s="1237">
        <v>0</v>
      </c>
      <c r="BH106" s="1237">
        <v>0</v>
      </c>
      <c r="BI106" s="1237">
        <v>0</v>
      </c>
      <c r="BJ106" s="1237">
        <v>0</v>
      </c>
      <c r="BK106" s="1238">
        <v>8</v>
      </c>
      <c r="BL106" s="1348"/>
      <c r="BM106" s="1075">
        <f t="shared" si="23"/>
        <v>0</v>
      </c>
      <c r="BN106" s="1075">
        <f t="array" ref="BN106">IF(Ration_hivernale_complète_bisons[somme]&gt;0,0,IFERROR(IF(OR(AND(INDEX(Règles_bison[Specificite],MATCH(ChoixRationBisons&amp;$BM106,Règles_bison[Ration]&amp;Règles_bison[Aliment],0))="s1",IF($BM106=ChoixSpécificité1Bisons,1)),
AND(INDEX(Règles_bison[Specificite],MATCH(ChoixRationBisons&amp;$BM106,Règles_bison[Ration]&amp;Règles_bison[Aliment],0))="s2",IF($BM106=ChoixSpécificité2Bisons,1)),INDEX(Règles_bison[Specificite],MATCH(ChoixRationBisons&amp;$BM106,Règles_bison[Ration]&amp;Règles_bison[Aliment],0))="c"),
INDEX(Règles_bison[Valeur 36 et plus],MATCH(ChoixRationBisons&amp;$BM106,Règles_bison[Ration]&amp;Règles_bison[Aliment],0)),0),0)*TotalBisonnes*SUM(NbreJoursNourrirBisonsDaims))</f>
        <v>0</v>
      </c>
      <c r="BO106" s="1075">
        <f t="array" ref="BO106">IF(Ration_hivernale_complète_bisons[somme]&gt;0,0,IFERROR(IF(OR(AND(INDEX(Règles_bison[Specificite],MATCH(ChoixRationBisons&amp;$BM106,Règles_bison[Ration]&amp;Règles_bison[Aliment],0))="s1",IF($BM106=ChoixSpécificité1Bisons,1)),
AND(INDEX(Règles_bison[Specificite],MATCH(ChoixRationBisons&amp;$BM106,Règles_bison[Ration]&amp;Règles_bison[Aliment],0))="s2",IF($BM106=ChoixSpécificité2Bisons,1)),INDEX(Règles_bison[Specificite],MATCH(ChoixRationBisons&amp;$BM106,Règles_bison[Ration]&amp;Règles_bison[Aliment],0))="c"),
INDEX(Règles_bison[Valeur 24-36],MATCH(ChoixRationBisons&amp;$BM106,Règles_bison[Ration]&amp;Règles_bison[Aliment],0)),0),0)*TotalBisonsFemelles_24_36_mois*SUM(NbreJoursNourrirBisonsDaims))</f>
        <v>0</v>
      </c>
      <c r="BP106" s="1075">
        <f t="array" ref="BP106">IF(Ration_hivernale_complète_bisons[somme]&gt;0,0,IFERROR(IF(OR(AND(INDEX(Règles_bison[Specificite],MATCH(ChoixRationBisons&amp;$BM106,Règles_bison[Ration]&amp;Règles_bison[Aliment],0))="s1",IF($BM106=ChoixSpécificité1Bisons,1)),
AND(INDEX(Règles_bison[Specificite],MATCH(ChoixRationBisons&amp;$BM106,Règles_bison[Ration]&amp;Règles_bison[Aliment],0))="s2",IF($BM106=ChoixSpécificité2Bisons,1)),INDEX(Règles_bison[Specificite],MATCH(ChoixRationBisons&amp;$BM106,Règles_bison[Ration]&amp;Règles_bison[Aliment],0))="c"),
INDEX(Règles_bison[Valeur 18-24],MATCH(ChoixRationBisons&amp;$BM106,Règles_bison[Ration]&amp;Règles_bison[Aliment],0)),0),0)*TotalBisonsFemelles_18_24_mois*SUM(NbreJoursNourrirBisonsDaims))</f>
        <v>0</v>
      </c>
      <c r="BQ106" s="1075">
        <f t="array" ref="BQ106">IF(Ration_hivernale_complète_bisons[somme]&gt;0,0,IFERROR(IF(OR(AND(INDEX(Règles_bison[Specificite],MATCH(ChoixRationBisons&amp;$BM106,Règles_bison[Ration]&amp;Règles_bison[Aliment],0))="s1",IF($BM106=ChoixSpécificité1Bisons,1)),
AND(INDEX(Règles_bison[Specificite],MATCH(ChoixRationBisons&amp;$BM106,Règles_bison[Ration]&amp;Règles_bison[Aliment],0))="s2",IF($BM106=ChoixSpécificité2Bisons,1)),INDEX(Règles_bison[Specificite],MATCH(ChoixRationBisons&amp;$BM106,Règles_bison[Ration]&amp;Règles_bison[Aliment],0))="c"),
INDEX(Règles_bison[Valeur 12-18],MATCH(ChoixRationBisons&amp;$BM106,Règles_bison[Ration]&amp;Règles_bison[Aliment],0)),0),0)*TotalBisonsFemelles_12_18_mois*SUM(NbreJoursNourrirBisonsDaims))</f>
        <v>0</v>
      </c>
      <c r="BR106" s="1075">
        <f t="array" ref="BR106">IF(Ration_hivernale_complète_bisons[somme]&gt;0,0,IFERROR(IF(OR(AND(INDEX(Règles_bison[Specificite],MATCH(ChoixRationBisons&amp;$BM106,Règles_bison[Ration]&amp;Règles_bison[Aliment],0))="s1",IF($BM106=ChoixSpécificité1Bisons,1)),
AND(INDEX(Règles_bison[Specificite],MATCH(ChoixRationBisons&amp;$BM106,Règles_bison[Ration]&amp;Règles_bison[Aliment],0))="s2",IF($BM106=ChoixSpécificité2Bisons,1)),INDEX(Règles_bison[Specificite],MATCH(ChoixRationBisons&amp;$BM106,Règles_bison[Ration]&amp;Règles_bison[Aliment],0))="c"),
INDEX(Règles_bison[Valeur 6-12],MATCH(ChoixRationBisons&amp;$BM106,Règles_bison[Ration]&amp;Règles_bison[Aliment],0)),0),0)*TotalBisonsFemelles_6_12_mois*SUM(NbreJoursNourrirBisonsDaims))</f>
        <v>0</v>
      </c>
      <c r="BS106" s="1075">
        <f t="array" ref="BS106">IF(Ration_hivernale_complète_bisons[somme]&gt;0,0,IFERROR(IF(OR(AND(INDEX(Règles_bison[Specificite],MATCH(ChoixRationBisons&amp;$BM106,Règles_bison[Ration]&amp;Règles_bison[Aliment],0))="s1",IF($BM106=ChoixSpécificité1Bisons,1)),
AND(INDEX(Règles_bison[Specificite],MATCH(ChoixRationBisons&amp;$BM106,Règles_bison[Ration]&amp;Règles_bison[Aliment],0))="s2",IF($BM106=ChoixSpécificité2Bisons,1)),INDEX(Règles_bison[Specificite],MATCH(ChoixRationBisons&amp;$BM106,Règles_bison[Ration]&amp;Règles_bison[Aliment],0))="c"),
INDEX(Règles_bison[Valeur 3-6],MATCH(ChoixRationBisons&amp;$BM106,Règles_bison[Ration]&amp;Règles_bison[Aliment],0)),0),0)*TotalBisonsFemelles_3_6_mois*SUM(NbreJoursNourrirBisonsDaims))</f>
        <v>0</v>
      </c>
      <c r="BT106" s="1075">
        <f t="array" ref="BT106">IF(Ration_hivernale_complète_bisons[somme]&gt;0,0,IFERROR(IF(OR(AND(INDEX(Règles_bison[Specificite],MATCH(ChoixRationBisons&amp;$BM106,Règles_bison[Ration]&amp;Règles_bison[Aliment],0))="s1",IF($BM106=ChoixSpécificité1Bisons,1)),
AND(INDEX(Règles_bison[Specificite],MATCH(ChoixRationBisons&amp;$BM106,Règles_bison[Ration]&amp;Règles_bison[Aliment],0))="s2",IF($BM106=ChoixSpécificité2Bisons,1)),INDEX(Règles_bison[Specificite],MATCH(ChoixRationBisons&amp;$BM106,Règles_bison[Ration]&amp;Règles_bison[Aliment],0))="c"),
INDEX(Règles_bison[Valeur 0-3],MATCH(ChoixRationBisons&amp;$BM106,Règles_bison[Ration]&amp;Règles_bison[Aliment],0)),0),0)*TotalBisonsFemelles_0_3_mois*SUM(NbreJoursNourrirBisonsDaims))</f>
        <v>0</v>
      </c>
      <c r="BU106" s="1274">
        <f t="shared" si="22"/>
        <v>0</v>
      </c>
      <c r="BV106" s="1346"/>
      <c r="BW106" s="1346"/>
      <c r="BX106" s="1076" t="s">
        <v>673</v>
      </c>
      <c r="BY106" s="1076">
        <f t="array" ref="BY106">IF(ChoixRationComplèteCaprins=OUI,0,IFERROR(IF(OR(AND(INDEX(Règles_caprins[Specificite],MATCH(ChoixRationCaprins&amp;$BX106,Règles_caprins[Ration]&amp;Règles_caprins[Aliment],0))="s1",IF($BX106=Spécificité1Caprins,1)),
INDEX(Règles_caprins[Specificite],MATCH(ChoixRationCaprins&amp;$BX106,Règles_caprins[Ration]&amp;Règles_caprins[Aliment],0))="c"),
INDEX(Règles_caprins[Valeur 12 et plus],MATCH(ChoixRationCaprins&amp;$BX106,Règles_caprins[Ration]&amp;Règles_caprins[Aliment],0)),0),0)*TotalBoucs*SUM(NbreJoursNourrirCaprins))</f>
        <v>0</v>
      </c>
      <c r="BZ106" s="1076">
        <f t="array" ref="BZ106">IF(ChoixRationComplèteCaprins=OUI,0,IFERROR(IF(OR(AND(INDEX(Règles_caprins[Specificite],MATCH(ChoixRationCaprins&amp;$BX106,Règles_caprins[Ration]&amp;Règles_caprins[Aliment],0))="s1",IF($BX106=Spécificité1Caprins,1)),
INDEX(Règles_caprins[Specificite],MATCH(ChoixRationCaprins&amp;$BX106,Règles_caprins[Ration]&amp;Règles_caprins[Aliment],0))="c"),
INDEX(Règles_caprins[Valeur 6-12],MATCH(ChoixRationCaprins&amp;$BX106,Règles_caprins[Ration]&amp;Règles_caprins[Aliment],0)),0),0)*jeune_bouc_6_12_mois*SUM(NbreJoursNourrirCaprins))</f>
        <v>0</v>
      </c>
      <c r="CA106" s="1076">
        <f t="array" ref="CA106">IF(ChoixRationComplèteCaprins=OUI,0,IFERROR(IF(OR(AND(INDEX(Règles_caprins[Specificite],MATCH(ChoixRationCaprins&amp;$BX106,Règles_caprins[Ration]&amp;Règles_caprins[Aliment],0))="s1",IF($BX106=Spécificité1Caprins,1)),
INDEX(Règles_caprins[Specificite],MATCH(ChoixRationCaprins&amp;$BX106,Règles_caprins[Ration]&amp;Règles_caprins[Aliment],0))="c"),
INDEX(Règles_caprins[Valeur 3-6],MATCH(ChoixRationCaprins&amp;$BX106,Règles_caprins[Ration]&amp;Règles_caprins[Aliment],0)),0),0)*chevreau_3_6_mois*SUM(NbreJoursNourrirCaprins))</f>
        <v>0</v>
      </c>
      <c r="CB106" s="1076">
        <f t="array" ref="CB106">IF(ChoixRationComplèteCaprins=OUI,0,IFERROR(IF(OR(AND(INDEX(Règles_caprins[Specificite],MATCH(ChoixRationCaprins&amp;$BX106,Règles_caprins[Ration]&amp;Règles_caprins[Aliment],0))="s1",IF($BX106=Spécificité1Caprins,1)),
INDEX(Règles_caprins[Specificite],MATCH(ChoixRationCaprins&amp;$BX106,Règles_caprins[Ration]&amp;Règles_caprins[Aliment],0))="c"),
INDEX(Règles_caprins[Valeur 0-3],MATCH(ChoixRationCaprins&amp;$BX106,Règles_caprins[Ration]&amp;Règles_caprins[Aliment],0)),0),0)*chevreau_0_3_mois*SUM(NbreJoursNourrirCaprins))</f>
        <v>0</v>
      </c>
      <c r="CC106" s="1076">
        <f t="shared" ref="CC106:CC140" si="45">SUM($BY106:$CB106)</f>
        <v>0</v>
      </c>
      <c r="CD106" s="1345"/>
      <c r="CE106" s="1345"/>
      <c r="CF106" s="1345"/>
      <c r="CG106" s="1345"/>
      <c r="CH106" s="1321"/>
      <c r="CI106" s="1321"/>
      <c r="CJ106" s="808" t="str">
        <f t="shared" si="26"/>
        <v>Maïs grain</v>
      </c>
      <c r="CK106" s="788">
        <f t="array" ref="CK10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06" s="788">
        <f t="array" ref="CL10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06" s="788">
        <f t="array" ref="CM10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06" s="788">
        <f t="array" ref="CN10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06" s="788">
        <f t="array" ref="CO10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06" s="812">
        <f>SUM(AlimentsRationPorcinsFemelles[[#This Row],[Valeur 12 et plus]:[Valeur 0-1]])</f>
        <v>0</v>
      </c>
      <c r="CQ106" s="1345"/>
      <c r="CR106" s="1321"/>
      <c r="CS106" s="808" t="str">
        <f t="shared" si="40"/>
        <v>concentré jeunes bovins</v>
      </c>
      <c r="CT106" s="817">
        <f t="array" ref="CT10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06" s="817">
        <f t="array" ref="CU10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06" s="817">
        <f t="array" ref="CV10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06" s="818">
        <f>SUM(AlimentsRationLapinsFemelles[[#This Row],[Valeur 3 et plus]:[Valeur 0-1]])</f>
        <v>0</v>
      </c>
      <c r="CX106" s="1321"/>
      <c r="CY106" s="1321"/>
      <c r="CZ106" s="808" t="str">
        <f t="shared" si="41"/>
        <v>concentré jeunes bovins</v>
      </c>
      <c r="DA106" s="817">
        <f t="array" ref="DA10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06" s="817">
        <f t="array" ref="DB10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06" s="817">
        <f t="array" ref="DC10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06" s="818">
        <f>SUM(AlimentsRationVolaillesFemelles[[#This Row],[Valeur 6 et plus]:[Valeur 0-1]])</f>
        <v>0</v>
      </c>
      <c r="DE106" s="1321"/>
      <c r="DF106" s="1321"/>
      <c r="DG106" s="788" t="str">
        <f t="shared" si="27"/>
        <v>Lentille</v>
      </c>
      <c r="DH106" s="817">
        <f t="array" ref="DH10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06" s="817">
        <f t="array" ref="DI10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06" s="817">
        <f t="array" ref="DJ10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06" s="821">
        <f>SUM(AlimentsRationPintadesFemelles[[#This Row],[Valeur 6 et plus]:[Valeur 0-1]])</f>
        <v>0</v>
      </c>
      <c r="DL106" s="1321"/>
      <c r="DM106" s="1321"/>
      <c r="DN106" s="1176" t="s">
        <v>729</v>
      </c>
      <c r="DO106" s="1177" t="s">
        <v>733</v>
      </c>
      <c r="DP106" s="1177" t="s">
        <v>1252</v>
      </c>
      <c r="DQ106" s="1181">
        <v>20</v>
      </c>
      <c r="DR106" s="1181">
        <v>12</v>
      </c>
      <c r="DS106" s="1181">
        <v>8</v>
      </c>
      <c r="DT106" s="1243">
        <v>4</v>
      </c>
      <c r="DU106" s="1345"/>
      <c r="DV106" s="1076" t="str">
        <f t="shared" si="24"/>
        <v>Sorgho ensilé</v>
      </c>
      <c r="DW106" s="1267">
        <f t="array" ref="DW106">SUM((IF(QualitéAlimentsFaonMâle_0_3_mois=BONNE,VLOOKUP("Sorgho ensilé",AlimentsRationHivernaleDaims,8,FALSE),0)+(IF(QualitéAlimentsFaonFemelle_0_3_mois=BONNE,VLOOKUP("Sorgho ensilé",AlimentsRationHivernaleDaims,8,FALSE),0)+(IF(QualitéAlimentsFaonMâle_3_6_mois=BONNE,VLOOKUP("Sorgho ensilé",AlimentsRationHivernaleDaims,7,FALSE),0)+(IF(QualitéAlimentsFaonFemelle_3_6_mois=BONNE,VLOOKUP("Sorgho ensilé",AlimentsRationHivernaleDaims,7,FALSE),0)+(IF(QualitéAlimentsFaonMâle_6_12_mois=BONNE,VLOOKUP("Sorgho ensilé",AlimentsRationHivernaleDaims,6,FALSE),0)+(IF(QualitéAlimentsFaonFemelle_6_12_mois=BONNE,VLOOKUP("Sorgho ensilé",AlimentsRationHivernaleDaims,6,FALSE),0)+(IF(QualitéAlimentsJeuneDaim_12_18_mois=BONNE,VLOOKUP("Sorgho ensilé",AlimentsRationHivernaleDaims,5,FALSE),0)+(IF(QualitéAlimentsJeuneDaine_12_18_mois=BONNE,VLOOKUP("Sorgho ensilé",AlimentsRationHivernaleDaims,5,FALSE),0)+(IF(QualitéAlimentsJeuneDaim_18_24_mois=BONNE,VLOOKUP("Sorgho ensilé",AlimentsRationHivernaleDaims,4,FALSE),0)+(IF(QualitéAlimentsJeuneDaine_18_24_mois=BONNE,VLOOKUP("Sorgho ensilé",AlimentsRationHivernaleDaims,4,FALSE),0)+(IF(QualitéAlimentsJeuneDaim_24_36_mois=BONNE,VLOOKUP("Sorgho ensilé",AlimentsRationHivernaleDaims,3,FALSE),0)+(IF(QualitéAlimentsJeuneDaine_24_36_mois=BONNE,VLOOKUP("Sorgho ensilé",AlimentsRationHivernaleDaims,3,FALSE),0)+(IF(QualitéAlimentsDaim=BONNE,VLOOKUP("Sorgho ensilé",AlimentsRationHivernaleDaims,2,FALSE),0)+(IF(QualitéAlimentsDaine=BONNE,VLOOKUP("Sorgho ensilé",AlimentsRationHivernaleDaims,2,FALSE),0))))))))))))))))</f>
        <v>0</v>
      </c>
      <c r="DX106" s="1267">
        <f t="array" ref="DX106">SUM((IF(QualitéAlimentsFaonMâle_0_3_mois=MOYENNE,VLOOKUP("Sorgho ensilé",AlimentsRationHivernaleDaims,8,FALSE),0)+(IF(QualitéAlimentsFaonFemelle_0_3_mois=MOYENNE,VLOOKUP("Sorgho ensilé",AlimentsRationHivernaleDaims,8,FALSE),0)+(IF(QualitéAlimentsFaonMâle_3_6_mois=MOYENNE,VLOOKUP("Sorgho ensilé",AlimentsRationHivernaleDaims,7,FALSE),0)+(IF(QualitéAlimentsFaonFemelle_3_6_mois=MOYENNE,VLOOKUP("Sorgho ensilé",AlimentsRationHivernaleDaims,7,FALSE),0)+(IF(QualitéAlimentsFaonMâle_6_12_mois=MOYENNE,VLOOKUP("Sorgho ensilé",AlimentsRationHivernaleDaims,6,FALSE),0)+(IF(QualitéAlimentsFaonFemelle_6_12_mois=MOYENNE,VLOOKUP("Sorgho ensilé",AlimentsRationHivernaleDaims,6,FALSE),0)+(IF(QualitéAlimentsJeuneDaim_12_18_mois=MOYENNE,VLOOKUP("Sorgho ensilé",AlimentsRationHivernaleDaims,5,FALSE),0)+(IF(QualitéAlimentsJeuneDaine_12_18_mois=MOYENNE,VLOOKUP("Sorgho ensilé",AlimentsRationHivernaleDaims,5,FALSE),0)+(IF(QualitéAlimentsJeuneDaim_18_24_mois=MOYENNE,VLOOKUP("Sorgho ensilé",AlimentsRationHivernaleDaims,4,FALSE),0)+(IF(QualitéAlimentsJeuneDaine_18_24_mois=MOYENNE,VLOOKUP("Sorgho ensilé",AlimentsRationHivernaleDaims,4,FALSE),0)+(IF(QualitéAlimentsJeuneDaim_24_36_mois=MOYENNE,VLOOKUP("Sorgho ensilé",AlimentsRationHivernaleDaims,3,FALSE),0)+(IF(QualitéAlimentsJeuneDaine_24_36_mois=MOYENNE,VLOOKUP("Sorgho ensilé",AlimentsRationHivernaleDaims,3,FALSE),0)+(IF(QualitéAlimentsDaim=MOYENNE,VLOOKUP("Sorgho ensilé",AlimentsRationHivernaleDaims,2,FALSE),0)+(IF(QualitéAlimentsDaine=MOYENNE,VLOOKUP("Sorgho ensilé",AlimentsRationHivernaleDaims,2,FALSE),0))))))))))))))))</f>
        <v>0</v>
      </c>
      <c r="DY106" s="1267">
        <f t="array" ref="DY106">SUM((IF(QualitéAlimentsFaonMâle_0_3_mois=MAUVAISE,VLOOKUP("Sorgho ensilé",AlimentsRationHivernaleDaims,8,FALSE),0)+(IF(QualitéAlimentsFaonFemelle_0_3_mois=MAUVAISE,VLOOKUP("Sorgho ensilé",AlimentsRationHivernaleDaims,8,FALSE),0)+(IF(QualitéAlimentsFaonMâle_3_6_mois=MAUVAISE,VLOOKUP("Sorgho ensilé",AlimentsRationHivernaleDaims,7,FALSE),0)+(IF(QualitéAlimentsFaonFemelle_3_6_mois=MAUVAISE,VLOOKUP("Sorgho ensilé",AlimentsRationHivernaleDaims,7,FALSE),0)+(IF(QualitéAlimentsFaonMâle_6_12_mois=MAUVAISE,VLOOKUP("Sorgho ensilé",AlimentsRationHivernaleDaims,6,FALSE),0)+(IF(QualitéAlimentsFaonFemelle_6_12_mois=MAUVAISE,VLOOKUP("Sorgho ensilé",AlimentsRationHivernaleDaims,6,FALSE),0)+(IF(QualitéAlimentsJeuneDaim_12_18_mois=MAUVAISE,VLOOKUP("Sorgho ensilé",AlimentsRationHivernaleDaims,5,FALSE),0)+(IF(QualitéAlimentsJeuneDaine_12_18_mois=MAUVAISE,VLOOKUP("Sorgho ensilé",AlimentsRationHivernaleDaims,5,FALSE),0)+(IF(QualitéAlimentsJeuneDaim_18_24_mois=MAUVAISE,VLOOKUP("Sorgho ensilé",AlimentsRationHivernaleDaims,4,FALSE),0)+(IF(QualitéAlimentsJeuneDaine_18_24_mois=MAUVAISE,VLOOKUP("Sorgho ensilé",AlimentsRationHivernaleDaims,4,FALSE),0)+(IF(QualitéAlimentsJeuneDaim_24_36_mois=MAUVAISE,VLOOKUP("Sorgho ensilé",AlimentsRationHivernaleDaims,3,FALSE),0)+(IF(QualitéAlimentsJeuneDaine_24_36_mois=MAUVAISE,VLOOKUP("Sorgho ensilé",AlimentsRationHivernaleDaims,3,FALSE),0)+(IF(QualitéAlimentsDaim=MAUVAISE,VLOOKUP("Sorgho ensilé",AlimentsRationHivernaleDaims,2,FALSE),0)+(IF(QualitéAlimentsDaine=MAUVAISE,VLOOKUP("Sorgho ensilé",AlimentsRationHivernaleDaims,2,FALSE),0))))))))))))))))</f>
        <v>0</v>
      </c>
      <c r="DZ106" s="1345"/>
      <c r="EA106" s="1345"/>
      <c r="EB106" s="1345"/>
      <c r="EC106" s="1345"/>
      <c r="ED106" s="1345"/>
      <c r="EE106" s="1345"/>
      <c r="EF106" s="1321"/>
      <c r="EG106" s="808" t="str">
        <f t="shared" si="31"/>
        <v>Eau</v>
      </c>
      <c r="EH106" s="817">
        <f t="array" ref="EH106">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06" s="817">
        <f t="array" ref="EI106">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06" s="817">
        <f t="array" ref="EJ106">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06" s="818">
        <f>SUM(AlimentsRationOiesFemelles[[#This Row],[Valeur 6 et plus]:[Valeur 0-3]])</f>
        <v>0</v>
      </c>
      <c r="EL106" s="1345"/>
      <c r="EM106" s="1321"/>
      <c r="EN106" s="823" t="str">
        <f t="shared" si="29"/>
        <v>Epinard</v>
      </c>
      <c r="EO106" s="828">
        <f t="array" ref="EO10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06" s="828">
        <f t="array" ref="EP10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06" s="828">
        <f t="array" ref="EQ10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06" s="829">
        <f>SUM(Ration_canards_Femelles[[#This Row],[Valeur 6 et plus]:[Valeur 0-3]])</f>
        <v>0</v>
      </c>
      <c r="ES106" s="1345"/>
      <c r="ET106" s="1321"/>
      <c r="EU106" s="1082" t="str">
        <f t="shared" si="44"/>
        <v>Chanvre</v>
      </c>
      <c r="EV106" s="1282">
        <f t="array" ref="EV106">IF(OR(ChoixRationComplèteEtéChevauxSelle=OUI,ChoixRationComplèteEtéChevauxSelle="",AND(ChoixChevauxSellePréHiver=OUI,ChoixChevauxSellePréEté=OUI)),0,IFERROR(IF(OR(AND(INDEX(Règles_chevaux_selle[Specificite],MATCH(RationEtéChevauxSelle&amp;$EU106,Règles_chevaux_selle[Ration]&amp;Règles_chevaux_selle[Aliment],0))="s1",IF($EU106=Spécificité1ChevauxSelle,1)),
AND(INDEX(Règles_chevaux_selle[Specificite],MATCH(RationEtéChevauxSelle&amp;$EU106,Règles_chevaux_selle[Ration]&amp;Règles_chevaux_selle[Aliment],0))="s2",IF($EU106=Spécificité2ChevauxSelle,1)),
INDEX(Règles_chevaux_selle[Specificite],MATCH(RationEtéChevauxSelle&amp;$EU106,Règles_chevaux_selle[Ration]&amp;Règles_chevaux_selle[Aliment],0))="c"),
INDEX(Règles_chevaux_selle[Valeur 36 et plus],MATCH(RationEtéChevauxSelle&amp;$EU106,Règles_chevaux_selle[Ration]&amp;Règles_chevaux_selle[Aliment],0)),0),0)*TotalJumentSelle*SUM(NbreJoursNourrirChevauxSelle))</f>
        <v>0</v>
      </c>
      <c r="EW106" s="1282">
        <f t="array" ref="EW106">IF(OR(ChoixRationComplèteEtéChevauxSelle=OUI,ChoixRationComplèteEtéChevauxSelle="",AND(ChoixChevauxSellePréHiver=OUI,ChoixChevauxSellePréEté=OUI)),0,IFERROR(IF(OR(AND(INDEX(Règles_chevaux_selle[Specificite],MATCH(RationEtéChevauxSelle&amp;$EU106,Règles_chevaux_selle[Ration]&amp;Règles_chevaux_selle[Aliment],0))="s1",IF($EU106=Spécificité1ChevauxSelle,1)),
AND(INDEX(Règles_chevaux_selle[Specificite],MATCH(RationEtéChevauxSelle&amp;$EU106,Règles_chevaux_selle[Ration]&amp;Règles_chevaux_selle[Aliment],0))="s2",IF($EU106=Spécificité2ChevauxSelle,1)),
INDEX(Règles_chevaux_selle[Specificite],MATCH(RationEtéChevauxSelle&amp;$EU106,Règles_chevaux_selle[Ration]&amp;Règles_chevaux_selle[Aliment],0))="c"),
INDEX(Règles_chevaux_selle[Valeur 24-36],MATCH(RationEtéChevauxSelle&amp;$EU106,Règles_chevaux_selle[Ration]&amp;Règles_chevaux_selle[Aliment],0)),0),0)*TotalJeuneJumentSelle_24_36_mois*SUM(NbreJoursNourrirChevauxSelle))</f>
        <v>0</v>
      </c>
      <c r="EX106" s="1282">
        <f t="array" ref="EX106">IF(OR(ChoixRationComplèteEtéChevauxSelle=OUI,ChoixRationComplèteEtéChevauxSelle="",AND(ChoixChevauxSellePréHiver=OUI,ChoixChevauxSellePréEté=OUI)),0,IFERROR(IF(OR(AND(INDEX(Règles_chevaux_selle[Specificite],MATCH(RationEtéChevauxSelle&amp;$EU106,Règles_chevaux_selle[Ration]&amp;Règles_chevaux_selle[Aliment],0))="s1",IF($EU106=Spécificité1ChevauxSelle,1)),
AND(INDEX(Règles_chevaux_selle[Specificite],MATCH(RationEtéChevauxSelle&amp;$EU106,Règles_chevaux_selle[Ration]&amp;Règles_chevaux_selle[Aliment],0))="s2",IF($EU106=Spécificité2ChevauxSelle,1)),
INDEX(Règles_chevaux_selle[Specificite],MATCH(RationEtéChevauxSelle&amp;$EU106,Règles_chevaux_selle[Ration]&amp;Règles_chevaux_selle[Aliment],0))="c"),
INDEX(Règles_chevaux_selle[Valeur 12-24],MATCH(RationEtéChevauxSelle&amp;$EU106,Règles_chevaux_selle[Ration]&amp;Règles_chevaux_selle[Aliment],0)),0),0)*TotalJeuneJumentSelle_12_24_mois*SUM(NbreJoursNourrirChevauxSelle))</f>
        <v>0</v>
      </c>
      <c r="EY106" s="1285">
        <f t="array" ref="EY106">IF(OR(ChoixRationComplèteEtéChevauxSelle=OUI,ChoixRationComplèteEtéChevauxSelle="",AND(ChoixChevauxSellePréHiver=OUI,ChoixChevauxSellePréEté=OUI)),0,IFERROR(IF(OR(AND(INDEX(Règles_chevaux_selle[Specificite],MATCH(RationEtéChevauxSelle&amp;$EU106,Règles_chevaux_selle[Ration]&amp;Règles_chevaux_selle[Aliment],0))="s1",IF($EU106=Spécificité1ChevauxSelle,1)),
AND(INDEX(Règles_chevaux_selle[Specificite],MATCH(RationEtéChevauxSelle&amp;$EU106,Règles_chevaux_selle[Ration]&amp;Règles_chevaux_selle[Aliment],0))="s2",IF($EU106=Spécificité2ChevauxSelle,1)),
INDEX(Règles_chevaux_selle[Specificite],MATCH(RationEtéChevauxSelle&amp;$EU106,Règles_chevaux_selle[Ration]&amp;Règles_chevaux_selle[Aliment],0))="c"),
INDEX(Règles_chevaux_selle[Valeur 0-12],MATCH(RationEtéChevauxSelle&amp;$EU106,Règles_chevaux_selle[Ration]&amp;Règles_chevaux_selle[Aliment],0)),0),0)*TotalPoulicheSelle_0_12_mois*SUM(NbreJoursNourrirChevauxSelle))</f>
        <v>0</v>
      </c>
      <c r="EZ106" s="1285">
        <f t="shared" si="43"/>
        <v>0</v>
      </c>
      <c r="FA106" s="1345"/>
      <c r="FB106" s="1345"/>
      <c r="FC106" s="1321"/>
      <c r="FD106" s="1082" t="str">
        <f t="shared" si="34"/>
        <v>Ensilage d'herbe</v>
      </c>
      <c r="FE106" s="1282">
        <f t="array" ref="FE106">IF(OR(ChoixRationComplèteEtéChevauxTrait=OUI,ChoixRationComplèteEtéChevauxTrait="",AND(ChoixChevauxTraitPréHiver=OUI,ChoixChevauxTraitPréEté=OUI)),0,IFERROR(IF(OR(AND(INDEX(Règles_chevaux_trait[Specificite],MATCH(RationEtéChevauxTrait&amp;$FD106,Règles_chevaux_trait[Ration]&amp;Règles_chevaux_trait[Aliment],0))="s1",IF($FD106=Spécificité1ChevauxTrait,1)),
AND(INDEX(Règles_chevaux_trait[Specificite],MATCH(RationEtéChevauxTrait&amp;$FD106,Règles_chevaux_trait[Ration]&amp;Règles_chevaux_trait[Aliment],0))="s2",IF($FD106=Spécificité2ChevauxTrait,1)),
INDEX(Règles_chevaux_trait[Specificite],MATCH(RationEtéChevauxTrait&amp;$FD106,Règles_chevaux_trait[Ration]&amp;Règles_chevaux_trait[Aliment],0))="c"),
INDEX(Règles_chevaux_trait[Valeur 36 et plus],MATCH(RationEtéChevauxTrait&amp;$FD106,Règles_chevaux_trait[Ration]&amp;Règles_chevaux_trait[Aliment],0)),0),0)*TotalJumentTrait*SUM(NbreJoursNourrirChevauxTrait))</f>
        <v>0</v>
      </c>
      <c r="FF106" s="1282">
        <f t="array" ref="FF106">IF(OR(ChoixRationComplèteEtéChevauxTrait=OUI,ChoixRationComplèteEtéChevauxTrait="",AND(ChoixChevauxTraitPréHiver=OUI,ChoixChevauxTraitPréEté=OUI)),0,IFERROR(IF(OR(AND(INDEX(Règles_chevaux_trait[Specificite],MATCH(RationEtéChevauxTrait&amp;$FD106,Règles_chevaux_trait[Ration]&amp;Règles_chevaux_trait[Aliment],0))="s1",IF($FD106=Spécificité1ChevauxTrait,1)),
AND(INDEX(Règles_chevaux_trait[Specificite],MATCH(RationEtéChevauxTrait&amp;$FD106,Règles_chevaux_trait[Ration]&amp;Règles_chevaux_trait[Aliment],0))="s2",IF($FD106=Spécificité2ChevauxTrait,1)),
INDEX(Règles_chevaux_trait[Specificite],MATCH(RationEtéChevauxTrait&amp;$FD106,Règles_chevaux_trait[Ration]&amp;Règles_chevaux_trait[Aliment],0))="c"),
INDEX(Règles_chevaux_trait[Valeur 24-36],MATCH(RationEtéChevauxTrait&amp;$FD106,Règles_chevaux_trait[Ration]&amp;Règles_chevaux_trait[Aliment],0)),0),0)*TotalJeuneJumentTrait_24_36_mois*SUM(NbreJoursNourrirChevauxTrait))</f>
        <v>0</v>
      </c>
      <c r="FG106" s="1282">
        <f t="array" ref="FG106">IF(OR(ChoixRationComplèteEtéChevauxTrait=OUI,ChoixRationComplèteEtéChevauxTrait="",AND(ChoixChevauxTraitPréHiver=OUI,ChoixChevauxTraitPréEté=OUI)),0,IFERROR(IF(OR(AND(INDEX(Règles_chevaux_trait[Specificite],MATCH(RationEtéChevauxTrait&amp;$FD106,Règles_chevaux_trait[Ration]&amp;Règles_chevaux_trait[Aliment],0))="s1",IF($FD106=Spécificité1ChevauxTrait,1)),
AND(INDEX(Règles_chevaux_trait[Specificite],MATCH(RationEtéChevauxTrait&amp;$FD106,Règles_chevaux_trait[Ration]&amp;Règles_chevaux_trait[Aliment],0))="s2",IF($FD106=Spécificité2ChevauxTrait,1)),
INDEX(Règles_chevaux_trait[Specificite],MATCH(RationEtéChevauxTrait&amp;$FD106,Règles_chevaux_trait[Ration]&amp;Règles_chevaux_trait[Aliment],0))="c"),
INDEX(Règles_chevaux_trait[Valeur 12-24],MATCH(RationEtéChevauxTrait&amp;$FD106,Règles_chevaux_trait[Ration]&amp;Règles_chevaux_trait[Aliment],0)),0),0)*TotalJeuneJumentTrait_12_24_mois*SUM(NbreJoursNourrirChevauxTrait))</f>
        <v>0</v>
      </c>
      <c r="FH106" s="1285">
        <f t="array" ref="FH106">IF(OR(ChoixRationComplèteEtéChevauxTrait=OUI,ChoixRationComplèteEtéChevauxTrait="",AND(ChoixChevauxTraitPréHiver=OUI,ChoixChevauxTraitPréEté=OUI)),0,IFERROR(IF(OR(AND(INDEX(Règles_chevaux_trait[Specificite],MATCH(RationEtéChevauxTrait&amp;$FD106,Règles_chevaux_trait[Ration]&amp;Règles_chevaux_trait[Aliment],0))="s1",IF($FD106=Spécificité1ChevauxTrait,1)),
AND(INDEX(Règles_chevaux_trait[Specificite],MATCH(RationEtéChevauxTrait&amp;$FD106,Règles_chevaux_trait[Ration]&amp;Règles_chevaux_trait[Aliment],0))="s2",IF($FD106=Spécificité2ChevauxTrait,1)),
INDEX(Règles_chevaux_trait[Specificite],MATCH(RationEtéChevauxTrait&amp;$FD106,Règles_chevaux_trait[Ration]&amp;Règles_chevaux_trait[Aliment],0))="c"),
INDEX(Règles_chevaux_trait[Valeur 0-12],MATCH(RationEtéChevauxTrait&amp;$FD106,Règles_chevaux_trait[Ration]&amp;Règles_chevaux_trait[Aliment],0)),0),0)*TotalPoulicheTrait_0_12_mois*SUM(NbreJoursNourrirChevauxTrait))</f>
        <v>0</v>
      </c>
      <c r="FI106" s="1285">
        <f t="shared" si="32"/>
        <v>0</v>
      </c>
      <c r="FJ106" s="1345"/>
      <c r="FK106" s="1345"/>
      <c r="FL106" s="1345"/>
      <c r="FM106" s="1321"/>
      <c r="FN106" s="1083" t="str">
        <f t="shared" si="33"/>
        <v>Eau</v>
      </c>
      <c r="FO106" s="1283">
        <f t="array" ref="FO106">IFERROR(IF(OR(AND(INDEX(Règles_poneys[Specificite],MATCH(RationEtéPoneys&amp;$FN106,Règles_poneys[Ration]&amp;Règles_poneys[Aliment],0))="s1",IF($FN106=Spécificité1Poneys,1)),
AND(INDEX(Règles_poneys[Specificite],MATCH(RationEtéPoneys&amp;$FN106,Règles_poneys[Ration]&amp;Règles_poneys[Aliment],0))="s2",IF($FN106=Spécificité2Poneys,1)),
INDEX(Règles_poneys[Specificite],MATCH(RationEtéPoneys&amp;$FN106,Règles_poneys[Ration]&amp;Règles_poneys[Aliment],0))="c"),
INDEX(Règles_poneys[Valeur 36 et plus],MATCH(RationEtéPoneys&amp;$FN106,Règles_poneys[Ration]&amp;Règles_poneys[Aliment],0)),0),0)*TotalJumentPoney*SUM(NbreJoursNourrirPoneys)</f>
        <v>0</v>
      </c>
      <c r="FP106" s="1283">
        <f t="array" ref="FP106">IFERROR(IF(OR(AND(INDEX(Règles_poneys[Specificite],MATCH(RationEtéPoneys&amp;$FN106,Règles_poneys[Ration]&amp;Règles_poneys[Aliment],0))="s1",IF($FN106=Spécificité1Poneys,1)),
AND(INDEX(Règles_poneys[Specificite],MATCH(RationEtéPoneys&amp;$FN106,Règles_poneys[Ration]&amp;Règles_poneys[Aliment],0))="s2",IF($FN106=Spécificité2Poneys,1)),
INDEX(Règles_poneys[Specificite],MATCH(RationEtéPoneys&amp;$FN106,Règles_poneys[Ration]&amp;Règles_poneys[Aliment],0))="c"),
INDEX(Règles_poneys[Valeur 36 et plus],MATCH(RationEtéPoneys&amp;$FN106,Règles_poneys[Ration]&amp;Règles_poneys[Aliment],0)),0),0)*TotalJeuneJumentPoney_24_36_mois*SUM(NbreJoursNourrirPoneys)</f>
        <v>0</v>
      </c>
      <c r="FQ106" s="1283">
        <f t="array" ref="FQ106">IFERROR(IF(OR(AND(INDEX(Règles_poneys[Specificite],MATCH(RationEtéPoneys&amp;$FN106,Règles_poneys[Ration]&amp;Règles_poneys[Aliment],0))="s1",IF($FN106=Spécificité1Poneys,1)),
AND(INDEX(Règles_poneys[Specificite],MATCH(RationEtéPoneys&amp;$FN106,Règles_poneys[Ration]&amp;Règles_poneys[Aliment],0))="s2",IF($FN106=Spécificité2Poneys,1)),
INDEX(Règles_poneys[Specificite],MATCH(RationEtéPoneys&amp;$FN106,Règles_poneys[Ration]&amp;Règles_poneys[Aliment],0))="c"),
INDEX(Règles_poneys[Valeur 36 et plus],MATCH(RationEtéPoneys&amp;$FN106,Règles_poneys[Ration]&amp;Règles_poneys[Aliment],0)),0),0)*TotalJeuneJumentPoney_12_24_mois*SUM(NbreJoursNourrirPoneys)</f>
        <v>0</v>
      </c>
      <c r="FR106" s="1286">
        <f t="array" ref="FR106">IFERROR(IF(OR(AND(INDEX(Règles_poneys[Specificite],MATCH(RationEtéPoneys&amp;$FN106,Règles_poneys[Ration]&amp;Règles_poneys[Aliment],0))="s1",IF($FN106=Spécificité1Poneys,1)),
AND(INDEX(Règles_poneys[Specificite],MATCH(RationEtéPoneys&amp;$FN106,Règles_poneys[Ration]&amp;Règles_poneys[Aliment],0))="s2",IF($FN106=Spécificité2Poneys,1)),
INDEX(Règles_poneys[Specificite],MATCH(RationEtéPoneys&amp;$FN106,Règles_poneys[Ration]&amp;Règles_poneys[Aliment],0))="c"),
INDEX(Règles_poneys[Valeur 36 et plus],MATCH(RationEtéPoneys&amp;$FN106,Règles_poneys[Ration]&amp;Règles_poneys[Aliment],0)),0),0)*TotalPoulichePoney_0_12_mois*SUM(NbreJoursNourrirPoneys)</f>
        <v>0</v>
      </c>
      <c r="FS106" s="1286">
        <f t="shared" si="30"/>
        <v>0</v>
      </c>
      <c r="FT106" s="1345"/>
      <c r="FU106" s="1345"/>
      <c r="FV106" s="1345"/>
      <c r="FW106" s="823" t="str">
        <f t="shared" si="28"/>
        <v>Lentille</v>
      </c>
      <c r="FX106" s="828">
        <f t="array" ref="FX10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06" s="828">
        <f t="array" ref="FY10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06" s="828">
        <f t="array" ref="FZ10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06" s="828">
        <f t="array" ref="GA10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06" s="829">
        <f>SUM(AlimentsGavageCanards[[#This Row],[Valeur 3 et plus]:[Valeur 0-1]])</f>
        <v>0</v>
      </c>
      <c r="GC106" s="1321"/>
      <c r="GD106" s="1321"/>
      <c r="GE106" s="1321"/>
      <c r="GF106" s="1321"/>
      <c r="GG106" s="1321" t="s">
        <v>1349</v>
      </c>
      <c r="GH106" s="1321" t="s">
        <v>1349</v>
      </c>
      <c r="GI106" s="1321" t="s">
        <v>1349</v>
      </c>
      <c r="GJ106" s="1321" t="s">
        <v>1349</v>
      </c>
      <c r="GK106" s="1321" t="s">
        <v>1349</v>
      </c>
      <c r="GL106" s="1321" t="s">
        <v>1349</v>
      </c>
      <c r="GM106" s="1321" t="s">
        <v>1349</v>
      </c>
      <c r="GN106" s="1321" t="s">
        <v>1349</v>
      </c>
      <c r="GO106" s="1321" t="s">
        <v>1349</v>
      </c>
      <c r="GP106" s="1321" t="s">
        <v>1349</v>
      </c>
      <c r="GQ106" s="1321" t="s">
        <v>1349</v>
      </c>
      <c r="GR106" s="1321" t="s">
        <v>1349</v>
      </c>
      <c r="GS106" s="1321" t="s">
        <v>1349</v>
      </c>
      <c r="GT106" s="1321" t="s">
        <v>1349</v>
      </c>
      <c r="GU106" s="1321" t="s">
        <v>1349</v>
      </c>
      <c r="GV106" s="1321" t="s">
        <v>1349</v>
      </c>
      <c r="GW106" s="1321"/>
      <c r="GX106" s="1321"/>
      <c r="GY106" s="1321"/>
      <c r="GZ106" s="1321"/>
      <c r="HA106" s="1321"/>
      <c r="HB106" s="1321"/>
      <c r="HC106" s="1321"/>
      <c r="HD106" s="1321"/>
      <c r="HE106" s="1321"/>
      <c r="HF106" s="1321"/>
      <c r="HG106" s="1321"/>
      <c r="HH106" s="1321"/>
      <c r="HI106" s="1321"/>
      <c r="HJ106" s="1321"/>
      <c r="HK106" s="1321"/>
      <c r="HL106" s="1321"/>
      <c r="HM106" s="1321"/>
      <c r="HN106" s="1100" t="s">
        <v>1717</v>
      </c>
      <c r="HO106" s="1084" t="e">
        <f>IF(SUM((VLOOKUP(HN106,AlimentsRationBovinsMâles,9,FALSE)+VLOOKUP(HN106,AlimentsRationBovinsFemelles,9,FALSE)+VLOOKUP(HN106,BDD!BB$284:BJ$323,9,FALSE))/1000/SUM(NbreJoursNourrirBovins)*IF('semences, engrais et traitement'!I$16=OUI,42,84))&lt;0,0,SUM((VLOOKUP(HN106,AlimentsRationBovinsMâles,9,FALSE)+VLOOKUP(HN106,AlimentsRationBovinsFemelles,9,FALSE)+VLOOKUP(HN106,BDD!BB$284:BJ$323,9,FALSE))/1000/SUM(NbreJoursNourrirBovins)*IF('semences, engrais et traitement'!I$16=OUI,42,84)))</f>
        <v>#DIV/0!</v>
      </c>
      <c r="HP106" s="1084">
        <f t="shared" si="36"/>
        <v>0</v>
      </c>
      <c r="HQ106" s="1084" t="e">
        <f>IF(SUM(VLOOKUP(HN106,AlimentsRationPorcinsMâles[],7,FALSE)+VLOOKUP(HN106,AlimentsRationPorcinsFemelles[],7,FALSE))/1000/SUM(NbreJoursNourrirAutres)*84&lt;0,0,SUM(VLOOKUP(HN106,AlimentsRationPorcinsMâles[],7,FALSE)+VLOOKUP(HN106,AlimentsRationPorcinsFemelles[],7,FALSE)/1000/SUM(NbreJoursNourrirAutres)*84))</f>
        <v>#DIV/0!</v>
      </c>
      <c r="HR106" s="1084" t="e">
        <f>IF(SUM(VLOOKUP(HN106,AlimentsRationCaprinsMâles,6,FALSE)+VLOOKUP(HN106,AlimentsRationCaprinsFemelles,6,FALSE))/1000/SUM(NbreJoursNourrirCaprins)*IF('semences, engrais et traitement'!I$17=OUI,42,84)&lt;0,0,SUM(VLOOKUP(HN106,AlimentsRationCaprinsMâles,6,FALSE)+VLOOKUP(HN106,AlimentsRationCaprinsFemelles,6,FALSE))/1000/SUM(NbreJoursNourrirCaprins)*IF('semences, engrais et traitement'!I$17=OUI,42,84))</f>
        <v>#DIV/0!</v>
      </c>
      <c r="HS106" s="1084" t="e">
        <f>IF(SUM(VLOOKUP(HN106,AlimentsRationVolaillesMâles[],5,FALSE)+VLOOKUP(HN106,AlimentsRationVolaillesFemelles[],5,FALSE))/1000/SUM(NbreJoursNourrirAutres)*84&lt;0,0,SUM(VLOOKUP(HN106,AlimentsRationVolaillesMâles[],5,FALSE)+VLOOKUP(HN106,AlimentsRationVolaillesFemelles[],5,FALSE)/1000/SUM(NbreJoursNourrirAutres)*84))</f>
        <v>#DIV/0!</v>
      </c>
      <c r="HT106" s="1084" t="e">
        <f>IF(SUM(VLOOKUP(HN106,AlimentsRationPintadesMâles[],5,FALSE)+VLOOKUP(HN106,AlimentsRationPintadesFemelles[],5,FALSE))/1000/SUM(NbreJoursNourrirAutres)*84&lt;0,0,SUM(VLOOKUP(HN106,AlimentsRationPintadesMâles[],5,FALSE)+VLOOKUP(HN106,AlimentsRationPintadesFemelles[],5,FALSE)/1000/SUM(NbreJoursNourrirAutres)*84))</f>
        <v>#DIV/0!</v>
      </c>
      <c r="HU106" s="1084" t="e">
        <f>IF(SUM(VLOOKUP(HN106,AlimentsRationLapinsMâles[],5,FALSE)+VLOOKUP(HN106,AlimentsRationLapinsFemelles[],5,FALSE))/1000/SUM(NbreJoursNourrirAutres)*84&lt;0,0,SUM(VLOOKUP(HN106,AlimentsRationLapinsMâles[],5,FALSE)+VLOOKUP(HN106,AlimentsRationLapinsFemelles[],5,FALSE)/1000/SUM(NbreJoursNourrirAutres)*84))</f>
        <v>#DIV/0!</v>
      </c>
      <c r="HV106" s="1084" t="e">
        <f>IF(SUM(VLOOKUP(HN106,AlimentsRationOvinsMâles,6,FALSE)+VLOOKUP(HN106,AlimentsRationOvinsFemelles,6,FALSE))/1000/SUM(NbreJoursNourrirOvins)*IF('semences, engrais et traitement'!I$18=OUI,42,84)&lt;0,0,SUM(VLOOKUP(HN106,AlimentsRationOvinsMâles,6,FALSE)+VLOOKUP(HN106,AlimentsRationOvinsFemelles,6,FALSE))/1000/SUM(NbreJoursNourrirOvins)*IF('semences, engrais et traitement'!I$18=OUI,42,84))</f>
        <v>#DIV/0!</v>
      </c>
      <c r="HW106" s="1084" t="e">
        <f>IF(SUM(VLOOKUP(HN106,AlimentsRationOiesMâles[],5,FALSE)+VLOOKUP(HN106,AlimentsRationOiesFemelles[],5,FALSE))/1000/SUM(NbreJoursNourrirAutres)*84&lt;0,0,SUM(VLOOKUP(HN106,AlimentsRationOiesMâles[],5,FALSE)+VLOOKUP(HN106,AlimentsRationOiesFemelles[],5,FALSE)/1000/SUM(NbreJoursNourrirAutres)*84))</f>
        <v>#DIV/0!</v>
      </c>
      <c r="HX106" s="1084" t="e">
        <f t="shared" si="37"/>
        <v>#DIV/0!</v>
      </c>
      <c r="HY106" s="1084" t="e">
        <f>IF(SUM(VLOOKUP(HN106,AlimentsRationEcurieChevauxMâlesSelle,6,FALSE)+VLOOKUP(HN106,AlimentsRationEcurieChevauxFemellesSelle,6,FALSE))/1000/SUM(NbreJoursNourrirChevauxSelle)*IF('semences, engrais et traitement'!M$16=OUI,56,84)&lt;0,0,SUM(VLOOKUP(HN106,AlimentsRationEcurieChevauxMâlesSelle,6,FALSE)+VLOOKUP(HN106,AlimentsRationEcurieChevauxFemellesSelle,6,FALSE))/1000/SUM(NbreJoursNourrirChevauxSelle)*IF('semences, engrais et traitement'!M$16=OUI,56,84))</f>
        <v>#DIV/0!</v>
      </c>
      <c r="HZ106" s="1084" t="e">
        <f>IF(SUM(VLOOKUP(HN106,AlimentsRationEcurieChevauxMâlesTrait,6,FALSE)+VLOOKUP(HN106,AlimentsRationEcurieChevauxFemellesTrait,6,FALSE))/1000/SUM(NbreJoursNourrirChevauxTrait)*IF('semences, engrais et traitement'!M$17=OUI,56,84)&lt;0,0,SUM(VLOOKUP(HN106,AlimentsRationEcurieChevauxMâlesTrait,6,FALSE)+VLOOKUP(HN106,AlimentsRationEcurieChevauxFemellesTrait,6,FALSE))/1000/SUM(NbreJoursNourrirChevauxTrait)*IF('semences, engrais et traitement'!M$17=OUI,56,84))</f>
        <v>#DIV/0!</v>
      </c>
      <c r="IA106" s="1084" t="e">
        <f>IF(SUM(VLOOKUP(HN106,AlimentsRationEcuriePoneysMâles,6,FALSE)+VLOOKUP(HN106,AlimentsRationEcuriePoneysFemelles,6,FALSE))/1000/SUM(NbreJoursNourrirPoneys)*IF('semences, engrais et traitement'!M$18=OUI,56,84)&lt;0,0,SUM(VLOOKUP(HN106,AlimentsRationEcuriePoneysMâles,6,FALSE)+VLOOKUP(HN106,AlimentsRationEcuriePoneysFemelles,6,FALSE))/1000/SUM(NbreJoursNourrirPoneys)*IF('semences, engrais et traitement'!M$18=OUI,56,84))</f>
        <v>#DIV/0!</v>
      </c>
      <c r="IB106" s="1100" t="e">
        <f t="shared" si="38"/>
        <v>#DIV/0!</v>
      </c>
      <c r="IC106" s="1321"/>
      <c r="ID106" s="1321"/>
      <c r="IE106" s="1321"/>
      <c r="IF106" s="1321"/>
      <c r="IG106" s="1321"/>
      <c r="IH106" s="1321"/>
      <c r="II106" s="1321"/>
      <c r="IJ106" s="1321"/>
      <c r="IK106" s="1321"/>
      <c r="IL106" s="1321"/>
      <c r="IM106" s="1321"/>
      <c r="IN106" s="1368"/>
    </row>
    <row r="107" spans="1:248" ht="12.75" customHeight="1" x14ac:dyDescent="0.2">
      <c r="A107" s="1307" t="s">
        <v>149</v>
      </c>
      <c r="B107" s="1241">
        <f t="shared" si="39"/>
        <v>1E-3</v>
      </c>
      <c r="C107" s="1321"/>
      <c r="D107" s="1321"/>
      <c r="E107" s="1321"/>
      <c r="F107" s="1143" t="s">
        <v>300</v>
      </c>
      <c r="G107" s="1143" t="s">
        <v>1186</v>
      </c>
      <c r="H107" s="1143" t="s">
        <v>1202</v>
      </c>
      <c r="I107" s="1244" t="s">
        <v>1167</v>
      </c>
      <c r="J107" s="1244" t="s">
        <v>1212</v>
      </c>
      <c r="K107" s="1244" t="s">
        <v>1210</v>
      </c>
      <c r="L107" s="1244" t="s">
        <v>1216</v>
      </c>
      <c r="M107" s="1321"/>
      <c r="N107" s="1321"/>
      <c r="O107" s="1321"/>
      <c r="P107" s="1321"/>
      <c r="Q107" s="1321"/>
      <c r="R107" s="1321"/>
      <c r="S107" s="1321"/>
      <c r="T107" s="1321"/>
      <c r="U107" s="1321"/>
      <c r="V107" s="1321"/>
      <c r="W107" s="1321"/>
      <c r="X107" s="1321"/>
      <c r="Y107" s="1321"/>
      <c r="Z107" s="1321"/>
      <c r="AA107" s="1321"/>
      <c r="AB107" s="1321"/>
      <c r="AC107" s="1321"/>
      <c r="AD107" s="1321"/>
      <c r="AE107" s="1321"/>
      <c r="AF107" s="1321"/>
      <c r="AG107" s="1321"/>
      <c r="AH107" s="1321"/>
      <c r="AI107" s="1321"/>
      <c r="AJ107" s="1321"/>
      <c r="AK107" s="1321"/>
      <c r="AL107" s="1321"/>
      <c r="AM107" s="1321"/>
      <c r="AN107" s="1321"/>
      <c r="AO107" s="1321"/>
      <c r="AP107" s="1321"/>
      <c r="AQ107" s="1321"/>
      <c r="AR107" s="1321"/>
      <c r="AS107" s="1321"/>
      <c r="AT107" s="1321"/>
      <c r="AU107" s="1321"/>
      <c r="AV107" s="1321"/>
      <c r="AW107" s="1321"/>
      <c r="AX107" s="1321"/>
      <c r="AY107" s="1321"/>
      <c r="AZ107" s="1321"/>
      <c r="BA107" s="1321"/>
      <c r="BB107" s="1236" t="s">
        <v>729</v>
      </c>
      <c r="BC107" s="1190" t="s">
        <v>733</v>
      </c>
      <c r="BD107" s="1190" t="s">
        <v>1252</v>
      </c>
      <c r="BE107" s="1237">
        <v>200</v>
      </c>
      <c r="BF107" s="1237">
        <v>100</v>
      </c>
      <c r="BG107" s="1237">
        <v>80</v>
      </c>
      <c r="BH107" s="1237">
        <v>60</v>
      </c>
      <c r="BI107" s="1237">
        <v>40</v>
      </c>
      <c r="BJ107" s="1237">
        <v>28</v>
      </c>
      <c r="BK107" s="1238">
        <v>12</v>
      </c>
      <c r="BL107" s="1348"/>
      <c r="BM107" s="1349"/>
      <c r="BN107" s="1336"/>
      <c r="BO107" s="1336"/>
      <c r="BP107" s="1336"/>
      <c r="BQ107" s="1336"/>
      <c r="BR107" s="1336"/>
      <c r="BS107" s="1336"/>
      <c r="BT107" s="1336"/>
      <c r="BU107" s="1354"/>
      <c r="BV107" s="1346"/>
      <c r="BW107" s="1345"/>
      <c r="BX107" s="1075" t="s">
        <v>523</v>
      </c>
      <c r="BY107" s="1075">
        <f t="array" ref="BY107">IF(ChoixRationComplèteCaprins=OUI,0,IFERROR(IF(OR(AND(INDEX(Règles_caprins[Specificite],MATCH(ChoixRationCaprins&amp;$BX107,Règles_caprins[Ration]&amp;Règles_caprins[Aliment],0))="s1",IF($BX107=Spécificité1Caprins,1)),
INDEX(Règles_caprins[Specificite],MATCH(ChoixRationCaprins&amp;$BX107,Règles_caprins[Ration]&amp;Règles_caprins[Aliment],0))="c"),
INDEX(Règles_caprins[Valeur 12 et plus],MATCH(ChoixRationCaprins&amp;$BX107,Règles_caprins[Ration]&amp;Règles_caprins[Aliment],0)),0),0)*TotalBoucs*SUM(NbreJoursNourrirCaprins))</f>
        <v>0</v>
      </c>
      <c r="BZ107" s="1075">
        <f t="array" ref="BZ107">IF(ChoixRationComplèteCaprins=OUI,0,IFERROR(IF(OR(AND(INDEX(Règles_caprins[Specificite],MATCH(ChoixRationCaprins&amp;$BX107,Règles_caprins[Ration]&amp;Règles_caprins[Aliment],0))="s1",IF($BX107=Spécificité1Caprins,1)),
INDEX(Règles_caprins[Specificite],MATCH(ChoixRationCaprins&amp;$BX107,Règles_caprins[Ration]&amp;Règles_caprins[Aliment],0))="c"),
INDEX(Règles_caprins[Valeur 6-12],MATCH(ChoixRationCaprins&amp;$BX107,Règles_caprins[Ration]&amp;Règles_caprins[Aliment],0)),0),0)*jeune_bouc_6_12_mois*SUM(NbreJoursNourrirCaprins))</f>
        <v>0</v>
      </c>
      <c r="CA107" s="1075">
        <f t="array" ref="CA107">IF(ChoixRationComplèteCaprins=OUI,0,IFERROR(IF(OR(AND(INDEX(Règles_caprins[Specificite],MATCH(ChoixRationCaprins&amp;$BX107,Règles_caprins[Ration]&amp;Règles_caprins[Aliment],0))="s1",IF($BX107=Spécificité1Caprins,1)),
INDEX(Règles_caprins[Specificite],MATCH(ChoixRationCaprins&amp;$BX107,Règles_caprins[Ration]&amp;Règles_caprins[Aliment],0))="c"),
INDEX(Règles_caprins[Valeur 3-6],MATCH(ChoixRationCaprins&amp;$BX107,Règles_caprins[Ration]&amp;Règles_caprins[Aliment],0)),0),0)*chevreau_3_6_mois*SUM(NbreJoursNourrirCaprins))</f>
        <v>0</v>
      </c>
      <c r="CB107" s="1075">
        <f t="array" ref="CB107">IF(ChoixRationComplèteCaprins=OUI,0,IFERROR(IF(OR(AND(INDEX(Règles_caprins[Specificite],MATCH(ChoixRationCaprins&amp;$BX107,Règles_caprins[Ration]&amp;Règles_caprins[Aliment],0))="s1",IF($BX107=Spécificité1Caprins,1)),
INDEX(Règles_caprins[Specificite],MATCH(ChoixRationCaprins&amp;$BX107,Règles_caprins[Ration]&amp;Règles_caprins[Aliment],0))="c"),
INDEX(Règles_caprins[Valeur 0-3],MATCH(ChoixRationCaprins&amp;$BX107,Règles_caprins[Ration]&amp;Règles_caprins[Aliment],0)),0),0)*chevreau_0_3_mois*SUM(NbreJoursNourrirCaprins))</f>
        <v>0</v>
      </c>
      <c r="CC107" s="1075">
        <f t="shared" si="45"/>
        <v>0</v>
      </c>
      <c r="CD107" s="1345"/>
      <c r="CE107" s="1345"/>
      <c r="CF107" s="1345"/>
      <c r="CG107" s="1345"/>
      <c r="CH107" s="1321"/>
      <c r="CI107" s="1321"/>
      <c r="CJ107" s="808" t="str">
        <f t="shared" si="26"/>
        <v>Minéraux + vitamines</v>
      </c>
      <c r="CK107" s="788">
        <f t="array" ref="CK10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07" s="788">
        <f t="array" ref="CL10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07" s="788">
        <f t="array" ref="CM10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07" s="788">
        <f t="array" ref="CN10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07" s="788">
        <f t="array" ref="CO10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07" s="812">
        <f>SUM(AlimentsRationPorcinsFemelles[[#This Row],[Valeur 12 et plus]:[Valeur 0-1]])</f>
        <v>0</v>
      </c>
      <c r="CQ107" s="1345"/>
      <c r="CR107" s="1321"/>
      <c r="CS107" s="808" t="str">
        <f t="shared" si="40"/>
        <v>concentré jeunes lapins</v>
      </c>
      <c r="CT107" s="817">
        <f t="array" ref="CT10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07" s="817">
        <f t="array" ref="CU10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07" s="817">
        <f t="array" ref="CV10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07" s="818">
        <f>SUM(AlimentsRationLapinsFemelles[[#This Row],[Valeur 3 et plus]:[Valeur 0-1]])</f>
        <v>0</v>
      </c>
      <c r="CX107" s="1321"/>
      <c r="CY107" s="1321"/>
      <c r="CZ107" s="808" t="str">
        <f t="shared" si="41"/>
        <v>concentré jeunes lapins</v>
      </c>
      <c r="DA107" s="817">
        <f t="array" ref="DA10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07" s="817">
        <f t="array" ref="DB10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07" s="817">
        <f t="array" ref="DC10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07" s="818">
        <f>SUM(AlimentsRationVolaillesFemelles[[#This Row],[Valeur 6 et plus]:[Valeur 0-1]])</f>
        <v>0</v>
      </c>
      <c r="DE107" s="1345"/>
      <c r="DF107" s="1321"/>
      <c r="DG107" s="788" t="str">
        <f t="shared" si="27"/>
        <v>Maïs ensilé</v>
      </c>
      <c r="DH107" s="817">
        <f t="array" ref="DH10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07" s="817">
        <f t="array" ref="DI10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07" s="817">
        <f t="array" ref="DJ10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07" s="821">
        <f>SUM(AlimentsRationPintadesFemelles[[#This Row],[Valeur 6 et plus]:[Valeur 0-1]])</f>
        <v>0</v>
      </c>
      <c r="DL107" s="1321"/>
      <c r="DM107" s="1321"/>
      <c r="DN107" s="1176" t="s">
        <v>1316</v>
      </c>
      <c r="DO107" s="1177" t="s">
        <v>723</v>
      </c>
      <c r="DP107" s="1177" t="s">
        <v>1252</v>
      </c>
      <c r="DQ107" s="1181"/>
      <c r="DR107" s="1181"/>
      <c r="DS107" s="1181"/>
      <c r="DT107" s="1243"/>
      <c r="DU107" s="1345"/>
      <c r="DV107" s="1075" t="str">
        <f t="shared" si="24"/>
        <v>Tournesol</v>
      </c>
      <c r="DW107" s="1269">
        <f t="array" ref="DW107">SUM((IF(QualitéAlimentsFaonMâle_0_3_mois=BONNE,VLOOKUP("Tournesol",AlimentsRationHivernaleDaims,8,FALSE),0)+(IF(QualitéAlimentsFaonFemelle_0_3_mois=BONNE,VLOOKUP("Tournesol",AlimentsRationHivernaleDaims,8,FALSE),0)+(IF(QualitéAlimentsFaonMâle_3_6_mois=BONNE,VLOOKUP("Tournesol",AlimentsRationHivernaleDaims,7,FALSE),0)+(IF(QualitéAlimentsFaonFemelle_3_6_mois=BONNE,VLOOKUP("Tournesol",AlimentsRationHivernaleDaims,7,FALSE),0)+(IF(QualitéAlimentsFaonMâle_6_12_mois=BONNE,VLOOKUP("Tournesol",AlimentsRationHivernaleDaims,6,FALSE),0)+(IF(QualitéAlimentsFaonFemelle_6_12_mois=BONNE,VLOOKUP("Tournesol",AlimentsRationHivernaleDaims,6,FALSE),0)+(IF(QualitéAlimentsJeuneDaim_12_18_mois=BONNE,VLOOKUP("Tournesol",AlimentsRationHivernaleDaims,5,FALSE),0)+(IF(QualitéAlimentsJeuneDaine_12_18_mois=BONNE,VLOOKUP("Tournesol",AlimentsRationHivernaleDaims,5,FALSE),0)+(IF(QualitéAlimentsJeuneDaim_18_24_mois=BONNE,VLOOKUP("Tournesol",AlimentsRationHivernaleDaims,4,FALSE),0)+(IF(QualitéAlimentsJeuneDaine_18_24_mois=BONNE,VLOOKUP("Tournesol",AlimentsRationHivernaleDaims,4,FALSE),0)+(IF(QualitéAlimentsJeuneDaim_24_36_mois=BONNE,VLOOKUP("Tournesol",AlimentsRationHivernaleDaims,3,FALSE),0)+(IF(QualitéAlimentsJeuneDaine_24_36_mois=BONNE,VLOOKUP("Tournesol",AlimentsRationHivernaleDaims,3,FALSE),0)+(IF(QualitéAlimentsDaim=BONNE,VLOOKUP("Tournesol",AlimentsRationHivernaleDaims,2,FALSE),0)+(IF(QualitéAlimentsDaine=BONNE,VLOOKUP("Tournesol",AlimentsRationHivernaleDaims,2,FALSE),0))))))))))))))))</f>
        <v>0</v>
      </c>
      <c r="DX107" s="1269">
        <f t="array" ref="DX107">SUM((IF(QualitéAlimentsFaonMâle_0_3_mois=MOYENNE,VLOOKUP("Tournesol",AlimentsRationHivernaleDaims,8,FALSE),0)+(IF(QualitéAlimentsFaonFemelle_0_3_mois=MOYENNE,VLOOKUP("Tournesol",AlimentsRationHivernaleDaims,8,FALSE),0)+(IF(QualitéAlimentsFaonMâle_3_6_mois=MOYENNE,VLOOKUP("Tournesol",AlimentsRationHivernaleDaims,7,FALSE),0)+(IF(QualitéAlimentsFaonFemelle_3_6_mois=MOYENNE,VLOOKUP("Tournesol",AlimentsRationHivernaleDaims,7,FALSE),0)+(IF(QualitéAlimentsFaonMâle_6_12_mois=MOYENNE,VLOOKUP("Tournesol",AlimentsRationHivernaleDaims,6,FALSE),0)+(IF(QualitéAlimentsFaonFemelle_6_12_mois=MOYENNE,VLOOKUP("Tournesol",AlimentsRationHivernaleDaims,6,FALSE),0)+(IF(QualitéAlimentsJeuneDaim_12_18_mois=MOYENNE,VLOOKUP("Tournesol",AlimentsRationHivernaleDaims,5,FALSE),0)+(IF(QualitéAlimentsJeuneDaine_12_18_mois=MOYENNE,VLOOKUP("Tournesol",AlimentsRationHivernaleDaims,5,FALSE),0)+(IF(QualitéAlimentsJeuneDaim_18_24_mois=MOYENNE,VLOOKUP("Tournesol",AlimentsRationHivernaleDaims,4,FALSE),0)+(IF(QualitéAlimentsJeuneDaine_18_24_mois=MOYENNE,VLOOKUP("Tournesol",AlimentsRationHivernaleDaims,4,FALSE),0)+(IF(QualitéAlimentsJeuneDaim_24_36_mois=MOYENNE,VLOOKUP("Tournesol",AlimentsRationHivernaleDaims,3,FALSE),0)+(IF(QualitéAlimentsJeuneDaine_24_36_mois=MOYENNE,VLOOKUP("Tournesol",AlimentsRationHivernaleDaims,3,FALSE),0)+(IF(QualitéAlimentsDaim=MOYENNE,VLOOKUP("Tournesol",AlimentsRationHivernaleDaims,2,FALSE),0)+(IF(QualitéAlimentsDaine=MOYENNE,VLOOKUP("Tournesol",AlimentsRationHivernaleDaims,2,FALSE),0))))))))))))))))</f>
        <v>0</v>
      </c>
      <c r="DY107" s="1269">
        <f t="array" ref="DY107">SUM((IF(QualitéAlimentsFaonMâle_0_3_mois=MAUVAISE,VLOOKUP("Tournesol",AlimentsRationHivernaleDaims,8,FALSE),0)+(IF(QualitéAlimentsFaonFemelle_0_3_mois=MAUVAISE,VLOOKUP("Tournesol",AlimentsRationHivernaleDaims,8,FALSE),0)+(IF(QualitéAlimentsFaonMâle_3_6_mois=MAUVAISE,VLOOKUP("Tournesol",AlimentsRationHivernaleDaims,7,FALSE),0)+(IF(QualitéAlimentsFaonFemelle_3_6_mois=MAUVAISE,VLOOKUP("Tournesol",AlimentsRationHivernaleDaims,7,FALSE),0)+(IF(QualitéAlimentsFaonMâle_6_12_mois=MAUVAISE,VLOOKUP("Tournesol",AlimentsRationHivernaleDaims,6,FALSE),0)+(IF(QualitéAlimentsFaonFemelle_6_12_mois=MAUVAISE,VLOOKUP("Tournesol",AlimentsRationHivernaleDaims,6,FALSE),0)+(IF(QualitéAlimentsJeuneDaim_12_18_mois=MAUVAISE,VLOOKUP("Tournesol",AlimentsRationHivernaleDaims,5,FALSE),0)+(IF(QualitéAlimentsJeuneDaine_12_18_mois=MAUVAISE,VLOOKUP("Tournesol",AlimentsRationHivernaleDaims,5,FALSE),0)+(IF(QualitéAlimentsJeuneDaim_18_24_mois=MAUVAISE,VLOOKUP("Tournesol",AlimentsRationHivernaleDaims,4,FALSE),0)+(IF(QualitéAlimentsJeuneDaine_18_24_mois=MAUVAISE,VLOOKUP("Tournesol",AlimentsRationHivernaleDaims,4,FALSE),0)+(IF(QualitéAlimentsJeuneDaim_24_36_mois=MAUVAISE,VLOOKUP("Tournesol",AlimentsRationHivernaleDaims,3,FALSE),0)+(IF(QualitéAlimentsJeuneDaine_24_36_mois=MAUVAISE,VLOOKUP("Tournesol",AlimentsRationHivernaleDaims,3,FALSE),0)+(IF(QualitéAlimentsDaim=MAUVAISE,VLOOKUP("Tournesol",AlimentsRationHivernaleDaims,2,FALSE),0)+(IF(QualitéAlimentsDaine=MAUVAISE,VLOOKUP("Tournesol",AlimentsRationHivernaleDaims,2,FALSE),0))))))))))))))))</f>
        <v>0</v>
      </c>
      <c r="DZ107" s="1345"/>
      <c r="EA107" s="1345"/>
      <c r="EB107" s="1345"/>
      <c r="EC107" s="1345"/>
      <c r="ED107" s="1345"/>
      <c r="EE107" s="1345"/>
      <c r="EF107" s="1321"/>
      <c r="EG107" s="808" t="str">
        <f t="shared" si="31"/>
        <v>Epinard</v>
      </c>
      <c r="EH107" s="817">
        <f t="array" ref="EH10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07" s="817">
        <f t="array" ref="EI10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07" s="817">
        <f t="array" ref="EJ10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07" s="818">
        <f>SUM(AlimentsRationOiesFemelles[[#This Row],[Valeur 6 et plus]:[Valeur 0-3]])</f>
        <v>0</v>
      </c>
      <c r="EL107" s="1345"/>
      <c r="EM107" s="1321"/>
      <c r="EN107" s="823" t="str">
        <f t="shared" si="29"/>
        <v>Féverole</v>
      </c>
      <c r="EO107" s="828">
        <f t="array" ref="EO10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07" s="828">
        <f t="array" ref="EP10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07" s="828">
        <f t="array" ref="EQ10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07" s="829">
        <f>SUM(Ration_canards_Femelles[[#This Row],[Valeur 6 et plus]:[Valeur 0-3]])</f>
        <v>0</v>
      </c>
      <c r="ES107" s="1345"/>
      <c r="ET107" s="1321"/>
      <c r="EU107" s="1083" t="str">
        <f t="shared" si="44"/>
        <v>Canola</v>
      </c>
      <c r="EV107" s="1283">
        <f t="array" ref="EV107">IF(OR(ChoixRationComplèteEtéChevauxSelle=OUI,ChoixRationComplèteEtéChevauxSelle="",AND(ChoixChevauxSellePréHiver=OUI,ChoixChevauxSellePréEté=OUI)),0,IFERROR(IF(OR(AND(INDEX(Règles_chevaux_selle[Specificite],MATCH(RationEtéChevauxSelle&amp;$EU107,Règles_chevaux_selle[Ration]&amp;Règles_chevaux_selle[Aliment],0))="s1",IF($EU107=Spécificité1ChevauxSelle,1)),
AND(INDEX(Règles_chevaux_selle[Specificite],MATCH(RationEtéChevauxSelle&amp;$EU107,Règles_chevaux_selle[Ration]&amp;Règles_chevaux_selle[Aliment],0))="s2",IF($EU107=Spécificité2ChevauxSelle,1)),
INDEX(Règles_chevaux_selle[Specificite],MATCH(RationEtéChevauxSelle&amp;$EU107,Règles_chevaux_selle[Ration]&amp;Règles_chevaux_selle[Aliment],0))="c"),
INDEX(Règles_chevaux_selle[Valeur 36 et plus],MATCH(RationEtéChevauxSelle&amp;$EU107,Règles_chevaux_selle[Ration]&amp;Règles_chevaux_selle[Aliment],0)),0),0)*TotalJumentSelle*SUM(NbreJoursNourrirChevauxSelle))</f>
        <v>0</v>
      </c>
      <c r="EW107" s="1283">
        <f t="array" ref="EW107">IF(OR(ChoixRationComplèteEtéChevauxSelle=OUI,ChoixRationComplèteEtéChevauxSelle="",AND(ChoixChevauxSellePréHiver=OUI,ChoixChevauxSellePréEté=OUI)),0,IFERROR(IF(OR(AND(INDEX(Règles_chevaux_selle[Specificite],MATCH(RationEtéChevauxSelle&amp;$EU107,Règles_chevaux_selle[Ration]&amp;Règles_chevaux_selle[Aliment],0))="s1",IF($EU107=Spécificité1ChevauxSelle,1)),
AND(INDEX(Règles_chevaux_selle[Specificite],MATCH(RationEtéChevauxSelle&amp;$EU107,Règles_chevaux_selle[Ration]&amp;Règles_chevaux_selle[Aliment],0))="s2",IF($EU107=Spécificité2ChevauxSelle,1)),
INDEX(Règles_chevaux_selle[Specificite],MATCH(RationEtéChevauxSelle&amp;$EU107,Règles_chevaux_selle[Ration]&amp;Règles_chevaux_selle[Aliment],0))="c"),
INDEX(Règles_chevaux_selle[Valeur 24-36],MATCH(RationEtéChevauxSelle&amp;$EU107,Règles_chevaux_selle[Ration]&amp;Règles_chevaux_selle[Aliment],0)),0),0)*TotalJeuneJumentSelle_24_36_mois*SUM(NbreJoursNourrirChevauxSelle))</f>
        <v>0</v>
      </c>
      <c r="EX107" s="1283">
        <f t="array" ref="EX107">IF(OR(ChoixRationComplèteEtéChevauxSelle=OUI,ChoixRationComplèteEtéChevauxSelle="",AND(ChoixChevauxSellePréHiver=OUI,ChoixChevauxSellePréEté=OUI)),0,IFERROR(IF(OR(AND(INDEX(Règles_chevaux_selle[Specificite],MATCH(RationEtéChevauxSelle&amp;$EU107,Règles_chevaux_selle[Ration]&amp;Règles_chevaux_selle[Aliment],0))="s1",IF($EU107=Spécificité1ChevauxSelle,1)),
AND(INDEX(Règles_chevaux_selle[Specificite],MATCH(RationEtéChevauxSelle&amp;$EU107,Règles_chevaux_selle[Ration]&amp;Règles_chevaux_selle[Aliment],0))="s2",IF($EU107=Spécificité2ChevauxSelle,1)),
INDEX(Règles_chevaux_selle[Specificite],MATCH(RationEtéChevauxSelle&amp;$EU107,Règles_chevaux_selle[Ration]&amp;Règles_chevaux_selle[Aliment],0))="c"),
INDEX(Règles_chevaux_selle[Valeur 12-24],MATCH(RationEtéChevauxSelle&amp;$EU107,Règles_chevaux_selle[Ration]&amp;Règles_chevaux_selle[Aliment],0)),0),0)*TotalJeuneJumentSelle_12_24_mois*SUM(NbreJoursNourrirChevauxSelle))</f>
        <v>0</v>
      </c>
      <c r="EY107" s="1286">
        <f t="array" ref="EY107">IF(OR(ChoixRationComplèteEtéChevauxSelle=OUI,ChoixRationComplèteEtéChevauxSelle="",AND(ChoixChevauxSellePréHiver=OUI,ChoixChevauxSellePréEté=OUI)),0,IFERROR(IF(OR(AND(INDEX(Règles_chevaux_selle[Specificite],MATCH(RationEtéChevauxSelle&amp;$EU107,Règles_chevaux_selle[Ration]&amp;Règles_chevaux_selle[Aliment],0))="s1",IF($EU107=Spécificité1ChevauxSelle,1)),
AND(INDEX(Règles_chevaux_selle[Specificite],MATCH(RationEtéChevauxSelle&amp;$EU107,Règles_chevaux_selle[Ration]&amp;Règles_chevaux_selle[Aliment],0))="s2",IF($EU107=Spécificité2ChevauxSelle,1)),
INDEX(Règles_chevaux_selle[Specificite],MATCH(RationEtéChevauxSelle&amp;$EU107,Règles_chevaux_selle[Ration]&amp;Règles_chevaux_selle[Aliment],0))="c"),
INDEX(Règles_chevaux_selle[Valeur 0-12],MATCH(RationEtéChevauxSelle&amp;$EU107,Règles_chevaux_selle[Ration]&amp;Règles_chevaux_selle[Aliment],0)),0),0)*TotalPoulicheSelle_0_12_mois*SUM(NbreJoursNourrirChevauxSelle))</f>
        <v>0</v>
      </c>
      <c r="EZ107" s="1286">
        <f t="shared" si="43"/>
        <v>0</v>
      </c>
      <c r="FA107" s="1345"/>
      <c r="FB107" s="1345"/>
      <c r="FC107" s="1321"/>
      <c r="FD107" s="1083" t="str">
        <f t="shared" si="34"/>
        <v>Eau</v>
      </c>
      <c r="FE107" s="1283">
        <f t="array" ref="FE107">IFERROR(IF(OR(AND(INDEX(Règles_chevaux_trait[Specificite],MATCH(RationEtéChevauxTrait&amp;$FD107,Règles_chevaux_trait[Ration]&amp;Règles_chevaux_trait[Aliment],0))="s1",IF($FD107=Spécificité1ChevauxTrait,1)),
AND(INDEX(Règles_chevaux_trait[Specificite],MATCH(RationEtéChevauxTrait&amp;$FD107,Règles_chevaux_trait[Ration]&amp;Règles_chevaux_trait[Aliment],0))="s2",IF($FD107=Spécificité2ChevauxTrait,1)),
INDEX(Règles_chevaux_trait[Specificite],MATCH(RationEtéChevauxTrait&amp;$FD107,Règles_chevaux_trait[Ration]&amp;Règles_chevaux_trait[Aliment],0))="c"),
INDEX(Règles_chevaux_trait[Valeur 36 et plus],MATCH(RationEtéChevauxTrait&amp;$FD107,Règles_chevaux_trait[Ration]&amp;Règles_chevaux_trait[Aliment],0)),0),0)*TotalJumentTrait*SUM(NbreJoursNourrirChevauxTrait)</f>
        <v>0</v>
      </c>
      <c r="FF107" s="1283">
        <f t="array" ref="FF107">IFERROR(IF(OR(AND(INDEX(Règles_chevaux_trait[Specificite],MATCH(RationEtéChevauxTrait&amp;$FD107,Règles_chevaux_trait[Ration]&amp;Règles_chevaux_trait[Aliment],0))="s1",IF($FD107=Spécificité1ChevauxTrait,1)),
AND(INDEX(Règles_chevaux_trait[Specificite],MATCH(RationEtéChevauxTrait&amp;$FD107,Règles_chevaux_trait[Ration]&amp;Règles_chevaux_trait[Aliment],0))="s2",IF($FD107=Spécificité2ChevauxTrait,1)),
INDEX(Règles_chevaux_trait[Specificite],MATCH(RationEtéChevauxTrait&amp;$FD107,Règles_chevaux_trait[Ration]&amp;Règles_chevaux_trait[Aliment],0))="c"),
INDEX(Règles_chevaux_trait[Valeur 24-36],MATCH(RationEtéChevauxTrait&amp;$FD107,Règles_chevaux_trait[Ration]&amp;Règles_chevaux_trait[Aliment],0)),0),0)*TotalJeuneJumentTrait_24_36_mois*SUM(NbreJoursNourrirChevauxTrait)</f>
        <v>0</v>
      </c>
      <c r="FG107" s="1283">
        <f t="array" ref="FG107">IFERROR(IF(OR(AND(INDEX(Règles_chevaux_trait[Specificite],MATCH(RationEtéChevauxTrait&amp;$FD107,Règles_chevaux_trait[Ration]&amp;Règles_chevaux_trait[Aliment],0))="s1",IF($FD107=Spécificité1ChevauxTrait,1)),
AND(INDEX(Règles_chevaux_trait[Specificite],MATCH(RationEtéChevauxTrait&amp;$FD107,Règles_chevaux_trait[Ration]&amp;Règles_chevaux_trait[Aliment],0))="s2",IF($FD107=Spécificité2ChevauxTrait,1)),
INDEX(Règles_chevaux_trait[Specificite],MATCH(RationEtéChevauxTrait&amp;$FD107,Règles_chevaux_trait[Ration]&amp;Règles_chevaux_trait[Aliment],0))="c"),
INDEX(Règles_chevaux_trait[Valeur 12-24],MATCH(RationEtéChevauxTrait&amp;$FD107,Règles_chevaux_trait[Ration]&amp;Règles_chevaux_trait[Aliment],0)),0),0)*TotalJeuneJumentTrait_12_24_mois*SUM(NbreJoursNourrirChevauxTrait)</f>
        <v>0</v>
      </c>
      <c r="FH107" s="1286">
        <f t="array" ref="FH107">IFERROR(IF(OR(AND(INDEX(Règles_chevaux_trait[Specificite],MATCH(RationEtéChevauxTrait&amp;$FD107,Règles_chevaux_trait[Ration]&amp;Règles_chevaux_trait[Aliment],0))="s1",IF($FD107=Spécificité1ChevauxTrait,1)),
AND(INDEX(Règles_chevaux_trait[Specificite],MATCH(RationEtéChevauxTrait&amp;$FD107,Règles_chevaux_trait[Ration]&amp;Règles_chevaux_trait[Aliment],0))="s2",IF($FD107=Spécificité2ChevauxTrait,1)),
INDEX(Règles_chevaux_trait[Specificite],MATCH(RationEtéChevauxTrait&amp;$FD107,Règles_chevaux_trait[Ration]&amp;Règles_chevaux_trait[Aliment],0))="c"),
INDEX(Règles_chevaux_trait[Valeur 0-12],MATCH(RationEtéChevauxTrait&amp;$FD107,Règles_chevaux_trait[Ration]&amp;Règles_chevaux_trait[Aliment],0)),0),0)*TotalPoulicheTrait_0_12_mois*SUM(NbreJoursNourrirChevauxTrait)</f>
        <v>0</v>
      </c>
      <c r="FI107" s="1286">
        <f t="shared" si="32"/>
        <v>0</v>
      </c>
      <c r="FJ107" s="1345"/>
      <c r="FK107" s="1345"/>
      <c r="FL107" s="1345"/>
      <c r="FM107" s="1321"/>
      <c r="FN107" s="1082" t="str">
        <f t="shared" si="33"/>
        <v>Epinard</v>
      </c>
      <c r="FO107" s="1282">
        <f t="array" ref="FO107">IF(OR(ChoixRationComplèteEtéPoneys=OUI,ChoixRationComplèteEtéPoneys="",AND(ChoixPoneysPréHiver=OUI,ChoixPoneysPréEté=OUI)),0,IFERROR(IF(OR(AND(INDEX(Règles_poneys[Specificite],MATCH(RationEtéPoneys&amp;$FN107,Règles_poneys[Ration]&amp;Règles_poneys[Aliment],0))="s1",IF($FN107=Spécificité1Poneys,1)),
AND(INDEX(Règles_poneys[Specificite],MATCH(RationEtéPoneys&amp;$FN107,Règles_poneys[Ration]&amp;Règles_poneys[Aliment],0))="s2",IF($FN107=Spécificité2Poneys,1)),
INDEX(Règles_poneys[Specificite],MATCH(RationEtéPoneys&amp;$FN107,Règles_poneys[Ration]&amp;Règles_poneys[Aliment],0))="c"),
INDEX(Règles_poneys[Valeur 36 et plus],MATCH(RationEtéPoneys&amp;$FN107,Règles_poneys[Ration]&amp;Règles_poneys[Aliment],0)),0),0)*TotalJumentPoney*SUM(NbreJoursNourrirPoneys))</f>
        <v>0</v>
      </c>
      <c r="FP107" s="1282">
        <f t="array" ref="FP107">IF(OR(ChoixRationComplèteEtéPoneys=OUI,ChoixRationComplèteEtéPoneys="",AND(ChoixPoneysPréHiver=OUI,ChoixPoneysPréEté=OUI)),0,IFERROR(IF(OR(AND(INDEX(Règles_poneys[Specificite],MATCH(RationEtéPoneys&amp;$FN107,Règles_poneys[Ration]&amp;Règles_poneys[Aliment],0))="s1",IF($FN107=Spécificité1Poneys,1)),
AND(INDEX(Règles_poneys[Specificite],MATCH(RationEtéPoneys&amp;$FN107,Règles_poneys[Ration]&amp;Règles_poneys[Aliment],0))="s2",IF($FN107=Spécificité2Poneys,1)),
INDEX(Règles_poneys[Specificite],MATCH(RationEtéPoneys&amp;$FN107,Règles_poneys[Ration]&amp;Règles_poneys[Aliment],0))="c"),
INDEX(Règles_poneys[Valeur 36 et plus],MATCH(RationEtéPoneys&amp;$FN107,Règles_poneys[Ration]&amp;Règles_poneys[Aliment],0)),0),0)*TotalJeuneJumentPoney_24_36_mois*SUM(NbreJoursNourrirPoneys))</f>
        <v>0</v>
      </c>
      <c r="FQ107" s="1282">
        <f t="array" ref="FQ107">IF(OR(ChoixRationComplèteEtéPoneys=OUI,ChoixRationComplèteEtéPoneys="",AND(ChoixPoneysPréHiver=OUI,ChoixPoneysPréEté=OUI)),0,IFERROR(IF(OR(AND(INDEX(Règles_poneys[Specificite],MATCH(RationEtéPoneys&amp;$FN107,Règles_poneys[Ration]&amp;Règles_poneys[Aliment],0))="s1",IF($FN107=Spécificité1Poneys,1)),
AND(INDEX(Règles_poneys[Specificite],MATCH(RationEtéPoneys&amp;$FN107,Règles_poneys[Ration]&amp;Règles_poneys[Aliment],0))="s2",IF($FN107=Spécificité2Poneys,1)),
INDEX(Règles_poneys[Specificite],MATCH(RationEtéPoneys&amp;$FN107,Règles_poneys[Ration]&amp;Règles_poneys[Aliment],0))="c"),
INDEX(Règles_poneys[Valeur 36 et plus],MATCH(RationEtéPoneys&amp;$FN107,Règles_poneys[Ration]&amp;Règles_poneys[Aliment],0)),0),0)*TotalJeuneJumentPoney_12_24_mois*SUM(NbreJoursNourrirPoneys))</f>
        <v>0</v>
      </c>
      <c r="FR107" s="1285">
        <f t="array" ref="FR107">IF(OR(ChoixRationComplèteEtéPoneys=OUI,ChoixRationComplèteEtéPoneys="",AND(ChoixPoneysPréHiver=OUI,ChoixPoneysPréEté=OUI)),0,IFERROR(IF(OR(AND(INDEX(Règles_poneys[Specificite],MATCH(RationEtéPoneys&amp;$FN107,Règles_poneys[Ration]&amp;Règles_poneys[Aliment],0))="s1",IF($FN107=Spécificité1Poneys,1)),
AND(INDEX(Règles_poneys[Specificite],MATCH(RationEtéPoneys&amp;$FN107,Règles_poneys[Ration]&amp;Règles_poneys[Aliment],0))="s2",IF($FN107=Spécificité2Poneys,1)),
INDEX(Règles_poneys[Specificite],MATCH(RationEtéPoneys&amp;$FN107,Règles_poneys[Ration]&amp;Règles_poneys[Aliment],0))="c"),
INDEX(Règles_poneys[Valeur 36 et plus],MATCH(RationEtéPoneys&amp;$FN107,Règles_poneys[Ration]&amp;Règles_poneys[Aliment],0)),0),0)*TotalPoulichePoney_0_12_mois*SUM(NbreJoursNourrirPoneys))</f>
        <v>0</v>
      </c>
      <c r="FS107" s="1285">
        <f t="shared" si="30"/>
        <v>0</v>
      </c>
      <c r="FT107" s="1345"/>
      <c r="FU107" s="1345"/>
      <c r="FV107" s="1345"/>
      <c r="FW107" s="823" t="str">
        <f t="shared" si="28"/>
        <v>Maïs ensilé</v>
      </c>
      <c r="FX107" s="828">
        <f t="array" ref="FX10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07" s="828">
        <f t="array" ref="FY10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07" s="828">
        <f t="array" ref="FZ10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07" s="828">
        <f t="array" ref="GA10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07" s="829">
        <f>SUM(AlimentsGavageCanards[[#This Row],[Valeur 3 et plus]:[Valeur 0-1]])</f>
        <v>0</v>
      </c>
      <c r="GC107" s="1321"/>
      <c r="GD107" s="1321"/>
      <c r="GE107" s="1321"/>
      <c r="GF107" s="1321"/>
      <c r="GG107" s="1321"/>
      <c r="GH107" s="1321"/>
      <c r="GI107" s="1321"/>
      <c r="GJ107" s="1321"/>
      <c r="GK107" s="1321"/>
      <c r="GL107" s="1321"/>
      <c r="GM107" s="1321"/>
      <c r="GN107" s="1321"/>
      <c r="GO107" s="1321"/>
      <c r="GP107" s="1321"/>
      <c r="GQ107" s="1321"/>
      <c r="GR107" s="1321"/>
      <c r="GS107" s="1321"/>
      <c r="GT107" s="1321"/>
      <c r="GU107" s="1321"/>
      <c r="GV107" s="1321"/>
      <c r="GW107" s="1321"/>
      <c r="GX107" s="1321"/>
      <c r="GY107" s="1321"/>
      <c r="GZ107" s="1321"/>
      <c r="HA107" s="1321"/>
      <c r="HB107" s="1321"/>
      <c r="HC107" s="1321"/>
      <c r="HD107" s="1321"/>
      <c r="HE107" s="1321"/>
      <c r="HF107" s="1321"/>
      <c r="HG107" s="1321"/>
      <c r="HH107" s="1321"/>
      <c r="HI107" s="1321"/>
      <c r="HJ107" s="1321"/>
      <c r="HK107" s="1321"/>
      <c r="HL107" s="1321"/>
      <c r="HM107" s="1321"/>
      <c r="HN107" s="1099" t="s">
        <v>728</v>
      </c>
      <c r="HO107" s="1085" t="e">
        <f>IF(SUM((VLOOKUP(HN107,AlimentsRationBovinsMâles,9,FALSE)+VLOOKUP(HN107,AlimentsRationBovinsFemelles,9,FALSE)+VLOOKUP(HN107,BDD!BB$284:BJ$323,9,FALSE))/1000/SUM(NbreJoursNourrirBovins)*IF('semences, engrais et traitement'!I$16=OUI,42,84))&lt;0,0,SUM((VLOOKUP(HN107,AlimentsRationBovinsMâles,9,FALSE)+VLOOKUP(HN107,AlimentsRationBovinsFemelles,9,FALSE)+VLOOKUP(HN107,BDD!BB$284:BJ$323,9,FALSE))/1000/SUM(NbreJoursNourrirBovins)*IF('semences, engrais et traitement'!I$16=OUI,42,84)))</f>
        <v>#DIV/0!</v>
      </c>
      <c r="HP107" s="1085">
        <f t="shared" si="36"/>
        <v>0</v>
      </c>
      <c r="HQ107" s="1085" t="e">
        <f>IF(SUM(VLOOKUP(HN107,AlimentsRationPorcinsMâles[],7,FALSE)+VLOOKUP(HN107,AlimentsRationPorcinsFemelles[],7,FALSE))/1000/SUM(NbreJoursNourrirAutres)*84&lt;0,0,SUM(VLOOKUP(HN107,AlimentsRationPorcinsMâles[],7,FALSE)+VLOOKUP(HN107,AlimentsRationPorcinsFemelles[],7,FALSE)/1000/SUM(NbreJoursNourrirAutres)*84))</f>
        <v>#DIV/0!</v>
      </c>
      <c r="HR107" s="1085" t="e">
        <f>IF(SUM(VLOOKUP(HN107,AlimentsRationCaprinsMâles,6,FALSE)+VLOOKUP(HN107,AlimentsRationCaprinsFemelles,6,FALSE))/1000/SUM(NbreJoursNourrirCaprins)*IF('semences, engrais et traitement'!I$17=OUI,42,84)&lt;0,0,SUM(VLOOKUP(HN107,AlimentsRationCaprinsMâles,6,FALSE)+VLOOKUP(HN107,AlimentsRationCaprinsFemelles,6,FALSE))/1000/SUM(NbreJoursNourrirCaprins)*IF('semences, engrais et traitement'!I$17=OUI,42,84))</f>
        <v>#DIV/0!</v>
      </c>
      <c r="HS107" s="1085" t="e">
        <f>IF(SUM(VLOOKUP(HN107,AlimentsRationVolaillesMâles[],5,FALSE)+VLOOKUP(HN107,AlimentsRationVolaillesFemelles[],5,FALSE))/1000/SUM(NbreJoursNourrirAutres)*84&lt;0,0,SUM(VLOOKUP(HN107,AlimentsRationVolaillesMâles[],5,FALSE)+VLOOKUP(HN107,AlimentsRationVolaillesFemelles[],5,FALSE)/1000/SUM(NbreJoursNourrirAutres)*84))</f>
        <v>#DIV/0!</v>
      </c>
      <c r="HT107" s="1085" t="e">
        <f>IF(SUM(VLOOKUP(HN107,AlimentsRationPintadesMâles[],5,FALSE)+VLOOKUP(HN107,AlimentsRationPintadesFemelles[],5,FALSE))/1000/SUM(NbreJoursNourrirAutres)*84&lt;0,0,SUM(VLOOKUP(HN107,AlimentsRationPintadesMâles[],5,FALSE)+VLOOKUP(HN107,AlimentsRationPintadesFemelles[],5,FALSE)/1000/SUM(NbreJoursNourrirAutres)*84))</f>
        <v>#DIV/0!</v>
      </c>
      <c r="HU107" s="1085" t="e">
        <f>IF(SUM(VLOOKUP(HN107,AlimentsRationLapinsMâles[],5,FALSE)+VLOOKUP(HN107,AlimentsRationLapinsFemelles[],5,FALSE))/1000/SUM(NbreJoursNourrirAutres)*84&lt;0,0,SUM(VLOOKUP(HN107,AlimentsRationLapinsMâles[],5,FALSE)+VLOOKUP(HN107,AlimentsRationLapinsFemelles[],5,FALSE)/1000/SUM(NbreJoursNourrirAutres)*84))</f>
        <v>#DIV/0!</v>
      </c>
      <c r="HV107" s="1085" t="e">
        <f>IF(SUM(VLOOKUP(HN107,AlimentsRationOvinsMâles,6,FALSE)+VLOOKUP(HN107,AlimentsRationOvinsFemelles,6,FALSE))/1000/SUM(NbreJoursNourrirOvins)*IF('semences, engrais et traitement'!I$18=OUI,42,84)&lt;0,0,SUM(VLOOKUP(HN107,AlimentsRationOvinsMâles,6,FALSE)+VLOOKUP(HN107,AlimentsRationOvinsFemelles,6,FALSE))/1000/SUM(NbreJoursNourrirOvins)*IF('semences, engrais et traitement'!I$18=OUI,42,84))</f>
        <v>#DIV/0!</v>
      </c>
      <c r="HW107" s="1085" t="e">
        <f>IF(SUM(VLOOKUP(HN107,AlimentsRationOiesMâles[],5,FALSE)+VLOOKUP(HN107,AlimentsRationOiesFemelles[],5,FALSE))/1000/SUM(NbreJoursNourrirAutres)*84&lt;0,0,SUM(VLOOKUP(HN107,AlimentsRationOiesMâles[],5,FALSE)+VLOOKUP(HN107,AlimentsRationOiesFemelles[],5,FALSE)/1000/SUM(NbreJoursNourrirAutres)*84))</f>
        <v>#DIV/0!</v>
      </c>
      <c r="HX107" s="1085" t="e">
        <f t="shared" si="37"/>
        <v>#DIV/0!</v>
      </c>
      <c r="HY107" s="1085" t="e">
        <f>IF(SUM(VLOOKUP(HN107,AlimentsRationEcurieChevauxMâlesSelle,6,FALSE)+VLOOKUP(HN107,AlimentsRationEcurieChevauxFemellesSelle,6,FALSE))/1000/SUM(NbreJoursNourrirChevauxSelle)*IF('semences, engrais et traitement'!M$16=OUI,56,84)&lt;0,0,SUM(VLOOKUP(HN107,AlimentsRationEcurieChevauxMâlesSelle,6,FALSE)+VLOOKUP(HN107,AlimentsRationEcurieChevauxFemellesSelle,6,FALSE))/1000/SUM(NbreJoursNourrirChevauxSelle)*IF('semences, engrais et traitement'!M$16=OUI,56,84))</f>
        <v>#DIV/0!</v>
      </c>
      <c r="HZ107" s="1085" t="e">
        <f>IF(SUM(VLOOKUP(HN107,AlimentsRationEcurieChevauxMâlesTrait,6,FALSE)+VLOOKUP(HN107,AlimentsRationEcurieChevauxFemellesTrait,6,FALSE))/1000/SUM(NbreJoursNourrirChevauxTrait)*IF('semences, engrais et traitement'!M$17=OUI,56,84)&lt;0,0,SUM(VLOOKUP(HN107,AlimentsRationEcurieChevauxMâlesTrait,6,FALSE)+VLOOKUP(HN107,AlimentsRationEcurieChevauxFemellesTrait,6,FALSE))/1000/SUM(NbreJoursNourrirChevauxTrait)*IF('semences, engrais et traitement'!M$17=OUI,56,84))</f>
        <v>#DIV/0!</v>
      </c>
      <c r="IA107" s="1085" t="e">
        <f>IF(SUM(VLOOKUP(HN107,AlimentsRationEcuriePoneysMâles,6,FALSE)+VLOOKUP(HN107,AlimentsRationEcuriePoneysFemelles,6,FALSE))/1000/SUM(NbreJoursNourrirPoneys)*IF('semences, engrais et traitement'!M$18=OUI,56,84)&lt;0,0,SUM(VLOOKUP(HN107,AlimentsRationEcuriePoneysMâles,6,FALSE)+VLOOKUP(HN107,AlimentsRationEcuriePoneysFemelles,6,FALSE))/1000/SUM(NbreJoursNourrirPoneys)*IF('semences, engrais et traitement'!M$18=OUI,56,84))</f>
        <v>#DIV/0!</v>
      </c>
      <c r="IB107" s="1099" t="e">
        <f t="shared" si="38"/>
        <v>#DIV/0!</v>
      </c>
      <c r="IC107" s="1321"/>
      <c r="ID107" s="1321"/>
      <c r="IE107" s="1321"/>
      <c r="IF107" s="1321"/>
      <c r="IG107" s="1321"/>
      <c r="IH107" s="1321"/>
      <c r="II107" s="1321"/>
      <c r="IJ107" s="1321"/>
      <c r="IK107" s="1321"/>
      <c r="IL107" s="1321"/>
      <c r="IM107" s="1321"/>
      <c r="IN107" s="1368"/>
    </row>
    <row r="108" spans="1:248" ht="12.75" customHeight="1" x14ac:dyDescent="0.2">
      <c r="A108" s="1307" t="s">
        <v>290</v>
      </c>
      <c r="B108" s="1241">
        <f t="shared" si="39"/>
        <v>1E-3</v>
      </c>
      <c r="C108" s="1321"/>
      <c r="D108" s="1321"/>
      <c r="E108" s="1321"/>
      <c r="F108" s="1149" t="s">
        <v>501</v>
      </c>
      <c r="G108" s="1149" t="s">
        <v>1187</v>
      </c>
      <c r="H108" s="1149" t="s">
        <v>1188</v>
      </c>
      <c r="I108" s="1149" t="s">
        <v>1188</v>
      </c>
      <c r="J108" s="1245" t="s">
        <v>1213</v>
      </c>
      <c r="K108" s="1245" t="s">
        <v>1213</v>
      </c>
      <c r="L108" s="1245" t="s">
        <v>1213</v>
      </c>
      <c r="M108" s="1321"/>
      <c r="N108" s="1321"/>
      <c r="O108" s="1321"/>
      <c r="P108" s="1321"/>
      <c r="Q108" s="1321"/>
      <c r="R108" s="1303" t="s">
        <v>1753</v>
      </c>
      <c r="S108" s="1314"/>
      <c r="T108" s="1314"/>
      <c r="U108" s="1314"/>
      <c r="V108" s="1314"/>
      <c r="W108" s="1321"/>
      <c r="X108" s="1321"/>
      <c r="Y108" s="1321"/>
      <c r="Z108" s="1321"/>
      <c r="AA108" s="1321"/>
      <c r="AB108" s="1321"/>
      <c r="AC108" s="1321"/>
      <c r="AD108" s="1321"/>
      <c r="AE108" s="1321"/>
      <c r="AF108" s="1321"/>
      <c r="AG108" s="1321"/>
      <c r="AH108" s="1321"/>
      <c r="AI108" s="1321"/>
      <c r="AJ108" s="1321"/>
      <c r="AK108" s="1321"/>
      <c r="AL108" s="1321"/>
      <c r="AM108" s="1321"/>
      <c r="AN108" s="1321"/>
      <c r="AO108" s="1321"/>
      <c r="AP108" s="1321"/>
      <c r="AQ108" s="1321"/>
      <c r="AR108" s="1321"/>
      <c r="AS108" s="1321"/>
      <c r="AT108" s="1321"/>
      <c r="AU108" s="1321"/>
      <c r="AV108" s="1321"/>
      <c r="AW108" s="1321"/>
      <c r="AX108" s="1321"/>
      <c r="AY108" s="1321"/>
      <c r="AZ108" s="1321"/>
      <c r="BA108" s="1321"/>
      <c r="BB108" s="1236" t="s">
        <v>1314</v>
      </c>
      <c r="BC108" s="1190" t="s">
        <v>723</v>
      </c>
      <c r="BD108" s="1190" t="s">
        <v>1277</v>
      </c>
      <c r="BE108" s="1237">
        <v>83</v>
      </c>
      <c r="BF108" s="1237">
        <v>71</v>
      </c>
      <c r="BG108" s="1237">
        <v>64</v>
      </c>
      <c r="BH108" s="1237">
        <v>55</v>
      </c>
      <c r="BI108" s="1237">
        <v>45</v>
      </c>
      <c r="BJ108" s="1237">
        <v>37</v>
      </c>
      <c r="BK108" s="1238">
        <v>0</v>
      </c>
      <c r="BL108" s="1348"/>
      <c r="BM108" s="1349" t="s">
        <v>1279</v>
      </c>
      <c r="BN108" s="1336"/>
      <c r="BO108" s="1336"/>
      <c r="BP108" s="1336"/>
      <c r="BQ108" s="1336"/>
      <c r="BR108" s="1336"/>
      <c r="BS108" s="1336"/>
      <c r="BT108" s="1336"/>
      <c r="BU108" s="1354"/>
      <c r="BV108" s="1345"/>
      <c r="BW108" s="1345"/>
      <c r="BX108" s="1076" t="s">
        <v>285</v>
      </c>
      <c r="BY108" s="1076">
        <f t="array" ref="BY108">IF(ChoixRationComplèteCaprins=OUI,0,IFERROR(IF(OR(AND(INDEX(Règles_caprins[Specificite],MATCH(ChoixRationCaprins&amp;$BX108,Règles_caprins[Ration]&amp;Règles_caprins[Aliment],0))="s1",IF($BX108=Spécificité1Caprins,1)),
INDEX(Règles_caprins[Specificite],MATCH(ChoixRationCaprins&amp;$BX108,Règles_caprins[Ration]&amp;Règles_caprins[Aliment],0))="c"),
INDEX(Règles_caprins[Valeur 12 et plus],MATCH(ChoixRationCaprins&amp;$BX108,Règles_caprins[Ration]&amp;Règles_caprins[Aliment],0)),0),0)*TotalBoucs*SUM(NbreJoursNourrirCaprins))</f>
        <v>0</v>
      </c>
      <c r="BZ108" s="1076">
        <f t="array" ref="BZ108">IF(ChoixRationComplèteCaprins=OUI,0,IFERROR(IF(OR(AND(INDEX(Règles_caprins[Specificite],MATCH(ChoixRationCaprins&amp;$BX108,Règles_caprins[Ration]&amp;Règles_caprins[Aliment],0))="s1",IF($BX108=Spécificité1Caprins,1)),
INDEX(Règles_caprins[Specificite],MATCH(ChoixRationCaprins&amp;$BX108,Règles_caprins[Ration]&amp;Règles_caprins[Aliment],0))="c"),
INDEX(Règles_caprins[Valeur 6-12],MATCH(ChoixRationCaprins&amp;$BX108,Règles_caprins[Ration]&amp;Règles_caprins[Aliment],0)),0),0)*jeune_bouc_6_12_mois*SUM(NbreJoursNourrirCaprins))</f>
        <v>0</v>
      </c>
      <c r="CA108" s="1076">
        <f t="array" ref="CA108">IF(ChoixRationComplèteCaprins=OUI,0,IFERROR(IF(OR(AND(INDEX(Règles_caprins[Specificite],MATCH(ChoixRationCaprins&amp;$BX108,Règles_caprins[Ration]&amp;Règles_caprins[Aliment],0))="s1",IF($BX108=Spécificité1Caprins,1)),
INDEX(Règles_caprins[Specificite],MATCH(ChoixRationCaprins&amp;$BX108,Règles_caprins[Ration]&amp;Règles_caprins[Aliment],0))="c"),
INDEX(Règles_caprins[Valeur 3-6],MATCH(ChoixRationCaprins&amp;$BX108,Règles_caprins[Ration]&amp;Règles_caprins[Aliment],0)),0),0)*chevreau_3_6_mois*SUM(NbreJoursNourrirCaprins))</f>
        <v>0</v>
      </c>
      <c r="CB108" s="1076">
        <f t="array" ref="CB108">IF(ChoixRationComplèteCaprins=OUI,0,IFERROR(IF(OR(AND(INDEX(Règles_caprins[Specificite],MATCH(ChoixRationCaprins&amp;$BX108,Règles_caprins[Ration]&amp;Règles_caprins[Aliment],0))="s1",IF($BX108=Spécificité1Caprins,1)),
INDEX(Règles_caprins[Specificite],MATCH(ChoixRationCaprins&amp;$BX108,Règles_caprins[Ration]&amp;Règles_caprins[Aliment],0))="c"),
INDEX(Règles_caprins[Valeur 0-3],MATCH(ChoixRationCaprins&amp;$BX108,Règles_caprins[Ration]&amp;Règles_caprins[Aliment],0)),0),0)*chevreau_0_3_mois*SUM(NbreJoursNourrirCaprins))</f>
        <v>0</v>
      </c>
      <c r="CC108" s="1076">
        <f t="shared" si="45"/>
        <v>0</v>
      </c>
      <c r="CD108" s="1345"/>
      <c r="CE108" s="1345"/>
      <c r="CF108" s="1345"/>
      <c r="CG108" s="1345"/>
      <c r="CH108" s="1321"/>
      <c r="CI108" s="1321"/>
      <c r="CJ108" s="808" t="str">
        <f t="shared" si="26"/>
        <v>Orge</v>
      </c>
      <c r="CK108" s="788">
        <f t="array" ref="CK10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08" s="788">
        <f t="array" ref="CL10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08" s="788">
        <f t="array" ref="CM10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08" s="788">
        <f t="array" ref="CN10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08" s="788">
        <f t="array" ref="CO10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08" s="812">
        <f>SUM(AlimentsRationPorcinsFemelles[[#This Row],[Valeur 12 et plus]:[Valeur 0-1]])</f>
        <v>0</v>
      </c>
      <c r="CQ108" s="1345"/>
      <c r="CR108" s="1321"/>
      <c r="CS108" s="808" t="str">
        <f t="shared" si="40"/>
        <v>concentré jeunes porcins</v>
      </c>
      <c r="CT108" s="817">
        <f t="array" ref="CT108">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08" s="817">
        <f t="array" ref="CU108">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08" s="817">
        <f t="array" ref="CV108">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08" s="818">
        <f>SUM(AlimentsRationLapinsFemelles[[#This Row],[Valeur 3 et plus]:[Valeur 0-1]])</f>
        <v>0</v>
      </c>
      <c r="CX108" s="1321"/>
      <c r="CY108" s="1321"/>
      <c r="CZ108" s="808" t="str">
        <f t="shared" si="41"/>
        <v>concentré jeunes porcins</v>
      </c>
      <c r="DA108" s="817">
        <f t="array" ref="DA108">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08" s="817">
        <f t="array" ref="DB108">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08" s="817">
        <f t="array" ref="DC108">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08" s="818">
        <f>SUM(AlimentsRationVolaillesFemelles[[#This Row],[Valeur 6 et plus]:[Valeur 0-1]])</f>
        <v>0</v>
      </c>
      <c r="DE108" s="1345"/>
      <c r="DF108" s="1321"/>
      <c r="DG108" s="788" t="str">
        <f t="shared" si="27"/>
        <v>Maïs grain</v>
      </c>
      <c r="DH108" s="817">
        <f t="array" ref="DH10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08" s="817">
        <f t="array" ref="DI10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08" s="817">
        <f t="array" ref="DJ10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08" s="821">
        <f>SUM(AlimentsRationPintadesFemelles[[#This Row],[Valeur 6 et plus]:[Valeur 0-1]])</f>
        <v>0</v>
      </c>
      <c r="DL108" s="1321"/>
      <c r="DM108" s="1321"/>
      <c r="DN108" s="1176" t="s">
        <v>1316</v>
      </c>
      <c r="DO108" s="1177" t="s">
        <v>219</v>
      </c>
      <c r="DP108" s="1177" t="s">
        <v>1252</v>
      </c>
      <c r="DQ108" s="1181">
        <v>8</v>
      </c>
      <c r="DR108" s="1181">
        <v>6</v>
      </c>
      <c r="DS108" s="1181">
        <v>4</v>
      </c>
      <c r="DT108" s="1243">
        <v>0</v>
      </c>
      <c r="DU108" s="1345"/>
      <c r="DV108" s="1076" t="str">
        <f t="shared" si="24"/>
        <v>Tourteau de colza</v>
      </c>
      <c r="DW108" s="1267">
        <f t="array" ref="DW108">SUM((IF(QualitéAlimentsFaonMâle_0_3_mois=BONNE,VLOOKUP("Tourteau de colza",AlimentsRationHivernaleDaims,8,FALSE),0)+(IF(QualitéAlimentsFaonFemelle_0_3_mois=BONNE,VLOOKUP("Tourteau de colza",AlimentsRationHivernaleDaims,8,FALSE),0)+(IF(QualitéAlimentsFaonMâle_3_6_mois=BONNE,VLOOKUP("Tourteau de colza",AlimentsRationHivernaleDaims,7,FALSE),0)+(IF(QualitéAlimentsFaonFemelle_3_6_mois=BONNE,VLOOKUP("Tourteau de colza",AlimentsRationHivernaleDaims,7,FALSE),0)+(IF(QualitéAlimentsFaonMâle_6_12_mois=BONNE,VLOOKUP("Tourteau de colza",AlimentsRationHivernaleDaims,6,FALSE),0)+(IF(QualitéAlimentsFaonFemelle_6_12_mois=BONNE,VLOOKUP("Tourteau de colza",AlimentsRationHivernaleDaims,6,FALSE),0)+(IF(QualitéAlimentsJeuneDaim_12_18_mois=BONNE,VLOOKUP("Tourteau de colza",AlimentsRationHivernaleDaims,5,FALSE),0)+(IF(QualitéAlimentsJeuneDaine_12_18_mois=BONNE,VLOOKUP("Tourteau de colza",AlimentsRationHivernaleDaims,5,FALSE),0)+(IF(QualitéAlimentsJeuneDaim_18_24_mois=BONNE,VLOOKUP("Tourteau de colza",AlimentsRationHivernaleDaims,4,FALSE),0)+(IF(QualitéAlimentsJeuneDaine_18_24_mois=BONNE,VLOOKUP("Tourteau de colza",AlimentsRationHivernaleDaims,4,FALSE),0)+(IF(QualitéAlimentsJeuneDaim_24_36_mois=BONNE,VLOOKUP("Tourteau de colza",AlimentsRationHivernaleDaims,3,FALSE),0)+(IF(QualitéAlimentsJeuneDaine_24_36_mois=BONNE,VLOOKUP("Tourteau de colza",AlimentsRationHivernaleDaims,3,FALSE),0)+(IF(QualitéAlimentsDaim=BONNE,VLOOKUP("Tourteau de colza",AlimentsRationHivernaleDaims,2,FALSE),0)+(IF(QualitéAlimentsDaine=BONNE,VLOOKUP("Tourteau de colza",AlimentsRationHivernaleDaims,2,FALSE),0))))))))))))))))</f>
        <v>0</v>
      </c>
      <c r="DX108" s="1267">
        <f t="array" ref="DX108">SUM((IF(QualitéAlimentsFaonMâle_0_3_mois=MOYENNE,VLOOKUP("Tourteau de colza",AlimentsRationHivernaleDaims,8,FALSE),0)+(IF(QualitéAlimentsFaonFemelle_0_3_mois=MOYENNE,VLOOKUP("Tourteau de colza",AlimentsRationHivernaleDaims,8,FALSE),0)+(IF(QualitéAlimentsFaonMâle_3_6_mois=MOYENNE,VLOOKUP("Tourteau de colza",AlimentsRationHivernaleDaims,7,FALSE),0)+(IF(QualitéAlimentsFaonFemelle_3_6_mois=MOYENNE,VLOOKUP("Tourteau de colza",AlimentsRationHivernaleDaims,7,FALSE),0)+(IF(QualitéAlimentsFaonMâle_6_12_mois=MOYENNE,VLOOKUP("Tourteau de colza",AlimentsRationHivernaleDaims,6,FALSE),0)+(IF(QualitéAlimentsFaonFemelle_6_12_mois=MOYENNE,VLOOKUP("Tourteau de colza",AlimentsRationHivernaleDaims,6,FALSE),0)+(IF(QualitéAlimentsJeuneDaim_12_18_mois=MOYENNE,VLOOKUP("Tourteau de colza",AlimentsRationHivernaleDaims,5,FALSE),0)+(IF(QualitéAlimentsJeuneDaine_12_18_mois=MOYENNE,VLOOKUP("Tourteau de colza",AlimentsRationHivernaleDaims,5,FALSE),0)+(IF(QualitéAlimentsJeuneDaim_18_24_mois=MOYENNE,VLOOKUP("Tourteau de colza",AlimentsRationHivernaleDaims,4,FALSE),0)+(IF(QualitéAlimentsJeuneDaine_18_24_mois=MOYENNE,VLOOKUP("Tourteau de colza",AlimentsRationHivernaleDaims,4,FALSE),0)+(IF(QualitéAlimentsJeuneDaim_24_36_mois=MOYENNE,VLOOKUP("Tourteau de colza",AlimentsRationHivernaleDaims,3,FALSE),0)+(IF(QualitéAlimentsJeuneDaine_24_36_mois=MOYENNE,VLOOKUP("Tourteau de colza",AlimentsRationHivernaleDaims,3,FALSE),0)+(IF(QualitéAlimentsDaim=MOYENNE,VLOOKUP("Tourteau de colza",AlimentsRationHivernaleDaims,2,FALSE),0)+(IF(QualitéAlimentsDaine=MOYENNE,VLOOKUP("Tourteau de colza",AlimentsRationHivernaleDaims,2,FALSE),0))))))))))))))))</f>
        <v>0</v>
      </c>
      <c r="DY108" s="1267">
        <f t="array" ref="DY108">SUM((IF(QualitéAlimentsFaonMâle_0_3_mois=MAUVAISE,VLOOKUP("Tourteau de colza",AlimentsRationHivernaleDaims,8,FALSE),0)+(IF(QualitéAlimentsFaonFemelle_0_3_mois=MAUVAISE,VLOOKUP("Tourteau de colza",AlimentsRationHivernaleDaims,8,FALSE),0)+(IF(QualitéAlimentsFaonMâle_3_6_mois=MAUVAISE,VLOOKUP("Tourteau de colza",AlimentsRationHivernaleDaims,7,FALSE),0)+(IF(QualitéAlimentsFaonFemelle_3_6_mois=MAUVAISE,VLOOKUP("Tourteau de colza",AlimentsRationHivernaleDaims,7,FALSE),0)+(IF(QualitéAlimentsFaonMâle_6_12_mois=MAUVAISE,VLOOKUP("Tourteau de colza",AlimentsRationHivernaleDaims,6,FALSE),0)+(IF(QualitéAlimentsFaonFemelle_6_12_mois=MAUVAISE,VLOOKUP("Tourteau de colza",AlimentsRationHivernaleDaims,6,FALSE),0)+(IF(QualitéAlimentsJeuneDaim_12_18_mois=MAUVAISE,VLOOKUP("Tourteau de colza",AlimentsRationHivernaleDaims,5,FALSE),0)+(IF(QualitéAlimentsJeuneDaine_12_18_mois=MAUVAISE,VLOOKUP("Tourteau de colza",AlimentsRationHivernaleDaims,5,FALSE),0)+(IF(QualitéAlimentsJeuneDaim_18_24_mois=MAUVAISE,VLOOKUP("Tourteau de colza",AlimentsRationHivernaleDaims,4,FALSE),0)+(IF(QualitéAlimentsJeuneDaine_18_24_mois=MAUVAISE,VLOOKUP("Tourteau de colza",AlimentsRationHivernaleDaims,4,FALSE),0)+(IF(QualitéAlimentsJeuneDaim_24_36_mois=MAUVAISE,VLOOKUP("Tourteau de colza",AlimentsRationHivernaleDaims,3,FALSE),0)+(IF(QualitéAlimentsJeuneDaine_24_36_mois=MAUVAISE,VLOOKUP("Tourteau de colza",AlimentsRationHivernaleDaims,3,FALSE),0)+(IF(QualitéAlimentsDaim=MAUVAISE,VLOOKUP("Tourteau de colza",AlimentsRationHivernaleDaims,2,FALSE),0)+(IF(QualitéAlimentsDaine=MAUVAISE,VLOOKUP("Tourteau de colza",AlimentsRationHivernaleDaims,2,FALSE),0))))))))))))))))</f>
        <v>0</v>
      </c>
      <c r="DZ108" s="1345"/>
      <c r="EA108" s="1345"/>
      <c r="EB108" s="1345"/>
      <c r="EC108" s="1345"/>
      <c r="ED108" s="1345"/>
      <c r="EE108" s="1345"/>
      <c r="EF108" s="1321"/>
      <c r="EG108" s="808" t="str">
        <f t="shared" si="31"/>
        <v>Féverole</v>
      </c>
      <c r="EH108" s="817">
        <f t="array" ref="EH10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08" s="817">
        <f t="array" ref="EI10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08" s="817">
        <f t="array" ref="EJ10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08" s="818">
        <f>SUM(AlimentsRationOiesFemelles[[#This Row],[Valeur 6 et plus]:[Valeur 0-3]])</f>
        <v>0</v>
      </c>
      <c r="EL108" s="1345"/>
      <c r="EM108" s="1321"/>
      <c r="EN108" s="823" t="str">
        <f t="shared" si="29"/>
        <v>Foin</v>
      </c>
      <c r="EO108" s="828">
        <f t="array" ref="EO10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08" s="828">
        <f t="array" ref="EP10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08" s="828">
        <f t="array" ref="EQ10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08" s="829">
        <f>SUM(Ration_canards_Femelles[[#This Row],[Valeur 6 et plus]:[Valeur 0-3]])</f>
        <v>0</v>
      </c>
      <c r="ES108" s="1345"/>
      <c r="ET108" s="1321"/>
      <c r="EU108" s="1082" t="str">
        <f t="shared" si="44"/>
        <v>Colza</v>
      </c>
      <c r="EV108" s="1282">
        <f t="array" ref="EV108">IF(OR(ChoixRationComplèteEtéChevauxSelle=OUI,ChoixRationComplèteEtéChevauxSelle="",AND(ChoixChevauxSellePréHiver=OUI,ChoixChevauxSellePréEté=OUI)),0,IFERROR(IF(OR(AND(INDEX(Règles_chevaux_selle[Specificite],MATCH(RationEtéChevauxSelle&amp;$EU108,Règles_chevaux_selle[Ration]&amp;Règles_chevaux_selle[Aliment],0))="s1",IF($EU108=Spécificité1ChevauxSelle,1)),
AND(INDEX(Règles_chevaux_selle[Specificite],MATCH(RationEtéChevauxSelle&amp;$EU108,Règles_chevaux_selle[Ration]&amp;Règles_chevaux_selle[Aliment],0))="s2",IF($EU108=Spécificité2ChevauxSelle,1)),
INDEX(Règles_chevaux_selle[Specificite],MATCH(RationEtéChevauxSelle&amp;$EU108,Règles_chevaux_selle[Ration]&amp;Règles_chevaux_selle[Aliment],0))="c"),
INDEX(Règles_chevaux_selle[Valeur 36 et plus],MATCH(RationEtéChevauxSelle&amp;$EU108,Règles_chevaux_selle[Ration]&amp;Règles_chevaux_selle[Aliment],0)),0),0)*TotalJumentSelle*SUM(NbreJoursNourrirChevauxSelle))</f>
        <v>0</v>
      </c>
      <c r="EW108" s="1282">
        <f t="array" ref="EW108">IF(OR(ChoixRationComplèteEtéChevauxSelle=OUI,ChoixRationComplèteEtéChevauxSelle="",AND(ChoixChevauxSellePréHiver=OUI,ChoixChevauxSellePréEté=OUI)),0,IFERROR(IF(OR(AND(INDEX(Règles_chevaux_selle[Specificite],MATCH(RationEtéChevauxSelle&amp;$EU108,Règles_chevaux_selle[Ration]&amp;Règles_chevaux_selle[Aliment],0))="s1",IF($EU108=Spécificité1ChevauxSelle,1)),
AND(INDEX(Règles_chevaux_selle[Specificite],MATCH(RationEtéChevauxSelle&amp;$EU108,Règles_chevaux_selle[Ration]&amp;Règles_chevaux_selle[Aliment],0))="s2",IF($EU108=Spécificité2ChevauxSelle,1)),
INDEX(Règles_chevaux_selle[Specificite],MATCH(RationEtéChevauxSelle&amp;$EU108,Règles_chevaux_selle[Ration]&amp;Règles_chevaux_selle[Aliment],0))="c"),
INDEX(Règles_chevaux_selle[Valeur 24-36],MATCH(RationEtéChevauxSelle&amp;$EU108,Règles_chevaux_selle[Ration]&amp;Règles_chevaux_selle[Aliment],0)),0),0)*TotalJeuneJumentSelle_24_36_mois*SUM(NbreJoursNourrirChevauxSelle))</f>
        <v>0</v>
      </c>
      <c r="EX108" s="1282">
        <f t="array" ref="EX108">IF(OR(ChoixRationComplèteEtéChevauxSelle=OUI,ChoixRationComplèteEtéChevauxSelle="",AND(ChoixChevauxSellePréHiver=OUI,ChoixChevauxSellePréEté=OUI)),0,IFERROR(IF(OR(AND(INDEX(Règles_chevaux_selle[Specificite],MATCH(RationEtéChevauxSelle&amp;$EU108,Règles_chevaux_selle[Ration]&amp;Règles_chevaux_selle[Aliment],0))="s1",IF($EU108=Spécificité1ChevauxSelle,1)),
AND(INDEX(Règles_chevaux_selle[Specificite],MATCH(RationEtéChevauxSelle&amp;$EU108,Règles_chevaux_selle[Ration]&amp;Règles_chevaux_selle[Aliment],0))="s2",IF($EU108=Spécificité2ChevauxSelle,1)),
INDEX(Règles_chevaux_selle[Specificite],MATCH(RationEtéChevauxSelle&amp;$EU108,Règles_chevaux_selle[Ration]&amp;Règles_chevaux_selle[Aliment],0))="c"),
INDEX(Règles_chevaux_selle[Valeur 12-24],MATCH(RationEtéChevauxSelle&amp;$EU108,Règles_chevaux_selle[Ration]&amp;Règles_chevaux_selle[Aliment],0)),0),0)*TotalJeuneJumentSelle_12_24_mois*SUM(NbreJoursNourrirChevauxSelle))</f>
        <v>0</v>
      </c>
      <c r="EY108" s="1285">
        <f t="array" ref="EY108">IF(OR(ChoixRationComplèteEtéChevauxSelle=OUI,ChoixRationComplèteEtéChevauxSelle="",AND(ChoixChevauxSellePréHiver=OUI,ChoixChevauxSellePréEté=OUI)),0,IFERROR(IF(OR(AND(INDEX(Règles_chevaux_selle[Specificite],MATCH(RationEtéChevauxSelle&amp;$EU108,Règles_chevaux_selle[Ration]&amp;Règles_chevaux_selle[Aliment],0))="s1",IF($EU108=Spécificité1ChevauxSelle,1)),
AND(INDEX(Règles_chevaux_selle[Specificite],MATCH(RationEtéChevauxSelle&amp;$EU108,Règles_chevaux_selle[Ration]&amp;Règles_chevaux_selle[Aliment],0))="s2",IF($EU108=Spécificité2ChevauxSelle,1)),
INDEX(Règles_chevaux_selle[Specificite],MATCH(RationEtéChevauxSelle&amp;$EU108,Règles_chevaux_selle[Ration]&amp;Règles_chevaux_selle[Aliment],0))="c"),
INDEX(Règles_chevaux_selle[Valeur 0-12],MATCH(RationEtéChevauxSelle&amp;$EU108,Règles_chevaux_selle[Ration]&amp;Règles_chevaux_selle[Aliment],0)),0),0)*TotalPoulicheSelle_0_12_mois*SUM(NbreJoursNourrirChevauxSelle))</f>
        <v>0</v>
      </c>
      <c r="EZ108" s="1285">
        <f t="shared" si="43"/>
        <v>0</v>
      </c>
      <c r="FA108" s="1345"/>
      <c r="FB108" s="1345"/>
      <c r="FC108" s="1321"/>
      <c r="FD108" s="1082" t="str">
        <f t="shared" si="34"/>
        <v>Epinard</v>
      </c>
      <c r="FE108" s="1282">
        <f t="array" ref="FE108">IF(OR(ChoixRationComplèteEtéChevauxTrait=OUI,ChoixRationComplèteEtéChevauxTrait="",AND(ChoixChevauxTraitPréHiver=OUI,ChoixChevauxTraitPréEté=OUI)),0,IFERROR(IF(OR(AND(INDEX(Règles_chevaux_trait[Specificite],MATCH(RationEtéChevauxTrait&amp;$FD108,Règles_chevaux_trait[Ration]&amp;Règles_chevaux_trait[Aliment],0))="s1",IF($FD108=Spécificité1ChevauxTrait,1)),
AND(INDEX(Règles_chevaux_trait[Specificite],MATCH(RationEtéChevauxTrait&amp;$FD108,Règles_chevaux_trait[Ration]&amp;Règles_chevaux_trait[Aliment],0))="s2",IF($FD108=Spécificité2ChevauxTrait,1)),
INDEX(Règles_chevaux_trait[Specificite],MATCH(RationEtéChevauxTrait&amp;$FD108,Règles_chevaux_trait[Ration]&amp;Règles_chevaux_trait[Aliment],0))="c"),
INDEX(Règles_chevaux_trait[Valeur 36 et plus],MATCH(RationEtéChevauxTrait&amp;$FD108,Règles_chevaux_trait[Ration]&amp;Règles_chevaux_trait[Aliment],0)),0),0)*TotalJumentTrait*SUM(NbreJoursNourrirChevauxTrait))</f>
        <v>0</v>
      </c>
      <c r="FF108" s="1282">
        <f t="array" ref="FF108">IF(OR(ChoixRationComplèteEtéChevauxTrait=OUI,ChoixRationComplèteEtéChevauxTrait="",AND(ChoixChevauxTraitPréHiver=OUI,ChoixChevauxTraitPréEté=OUI)),0,IFERROR(IF(OR(AND(INDEX(Règles_chevaux_trait[Specificite],MATCH(RationEtéChevauxTrait&amp;$FD108,Règles_chevaux_trait[Ration]&amp;Règles_chevaux_trait[Aliment],0))="s1",IF($FD108=Spécificité1ChevauxTrait,1)),
AND(INDEX(Règles_chevaux_trait[Specificite],MATCH(RationEtéChevauxTrait&amp;$FD108,Règles_chevaux_trait[Ration]&amp;Règles_chevaux_trait[Aliment],0))="s2",IF($FD108=Spécificité2ChevauxTrait,1)),
INDEX(Règles_chevaux_trait[Specificite],MATCH(RationEtéChevauxTrait&amp;$FD108,Règles_chevaux_trait[Ration]&amp;Règles_chevaux_trait[Aliment],0))="c"),
INDEX(Règles_chevaux_trait[Valeur 24-36],MATCH(RationEtéChevauxTrait&amp;$FD108,Règles_chevaux_trait[Ration]&amp;Règles_chevaux_trait[Aliment],0)),0),0)*TotalJeuneJumentTrait_24_36_mois*SUM(NbreJoursNourrirChevauxTrait))</f>
        <v>0</v>
      </c>
      <c r="FG108" s="1282">
        <f t="array" ref="FG108">IF(OR(ChoixRationComplèteEtéChevauxTrait=OUI,ChoixRationComplèteEtéChevauxTrait="",AND(ChoixChevauxTraitPréHiver=OUI,ChoixChevauxTraitPréEté=OUI)),0,IFERROR(IF(OR(AND(INDEX(Règles_chevaux_trait[Specificite],MATCH(RationEtéChevauxTrait&amp;$FD108,Règles_chevaux_trait[Ration]&amp;Règles_chevaux_trait[Aliment],0))="s1",IF($FD108=Spécificité1ChevauxTrait,1)),
AND(INDEX(Règles_chevaux_trait[Specificite],MATCH(RationEtéChevauxTrait&amp;$FD108,Règles_chevaux_trait[Ration]&amp;Règles_chevaux_trait[Aliment],0))="s2",IF($FD108=Spécificité2ChevauxTrait,1)),
INDEX(Règles_chevaux_trait[Specificite],MATCH(RationEtéChevauxTrait&amp;$FD108,Règles_chevaux_trait[Ration]&amp;Règles_chevaux_trait[Aliment],0))="c"),
INDEX(Règles_chevaux_trait[Valeur 12-24],MATCH(RationEtéChevauxTrait&amp;$FD108,Règles_chevaux_trait[Ration]&amp;Règles_chevaux_trait[Aliment],0)),0),0)*TotalJeuneJumentTrait_12_24_mois*SUM(NbreJoursNourrirChevauxTrait))</f>
        <v>0</v>
      </c>
      <c r="FH108" s="1285">
        <f t="array" ref="FH108">IF(OR(ChoixRationComplèteEtéChevauxTrait=OUI,ChoixRationComplèteEtéChevauxTrait="",AND(ChoixChevauxTraitPréHiver=OUI,ChoixChevauxTraitPréEté=OUI)),0,IFERROR(IF(OR(AND(INDEX(Règles_chevaux_trait[Specificite],MATCH(RationEtéChevauxTrait&amp;$FD108,Règles_chevaux_trait[Ration]&amp;Règles_chevaux_trait[Aliment],0))="s1",IF($FD108=Spécificité1ChevauxTrait,1)),
AND(INDEX(Règles_chevaux_trait[Specificite],MATCH(RationEtéChevauxTrait&amp;$FD108,Règles_chevaux_trait[Ration]&amp;Règles_chevaux_trait[Aliment],0))="s2",IF($FD108=Spécificité2ChevauxTrait,1)),
INDEX(Règles_chevaux_trait[Specificite],MATCH(RationEtéChevauxTrait&amp;$FD108,Règles_chevaux_trait[Ration]&amp;Règles_chevaux_trait[Aliment],0))="c"),
INDEX(Règles_chevaux_trait[Valeur 0-12],MATCH(RationEtéChevauxTrait&amp;$FD108,Règles_chevaux_trait[Ration]&amp;Règles_chevaux_trait[Aliment],0)),0),0)*TotalPoulicheTrait_0_12_mois*SUM(NbreJoursNourrirChevauxTrait))</f>
        <v>0</v>
      </c>
      <c r="FI108" s="1285">
        <f t="shared" si="32"/>
        <v>0</v>
      </c>
      <c r="FJ108" s="1345"/>
      <c r="FK108" s="1345"/>
      <c r="FL108" s="1345"/>
      <c r="FM108" s="1321"/>
      <c r="FN108" s="1083" t="str">
        <f t="shared" si="33"/>
        <v>Féverole</v>
      </c>
      <c r="FO108" s="1283">
        <f t="array" ref="FO108">IF(OR(ChoixRationComplèteEtéPoneys=OUI,ChoixRationComplèteEtéPoneys="",AND(ChoixPoneysPréHiver=OUI,ChoixPoneysPréEté=OUI)),0,IFERROR(IF(OR(AND(INDEX(Règles_poneys[Specificite],MATCH(RationEtéPoneys&amp;$FN108,Règles_poneys[Ration]&amp;Règles_poneys[Aliment],0))="s1",IF($FN108=Spécificité1Poneys,1)),
AND(INDEX(Règles_poneys[Specificite],MATCH(RationEtéPoneys&amp;$FN108,Règles_poneys[Ration]&amp;Règles_poneys[Aliment],0))="s2",IF($FN108=Spécificité2Poneys,1)),
INDEX(Règles_poneys[Specificite],MATCH(RationEtéPoneys&amp;$FN108,Règles_poneys[Ration]&amp;Règles_poneys[Aliment],0))="c"),
INDEX(Règles_poneys[Valeur 36 et plus],MATCH(RationEtéPoneys&amp;$FN108,Règles_poneys[Ration]&amp;Règles_poneys[Aliment],0)),0),0)*TotalJumentPoney*SUM(NbreJoursNourrirPoneys))</f>
        <v>0</v>
      </c>
      <c r="FP108" s="1283">
        <f t="array" ref="FP108">IF(OR(ChoixRationComplèteEtéPoneys=OUI,ChoixRationComplèteEtéPoneys="",AND(ChoixPoneysPréHiver=OUI,ChoixPoneysPréEté=OUI)),0,IFERROR(IF(OR(AND(INDEX(Règles_poneys[Specificite],MATCH(RationEtéPoneys&amp;$FN108,Règles_poneys[Ration]&amp;Règles_poneys[Aliment],0))="s1",IF($FN108=Spécificité1Poneys,1)),
AND(INDEX(Règles_poneys[Specificite],MATCH(RationEtéPoneys&amp;$FN108,Règles_poneys[Ration]&amp;Règles_poneys[Aliment],0))="s2",IF($FN108=Spécificité2Poneys,1)),
INDEX(Règles_poneys[Specificite],MATCH(RationEtéPoneys&amp;$FN108,Règles_poneys[Ration]&amp;Règles_poneys[Aliment],0))="c"),
INDEX(Règles_poneys[Valeur 36 et plus],MATCH(RationEtéPoneys&amp;$FN108,Règles_poneys[Ration]&amp;Règles_poneys[Aliment],0)),0),0)*TotalJeuneJumentPoney_24_36_mois*SUM(NbreJoursNourrirPoneys))</f>
        <v>0</v>
      </c>
      <c r="FQ108" s="1283">
        <f t="array" ref="FQ108">IF(OR(ChoixRationComplèteEtéPoneys=OUI,ChoixRationComplèteEtéPoneys="",AND(ChoixPoneysPréHiver=OUI,ChoixPoneysPréEté=OUI)),0,IFERROR(IF(OR(AND(INDEX(Règles_poneys[Specificite],MATCH(RationEtéPoneys&amp;$FN108,Règles_poneys[Ration]&amp;Règles_poneys[Aliment],0))="s1",IF($FN108=Spécificité1Poneys,1)),
AND(INDEX(Règles_poneys[Specificite],MATCH(RationEtéPoneys&amp;$FN108,Règles_poneys[Ration]&amp;Règles_poneys[Aliment],0))="s2",IF($FN108=Spécificité2Poneys,1)),
INDEX(Règles_poneys[Specificite],MATCH(RationEtéPoneys&amp;$FN108,Règles_poneys[Ration]&amp;Règles_poneys[Aliment],0))="c"),
INDEX(Règles_poneys[Valeur 36 et plus],MATCH(RationEtéPoneys&amp;$FN108,Règles_poneys[Ration]&amp;Règles_poneys[Aliment],0)),0),0)*TotalJeuneJumentPoney_12_24_mois*SUM(NbreJoursNourrirPoneys))</f>
        <v>0</v>
      </c>
      <c r="FR108" s="1286">
        <f t="array" ref="FR108">IF(OR(ChoixRationComplèteEtéPoneys=OUI,ChoixRationComplèteEtéPoneys="",AND(ChoixPoneysPréHiver=OUI,ChoixPoneysPréEté=OUI)),0,IFERROR(IF(OR(AND(INDEX(Règles_poneys[Specificite],MATCH(RationEtéPoneys&amp;$FN108,Règles_poneys[Ration]&amp;Règles_poneys[Aliment],0))="s1",IF($FN108=Spécificité1Poneys,1)),
AND(INDEX(Règles_poneys[Specificite],MATCH(RationEtéPoneys&amp;$FN108,Règles_poneys[Ration]&amp;Règles_poneys[Aliment],0))="s2",IF($FN108=Spécificité2Poneys,1)),
INDEX(Règles_poneys[Specificite],MATCH(RationEtéPoneys&amp;$FN108,Règles_poneys[Ration]&amp;Règles_poneys[Aliment],0))="c"),
INDEX(Règles_poneys[Valeur 36 et plus],MATCH(RationEtéPoneys&amp;$FN108,Règles_poneys[Ration]&amp;Règles_poneys[Aliment],0)),0),0)*TotalPoulichePoney_0_12_mois*SUM(NbreJoursNourrirPoneys))</f>
        <v>0</v>
      </c>
      <c r="FS108" s="1286">
        <f t="shared" si="30"/>
        <v>0</v>
      </c>
      <c r="FT108" s="1345"/>
      <c r="FU108" s="1345"/>
      <c r="FV108" s="1345"/>
      <c r="FW108" s="823" t="str">
        <f t="shared" si="28"/>
        <v>Maïs grain</v>
      </c>
      <c r="FX108" s="828">
        <f t="array" ref="FX10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08" s="828">
        <f t="array" ref="FY10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08" s="828">
        <f t="array" ref="FZ10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08" s="828">
        <f t="array" ref="GA10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08" s="829">
        <f>SUM(AlimentsGavageCanards[[#This Row],[Valeur 3 et plus]:[Valeur 0-1]])</f>
        <v>0</v>
      </c>
      <c r="GC108" s="1321"/>
      <c r="GD108" s="1321"/>
      <c r="GE108" s="1321"/>
      <c r="GF108" s="1321"/>
      <c r="GG108" s="1321" t="s">
        <v>1349</v>
      </c>
      <c r="GH108" s="1321" t="s">
        <v>1349</v>
      </c>
      <c r="GI108" s="1321" t="s">
        <v>1349</v>
      </c>
      <c r="GJ108" s="1321" t="s">
        <v>1349</v>
      </c>
      <c r="GK108" s="1321" t="s">
        <v>1349</v>
      </c>
      <c r="GL108" s="1321" t="s">
        <v>1349</v>
      </c>
      <c r="GM108" s="1321" t="s">
        <v>1349</v>
      </c>
      <c r="GN108" s="1321" t="s">
        <v>1349</v>
      </c>
      <c r="GO108" s="1321" t="s">
        <v>1349</v>
      </c>
      <c r="GP108" s="1321" t="s">
        <v>1349</v>
      </c>
      <c r="GQ108" s="1321" t="s">
        <v>1349</v>
      </c>
      <c r="GR108" s="1321" t="s">
        <v>1349</v>
      </c>
      <c r="GS108" s="1321" t="s">
        <v>1349</v>
      </c>
      <c r="GT108" s="1321" t="s">
        <v>1349</v>
      </c>
      <c r="GU108" s="1321" t="s">
        <v>1349</v>
      </c>
      <c r="GV108" s="1321" t="s">
        <v>1349</v>
      </c>
      <c r="GW108" s="1321"/>
      <c r="GX108" s="1321"/>
      <c r="GY108" s="1321"/>
      <c r="GZ108" s="1321"/>
      <c r="HA108" s="1321"/>
      <c r="HB108" s="1321"/>
      <c r="HC108" s="1321"/>
      <c r="HD108" s="1321"/>
      <c r="HE108" s="1321"/>
      <c r="HF108" s="1321"/>
      <c r="HG108" s="1321"/>
      <c r="HH108" s="1321"/>
      <c r="HI108" s="1321"/>
      <c r="HJ108" s="1321"/>
      <c r="HK108" s="1321"/>
      <c r="HL108" s="1321"/>
      <c r="HM108" s="1321"/>
      <c r="HN108" s="1100" t="s">
        <v>733</v>
      </c>
      <c r="HO108" s="1084" t="e">
        <f>IF(SUM((VLOOKUP(HN108,AlimentsRationBovinsMâles,9,FALSE)+VLOOKUP(HN108,AlimentsRationBovinsFemelles,9,FALSE)+VLOOKUP(HN108,BDD!BB$284:BJ$323,9,FALSE))/1000/SUM(NbreJoursNourrirBovins)*IF('semences, engrais et traitement'!I$16=OUI,42,84))&lt;0,0,SUM((VLOOKUP(HN108,AlimentsRationBovinsMâles,9,FALSE)+VLOOKUP(HN108,AlimentsRationBovinsFemelles,9,FALSE)+VLOOKUP(HN108,BDD!BB$284:BJ$323,9,FALSE))/1000/SUM(NbreJoursNourrirBovins)*IF('semences, engrais et traitement'!I$16=OUI,42,84)))</f>
        <v>#DIV/0!</v>
      </c>
      <c r="HP108" s="1084">
        <f t="shared" si="36"/>
        <v>0</v>
      </c>
      <c r="HQ108" s="1084" t="e">
        <f>IF(SUM(VLOOKUP(HN108,AlimentsRationPorcinsMâles[],7,FALSE)+VLOOKUP(HN108,AlimentsRationPorcinsFemelles[],7,FALSE))/1000/SUM(NbreJoursNourrirAutres)*84&lt;0,0,SUM(VLOOKUP(HN108,AlimentsRationPorcinsMâles[],7,FALSE)+VLOOKUP(HN108,AlimentsRationPorcinsFemelles[],7,FALSE)/1000/SUM(NbreJoursNourrirAutres)*84))</f>
        <v>#DIV/0!</v>
      </c>
      <c r="HR108" s="1084" t="e">
        <f>IF(SUM(VLOOKUP(HN108,AlimentsRationCaprinsMâles,6,FALSE)+VLOOKUP(HN108,AlimentsRationCaprinsFemelles,6,FALSE))/1000/SUM(NbreJoursNourrirCaprins)*IF('semences, engrais et traitement'!I$17=OUI,42,84)&lt;0,0,SUM(VLOOKUP(HN108,AlimentsRationCaprinsMâles,6,FALSE)+VLOOKUP(HN108,AlimentsRationCaprinsFemelles,6,FALSE))/1000/SUM(NbreJoursNourrirCaprins)*IF('semences, engrais et traitement'!I$17=OUI,42,84))</f>
        <v>#DIV/0!</v>
      </c>
      <c r="HS108" s="1084" t="e">
        <f>IF(SUM(VLOOKUP(HN108,AlimentsRationVolaillesMâles[],5,FALSE)+VLOOKUP(HN108,AlimentsRationVolaillesFemelles[],5,FALSE))/1000/SUM(NbreJoursNourrirAutres)*84&lt;0,0,SUM(VLOOKUP(HN108,AlimentsRationVolaillesMâles[],5,FALSE)+VLOOKUP(HN108,AlimentsRationVolaillesFemelles[],5,FALSE)/1000/SUM(NbreJoursNourrirAutres)*84))</f>
        <v>#DIV/0!</v>
      </c>
      <c r="HT108" s="1084" t="e">
        <f>IF(SUM(VLOOKUP(HN108,AlimentsRationPintadesMâles[],5,FALSE)+VLOOKUP(HN108,AlimentsRationPintadesFemelles[],5,FALSE))/1000/SUM(NbreJoursNourrirAutres)*84&lt;0,0,SUM(VLOOKUP(HN108,AlimentsRationPintadesMâles[],5,FALSE)+VLOOKUP(HN108,AlimentsRationPintadesFemelles[],5,FALSE)/1000/SUM(NbreJoursNourrirAutres)*84))</f>
        <v>#DIV/0!</v>
      </c>
      <c r="HU108" s="1084" t="e">
        <f>IF(SUM(VLOOKUP(HN108,AlimentsRationLapinsMâles[],5,FALSE)+VLOOKUP(HN108,AlimentsRationLapinsFemelles[],5,FALSE))/1000/SUM(NbreJoursNourrirAutres)*84&lt;0,0,SUM(VLOOKUP(HN108,AlimentsRationLapinsMâles[],5,FALSE)+VLOOKUP(HN108,AlimentsRationLapinsFemelles[],5,FALSE)/1000/SUM(NbreJoursNourrirAutres)*84))</f>
        <v>#DIV/0!</v>
      </c>
      <c r="HV108" s="1084" t="e">
        <f>IF(SUM(VLOOKUP(HN108,AlimentsRationOvinsMâles,6,FALSE)+VLOOKUP(HN108,AlimentsRationOvinsFemelles,6,FALSE))/1000/SUM(NbreJoursNourrirOvins)*IF('semences, engrais et traitement'!I$18=OUI,42,84)&lt;0,0,SUM(VLOOKUP(HN108,AlimentsRationOvinsMâles,6,FALSE)+VLOOKUP(HN108,AlimentsRationOvinsFemelles,6,FALSE))/1000/SUM(NbreJoursNourrirOvins)*IF('semences, engrais et traitement'!I$18=OUI,42,84))</f>
        <v>#DIV/0!</v>
      </c>
      <c r="HW108" s="1084" t="e">
        <f>IF(SUM(VLOOKUP(HN108,AlimentsRationOiesMâles[],5,FALSE)+VLOOKUP(HN108,AlimentsRationOiesFemelles[],5,FALSE))/1000/SUM(NbreJoursNourrirAutres)*84&lt;0,0,SUM(VLOOKUP(HN108,AlimentsRationOiesMâles[],5,FALSE)+VLOOKUP(HN108,AlimentsRationOiesFemelles[],5,FALSE)/1000/SUM(NbreJoursNourrirAutres)*84))</f>
        <v>#DIV/0!</v>
      </c>
      <c r="HX108" s="1084" t="e">
        <f t="shared" si="37"/>
        <v>#DIV/0!</v>
      </c>
      <c r="HY108" s="1084" t="e">
        <f>IF(SUM(VLOOKUP(HN108,AlimentsRationEcurieChevauxMâlesSelle,6,FALSE)+VLOOKUP(HN108,AlimentsRationEcurieChevauxFemellesSelle,6,FALSE))/1000/SUM(NbreJoursNourrirChevauxSelle)*IF('semences, engrais et traitement'!M$16=OUI,56,84)&lt;0,0,SUM(VLOOKUP(HN108,AlimentsRationEcurieChevauxMâlesSelle,6,FALSE)+VLOOKUP(HN108,AlimentsRationEcurieChevauxFemellesSelle,6,FALSE))/1000/SUM(NbreJoursNourrirChevauxSelle)*IF('semences, engrais et traitement'!M$16=OUI,56,84))</f>
        <v>#DIV/0!</v>
      </c>
      <c r="HZ108" s="1084" t="e">
        <f>IF(SUM(VLOOKUP(HN108,AlimentsRationEcurieChevauxMâlesTrait,6,FALSE)+VLOOKUP(HN108,AlimentsRationEcurieChevauxFemellesTrait,6,FALSE))/1000/SUM(NbreJoursNourrirChevauxTrait)*IF('semences, engrais et traitement'!M$17=OUI,56,84)&lt;0,0,SUM(VLOOKUP(HN108,AlimentsRationEcurieChevauxMâlesTrait,6,FALSE)+VLOOKUP(HN108,AlimentsRationEcurieChevauxFemellesTrait,6,FALSE))/1000/SUM(NbreJoursNourrirChevauxTrait)*IF('semences, engrais et traitement'!M$17=OUI,56,84))</f>
        <v>#DIV/0!</v>
      </c>
      <c r="IA108" s="1084" t="e">
        <f>IF(SUM(VLOOKUP(HN108,AlimentsRationEcuriePoneysMâles,6,FALSE)+VLOOKUP(HN108,AlimentsRationEcuriePoneysFemelles,6,FALSE))/1000/SUM(NbreJoursNourrirPoneys)*IF('semences, engrais et traitement'!M$18=OUI,56,84)&lt;0,0,SUM(VLOOKUP(HN108,AlimentsRationEcuriePoneysMâles,6,FALSE)+VLOOKUP(HN108,AlimentsRationEcuriePoneysFemelles,6,FALSE))/1000/SUM(NbreJoursNourrirPoneys)*IF('semences, engrais et traitement'!M$18=OUI,56,84))</f>
        <v>#DIV/0!</v>
      </c>
      <c r="IB108" s="1100" t="e">
        <f t="shared" si="38"/>
        <v>#DIV/0!</v>
      </c>
      <c r="IC108" s="1321"/>
      <c r="ID108" s="1321"/>
      <c r="IE108" s="1321"/>
      <c r="IF108" s="1321"/>
      <c r="IG108" s="1321"/>
      <c r="IH108" s="1321"/>
      <c r="II108" s="1321"/>
      <c r="IJ108" s="1321"/>
      <c r="IK108" s="1321"/>
      <c r="IL108" s="1321"/>
      <c r="IM108" s="1321"/>
      <c r="IN108" s="1368"/>
    </row>
    <row r="109" spans="1:248" ht="12.75" customHeight="1" x14ac:dyDescent="0.2">
      <c r="A109" s="1307" t="s">
        <v>291</v>
      </c>
      <c r="B109" s="1241">
        <f t="shared" si="39"/>
        <v>1E-3</v>
      </c>
      <c r="C109" s="1321"/>
      <c r="D109" s="1321"/>
      <c r="E109" s="1321"/>
      <c r="F109" s="1143" t="s">
        <v>49</v>
      </c>
      <c r="G109" s="1143" t="s">
        <v>1189</v>
      </c>
      <c r="H109" s="1143" t="s">
        <v>1190</v>
      </c>
      <c r="I109" s="1143" t="s">
        <v>1190</v>
      </c>
      <c r="J109" s="1246" t="s">
        <v>1214</v>
      </c>
      <c r="K109" s="1246" t="s">
        <v>1208</v>
      </c>
      <c r="L109" s="1246" t="s">
        <v>1196</v>
      </c>
      <c r="M109" s="1321"/>
      <c r="N109" s="1321"/>
      <c r="O109" s="1321"/>
      <c r="P109" s="1321"/>
      <c r="Q109" s="1321"/>
      <c r="R109" s="1082" t="s">
        <v>114</v>
      </c>
      <c r="S109" s="1143" t="s">
        <v>750</v>
      </c>
      <c r="T109" s="1249">
        <v>43556</v>
      </c>
      <c r="U109" s="1249">
        <v>43769</v>
      </c>
      <c r="V109" s="1082">
        <f>(MONTH(U109)-MONTH(T109))*7</f>
        <v>42</v>
      </c>
      <c r="W109" s="1321"/>
      <c r="X109" s="1321"/>
      <c r="Y109" s="1321"/>
      <c r="Z109" s="1321"/>
      <c r="AA109" s="1321"/>
      <c r="AB109" s="1321"/>
      <c r="AC109" s="1321"/>
      <c r="AD109" s="1321"/>
      <c r="AE109" s="1321"/>
      <c r="AF109" s="1321"/>
      <c r="AG109" s="1321"/>
      <c r="AH109" s="1321"/>
      <c r="AI109" s="1321"/>
      <c r="AJ109" s="1321"/>
      <c r="AK109" s="1321"/>
      <c r="AL109" s="1321"/>
      <c r="AM109" s="1321"/>
      <c r="AN109" s="1321"/>
      <c r="AO109" s="1321"/>
      <c r="AP109" s="1321"/>
      <c r="AQ109" s="1321"/>
      <c r="AR109" s="1321"/>
      <c r="AS109" s="1321"/>
      <c r="AT109" s="1321"/>
      <c r="AU109" s="1321"/>
      <c r="AV109" s="1321"/>
      <c r="AW109" s="1321"/>
      <c r="AX109" s="1321"/>
      <c r="AY109" s="1321"/>
      <c r="AZ109" s="1321"/>
      <c r="BA109" s="1321"/>
      <c r="BB109" s="1236" t="s">
        <v>1314</v>
      </c>
      <c r="BC109" s="1190" t="s">
        <v>340</v>
      </c>
      <c r="BD109" s="1190" t="s">
        <v>1252</v>
      </c>
      <c r="BE109" s="1237">
        <v>60</v>
      </c>
      <c r="BF109" s="1237">
        <v>54</v>
      </c>
      <c r="BG109" s="1237">
        <v>48</v>
      </c>
      <c r="BH109" s="1237">
        <v>42</v>
      </c>
      <c r="BI109" s="1237">
        <v>36</v>
      </c>
      <c r="BJ109" s="1237">
        <v>30</v>
      </c>
      <c r="BK109" s="1238">
        <v>0</v>
      </c>
      <c r="BL109" s="1348"/>
      <c r="BM109" s="789" t="s">
        <v>1276</v>
      </c>
      <c r="BN109" s="790" t="s">
        <v>1268</v>
      </c>
      <c r="BO109" s="790" t="s">
        <v>1267</v>
      </c>
      <c r="BP109" s="790" t="s">
        <v>1266</v>
      </c>
      <c r="BQ109" s="790" t="s">
        <v>1265</v>
      </c>
      <c r="BR109" s="790" t="s">
        <v>1264</v>
      </c>
      <c r="BS109" s="790" t="s">
        <v>1263</v>
      </c>
      <c r="BT109" s="790" t="s">
        <v>1262</v>
      </c>
      <c r="BU109" s="791" t="s">
        <v>1269</v>
      </c>
      <c r="BV109" s="1345"/>
      <c r="BW109" s="1345"/>
      <c r="BX109" s="1075" t="s">
        <v>730</v>
      </c>
      <c r="BY109" s="1075">
        <f t="array" ref="BY109">IF(ChoixRationComplèteCaprins=OUI,0,IFERROR(IF(OR(AND(INDEX(Règles_caprins[Specificite],MATCH(ChoixRationCaprins&amp;$BX109,Règles_caprins[Ration]&amp;Règles_caprins[Aliment],0))="s1",IF($BX109=Spécificité1Caprins,1)),
INDEX(Règles_caprins[Specificite],MATCH(ChoixRationCaprins&amp;$BX109,Règles_caprins[Ration]&amp;Règles_caprins[Aliment],0))="c"),
INDEX(Règles_caprins[Valeur 12 et plus],MATCH(ChoixRationCaprins&amp;$BX109,Règles_caprins[Ration]&amp;Règles_caprins[Aliment],0)),0),0)*TotalBoucs*SUM(NbreJoursNourrirCaprins))</f>
        <v>0</v>
      </c>
      <c r="BZ109" s="1075">
        <f t="array" ref="BZ109">IF(ChoixRationComplèteCaprins=OUI,0,IFERROR(IF(OR(AND(INDEX(Règles_caprins[Specificite],MATCH(ChoixRationCaprins&amp;$BX109,Règles_caprins[Ration]&amp;Règles_caprins[Aliment],0))="s1",IF($BX109=Spécificité1Caprins,1)),
INDEX(Règles_caprins[Specificite],MATCH(ChoixRationCaprins&amp;$BX109,Règles_caprins[Ration]&amp;Règles_caprins[Aliment],0))="c"),
INDEX(Règles_caprins[Valeur 6-12],MATCH(ChoixRationCaprins&amp;$BX109,Règles_caprins[Ration]&amp;Règles_caprins[Aliment],0)),0),0)*jeune_bouc_6_12_mois*SUM(NbreJoursNourrirCaprins))</f>
        <v>0</v>
      </c>
      <c r="CA109" s="1075">
        <f t="array" ref="CA109">IF(ChoixRationComplèteCaprins=OUI,0,IFERROR(IF(OR(AND(INDEX(Règles_caprins[Specificite],MATCH(ChoixRationCaprins&amp;$BX109,Règles_caprins[Ration]&amp;Règles_caprins[Aliment],0))="s1",IF($BX109=Spécificité1Caprins,1)),
INDEX(Règles_caprins[Specificite],MATCH(ChoixRationCaprins&amp;$BX109,Règles_caprins[Ration]&amp;Règles_caprins[Aliment],0))="c"),
INDEX(Règles_caprins[Valeur 3-6],MATCH(ChoixRationCaprins&amp;$BX109,Règles_caprins[Ration]&amp;Règles_caprins[Aliment],0)),0),0)*chevreau_3_6_mois*SUM(NbreJoursNourrirCaprins))</f>
        <v>0</v>
      </c>
      <c r="CB109" s="1075">
        <f t="array" ref="CB109">IF(ChoixRationComplèteCaprins=OUI,0,IFERROR(IF(OR(AND(INDEX(Règles_caprins[Specificite],MATCH(ChoixRationCaprins&amp;$BX109,Règles_caprins[Ration]&amp;Règles_caprins[Aliment],0))="s1",IF($BX109=Spécificité1Caprins,1)),
INDEX(Règles_caprins[Specificite],MATCH(ChoixRationCaprins&amp;$BX109,Règles_caprins[Ration]&amp;Règles_caprins[Aliment],0))="c"),
INDEX(Règles_caprins[Valeur 0-3],MATCH(ChoixRationCaprins&amp;$BX109,Règles_caprins[Ration]&amp;Règles_caprins[Aliment],0)),0),0)*chevreau_0_3_mois*SUM(NbreJoursNourrirCaprins))</f>
        <v>0</v>
      </c>
      <c r="CC109" s="1075">
        <f t="shared" si="45"/>
        <v>0</v>
      </c>
      <c r="CD109" s="1345"/>
      <c r="CE109" s="1345"/>
      <c r="CF109" s="1345"/>
      <c r="CG109" s="1345"/>
      <c r="CH109" s="1321"/>
      <c r="CI109" s="1321"/>
      <c r="CJ109" s="808" t="str">
        <f t="shared" si="26"/>
        <v>Paille</v>
      </c>
      <c r="CK109" s="788">
        <f t="array" ref="CK10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09" s="788">
        <f t="array" ref="CL10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09" s="788">
        <f t="array" ref="CM10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09" s="788">
        <f t="array" ref="CN10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09" s="788">
        <f t="array" ref="CO10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09" s="812">
        <f>SUM(AlimentsRationPorcinsFemelles[[#This Row],[Valeur 12 et plus]:[Valeur 0-1]])</f>
        <v>0</v>
      </c>
      <c r="CQ109" s="1345"/>
      <c r="CR109" s="1321"/>
      <c r="CS109" s="808" t="str">
        <f t="shared" si="40"/>
        <v>Ensilage d'herbe</v>
      </c>
      <c r="CT109" s="817">
        <f t="array" ref="CT10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09" s="817">
        <f t="array" ref="CU10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09" s="817">
        <f t="array" ref="CV10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09" s="818">
        <f>SUM(AlimentsRationLapinsFemelles[[#This Row],[Valeur 3 et plus]:[Valeur 0-1]])</f>
        <v>0</v>
      </c>
      <c r="CX109" s="1321"/>
      <c r="CY109" s="1321"/>
      <c r="CZ109" s="808" t="str">
        <f t="shared" si="41"/>
        <v>Ensilage d'herbe</v>
      </c>
      <c r="DA109" s="817">
        <f t="array" ref="DA10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09" s="817">
        <f t="array" ref="DB10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09" s="817">
        <f t="array" ref="DC10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09" s="818">
        <f>SUM(AlimentsRationVolaillesFemelles[[#This Row],[Valeur 6 et plus]:[Valeur 0-1]])</f>
        <v>0</v>
      </c>
      <c r="DE109" s="1345"/>
      <c r="DF109" s="1321"/>
      <c r="DG109" s="788" t="str">
        <f t="shared" si="27"/>
        <v>Minéraux + vitamines</v>
      </c>
      <c r="DH109" s="817">
        <f t="array" ref="DH109">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09" s="817">
        <f t="array" ref="DI109">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09" s="817">
        <f t="array" ref="DJ109">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09" s="821">
        <f>SUM(AlimentsRationPintadesFemelles[[#This Row],[Valeur 6 et plus]:[Valeur 0-1]])</f>
        <v>0</v>
      </c>
      <c r="DL109" s="1321"/>
      <c r="DM109" s="1321"/>
      <c r="DN109" s="1176" t="s">
        <v>1316</v>
      </c>
      <c r="DO109" s="1177" t="s">
        <v>730</v>
      </c>
      <c r="DP109" s="1177" t="s">
        <v>1252</v>
      </c>
      <c r="DQ109" s="1181">
        <v>2</v>
      </c>
      <c r="DR109" s="1181">
        <v>1.5</v>
      </c>
      <c r="DS109" s="1181">
        <v>1</v>
      </c>
      <c r="DT109" s="1243">
        <v>0</v>
      </c>
      <c r="DU109" s="1345"/>
      <c r="DV109" s="1075" t="str">
        <f t="shared" si="24"/>
        <v>Tourteau de tournesol</v>
      </c>
      <c r="DW109" s="1269">
        <f t="array" ref="DW109">SUM((IF(QualitéAlimentsFaonMâle_0_3_mois=BONNE,VLOOKUP("Tourteau de tournesol",AlimentsRationHivernaleDaims,8,FALSE),0)+(IF(QualitéAlimentsFaonFemelle_0_3_mois=BONNE,VLOOKUP("Tourteau de tournesol",AlimentsRationHivernaleDaims,8,FALSE),0)+(IF(QualitéAlimentsFaonMâle_3_6_mois=BONNE,VLOOKUP("Tourteau de tournesol",AlimentsRationHivernaleDaims,7,FALSE),0)+(IF(QualitéAlimentsFaonFemelle_3_6_mois=BONNE,VLOOKUP("Tourteau de tournesol",AlimentsRationHivernaleDaims,7,FALSE),0)+(IF(QualitéAlimentsFaonMâle_6_12_mois=BONNE,VLOOKUP("Tourteau de tournesol",AlimentsRationHivernaleDaims,6,FALSE),0)+(IF(QualitéAlimentsFaonFemelle_6_12_mois=BONNE,VLOOKUP("Tourteau de tournesol",AlimentsRationHivernaleDaims,6,FALSE),0)+(IF(QualitéAlimentsJeuneDaim_12_18_mois=BONNE,VLOOKUP("Tourteau de tournesol",AlimentsRationHivernaleDaims,5,FALSE),0)+(IF(QualitéAlimentsJeuneDaine_12_18_mois=BONNE,VLOOKUP("Tourteau de tournesol",AlimentsRationHivernaleDaims,5,FALSE),0)+(IF(QualitéAlimentsJeuneDaim_18_24_mois=BONNE,VLOOKUP("Tourteau de tournesol",AlimentsRationHivernaleDaims,4,FALSE),0)+(IF(QualitéAlimentsJeuneDaine_18_24_mois=BONNE,VLOOKUP("Tourteau de tournesol",AlimentsRationHivernaleDaims,4,FALSE),0)+(IF(QualitéAlimentsJeuneDaim_24_36_mois=BONNE,VLOOKUP("Tourteau de tournesol",AlimentsRationHivernaleDaims,3,FALSE),0)+(IF(QualitéAlimentsJeuneDaine_24_36_mois=BONNE,VLOOKUP("Tourteau de tournesol",AlimentsRationHivernaleDaims,3,FALSE),0)+(IF(QualitéAlimentsDaim=BONNE,VLOOKUP("Tourteau de tournesol",AlimentsRationHivernaleDaims,2,FALSE),0)+(IF(QualitéAlimentsDaine=BONNE,VLOOKUP("Tourteau de tournesol",AlimentsRationHivernaleDaims,2,FALSE),0))))))))))))))))</f>
        <v>0</v>
      </c>
      <c r="DX109" s="1269">
        <f t="array" ref="DX109">SUM((IF(QualitéAlimentsFaonMâle_0_3_mois=MOYENNE,VLOOKUP("Tourteau de tournesol",AlimentsRationHivernaleDaims,8,FALSE),0)+(IF(QualitéAlimentsFaonFemelle_0_3_mois=MOYENNE,VLOOKUP("Tourteau de tournesol",AlimentsRationHivernaleDaims,8,FALSE),0)+(IF(QualitéAlimentsFaonMâle_3_6_mois=MOYENNE,VLOOKUP("Tourteau de tournesol",AlimentsRationHivernaleDaims,7,FALSE),0)+(IF(QualitéAlimentsFaonFemelle_3_6_mois=MOYENNE,VLOOKUP("Tourteau de tournesol",AlimentsRationHivernaleDaims,7,FALSE),0)+(IF(QualitéAlimentsFaonMâle_6_12_mois=MOYENNE,VLOOKUP("Tourteau de tournesol",AlimentsRationHivernaleDaims,6,FALSE),0)+(IF(QualitéAlimentsFaonFemelle_6_12_mois=MOYENNE,VLOOKUP("Tourteau de tournesol",AlimentsRationHivernaleDaims,6,FALSE),0)+(IF(QualitéAlimentsJeuneDaim_12_18_mois=MOYENNE,VLOOKUP("Tourteau de tournesol",AlimentsRationHivernaleDaims,5,FALSE),0)+(IF(QualitéAlimentsJeuneDaine_12_18_mois=MOYENNE,VLOOKUP("Tourteau de tournesol",AlimentsRationHivernaleDaims,5,FALSE),0)+(IF(QualitéAlimentsJeuneDaim_18_24_mois=MOYENNE,VLOOKUP("Tourteau de tournesol",AlimentsRationHivernaleDaims,4,FALSE),0)+(IF(QualitéAlimentsJeuneDaine_18_24_mois=MOYENNE,VLOOKUP("Tourteau de tournesol",AlimentsRationHivernaleDaims,4,FALSE),0)+(IF(QualitéAlimentsJeuneDaim_24_36_mois=MOYENNE,VLOOKUP("Tourteau de tournesol",AlimentsRationHivernaleDaims,3,FALSE),0)+(IF(QualitéAlimentsJeuneDaine_24_36_mois=MOYENNE,VLOOKUP("Tourteau de tournesol",AlimentsRationHivernaleDaims,3,FALSE),0)+(IF(QualitéAlimentsDaim=MOYENNE,VLOOKUP("Tourteau de tournesol",AlimentsRationHivernaleDaims,2,FALSE),0)+(IF(QualitéAlimentsDaine=MOYENNE,VLOOKUP("Tourteau de tournesol",AlimentsRationHivernaleDaims,2,FALSE),0))))))))))))))))</f>
        <v>0</v>
      </c>
      <c r="DY109" s="1269">
        <f t="array" ref="DY109">SUM((IF(QualitéAlimentsFaonMâle_0_3_mois=MAUVAISE,VLOOKUP("Tourteau de tournesol",AlimentsRationHivernaleDaims,8,FALSE),0)+(IF(QualitéAlimentsFaonFemelle_0_3_mois=MAUVAISE,VLOOKUP("Tourteau de tournesol",AlimentsRationHivernaleDaims,8,FALSE),0)+(IF(QualitéAlimentsFaonMâle_3_6_mois=MAUVAISE,VLOOKUP("Tourteau de tournesol",AlimentsRationHivernaleDaims,7,FALSE),0)+(IF(QualitéAlimentsFaonFemelle_3_6_mois=MAUVAISE,VLOOKUP("Tourteau de tournesol",AlimentsRationHivernaleDaims,7,FALSE),0)+(IF(QualitéAlimentsFaonMâle_6_12_mois=MAUVAISE,VLOOKUP("Tourteau de tournesol",AlimentsRationHivernaleDaims,6,FALSE),0)+(IF(QualitéAlimentsFaonFemelle_6_12_mois=MAUVAISE,VLOOKUP("Tourteau de tournesol",AlimentsRationHivernaleDaims,6,FALSE),0)+(IF(QualitéAlimentsJeuneDaim_12_18_mois=MAUVAISE,VLOOKUP("Tourteau de tournesol",AlimentsRationHivernaleDaims,5,FALSE),0)+(IF(QualitéAlimentsJeuneDaine_12_18_mois=MAUVAISE,VLOOKUP("Tourteau de tournesol",AlimentsRationHivernaleDaims,5,FALSE),0)+(IF(QualitéAlimentsJeuneDaim_18_24_mois=MAUVAISE,VLOOKUP("Tourteau de tournesol",AlimentsRationHivernaleDaims,4,FALSE),0)+(IF(QualitéAlimentsJeuneDaine_18_24_mois=MAUVAISE,VLOOKUP("Tourteau de tournesol",AlimentsRationHivernaleDaims,4,FALSE),0)+(IF(QualitéAlimentsJeuneDaim_24_36_mois=MAUVAISE,VLOOKUP("Tourteau de tournesol",AlimentsRationHivernaleDaims,3,FALSE),0)+(IF(QualitéAlimentsJeuneDaine_24_36_mois=MAUVAISE,VLOOKUP("Tourteau de tournesol",AlimentsRationHivernaleDaims,3,FALSE),0)+(IF(QualitéAlimentsDaim=MAUVAISE,VLOOKUP("Tourteau de tournesol",AlimentsRationHivernaleDaims,2,FALSE),0)+(IF(QualitéAlimentsDaine=MAUVAISE,VLOOKUP("Tourteau de tournesol",AlimentsRationHivernaleDaims,2,FALSE),0))))))))))))))))</f>
        <v>0</v>
      </c>
      <c r="DZ109" s="1345"/>
      <c r="EA109" s="1345"/>
      <c r="EB109" s="1345"/>
      <c r="EC109" s="1345"/>
      <c r="ED109" s="1345"/>
      <c r="EE109" s="1345"/>
      <c r="EF109" s="1321"/>
      <c r="EG109" s="808" t="str">
        <f t="shared" si="31"/>
        <v>Foin</v>
      </c>
      <c r="EH109" s="817">
        <f t="array" ref="EH10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09" s="817">
        <f t="array" ref="EI10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09" s="817">
        <f t="array" ref="EJ10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09" s="818">
        <f>SUM(AlimentsRationOiesFemelles[[#This Row],[Valeur 6 et plus]:[Valeur 0-3]])</f>
        <v>0</v>
      </c>
      <c r="EL109" s="1345"/>
      <c r="EM109" s="1321"/>
      <c r="EN109" s="823" t="str">
        <f t="shared" si="29"/>
        <v>Haricot vert</v>
      </c>
      <c r="EO109" s="828">
        <f t="array" ref="EO109">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09" s="828">
        <f t="array" ref="EP109">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09" s="828">
        <f t="array" ref="EQ109">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09" s="829">
        <f>SUM(Ration_canards_Femelles[[#This Row],[Valeur 6 et plus]:[Valeur 0-3]])</f>
        <v>0</v>
      </c>
      <c r="ES109" s="1345"/>
      <c r="ET109" s="1321"/>
      <c r="EU109" s="1083" t="str">
        <f t="shared" si="44"/>
        <v>concentré jeunes bovins</v>
      </c>
      <c r="EV109" s="1283">
        <f t="array" ref="EV109">IF(OR(ChoixRationComplèteEtéChevauxSelle=OUI,ChoixRationComplèteEtéChevauxSelle="",AND(ChoixChevauxSellePréHiver=OUI,ChoixChevauxSellePréEté=OUI)),0,IFERROR(IF(OR(AND(INDEX(Règles_chevaux_selle[Specificite],MATCH(RationEtéChevauxSelle&amp;$EU109,Règles_chevaux_selle[Ration]&amp;Règles_chevaux_selle[Aliment],0))="s1",IF($EU109=Spécificité1ChevauxSelle,1)),
AND(INDEX(Règles_chevaux_selle[Specificite],MATCH(RationEtéChevauxSelle&amp;$EU109,Règles_chevaux_selle[Ration]&amp;Règles_chevaux_selle[Aliment],0))="s2",IF($EU109=Spécificité2ChevauxSelle,1)),
INDEX(Règles_chevaux_selle[Specificite],MATCH(RationEtéChevauxSelle&amp;$EU109,Règles_chevaux_selle[Ration]&amp;Règles_chevaux_selle[Aliment],0))="c"),
INDEX(Règles_chevaux_selle[Valeur 36 et plus],MATCH(RationEtéChevauxSelle&amp;$EU109,Règles_chevaux_selle[Ration]&amp;Règles_chevaux_selle[Aliment],0)),0),0)*TotalJumentSelle*SUM(NbreJoursNourrirChevauxSelle))</f>
        <v>0</v>
      </c>
      <c r="EW109" s="1283">
        <f t="array" ref="EW109">IF(OR(ChoixRationComplèteEtéChevauxSelle=OUI,ChoixRationComplèteEtéChevauxSelle="",AND(ChoixChevauxSellePréHiver=OUI,ChoixChevauxSellePréEté=OUI)),0,IFERROR(IF(OR(AND(INDEX(Règles_chevaux_selle[Specificite],MATCH(RationEtéChevauxSelle&amp;$EU109,Règles_chevaux_selle[Ration]&amp;Règles_chevaux_selle[Aliment],0))="s1",IF($EU109=Spécificité1ChevauxSelle,1)),
AND(INDEX(Règles_chevaux_selle[Specificite],MATCH(RationEtéChevauxSelle&amp;$EU109,Règles_chevaux_selle[Ration]&amp;Règles_chevaux_selle[Aliment],0))="s2",IF($EU109=Spécificité2ChevauxSelle,1)),
INDEX(Règles_chevaux_selle[Specificite],MATCH(RationEtéChevauxSelle&amp;$EU109,Règles_chevaux_selle[Ration]&amp;Règles_chevaux_selle[Aliment],0))="c"),
INDEX(Règles_chevaux_selle[Valeur 24-36],MATCH(RationEtéChevauxSelle&amp;$EU109,Règles_chevaux_selle[Ration]&amp;Règles_chevaux_selle[Aliment],0)),0),0)*TotalJeuneJumentSelle_24_36_mois*SUM(NbreJoursNourrirChevauxSelle))</f>
        <v>0</v>
      </c>
      <c r="EX109" s="1283">
        <f t="array" ref="EX109">IF(OR(ChoixRationComplèteEtéChevauxSelle=OUI,ChoixRationComplèteEtéChevauxSelle="",AND(ChoixChevauxSellePréHiver=OUI,ChoixChevauxSellePréEté=OUI)),0,IFERROR(IF(OR(AND(INDEX(Règles_chevaux_selle[Specificite],MATCH(RationEtéChevauxSelle&amp;$EU109,Règles_chevaux_selle[Ration]&amp;Règles_chevaux_selle[Aliment],0))="s1",IF($EU109=Spécificité1ChevauxSelle,1)),
AND(INDEX(Règles_chevaux_selle[Specificite],MATCH(RationEtéChevauxSelle&amp;$EU109,Règles_chevaux_selle[Ration]&amp;Règles_chevaux_selle[Aliment],0))="s2",IF($EU109=Spécificité2ChevauxSelle,1)),
INDEX(Règles_chevaux_selle[Specificite],MATCH(RationEtéChevauxSelle&amp;$EU109,Règles_chevaux_selle[Ration]&amp;Règles_chevaux_selle[Aliment],0))="c"),
INDEX(Règles_chevaux_selle[Valeur 12-24],MATCH(RationEtéChevauxSelle&amp;$EU109,Règles_chevaux_selle[Ration]&amp;Règles_chevaux_selle[Aliment],0)),0),0)*TotalJeuneJumentSelle_12_24_mois*SUM(NbreJoursNourrirChevauxSelle))</f>
        <v>0</v>
      </c>
      <c r="EY109" s="1286">
        <f t="array" ref="EY109">IF(OR(ChoixRationComplèteEtéChevauxSelle=OUI,ChoixRationComplèteEtéChevauxSelle="",AND(ChoixChevauxSellePréHiver=OUI,ChoixChevauxSellePréEté=OUI)),0,IFERROR(IF(OR(AND(INDEX(Règles_chevaux_selle[Specificite],MATCH(RationEtéChevauxSelle&amp;$EU109,Règles_chevaux_selle[Ration]&amp;Règles_chevaux_selle[Aliment],0))="s1",IF($EU109=Spécificité1ChevauxSelle,1)),
AND(INDEX(Règles_chevaux_selle[Specificite],MATCH(RationEtéChevauxSelle&amp;$EU109,Règles_chevaux_selle[Ration]&amp;Règles_chevaux_selle[Aliment],0))="s2",IF($EU109=Spécificité2ChevauxSelle,1)),
INDEX(Règles_chevaux_selle[Specificite],MATCH(RationEtéChevauxSelle&amp;$EU109,Règles_chevaux_selle[Ration]&amp;Règles_chevaux_selle[Aliment],0))="c"),
INDEX(Règles_chevaux_selle[Valeur 0-12],MATCH(RationEtéChevauxSelle&amp;$EU109,Règles_chevaux_selle[Ration]&amp;Règles_chevaux_selle[Aliment],0)),0),0)*TotalPoulicheSelle_0_12_mois*SUM(NbreJoursNourrirChevauxSelle))</f>
        <v>0</v>
      </c>
      <c r="EZ109" s="1286">
        <f t="shared" si="43"/>
        <v>0</v>
      </c>
      <c r="FA109" s="1345"/>
      <c r="FB109" s="1345"/>
      <c r="FC109" s="1321"/>
      <c r="FD109" s="1083" t="str">
        <f t="shared" si="34"/>
        <v>Féverole</v>
      </c>
      <c r="FE109" s="1283">
        <f t="array" ref="FE109">IF(OR(ChoixRationComplèteEtéChevauxTrait=OUI,ChoixRationComplèteEtéChevauxTrait="",AND(ChoixChevauxTraitPréHiver=OUI,ChoixChevauxTraitPréEté=OUI)),0,IFERROR(IF(OR(AND(INDEX(Règles_chevaux_trait[Specificite],MATCH(RationEtéChevauxTrait&amp;$FD109,Règles_chevaux_trait[Ration]&amp;Règles_chevaux_trait[Aliment],0))="s1",IF($FD109=Spécificité1ChevauxTrait,1)),
AND(INDEX(Règles_chevaux_trait[Specificite],MATCH(RationEtéChevauxTrait&amp;$FD109,Règles_chevaux_trait[Ration]&amp;Règles_chevaux_trait[Aliment],0))="s2",IF($FD109=Spécificité2ChevauxTrait,1)),
INDEX(Règles_chevaux_trait[Specificite],MATCH(RationEtéChevauxTrait&amp;$FD109,Règles_chevaux_trait[Ration]&amp;Règles_chevaux_trait[Aliment],0))="c"),
INDEX(Règles_chevaux_trait[Valeur 36 et plus],MATCH(RationEtéChevauxTrait&amp;$FD109,Règles_chevaux_trait[Ration]&amp;Règles_chevaux_trait[Aliment],0)),0),0)*TotalJumentTrait*SUM(NbreJoursNourrirChevauxTrait))</f>
        <v>0</v>
      </c>
      <c r="FF109" s="1283">
        <f t="array" ref="FF109">IF(OR(ChoixRationComplèteEtéChevauxTrait=OUI,ChoixRationComplèteEtéChevauxTrait="",AND(ChoixChevauxTraitPréHiver=OUI,ChoixChevauxTraitPréEté=OUI)),0,IFERROR(IF(OR(AND(INDEX(Règles_chevaux_trait[Specificite],MATCH(RationEtéChevauxTrait&amp;$FD109,Règles_chevaux_trait[Ration]&amp;Règles_chevaux_trait[Aliment],0))="s1",IF($FD109=Spécificité1ChevauxTrait,1)),
AND(INDEX(Règles_chevaux_trait[Specificite],MATCH(RationEtéChevauxTrait&amp;$FD109,Règles_chevaux_trait[Ration]&amp;Règles_chevaux_trait[Aliment],0))="s2",IF($FD109=Spécificité2ChevauxTrait,1)),
INDEX(Règles_chevaux_trait[Specificite],MATCH(RationEtéChevauxTrait&amp;$FD109,Règles_chevaux_trait[Ration]&amp;Règles_chevaux_trait[Aliment],0))="c"),
INDEX(Règles_chevaux_trait[Valeur 24-36],MATCH(RationEtéChevauxTrait&amp;$FD109,Règles_chevaux_trait[Ration]&amp;Règles_chevaux_trait[Aliment],0)),0),0)*TotalJeuneJumentTrait_24_36_mois*SUM(NbreJoursNourrirChevauxTrait))</f>
        <v>0</v>
      </c>
      <c r="FG109" s="1283">
        <f t="array" ref="FG109">IF(OR(ChoixRationComplèteEtéChevauxTrait=OUI,ChoixRationComplèteEtéChevauxTrait="",AND(ChoixChevauxTraitPréHiver=OUI,ChoixChevauxTraitPréEté=OUI)),0,IFERROR(IF(OR(AND(INDEX(Règles_chevaux_trait[Specificite],MATCH(RationEtéChevauxTrait&amp;$FD109,Règles_chevaux_trait[Ration]&amp;Règles_chevaux_trait[Aliment],0))="s1",IF($FD109=Spécificité1ChevauxTrait,1)),
AND(INDEX(Règles_chevaux_trait[Specificite],MATCH(RationEtéChevauxTrait&amp;$FD109,Règles_chevaux_trait[Ration]&amp;Règles_chevaux_trait[Aliment],0))="s2",IF($FD109=Spécificité2ChevauxTrait,1)),
INDEX(Règles_chevaux_trait[Specificite],MATCH(RationEtéChevauxTrait&amp;$FD109,Règles_chevaux_trait[Ration]&amp;Règles_chevaux_trait[Aliment],0))="c"),
INDEX(Règles_chevaux_trait[Valeur 12-24],MATCH(RationEtéChevauxTrait&amp;$FD109,Règles_chevaux_trait[Ration]&amp;Règles_chevaux_trait[Aliment],0)),0),0)*TotalJeuneJumentTrait_12_24_mois*SUM(NbreJoursNourrirChevauxTrait))</f>
        <v>0</v>
      </c>
      <c r="FH109" s="1286">
        <f t="array" ref="FH109">IF(OR(ChoixRationComplèteEtéChevauxTrait=OUI,ChoixRationComplèteEtéChevauxTrait="",AND(ChoixChevauxTraitPréHiver=OUI,ChoixChevauxTraitPréEté=OUI)),0,IFERROR(IF(OR(AND(INDEX(Règles_chevaux_trait[Specificite],MATCH(RationEtéChevauxTrait&amp;$FD109,Règles_chevaux_trait[Ration]&amp;Règles_chevaux_trait[Aliment],0))="s1",IF($FD109=Spécificité1ChevauxTrait,1)),
AND(INDEX(Règles_chevaux_trait[Specificite],MATCH(RationEtéChevauxTrait&amp;$FD109,Règles_chevaux_trait[Ration]&amp;Règles_chevaux_trait[Aliment],0))="s2",IF($FD109=Spécificité2ChevauxTrait,1)),
INDEX(Règles_chevaux_trait[Specificite],MATCH(RationEtéChevauxTrait&amp;$FD109,Règles_chevaux_trait[Ration]&amp;Règles_chevaux_trait[Aliment],0))="c"),
INDEX(Règles_chevaux_trait[Valeur 0-12],MATCH(RationEtéChevauxTrait&amp;$FD109,Règles_chevaux_trait[Ration]&amp;Règles_chevaux_trait[Aliment],0)),0),0)*TotalPoulicheTrait_0_12_mois*SUM(NbreJoursNourrirChevauxTrait))</f>
        <v>0</v>
      </c>
      <c r="FI109" s="1286">
        <f t="shared" si="32"/>
        <v>0</v>
      </c>
      <c r="FJ109" s="1345"/>
      <c r="FK109" s="1345"/>
      <c r="FL109" s="1345"/>
      <c r="FM109" s="1321"/>
      <c r="FN109" s="1082" t="str">
        <f t="shared" si="33"/>
        <v>Foin</v>
      </c>
      <c r="FO109" s="1282">
        <f t="array" ref="FO109">IF(OR(ChoixRationComplèteEtéPoneys=OUI,ChoixRationComplèteEtéPoneys="",AND(ChoixPoneysPréHiver=OUI,ChoixPoneysPréEté=OUI)),0,IFERROR(IF(OR(AND(INDEX(Règles_poneys[Specificite],MATCH(RationEtéPoneys&amp;$FN109,Règles_poneys[Ration]&amp;Règles_poneys[Aliment],0))="s1",IF($FN109=Spécificité1Poneys,1)),
AND(INDEX(Règles_poneys[Specificite],MATCH(RationEtéPoneys&amp;$FN109,Règles_poneys[Ration]&amp;Règles_poneys[Aliment],0))="s2",IF($FN109=Spécificité2Poneys,1)),
INDEX(Règles_poneys[Specificite],MATCH(RationEtéPoneys&amp;$FN109,Règles_poneys[Ration]&amp;Règles_poneys[Aliment],0))="c"),
INDEX(Règles_poneys[Valeur 36 et plus],MATCH(RationEtéPoneys&amp;$FN109,Règles_poneys[Ration]&amp;Règles_poneys[Aliment],0)),0),0)*TotalJumentPoney*SUM(NbreJoursNourrirPoneys))</f>
        <v>0</v>
      </c>
      <c r="FP109" s="1282">
        <f t="array" ref="FP109">IF(OR(ChoixRationComplèteEtéPoneys=OUI,ChoixRationComplèteEtéPoneys="",AND(ChoixPoneysPréHiver=OUI,ChoixPoneysPréEté=OUI)),0,IFERROR(IF(OR(AND(INDEX(Règles_poneys[Specificite],MATCH(RationEtéPoneys&amp;$FN109,Règles_poneys[Ration]&amp;Règles_poneys[Aliment],0))="s1",IF($FN109=Spécificité1Poneys,1)),
AND(INDEX(Règles_poneys[Specificite],MATCH(RationEtéPoneys&amp;$FN109,Règles_poneys[Ration]&amp;Règles_poneys[Aliment],0))="s2",IF($FN109=Spécificité2Poneys,1)),
INDEX(Règles_poneys[Specificite],MATCH(RationEtéPoneys&amp;$FN109,Règles_poneys[Ration]&amp;Règles_poneys[Aliment],0))="c"),
INDEX(Règles_poneys[Valeur 36 et plus],MATCH(RationEtéPoneys&amp;$FN109,Règles_poneys[Ration]&amp;Règles_poneys[Aliment],0)),0),0)*TotalJeuneJumentPoney_24_36_mois*SUM(NbreJoursNourrirPoneys))</f>
        <v>0</v>
      </c>
      <c r="FQ109" s="1282">
        <f t="array" ref="FQ109">IF(OR(ChoixRationComplèteEtéPoneys=OUI,ChoixRationComplèteEtéPoneys="",AND(ChoixPoneysPréHiver=OUI,ChoixPoneysPréEté=OUI)),0,IFERROR(IF(OR(AND(INDEX(Règles_poneys[Specificite],MATCH(RationEtéPoneys&amp;$FN109,Règles_poneys[Ration]&amp;Règles_poneys[Aliment],0))="s1",IF($FN109=Spécificité1Poneys,1)),
AND(INDEX(Règles_poneys[Specificite],MATCH(RationEtéPoneys&amp;$FN109,Règles_poneys[Ration]&amp;Règles_poneys[Aliment],0))="s2",IF($FN109=Spécificité2Poneys,1)),
INDEX(Règles_poneys[Specificite],MATCH(RationEtéPoneys&amp;$FN109,Règles_poneys[Ration]&amp;Règles_poneys[Aliment],0))="c"),
INDEX(Règles_poneys[Valeur 36 et plus],MATCH(RationEtéPoneys&amp;$FN109,Règles_poneys[Ration]&amp;Règles_poneys[Aliment],0)),0),0)*TotalJeuneJumentPoney_12_24_mois*SUM(NbreJoursNourrirPoneys))</f>
        <v>0</v>
      </c>
      <c r="FR109" s="1285">
        <f t="array" ref="FR109">IF(OR(ChoixRationComplèteEtéPoneys=OUI,ChoixRationComplèteEtéPoneys="",AND(ChoixPoneysPréHiver=OUI,ChoixPoneysPréEté=OUI)),0,IFERROR(IF(OR(AND(INDEX(Règles_poneys[Specificite],MATCH(RationEtéPoneys&amp;$FN109,Règles_poneys[Ration]&amp;Règles_poneys[Aliment],0))="s1",IF($FN109=Spécificité1Poneys,1)),
AND(INDEX(Règles_poneys[Specificite],MATCH(RationEtéPoneys&amp;$FN109,Règles_poneys[Ration]&amp;Règles_poneys[Aliment],0))="s2",IF($FN109=Spécificité2Poneys,1)),
INDEX(Règles_poneys[Specificite],MATCH(RationEtéPoneys&amp;$FN109,Règles_poneys[Ration]&amp;Règles_poneys[Aliment],0))="c"),
INDEX(Règles_poneys[Valeur 36 et plus],MATCH(RationEtéPoneys&amp;$FN109,Règles_poneys[Ration]&amp;Règles_poneys[Aliment],0)),0),0)*TotalPoulichePoney_0_12_mois*SUM(NbreJoursNourrirPoneys))</f>
        <v>0</v>
      </c>
      <c r="FS109" s="1285">
        <f t="shared" si="30"/>
        <v>0</v>
      </c>
      <c r="FT109" s="1345"/>
      <c r="FU109" s="1345"/>
      <c r="FV109" s="1345"/>
      <c r="FW109" s="823" t="str">
        <f t="shared" si="28"/>
        <v>Minéraux + vitamines</v>
      </c>
      <c r="FX109" s="828">
        <f t="array" ref="FX10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09" s="828">
        <f t="array" ref="FY10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09" s="828">
        <f t="array" ref="FZ10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09" s="828">
        <f t="array" ref="GA10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09" s="829">
        <f>SUM(AlimentsGavageCanards[[#This Row],[Valeur 3 et plus]:[Valeur 0-1]])</f>
        <v>0</v>
      </c>
      <c r="GC109" s="1321"/>
      <c r="GD109" s="1321"/>
      <c r="GE109" s="1321"/>
      <c r="GF109" s="1321"/>
      <c r="GG109" s="1321" t="s">
        <v>1349</v>
      </c>
      <c r="GH109" s="1321" t="s">
        <v>1349</v>
      </c>
      <c r="GI109" s="1321" t="s">
        <v>1349</v>
      </c>
      <c r="GJ109" s="1321" t="s">
        <v>1349</v>
      </c>
      <c r="GK109" s="1321" t="s">
        <v>1349</v>
      </c>
      <c r="GL109" s="1321" t="s">
        <v>1349</v>
      </c>
      <c r="GM109" s="1321" t="s">
        <v>1349</v>
      </c>
      <c r="GN109" s="1321" t="s">
        <v>1349</v>
      </c>
      <c r="GO109" s="1321" t="s">
        <v>1349</v>
      </c>
      <c r="GP109" s="1321" t="s">
        <v>1349</v>
      </c>
      <c r="GQ109" s="1321" t="s">
        <v>1349</v>
      </c>
      <c r="GR109" s="1321" t="s">
        <v>1349</v>
      </c>
      <c r="GS109" s="1321" t="s">
        <v>1349</v>
      </c>
      <c r="GT109" s="1321" t="s">
        <v>1349</v>
      </c>
      <c r="GU109" s="1321" t="s">
        <v>1349</v>
      </c>
      <c r="GV109" s="1321" t="s">
        <v>1349</v>
      </c>
      <c r="GW109" s="1321"/>
      <c r="GX109" s="1321"/>
      <c r="GY109" s="1321"/>
      <c r="GZ109" s="1321"/>
      <c r="HA109" s="1321"/>
      <c r="HB109" s="1321"/>
      <c r="HC109" s="1321"/>
      <c r="HD109" s="1321"/>
      <c r="HE109" s="1321"/>
      <c r="HF109" s="1321"/>
      <c r="HG109" s="1321"/>
      <c r="HH109" s="1321"/>
      <c r="HI109" s="1321"/>
      <c r="HJ109" s="1321"/>
      <c r="HK109" s="1321"/>
      <c r="HL109" s="1321"/>
      <c r="HM109" s="1321"/>
      <c r="HN109" s="1099" t="s">
        <v>331</v>
      </c>
      <c r="HO109" s="1085" t="e">
        <f>IF(SUM((VLOOKUP(HN109,AlimentsRationBovinsMâles,9,FALSE)+VLOOKUP(HN109,AlimentsRationBovinsFemelles,9,FALSE)+VLOOKUP(HN109,BDD!BB$284:BJ$323,9,FALSE))/1000/SUM(NbreJoursNourrirBovins)*IF('semences, engrais et traitement'!I$16=OUI,42,84))&lt;0,0,SUM((VLOOKUP(HN109,AlimentsRationBovinsMâles,9,FALSE)+VLOOKUP(HN109,AlimentsRationBovinsFemelles,9,FALSE)+VLOOKUP(HN109,BDD!BB$284:BJ$323,9,FALSE))/1000/SUM(NbreJoursNourrirBovins)*IF('semences, engrais et traitement'!I$16=OUI,42,84)))</f>
        <v>#DIV/0!</v>
      </c>
      <c r="HP109" s="1085">
        <f t="shared" si="36"/>
        <v>0</v>
      </c>
      <c r="HQ109" s="1085" t="e">
        <f>IF(SUM(VLOOKUP(HN109,AlimentsRationPorcinsMâles[],7,FALSE)+VLOOKUP(HN109,AlimentsRationPorcinsFemelles[],7,FALSE))/1000/SUM(NbreJoursNourrirAutres)*84&lt;0,0,SUM(VLOOKUP(HN109,AlimentsRationPorcinsMâles[],7,FALSE)+VLOOKUP(HN109,AlimentsRationPorcinsFemelles[],7,FALSE)/1000/SUM(NbreJoursNourrirAutres)*84))</f>
        <v>#DIV/0!</v>
      </c>
      <c r="HR109" s="1085" t="e">
        <f>IF(SUM(VLOOKUP(HN109,AlimentsRationCaprinsMâles,6,FALSE)+VLOOKUP(HN109,AlimentsRationCaprinsFemelles,6,FALSE))/1000/SUM(NbreJoursNourrirCaprins)*IF('semences, engrais et traitement'!I$17=OUI,42,84)&lt;0,0,SUM(VLOOKUP(HN109,AlimentsRationCaprinsMâles,6,FALSE)+VLOOKUP(HN109,AlimentsRationCaprinsFemelles,6,FALSE))/1000/SUM(NbreJoursNourrirCaprins)*IF('semences, engrais et traitement'!I$17=OUI,42,84))</f>
        <v>#DIV/0!</v>
      </c>
      <c r="HS109" s="1085" t="e">
        <f>IF(SUM(VLOOKUP(HN109,AlimentsRationVolaillesMâles[],5,FALSE)+VLOOKUP(HN109,AlimentsRationVolaillesFemelles[],5,FALSE))/1000/SUM(NbreJoursNourrirAutres)*84&lt;0,0,SUM(VLOOKUP(HN109,AlimentsRationVolaillesMâles[],5,FALSE)+VLOOKUP(HN109,AlimentsRationVolaillesFemelles[],5,FALSE)/1000/SUM(NbreJoursNourrirAutres)*84))</f>
        <v>#DIV/0!</v>
      </c>
      <c r="HT109" s="1085" t="e">
        <f>IF(SUM(VLOOKUP(HN109,AlimentsRationPintadesMâles[],5,FALSE)+VLOOKUP(HN109,AlimentsRationPintadesFemelles[],5,FALSE))/1000/SUM(NbreJoursNourrirAutres)*84&lt;0,0,SUM(VLOOKUP(HN109,AlimentsRationPintadesMâles[],5,FALSE)+VLOOKUP(HN109,AlimentsRationPintadesFemelles[],5,FALSE)/1000/SUM(NbreJoursNourrirAutres)*84))</f>
        <v>#DIV/0!</v>
      </c>
      <c r="HU109" s="1085" t="e">
        <f>IF(SUM(VLOOKUP(HN109,AlimentsRationLapinsMâles[],5,FALSE)+VLOOKUP(HN109,AlimentsRationLapinsFemelles[],5,FALSE))/1000/SUM(NbreJoursNourrirAutres)*84&lt;0,0,SUM(VLOOKUP(HN109,AlimentsRationLapinsMâles[],5,FALSE)+VLOOKUP(HN109,AlimentsRationLapinsFemelles[],5,FALSE)/1000/SUM(NbreJoursNourrirAutres)*84))</f>
        <v>#DIV/0!</v>
      </c>
      <c r="HV109" s="1085" t="e">
        <f>IF(SUM(VLOOKUP(HN109,AlimentsRationOvinsMâles,6,FALSE)+VLOOKUP(HN109,AlimentsRationOvinsFemelles,6,FALSE))/1000/SUM(NbreJoursNourrirOvins)*IF('semences, engrais et traitement'!I$18=OUI,42,84)&lt;0,0,SUM(VLOOKUP(HN109,AlimentsRationOvinsMâles,6,FALSE)+VLOOKUP(HN109,AlimentsRationOvinsFemelles,6,FALSE))/1000/SUM(NbreJoursNourrirOvins)*IF('semences, engrais et traitement'!I$18=OUI,42,84))</f>
        <v>#DIV/0!</v>
      </c>
      <c r="HW109" s="1085" t="e">
        <f>IF(SUM(VLOOKUP(HN109,AlimentsRationOiesMâles[],5,FALSE)+VLOOKUP(HN109,AlimentsRationOiesFemelles[],5,FALSE))/1000/SUM(NbreJoursNourrirAutres)*84&lt;0,0,SUM(VLOOKUP(HN109,AlimentsRationOiesMâles[],5,FALSE)+VLOOKUP(HN109,AlimentsRationOiesFemelles[],5,FALSE)/1000/SUM(NbreJoursNourrirAutres)*84))</f>
        <v>#DIV/0!</v>
      </c>
      <c r="HX109" s="1085" t="e">
        <f t="shared" si="37"/>
        <v>#DIV/0!</v>
      </c>
      <c r="HY109" s="1085" t="e">
        <f>IF(SUM(VLOOKUP(HN109,AlimentsRationEcurieChevauxMâlesSelle,6,FALSE)+VLOOKUP(HN109,AlimentsRationEcurieChevauxFemellesSelle,6,FALSE))/1000/SUM(NbreJoursNourrirChevauxSelle)*IF('semences, engrais et traitement'!M$16=OUI,56,84)&lt;0,0,SUM(VLOOKUP(HN109,AlimentsRationEcurieChevauxMâlesSelle,6,FALSE)+VLOOKUP(HN109,AlimentsRationEcurieChevauxFemellesSelle,6,FALSE))/1000/SUM(NbreJoursNourrirChevauxSelle)*IF('semences, engrais et traitement'!M$16=OUI,56,84))</f>
        <v>#DIV/0!</v>
      </c>
      <c r="HZ109" s="1085" t="e">
        <f>IF(SUM(VLOOKUP(HN109,AlimentsRationEcurieChevauxMâlesTrait,6,FALSE)+VLOOKUP(HN109,AlimentsRationEcurieChevauxFemellesTrait,6,FALSE))/1000/SUM(NbreJoursNourrirChevauxTrait)*IF('semences, engrais et traitement'!M$17=OUI,56,84)&lt;0,0,SUM(VLOOKUP(HN109,AlimentsRationEcurieChevauxMâlesTrait,6,FALSE)+VLOOKUP(HN109,AlimentsRationEcurieChevauxFemellesTrait,6,FALSE))/1000/SUM(NbreJoursNourrirChevauxTrait)*IF('semences, engrais et traitement'!M$17=OUI,56,84))</f>
        <v>#DIV/0!</v>
      </c>
      <c r="IA109" s="1085" t="e">
        <f>IF(SUM(VLOOKUP(HN109,AlimentsRationEcuriePoneysMâles,6,FALSE)+VLOOKUP(HN109,AlimentsRationEcuriePoneysFemelles,6,FALSE))/1000/SUM(NbreJoursNourrirPoneys)*IF('semences, engrais et traitement'!M$18=OUI,56,84)&lt;0,0,SUM(VLOOKUP(HN109,AlimentsRationEcuriePoneysMâles,6,FALSE)+VLOOKUP(HN109,AlimentsRationEcuriePoneysFemelles,6,FALSE))/1000/SUM(NbreJoursNourrirPoneys)*IF('semences, engrais et traitement'!M$18=OUI,56,84))</f>
        <v>#DIV/0!</v>
      </c>
      <c r="IB109" s="1099" t="e">
        <f t="shared" si="38"/>
        <v>#DIV/0!</v>
      </c>
      <c r="IC109" s="1321"/>
      <c r="ID109" s="1321"/>
      <c r="IE109" s="1321"/>
      <c r="IF109" s="1321"/>
      <c r="IG109" s="1321"/>
      <c r="IH109" s="1321"/>
      <c r="II109" s="1321"/>
      <c r="IJ109" s="1321"/>
      <c r="IK109" s="1321"/>
      <c r="IL109" s="1321"/>
      <c r="IM109" s="1321"/>
      <c r="IN109" s="1368"/>
    </row>
    <row r="110" spans="1:248" ht="12.75" customHeight="1" x14ac:dyDescent="0.2">
      <c r="A110" s="1307" t="s">
        <v>31</v>
      </c>
      <c r="B110" s="1241">
        <f t="shared" si="39"/>
        <v>1E-3</v>
      </c>
      <c r="C110" s="1321"/>
      <c r="D110" s="1321"/>
      <c r="E110" s="1321"/>
      <c r="F110" s="1149" t="s">
        <v>331</v>
      </c>
      <c r="G110" s="1245" t="s">
        <v>1198</v>
      </c>
      <c r="H110" s="1245" t="s">
        <v>1167</v>
      </c>
      <c r="I110" s="1245" t="s">
        <v>1199</v>
      </c>
      <c r="J110" s="1149" t="s">
        <v>1202</v>
      </c>
      <c r="K110" s="1149" t="s">
        <v>1202</v>
      </c>
      <c r="L110" s="1149" t="s">
        <v>1202</v>
      </c>
      <c r="M110" s="1321"/>
      <c r="N110" s="1321"/>
      <c r="O110" s="1079" t="s">
        <v>1471</v>
      </c>
      <c r="P110" s="1321"/>
      <c r="Q110" s="1321"/>
      <c r="R110" s="1083" t="s">
        <v>580</v>
      </c>
      <c r="S110" s="1149" t="s">
        <v>751</v>
      </c>
      <c r="T110" s="1250">
        <v>43556</v>
      </c>
      <c r="U110" s="1250">
        <v>43738</v>
      </c>
      <c r="V110" s="1083">
        <f t="shared" ref="V110:V116" si="46">(MONTH(U110)-MONTH(T110))*7</f>
        <v>35</v>
      </c>
      <c r="W110" s="1321"/>
      <c r="X110" s="1321"/>
      <c r="Y110" s="1321"/>
      <c r="Z110" s="1321"/>
      <c r="AA110" s="1321"/>
      <c r="AB110" s="1321"/>
      <c r="AC110" s="1321"/>
      <c r="AD110" s="1321"/>
      <c r="AE110" s="1321"/>
      <c r="AF110" s="1321"/>
      <c r="AG110" s="1321"/>
      <c r="AH110" s="1321"/>
      <c r="AI110" s="1321"/>
      <c r="AJ110" s="1321"/>
      <c r="AK110" s="1321"/>
      <c r="AL110" s="1321"/>
      <c r="AM110" s="1321"/>
      <c r="AN110" s="1321"/>
      <c r="AO110" s="1321"/>
      <c r="AP110" s="1321"/>
      <c r="AQ110" s="1321"/>
      <c r="AR110" s="1321"/>
      <c r="AS110" s="1321"/>
      <c r="AT110" s="1321"/>
      <c r="AU110" s="1321"/>
      <c r="AV110" s="1321"/>
      <c r="AW110" s="1321"/>
      <c r="AX110" s="1321"/>
      <c r="AY110" s="1321"/>
      <c r="AZ110" s="1321"/>
      <c r="BA110" s="1321"/>
      <c r="BB110" s="1236" t="s">
        <v>1314</v>
      </c>
      <c r="BC110" s="1190" t="s">
        <v>730</v>
      </c>
      <c r="BD110" s="1190" t="s">
        <v>1252</v>
      </c>
      <c r="BE110" s="1237">
        <v>10</v>
      </c>
      <c r="BF110" s="1237">
        <v>9</v>
      </c>
      <c r="BG110" s="1237">
        <v>8</v>
      </c>
      <c r="BH110" s="1237">
        <v>7</v>
      </c>
      <c r="BI110" s="1237">
        <v>6</v>
      </c>
      <c r="BJ110" s="1237">
        <v>5</v>
      </c>
      <c r="BK110" s="1238">
        <v>0</v>
      </c>
      <c r="BL110" s="1348"/>
      <c r="BM110" s="792" t="s">
        <v>723</v>
      </c>
      <c r="BN110" s="793">
        <f t="array" ref="BN110">IF(ChoixRationComplèteBisons=OUI,IFERROR(IF(OR(AND(INDEX(Règles_bison[Specificite],MATCH(ChoixRationBisons&amp;Ration_hivernale_complète_bisons[aliment],Règles_bison[Ration]&amp;Règles_bison[Aliment],0))="s1",IF(Ration_hivernale_complète_bisons[aliment]=ChoixSpécificité1Bisons,1)),
AND(INDEX(Règles_bison[Specificite],MATCH(ChoixRationBisons&amp;Ration_hivernale_complète_bisons[aliment],Règles_bison[Ration]&amp;Règles_bison[Aliment],0))="s2",IF(Ration_hivernale_complète_bisons[aliment]=ChoixSpécificité2Bisons,1)),
INDEX(Règles_bison[Specificite],MATCH(ChoixRationBisons&amp;Ration_hivernale_complète_bisons[aliment],Règles_bison[Ration]&amp;Règles_bison[Aliment],0))="c",INDEX(Règles_bison[Specificite],MATCH(ChoixRationBisons&amp;Ration_hivernale_complète_bisons[aliment],Règles_bison[Ration]&amp;Règles_bison[Aliment],0))="complet"),
INDEX(Règles_bison[Valeur 36 et plus],MATCH(ChoixRationBisons&amp;Ration_hivernale_complète_bisons[aliment],Règles_bison[Ration]&amp;Règles_bison[Aliment],0)),0),0)*SUM(TotalBisonsAdultes)*SUM(AB76:AB100),0)</f>
        <v>0</v>
      </c>
      <c r="BO110" s="793">
        <f t="array" ref="BO110">IF(ChoixRationComplèteBisons=OUI,IFERROR(IF(OR(AND(INDEX(Règles_bison[Specificite],MATCH(ChoixRationBisons&amp;Ration_hivernale_complète_bisons[aliment],Règles_bison[Ration]&amp;Règles_bison[Aliment],0))="s1",IF(Ration_hivernale_complète_bisons[aliment]=ChoixSpécificité1Bisons,1)),
AND(INDEX(Règles_bison[Specificite],MATCH(ChoixRationBisons&amp;Ration_hivernale_complète_bisons[aliment],Règles_bison[Ration]&amp;Règles_bison[Aliment],0))="s2",IF(Ration_hivernale_complète_bisons[aliment]=ChoixSpécificité2Bisons,1)),
INDEX(Règles_bison[Specificite],MATCH(ChoixRationBisons&amp;Ration_hivernale_complète_bisons[aliment],Règles_bison[Ration]&amp;Règles_bison[Aliment],0))="c",INDEX(Règles_bison[Specificite],MATCH(ChoixRationBisons&amp;Ration_hivernale_complète_bisons[aliment],Règles_bison[Ration]&amp;Règles_bison[Aliment],0))="complet"),
INDEX(Règles_bison[Valeur 24-36],MATCH(ChoixRationBisons&amp;Ration_hivernale_complète_bisons[aliment],Règles_bison[Ration]&amp;Règles_bison[Aliment],0)),0),0)*SUM(TotalBisons24_36)*SUM(AB76:AB100),0)</f>
        <v>0</v>
      </c>
      <c r="BP110" s="793">
        <f t="array" ref="BP110">IF(ChoixRationComplèteBisons=OUI,IFERROR(IF(OR(AND(INDEX(Règles_bison[Specificite],MATCH(ChoixRationBisons&amp;Ration_hivernale_complète_bisons[aliment],Règles_bison[Ration]&amp;Règles_bison[Aliment],0))="s1",IF(Ration_hivernale_complète_bisons[aliment]=ChoixSpécificité1Bisons,1)),
AND(INDEX(Règles_bison[Specificite],MATCH(ChoixRationBisons&amp;Ration_hivernale_complète_bisons[aliment],Règles_bison[Ration]&amp;Règles_bison[Aliment],0))="s2",IF(Ration_hivernale_complète_bisons[aliment]=ChoixSpécificité2Bisons,1)),
INDEX(Règles_bison[Specificite],MATCH(ChoixRationBisons&amp;Ration_hivernale_complète_bisons[aliment],Règles_bison[Ration]&amp;Règles_bison[Aliment],0))="c",INDEX(Règles_bison[Specificite],MATCH(ChoixRationBisons&amp;Ration_hivernale_complète_bisons[aliment],Règles_bison[Ration]&amp;Règles_bison[Aliment],0))="complet"),
INDEX(Règles_bison[Valeur 18-24],MATCH(ChoixRationBisons&amp;Ration_hivernale_complète_bisons[aliment],Règles_bison[Ration]&amp;Règles_bison[Aliment],0)),0),0)*SUM(TotalBisons18_24)*SUM(AB76:AB100),0)</f>
        <v>0</v>
      </c>
      <c r="BQ110" s="793">
        <f t="array" ref="BQ110">IF(ChoixRationComplèteBisons=OUI,IFERROR(IF(OR(AND(INDEX(Règles_bison[Specificite],MATCH(ChoixRationBisons&amp;Ration_hivernale_complète_bisons[aliment],Règles_bison[Ration]&amp;Règles_bison[Aliment],0))="s1",IF(Ration_hivernale_complète_bisons[aliment]=ChoixSpécificité1Bisons,1)),
AND(INDEX(Règles_bison[Specificite],MATCH(ChoixRationBisons&amp;Ration_hivernale_complète_bisons[aliment],Règles_bison[Ration]&amp;Règles_bison[Aliment],0))="s2",IF(Ration_hivernale_complète_bisons[aliment]=ChoixSpécificité2Bisons,1)),
INDEX(Règles_bison[Specificite],MATCH(ChoixRationBisons&amp;Ration_hivernale_complète_bisons[aliment],Règles_bison[Ration]&amp;Règles_bison[Aliment],0))="c",INDEX(Règles_bison[Specificite],MATCH(ChoixRationBisons&amp;Ration_hivernale_complète_bisons[aliment],Règles_bison[Ration]&amp;Règles_bison[Aliment],0))="complet"),
INDEX(Règles_bison[Valeur 12-18],MATCH(ChoixRationBisons&amp;Ration_hivernale_complète_bisons[aliment],Règles_bison[Ration]&amp;Règles_bison[Aliment],0)),0),0)*SUM(TotalBisons12_18)*SUM(AB76:AB100),0)</f>
        <v>0</v>
      </c>
      <c r="BR110" s="793">
        <f t="array" ref="BR110">IF(ChoixRationComplèteBisons=OUI,IFERROR(IF(OR(AND(INDEX(Règles_bison[Specificite],MATCH(ChoixRationBisons&amp;Ration_hivernale_complète_bisons[aliment],Règles_bison[Ration]&amp;Règles_bison[Aliment],0))="s1",IF(Ration_hivernale_complète_bisons[aliment]=ChoixSpécificité1Bisons,1)),
AND(INDEX(Règles_bison[Specificite],MATCH(ChoixRationBisons&amp;Ration_hivernale_complète_bisons[aliment],Règles_bison[Ration]&amp;Règles_bison[Aliment],0))="s2",IF(Ration_hivernale_complète_bisons[aliment]=ChoixSpécificité2Bisons,1)),
INDEX(Règles_bison[Specificite],MATCH(ChoixRationBisons&amp;Ration_hivernale_complète_bisons[aliment],Règles_bison[Ration]&amp;Règles_bison[Aliment],0))="c",INDEX(Règles_bison[Specificite],MATCH(ChoixRationBisons&amp;Ration_hivernale_complète_bisons[aliment],Règles_bison[Ration]&amp;Règles_bison[Aliment],0))="complet"),
INDEX(Règles_bison[Valeur 6-12],MATCH(ChoixRationBisons&amp;Ration_hivernale_complète_bisons[aliment],Règles_bison[Ration]&amp;Règles_bison[Aliment],0)),0),0)*SUM(TotalBisons6_12)*SUM(AB76:AB100),0)</f>
        <v>0</v>
      </c>
      <c r="BS110" s="793">
        <f t="array" ref="BS110">IF(ChoixRationComplèteBisons=OUI,IFERROR(IF(OR(AND(INDEX(Règles_bison[Specificite],MATCH(ChoixRationBisons&amp;Ration_hivernale_complète_bisons[aliment],Règles_bison[Ration]&amp;Règles_bison[Aliment],0))="s1",IF(Ration_hivernale_complète_bisons[aliment]=ChoixSpécificité1Bisons,1)),
AND(INDEX(Règles_bison[Specificite],MATCH(ChoixRationBisons&amp;Ration_hivernale_complète_bisons[aliment],Règles_bison[Ration]&amp;Règles_bison[Aliment],0))="s2",IF(Ration_hivernale_complète_bisons[aliment]=ChoixSpécificité2Bisons,1)),
INDEX(Règles_bison[Specificite],MATCH(ChoixRationBisons&amp;Ration_hivernale_complète_bisons[aliment],Règles_bison[Ration]&amp;Règles_bison[Aliment],0))="c",INDEX(Règles_bison[Specificite],MATCH(ChoixRationBisons&amp;Ration_hivernale_complète_bisons[aliment],Règles_bison[Ration]&amp;Règles_bison[Aliment],0))="complet"),
INDEX(Règles_bison[Valeur 3-6],MATCH(ChoixRationBisons&amp;Ration_hivernale_complète_bisons[aliment],Règles_bison[Ration]&amp;Règles_bison[Aliment],0)),0),0)*SUM(TotalBisons3_6)*SUM(AB76:AB100),0)</f>
        <v>0</v>
      </c>
      <c r="BT110" s="793">
        <f t="array" ref="BT110">IF(ChoixRationComplèteBisons=OUI,IFERROR(IF(OR(AND(INDEX(Règles_bison[Specificite],MATCH(ChoixRationBisons&amp;Ration_hivernale_complète_bisons[aliment],Règles_bison[Ration]&amp;Règles_bison[Aliment],0))="s1",IF(Ration_hivernale_complète_bisons[aliment]=ChoixSpécificité1Bisons,1)),
AND(INDEX(Règles_bison[Specificite],MATCH(ChoixRationBisons&amp;Ration_hivernale_complète_bisons[aliment],Règles_bison[Ration]&amp;Règles_bison[Aliment],0))="s2",IF(Ration_hivernale_complète_bisons[aliment]=ChoixSpécificité2Bisons,1)),
INDEX(Règles_bison[Specificite],MATCH(ChoixRationBisons&amp;Ration_hivernale_complète_bisons[aliment],Règles_bison[Ration]&amp;Règles_bison[Aliment],0))="c",INDEX(Règles_bison[Specificite],MATCH(ChoixRationBisons&amp;Ration_hivernale_complète_bisons[aliment],Règles_bison[Ration]&amp;Règles_bison[Aliment],0))="complet"),
INDEX(Règles_bison[Valeur 0-3],MATCH(ChoixRationBisons&amp;Ration_hivernale_complète_bisons[aliment],Règles_bison[Ration]&amp;Règles_bison[Aliment],0)),0),0)*SUM(TotalBisons0_3)*SUM(AB76:AB100),0)</f>
        <v>0</v>
      </c>
      <c r="BU110" s="794">
        <f>SUM(Ration_hivernale_complète_bisons[[Val 36 et plus]:[Val 0-3]])</f>
        <v>0</v>
      </c>
      <c r="BV110" s="1345"/>
      <c r="BW110" s="1345"/>
      <c r="BX110" s="1076" t="s">
        <v>1270</v>
      </c>
      <c r="BY110" s="1076">
        <f t="array" ref="BY110">IF(ChoixRationComplèteCaprins=OUI,0,IFERROR(IF(OR(AND(INDEX(Règles_caprins[Specificite],MATCH(ChoixRationCaprins&amp;$BX110,Règles_caprins[Ration]&amp;Règles_caprins[Aliment],0))="s1",IF($BX110=Spécificité1Caprins,1)),
INDEX(Règles_caprins[Specificite],MATCH(ChoixRationCaprins&amp;$BX110,Règles_caprins[Ration]&amp;Règles_caprins[Aliment],0))="c"),
INDEX(Règles_caprins[Valeur 12 et plus],MATCH(ChoixRationCaprins&amp;$BX110,Règles_caprins[Ration]&amp;Règles_caprins[Aliment],0)),0),0)*TotalBoucs*SUM(NbreJoursNourrirCaprins))</f>
        <v>0</v>
      </c>
      <c r="BZ110" s="1076">
        <f t="array" ref="BZ110">IF(ChoixRationComplèteCaprins=OUI,0,IFERROR(IF(OR(AND(INDEX(Règles_caprins[Specificite],MATCH(ChoixRationCaprins&amp;$BX110,Règles_caprins[Ration]&amp;Règles_caprins[Aliment],0))="s1",IF($BX110=Spécificité1Caprins,1)),
INDEX(Règles_caprins[Specificite],MATCH(ChoixRationCaprins&amp;$BX110,Règles_caprins[Ration]&amp;Règles_caprins[Aliment],0))="c"),
INDEX(Règles_caprins[Valeur 6-12],MATCH(ChoixRationCaprins&amp;$BX110,Règles_caprins[Ration]&amp;Règles_caprins[Aliment],0)),0),0)*jeune_bouc_6_12_mois*SUM(NbreJoursNourrirCaprins))</f>
        <v>0</v>
      </c>
      <c r="CA110" s="1076">
        <f t="array" ref="CA110">IF(ChoixRationComplèteCaprins=OUI,0,IFERROR(IF(OR(AND(INDEX(Règles_caprins[Specificite],MATCH(ChoixRationCaprins&amp;$BX110,Règles_caprins[Ration]&amp;Règles_caprins[Aliment],0))="s1",IF($BX110=Spécificité1Caprins,1)),
INDEX(Règles_caprins[Specificite],MATCH(ChoixRationCaprins&amp;$BX110,Règles_caprins[Ration]&amp;Règles_caprins[Aliment],0))="c"),
INDEX(Règles_caprins[Valeur 3-6],MATCH(ChoixRationCaprins&amp;$BX110,Règles_caprins[Ration]&amp;Règles_caprins[Aliment],0)),0),0)*chevreau_3_6_mois*SUM(NbreJoursNourrirCaprins))</f>
        <v>0</v>
      </c>
      <c r="CB110" s="1076">
        <f t="array" ref="CB110">IF(ChoixRationComplèteCaprins=OUI,0,IFERROR(IF(OR(AND(INDEX(Règles_caprins[Specificite],MATCH(ChoixRationCaprins&amp;$BX110,Règles_caprins[Ration]&amp;Règles_caprins[Aliment],0))="s1",IF($BX110=Spécificité1Caprins,1)),
INDEX(Règles_caprins[Specificite],MATCH(ChoixRationCaprins&amp;$BX110,Règles_caprins[Ration]&amp;Règles_caprins[Aliment],0))="c"),
INDEX(Règles_caprins[Valeur 0-3],MATCH(ChoixRationCaprins&amp;$BX110,Règles_caprins[Ration]&amp;Règles_caprins[Aliment],0)),0),0)*chevreau_0_3_mois*SUM(NbreJoursNourrirCaprins))</f>
        <v>0</v>
      </c>
      <c r="CC110" s="1076">
        <f t="shared" si="45"/>
        <v>0</v>
      </c>
      <c r="CD110" s="1345"/>
      <c r="CE110" s="1345"/>
      <c r="CF110" s="1345"/>
      <c r="CG110" s="1345"/>
      <c r="CH110" s="1321"/>
      <c r="CI110" s="1321"/>
      <c r="CJ110" s="808" t="str">
        <f t="shared" si="26"/>
        <v>Pois</v>
      </c>
      <c r="CK110" s="788">
        <f t="array" ref="CK11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10" s="788">
        <f t="array" ref="CL11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10" s="788">
        <f t="array" ref="CM11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10" s="788">
        <f t="array" ref="CN11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10" s="788">
        <f t="array" ref="CO11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10" s="812">
        <f>SUM(AlimentsRationPorcinsFemelles[[#This Row],[Valeur 12 et plus]:[Valeur 0-1]])</f>
        <v>0</v>
      </c>
      <c r="CQ110" s="1321"/>
      <c r="CR110" s="1321"/>
      <c r="CS110" s="808" t="str">
        <f t="shared" si="40"/>
        <v>Eau</v>
      </c>
      <c r="CT110" s="817">
        <f t="array" ref="CT11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10" s="817">
        <f t="array" ref="CU11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10" s="817">
        <f t="array" ref="CV11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10" s="818">
        <f>SUM(AlimentsRationLapinsFemelles[[#This Row],[Valeur 3 et plus]:[Valeur 0-1]])</f>
        <v>0</v>
      </c>
      <c r="CX110" s="1321"/>
      <c r="CY110" s="1321"/>
      <c r="CZ110" s="808" t="str">
        <f t="shared" si="41"/>
        <v>Eau</v>
      </c>
      <c r="DA110" s="817">
        <f t="array" ref="DA11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10" s="817">
        <f t="array" ref="DB11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10" s="817">
        <f t="array" ref="DC11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10" s="818">
        <f>SUM(AlimentsRationVolaillesFemelles[[#This Row],[Valeur 6 et plus]:[Valeur 0-1]])</f>
        <v>0</v>
      </c>
      <c r="DE110" s="1345"/>
      <c r="DF110" s="1321"/>
      <c r="DG110" s="788" t="str">
        <f t="shared" si="27"/>
        <v>Orge</v>
      </c>
      <c r="DH110" s="817">
        <f t="array" ref="DH11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10" s="817">
        <f t="array" ref="DI11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10" s="817">
        <f t="array" ref="DJ11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10" s="821">
        <f>SUM(AlimentsRationPintadesFemelles[[#This Row],[Valeur 6 et plus]:[Valeur 0-1]])</f>
        <v>0</v>
      </c>
      <c r="DL110" s="1321"/>
      <c r="DM110" s="1321"/>
      <c r="DN110" s="1176" t="s">
        <v>1316</v>
      </c>
      <c r="DO110" s="1177" t="s">
        <v>672</v>
      </c>
      <c r="DP110" s="1177" t="s">
        <v>1253</v>
      </c>
      <c r="DQ110" s="1181">
        <v>1.6</v>
      </c>
      <c r="DR110" s="1181">
        <v>1.4</v>
      </c>
      <c r="DS110" s="1181">
        <v>1.2</v>
      </c>
      <c r="DT110" s="1243">
        <v>1</v>
      </c>
      <c r="DU110" s="1345"/>
      <c r="DV110" s="1076" t="str">
        <f t="shared" si="24"/>
        <v>Triticale</v>
      </c>
      <c r="DW110" s="1267">
        <f t="array" ref="DW110">SUM((IF(QualitéAlimentsFaonMâle_0_3_mois=BONNE,VLOOKUP("Triticale",AlimentsRationHivernaleDaims,8,FALSE),0)+(IF(QualitéAlimentsFaonFemelle_0_3_mois=BONNE,VLOOKUP("Triticale",AlimentsRationHivernaleDaims,8,FALSE),0)+(IF(QualitéAlimentsFaonMâle_3_6_mois=BONNE,VLOOKUP("Triticale",AlimentsRationHivernaleDaims,7,FALSE),0)+(IF(QualitéAlimentsFaonFemelle_3_6_mois=BONNE,VLOOKUP("Triticale",AlimentsRationHivernaleDaims,7,FALSE),0)+(IF(QualitéAlimentsFaonMâle_6_12_mois=BONNE,VLOOKUP("Triticale",AlimentsRationHivernaleDaims,6,FALSE),0)+(IF(QualitéAlimentsFaonFemelle_6_12_mois=BONNE,VLOOKUP("Triticale",AlimentsRationHivernaleDaims,6,FALSE),0)+(IF(QualitéAlimentsJeuneDaim_12_18_mois=BONNE,VLOOKUP("Triticale",AlimentsRationHivernaleDaims,5,FALSE),0)+(IF(QualitéAlimentsJeuneDaine_12_18_mois=BONNE,VLOOKUP("Triticale",AlimentsRationHivernaleDaims,5,FALSE),0)+(IF(QualitéAlimentsJeuneDaim_18_24_mois=BONNE,VLOOKUP("Triticale",AlimentsRationHivernaleDaims,4,FALSE),0)+(IF(QualitéAlimentsJeuneDaine_18_24_mois=BONNE,VLOOKUP("Triticale",AlimentsRationHivernaleDaims,4,FALSE),0)+(IF(QualitéAlimentsJeuneDaim_24_36_mois=BONNE,VLOOKUP("Triticale",AlimentsRationHivernaleDaims,3,FALSE),0)+(IF(QualitéAlimentsJeuneDaine_24_36_mois=BONNE,VLOOKUP("Triticale",AlimentsRationHivernaleDaims,3,FALSE),0)+(IF(QualitéAlimentsDaim=BONNE,VLOOKUP("Triticale",AlimentsRationHivernaleDaims,2,FALSE),0)+(IF(QualitéAlimentsDaine=BONNE,VLOOKUP("Triticale",AlimentsRationHivernaleDaims,2,FALSE),0))))))))))))))))</f>
        <v>0</v>
      </c>
      <c r="DX110" s="1267">
        <f t="array" ref="DX110">SUM((IF(QualitéAlimentsFaonMâle_0_3_mois=MOYENNE,VLOOKUP("Triticale",AlimentsRationHivernaleDaims,8,FALSE),0)+(IF(QualitéAlimentsFaonFemelle_0_3_mois=MOYENNE,VLOOKUP("Triticale",AlimentsRationHivernaleDaims,8,FALSE),0)+(IF(QualitéAlimentsFaonMâle_3_6_mois=MOYENNE,VLOOKUP("Triticale",AlimentsRationHivernaleDaims,7,FALSE),0)+(IF(QualitéAlimentsFaonFemelle_3_6_mois=MOYENNE,VLOOKUP("Triticale",AlimentsRationHivernaleDaims,7,FALSE),0)+(IF(QualitéAlimentsFaonMâle_6_12_mois=MOYENNE,VLOOKUP("Triticale",AlimentsRationHivernaleDaims,6,FALSE),0)+(IF(QualitéAlimentsFaonFemelle_6_12_mois=MOYENNE,VLOOKUP("Triticale",AlimentsRationHivernaleDaims,6,FALSE),0)+(IF(QualitéAlimentsJeuneDaim_12_18_mois=MOYENNE,VLOOKUP("Triticale",AlimentsRationHivernaleDaims,5,FALSE),0)+(IF(QualitéAlimentsJeuneDaine_12_18_mois=MOYENNE,VLOOKUP("Triticale",AlimentsRationHivernaleDaims,5,FALSE),0)+(IF(QualitéAlimentsJeuneDaim_18_24_mois=MOYENNE,VLOOKUP("Triticale",AlimentsRationHivernaleDaims,4,FALSE),0)+(IF(QualitéAlimentsJeuneDaine_18_24_mois=MOYENNE,VLOOKUP("Triticale",AlimentsRationHivernaleDaims,4,FALSE),0)+(IF(QualitéAlimentsJeuneDaim_24_36_mois=MOYENNE,VLOOKUP("Triticale",AlimentsRationHivernaleDaims,3,FALSE),0)+(IF(QualitéAlimentsJeuneDaine_24_36_mois=MOYENNE,VLOOKUP("Triticale",AlimentsRationHivernaleDaims,3,FALSE),0)+(IF(QualitéAlimentsDaim=MOYENNE,VLOOKUP("Triticale",AlimentsRationHivernaleDaims,2,FALSE),0)+(IF(QualitéAlimentsDaine=MOYENNE,VLOOKUP("Triticale",AlimentsRationHivernaleDaims,2,FALSE),0))))))))))))))))</f>
        <v>0</v>
      </c>
      <c r="DY110" s="1267">
        <f t="array" ref="DY110">SUM((IF(QualitéAlimentsFaonMâle_0_3_mois=MAUVAISE,VLOOKUP("Triticale",AlimentsRationHivernaleDaims,8,FALSE),0)+(IF(QualitéAlimentsFaonFemelle_0_3_mois=MAUVAISE,VLOOKUP("Triticale",AlimentsRationHivernaleDaims,8,FALSE),0)+(IF(QualitéAlimentsFaonMâle_3_6_mois=MAUVAISE,VLOOKUP("Triticale",AlimentsRationHivernaleDaims,7,FALSE),0)+(IF(QualitéAlimentsFaonFemelle_3_6_mois=MAUVAISE,VLOOKUP("Triticale",AlimentsRationHivernaleDaims,7,FALSE),0)+(IF(QualitéAlimentsFaonMâle_6_12_mois=MAUVAISE,VLOOKUP("Triticale",AlimentsRationHivernaleDaims,6,FALSE),0)+(IF(QualitéAlimentsFaonFemelle_6_12_mois=MAUVAISE,VLOOKUP("Triticale",AlimentsRationHivernaleDaims,6,FALSE),0)+(IF(QualitéAlimentsJeuneDaim_12_18_mois=MAUVAISE,VLOOKUP("Triticale",AlimentsRationHivernaleDaims,5,FALSE),0)+(IF(QualitéAlimentsJeuneDaine_12_18_mois=MAUVAISE,VLOOKUP("Triticale",AlimentsRationHivernaleDaims,5,FALSE),0)+(IF(QualitéAlimentsJeuneDaim_18_24_mois=MAUVAISE,VLOOKUP("Triticale",AlimentsRationHivernaleDaims,4,FALSE),0)+(IF(QualitéAlimentsJeuneDaine_18_24_mois=MAUVAISE,VLOOKUP("Triticale",AlimentsRationHivernaleDaims,4,FALSE),0)+(IF(QualitéAlimentsJeuneDaim_24_36_mois=MAUVAISE,VLOOKUP("Triticale",AlimentsRationHivernaleDaims,3,FALSE),0)+(IF(QualitéAlimentsJeuneDaine_24_36_mois=MAUVAISE,VLOOKUP("Triticale",AlimentsRationHivernaleDaims,3,FALSE),0)+(IF(QualitéAlimentsDaim=MAUVAISE,VLOOKUP("Triticale",AlimentsRationHivernaleDaims,2,FALSE),0)+(IF(QualitéAlimentsDaine=MAUVAISE,VLOOKUP("Triticale",AlimentsRationHivernaleDaims,2,FALSE),0))))))))))))))))</f>
        <v>0</v>
      </c>
      <c r="DZ110" s="1345"/>
      <c r="EA110" s="1345"/>
      <c r="EB110" s="1345"/>
      <c r="EC110" s="1345"/>
      <c r="ED110" s="1345"/>
      <c r="EE110" s="1345"/>
      <c r="EF110" s="1321"/>
      <c r="EG110" s="808" t="str">
        <f t="shared" si="31"/>
        <v>Haricot vert</v>
      </c>
      <c r="EH110" s="817">
        <f t="array" ref="EH11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10" s="817">
        <f t="array" ref="EI11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10" s="817">
        <f t="array" ref="EJ11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10" s="818">
        <f>SUM(AlimentsRationOiesFemelles[[#This Row],[Valeur 6 et plus]:[Valeur 0-3]])</f>
        <v>0</v>
      </c>
      <c r="EL110" s="1345"/>
      <c r="EM110" s="1321"/>
      <c r="EN110" s="823" t="str">
        <f t="shared" si="29"/>
        <v>Lentille</v>
      </c>
      <c r="EO110" s="828">
        <f t="array" ref="EO11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10" s="828">
        <f t="array" ref="EP11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10" s="828">
        <f t="array" ref="EQ11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10" s="829">
        <f>SUM(Ration_canards_Femelles[[#This Row],[Valeur 6 et plus]:[Valeur 0-3]])</f>
        <v>0</v>
      </c>
      <c r="ES110" s="1345"/>
      <c r="ET110" s="1321"/>
      <c r="EU110" s="1082" t="str">
        <f t="shared" si="44"/>
        <v>concentré jeunes lapins</v>
      </c>
      <c r="EV110" s="1282">
        <f t="array" ref="EV110">IF(OR(ChoixRationComplèteEtéChevauxSelle=OUI,ChoixRationComplèteEtéChevauxSelle="",AND(ChoixChevauxSellePréHiver=OUI,ChoixChevauxSellePréEté=OUI)),0,IFERROR(IF(OR(AND(INDEX(Règles_chevaux_selle[Specificite],MATCH(RationEtéChevauxSelle&amp;$EU110,Règles_chevaux_selle[Ration]&amp;Règles_chevaux_selle[Aliment],0))="s1",IF($EU110=Spécificité1ChevauxSelle,1)),
AND(INDEX(Règles_chevaux_selle[Specificite],MATCH(RationEtéChevauxSelle&amp;$EU110,Règles_chevaux_selle[Ration]&amp;Règles_chevaux_selle[Aliment],0))="s2",IF($EU110=Spécificité2ChevauxSelle,1)),
INDEX(Règles_chevaux_selle[Specificite],MATCH(RationEtéChevauxSelle&amp;$EU110,Règles_chevaux_selle[Ration]&amp;Règles_chevaux_selle[Aliment],0))="c"),
INDEX(Règles_chevaux_selle[Valeur 36 et plus],MATCH(RationEtéChevauxSelle&amp;$EU110,Règles_chevaux_selle[Ration]&amp;Règles_chevaux_selle[Aliment],0)),0),0)*TotalJumentSelle*SUM(NbreJoursNourrirChevauxSelle))</f>
        <v>0</v>
      </c>
      <c r="EW110" s="1282">
        <f t="array" ref="EW110">IF(OR(ChoixRationComplèteEtéChevauxSelle=OUI,ChoixRationComplèteEtéChevauxSelle="",AND(ChoixChevauxSellePréHiver=OUI,ChoixChevauxSellePréEté=OUI)),0,IFERROR(IF(OR(AND(INDEX(Règles_chevaux_selle[Specificite],MATCH(RationEtéChevauxSelle&amp;$EU110,Règles_chevaux_selle[Ration]&amp;Règles_chevaux_selle[Aliment],0))="s1",IF($EU110=Spécificité1ChevauxSelle,1)),
AND(INDEX(Règles_chevaux_selle[Specificite],MATCH(RationEtéChevauxSelle&amp;$EU110,Règles_chevaux_selle[Ration]&amp;Règles_chevaux_selle[Aliment],0))="s2",IF($EU110=Spécificité2ChevauxSelle,1)),
INDEX(Règles_chevaux_selle[Specificite],MATCH(RationEtéChevauxSelle&amp;$EU110,Règles_chevaux_selle[Ration]&amp;Règles_chevaux_selle[Aliment],0))="c"),
INDEX(Règles_chevaux_selle[Valeur 24-36],MATCH(RationEtéChevauxSelle&amp;$EU110,Règles_chevaux_selle[Ration]&amp;Règles_chevaux_selle[Aliment],0)),0),0)*TotalJeuneJumentSelle_24_36_mois*SUM(NbreJoursNourrirChevauxSelle))</f>
        <v>0</v>
      </c>
      <c r="EX110" s="1282">
        <f t="array" ref="EX110">IF(OR(ChoixRationComplèteEtéChevauxSelle=OUI,ChoixRationComplèteEtéChevauxSelle="",AND(ChoixChevauxSellePréHiver=OUI,ChoixChevauxSellePréEté=OUI)),0,IFERROR(IF(OR(AND(INDEX(Règles_chevaux_selle[Specificite],MATCH(RationEtéChevauxSelle&amp;$EU110,Règles_chevaux_selle[Ration]&amp;Règles_chevaux_selle[Aliment],0))="s1",IF($EU110=Spécificité1ChevauxSelle,1)),
AND(INDEX(Règles_chevaux_selle[Specificite],MATCH(RationEtéChevauxSelle&amp;$EU110,Règles_chevaux_selle[Ration]&amp;Règles_chevaux_selle[Aliment],0))="s2",IF($EU110=Spécificité2ChevauxSelle,1)),
INDEX(Règles_chevaux_selle[Specificite],MATCH(RationEtéChevauxSelle&amp;$EU110,Règles_chevaux_selle[Ration]&amp;Règles_chevaux_selle[Aliment],0))="c"),
INDEX(Règles_chevaux_selle[Valeur 12-24],MATCH(RationEtéChevauxSelle&amp;$EU110,Règles_chevaux_selle[Ration]&amp;Règles_chevaux_selle[Aliment],0)),0),0)*TotalJeuneJumentSelle_12_24_mois*SUM(NbreJoursNourrirChevauxSelle))</f>
        <v>0</v>
      </c>
      <c r="EY110" s="1285">
        <f t="array" ref="EY110">IF(OR(ChoixRationComplèteEtéChevauxSelle=OUI,ChoixRationComplèteEtéChevauxSelle="",AND(ChoixChevauxSellePréHiver=OUI,ChoixChevauxSellePréEté=OUI)),0,IFERROR(IF(OR(AND(INDEX(Règles_chevaux_selle[Specificite],MATCH(RationEtéChevauxSelle&amp;$EU110,Règles_chevaux_selle[Ration]&amp;Règles_chevaux_selle[Aliment],0))="s1",IF($EU110=Spécificité1ChevauxSelle,1)),
AND(INDEX(Règles_chevaux_selle[Specificite],MATCH(RationEtéChevauxSelle&amp;$EU110,Règles_chevaux_selle[Ration]&amp;Règles_chevaux_selle[Aliment],0))="s2",IF($EU110=Spécificité2ChevauxSelle,1)),
INDEX(Règles_chevaux_selle[Specificite],MATCH(RationEtéChevauxSelle&amp;$EU110,Règles_chevaux_selle[Ration]&amp;Règles_chevaux_selle[Aliment],0))="c"),
INDEX(Règles_chevaux_selle[Valeur 0-12],MATCH(RationEtéChevauxSelle&amp;$EU110,Règles_chevaux_selle[Ration]&amp;Règles_chevaux_selle[Aliment],0)),0),0)*TotalPoulicheSelle_0_12_mois*SUM(NbreJoursNourrirChevauxSelle))</f>
        <v>0</v>
      </c>
      <c r="EZ110" s="1285">
        <f t="shared" si="43"/>
        <v>0</v>
      </c>
      <c r="FA110" s="1345"/>
      <c r="FB110" s="1345"/>
      <c r="FC110" s="1321"/>
      <c r="FD110" s="1082" t="str">
        <f t="shared" si="34"/>
        <v>Foin</v>
      </c>
      <c r="FE110" s="1282">
        <f t="array" ref="FE110">IF(OR(ChoixRationComplèteEtéChevauxTrait=OUI,ChoixRationComplèteEtéChevauxTrait="",AND(ChoixChevauxTraitPréHiver=OUI,ChoixChevauxTraitPréEté=OUI)),0,IFERROR(IF(OR(AND(INDEX(Règles_chevaux_trait[Specificite],MATCH(RationEtéChevauxTrait&amp;$FD110,Règles_chevaux_trait[Ration]&amp;Règles_chevaux_trait[Aliment],0))="s1",IF($FD110=Spécificité1ChevauxTrait,1)),
AND(INDEX(Règles_chevaux_trait[Specificite],MATCH(RationEtéChevauxTrait&amp;$FD110,Règles_chevaux_trait[Ration]&amp;Règles_chevaux_trait[Aliment],0))="s2",IF($FD110=Spécificité2ChevauxTrait,1)),
INDEX(Règles_chevaux_trait[Specificite],MATCH(RationEtéChevauxTrait&amp;$FD110,Règles_chevaux_trait[Ration]&amp;Règles_chevaux_trait[Aliment],0))="c"),
INDEX(Règles_chevaux_trait[Valeur 36 et plus],MATCH(RationEtéChevauxTrait&amp;$FD110,Règles_chevaux_trait[Ration]&amp;Règles_chevaux_trait[Aliment],0)),0),0)*TotalJumentTrait*SUM(NbreJoursNourrirChevauxTrait))</f>
        <v>0</v>
      </c>
      <c r="FF110" s="1282">
        <f t="array" ref="FF110">IF(OR(ChoixRationComplèteEtéChevauxTrait=OUI,ChoixRationComplèteEtéChevauxTrait="",AND(ChoixChevauxTraitPréHiver=OUI,ChoixChevauxTraitPréEté=OUI)),0,IFERROR(IF(OR(AND(INDEX(Règles_chevaux_trait[Specificite],MATCH(RationEtéChevauxTrait&amp;$FD110,Règles_chevaux_trait[Ration]&amp;Règles_chevaux_trait[Aliment],0))="s1",IF($FD110=Spécificité1ChevauxTrait,1)),
AND(INDEX(Règles_chevaux_trait[Specificite],MATCH(RationEtéChevauxTrait&amp;$FD110,Règles_chevaux_trait[Ration]&amp;Règles_chevaux_trait[Aliment],0))="s2",IF($FD110=Spécificité2ChevauxTrait,1)),
INDEX(Règles_chevaux_trait[Specificite],MATCH(RationEtéChevauxTrait&amp;$FD110,Règles_chevaux_trait[Ration]&amp;Règles_chevaux_trait[Aliment],0))="c"),
INDEX(Règles_chevaux_trait[Valeur 24-36],MATCH(RationEtéChevauxTrait&amp;$FD110,Règles_chevaux_trait[Ration]&amp;Règles_chevaux_trait[Aliment],0)),0),0)*TotalJeuneJumentTrait_24_36_mois*SUM(NbreJoursNourrirChevauxTrait))</f>
        <v>0</v>
      </c>
      <c r="FG110" s="1282">
        <f t="array" ref="FG110">IF(OR(ChoixRationComplèteEtéChevauxTrait=OUI,ChoixRationComplèteEtéChevauxTrait="",AND(ChoixChevauxTraitPréHiver=OUI,ChoixChevauxTraitPréEté=OUI)),0,IFERROR(IF(OR(AND(INDEX(Règles_chevaux_trait[Specificite],MATCH(RationEtéChevauxTrait&amp;$FD110,Règles_chevaux_trait[Ration]&amp;Règles_chevaux_trait[Aliment],0))="s1",IF($FD110=Spécificité1ChevauxTrait,1)),
AND(INDEX(Règles_chevaux_trait[Specificite],MATCH(RationEtéChevauxTrait&amp;$FD110,Règles_chevaux_trait[Ration]&amp;Règles_chevaux_trait[Aliment],0))="s2",IF($FD110=Spécificité2ChevauxTrait,1)),
INDEX(Règles_chevaux_trait[Specificite],MATCH(RationEtéChevauxTrait&amp;$FD110,Règles_chevaux_trait[Ration]&amp;Règles_chevaux_trait[Aliment],0))="c"),
INDEX(Règles_chevaux_trait[Valeur 12-24],MATCH(RationEtéChevauxTrait&amp;$FD110,Règles_chevaux_trait[Ration]&amp;Règles_chevaux_trait[Aliment],0)),0),0)*TotalJeuneJumentTrait_12_24_mois*SUM(NbreJoursNourrirChevauxTrait))</f>
        <v>0</v>
      </c>
      <c r="FH110" s="1285">
        <f t="array" ref="FH110">IF(OR(ChoixRationComplèteEtéChevauxTrait=OUI,ChoixRationComplèteEtéChevauxTrait="",AND(ChoixChevauxTraitPréHiver=OUI,ChoixChevauxTraitPréEté=OUI)),0,IFERROR(IF(OR(AND(INDEX(Règles_chevaux_trait[Specificite],MATCH(RationEtéChevauxTrait&amp;$FD110,Règles_chevaux_trait[Ration]&amp;Règles_chevaux_trait[Aliment],0))="s1",IF($FD110=Spécificité1ChevauxTrait,1)),
AND(INDEX(Règles_chevaux_trait[Specificite],MATCH(RationEtéChevauxTrait&amp;$FD110,Règles_chevaux_trait[Ration]&amp;Règles_chevaux_trait[Aliment],0))="s2",IF($FD110=Spécificité2ChevauxTrait,1)),
INDEX(Règles_chevaux_trait[Specificite],MATCH(RationEtéChevauxTrait&amp;$FD110,Règles_chevaux_trait[Ration]&amp;Règles_chevaux_trait[Aliment],0))="c"),
INDEX(Règles_chevaux_trait[Valeur 0-12],MATCH(RationEtéChevauxTrait&amp;$FD110,Règles_chevaux_trait[Ration]&amp;Règles_chevaux_trait[Aliment],0)),0),0)*TotalPoulicheTrait_0_12_mois*SUM(NbreJoursNourrirChevauxTrait))</f>
        <v>0</v>
      </c>
      <c r="FI110" s="1285">
        <f t="shared" si="32"/>
        <v>0</v>
      </c>
      <c r="FJ110" s="1345"/>
      <c r="FK110" s="1345"/>
      <c r="FL110" s="1345"/>
      <c r="FM110" s="1321"/>
      <c r="FN110" s="1083" t="str">
        <f t="shared" si="33"/>
        <v>Haricot vert</v>
      </c>
      <c r="FO110" s="1283">
        <f t="array" ref="FO110">IF(OR(ChoixRationComplèteEtéPoneys=OUI,ChoixRationComplèteEtéPoneys="",AND(ChoixPoneysPréHiver=OUI,ChoixPoneysPréEté=OUI)),0,IFERROR(IF(OR(AND(INDEX(Règles_poneys[Specificite],MATCH(RationEtéPoneys&amp;$FN110,Règles_poneys[Ration]&amp;Règles_poneys[Aliment],0))="s1",IF($FN110=Spécificité1Poneys,1)),
AND(INDEX(Règles_poneys[Specificite],MATCH(RationEtéPoneys&amp;$FN110,Règles_poneys[Ration]&amp;Règles_poneys[Aliment],0))="s2",IF($FN110=Spécificité2Poneys,1)),
INDEX(Règles_poneys[Specificite],MATCH(RationEtéPoneys&amp;$FN110,Règles_poneys[Ration]&amp;Règles_poneys[Aliment],0))="c"),
INDEX(Règles_poneys[Valeur 36 et plus],MATCH(RationEtéPoneys&amp;$FN110,Règles_poneys[Ration]&amp;Règles_poneys[Aliment],0)),0),0)*TotalJumentPoney*SUM(NbreJoursNourrirPoneys))</f>
        <v>0</v>
      </c>
      <c r="FP110" s="1283">
        <f t="array" ref="FP110">IF(OR(ChoixRationComplèteEtéPoneys=OUI,ChoixRationComplèteEtéPoneys="",AND(ChoixPoneysPréHiver=OUI,ChoixPoneysPréEté=OUI)),0,IFERROR(IF(OR(AND(INDEX(Règles_poneys[Specificite],MATCH(RationEtéPoneys&amp;$FN110,Règles_poneys[Ration]&amp;Règles_poneys[Aliment],0))="s1",IF($FN110=Spécificité1Poneys,1)),
AND(INDEX(Règles_poneys[Specificite],MATCH(RationEtéPoneys&amp;$FN110,Règles_poneys[Ration]&amp;Règles_poneys[Aliment],0))="s2",IF($FN110=Spécificité2Poneys,1)),
INDEX(Règles_poneys[Specificite],MATCH(RationEtéPoneys&amp;$FN110,Règles_poneys[Ration]&amp;Règles_poneys[Aliment],0))="c"),
INDEX(Règles_poneys[Valeur 36 et plus],MATCH(RationEtéPoneys&amp;$FN110,Règles_poneys[Ration]&amp;Règles_poneys[Aliment],0)),0),0)*TotalJeuneJumentPoney_24_36_mois*SUM(NbreJoursNourrirPoneys))</f>
        <v>0</v>
      </c>
      <c r="FQ110" s="1283">
        <f t="array" ref="FQ110">IF(OR(ChoixRationComplèteEtéPoneys=OUI,ChoixRationComplèteEtéPoneys="",AND(ChoixPoneysPréHiver=OUI,ChoixPoneysPréEté=OUI)),0,IFERROR(IF(OR(AND(INDEX(Règles_poneys[Specificite],MATCH(RationEtéPoneys&amp;$FN110,Règles_poneys[Ration]&amp;Règles_poneys[Aliment],0))="s1",IF($FN110=Spécificité1Poneys,1)),
AND(INDEX(Règles_poneys[Specificite],MATCH(RationEtéPoneys&amp;$FN110,Règles_poneys[Ration]&amp;Règles_poneys[Aliment],0))="s2",IF($FN110=Spécificité2Poneys,1)),
INDEX(Règles_poneys[Specificite],MATCH(RationEtéPoneys&amp;$FN110,Règles_poneys[Ration]&amp;Règles_poneys[Aliment],0))="c"),
INDEX(Règles_poneys[Valeur 36 et plus],MATCH(RationEtéPoneys&amp;$FN110,Règles_poneys[Ration]&amp;Règles_poneys[Aliment],0)),0),0)*TotalJeuneJumentPoney_12_24_mois*SUM(NbreJoursNourrirPoneys))</f>
        <v>0</v>
      </c>
      <c r="FR110" s="1286">
        <f t="array" ref="FR110">IF(OR(ChoixRationComplèteEtéPoneys=OUI,ChoixRationComplèteEtéPoneys="",AND(ChoixPoneysPréHiver=OUI,ChoixPoneysPréEté=OUI)),0,IFERROR(IF(OR(AND(INDEX(Règles_poneys[Specificite],MATCH(RationEtéPoneys&amp;$FN110,Règles_poneys[Ration]&amp;Règles_poneys[Aliment],0))="s1",IF($FN110=Spécificité1Poneys,1)),
AND(INDEX(Règles_poneys[Specificite],MATCH(RationEtéPoneys&amp;$FN110,Règles_poneys[Ration]&amp;Règles_poneys[Aliment],0))="s2",IF($FN110=Spécificité2Poneys,1)),
INDEX(Règles_poneys[Specificite],MATCH(RationEtéPoneys&amp;$FN110,Règles_poneys[Ration]&amp;Règles_poneys[Aliment],0))="c"),
INDEX(Règles_poneys[Valeur 36 et plus],MATCH(RationEtéPoneys&amp;$FN110,Règles_poneys[Ration]&amp;Règles_poneys[Aliment],0)),0),0)*TotalPoulichePoney_0_12_mois*SUM(NbreJoursNourrirPoneys))</f>
        <v>0</v>
      </c>
      <c r="FS110" s="1286">
        <f t="shared" si="30"/>
        <v>0</v>
      </c>
      <c r="FT110" s="1345"/>
      <c r="FU110" s="1345"/>
      <c r="FV110" s="1345"/>
      <c r="FW110" s="823" t="str">
        <f t="shared" si="28"/>
        <v>Orge</v>
      </c>
      <c r="FX110" s="828">
        <f t="array" ref="FX11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10" s="828">
        <f t="array" ref="FY11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10" s="828">
        <f t="array" ref="FZ11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10" s="828">
        <f t="array" ref="GA11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10" s="829">
        <f>SUM(AlimentsGavageCanards[[#This Row],[Valeur 3 et plus]:[Valeur 0-1]])</f>
        <v>0</v>
      </c>
      <c r="GC110" s="1321"/>
      <c r="GD110" s="1321"/>
      <c r="GE110" s="1321"/>
      <c r="GF110" s="1321"/>
      <c r="GG110" s="1321" t="s">
        <v>1349</v>
      </c>
      <c r="GH110" s="1321" t="s">
        <v>1349</v>
      </c>
      <c r="GI110" s="1321" t="s">
        <v>1349</v>
      </c>
      <c r="GJ110" s="1321" t="s">
        <v>1349</v>
      </c>
      <c r="GK110" s="1321" t="s">
        <v>1349</v>
      </c>
      <c r="GL110" s="1321" t="s">
        <v>1349</v>
      </c>
      <c r="GM110" s="1321" t="s">
        <v>1349</v>
      </c>
      <c r="GN110" s="1321" t="s">
        <v>1349</v>
      </c>
      <c r="GO110" s="1321" t="s">
        <v>1349</v>
      </c>
      <c r="GP110" s="1321" t="s">
        <v>1349</v>
      </c>
      <c r="GQ110" s="1321" t="s">
        <v>1349</v>
      </c>
      <c r="GR110" s="1321" t="s">
        <v>1349</v>
      </c>
      <c r="GS110" s="1321" t="s">
        <v>1349</v>
      </c>
      <c r="GT110" s="1321" t="s">
        <v>1349</v>
      </c>
      <c r="GU110" s="1321" t="s">
        <v>1349</v>
      </c>
      <c r="GV110" s="1321" t="s">
        <v>1349</v>
      </c>
      <c r="GW110" s="1321"/>
      <c r="GX110" s="1321"/>
      <c r="GY110" s="1321"/>
      <c r="GZ110" s="1321"/>
      <c r="HA110" s="1321"/>
      <c r="HB110" s="1321"/>
      <c r="HC110" s="1321"/>
      <c r="HD110" s="1321"/>
      <c r="HE110" s="1321"/>
      <c r="HF110" s="1321"/>
      <c r="HG110" s="1321"/>
      <c r="HH110" s="1321"/>
      <c r="HI110" s="1321"/>
      <c r="HJ110" s="1321"/>
      <c r="HK110" s="1321"/>
      <c r="HL110" s="1321"/>
      <c r="HM110" s="1321"/>
      <c r="HN110" s="1100" t="s">
        <v>298</v>
      </c>
      <c r="HO110" s="1084" t="e">
        <f>IF(SUM((VLOOKUP(HN110,AlimentsRationBovinsMâles,9,FALSE)+VLOOKUP(HN110,AlimentsRationBovinsFemelles,9,FALSE)+VLOOKUP(HN110,BDD!BB$284:BJ$323,9,FALSE))/1000/SUM(NbreJoursNourrirBovins)*IF('semences, engrais et traitement'!I$16=OUI,42,84))&lt;0,0,SUM((VLOOKUP(HN110,AlimentsRationBovinsMâles,9,FALSE)+VLOOKUP(HN110,AlimentsRationBovinsFemelles,9,FALSE)+VLOOKUP(HN110,BDD!BB$284:BJ$323,9,FALSE))/1000/SUM(NbreJoursNourrirBovins)*IF('semences, engrais et traitement'!I$16=OUI,42,84)))</f>
        <v>#DIV/0!</v>
      </c>
      <c r="HP110" s="1084">
        <f t="shared" si="36"/>
        <v>0</v>
      </c>
      <c r="HQ110" s="1084" t="e">
        <f>IF(SUM(VLOOKUP(HN110,AlimentsRationPorcinsMâles[],7,FALSE)+VLOOKUP(HN110,AlimentsRationPorcinsFemelles[],7,FALSE))/1000/SUM(NbreJoursNourrirAutres)*84&lt;0,0,SUM(VLOOKUP(HN110,AlimentsRationPorcinsMâles[],7,FALSE)+VLOOKUP(HN110,AlimentsRationPorcinsFemelles[],7,FALSE)/1000/SUM(NbreJoursNourrirAutres)*84))</f>
        <v>#DIV/0!</v>
      </c>
      <c r="HR110" s="1084" t="e">
        <f>IF(SUM(VLOOKUP(HN110,AlimentsRationCaprinsMâles,6,FALSE)+VLOOKUP(HN110,AlimentsRationCaprinsFemelles,6,FALSE))/1000/SUM(NbreJoursNourrirCaprins)*IF('semences, engrais et traitement'!I$17=OUI,42,84)&lt;0,0,SUM(VLOOKUP(HN110,AlimentsRationCaprinsMâles,6,FALSE)+VLOOKUP(HN110,AlimentsRationCaprinsFemelles,6,FALSE))/1000/SUM(NbreJoursNourrirCaprins)*IF('semences, engrais et traitement'!I$17=OUI,42,84))</f>
        <v>#DIV/0!</v>
      </c>
      <c r="HS110" s="1084" t="e">
        <f>IF(SUM(VLOOKUP(HN110,AlimentsRationVolaillesMâles[],5,FALSE)+VLOOKUP(HN110,AlimentsRationVolaillesFemelles[],5,FALSE))/1000/SUM(NbreJoursNourrirAutres)*84&lt;0,0,SUM(VLOOKUP(HN110,AlimentsRationVolaillesMâles[],5,FALSE)+VLOOKUP(HN110,AlimentsRationVolaillesFemelles[],5,FALSE)/1000/SUM(NbreJoursNourrirAutres)*84))</f>
        <v>#DIV/0!</v>
      </c>
      <c r="HT110" s="1084" t="e">
        <f>IF(SUM(VLOOKUP(HN110,AlimentsRationPintadesMâles[],5,FALSE)+VLOOKUP(HN110,AlimentsRationPintadesFemelles[],5,FALSE))/1000/SUM(NbreJoursNourrirAutres)*84&lt;0,0,SUM(VLOOKUP(HN110,AlimentsRationPintadesMâles[],5,FALSE)+VLOOKUP(HN110,AlimentsRationPintadesFemelles[],5,FALSE)/1000/SUM(NbreJoursNourrirAutres)*84))</f>
        <v>#DIV/0!</v>
      </c>
      <c r="HU110" s="1084" t="e">
        <f>IF(SUM(VLOOKUP(HN110,AlimentsRationLapinsMâles[],5,FALSE)+VLOOKUP(HN110,AlimentsRationLapinsFemelles[],5,FALSE))/1000/SUM(NbreJoursNourrirAutres)*84&lt;0,0,SUM(VLOOKUP(HN110,AlimentsRationLapinsMâles[],5,FALSE)+VLOOKUP(HN110,AlimentsRationLapinsFemelles[],5,FALSE)/1000/SUM(NbreJoursNourrirAutres)*84))</f>
        <v>#DIV/0!</v>
      </c>
      <c r="HV110" s="1084" t="e">
        <f>IF(SUM(VLOOKUP(HN110,AlimentsRationOvinsMâles,6,FALSE)+VLOOKUP(HN110,AlimentsRationOvinsFemelles,6,FALSE))/1000/SUM(NbreJoursNourrirOvins)*IF('semences, engrais et traitement'!I$18=OUI,42,84)&lt;0,0,SUM(VLOOKUP(HN110,AlimentsRationOvinsMâles,6,FALSE)+VLOOKUP(HN110,AlimentsRationOvinsFemelles,6,FALSE))/1000/SUM(NbreJoursNourrirOvins)*IF('semences, engrais et traitement'!I$18=OUI,42,84))</f>
        <v>#DIV/0!</v>
      </c>
      <c r="HW110" s="1084" t="e">
        <f>IF(SUM(VLOOKUP(HN110,AlimentsRationOiesMâles[],5,FALSE)+VLOOKUP(HN110,AlimentsRationOiesFemelles[],5,FALSE))/1000/SUM(NbreJoursNourrirAutres)*84&lt;0,0,SUM(VLOOKUP(HN110,AlimentsRationOiesMâles[],5,FALSE)+VLOOKUP(HN110,AlimentsRationOiesFemelles[],5,FALSE)/1000/SUM(NbreJoursNourrirAutres)*84))</f>
        <v>#DIV/0!</v>
      </c>
      <c r="HX110" s="1084" t="e">
        <f t="shared" si="37"/>
        <v>#DIV/0!</v>
      </c>
      <c r="HY110" s="1084" t="e">
        <f>IF(SUM(VLOOKUP(HN110,AlimentsRationEcurieChevauxMâlesSelle,6,FALSE)+VLOOKUP(HN110,AlimentsRationEcurieChevauxFemellesSelle,6,FALSE))/1000/SUM(NbreJoursNourrirChevauxSelle)*IF('semences, engrais et traitement'!M$16=OUI,56,84)&lt;0,0,SUM(VLOOKUP(HN110,AlimentsRationEcurieChevauxMâlesSelle,6,FALSE)+VLOOKUP(HN110,AlimentsRationEcurieChevauxFemellesSelle,6,FALSE))/1000/SUM(NbreJoursNourrirChevauxSelle)*IF('semences, engrais et traitement'!M$16=OUI,56,84))</f>
        <v>#DIV/0!</v>
      </c>
      <c r="HZ110" s="1084" t="e">
        <f>IF(SUM(VLOOKUP(HN110,AlimentsRationEcurieChevauxMâlesTrait,6,FALSE)+VLOOKUP(HN110,AlimentsRationEcurieChevauxFemellesTrait,6,FALSE))/1000/SUM(NbreJoursNourrirChevauxTrait)*IF('semences, engrais et traitement'!M$17=OUI,56,84)&lt;0,0,SUM(VLOOKUP(HN110,AlimentsRationEcurieChevauxMâlesTrait,6,FALSE)+VLOOKUP(HN110,AlimentsRationEcurieChevauxFemellesTrait,6,FALSE))/1000/SUM(NbreJoursNourrirChevauxTrait)*IF('semences, engrais et traitement'!M$17=OUI,56,84))</f>
        <v>#DIV/0!</v>
      </c>
      <c r="IA110" s="1084" t="e">
        <f>IF(SUM(VLOOKUP(HN110,AlimentsRationEcuriePoneysMâles,6,FALSE)+VLOOKUP(HN110,AlimentsRationEcuriePoneysFemelles,6,FALSE))/1000/SUM(NbreJoursNourrirPoneys)*IF('semences, engrais et traitement'!M$18=OUI,56,84)&lt;0,0,SUM(VLOOKUP(HN110,AlimentsRationEcuriePoneysMâles,6,FALSE)+VLOOKUP(HN110,AlimentsRationEcuriePoneysFemelles,6,FALSE))/1000/SUM(NbreJoursNourrirPoneys)*IF('semences, engrais et traitement'!M$18=OUI,56,84))</f>
        <v>#DIV/0!</v>
      </c>
      <c r="IB110" s="1100" t="e">
        <f t="shared" si="38"/>
        <v>#DIV/0!</v>
      </c>
      <c r="IC110" s="1321"/>
      <c r="ID110" s="1321"/>
      <c r="IE110" s="1321"/>
      <c r="IF110" s="1321"/>
      <c r="IG110" s="1321"/>
      <c r="IH110" s="1321"/>
      <c r="II110" s="1321"/>
      <c r="IJ110" s="1321"/>
      <c r="IK110" s="1321"/>
      <c r="IL110" s="1321"/>
      <c r="IM110" s="1321"/>
      <c r="IN110" s="1368"/>
    </row>
    <row r="111" spans="1:248" ht="12.75" customHeight="1" x14ac:dyDescent="0.2">
      <c r="A111" s="1307" t="s">
        <v>292</v>
      </c>
      <c r="B111" s="1241">
        <f t="shared" si="39"/>
        <v>1E-3</v>
      </c>
      <c r="C111" s="1321"/>
      <c r="D111" s="1321"/>
      <c r="E111" s="1321"/>
      <c r="F111" s="1143" t="s">
        <v>332</v>
      </c>
      <c r="G111" s="1244" t="s">
        <v>1199</v>
      </c>
      <c r="H111" s="1244" t="s">
        <v>1210</v>
      </c>
      <c r="I111" s="1244" t="s">
        <v>1200</v>
      </c>
      <c r="J111" s="1244" t="s">
        <v>1167</v>
      </c>
      <c r="K111" s="1244" t="s">
        <v>1167</v>
      </c>
      <c r="L111" s="1244" t="s">
        <v>1167</v>
      </c>
      <c r="M111" s="1321"/>
      <c r="N111" s="1321"/>
      <c r="O111" s="1076">
        <v>0</v>
      </c>
      <c r="P111" s="1321"/>
      <c r="Q111" s="1321"/>
      <c r="R111" s="1082" t="s">
        <v>656</v>
      </c>
      <c r="S111" s="1143" t="s">
        <v>751</v>
      </c>
      <c r="T111" s="1249">
        <v>43556</v>
      </c>
      <c r="U111" s="1249">
        <v>43738</v>
      </c>
      <c r="V111" s="1082">
        <f t="shared" si="46"/>
        <v>35</v>
      </c>
      <c r="W111" s="1321"/>
      <c r="X111" s="1321"/>
      <c r="Y111" s="1321"/>
      <c r="Z111" s="1321"/>
      <c r="AA111" s="1321"/>
      <c r="AB111" s="1321"/>
      <c r="AC111" s="1321"/>
      <c r="AD111" s="1321"/>
      <c r="AE111" s="1321"/>
      <c r="AF111" s="1321"/>
      <c r="AG111" s="1321"/>
      <c r="AH111" s="1321"/>
      <c r="AI111" s="1321"/>
      <c r="AJ111" s="1321"/>
      <c r="AK111" s="1321"/>
      <c r="AL111" s="1321"/>
      <c r="AM111" s="1321"/>
      <c r="AN111" s="1321"/>
      <c r="AO111" s="1321"/>
      <c r="AP111" s="1321"/>
      <c r="AQ111" s="1321"/>
      <c r="AR111" s="1321"/>
      <c r="AS111" s="1321"/>
      <c r="AT111" s="1321"/>
      <c r="AU111" s="1321"/>
      <c r="AV111" s="1321"/>
      <c r="AW111" s="1321"/>
      <c r="AX111" s="1321"/>
      <c r="AY111" s="1321"/>
      <c r="AZ111" s="1321"/>
      <c r="BA111" s="1321"/>
      <c r="BB111" s="1236" t="s">
        <v>1314</v>
      </c>
      <c r="BC111" s="1190" t="s">
        <v>672</v>
      </c>
      <c r="BD111" s="1190" t="s">
        <v>1253</v>
      </c>
      <c r="BE111" s="1237">
        <v>7.2</v>
      </c>
      <c r="BF111" s="1237">
        <v>6</v>
      </c>
      <c r="BG111" s="1237">
        <v>4</v>
      </c>
      <c r="BH111" s="1237">
        <v>2</v>
      </c>
      <c r="BI111" s="1237">
        <v>1.2</v>
      </c>
      <c r="BJ111" s="1237">
        <v>0.6</v>
      </c>
      <c r="BK111" s="1238">
        <v>0</v>
      </c>
      <c r="BL111" s="1348"/>
      <c r="BM111" s="1350"/>
      <c r="BN111" s="1321"/>
      <c r="BO111" s="1321"/>
      <c r="BP111" s="1321"/>
      <c r="BQ111" s="1321"/>
      <c r="BR111" s="1321"/>
      <c r="BS111" s="1321"/>
      <c r="BT111" s="1321"/>
      <c r="BU111" s="1355"/>
      <c r="BV111" s="1345"/>
      <c r="BW111" s="1345"/>
      <c r="BX111" s="1075" t="s">
        <v>715</v>
      </c>
      <c r="BY111" s="1075">
        <f t="array" ref="BY111">IF(ChoixRationComplèteCaprins=OUI,0,IFERROR(IF(OR(AND(INDEX(Règles_caprins[Specificite],MATCH(ChoixRationCaprins&amp;$BX111,Règles_caprins[Ration]&amp;Règles_caprins[Aliment],0))="s1",IF($BX111=Spécificité1Caprins,1)),
INDEX(Règles_caprins[Specificite],MATCH(ChoixRationCaprins&amp;$BX111,Règles_caprins[Ration]&amp;Règles_caprins[Aliment],0))="c"),
INDEX(Règles_caprins[Valeur 12 et plus],MATCH(ChoixRationCaprins&amp;$BX111,Règles_caprins[Ration]&amp;Règles_caprins[Aliment],0)),0),0)*TotalBoucs*SUM(NbreJoursNourrirCaprins))</f>
        <v>0</v>
      </c>
      <c r="BZ111" s="1075">
        <f t="array" ref="BZ111">IF(ChoixRationComplèteCaprins=OUI,0,IFERROR(IF(OR(AND(INDEX(Règles_caprins[Specificite],MATCH(ChoixRationCaprins&amp;$BX111,Règles_caprins[Ration]&amp;Règles_caprins[Aliment],0))="s1",IF($BX111=Spécificité1Caprins,1)),
INDEX(Règles_caprins[Specificite],MATCH(ChoixRationCaprins&amp;$BX111,Règles_caprins[Ration]&amp;Règles_caprins[Aliment],0))="c"),
INDEX(Règles_caprins[Valeur 6-12],MATCH(ChoixRationCaprins&amp;$BX111,Règles_caprins[Ration]&amp;Règles_caprins[Aliment],0)),0),0)*jeune_bouc_6_12_mois*SUM(NbreJoursNourrirCaprins))</f>
        <v>0</v>
      </c>
      <c r="CA111" s="1075">
        <f t="array" ref="CA111">IF(ChoixRationComplèteCaprins=OUI,0,IFERROR(IF(OR(AND(INDEX(Règles_caprins[Specificite],MATCH(ChoixRationCaprins&amp;$BX111,Règles_caprins[Ration]&amp;Règles_caprins[Aliment],0))="s1",IF($BX111=Spécificité1Caprins,1)),
INDEX(Règles_caprins[Specificite],MATCH(ChoixRationCaprins&amp;$BX111,Règles_caprins[Ration]&amp;Règles_caprins[Aliment],0))="c"),
INDEX(Règles_caprins[Valeur 3-6],MATCH(ChoixRationCaprins&amp;$BX111,Règles_caprins[Ration]&amp;Règles_caprins[Aliment],0)),0),0)*chevreau_3_6_mois*SUM(NbreJoursNourrirCaprins))</f>
        <v>0</v>
      </c>
      <c r="CB111" s="1075">
        <f t="array" ref="CB111">IF(ChoixRationComplèteCaprins=OUI,0,IFERROR(IF(OR(AND(INDEX(Règles_caprins[Specificite],MATCH(ChoixRationCaprins&amp;$BX111,Règles_caprins[Ration]&amp;Règles_caprins[Aliment],0))="s1",IF($BX111=Spécificité1Caprins,1)),
INDEX(Règles_caprins[Specificite],MATCH(ChoixRationCaprins&amp;$BX111,Règles_caprins[Ration]&amp;Règles_caprins[Aliment],0))="c"),
INDEX(Règles_caprins[Valeur 0-3],MATCH(ChoixRationCaprins&amp;$BX111,Règles_caprins[Ration]&amp;Règles_caprins[Aliment],0)),0),0)*chevreau_0_3_mois*SUM(NbreJoursNourrirCaprins))</f>
        <v>0</v>
      </c>
      <c r="CC111" s="1075">
        <f t="shared" si="45"/>
        <v>0</v>
      </c>
      <c r="CD111" s="1345"/>
      <c r="CE111" s="1345"/>
      <c r="CF111" s="1345"/>
      <c r="CG111" s="1345"/>
      <c r="CH111" s="1321"/>
      <c r="CI111" s="1321"/>
      <c r="CJ111" s="808" t="str">
        <f t="shared" si="26"/>
        <v>Pomme de terre</v>
      </c>
      <c r="CK111" s="788">
        <f t="array" ref="CK11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11" s="788">
        <f t="array" ref="CL11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11" s="788">
        <f t="array" ref="CM11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11" s="788">
        <f t="array" ref="CN11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11" s="788">
        <f t="array" ref="CO11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11" s="812">
        <f>SUM(AlimentsRationPorcinsFemelles[[#This Row],[Valeur 12 et plus]:[Valeur 0-1]])</f>
        <v>0</v>
      </c>
      <c r="CQ111" s="1321"/>
      <c r="CR111" s="1321"/>
      <c r="CS111" s="808" t="str">
        <f t="shared" si="40"/>
        <v>Epinard</v>
      </c>
      <c r="CT111" s="817">
        <f t="array" ref="CT11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11" s="817">
        <f t="array" ref="CU11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11" s="817">
        <f t="array" ref="CV11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11" s="818">
        <f>SUM(AlimentsRationLapinsFemelles[[#This Row],[Valeur 3 et plus]:[Valeur 0-1]])</f>
        <v>0</v>
      </c>
      <c r="CX111" s="1321"/>
      <c r="CY111" s="1321"/>
      <c r="CZ111" s="808" t="str">
        <f t="shared" si="41"/>
        <v>Epinard</v>
      </c>
      <c r="DA111" s="817">
        <f t="array" ref="DA11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11" s="817">
        <f t="array" ref="DB11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11" s="817">
        <f t="array" ref="DC11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11" s="818">
        <f>SUM(AlimentsRationVolaillesFemelles[[#This Row],[Valeur 6 et plus]:[Valeur 0-1]])</f>
        <v>0</v>
      </c>
      <c r="DE111" s="1345"/>
      <c r="DF111" s="1321"/>
      <c r="DG111" s="788" t="str">
        <f t="shared" si="27"/>
        <v>Paille</v>
      </c>
      <c r="DH111" s="817">
        <f t="array" ref="DH111">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11" s="817">
        <f t="array" ref="DI111">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11" s="817">
        <f t="array" ref="DJ111">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11" s="821">
        <f>SUM(AlimentsRationPintadesFemelles[[#This Row],[Valeur 6 et plus]:[Valeur 0-1]])</f>
        <v>0</v>
      </c>
      <c r="DL111" s="1321"/>
      <c r="DM111" s="1321"/>
      <c r="DN111" s="1176" t="s">
        <v>1316</v>
      </c>
      <c r="DO111" s="1177" t="s">
        <v>285</v>
      </c>
      <c r="DP111" s="1177" t="s">
        <v>1253</v>
      </c>
      <c r="DQ111" s="1181">
        <v>1.6</v>
      </c>
      <c r="DR111" s="1181">
        <v>1.4</v>
      </c>
      <c r="DS111" s="1181">
        <v>1.2</v>
      </c>
      <c r="DT111" s="1243">
        <v>1</v>
      </c>
      <c r="DU111" s="1345"/>
      <c r="DV111" s="1075">
        <f t="shared" si="24"/>
        <v>0</v>
      </c>
      <c r="DW111" s="1269"/>
      <c r="DX111" s="1269"/>
      <c r="DY111" s="1269"/>
      <c r="DZ111" s="1345"/>
      <c r="EA111" s="1345"/>
      <c r="EB111" s="1345"/>
      <c r="EC111" s="1345"/>
      <c r="ED111" s="1345"/>
      <c r="EE111" s="1345"/>
      <c r="EF111" s="1321"/>
      <c r="EG111" s="808" t="str">
        <f t="shared" si="31"/>
        <v>Lentille</v>
      </c>
      <c r="EH111" s="817">
        <f t="array" ref="EH11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11" s="817">
        <f t="array" ref="EI11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11" s="817">
        <f t="array" ref="EJ11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11" s="818">
        <f>SUM(AlimentsRationOiesFemelles[[#This Row],[Valeur 6 et plus]:[Valeur 0-3]])</f>
        <v>0</v>
      </c>
      <c r="EL111" s="1345"/>
      <c r="EM111" s="1321"/>
      <c r="EN111" s="823" t="str">
        <f t="shared" si="29"/>
        <v>Maïs ensilé</v>
      </c>
      <c r="EO111" s="828">
        <f t="array" ref="EO11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11" s="828">
        <f t="array" ref="EP11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11" s="828">
        <f t="array" ref="EQ11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11" s="829">
        <f>SUM(Ration_canards_Femelles[[#This Row],[Valeur 6 et plus]:[Valeur 0-3]])</f>
        <v>0</v>
      </c>
      <c r="ES111" s="1345"/>
      <c r="ET111" s="1321"/>
      <c r="EU111" s="1083" t="str">
        <f t="shared" si="44"/>
        <v>concentré jeunes porcins</v>
      </c>
      <c r="EV111" s="1283">
        <f t="array" ref="EV111">IF(OR(ChoixRationComplèteEtéChevauxSelle=OUI,ChoixRationComplèteEtéChevauxSelle="",AND(ChoixChevauxSellePréHiver=OUI,ChoixChevauxSellePréEté=OUI)),0,IFERROR(IF(OR(AND(INDEX(Règles_chevaux_selle[Specificite],MATCH(RationEtéChevauxSelle&amp;$EU111,Règles_chevaux_selle[Ration]&amp;Règles_chevaux_selle[Aliment],0))="s1",IF($EU111=Spécificité1ChevauxSelle,1)),
AND(INDEX(Règles_chevaux_selle[Specificite],MATCH(RationEtéChevauxSelle&amp;$EU111,Règles_chevaux_selle[Ration]&amp;Règles_chevaux_selle[Aliment],0))="s2",IF($EU111=Spécificité2ChevauxSelle,1)),
INDEX(Règles_chevaux_selle[Specificite],MATCH(RationEtéChevauxSelle&amp;$EU111,Règles_chevaux_selle[Ration]&amp;Règles_chevaux_selle[Aliment],0))="c"),
INDEX(Règles_chevaux_selle[Valeur 36 et plus],MATCH(RationEtéChevauxSelle&amp;$EU111,Règles_chevaux_selle[Ration]&amp;Règles_chevaux_selle[Aliment],0)),0),0)*TotalJumentSelle*SUM(NbreJoursNourrirChevauxSelle))</f>
        <v>0</v>
      </c>
      <c r="EW111" s="1283">
        <f t="array" ref="EW111">IF(OR(ChoixRationComplèteEtéChevauxSelle=OUI,ChoixRationComplèteEtéChevauxSelle="",AND(ChoixChevauxSellePréHiver=OUI,ChoixChevauxSellePréEté=OUI)),0,IFERROR(IF(OR(AND(INDEX(Règles_chevaux_selle[Specificite],MATCH(RationEtéChevauxSelle&amp;$EU111,Règles_chevaux_selle[Ration]&amp;Règles_chevaux_selle[Aliment],0))="s1",IF($EU111=Spécificité1ChevauxSelle,1)),
AND(INDEX(Règles_chevaux_selle[Specificite],MATCH(RationEtéChevauxSelle&amp;$EU111,Règles_chevaux_selle[Ration]&amp;Règles_chevaux_selle[Aliment],0))="s2",IF($EU111=Spécificité2ChevauxSelle,1)),
INDEX(Règles_chevaux_selle[Specificite],MATCH(RationEtéChevauxSelle&amp;$EU111,Règles_chevaux_selle[Ration]&amp;Règles_chevaux_selle[Aliment],0))="c"),
INDEX(Règles_chevaux_selle[Valeur 24-36],MATCH(RationEtéChevauxSelle&amp;$EU111,Règles_chevaux_selle[Ration]&amp;Règles_chevaux_selle[Aliment],0)),0),0)*TotalJeuneJumentSelle_24_36_mois*SUM(NbreJoursNourrirChevauxSelle))</f>
        <v>0</v>
      </c>
      <c r="EX111" s="1283">
        <f t="array" ref="EX111">IF(OR(ChoixRationComplèteEtéChevauxSelle=OUI,ChoixRationComplèteEtéChevauxSelle="",AND(ChoixChevauxSellePréHiver=OUI,ChoixChevauxSellePréEté=OUI)),0,IFERROR(IF(OR(AND(INDEX(Règles_chevaux_selle[Specificite],MATCH(RationEtéChevauxSelle&amp;$EU111,Règles_chevaux_selle[Ration]&amp;Règles_chevaux_selle[Aliment],0))="s1",IF($EU111=Spécificité1ChevauxSelle,1)),
AND(INDEX(Règles_chevaux_selle[Specificite],MATCH(RationEtéChevauxSelle&amp;$EU111,Règles_chevaux_selle[Ration]&amp;Règles_chevaux_selle[Aliment],0))="s2",IF($EU111=Spécificité2ChevauxSelle,1)),
INDEX(Règles_chevaux_selle[Specificite],MATCH(RationEtéChevauxSelle&amp;$EU111,Règles_chevaux_selle[Ration]&amp;Règles_chevaux_selle[Aliment],0))="c"),
INDEX(Règles_chevaux_selle[Valeur 12-24],MATCH(RationEtéChevauxSelle&amp;$EU111,Règles_chevaux_selle[Ration]&amp;Règles_chevaux_selle[Aliment],0)),0),0)*TotalJeuneJumentSelle_12_24_mois*SUM(NbreJoursNourrirChevauxSelle))</f>
        <v>0</v>
      </c>
      <c r="EY111" s="1286">
        <f t="array" ref="EY111">IF(OR(ChoixRationComplèteEtéChevauxSelle=OUI,ChoixRationComplèteEtéChevauxSelle="",AND(ChoixChevauxSellePréHiver=OUI,ChoixChevauxSellePréEté=OUI)),0,IFERROR(IF(OR(AND(INDEX(Règles_chevaux_selle[Specificite],MATCH(RationEtéChevauxSelle&amp;$EU111,Règles_chevaux_selle[Ration]&amp;Règles_chevaux_selle[Aliment],0))="s1",IF($EU111=Spécificité1ChevauxSelle,1)),
AND(INDEX(Règles_chevaux_selle[Specificite],MATCH(RationEtéChevauxSelle&amp;$EU111,Règles_chevaux_selle[Ration]&amp;Règles_chevaux_selle[Aliment],0))="s2",IF($EU111=Spécificité2ChevauxSelle,1)),
INDEX(Règles_chevaux_selle[Specificite],MATCH(RationEtéChevauxSelle&amp;$EU111,Règles_chevaux_selle[Ration]&amp;Règles_chevaux_selle[Aliment],0))="c"),
INDEX(Règles_chevaux_selle[Valeur 0-12],MATCH(RationEtéChevauxSelle&amp;$EU111,Règles_chevaux_selle[Ration]&amp;Règles_chevaux_selle[Aliment],0)),0),0)*TotalPoulicheSelle_0_12_mois*SUM(NbreJoursNourrirChevauxSelle))</f>
        <v>0</v>
      </c>
      <c r="EZ111" s="1286">
        <f t="shared" si="43"/>
        <v>0</v>
      </c>
      <c r="FA111" s="1345"/>
      <c r="FB111" s="1345"/>
      <c r="FC111" s="1321"/>
      <c r="FD111" s="1083" t="str">
        <f t="shared" si="34"/>
        <v>Haricot vert</v>
      </c>
      <c r="FE111" s="1283">
        <f t="array" ref="FE111">IF(OR(ChoixRationComplèteEtéChevauxTrait=OUI,ChoixRationComplèteEtéChevauxTrait="",AND(ChoixChevauxTraitPréHiver=OUI,ChoixChevauxTraitPréEté=OUI)),0,IFERROR(IF(OR(AND(INDEX(Règles_chevaux_trait[Specificite],MATCH(RationEtéChevauxTrait&amp;$FD111,Règles_chevaux_trait[Ration]&amp;Règles_chevaux_trait[Aliment],0))="s1",IF($FD111=Spécificité1ChevauxTrait,1)),
AND(INDEX(Règles_chevaux_trait[Specificite],MATCH(RationEtéChevauxTrait&amp;$FD111,Règles_chevaux_trait[Ration]&amp;Règles_chevaux_trait[Aliment],0))="s2",IF($FD111=Spécificité2ChevauxTrait,1)),
INDEX(Règles_chevaux_trait[Specificite],MATCH(RationEtéChevauxTrait&amp;$FD111,Règles_chevaux_trait[Ration]&amp;Règles_chevaux_trait[Aliment],0))="c"),
INDEX(Règles_chevaux_trait[Valeur 36 et plus],MATCH(RationEtéChevauxTrait&amp;$FD111,Règles_chevaux_trait[Ration]&amp;Règles_chevaux_trait[Aliment],0)),0),0)*TotalJumentTrait*SUM(NbreJoursNourrirChevauxTrait))</f>
        <v>0</v>
      </c>
      <c r="FF111" s="1283">
        <f t="array" ref="FF111">IF(OR(ChoixRationComplèteEtéChevauxTrait=OUI,ChoixRationComplèteEtéChevauxTrait="",AND(ChoixChevauxTraitPréHiver=OUI,ChoixChevauxTraitPréEté=OUI)),0,IFERROR(IF(OR(AND(INDEX(Règles_chevaux_trait[Specificite],MATCH(RationEtéChevauxTrait&amp;$FD111,Règles_chevaux_trait[Ration]&amp;Règles_chevaux_trait[Aliment],0))="s1",IF($FD111=Spécificité1ChevauxTrait,1)),
AND(INDEX(Règles_chevaux_trait[Specificite],MATCH(RationEtéChevauxTrait&amp;$FD111,Règles_chevaux_trait[Ration]&amp;Règles_chevaux_trait[Aliment],0))="s2",IF($FD111=Spécificité2ChevauxTrait,1)),
INDEX(Règles_chevaux_trait[Specificite],MATCH(RationEtéChevauxTrait&amp;$FD111,Règles_chevaux_trait[Ration]&amp;Règles_chevaux_trait[Aliment],0))="c"),
INDEX(Règles_chevaux_trait[Valeur 24-36],MATCH(RationEtéChevauxTrait&amp;$FD111,Règles_chevaux_trait[Ration]&amp;Règles_chevaux_trait[Aliment],0)),0),0)*TotalJeuneJumentTrait_24_36_mois*SUM(NbreJoursNourrirChevauxTrait))</f>
        <v>0</v>
      </c>
      <c r="FG111" s="1283">
        <f t="array" ref="FG111">IF(OR(ChoixRationComplèteEtéChevauxTrait=OUI,ChoixRationComplèteEtéChevauxTrait="",AND(ChoixChevauxTraitPréHiver=OUI,ChoixChevauxTraitPréEté=OUI)),0,IFERROR(IF(OR(AND(INDEX(Règles_chevaux_trait[Specificite],MATCH(RationEtéChevauxTrait&amp;$FD111,Règles_chevaux_trait[Ration]&amp;Règles_chevaux_trait[Aliment],0))="s1",IF($FD111=Spécificité1ChevauxTrait,1)),
AND(INDEX(Règles_chevaux_trait[Specificite],MATCH(RationEtéChevauxTrait&amp;$FD111,Règles_chevaux_trait[Ration]&amp;Règles_chevaux_trait[Aliment],0))="s2",IF($FD111=Spécificité2ChevauxTrait,1)),
INDEX(Règles_chevaux_trait[Specificite],MATCH(RationEtéChevauxTrait&amp;$FD111,Règles_chevaux_trait[Ration]&amp;Règles_chevaux_trait[Aliment],0))="c"),
INDEX(Règles_chevaux_trait[Valeur 12-24],MATCH(RationEtéChevauxTrait&amp;$FD111,Règles_chevaux_trait[Ration]&amp;Règles_chevaux_trait[Aliment],0)),0),0)*TotalJeuneJumentTrait_12_24_mois*SUM(NbreJoursNourrirChevauxTrait))</f>
        <v>0</v>
      </c>
      <c r="FH111" s="1286">
        <f t="array" ref="FH111">IF(OR(ChoixRationComplèteEtéChevauxTrait=OUI,ChoixRationComplèteEtéChevauxTrait="",AND(ChoixChevauxTraitPréHiver=OUI,ChoixChevauxTraitPréEté=OUI)),0,IFERROR(IF(OR(AND(INDEX(Règles_chevaux_trait[Specificite],MATCH(RationEtéChevauxTrait&amp;$FD111,Règles_chevaux_trait[Ration]&amp;Règles_chevaux_trait[Aliment],0))="s1",IF($FD111=Spécificité1ChevauxTrait,1)),
AND(INDEX(Règles_chevaux_trait[Specificite],MATCH(RationEtéChevauxTrait&amp;$FD111,Règles_chevaux_trait[Ration]&amp;Règles_chevaux_trait[Aliment],0))="s2",IF($FD111=Spécificité2ChevauxTrait,1)),
INDEX(Règles_chevaux_trait[Specificite],MATCH(RationEtéChevauxTrait&amp;$FD111,Règles_chevaux_trait[Ration]&amp;Règles_chevaux_trait[Aliment],0))="c"),
INDEX(Règles_chevaux_trait[Valeur 0-12],MATCH(RationEtéChevauxTrait&amp;$FD111,Règles_chevaux_trait[Ration]&amp;Règles_chevaux_trait[Aliment],0)),0),0)*TotalPoulicheTrait_0_12_mois*SUM(NbreJoursNourrirChevauxTrait))</f>
        <v>0</v>
      </c>
      <c r="FI111" s="1286">
        <f t="shared" si="32"/>
        <v>0</v>
      </c>
      <c r="FJ111" s="1345"/>
      <c r="FK111" s="1345"/>
      <c r="FL111" s="1345"/>
      <c r="FM111" s="1321"/>
      <c r="FN111" s="1082" t="str">
        <f t="shared" si="33"/>
        <v>Lentille</v>
      </c>
      <c r="FO111" s="1282">
        <f t="array" ref="FO111">IF(OR(ChoixRationComplèteEtéPoneys=OUI,ChoixRationComplèteEtéPoneys="",AND(ChoixPoneysPréHiver=OUI,ChoixPoneysPréEté=OUI)),0,IFERROR(IF(OR(AND(INDEX(Règles_poneys[Specificite],MATCH(RationEtéPoneys&amp;$FN111,Règles_poneys[Ration]&amp;Règles_poneys[Aliment],0))="s1",IF($FN111=Spécificité1Poneys,1)),
AND(INDEX(Règles_poneys[Specificite],MATCH(RationEtéPoneys&amp;$FN111,Règles_poneys[Ration]&amp;Règles_poneys[Aliment],0))="s2",IF($FN111=Spécificité2Poneys,1)),
INDEX(Règles_poneys[Specificite],MATCH(RationEtéPoneys&amp;$FN111,Règles_poneys[Ration]&amp;Règles_poneys[Aliment],0))="c"),
INDEX(Règles_poneys[Valeur 36 et plus],MATCH(RationEtéPoneys&amp;$FN111,Règles_poneys[Ration]&amp;Règles_poneys[Aliment],0)),0),0)*TotalJumentPoney*SUM(NbreJoursNourrirPoneys))</f>
        <v>0</v>
      </c>
      <c r="FP111" s="1282">
        <f t="array" ref="FP111">IF(OR(ChoixRationComplèteEtéPoneys=OUI,ChoixRationComplèteEtéPoneys="",AND(ChoixPoneysPréHiver=OUI,ChoixPoneysPréEté=OUI)),0,IFERROR(IF(OR(AND(INDEX(Règles_poneys[Specificite],MATCH(RationEtéPoneys&amp;$FN111,Règles_poneys[Ration]&amp;Règles_poneys[Aliment],0))="s1",IF($FN111=Spécificité1Poneys,1)),
AND(INDEX(Règles_poneys[Specificite],MATCH(RationEtéPoneys&amp;$FN111,Règles_poneys[Ration]&amp;Règles_poneys[Aliment],0))="s2",IF($FN111=Spécificité2Poneys,1)),
INDEX(Règles_poneys[Specificite],MATCH(RationEtéPoneys&amp;$FN111,Règles_poneys[Ration]&amp;Règles_poneys[Aliment],0))="c"),
INDEX(Règles_poneys[Valeur 36 et plus],MATCH(RationEtéPoneys&amp;$FN111,Règles_poneys[Ration]&amp;Règles_poneys[Aliment],0)),0),0)*TotalJeuneJumentPoney_24_36_mois*SUM(NbreJoursNourrirPoneys))</f>
        <v>0</v>
      </c>
      <c r="FQ111" s="1282">
        <f t="array" ref="FQ111">IF(OR(ChoixRationComplèteEtéPoneys=OUI,ChoixRationComplèteEtéPoneys="",AND(ChoixPoneysPréHiver=OUI,ChoixPoneysPréEté=OUI)),0,IFERROR(IF(OR(AND(INDEX(Règles_poneys[Specificite],MATCH(RationEtéPoneys&amp;$FN111,Règles_poneys[Ration]&amp;Règles_poneys[Aliment],0))="s1",IF($FN111=Spécificité1Poneys,1)),
AND(INDEX(Règles_poneys[Specificite],MATCH(RationEtéPoneys&amp;$FN111,Règles_poneys[Ration]&amp;Règles_poneys[Aliment],0))="s2",IF($FN111=Spécificité2Poneys,1)),
INDEX(Règles_poneys[Specificite],MATCH(RationEtéPoneys&amp;$FN111,Règles_poneys[Ration]&amp;Règles_poneys[Aliment],0))="c"),
INDEX(Règles_poneys[Valeur 36 et plus],MATCH(RationEtéPoneys&amp;$FN111,Règles_poneys[Ration]&amp;Règles_poneys[Aliment],0)),0),0)*TotalJeuneJumentPoney_12_24_mois*SUM(NbreJoursNourrirPoneys))</f>
        <v>0</v>
      </c>
      <c r="FR111" s="1285">
        <f t="array" ref="FR111">IF(OR(ChoixRationComplèteEtéPoneys=OUI,ChoixRationComplèteEtéPoneys="",AND(ChoixPoneysPréHiver=OUI,ChoixPoneysPréEté=OUI)),0,IFERROR(IF(OR(AND(INDEX(Règles_poneys[Specificite],MATCH(RationEtéPoneys&amp;$FN111,Règles_poneys[Ration]&amp;Règles_poneys[Aliment],0))="s1",IF($FN111=Spécificité1Poneys,1)),
AND(INDEX(Règles_poneys[Specificite],MATCH(RationEtéPoneys&amp;$FN111,Règles_poneys[Ration]&amp;Règles_poneys[Aliment],0))="s2",IF($FN111=Spécificité2Poneys,1)),
INDEX(Règles_poneys[Specificite],MATCH(RationEtéPoneys&amp;$FN111,Règles_poneys[Ration]&amp;Règles_poneys[Aliment],0))="c"),
INDEX(Règles_poneys[Valeur 36 et plus],MATCH(RationEtéPoneys&amp;$FN111,Règles_poneys[Ration]&amp;Règles_poneys[Aliment],0)),0),0)*TotalPoulichePoney_0_12_mois*SUM(NbreJoursNourrirPoneys))</f>
        <v>0</v>
      </c>
      <c r="FS111" s="1285">
        <f t="shared" si="30"/>
        <v>0</v>
      </c>
      <c r="FT111" s="1345"/>
      <c r="FU111" s="1345"/>
      <c r="FV111" s="1345"/>
      <c r="FW111" s="823" t="str">
        <f t="shared" si="28"/>
        <v>Paille</v>
      </c>
      <c r="FX111" s="828">
        <f t="array" ref="FX11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11" s="828">
        <f t="array" ref="FY11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11" s="828">
        <f t="array" ref="FZ11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11" s="828">
        <f t="array" ref="GA11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11" s="829">
        <f>SUM(AlimentsGavageCanards[[#This Row],[Valeur 3 et plus]:[Valeur 0-1]])</f>
        <v>0</v>
      </c>
      <c r="GC111" s="1321"/>
      <c r="GD111" s="1321"/>
      <c r="GE111" s="1321"/>
      <c r="GF111" s="1321"/>
      <c r="GG111" s="1321" t="s">
        <v>1349</v>
      </c>
      <c r="GH111" s="1321" t="s">
        <v>1349</v>
      </c>
      <c r="GI111" s="1321" t="s">
        <v>1349</v>
      </c>
      <c r="GJ111" s="1321" t="s">
        <v>1349</v>
      </c>
      <c r="GK111" s="1321" t="s">
        <v>1349</v>
      </c>
      <c r="GL111" s="1321" t="s">
        <v>1349</v>
      </c>
      <c r="GM111" s="1321" t="s">
        <v>1349</v>
      </c>
      <c r="GN111" s="1321" t="s">
        <v>1349</v>
      </c>
      <c r="GO111" s="1321" t="s">
        <v>1349</v>
      </c>
      <c r="GP111" s="1321" t="s">
        <v>1349</v>
      </c>
      <c r="GQ111" s="1321" t="s">
        <v>1349</v>
      </c>
      <c r="GR111" s="1321" t="s">
        <v>1349</v>
      </c>
      <c r="GS111" s="1321" t="s">
        <v>1349</v>
      </c>
      <c r="GT111" s="1321" t="s">
        <v>1349</v>
      </c>
      <c r="GU111" s="1321" t="s">
        <v>1349</v>
      </c>
      <c r="GV111" s="1321" t="s">
        <v>1349</v>
      </c>
      <c r="GW111" s="1321"/>
      <c r="GX111" s="1321"/>
      <c r="GY111" s="1321"/>
      <c r="GZ111" s="1321"/>
      <c r="HA111" s="1321"/>
      <c r="HB111" s="1321"/>
      <c r="HC111" s="1321"/>
      <c r="HD111" s="1321"/>
      <c r="HE111" s="1321"/>
      <c r="HF111" s="1321"/>
      <c r="HG111" s="1321"/>
      <c r="HH111" s="1321"/>
      <c r="HI111" s="1321"/>
      <c r="HJ111" s="1321"/>
      <c r="HK111" s="1321"/>
      <c r="HL111" s="1321"/>
      <c r="HM111" s="1321"/>
      <c r="HN111" s="1099" t="s">
        <v>219</v>
      </c>
      <c r="HO111" s="1085" t="e">
        <f>IF(SUM((VLOOKUP(HN111,AlimentsRationBovinsMâles,9,FALSE)+VLOOKUP(HN111,AlimentsRationBovinsFemelles,9,FALSE)+VLOOKUP(HN111,BDD!BB$284:BJ$323,9,FALSE))/1000/SUM(NbreJoursNourrirBovins)*IF('semences, engrais et traitement'!I$16=OUI,42,84))&lt;0,0,SUM((VLOOKUP(HN111,AlimentsRationBovinsMâles,9,FALSE)+VLOOKUP(HN111,AlimentsRationBovinsFemelles,9,FALSE)+VLOOKUP(HN111,BDD!BB$284:BJ$323,9,FALSE))/1000/SUM(NbreJoursNourrirBovins)*IF('semences, engrais et traitement'!I$16=OUI,42,84)))</f>
        <v>#DIV/0!</v>
      </c>
      <c r="HP111" s="1085">
        <f t="shared" si="36"/>
        <v>0</v>
      </c>
      <c r="HQ111" s="1085" t="e">
        <f>IF(SUM(VLOOKUP(HN111,AlimentsRationPorcinsMâles[],7,FALSE)+VLOOKUP(HN111,AlimentsRationPorcinsFemelles[],7,FALSE))/1000/SUM(NbreJoursNourrirAutres)*84&lt;0,0,SUM(VLOOKUP(HN111,AlimentsRationPorcinsMâles[],7,FALSE)+VLOOKUP(HN111,AlimentsRationPorcinsFemelles[],7,FALSE)/1000/SUM(NbreJoursNourrirAutres)*84))</f>
        <v>#DIV/0!</v>
      </c>
      <c r="HR111" s="1085" t="e">
        <f>IF(SUM(VLOOKUP(HN111,AlimentsRationCaprinsMâles,6,FALSE)+VLOOKUP(HN111,AlimentsRationCaprinsFemelles,6,FALSE))/1000/SUM(NbreJoursNourrirCaprins)*IF('semences, engrais et traitement'!I$17=OUI,42,84)&lt;0,0,SUM(VLOOKUP(HN111,AlimentsRationCaprinsMâles,6,FALSE)+VLOOKUP(HN111,AlimentsRationCaprinsFemelles,6,FALSE))/1000/SUM(NbreJoursNourrirCaprins)*IF('semences, engrais et traitement'!I$17=OUI,42,84))</f>
        <v>#DIV/0!</v>
      </c>
      <c r="HS111" s="1085" t="e">
        <f>IF(SUM(VLOOKUP(HN111,AlimentsRationVolaillesMâles[],5,FALSE)+VLOOKUP(HN111,AlimentsRationVolaillesFemelles[],5,FALSE))/1000/SUM(NbreJoursNourrirAutres)*84&lt;0,0,SUM(VLOOKUP(HN111,AlimentsRationVolaillesMâles[],5,FALSE)+VLOOKUP(HN111,AlimentsRationVolaillesFemelles[],5,FALSE)/1000/SUM(NbreJoursNourrirAutres)*84))</f>
        <v>#DIV/0!</v>
      </c>
      <c r="HT111" s="1085" t="e">
        <f>IF(SUM(VLOOKUP(HN111,AlimentsRationPintadesMâles[],5,FALSE)+VLOOKUP(HN111,AlimentsRationPintadesFemelles[],5,FALSE))/1000/SUM(NbreJoursNourrirAutres)*84&lt;0,0,SUM(VLOOKUP(HN111,AlimentsRationPintadesMâles[],5,FALSE)+VLOOKUP(HN111,AlimentsRationPintadesFemelles[],5,FALSE)/1000/SUM(NbreJoursNourrirAutres)*84))</f>
        <v>#DIV/0!</v>
      </c>
      <c r="HU111" s="1085" t="e">
        <f>IF(SUM(VLOOKUP(HN111,AlimentsRationLapinsMâles[],5,FALSE)+VLOOKUP(HN111,AlimentsRationLapinsFemelles[],5,FALSE))/1000/SUM(NbreJoursNourrirAutres)*84&lt;0,0,SUM(VLOOKUP(HN111,AlimentsRationLapinsMâles[],5,FALSE)+VLOOKUP(HN111,AlimentsRationLapinsFemelles[],5,FALSE)/1000/SUM(NbreJoursNourrirAutres)*84))</f>
        <v>#DIV/0!</v>
      </c>
      <c r="HV111" s="1085" t="e">
        <f>IF(SUM(VLOOKUP(HN111,AlimentsRationOvinsMâles,6,FALSE)+VLOOKUP(HN111,AlimentsRationOvinsFemelles,6,FALSE))/1000/SUM(NbreJoursNourrirOvins)*IF('semences, engrais et traitement'!I$18=OUI,42,84)&lt;0,0,SUM(VLOOKUP(HN111,AlimentsRationOvinsMâles,6,FALSE)+VLOOKUP(HN111,AlimentsRationOvinsFemelles,6,FALSE))/1000/SUM(NbreJoursNourrirOvins)*IF('semences, engrais et traitement'!I$18=OUI,42,84))</f>
        <v>#DIV/0!</v>
      </c>
      <c r="HW111" s="1085" t="e">
        <f>IF(SUM(VLOOKUP(HN111,AlimentsRationOiesMâles[],5,FALSE)+VLOOKUP(HN111,AlimentsRationOiesFemelles[],5,FALSE))/1000/SUM(NbreJoursNourrirAutres)*84&lt;0,0,SUM(VLOOKUP(HN111,AlimentsRationOiesMâles[],5,FALSE)+VLOOKUP(HN111,AlimentsRationOiesFemelles[],5,FALSE)/1000/SUM(NbreJoursNourrirAutres)*84))</f>
        <v>#DIV/0!</v>
      </c>
      <c r="HX111" s="1085" t="e">
        <f t="shared" si="37"/>
        <v>#DIV/0!</v>
      </c>
      <c r="HY111" s="1085" t="e">
        <f>IF(SUM(VLOOKUP(HN111,AlimentsRationEcurieChevauxMâlesSelle,6,FALSE)+VLOOKUP(HN111,AlimentsRationEcurieChevauxFemellesSelle,6,FALSE))/1000/SUM(NbreJoursNourrirChevauxSelle)*IF('semences, engrais et traitement'!M$16=OUI,56,84)&lt;0,0,SUM(VLOOKUP(HN111,AlimentsRationEcurieChevauxMâlesSelle,6,FALSE)+VLOOKUP(HN111,AlimentsRationEcurieChevauxFemellesSelle,6,FALSE))/1000/SUM(NbreJoursNourrirChevauxSelle)*IF('semences, engrais et traitement'!M$16=OUI,56,84))</f>
        <v>#DIV/0!</v>
      </c>
      <c r="HZ111" s="1085" t="e">
        <f>IF(SUM(VLOOKUP(HN111,AlimentsRationEcurieChevauxMâlesTrait,6,FALSE)+VLOOKUP(HN111,AlimentsRationEcurieChevauxFemellesTrait,6,FALSE))/1000/SUM(NbreJoursNourrirChevauxTrait)*IF('semences, engrais et traitement'!M$17=OUI,56,84)&lt;0,0,SUM(VLOOKUP(HN111,AlimentsRationEcurieChevauxMâlesTrait,6,FALSE)+VLOOKUP(HN111,AlimentsRationEcurieChevauxFemellesTrait,6,FALSE))/1000/SUM(NbreJoursNourrirChevauxTrait)*IF('semences, engrais et traitement'!M$17=OUI,56,84))</f>
        <v>#DIV/0!</v>
      </c>
      <c r="IA111" s="1085" t="e">
        <f>IF(SUM(VLOOKUP(HN111,AlimentsRationEcuriePoneysMâles,6,FALSE)+VLOOKUP(HN111,AlimentsRationEcuriePoneysFemelles,6,FALSE))/1000/SUM(NbreJoursNourrirPoneys)*IF('semences, engrais et traitement'!M$18=OUI,56,84)&lt;0,0,SUM(VLOOKUP(HN111,AlimentsRationEcuriePoneysMâles,6,FALSE)+VLOOKUP(HN111,AlimentsRationEcuriePoneysFemelles,6,FALSE))/1000/SUM(NbreJoursNourrirPoneys)*IF('semences, engrais et traitement'!M$18=OUI,56,84))</f>
        <v>#DIV/0!</v>
      </c>
      <c r="IB111" s="1099" t="e">
        <f t="shared" si="38"/>
        <v>#DIV/0!</v>
      </c>
      <c r="IC111" s="1321"/>
      <c r="ID111" s="1321"/>
      <c r="IE111" s="1321"/>
      <c r="IF111" s="1321"/>
      <c r="IG111" s="1321"/>
      <c r="IH111" s="1321"/>
      <c r="II111" s="1321"/>
      <c r="IJ111" s="1321"/>
      <c r="IK111" s="1321"/>
      <c r="IL111" s="1321"/>
      <c r="IM111" s="1321"/>
      <c r="IN111" s="1368"/>
    </row>
    <row r="112" spans="1:248" ht="12.75" customHeight="1" x14ac:dyDescent="0.2">
      <c r="A112" s="1315" t="s">
        <v>293</v>
      </c>
      <c r="B112" s="1241">
        <f t="shared" si="39"/>
        <v>1E-3</v>
      </c>
      <c r="C112" s="1321"/>
      <c r="D112" s="1321"/>
      <c r="E112" s="1321"/>
      <c r="F112" s="1149" t="s">
        <v>333</v>
      </c>
      <c r="G112" s="1245" t="s">
        <v>1200</v>
      </c>
      <c r="H112" s="1245" t="s">
        <v>1168</v>
      </c>
      <c r="I112" s="1245" t="s">
        <v>1211</v>
      </c>
      <c r="J112" s="1245" t="s">
        <v>1198</v>
      </c>
      <c r="K112" s="1245" t="s">
        <v>1198</v>
      </c>
      <c r="L112" s="1245" t="s">
        <v>1210</v>
      </c>
      <c r="M112" s="1321"/>
      <c r="N112" s="1321"/>
      <c r="O112" s="1075">
        <v>1000</v>
      </c>
      <c r="P112" s="1321"/>
      <c r="Q112" s="1321"/>
      <c r="R112" s="1083" t="s">
        <v>115</v>
      </c>
      <c r="S112" s="1149" t="s">
        <v>750</v>
      </c>
      <c r="T112" s="1250">
        <v>43556</v>
      </c>
      <c r="U112" s="1250">
        <v>43769</v>
      </c>
      <c r="V112" s="1083">
        <f t="shared" si="46"/>
        <v>42</v>
      </c>
      <c r="W112" s="1321"/>
      <c r="X112" s="1321"/>
      <c r="Y112" s="1321"/>
      <c r="Z112" s="1321"/>
      <c r="AA112" s="1321"/>
      <c r="AB112" s="1321"/>
      <c r="AC112" s="1321"/>
      <c r="AD112" s="1321"/>
      <c r="AE112" s="1321"/>
      <c r="AF112" s="1321"/>
      <c r="AG112" s="1321"/>
      <c r="AH112" s="1321"/>
      <c r="AI112" s="1321"/>
      <c r="AJ112" s="1321"/>
      <c r="AK112" s="1321"/>
      <c r="AL112" s="1321"/>
      <c r="AM112" s="1321"/>
      <c r="AN112" s="1321"/>
      <c r="AO112" s="1321"/>
      <c r="AP112" s="1321"/>
      <c r="AQ112" s="1321"/>
      <c r="AR112" s="1321"/>
      <c r="AS112" s="1321"/>
      <c r="AT112" s="1321"/>
      <c r="AU112" s="1321"/>
      <c r="AV112" s="1321"/>
      <c r="AW112" s="1321"/>
      <c r="AX112" s="1321"/>
      <c r="AY112" s="1321"/>
      <c r="AZ112" s="1321"/>
      <c r="BA112" s="1321"/>
      <c r="BB112" s="1236" t="s">
        <v>1314</v>
      </c>
      <c r="BC112" s="1190" t="s">
        <v>285</v>
      </c>
      <c r="BD112" s="1190" t="s">
        <v>1253</v>
      </c>
      <c r="BE112" s="1237">
        <v>7.2</v>
      </c>
      <c r="BF112" s="1237">
        <v>6</v>
      </c>
      <c r="BG112" s="1237">
        <v>4</v>
      </c>
      <c r="BH112" s="1237">
        <v>2</v>
      </c>
      <c r="BI112" s="1237">
        <v>1.2</v>
      </c>
      <c r="BJ112" s="1237">
        <v>0.6</v>
      </c>
      <c r="BK112" s="1238">
        <v>0</v>
      </c>
      <c r="BL112" s="1348"/>
      <c r="BM112" s="1336" t="s">
        <v>1749</v>
      </c>
      <c r="BN112" s="1336"/>
      <c r="BO112" s="1336"/>
      <c r="BP112" s="1336"/>
      <c r="BQ112" s="1321"/>
      <c r="BR112" s="1321"/>
      <c r="BS112" s="1321"/>
      <c r="BT112" s="1321"/>
      <c r="BU112" s="1355"/>
      <c r="BV112" s="1345"/>
      <c r="BW112" s="1345"/>
      <c r="BX112" s="1076" t="s">
        <v>714</v>
      </c>
      <c r="BY112" s="1076">
        <f t="array" ref="BY112">IF(ChoixRationComplèteCaprins=OUI,0,IFERROR(IF(OR(AND(INDEX(Règles_caprins[Specificite],MATCH(ChoixRationCaprins&amp;$BX112,Règles_caprins[Ration]&amp;Règles_caprins[Aliment],0))="s1",IF($BX112=Spécificité1Caprins,1)),
INDEX(Règles_caprins[Specificite],MATCH(ChoixRationCaprins&amp;$BX112,Règles_caprins[Ration]&amp;Règles_caprins[Aliment],0))="c"),
INDEX(Règles_caprins[Valeur 12 et plus],MATCH(ChoixRationCaprins&amp;$BX112,Règles_caprins[Ration]&amp;Règles_caprins[Aliment],0)),0),0)*TotalBoucs*SUM(NbreJoursNourrirCaprins))</f>
        <v>0</v>
      </c>
      <c r="BZ112" s="1076">
        <f t="array" ref="BZ112">IF(ChoixRationComplèteCaprins=OUI,0,IFERROR(IF(OR(AND(INDEX(Règles_caprins[Specificite],MATCH(ChoixRationCaprins&amp;$BX112,Règles_caprins[Ration]&amp;Règles_caprins[Aliment],0))="s1",IF($BX112=Spécificité1Caprins,1)),
INDEX(Règles_caprins[Specificite],MATCH(ChoixRationCaprins&amp;$BX112,Règles_caprins[Ration]&amp;Règles_caprins[Aliment],0))="c"),
INDEX(Règles_caprins[Valeur 6-12],MATCH(ChoixRationCaprins&amp;$BX112,Règles_caprins[Ration]&amp;Règles_caprins[Aliment],0)),0),0)*jeune_bouc_6_12_mois*SUM(NbreJoursNourrirCaprins))</f>
        <v>0</v>
      </c>
      <c r="CA112" s="1076">
        <f t="array" ref="CA112">IF(ChoixRationComplèteCaprins=OUI,0,IFERROR(IF(OR(AND(INDEX(Règles_caprins[Specificite],MATCH(ChoixRationCaprins&amp;$BX112,Règles_caprins[Ration]&amp;Règles_caprins[Aliment],0))="s1",IF($BX112=Spécificité1Caprins,1)),
INDEX(Règles_caprins[Specificite],MATCH(ChoixRationCaprins&amp;$BX112,Règles_caprins[Ration]&amp;Règles_caprins[Aliment],0))="c"),
INDEX(Règles_caprins[Valeur 3-6],MATCH(ChoixRationCaprins&amp;$BX112,Règles_caprins[Ration]&amp;Règles_caprins[Aliment],0)),0),0)*chevreau_3_6_mois*SUM(NbreJoursNourrirCaprins))</f>
        <v>0</v>
      </c>
      <c r="CB112" s="1076">
        <f t="array" ref="CB112">IF(ChoixRationComplèteCaprins=OUI,0,IFERROR(IF(OR(AND(INDEX(Règles_caprins[Specificite],MATCH(ChoixRationCaprins&amp;$BX112,Règles_caprins[Ration]&amp;Règles_caprins[Aliment],0))="s1",IF($BX112=Spécificité1Caprins,1)),
INDEX(Règles_caprins[Specificite],MATCH(ChoixRationCaprins&amp;$BX112,Règles_caprins[Ration]&amp;Règles_caprins[Aliment],0))="c"),
INDEX(Règles_caprins[Valeur 0-3],MATCH(ChoixRationCaprins&amp;$BX112,Règles_caprins[Ration]&amp;Règles_caprins[Aliment],0)),0),0)*chevreau_0_3_mois*SUM(NbreJoursNourrirCaprins))</f>
        <v>0</v>
      </c>
      <c r="CC112" s="1076">
        <f t="shared" si="45"/>
        <v>0</v>
      </c>
      <c r="CD112" s="1345"/>
      <c r="CE112" s="1345"/>
      <c r="CF112" s="1345"/>
      <c r="CG112" s="1345"/>
      <c r="CH112" s="1321"/>
      <c r="CI112" s="1321"/>
      <c r="CJ112" s="808" t="str">
        <f t="shared" si="26"/>
        <v>Pulpe déshydratée de betterave</v>
      </c>
      <c r="CK112" s="788">
        <f t="array" ref="CK11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12" s="788">
        <f t="array" ref="CL11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12" s="788">
        <f t="array" ref="CM11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12" s="788">
        <f t="array" ref="CN11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12" s="788">
        <f t="array" ref="CO11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12" s="812">
        <f>SUM(AlimentsRationPorcinsFemelles[[#This Row],[Valeur 12 et plus]:[Valeur 0-1]])</f>
        <v>0</v>
      </c>
      <c r="CQ112" s="1320"/>
      <c r="CR112" s="1321"/>
      <c r="CS112" s="808" t="str">
        <f t="shared" si="40"/>
        <v>Féverole</v>
      </c>
      <c r="CT112" s="817">
        <f t="array" ref="CT11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12" s="817">
        <f t="array" ref="CU11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12" s="817">
        <f t="array" ref="CV11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12" s="818">
        <f>SUM(AlimentsRationLapinsFemelles[[#This Row],[Valeur 3 et plus]:[Valeur 0-1]])</f>
        <v>0</v>
      </c>
      <c r="CX112" s="1321"/>
      <c r="CY112" s="1321"/>
      <c r="CZ112" s="808" t="str">
        <f t="shared" si="41"/>
        <v>Féverole</v>
      </c>
      <c r="DA112" s="817">
        <f t="array" ref="DA11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12" s="817">
        <f t="array" ref="DB11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12" s="817">
        <f t="array" ref="DC11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12" s="818">
        <f>SUM(AlimentsRationVolaillesFemelles[[#This Row],[Valeur 6 et plus]:[Valeur 0-1]])</f>
        <v>0</v>
      </c>
      <c r="DE112" s="1345"/>
      <c r="DF112" s="1321"/>
      <c r="DG112" s="788" t="str">
        <f t="shared" si="27"/>
        <v>Pois</v>
      </c>
      <c r="DH112" s="817">
        <f t="array" ref="DH11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12" s="817">
        <f t="array" ref="DI11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12" s="817">
        <f t="array" ref="DJ11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12" s="821">
        <f>SUM(AlimentsRationPintadesFemelles[[#This Row],[Valeur 6 et plus]:[Valeur 0-1]])</f>
        <v>0</v>
      </c>
      <c r="DL112" s="1321"/>
      <c r="DM112" s="1321"/>
      <c r="DN112" s="1176" t="s">
        <v>1316</v>
      </c>
      <c r="DO112" s="1177" t="s">
        <v>76</v>
      </c>
      <c r="DP112" s="1177" t="s">
        <v>1253</v>
      </c>
      <c r="DQ112" s="1181">
        <v>1.6</v>
      </c>
      <c r="DR112" s="1181">
        <v>1.4</v>
      </c>
      <c r="DS112" s="1181">
        <v>1.2</v>
      </c>
      <c r="DT112" s="1243">
        <v>1</v>
      </c>
      <c r="DU112" s="1345"/>
      <c r="DV112" s="1076">
        <f t="shared" si="24"/>
        <v>0</v>
      </c>
      <c r="DW112" s="1267"/>
      <c r="DX112" s="1267"/>
      <c r="DY112" s="1267"/>
      <c r="DZ112" s="1345"/>
      <c r="EA112" s="1345"/>
      <c r="EB112" s="1345"/>
      <c r="EC112" s="1345"/>
      <c r="ED112" s="1345"/>
      <c r="EE112" s="1345"/>
      <c r="EF112" s="1321"/>
      <c r="EG112" s="808" t="str">
        <f t="shared" si="31"/>
        <v>Maïs ensilé</v>
      </c>
      <c r="EH112" s="817">
        <f t="array" ref="EH11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12" s="817">
        <f t="array" ref="EI11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12" s="817">
        <f t="array" ref="EJ11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12" s="818">
        <f>SUM(AlimentsRationOiesFemelles[[#This Row],[Valeur 6 et plus]:[Valeur 0-3]])</f>
        <v>0</v>
      </c>
      <c r="EL112" s="1345"/>
      <c r="EM112" s="1321"/>
      <c r="EN112" s="823" t="str">
        <f t="shared" si="29"/>
        <v>Maïs grain</v>
      </c>
      <c r="EO112" s="828">
        <f t="array" ref="EO11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12" s="828">
        <f t="array" ref="EP11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12" s="828">
        <f t="array" ref="EQ11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12" s="829">
        <f>SUM(Ration_canards_Femelles[[#This Row],[Valeur 6 et plus]:[Valeur 0-3]])</f>
        <v>0</v>
      </c>
      <c r="ES112" s="1345"/>
      <c r="ET112" s="1321"/>
      <c r="EU112" s="1082" t="str">
        <f t="shared" si="44"/>
        <v>Ensilage d'herbe</v>
      </c>
      <c r="EV112" s="1282">
        <f t="array" ref="EV112">IF(OR(ChoixRationComplèteEtéChevauxSelle=OUI,ChoixRationComplèteEtéChevauxSelle="",AND(ChoixChevauxSellePréHiver=OUI,ChoixChevauxSellePréEté=OUI)),0,IFERROR(IF(OR(AND(INDEX(Règles_chevaux_selle[Specificite],MATCH(RationEtéChevauxSelle&amp;$EU112,Règles_chevaux_selle[Ration]&amp;Règles_chevaux_selle[Aliment],0))="s1",IF($EU112=Spécificité1ChevauxSelle,1)),
AND(INDEX(Règles_chevaux_selle[Specificite],MATCH(RationEtéChevauxSelle&amp;$EU112,Règles_chevaux_selle[Ration]&amp;Règles_chevaux_selle[Aliment],0))="s2",IF($EU112=Spécificité2ChevauxSelle,1)),
INDEX(Règles_chevaux_selle[Specificite],MATCH(RationEtéChevauxSelle&amp;$EU112,Règles_chevaux_selle[Ration]&amp;Règles_chevaux_selle[Aliment],0))="c"),
INDEX(Règles_chevaux_selle[Valeur 36 et plus],MATCH(RationEtéChevauxSelle&amp;$EU112,Règles_chevaux_selle[Ration]&amp;Règles_chevaux_selle[Aliment],0)),0),0)*TotalJumentSelle*SUM(NbreJoursNourrirChevauxSelle))</f>
        <v>0</v>
      </c>
      <c r="EW112" s="1282">
        <f t="array" ref="EW112">IF(OR(ChoixRationComplèteEtéChevauxSelle=OUI,ChoixRationComplèteEtéChevauxSelle="",AND(ChoixChevauxSellePréHiver=OUI,ChoixChevauxSellePréEté=OUI)),0,IFERROR(IF(OR(AND(INDEX(Règles_chevaux_selle[Specificite],MATCH(RationEtéChevauxSelle&amp;$EU112,Règles_chevaux_selle[Ration]&amp;Règles_chevaux_selle[Aliment],0))="s1",IF($EU112=Spécificité1ChevauxSelle,1)),
AND(INDEX(Règles_chevaux_selle[Specificite],MATCH(RationEtéChevauxSelle&amp;$EU112,Règles_chevaux_selle[Ration]&amp;Règles_chevaux_selle[Aliment],0))="s2",IF($EU112=Spécificité2ChevauxSelle,1)),
INDEX(Règles_chevaux_selle[Specificite],MATCH(RationEtéChevauxSelle&amp;$EU112,Règles_chevaux_selle[Ration]&amp;Règles_chevaux_selle[Aliment],0))="c"),
INDEX(Règles_chevaux_selle[Valeur 24-36],MATCH(RationEtéChevauxSelle&amp;$EU112,Règles_chevaux_selle[Ration]&amp;Règles_chevaux_selle[Aliment],0)),0),0)*TotalJeuneJumentSelle_24_36_mois*SUM(NbreJoursNourrirChevauxSelle))</f>
        <v>0</v>
      </c>
      <c r="EX112" s="1282">
        <f t="array" ref="EX112">IF(OR(ChoixRationComplèteEtéChevauxSelle=OUI,ChoixRationComplèteEtéChevauxSelle="",AND(ChoixChevauxSellePréHiver=OUI,ChoixChevauxSellePréEté=OUI)),0,IFERROR(IF(OR(AND(INDEX(Règles_chevaux_selle[Specificite],MATCH(RationEtéChevauxSelle&amp;$EU112,Règles_chevaux_selle[Ration]&amp;Règles_chevaux_selle[Aliment],0))="s1",IF($EU112=Spécificité1ChevauxSelle,1)),
AND(INDEX(Règles_chevaux_selle[Specificite],MATCH(RationEtéChevauxSelle&amp;$EU112,Règles_chevaux_selle[Ration]&amp;Règles_chevaux_selle[Aliment],0))="s2",IF($EU112=Spécificité2ChevauxSelle,1)),
INDEX(Règles_chevaux_selle[Specificite],MATCH(RationEtéChevauxSelle&amp;$EU112,Règles_chevaux_selle[Ration]&amp;Règles_chevaux_selle[Aliment],0))="c"),
INDEX(Règles_chevaux_selle[Valeur 12-24],MATCH(RationEtéChevauxSelle&amp;$EU112,Règles_chevaux_selle[Ration]&amp;Règles_chevaux_selle[Aliment],0)),0),0)*TotalJeuneJumentSelle_12_24_mois*SUM(NbreJoursNourrirChevauxSelle))</f>
        <v>0</v>
      </c>
      <c r="EY112" s="1285">
        <f t="array" ref="EY112">IF(OR(ChoixRationComplèteEtéChevauxSelle=OUI,ChoixRationComplèteEtéChevauxSelle="",AND(ChoixChevauxSellePréHiver=OUI,ChoixChevauxSellePréEté=OUI)),0,IFERROR(IF(OR(AND(INDEX(Règles_chevaux_selle[Specificite],MATCH(RationEtéChevauxSelle&amp;$EU112,Règles_chevaux_selle[Ration]&amp;Règles_chevaux_selle[Aliment],0))="s1",IF($EU112=Spécificité1ChevauxSelle,1)),
AND(INDEX(Règles_chevaux_selle[Specificite],MATCH(RationEtéChevauxSelle&amp;$EU112,Règles_chevaux_selle[Ration]&amp;Règles_chevaux_selle[Aliment],0))="s2",IF($EU112=Spécificité2ChevauxSelle,1)),
INDEX(Règles_chevaux_selle[Specificite],MATCH(RationEtéChevauxSelle&amp;$EU112,Règles_chevaux_selle[Ration]&amp;Règles_chevaux_selle[Aliment],0))="c"),
INDEX(Règles_chevaux_selle[Valeur 0-12],MATCH(RationEtéChevauxSelle&amp;$EU112,Règles_chevaux_selle[Ration]&amp;Règles_chevaux_selle[Aliment],0)),0),0)*TotalPoulicheSelle_0_12_mois*SUM(NbreJoursNourrirChevauxSelle))</f>
        <v>0</v>
      </c>
      <c r="EZ112" s="1285">
        <f t="shared" si="43"/>
        <v>0</v>
      </c>
      <c r="FA112" s="1345"/>
      <c r="FB112" s="1345"/>
      <c r="FC112" s="1321"/>
      <c r="FD112" s="1082" t="str">
        <f t="shared" si="34"/>
        <v>Lentille</v>
      </c>
      <c r="FE112" s="1282">
        <f t="array" ref="FE112">IF(OR(ChoixRationComplèteEtéChevauxTrait=OUI,ChoixRationComplèteEtéChevauxTrait="",AND(ChoixChevauxTraitPréHiver=OUI,ChoixChevauxTraitPréEté=OUI)),0,IFERROR(IF(OR(AND(INDEX(Règles_chevaux_trait[Specificite],MATCH(RationEtéChevauxTrait&amp;$FD112,Règles_chevaux_trait[Ration]&amp;Règles_chevaux_trait[Aliment],0))="s1",IF($FD112=Spécificité1ChevauxTrait,1)),
AND(INDEX(Règles_chevaux_trait[Specificite],MATCH(RationEtéChevauxTrait&amp;$FD112,Règles_chevaux_trait[Ration]&amp;Règles_chevaux_trait[Aliment],0))="s2",IF($FD112=Spécificité2ChevauxTrait,1)),
INDEX(Règles_chevaux_trait[Specificite],MATCH(RationEtéChevauxTrait&amp;$FD112,Règles_chevaux_trait[Ration]&amp;Règles_chevaux_trait[Aliment],0))="c"),
INDEX(Règles_chevaux_trait[Valeur 36 et plus],MATCH(RationEtéChevauxTrait&amp;$FD112,Règles_chevaux_trait[Ration]&amp;Règles_chevaux_trait[Aliment],0)),0),0)*TotalJumentTrait*SUM(NbreJoursNourrirChevauxTrait))</f>
        <v>0</v>
      </c>
      <c r="FF112" s="1282">
        <f t="array" ref="FF112">IF(OR(ChoixRationComplèteEtéChevauxTrait=OUI,ChoixRationComplèteEtéChevauxTrait="",AND(ChoixChevauxTraitPréHiver=OUI,ChoixChevauxTraitPréEté=OUI)),0,IFERROR(IF(OR(AND(INDEX(Règles_chevaux_trait[Specificite],MATCH(RationEtéChevauxTrait&amp;$FD112,Règles_chevaux_trait[Ration]&amp;Règles_chevaux_trait[Aliment],0))="s1",IF($FD112=Spécificité1ChevauxTrait,1)),
AND(INDEX(Règles_chevaux_trait[Specificite],MATCH(RationEtéChevauxTrait&amp;$FD112,Règles_chevaux_trait[Ration]&amp;Règles_chevaux_trait[Aliment],0))="s2",IF($FD112=Spécificité2ChevauxTrait,1)),
INDEX(Règles_chevaux_trait[Specificite],MATCH(RationEtéChevauxTrait&amp;$FD112,Règles_chevaux_trait[Ration]&amp;Règles_chevaux_trait[Aliment],0))="c"),
INDEX(Règles_chevaux_trait[Valeur 24-36],MATCH(RationEtéChevauxTrait&amp;$FD112,Règles_chevaux_trait[Ration]&amp;Règles_chevaux_trait[Aliment],0)),0),0)*TotalJeuneJumentTrait_24_36_mois*SUM(NbreJoursNourrirChevauxTrait))</f>
        <v>0</v>
      </c>
      <c r="FG112" s="1282">
        <f t="array" ref="FG112">IF(OR(ChoixRationComplèteEtéChevauxTrait=OUI,ChoixRationComplèteEtéChevauxTrait="",AND(ChoixChevauxTraitPréHiver=OUI,ChoixChevauxTraitPréEté=OUI)),0,IFERROR(IF(OR(AND(INDEX(Règles_chevaux_trait[Specificite],MATCH(RationEtéChevauxTrait&amp;$FD112,Règles_chevaux_trait[Ration]&amp;Règles_chevaux_trait[Aliment],0))="s1",IF($FD112=Spécificité1ChevauxTrait,1)),
AND(INDEX(Règles_chevaux_trait[Specificite],MATCH(RationEtéChevauxTrait&amp;$FD112,Règles_chevaux_trait[Ration]&amp;Règles_chevaux_trait[Aliment],0))="s2",IF($FD112=Spécificité2ChevauxTrait,1)),
INDEX(Règles_chevaux_trait[Specificite],MATCH(RationEtéChevauxTrait&amp;$FD112,Règles_chevaux_trait[Ration]&amp;Règles_chevaux_trait[Aliment],0))="c"),
INDEX(Règles_chevaux_trait[Valeur 12-24],MATCH(RationEtéChevauxTrait&amp;$FD112,Règles_chevaux_trait[Ration]&amp;Règles_chevaux_trait[Aliment],0)),0),0)*TotalJeuneJumentTrait_12_24_mois*SUM(NbreJoursNourrirChevauxTrait))</f>
        <v>0</v>
      </c>
      <c r="FH112" s="1285">
        <f t="array" ref="FH112">IF(OR(ChoixRationComplèteEtéChevauxTrait=OUI,ChoixRationComplèteEtéChevauxTrait="",AND(ChoixChevauxTraitPréHiver=OUI,ChoixChevauxTraitPréEté=OUI)),0,IFERROR(IF(OR(AND(INDEX(Règles_chevaux_trait[Specificite],MATCH(RationEtéChevauxTrait&amp;$FD112,Règles_chevaux_trait[Ration]&amp;Règles_chevaux_trait[Aliment],0))="s1",IF($FD112=Spécificité1ChevauxTrait,1)),
AND(INDEX(Règles_chevaux_trait[Specificite],MATCH(RationEtéChevauxTrait&amp;$FD112,Règles_chevaux_trait[Ration]&amp;Règles_chevaux_trait[Aliment],0))="s2",IF($FD112=Spécificité2ChevauxTrait,1)),
INDEX(Règles_chevaux_trait[Specificite],MATCH(RationEtéChevauxTrait&amp;$FD112,Règles_chevaux_trait[Ration]&amp;Règles_chevaux_trait[Aliment],0))="c"),
INDEX(Règles_chevaux_trait[Valeur 0-12],MATCH(RationEtéChevauxTrait&amp;$FD112,Règles_chevaux_trait[Ration]&amp;Règles_chevaux_trait[Aliment],0)),0),0)*TotalPoulicheTrait_0_12_mois*SUM(NbreJoursNourrirChevauxTrait))</f>
        <v>0</v>
      </c>
      <c r="FI112" s="1285">
        <f t="shared" si="32"/>
        <v>0</v>
      </c>
      <c r="FJ112" s="1345"/>
      <c r="FK112" s="1345"/>
      <c r="FL112" s="1345"/>
      <c r="FM112" s="1321"/>
      <c r="FN112" s="1083" t="str">
        <f t="shared" si="33"/>
        <v>Maïs ensilé</v>
      </c>
      <c r="FO112" s="1283">
        <f t="array" ref="FO112">IF(OR(ChoixRationComplèteEtéPoneys=OUI,ChoixRationComplèteEtéPoneys="",AND(ChoixPoneysPréHiver=OUI,ChoixPoneysPréEté=OUI)),0,IFERROR(IF(OR(AND(INDEX(Règles_poneys[Specificite],MATCH(RationEtéPoneys&amp;$FN112,Règles_poneys[Ration]&amp;Règles_poneys[Aliment],0))="s1",IF($FN112=Spécificité1Poneys,1)),
AND(INDEX(Règles_poneys[Specificite],MATCH(RationEtéPoneys&amp;$FN112,Règles_poneys[Ration]&amp;Règles_poneys[Aliment],0))="s2",IF($FN112=Spécificité2Poneys,1)),
INDEX(Règles_poneys[Specificite],MATCH(RationEtéPoneys&amp;$FN112,Règles_poneys[Ration]&amp;Règles_poneys[Aliment],0))="c"),
INDEX(Règles_poneys[Valeur 36 et plus],MATCH(RationEtéPoneys&amp;$FN112,Règles_poneys[Ration]&amp;Règles_poneys[Aliment],0)),0),0)*TotalJumentPoney*SUM(NbreJoursNourrirPoneys))</f>
        <v>0</v>
      </c>
      <c r="FP112" s="1283">
        <f t="array" ref="FP112">IF(OR(ChoixRationComplèteEtéPoneys=OUI,ChoixRationComplèteEtéPoneys="",AND(ChoixPoneysPréHiver=OUI,ChoixPoneysPréEté=OUI)),0,IFERROR(IF(OR(AND(INDEX(Règles_poneys[Specificite],MATCH(RationEtéPoneys&amp;$FN112,Règles_poneys[Ration]&amp;Règles_poneys[Aliment],0))="s1",IF($FN112=Spécificité1Poneys,1)),
AND(INDEX(Règles_poneys[Specificite],MATCH(RationEtéPoneys&amp;$FN112,Règles_poneys[Ration]&amp;Règles_poneys[Aliment],0))="s2",IF($FN112=Spécificité2Poneys,1)),
INDEX(Règles_poneys[Specificite],MATCH(RationEtéPoneys&amp;$FN112,Règles_poneys[Ration]&amp;Règles_poneys[Aliment],0))="c"),
INDEX(Règles_poneys[Valeur 36 et plus],MATCH(RationEtéPoneys&amp;$FN112,Règles_poneys[Ration]&amp;Règles_poneys[Aliment],0)),0),0)*TotalJeuneJumentPoney_24_36_mois*SUM(NbreJoursNourrirPoneys))</f>
        <v>0</v>
      </c>
      <c r="FQ112" s="1283">
        <f t="array" ref="FQ112">IF(OR(ChoixRationComplèteEtéPoneys=OUI,ChoixRationComplèteEtéPoneys="",AND(ChoixPoneysPréHiver=OUI,ChoixPoneysPréEté=OUI)),0,IFERROR(IF(OR(AND(INDEX(Règles_poneys[Specificite],MATCH(RationEtéPoneys&amp;$FN112,Règles_poneys[Ration]&amp;Règles_poneys[Aliment],0))="s1",IF($FN112=Spécificité1Poneys,1)),
AND(INDEX(Règles_poneys[Specificite],MATCH(RationEtéPoneys&amp;$FN112,Règles_poneys[Ration]&amp;Règles_poneys[Aliment],0))="s2",IF($FN112=Spécificité2Poneys,1)),
INDEX(Règles_poneys[Specificite],MATCH(RationEtéPoneys&amp;$FN112,Règles_poneys[Ration]&amp;Règles_poneys[Aliment],0))="c"),
INDEX(Règles_poneys[Valeur 36 et plus],MATCH(RationEtéPoneys&amp;$FN112,Règles_poneys[Ration]&amp;Règles_poneys[Aliment],0)),0),0)*TotalJeuneJumentPoney_12_24_mois*SUM(NbreJoursNourrirPoneys))</f>
        <v>0</v>
      </c>
      <c r="FR112" s="1286">
        <f t="array" ref="FR112">IF(OR(ChoixRationComplèteEtéPoneys=OUI,ChoixRationComplèteEtéPoneys="",AND(ChoixPoneysPréHiver=OUI,ChoixPoneysPréEté=OUI)),0,IFERROR(IF(OR(AND(INDEX(Règles_poneys[Specificite],MATCH(RationEtéPoneys&amp;$FN112,Règles_poneys[Ration]&amp;Règles_poneys[Aliment],0))="s1",IF($FN112=Spécificité1Poneys,1)),
AND(INDEX(Règles_poneys[Specificite],MATCH(RationEtéPoneys&amp;$FN112,Règles_poneys[Ration]&amp;Règles_poneys[Aliment],0))="s2",IF($FN112=Spécificité2Poneys,1)),
INDEX(Règles_poneys[Specificite],MATCH(RationEtéPoneys&amp;$FN112,Règles_poneys[Ration]&amp;Règles_poneys[Aliment],0))="c"),
INDEX(Règles_poneys[Valeur 36 et plus],MATCH(RationEtéPoneys&amp;$FN112,Règles_poneys[Ration]&amp;Règles_poneys[Aliment],0)),0),0)*TotalPoulichePoney_0_12_mois*SUM(NbreJoursNourrirPoneys))</f>
        <v>0</v>
      </c>
      <c r="FS112" s="1286">
        <f t="shared" si="30"/>
        <v>0</v>
      </c>
      <c r="FT112" s="1345"/>
      <c r="FU112" s="1345"/>
      <c r="FV112" s="1345"/>
      <c r="FW112" s="823" t="str">
        <f t="shared" si="28"/>
        <v>Pois</v>
      </c>
      <c r="FX112" s="828">
        <f t="array" ref="FX11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12" s="828">
        <f t="array" ref="FY11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12" s="828">
        <f t="array" ref="FZ11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12" s="828">
        <f t="array" ref="GA11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12" s="829">
        <f>SUM(AlimentsGavageCanards[[#This Row],[Valeur 3 et plus]:[Valeur 0-1]])</f>
        <v>0</v>
      </c>
      <c r="GC112" s="1321"/>
      <c r="GD112" s="1321"/>
      <c r="GE112" s="1321"/>
      <c r="GF112" s="1321"/>
      <c r="GG112" s="1321" t="s">
        <v>1349</v>
      </c>
      <c r="GH112" s="1321" t="s">
        <v>1349</v>
      </c>
      <c r="GI112" s="1321" t="s">
        <v>1349</v>
      </c>
      <c r="GJ112" s="1321" t="s">
        <v>1349</v>
      </c>
      <c r="GK112" s="1321" t="s">
        <v>1349</v>
      </c>
      <c r="GL112" s="1321" t="s">
        <v>1349</v>
      </c>
      <c r="GM112" s="1321" t="s">
        <v>1349</v>
      </c>
      <c r="GN112" s="1321" t="s">
        <v>1349</v>
      </c>
      <c r="GO112" s="1321" t="s">
        <v>1349</v>
      </c>
      <c r="GP112" s="1321" t="s">
        <v>1349</v>
      </c>
      <c r="GQ112" s="1321" t="s">
        <v>1349</v>
      </c>
      <c r="GR112" s="1321" t="s">
        <v>1349</v>
      </c>
      <c r="GS112" s="1321" t="s">
        <v>1349</v>
      </c>
      <c r="GT112" s="1321" t="s">
        <v>1349</v>
      </c>
      <c r="GU112" s="1321" t="s">
        <v>1349</v>
      </c>
      <c r="GV112" s="1321" t="s">
        <v>1349</v>
      </c>
      <c r="GW112" s="1321"/>
      <c r="GX112" s="1321"/>
      <c r="GY112" s="1321"/>
      <c r="GZ112" s="1321"/>
      <c r="HA112" s="1321"/>
      <c r="HB112" s="1321"/>
      <c r="HC112" s="1321"/>
      <c r="HD112" s="1321"/>
      <c r="HE112" s="1321"/>
      <c r="HF112" s="1321"/>
      <c r="HG112" s="1321"/>
      <c r="HH112" s="1321"/>
      <c r="HI112" s="1321"/>
      <c r="HJ112" s="1321"/>
      <c r="HK112" s="1321"/>
      <c r="HL112" s="1321"/>
      <c r="HM112" s="1321"/>
      <c r="HN112" s="1100" t="s">
        <v>332</v>
      </c>
      <c r="HO112" s="1084" t="e">
        <f>IF(SUM((VLOOKUP(HN112,AlimentsRationBovinsMâles,9,FALSE)+VLOOKUP(HN112,AlimentsRationBovinsFemelles,9,FALSE)+VLOOKUP(HN112,BDD!BB$284:BJ$323,9,FALSE))/1000/SUM(NbreJoursNourrirBovins)*IF('semences, engrais et traitement'!I$16=OUI,42,84))&lt;0,0,SUM((VLOOKUP(HN112,AlimentsRationBovinsMâles,9,FALSE)+VLOOKUP(HN112,AlimentsRationBovinsFemelles,9,FALSE)+VLOOKUP(HN112,BDD!BB$284:BJ$323,9,FALSE))/1000/SUM(NbreJoursNourrirBovins)*IF('semences, engrais et traitement'!I$16=OUI,42,84)))</f>
        <v>#DIV/0!</v>
      </c>
      <c r="HP112" s="1084">
        <f t="shared" si="36"/>
        <v>0</v>
      </c>
      <c r="HQ112" s="1084" t="e">
        <f>IF(SUM(VLOOKUP(HN112,AlimentsRationPorcinsMâles[],7,FALSE)+VLOOKUP(HN112,AlimentsRationPorcinsFemelles[],7,FALSE))/1000/SUM(NbreJoursNourrirAutres)*84&lt;0,0,SUM(VLOOKUP(HN112,AlimentsRationPorcinsMâles[],7,FALSE)+VLOOKUP(HN112,AlimentsRationPorcinsFemelles[],7,FALSE)/1000/SUM(NbreJoursNourrirAutres)*84))</f>
        <v>#DIV/0!</v>
      </c>
      <c r="HR112" s="1084" t="e">
        <f>IF(SUM(VLOOKUP(HN112,AlimentsRationCaprinsMâles,6,FALSE)+VLOOKUP(HN112,AlimentsRationCaprinsFemelles,6,FALSE))/1000/SUM(NbreJoursNourrirCaprins)*IF('semences, engrais et traitement'!I$17=OUI,42,84)&lt;0,0,SUM(VLOOKUP(HN112,AlimentsRationCaprinsMâles,6,FALSE)+VLOOKUP(HN112,AlimentsRationCaprinsFemelles,6,FALSE))/1000/SUM(NbreJoursNourrirCaprins)*IF('semences, engrais et traitement'!I$17=OUI,42,84))</f>
        <v>#DIV/0!</v>
      </c>
      <c r="HS112" s="1084" t="e">
        <f>IF(SUM(VLOOKUP(HN112,AlimentsRationVolaillesMâles[],5,FALSE)+VLOOKUP(HN112,AlimentsRationVolaillesFemelles[],5,FALSE))/1000/SUM(NbreJoursNourrirAutres)*84&lt;0,0,SUM(VLOOKUP(HN112,AlimentsRationVolaillesMâles[],5,FALSE)+VLOOKUP(HN112,AlimentsRationVolaillesFemelles[],5,FALSE)/1000/SUM(NbreJoursNourrirAutres)*84))</f>
        <v>#DIV/0!</v>
      </c>
      <c r="HT112" s="1084" t="e">
        <f>IF(SUM(VLOOKUP(HN112,AlimentsRationPintadesMâles[],5,FALSE)+VLOOKUP(HN112,AlimentsRationPintadesFemelles[],5,FALSE))/1000/SUM(NbreJoursNourrirAutres)*84&lt;0,0,SUM(VLOOKUP(HN112,AlimentsRationPintadesMâles[],5,FALSE)+VLOOKUP(HN112,AlimentsRationPintadesFemelles[],5,FALSE)/1000/SUM(NbreJoursNourrirAutres)*84))</f>
        <v>#DIV/0!</v>
      </c>
      <c r="HU112" s="1084" t="e">
        <f>IF(SUM(VLOOKUP(HN112,AlimentsRationLapinsMâles[],5,FALSE)+VLOOKUP(HN112,AlimentsRationLapinsFemelles[],5,FALSE))/1000/SUM(NbreJoursNourrirAutres)*84&lt;0,0,SUM(VLOOKUP(HN112,AlimentsRationLapinsMâles[],5,FALSE)+VLOOKUP(HN112,AlimentsRationLapinsFemelles[],5,FALSE)/1000/SUM(NbreJoursNourrirAutres)*84))</f>
        <v>#DIV/0!</v>
      </c>
      <c r="HV112" s="1084" t="e">
        <f>IF(SUM(VLOOKUP(HN112,AlimentsRationOvinsMâles,6,FALSE)+VLOOKUP(HN112,AlimentsRationOvinsFemelles,6,FALSE))/1000/SUM(NbreJoursNourrirOvins)*IF('semences, engrais et traitement'!I$18=OUI,42,84)&lt;0,0,SUM(VLOOKUP(HN112,AlimentsRationOvinsMâles,6,FALSE)+VLOOKUP(HN112,AlimentsRationOvinsFemelles,6,FALSE))/1000/SUM(NbreJoursNourrirOvins)*IF('semences, engrais et traitement'!I$18=OUI,42,84))</f>
        <v>#DIV/0!</v>
      </c>
      <c r="HW112" s="1084" t="e">
        <f>IF(SUM(VLOOKUP(HN112,AlimentsRationOiesMâles[],5,FALSE)+VLOOKUP(HN112,AlimentsRationOiesFemelles[],5,FALSE))/1000/SUM(NbreJoursNourrirAutres)*84&lt;0,0,SUM(VLOOKUP(HN112,AlimentsRationOiesMâles[],5,FALSE)+VLOOKUP(HN112,AlimentsRationOiesFemelles[],5,FALSE)/1000/SUM(NbreJoursNourrirAutres)*84))</f>
        <v>#DIV/0!</v>
      </c>
      <c r="HX112" s="1084" t="e">
        <f t="shared" si="37"/>
        <v>#DIV/0!</v>
      </c>
      <c r="HY112" s="1084" t="e">
        <f>IF(SUM(VLOOKUP(HN112,AlimentsRationEcurieChevauxMâlesSelle,6,FALSE)+VLOOKUP(HN112,AlimentsRationEcurieChevauxFemellesSelle,6,FALSE))/1000/SUM(NbreJoursNourrirChevauxSelle)*IF('semences, engrais et traitement'!M$16=OUI,56,84)&lt;0,0,SUM(VLOOKUP(HN112,AlimentsRationEcurieChevauxMâlesSelle,6,FALSE)+VLOOKUP(HN112,AlimentsRationEcurieChevauxFemellesSelle,6,FALSE))/1000/SUM(NbreJoursNourrirChevauxSelle)*IF('semences, engrais et traitement'!M$16=OUI,56,84))</f>
        <v>#DIV/0!</v>
      </c>
      <c r="HZ112" s="1084" t="e">
        <f>IF(SUM(VLOOKUP(HN112,AlimentsRationEcurieChevauxMâlesTrait,6,FALSE)+VLOOKUP(HN112,AlimentsRationEcurieChevauxFemellesTrait,6,FALSE))/1000/SUM(NbreJoursNourrirChevauxTrait)*IF('semences, engrais et traitement'!M$17=OUI,56,84)&lt;0,0,SUM(VLOOKUP(HN112,AlimentsRationEcurieChevauxMâlesTrait,6,FALSE)+VLOOKUP(HN112,AlimentsRationEcurieChevauxFemellesTrait,6,FALSE))/1000/SUM(NbreJoursNourrirChevauxTrait)*IF('semences, engrais et traitement'!M$17=OUI,56,84))</f>
        <v>#DIV/0!</v>
      </c>
      <c r="IA112" s="1084" t="e">
        <f>IF(SUM(VLOOKUP(HN112,AlimentsRationEcuriePoneysMâles,6,FALSE)+VLOOKUP(HN112,AlimentsRationEcuriePoneysFemelles,6,FALSE))/1000/SUM(NbreJoursNourrirPoneys)*IF('semences, engrais et traitement'!M$18=OUI,56,84)&lt;0,0,SUM(VLOOKUP(HN112,AlimentsRationEcuriePoneysMâles,6,FALSE)+VLOOKUP(HN112,AlimentsRationEcuriePoneysFemelles,6,FALSE))/1000/SUM(NbreJoursNourrirPoneys)*IF('semences, engrais et traitement'!M$18=OUI,56,84))</f>
        <v>#DIV/0!</v>
      </c>
      <c r="IB112" s="1100" t="e">
        <f t="shared" si="38"/>
        <v>#DIV/0!</v>
      </c>
      <c r="IC112" s="1321"/>
      <c r="ID112" s="1321"/>
      <c r="IE112" s="1321"/>
      <c r="IF112" s="1321"/>
      <c r="IG112" s="1321"/>
      <c r="IH112" s="1321"/>
      <c r="II112" s="1321"/>
      <c r="IJ112" s="1321"/>
      <c r="IK112" s="1321"/>
      <c r="IL112" s="1321"/>
      <c r="IM112" s="1321"/>
      <c r="IN112" s="1368"/>
    </row>
    <row r="113" spans="1:248" ht="12.75" customHeight="1" x14ac:dyDescent="0.2">
      <c r="A113" s="1307" t="s">
        <v>15</v>
      </c>
      <c r="B113" s="1241">
        <f t="shared" si="39"/>
        <v>1E-3</v>
      </c>
      <c r="C113" s="1321"/>
      <c r="D113" s="1321"/>
      <c r="E113" s="1321"/>
      <c r="F113" s="1143" t="s">
        <v>192</v>
      </c>
      <c r="G113" s="1143" t="s">
        <v>1204</v>
      </c>
      <c r="H113" s="1143" t="s">
        <v>1205</v>
      </c>
      <c r="I113" s="1244" t="s">
        <v>1166</v>
      </c>
      <c r="J113" s="1143" t="s">
        <v>1206</v>
      </c>
      <c r="K113" s="1143">
        <v>0</v>
      </c>
      <c r="L113" s="1143">
        <v>0</v>
      </c>
      <c r="M113" s="1321"/>
      <c r="N113" s="1321"/>
      <c r="O113" s="1076">
        <v>2000</v>
      </c>
      <c r="P113" s="1321"/>
      <c r="Q113" s="1321"/>
      <c r="R113" s="1082" t="s">
        <v>116</v>
      </c>
      <c r="S113" s="1143" t="s">
        <v>750</v>
      </c>
      <c r="T113" s="1249">
        <v>43556</v>
      </c>
      <c r="U113" s="1249">
        <v>43769</v>
      </c>
      <c r="V113" s="1082">
        <f t="shared" si="46"/>
        <v>42</v>
      </c>
      <c r="W113" s="1321"/>
      <c r="X113" s="1321"/>
      <c r="Y113" s="1321"/>
      <c r="Z113" s="1321"/>
      <c r="AA113" s="1321"/>
      <c r="AB113" s="1321"/>
      <c r="AC113" s="1321"/>
      <c r="AD113" s="1321"/>
      <c r="AE113" s="1321"/>
      <c r="AF113" s="1321"/>
      <c r="AG113" s="1321"/>
      <c r="AH113" s="1321"/>
      <c r="AI113" s="1321"/>
      <c r="AJ113" s="1321"/>
      <c r="AK113" s="1321"/>
      <c r="AL113" s="1321"/>
      <c r="AM113" s="1321"/>
      <c r="AN113" s="1321"/>
      <c r="AO113" s="1321"/>
      <c r="AP113" s="1321"/>
      <c r="AQ113" s="1321"/>
      <c r="AR113" s="1321"/>
      <c r="AS113" s="1321"/>
      <c r="AT113" s="1321"/>
      <c r="AU113" s="1321"/>
      <c r="AV113" s="1321"/>
      <c r="AW113" s="1321"/>
      <c r="AX113" s="1321"/>
      <c r="AY113" s="1321"/>
      <c r="AZ113" s="1321"/>
      <c r="BA113" s="1321"/>
      <c r="BB113" s="1236" t="s">
        <v>1314</v>
      </c>
      <c r="BC113" s="1190" t="s">
        <v>76</v>
      </c>
      <c r="BD113" s="1190" t="s">
        <v>1253</v>
      </c>
      <c r="BE113" s="1237">
        <v>7.2</v>
      </c>
      <c r="BF113" s="1237">
        <v>6</v>
      </c>
      <c r="BG113" s="1237">
        <v>4</v>
      </c>
      <c r="BH113" s="1237">
        <v>2</v>
      </c>
      <c r="BI113" s="1237">
        <v>1.2</v>
      </c>
      <c r="BJ113" s="1237">
        <v>0.6</v>
      </c>
      <c r="BK113" s="1238">
        <v>0</v>
      </c>
      <c r="BL113" s="1348"/>
      <c r="BM113" s="1079" t="s">
        <v>1276</v>
      </c>
      <c r="BN113" s="1271" t="s">
        <v>1746</v>
      </c>
      <c r="BO113" s="1271" t="s">
        <v>1747</v>
      </c>
      <c r="BP113" s="1271" t="s">
        <v>1748</v>
      </c>
      <c r="BQ113" s="1321"/>
      <c r="BR113" s="1321"/>
      <c r="BS113" s="1321"/>
      <c r="BT113" s="1321"/>
      <c r="BU113" s="1321"/>
      <c r="BV113" s="1345"/>
      <c r="BW113" s="1345"/>
      <c r="BX113" s="1075" t="s">
        <v>1718</v>
      </c>
      <c r="BY113" s="1075">
        <f t="array" ref="BY113">IF(ChoixRationComplèteCaprins=OUI,0,IFERROR(IF(OR(AND(INDEX(Règles_caprins[Specificite],MATCH(ChoixRationCaprins&amp;$BX113,Règles_caprins[Ration]&amp;Règles_caprins[Aliment],0))="s1",IF($BX113=Spécificité1Caprins,1)),
INDEX(Règles_caprins[Specificite],MATCH(ChoixRationCaprins&amp;$BX113,Règles_caprins[Ration]&amp;Règles_caprins[Aliment],0))="c"),
INDEX(Règles_caprins[Valeur 12 et plus],MATCH(ChoixRationCaprins&amp;$BX113,Règles_caprins[Ration]&amp;Règles_caprins[Aliment],0)),0),0)*TotalBoucs*SUM(NbreJoursNourrirCaprins))</f>
        <v>0</v>
      </c>
      <c r="BZ113" s="1075">
        <f t="array" ref="BZ113">IF(ChoixRationComplèteCaprins=OUI,0,IFERROR(IF(OR(AND(INDEX(Règles_caprins[Specificite],MATCH(ChoixRationCaprins&amp;$BX113,Règles_caprins[Ration]&amp;Règles_caprins[Aliment],0))="s1",IF($BX113=Spécificité1Caprins,1)),
INDEX(Règles_caprins[Specificite],MATCH(ChoixRationCaprins&amp;$BX113,Règles_caprins[Ration]&amp;Règles_caprins[Aliment],0))="c"),
INDEX(Règles_caprins[Valeur 6-12],MATCH(ChoixRationCaprins&amp;$BX113,Règles_caprins[Ration]&amp;Règles_caprins[Aliment],0)),0),0)*jeune_bouc_6_12_mois*SUM(NbreJoursNourrirCaprins))</f>
        <v>0</v>
      </c>
      <c r="CA113" s="1075">
        <f t="array" ref="CA113">IF(ChoixRationComplèteCaprins=OUI,0,IFERROR(IF(OR(AND(INDEX(Règles_caprins[Specificite],MATCH(ChoixRationCaprins&amp;$BX113,Règles_caprins[Ration]&amp;Règles_caprins[Aliment],0))="s1",IF($BX113=Spécificité1Caprins,1)),
INDEX(Règles_caprins[Specificite],MATCH(ChoixRationCaprins&amp;$BX113,Règles_caprins[Ration]&amp;Règles_caprins[Aliment],0))="c"),
INDEX(Règles_caprins[Valeur 3-6],MATCH(ChoixRationCaprins&amp;$BX113,Règles_caprins[Ration]&amp;Règles_caprins[Aliment],0)),0),0)*chevreau_3_6_mois*SUM(NbreJoursNourrirCaprins))</f>
        <v>0</v>
      </c>
      <c r="CB113" s="1075">
        <f t="array" ref="CB113">IF(ChoixRationComplèteCaprins=OUI,0,IFERROR(IF(OR(AND(INDEX(Règles_caprins[Specificite],MATCH(ChoixRationCaprins&amp;$BX113,Règles_caprins[Ration]&amp;Règles_caprins[Aliment],0))="s1",IF($BX113=Spécificité1Caprins,1)),
INDEX(Règles_caprins[Specificite],MATCH(ChoixRationCaprins&amp;$BX113,Règles_caprins[Ration]&amp;Règles_caprins[Aliment],0))="c"),
INDEX(Règles_caprins[Valeur 0-3],MATCH(ChoixRationCaprins&amp;$BX113,Règles_caprins[Ration]&amp;Règles_caprins[Aliment],0)),0),0)*chevreau_0_3_mois*SUM(NbreJoursNourrirCaprins))</f>
        <v>0</v>
      </c>
      <c r="CC113" s="1075">
        <f t="shared" si="45"/>
        <v>0</v>
      </c>
      <c r="CD113" s="1345"/>
      <c r="CE113" s="1345"/>
      <c r="CF113" s="1345"/>
      <c r="CG113" s="1345"/>
      <c r="CH113" s="1321"/>
      <c r="CI113" s="1321"/>
      <c r="CJ113" s="808" t="str">
        <f t="shared" si="26"/>
        <v>Ration complète</v>
      </c>
      <c r="CK113" s="788">
        <f t="array" ref="CK11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13" s="788">
        <f t="array" ref="CL11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13" s="788">
        <f t="array" ref="CM11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13" s="788">
        <f t="array" ref="CN11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13" s="788">
        <f t="array" ref="CO113">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13" s="812">
        <f>SUM(AlimentsRationPorcinsFemelles[[#This Row],[Valeur 12 et plus]:[Valeur 0-1]])</f>
        <v>0</v>
      </c>
      <c r="CQ113" s="1345"/>
      <c r="CR113" s="1321"/>
      <c r="CS113" s="808" t="str">
        <f t="shared" si="40"/>
        <v>Foin</v>
      </c>
      <c r="CT113" s="817">
        <f t="array" ref="CT11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13" s="817">
        <f t="array" ref="CU11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13" s="817">
        <f t="array" ref="CV11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13" s="818">
        <f>SUM(AlimentsRationLapinsFemelles[[#This Row],[Valeur 3 et plus]:[Valeur 0-1]])</f>
        <v>0</v>
      </c>
      <c r="CX113" s="1321"/>
      <c r="CY113" s="1321"/>
      <c r="CZ113" s="808" t="str">
        <f t="shared" si="41"/>
        <v>Foin</v>
      </c>
      <c r="DA113" s="817">
        <f t="array" ref="DA11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13" s="817">
        <f t="array" ref="DB11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13" s="817">
        <f t="array" ref="DC11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13" s="818">
        <f>SUM(AlimentsRationVolaillesFemelles[[#This Row],[Valeur 6 et plus]:[Valeur 0-1]])</f>
        <v>0</v>
      </c>
      <c r="DE113" s="1345"/>
      <c r="DF113" s="1321"/>
      <c r="DG113" s="788" t="str">
        <f t="shared" si="27"/>
        <v>Pomme de terre</v>
      </c>
      <c r="DH113" s="817">
        <f t="array" ref="DH11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13" s="817">
        <f t="array" ref="DI11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13" s="817">
        <f t="array" ref="DJ11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13" s="821">
        <f>SUM(AlimentsRationPintadesFemelles[[#This Row],[Valeur 6 et plus]:[Valeur 0-1]])</f>
        <v>0</v>
      </c>
      <c r="DL113" s="1321"/>
      <c r="DM113" s="1321"/>
      <c r="DN113" s="1176" t="s">
        <v>1316</v>
      </c>
      <c r="DO113" s="1177" t="s">
        <v>1273</v>
      </c>
      <c r="DP113" s="1177" t="s">
        <v>1252</v>
      </c>
      <c r="DQ113" s="1181">
        <v>1.2</v>
      </c>
      <c r="DR113" s="1181">
        <v>0.8</v>
      </c>
      <c r="DS113" s="1181">
        <v>0.6</v>
      </c>
      <c r="DT113" s="1243">
        <v>0.4</v>
      </c>
      <c r="DU113" s="1345"/>
      <c r="DV113" s="1075">
        <f t="shared" si="24"/>
        <v>0</v>
      </c>
      <c r="DW113" s="1269"/>
      <c r="DX113" s="1269"/>
      <c r="DY113" s="1269"/>
      <c r="DZ113" s="1345"/>
      <c r="EA113" s="1345"/>
      <c r="EB113" s="1345"/>
      <c r="EC113" s="1345"/>
      <c r="ED113" s="1345"/>
      <c r="EE113" s="1345"/>
      <c r="EF113" s="1321"/>
      <c r="EG113" s="808" t="str">
        <f t="shared" si="31"/>
        <v>Maïs grain</v>
      </c>
      <c r="EH113" s="817">
        <f t="array" ref="EH11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13" s="817">
        <f t="array" ref="EI11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13" s="817">
        <f t="array" ref="EJ11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13" s="818">
        <f>SUM(AlimentsRationOiesFemelles[[#This Row],[Valeur 6 et plus]:[Valeur 0-3]])</f>
        <v>0</v>
      </c>
      <c r="EL113" s="1345"/>
      <c r="EM113" s="1321"/>
      <c r="EN113" s="823" t="str">
        <f t="shared" si="29"/>
        <v>Minéraux + vitamines</v>
      </c>
      <c r="EO113" s="828">
        <f t="array" ref="EO113">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13" s="828">
        <f t="array" ref="EP113">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13" s="828">
        <f t="array" ref="EQ113">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13" s="829">
        <f>SUM(Ration_canards_Femelles[[#This Row],[Valeur 6 et plus]:[Valeur 0-3]])</f>
        <v>0</v>
      </c>
      <c r="ES113" s="1345"/>
      <c r="ET113" s="1321"/>
      <c r="EU113" s="1083" t="str">
        <f t="shared" si="44"/>
        <v>Eau</v>
      </c>
      <c r="EV113" s="1283">
        <f t="array" ref="EV113">IFERROR(IF(OR(AND(INDEX(Règles_chevaux_selle[Specificite],MATCH(RationEtéChevauxSelle&amp;$EU113,Règles_chevaux_selle[Ration]&amp;Règles_chevaux_selle[Aliment],0))="s1",IF($EU113=Spécificité1ChevauxSelle,1)),
AND(INDEX(Règles_chevaux_selle[Specificite],MATCH(RationEtéChevauxSelle&amp;$EU113,Règles_chevaux_selle[Ration]&amp;Règles_chevaux_selle[Aliment],0))="s2",IF($EU113=Spécificité2ChevauxSelle,1)),
INDEX(Règles_chevaux_selle[Specificite],MATCH(RationEtéChevauxSelle&amp;$EU113,Règles_chevaux_selle[Ration]&amp;Règles_chevaux_selle[Aliment],0))="c"),
INDEX(Règles_chevaux_selle[Valeur 36 et plus],MATCH(RationEtéChevauxSelle&amp;$EU113,Règles_chevaux_selle[Ration]&amp;Règles_chevaux_selle[Aliment],0)),0),0)*TotalJumentSelle*SUM(NbreJoursNourrirChevauxSelle)</f>
        <v>0</v>
      </c>
      <c r="EW113" s="1283">
        <f t="array" ref="EW113">IFERROR(IF(OR(AND(INDEX(Règles_chevaux_selle[Specificite],MATCH(RationEtéChevauxSelle&amp;$EU113,Règles_chevaux_selle[Ration]&amp;Règles_chevaux_selle[Aliment],0))="s1",IF($EU113=Spécificité1ChevauxSelle,1)),
AND(INDEX(Règles_chevaux_selle[Specificite],MATCH(RationEtéChevauxSelle&amp;$EU113,Règles_chevaux_selle[Ration]&amp;Règles_chevaux_selle[Aliment],0))="s2",IF($EU113=Spécificité2ChevauxSelle,1)),
INDEX(Règles_chevaux_selle[Specificite],MATCH(RationEtéChevauxSelle&amp;$EU113,Règles_chevaux_selle[Ration]&amp;Règles_chevaux_selle[Aliment],0))="c"),
INDEX(Règles_chevaux_selle[Valeur 24-36],MATCH(RationEtéChevauxSelle&amp;$EU113,Règles_chevaux_selle[Ration]&amp;Règles_chevaux_selle[Aliment],0)),0),0)*TotalJeuneJumentSelle_24_36_mois*SUM(NbreJoursNourrirChevauxSelle)</f>
        <v>0</v>
      </c>
      <c r="EX113" s="1283">
        <f t="array" ref="EX113">IFERROR(IF(OR(AND(INDEX(Règles_chevaux_selle[Specificite],MATCH(RationEtéChevauxSelle&amp;$EU113,Règles_chevaux_selle[Ration]&amp;Règles_chevaux_selle[Aliment],0))="s1",IF($EU113=Spécificité1ChevauxSelle,1)),
AND(INDEX(Règles_chevaux_selle[Specificite],MATCH(RationEtéChevauxSelle&amp;$EU113,Règles_chevaux_selle[Ration]&amp;Règles_chevaux_selle[Aliment],0))="s2",IF($EU113=Spécificité2ChevauxSelle,1)),
INDEX(Règles_chevaux_selle[Specificite],MATCH(RationEtéChevauxSelle&amp;$EU113,Règles_chevaux_selle[Ration]&amp;Règles_chevaux_selle[Aliment],0))="c"),
INDEX(Règles_chevaux_selle[Valeur 12-24],MATCH(RationEtéChevauxSelle&amp;$EU113,Règles_chevaux_selle[Ration]&amp;Règles_chevaux_selle[Aliment],0)),0),0)*TotalJeuneJumentSelle_12_24_mois*SUM(NbreJoursNourrirChevauxSelle)</f>
        <v>0</v>
      </c>
      <c r="EY113" s="1286">
        <f t="array" ref="EY113">IFERROR(IF(OR(AND(INDEX(Règles_chevaux_selle[Specificite],MATCH(RationEtéChevauxSelle&amp;$EU113,Règles_chevaux_selle[Ration]&amp;Règles_chevaux_selle[Aliment],0))="s1",IF($EU113=Spécificité1ChevauxSelle,1)),
AND(INDEX(Règles_chevaux_selle[Specificite],MATCH(RationEtéChevauxSelle&amp;$EU113,Règles_chevaux_selle[Ration]&amp;Règles_chevaux_selle[Aliment],0))="s2",IF($EU113=Spécificité2ChevauxSelle,1)),
INDEX(Règles_chevaux_selle[Specificite],MATCH(RationEtéChevauxSelle&amp;$EU113,Règles_chevaux_selle[Ration]&amp;Règles_chevaux_selle[Aliment],0))="c"),
INDEX(Règles_chevaux_selle[Valeur 0-12],MATCH(RationEtéChevauxSelle&amp;$EU113,Règles_chevaux_selle[Ration]&amp;Règles_chevaux_selle[Aliment],0)),0),0)*TotalPoulicheSelle_0_12_mois*SUM(NbreJoursNourrirChevauxSelle)</f>
        <v>0</v>
      </c>
      <c r="EZ113" s="1286">
        <f t="shared" si="43"/>
        <v>0</v>
      </c>
      <c r="FA113" s="1345"/>
      <c r="FB113" s="1345"/>
      <c r="FC113" s="1321"/>
      <c r="FD113" s="1083" t="str">
        <f t="shared" si="34"/>
        <v>Maïs ensilé</v>
      </c>
      <c r="FE113" s="1283">
        <f t="array" ref="FE113">IF(OR(ChoixRationComplèteEtéChevauxTrait=OUI,ChoixRationComplèteEtéChevauxTrait="",AND(ChoixChevauxTraitPréHiver=OUI,ChoixChevauxTraitPréEté=OUI)),0,IFERROR(IF(OR(AND(INDEX(Règles_chevaux_trait[Specificite],MATCH(RationEtéChevauxTrait&amp;$FD113,Règles_chevaux_trait[Ration]&amp;Règles_chevaux_trait[Aliment],0))="s1",IF($FD113=Spécificité1ChevauxTrait,1)),
AND(INDEX(Règles_chevaux_trait[Specificite],MATCH(RationEtéChevauxTrait&amp;$FD113,Règles_chevaux_trait[Ration]&amp;Règles_chevaux_trait[Aliment],0))="s2",IF($FD113=Spécificité2ChevauxTrait,1)),
INDEX(Règles_chevaux_trait[Specificite],MATCH(RationEtéChevauxTrait&amp;$FD113,Règles_chevaux_trait[Ration]&amp;Règles_chevaux_trait[Aliment],0))="c"),
INDEX(Règles_chevaux_trait[Valeur 36 et plus],MATCH(RationEtéChevauxTrait&amp;$FD113,Règles_chevaux_trait[Ration]&amp;Règles_chevaux_trait[Aliment],0)),0),0)*TotalJumentTrait*SUM(NbreJoursNourrirChevauxTrait))</f>
        <v>0</v>
      </c>
      <c r="FF113" s="1283">
        <f t="array" ref="FF113">IF(OR(ChoixRationComplèteEtéChevauxTrait=OUI,ChoixRationComplèteEtéChevauxTrait="",AND(ChoixChevauxTraitPréHiver=OUI,ChoixChevauxTraitPréEté=OUI)),0,IFERROR(IF(OR(AND(INDEX(Règles_chevaux_trait[Specificite],MATCH(RationEtéChevauxTrait&amp;$FD113,Règles_chevaux_trait[Ration]&amp;Règles_chevaux_trait[Aliment],0))="s1",IF($FD113=Spécificité1ChevauxTrait,1)),
AND(INDEX(Règles_chevaux_trait[Specificite],MATCH(RationEtéChevauxTrait&amp;$FD113,Règles_chevaux_trait[Ration]&amp;Règles_chevaux_trait[Aliment],0))="s2",IF($FD113=Spécificité2ChevauxTrait,1)),
INDEX(Règles_chevaux_trait[Specificite],MATCH(RationEtéChevauxTrait&amp;$FD113,Règles_chevaux_trait[Ration]&amp;Règles_chevaux_trait[Aliment],0))="c"),
INDEX(Règles_chevaux_trait[Valeur 24-36],MATCH(RationEtéChevauxTrait&amp;$FD113,Règles_chevaux_trait[Ration]&amp;Règles_chevaux_trait[Aliment],0)),0),0)*TotalJeuneJumentTrait_24_36_mois*SUM(NbreJoursNourrirChevauxTrait))</f>
        <v>0</v>
      </c>
      <c r="FG113" s="1283">
        <f t="array" ref="FG113">IF(OR(ChoixRationComplèteEtéChevauxTrait=OUI,ChoixRationComplèteEtéChevauxTrait="",AND(ChoixChevauxTraitPréHiver=OUI,ChoixChevauxTraitPréEté=OUI)),0,IFERROR(IF(OR(AND(INDEX(Règles_chevaux_trait[Specificite],MATCH(RationEtéChevauxTrait&amp;$FD113,Règles_chevaux_trait[Ration]&amp;Règles_chevaux_trait[Aliment],0))="s1",IF($FD113=Spécificité1ChevauxTrait,1)),
AND(INDEX(Règles_chevaux_trait[Specificite],MATCH(RationEtéChevauxTrait&amp;$FD113,Règles_chevaux_trait[Ration]&amp;Règles_chevaux_trait[Aliment],0))="s2",IF($FD113=Spécificité2ChevauxTrait,1)),
INDEX(Règles_chevaux_trait[Specificite],MATCH(RationEtéChevauxTrait&amp;$FD113,Règles_chevaux_trait[Ration]&amp;Règles_chevaux_trait[Aliment],0))="c"),
INDEX(Règles_chevaux_trait[Valeur 12-24],MATCH(RationEtéChevauxTrait&amp;$FD113,Règles_chevaux_trait[Ration]&amp;Règles_chevaux_trait[Aliment],0)),0),0)*TotalJeuneJumentTrait_12_24_mois*SUM(NbreJoursNourrirChevauxTrait))</f>
        <v>0</v>
      </c>
      <c r="FH113" s="1286">
        <f t="array" ref="FH113">IF(OR(ChoixRationComplèteEtéChevauxTrait=OUI,ChoixRationComplèteEtéChevauxTrait="",AND(ChoixChevauxTraitPréHiver=OUI,ChoixChevauxTraitPréEté=OUI)),0,IFERROR(IF(OR(AND(INDEX(Règles_chevaux_trait[Specificite],MATCH(RationEtéChevauxTrait&amp;$FD113,Règles_chevaux_trait[Ration]&amp;Règles_chevaux_trait[Aliment],0))="s1",IF($FD113=Spécificité1ChevauxTrait,1)),
AND(INDEX(Règles_chevaux_trait[Specificite],MATCH(RationEtéChevauxTrait&amp;$FD113,Règles_chevaux_trait[Ration]&amp;Règles_chevaux_trait[Aliment],0))="s2",IF($FD113=Spécificité2ChevauxTrait,1)),
INDEX(Règles_chevaux_trait[Specificite],MATCH(RationEtéChevauxTrait&amp;$FD113,Règles_chevaux_trait[Ration]&amp;Règles_chevaux_trait[Aliment],0))="c"),
INDEX(Règles_chevaux_trait[Valeur 0-12],MATCH(RationEtéChevauxTrait&amp;$FD113,Règles_chevaux_trait[Ration]&amp;Règles_chevaux_trait[Aliment],0)),0),0)*TotalPoulicheTrait_0_12_mois*SUM(NbreJoursNourrirChevauxTrait))</f>
        <v>0</v>
      </c>
      <c r="FI113" s="1286">
        <f t="shared" si="32"/>
        <v>0</v>
      </c>
      <c r="FJ113" s="1345"/>
      <c r="FK113" s="1345"/>
      <c r="FL113" s="1345"/>
      <c r="FM113" s="1321"/>
      <c r="FN113" s="1082" t="str">
        <f t="shared" si="33"/>
        <v>Maïs grain</v>
      </c>
      <c r="FO113" s="1282">
        <f t="array" ref="FO113">IF(OR(ChoixRationComplèteEtéPoneys=OUI,ChoixRationComplèteEtéPoneys="",AND(ChoixPoneysPréHiver=OUI,ChoixPoneysPréEté=OUI)),0,IFERROR(IF(OR(AND(INDEX(Règles_poneys[Specificite],MATCH(RationEtéPoneys&amp;$FN113,Règles_poneys[Ration]&amp;Règles_poneys[Aliment],0))="s1",IF($FN113=Spécificité1Poneys,1)),
AND(INDEX(Règles_poneys[Specificite],MATCH(RationEtéPoneys&amp;$FN113,Règles_poneys[Ration]&amp;Règles_poneys[Aliment],0))="s2",IF($FN113=Spécificité2Poneys,1)),
INDEX(Règles_poneys[Specificite],MATCH(RationEtéPoneys&amp;$FN113,Règles_poneys[Ration]&amp;Règles_poneys[Aliment],0))="c"),
INDEX(Règles_poneys[Valeur 36 et plus],MATCH(RationEtéPoneys&amp;$FN113,Règles_poneys[Ration]&amp;Règles_poneys[Aliment],0)),0),0)*TotalJumentPoney*SUM(NbreJoursNourrirPoneys))</f>
        <v>0</v>
      </c>
      <c r="FP113" s="1282">
        <f t="array" ref="FP113">IF(OR(ChoixRationComplèteEtéPoneys=OUI,ChoixRationComplèteEtéPoneys="",AND(ChoixPoneysPréHiver=OUI,ChoixPoneysPréEté=OUI)),0,IFERROR(IF(OR(AND(INDEX(Règles_poneys[Specificite],MATCH(RationEtéPoneys&amp;$FN113,Règles_poneys[Ration]&amp;Règles_poneys[Aliment],0))="s1",IF($FN113=Spécificité1Poneys,1)),
AND(INDEX(Règles_poneys[Specificite],MATCH(RationEtéPoneys&amp;$FN113,Règles_poneys[Ration]&amp;Règles_poneys[Aliment],0))="s2",IF($FN113=Spécificité2Poneys,1)),
INDEX(Règles_poneys[Specificite],MATCH(RationEtéPoneys&amp;$FN113,Règles_poneys[Ration]&amp;Règles_poneys[Aliment],0))="c"),
INDEX(Règles_poneys[Valeur 36 et plus],MATCH(RationEtéPoneys&amp;$FN113,Règles_poneys[Ration]&amp;Règles_poneys[Aliment],0)),0),0)*TotalJeuneJumentPoney_24_36_mois*SUM(NbreJoursNourrirPoneys))</f>
        <v>0</v>
      </c>
      <c r="FQ113" s="1282">
        <f t="array" ref="FQ113">IF(OR(ChoixRationComplèteEtéPoneys=OUI,ChoixRationComplèteEtéPoneys="",AND(ChoixPoneysPréHiver=OUI,ChoixPoneysPréEté=OUI)),0,IFERROR(IF(OR(AND(INDEX(Règles_poneys[Specificite],MATCH(RationEtéPoneys&amp;$FN113,Règles_poneys[Ration]&amp;Règles_poneys[Aliment],0))="s1",IF($FN113=Spécificité1Poneys,1)),
AND(INDEX(Règles_poneys[Specificite],MATCH(RationEtéPoneys&amp;$FN113,Règles_poneys[Ration]&amp;Règles_poneys[Aliment],0))="s2",IF($FN113=Spécificité2Poneys,1)),
INDEX(Règles_poneys[Specificite],MATCH(RationEtéPoneys&amp;$FN113,Règles_poneys[Ration]&amp;Règles_poneys[Aliment],0))="c"),
INDEX(Règles_poneys[Valeur 36 et plus],MATCH(RationEtéPoneys&amp;$FN113,Règles_poneys[Ration]&amp;Règles_poneys[Aliment],0)),0),0)*TotalJeuneJumentPoney_12_24_mois*SUM(NbreJoursNourrirPoneys))</f>
        <v>0</v>
      </c>
      <c r="FR113" s="1285">
        <f t="array" ref="FR113">IF(OR(ChoixRationComplèteEtéPoneys=OUI,ChoixRationComplèteEtéPoneys="",AND(ChoixPoneysPréHiver=OUI,ChoixPoneysPréEté=OUI)),0,IFERROR(IF(OR(AND(INDEX(Règles_poneys[Specificite],MATCH(RationEtéPoneys&amp;$FN113,Règles_poneys[Ration]&amp;Règles_poneys[Aliment],0))="s1",IF($FN113=Spécificité1Poneys,1)),
AND(INDEX(Règles_poneys[Specificite],MATCH(RationEtéPoneys&amp;$FN113,Règles_poneys[Ration]&amp;Règles_poneys[Aliment],0))="s2",IF($FN113=Spécificité2Poneys,1)),
INDEX(Règles_poneys[Specificite],MATCH(RationEtéPoneys&amp;$FN113,Règles_poneys[Ration]&amp;Règles_poneys[Aliment],0))="c"),
INDEX(Règles_poneys[Valeur 36 et plus],MATCH(RationEtéPoneys&amp;$FN113,Règles_poneys[Ration]&amp;Règles_poneys[Aliment],0)),0),0)*TotalPoulichePoney_0_12_mois*SUM(NbreJoursNourrirPoneys))</f>
        <v>0</v>
      </c>
      <c r="FS113" s="1285">
        <f t="shared" si="30"/>
        <v>0</v>
      </c>
      <c r="FT113" s="1345"/>
      <c r="FU113" s="1345"/>
      <c r="FV113" s="1345"/>
      <c r="FW113" s="823" t="str">
        <f t="shared" si="28"/>
        <v>Pomme de terre</v>
      </c>
      <c r="FX113" s="828">
        <f t="array" ref="FX11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13" s="828">
        <f t="array" ref="FY11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13" s="828">
        <f t="array" ref="FZ11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13" s="828">
        <f t="array" ref="GA11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13" s="829">
        <f>SUM(AlimentsGavageCanards[[#This Row],[Valeur 3 et plus]:[Valeur 0-1]])</f>
        <v>0</v>
      </c>
      <c r="GC113" s="1321"/>
      <c r="GD113" s="1321"/>
      <c r="GE113" s="1321"/>
      <c r="GF113" s="1321"/>
      <c r="GG113" s="1321" t="s">
        <v>1349</v>
      </c>
      <c r="GH113" s="1321" t="s">
        <v>1349</v>
      </c>
      <c r="GI113" s="1321" t="s">
        <v>1349</v>
      </c>
      <c r="GJ113" s="1321" t="s">
        <v>1349</v>
      </c>
      <c r="GK113" s="1321" t="s">
        <v>1349</v>
      </c>
      <c r="GL113" s="1321" t="s">
        <v>1349</v>
      </c>
      <c r="GM113" s="1321" t="s">
        <v>1349</v>
      </c>
      <c r="GN113" s="1321" t="s">
        <v>1349</v>
      </c>
      <c r="GO113" s="1321" t="s">
        <v>1349</v>
      </c>
      <c r="GP113" s="1321" t="s">
        <v>1349</v>
      </c>
      <c r="GQ113" s="1321" t="s">
        <v>1349</v>
      </c>
      <c r="GR113" s="1321" t="s">
        <v>1349</v>
      </c>
      <c r="GS113" s="1321" t="s">
        <v>1349</v>
      </c>
      <c r="GT113" s="1321" t="s">
        <v>1349</v>
      </c>
      <c r="GU113" s="1321" t="s">
        <v>1349</v>
      </c>
      <c r="GV113" s="1321" t="s">
        <v>1349</v>
      </c>
      <c r="GW113" s="1321"/>
      <c r="GX113" s="1321"/>
      <c r="GY113" s="1321"/>
      <c r="GZ113" s="1321"/>
      <c r="HA113" s="1321"/>
      <c r="HB113" s="1321"/>
      <c r="HC113" s="1321"/>
      <c r="HD113" s="1321"/>
      <c r="HE113" s="1321"/>
      <c r="HF113" s="1321"/>
      <c r="HG113" s="1321"/>
      <c r="HH113" s="1321"/>
      <c r="HI113" s="1321"/>
      <c r="HJ113" s="1321"/>
      <c r="HK113" s="1321"/>
      <c r="HL113" s="1321"/>
      <c r="HM113" s="1321"/>
      <c r="HN113" s="1099" t="s">
        <v>333</v>
      </c>
      <c r="HO113" s="1085" t="e">
        <f>IF(SUM((VLOOKUP(HN113,AlimentsRationBovinsMâles,9,FALSE)+VLOOKUP(HN113,AlimentsRationBovinsFemelles,9,FALSE)+VLOOKUP(HN113,BDD!BB$284:BJ$323,9,FALSE))/1000/SUM(NbreJoursNourrirBovins)*IF('semences, engrais et traitement'!I$16=OUI,42,84))&lt;0,0,SUM((VLOOKUP(HN113,AlimentsRationBovinsMâles,9,FALSE)+VLOOKUP(HN113,AlimentsRationBovinsFemelles,9,FALSE)+VLOOKUP(HN113,BDD!BB$284:BJ$323,9,FALSE))/1000/SUM(NbreJoursNourrirBovins)*IF('semences, engrais et traitement'!I$16=OUI,42,84)))</f>
        <v>#DIV/0!</v>
      </c>
      <c r="HP113" s="1085">
        <f t="shared" si="36"/>
        <v>0</v>
      </c>
      <c r="HQ113" s="1085" t="e">
        <f>IF(SUM(VLOOKUP(HN113,AlimentsRationPorcinsMâles[],7,FALSE)+VLOOKUP(HN113,AlimentsRationPorcinsFemelles[],7,FALSE))/1000/SUM(NbreJoursNourrirAutres)*84&lt;0,0,SUM(VLOOKUP(HN113,AlimentsRationPorcinsMâles[],7,FALSE)+VLOOKUP(HN113,AlimentsRationPorcinsFemelles[],7,FALSE)/1000/SUM(NbreJoursNourrirAutres)*84))</f>
        <v>#DIV/0!</v>
      </c>
      <c r="HR113" s="1085" t="e">
        <f>IF(SUM(VLOOKUP(HN113,AlimentsRationCaprinsMâles,6,FALSE)+VLOOKUP(HN113,AlimentsRationCaprinsFemelles,6,FALSE))/1000/SUM(NbreJoursNourrirCaprins)*IF('semences, engrais et traitement'!I$17=OUI,42,84)&lt;0,0,SUM(VLOOKUP(HN113,AlimentsRationCaprinsMâles,6,FALSE)+VLOOKUP(HN113,AlimentsRationCaprinsFemelles,6,FALSE))/1000/SUM(NbreJoursNourrirCaprins)*IF('semences, engrais et traitement'!I$17=OUI,42,84))</f>
        <v>#DIV/0!</v>
      </c>
      <c r="HS113" s="1085" t="e">
        <f>IF(SUM(VLOOKUP(HN113,AlimentsRationVolaillesMâles[],5,FALSE)+VLOOKUP(HN113,AlimentsRationVolaillesFemelles[],5,FALSE))/1000/SUM(NbreJoursNourrirAutres)*84&lt;0,0,SUM(VLOOKUP(HN113,AlimentsRationVolaillesMâles[],5,FALSE)+VLOOKUP(HN113,AlimentsRationVolaillesFemelles[],5,FALSE)/1000/SUM(NbreJoursNourrirAutres)*84))</f>
        <v>#DIV/0!</v>
      </c>
      <c r="HT113" s="1085" t="e">
        <f>IF(SUM(VLOOKUP(HN113,AlimentsRationPintadesMâles[],5,FALSE)+VLOOKUP(HN113,AlimentsRationPintadesFemelles[],5,FALSE))/1000/SUM(NbreJoursNourrirAutres)*84&lt;0,0,SUM(VLOOKUP(HN113,AlimentsRationPintadesMâles[],5,FALSE)+VLOOKUP(HN113,AlimentsRationPintadesFemelles[],5,FALSE)/1000/SUM(NbreJoursNourrirAutres)*84))</f>
        <v>#DIV/0!</v>
      </c>
      <c r="HU113" s="1085" t="e">
        <f>IF(SUM(VLOOKUP(HN113,AlimentsRationLapinsMâles[],5,FALSE)+VLOOKUP(HN113,AlimentsRationLapinsFemelles[],5,FALSE))/1000/SUM(NbreJoursNourrirAutres)*84&lt;0,0,SUM(VLOOKUP(HN113,AlimentsRationLapinsMâles[],5,FALSE)+VLOOKUP(HN113,AlimentsRationLapinsFemelles[],5,FALSE)/1000/SUM(NbreJoursNourrirAutres)*84))</f>
        <v>#DIV/0!</v>
      </c>
      <c r="HV113" s="1085" t="e">
        <f>IF(SUM(VLOOKUP(HN113,AlimentsRationOvinsMâles,6,FALSE)+VLOOKUP(HN113,AlimentsRationOvinsFemelles,6,FALSE))/1000/SUM(NbreJoursNourrirOvins)*IF('semences, engrais et traitement'!I$18=OUI,42,84)&lt;0,0,SUM(VLOOKUP(HN113,AlimentsRationOvinsMâles,6,FALSE)+VLOOKUP(HN113,AlimentsRationOvinsFemelles,6,FALSE))/1000/SUM(NbreJoursNourrirOvins)*IF('semences, engrais et traitement'!I$18=OUI,42,84))</f>
        <v>#DIV/0!</v>
      </c>
      <c r="HW113" s="1085" t="e">
        <f>IF(SUM(VLOOKUP(HN113,AlimentsRationOiesMâles[],5,FALSE)+VLOOKUP(HN113,AlimentsRationOiesFemelles[],5,FALSE))/1000/SUM(NbreJoursNourrirAutres)*84&lt;0,0,SUM(VLOOKUP(HN113,AlimentsRationOiesMâles[],5,FALSE)+VLOOKUP(HN113,AlimentsRationOiesFemelles[],5,FALSE)/1000/SUM(NbreJoursNourrirAutres)*84))</f>
        <v>#DIV/0!</v>
      </c>
      <c r="HX113" s="1085" t="e">
        <f t="shared" si="37"/>
        <v>#DIV/0!</v>
      </c>
      <c r="HY113" s="1085" t="e">
        <f>IF(SUM(VLOOKUP(HN113,AlimentsRationEcurieChevauxMâlesSelle,6,FALSE)+VLOOKUP(HN113,AlimentsRationEcurieChevauxFemellesSelle,6,FALSE))/1000/SUM(NbreJoursNourrirChevauxSelle)*IF('semences, engrais et traitement'!M$16=OUI,56,84)&lt;0,0,SUM(VLOOKUP(HN113,AlimentsRationEcurieChevauxMâlesSelle,6,FALSE)+VLOOKUP(HN113,AlimentsRationEcurieChevauxFemellesSelle,6,FALSE))/1000/SUM(NbreJoursNourrirChevauxSelle)*IF('semences, engrais et traitement'!M$16=OUI,56,84))</f>
        <v>#DIV/0!</v>
      </c>
      <c r="HZ113" s="1085" t="e">
        <f>IF(SUM(VLOOKUP(HN113,AlimentsRationEcurieChevauxMâlesTrait,6,FALSE)+VLOOKUP(HN113,AlimentsRationEcurieChevauxFemellesTrait,6,FALSE))/1000/SUM(NbreJoursNourrirChevauxTrait)*IF('semences, engrais et traitement'!M$17=OUI,56,84)&lt;0,0,SUM(VLOOKUP(HN113,AlimentsRationEcurieChevauxMâlesTrait,6,FALSE)+VLOOKUP(HN113,AlimentsRationEcurieChevauxFemellesTrait,6,FALSE))/1000/SUM(NbreJoursNourrirChevauxTrait)*IF('semences, engrais et traitement'!M$17=OUI,56,84))</f>
        <v>#DIV/0!</v>
      </c>
      <c r="IA113" s="1085" t="e">
        <f>IF(SUM(VLOOKUP(HN113,AlimentsRationEcuriePoneysMâles,6,FALSE)+VLOOKUP(HN113,AlimentsRationEcuriePoneysFemelles,6,FALSE))/1000/SUM(NbreJoursNourrirPoneys)*IF('semences, engrais et traitement'!M$18=OUI,56,84)&lt;0,0,SUM(VLOOKUP(HN113,AlimentsRationEcuriePoneysMâles,6,FALSE)+VLOOKUP(HN113,AlimentsRationEcuriePoneysFemelles,6,FALSE))/1000/SUM(NbreJoursNourrirPoneys)*IF('semences, engrais et traitement'!M$18=OUI,56,84))</f>
        <v>#DIV/0!</v>
      </c>
      <c r="IB113" s="1099" t="e">
        <f t="shared" si="38"/>
        <v>#DIV/0!</v>
      </c>
      <c r="IC113" s="1321"/>
      <c r="ID113" s="1321"/>
      <c r="IE113" s="1321"/>
      <c r="IF113" s="1321"/>
      <c r="IG113" s="1321"/>
      <c r="IH113" s="1321"/>
      <c r="II113" s="1321"/>
      <c r="IJ113" s="1321"/>
      <c r="IK113" s="1321"/>
      <c r="IL113" s="1321"/>
      <c r="IM113" s="1321"/>
      <c r="IN113" s="1368"/>
    </row>
    <row r="114" spans="1:248" ht="12.75" customHeight="1" x14ac:dyDescent="0.2">
      <c r="A114" s="1307" t="s">
        <v>16</v>
      </c>
      <c r="B114" s="1241">
        <f t="shared" si="39"/>
        <v>1E-3</v>
      </c>
      <c r="C114" s="1321"/>
      <c r="D114" s="1321"/>
      <c r="E114" s="1321"/>
      <c r="F114" s="1149" t="s">
        <v>191</v>
      </c>
      <c r="G114" s="1149">
        <v>0</v>
      </c>
      <c r="H114" s="1245" t="s">
        <v>1168</v>
      </c>
      <c r="I114" s="1149" t="s">
        <v>1191</v>
      </c>
      <c r="J114" s="1149" t="s">
        <v>1191</v>
      </c>
      <c r="K114" s="1245" t="s">
        <v>1210</v>
      </c>
      <c r="L114" s="1245" t="s">
        <v>1167</v>
      </c>
      <c r="M114" s="1321"/>
      <c r="N114" s="1321"/>
      <c r="O114" s="1075">
        <v>3000</v>
      </c>
      <c r="P114" s="1321"/>
      <c r="Q114" s="1321"/>
      <c r="R114" s="1083" t="s">
        <v>1625</v>
      </c>
      <c r="S114" s="1149" t="s">
        <v>1031</v>
      </c>
      <c r="T114" s="1250">
        <v>43525</v>
      </c>
      <c r="U114" s="1250">
        <v>43799</v>
      </c>
      <c r="V114" s="1083">
        <f t="shared" si="46"/>
        <v>56</v>
      </c>
      <c r="W114" s="1321"/>
      <c r="X114" s="1321"/>
      <c r="Y114" s="1321"/>
      <c r="Z114" s="1321"/>
      <c r="AA114" s="1321"/>
      <c r="AB114" s="1321"/>
      <c r="AC114" s="1321"/>
      <c r="AD114" s="1321"/>
      <c r="AE114" s="1321"/>
      <c r="AF114" s="1321"/>
      <c r="AG114" s="1321"/>
      <c r="AH114" s="1321"/>
      <c r="AI114" s="1321"/>
      <c r="AJ114" s="1321"/>
      <c r="AK114" s="1321"/>
      <c r="AL114" s="1321"/>
      <c r="AM114" s="1321"/>
      <c r="AN114" s="1321"/>
      <c r="AO114" s="1321"/>
      <c r="AP114" s="1321"/>
      <c r="AQ114" s="1321"/>
      <c r="AR114" s="1321"/>
      <c r="AS114" s="1321"/>
      <c r="AT114" s="1321"/>
      <c r="AU114" s="1321"/>
      <c r="AV114" s="1321"/>
      <c r="AW114" s="1321"/>
      <c r="AX114" s="1321"/>
      <c r="AY114" s="1321"/>
      <c r="AZ114" s="1321"/>
      <c r="BA114" s="1321"/>
      <c r="BB114" s="1236" t="s">
        <v>1314</v>
      </c>
      <c r="BC114" s="1190" t="s">
        <v>1273</v>
      </c>
      <c r="BD114" s="1190" t="s">
        <v>1254</v>
      </c>
      <c r="BE114" s="1237">
        <v>4.8</v>
      </c>
      <c r="BF114" s="1237">
        <v>4</v>
      </c>
      <c r="BG114" s="1237">
        <v>4</v>
      </c>
      <c r="BH114" s="1237">
        <v>4</v>
      </c>
      <c r="BI114" s="1237">
        <v>2</v>
      </c>
      <c r="BJ114" s="1237">
        <v>1.2</v>
      </c>
      <c r="BK114" s="1238">
        <v>0</v>
      </c>
      <c r="BL114" s="1348"/>
      <c r="BM114" s="1076" t="str">
        <f>BM36</f>
        <v>Avoine</v>
      </c>
      <c r="BN114" s="1267">
        <f t="array" ref="BN114">SUM((IF(QualitéAlimentsBisonneauxMâles_0_3_mois=BONNE,VLOOKUP("Avoine",AlimentsRationHivernaleBisonsMâles,8,FALSE),0)+(IF(QualitéAlimentsBisonneauxFemelles_0_3_mois=BONNE,VLOOKUP("Avoine",AlimentsRationHivernaleBisonsFemelles,8,FALSE),0)+(IF(QualitéAlimentsBisonneauxMâles_3_6_mois=BONNE,VLOOKUP("Avoine",AlimentsRationHivernaleBisonsMâles,7,FALSE),0)+(IF(QualitéAlimentsBisonneauxFemelles_3_6_mois=BONNE,VLOOKUP("Avoine",AlimentsRationHivernaleBisonsFemelles,7,FALSE),0)+(IF(QualitéAlimentsBisonneauxMâles_6_12_mois=BONNE,VLOOKUP("Avoine",AlimentsRationHivernaleBisonsMâles,6,FALSE),0)+(IF(QualitéAlimentsBisonneauxFemelles_6_12_mois=BONNE,VLOOKUP("Avoine",AlimentsRationHivernaleBisonsFemelles,6,FALSE),0)+(IF(QualitéAlimentsJeunesBisons_12_18_mois=BONNE,VLOOKUP("Avoine",AlimentsRationHivernaleBisonsMâles,5,FALSE),0)+(IF(QualitéAlimentsJeunesBisonnes_12_18_mois=BONNE,VLOOKUP("Avoine",AlimentsRationHivernaleBisonsFemelles,5,FALSE),0)+(IF(QualitéAlimentsJeunesBisons_18_24_mois=BONNE,VLOOKUP("Avoine",AlimentsRationHivernaleBisonsMâles,4,FALSE),0)+(IF(QualitéAlimentsJeunesBisonnes_18_24_mois=BONNE,VLOOKUP("Avoine",AlimentsRationHivernaleBisonsFemelles,4,FALSE),0)+(IF(QualitéAlimentsJeunesBisons_24_36_mois=BONNE,VLOOKUP("Avoine",AlimentsRationHivernaleBisonsMâles,3,FALSE),0)+(IF(QualitéAlimentsJeunesBisonnes_24_36_mois=BONNE,VLOOKUP("Avoine",AlimentsRationHivernaleBisonsFemelles,3,FALSE),0)+(IF(QualitéAlimentsBisons=BONNE,VLOOKUP("Avoine",AlimentsRationHivernaleBisonsMâles,2,FALSE),0)+(IF(QualitéAlimentsBisonnes=BONNE,VLOOKUP("Avoine",AlimentsRationHivernaleBisonsFemelles,2,FALSE),0))))))))))))))))</f>
        <v>0</v>
      </c>
      <c r="BO114" s="1267">
        <f t="array" ref="BO114">SUM((IF(QualitéAlimentsBisonneauxMâles_0_3_mois=MOYENNE,VLOOKUP("Avoine",AlimentsRationHivernaleBisonsMâles,8,FALSE),0)+(IF(QualitéAlimentsBisonneauxFemelles_0_3_mois=MOYENNE,VLOOKUP("Avoine",AlimentsRationHivernaleBisonsFemelles,8,FALSE),0)+(IF(QualitéAlimentsBisonneauxMâles_3_6_mois=MOYENNE,VLOOKUP("Avoine",AlimentsRationHivernaleBisonsMâles,7,FALSE),0)+(IF(QualitéAlimentsBisonneauxFemelles_3_6_mois=MOYENNE,VLOOKUP("Avoine",AlimentsRationHivernaleBisonsFemelles,7,FALSE),0)+(IF(QualitéAlimentsBisonneauxMâles_6_12_mois=MOYENNE,VLOOKUP("Avoine",AlimentsRationHivernaleBisonsMâles,6,FALSE),0)+(IF(QualitéAlimentsBisonneauxFemelles_6_12_mois=MOYENNE,VLOOKUP("Avoine",AlimentsRationHivernaleBisonsFemelles,6,FALSE),0)+(IF(QualitéAlimentsJeunesBisons_12_18_mois=MOYENNE,VLOOKUP("Avoine",AlimentsRationHivernaleBisonsMâles,5,FALSE),0)+(IF(QualitéAlimentsJeunesBisonnes_12_18_mois=MOYENNE,VLOOKUP("Avoine",AlimentsRationHivernaleBisonsFemelles,5,FALSE),0)+(IF(QualitéAlimentsJeunesBisons_18_24_mois=MOYENNE,VLOOKUP("Avoine",AlimentsRationHivernaleBisonsMâles,4,FALSE),0)+(IF(QualitéAlimentsJeunesBisonnes_18_24_mois=MOYENNE,VLOOKUP("Avoine",AlimentsRationHivernaleBisonsFemelles,4,FALSE),0)+(IF(QualitéAlimentsJeunesBisons_24_36_mois=MOYENNE,VLOOKUP("Avoine",AlimentsRationHivernaleBisonsMâles,3,FALSE),0)+(IF(QualitéAlimentsJeunesBisonnes_24_36_mois=MOYENNE,VLOOKUP("Avoine",AlimentsRationHivernaleBisonsFemelles,3,FALSE),0)+(IF(QualitéAlimentsBisons=MOYENNE,VLOOKUP("Avoine",AlimentsRationHivernaleBisonsMâles,2,FALSE),0)+(IF(QualitéAlimentsBisonnes=MOYENNE,VLOOKUP("Avoine",AlimentsRationHivernaleBisonsFemelles,2,FALSE),0))))))))))))))))</f>
        <v>0</v>
      </c>
      <c r="BP114" s="1267">
        <f t="array" ref="BP114">SUM((IF(QualitéAlimentsBisonneauxMâles_0_3_mois=MAUVAISE,VLOOKUP("Avoine",AlimentsRationHivernaleBisonsMâles,8,FALSE),0)+(IF(QualitéAlimentsBisonneauxFemelles_0_3_mois=MAUVAISE,VLOOKUP("Avoine",AlimentsRationHivernaleBisonsFemelles,8,FALSE),0)+(IF(QualitéAlimentsBisonneauxMâles_3_6_mois=MAUVAISE,VLOOKUP("Avoine",AlimentsRationHivernaleBisonsMâles,7,FALSE),0)+(IF(QualitéAlimentsBisonneauxFemelles_3_6_mois=MAUVAISE,VLOOKUP("Avoine",AlimentsRationHivernaleBisonsFemelles,7,FALSE),0)+(IF(QualitéAlimentsBisonneauxMâles_6_12_mois=MAUVAISE,VLOOKUP("Avoine",AlimentsRationHivernaleBisonsMâles,6,FALSE),0)+(IF(QualitéAlimentsBisonneauxFemelles_6_12_mois=MAUVAISE,VLOOKUP("Avoine",AlimentsRationHivernaleBisonsFemelles,6,FALSE),0)+(IF(QualitéAlimentsJeunesBisons_12_18_mois=MAUVAISE,VLOOKUP("Avoine",AlimentsRationHivernaleBisonsMâles,5,FALSE),0)+(IF(QualitéAlimentsJeunesBisonnes_12_18_mois=MAUVAISE,VLOOKUP("Avoine",AlimentsRationHivernaleBisonsFemelles,5,FALSE),0)+(IF(QualitéAlimentsJeunesBisons_18_24_mois=MAUVAISE,VLOOKUP("Avoine",AlimentsRationHivernaleBisonsMâles,4,FALSE),0)+(IF(QualitéAlimentsJeunesBisonnes_18_24_mois=MAUVAISE,VLOOKUP("Avoine",AlimentsRationHivernaleBisonsFemelles,4,FALSE),0)+(IF(QualitéAlimentsJeunesBisons_24_36_mois=MAUVAISE,VLOOKUP("Avoine",AlimentsRationHivernaleBisonsMâles,3,FALSE),0)+(IF(QualitéAlimentsJeunesBisonnes_24_36_mois=MAUVAISE,VLOOKUP("Avoine",AlimentsRationHivernaleBisonsFemelles,3,FALSE),0)+(IF(QualitéAlimentsBisons=MAUVAISE,VLOOKUP("Avoine",AlimentsRationHivernaleBisonsMâles,2,FALSE),0)+(IF(QualitéAlimentsBisonnes=MAUVAISE,VLOOKUP("Avoine",AlimentsRationHivernaleBisonsFemelles,2,FALSE),0))))))))))))))))</f>
        <v>0</v>
      </c>
      <c r="BQ114" s="1346"/>
      <c r="BR114" s="1346"/>
      <c r="BS114" s="1346"/>
      <c r="BT114" s="1346"/>
      <c r="BU114" s="1346"/>
      <c r="BV114" s="1345"/>
      <c r="BW114" s="1345"/>
      <c r="BX114" s="1076" t="s">
        <v>1719</v>
      </c>
      <c r="BY114" s="1076">
        <f t="array" ref="BY114">IF(ChoixRationComplèteCaprins=OUI,0,IFERROR(IF(OR(AND(INDEX(Règles_caprins[Specificite],MATCH(ChoixRationCaprins&amp;$BX114,Règles_caprins[Ration]&amp;Règles_caprins[Aliment],0))="s1",IF($BX114=Spécificité1Caprins,1)),
INDEX(Règles_caprins[Specificite],MATCH(ChoixRationCaprins&amp;$BX114,Règles_caprins[Ration]&amp;Règles_caprins[Aliment],0))="c"),
INDEX(Règles_caprins[Valeur 12 et plus],MATCH(ChoixRationCaprins&amp;$BX114,Règles_caprins[Ration]&amp;Règles_caprins[Aliment],0)),0),0)*TotalBoucs*SUM(NbreJoursNourrirCaprins))</f>
        <v>0</v>
      </c>
      <c r="BZ114" s="1076">
        <f t="array" ref="BZ114">IF(ChoixRationComplèteCaprins=OUI,0,IFERROR(IF(OR(AND(INDEX(Règles_caprins[Specificite],MATCH(ChoixRationCaprins&amp;$BX114,Règles_caprins[Ration]&amp;Règles_caprins[Aliment],0))="s1",IF($BX114=Spécificité1Caprins,1)),
INDEX(Règles_caprins[Specificite],MATCH(ChoixRationCaprins&amp;$BX114,Règles_caprins[Ration]&amp;Règles_caprins[Aliment],0))="c"),
INDEX(Règles_caprins[Valeur 6-12],MATCH(ChoixRationCaprins&amp;$BX114,Règles_caprins[Ration]&amp;Règles_caprins[Aliment],0)),0),0)*jeune_bouc_6_12_mois*SUM(NbreJoursNourrirCaprins))</f>
        <v>0</v>
      </c>
      <c r="CA114" s="1076">
        <f t="array" ref="CA114">IF(ChoixRationComplèteCaprins=OUI,0,IFERROR(IF(OR(AND(INDEX(Règles_caprins[Specificite],MATCH(ChoixRationCaprins&amp;$BX114,Règles_caprins[Ration]&amp;Règles_caprins[Aliment],0))="s1",IF($BX114=Spécificité1Caprins,1)),
INDEX(Règles_caprins[Specificite],MATCH(ChoixRationCaprins&amp;$BX114,Règles_caprins[Ration]&amp;Règles_caprins[Aliment],0))="c"),
INDEX(Règles_caprins[Valeur 3-6],MATCH(ChoixRationCaprins&amp;$BX114,Règles_caprins[Ration]&amp;Règles_caprins[Aliment],0)),0),0)*chevreau_3_6_mois*SUM(NbreJoursNourrirCaprins))</f>
        <v>0</v>
      </c>
      <c r="CB114" s="1076">
        <f t="array" ref="CB114">IF(ChoixRationComplèteCaprins=OUI,0,IFERROR(IF(OR(AND(INDEX(Règles_caprins[Specificite],MATCH(ChoixRationCaprins&amp;$BX114,Règles_caprins[Ration]&amp;Règles_caprins[Aliment],0))="s1",IF($BX114=Spécificité1Caprins,1)),
INDEX(Règles_caprins[Specificite],MATCH(ChoixRationCaprins&amp;$BX114,Règles_caprins[Ration]&amp;Règles_caprins[Aliment],0))="c"),
INDEX(Règles_caprins[Valeur 0-3],MATCH(ChoixRationCaprins&amp;$BX114,Règles_caprins[Ration]&amp;Règles_caprins[Aliment],0)),0),0)*chevreau_0_3_mois*SUM(NbreJoursNourrirCaprins))</f>
        <v>0</v>
      </c>
      <c r="CC114" s="1076">
        <f t="shared" si="45"/>
        <v>0</v>
      </c>
      <c r="CD114" s="1345"/>
      <c r="CE114" s="1345"/>
      <c r="CF114" s="1345"/>
      <c r="CG114" s="1345"/>
      <c r="CH114" s="1321"/>
      <c r="CI114" s="1321"/>
      <c r="CJ114" s="808" t="str">
        <f t="shared" si="26"/>
        <v>Seigle</v>
      </c>
      <c r="CK114" s="788">
        <f t="array" ref="CK11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14" s="788">
        <f t="array" ref="CL11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14" s="788">
        <f t="array" ref="CM11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14" s="788">
        <f t="array" ref="CN11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14" s="788">
        <f t="array" ref="CO114">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14" s="812">
        <f>SUM(AlimentsRationPorcinsFemelles[[#This Row],[Valeur 12 et plus]:[Valeur 0-1]])</f>
        <v>0</v>
      </c>
      <c r="CQ114" s="1345"/>
      <c r="CR114" s="1321"/>
      <c r="CS114" s="808" t="str">
        <f t="shared" si="40"/>
        <v>Haricot vert</v>
      </c>
      <c r="CT114" s="817">
        <f t="array" ref="CT11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14" s="817">
        <f t="array" ref="CU11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14" s="817">
        <f t="array" ref="CV11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14" s="818">
        <f>SUM(AlimentsRationLapinsFemelles[[#This Row],[Valeur 3 et plus]:[Valeur 0-1]])</f>
        <v>0</v>
      </c>
      <c r="CX114" s="1321"/>
      <c r="CY114" s="1321"/>
      <c r="CZ114" s="808" t="str">
        <f t="shared" si="41"/>
        <v>Haricot vert</v>
      </c>
      <c r="DA114" s="817">
        <f t="array" ref="DA11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14" s="817">
        <f t="array" ref="DB11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14" s="817">
        <f t="array" ref="DC11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14" s="818">
        <f>SUM(AlimentsRationVolaillesFemelles[[#This Row],[Valeur 6 et plus]:[Valeur 0-1]])</f>
        <v>0</v>
      </c>
      <c r="DE114" s="1345"/>
      <c r="DF114" s="1321"/>
      <c r="DG114" s="788" t="str">
        <f t="shared" si="27"/>
        <v>Pulpe déshydratée de betterave</v>
      </c>
      <c r="DH114" s="817">
        <f t="array" ref="DH11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14" s="817">
        <f t="array" ref="DI11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14" s="817">
        <f t="array" ref="DJ11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14" s="821">
        <f>SUM(AlimentsRationPintadesFemelles[[#This Row],[Valeur 6 et plus]:[Valeur 0-1]])</f>
        <v>0</v>
      </c>
      <c r="DL114" s="1321"/>
      <c r="DM114" s="1321"/>
      <c r="DN114" s="1176" t="s">
        <v>1316</v>
      </c>
      <c r="DO114" s="1177" t="s">
        <v>715</v>
      </c>
      <c r="DP114" s="1177" t="s">
        <v>1252</v>
      </c>
      <c r="DQ114" s="1181">
        <v>1.2</v>
      </c>
      <c r="DR114" s="1181">
        <v>0.8</v>
      </c>
      <c r="DS114" s="1181">
        <v>0.6</v>
      </c>
      <c r="DT114" s="1243">
        <v>0.4</v>
      </c>
      <c r="DU114" s="1345"/>
      <c r="DV114" s="1076">
        <f t="shared" si="24"/>
        <v>0</v>
      </c>
      <c r="DW114" s="1267"/>
      <c r="DX114" s="1267"/>
      <c r="DY114" s="1267"/>
      <c r="DZ114" s="1345"/>
      <c r="EA114" s="1345"/>
      <c r="EB114" s="1345"/>
      <c r="EC114" s="1345"/>
      <c r="ED114" s="1345"/>
      <c r="EE114" s="1345"/>
      <c r="EF114" s="1321"/>
      <c r="EG114" s="808" t="str">
        <f t="shared" si="31"/>
        <v>Minéraux + vitamines</v>
      </c>
      <c r="EH114" s="817">
        <f t="array" ref="EH114">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14" s="817">
        <f t="array" ref="EI114">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14" s="817">
        <f t="array" ref="EJ114">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14" s="818">
        <f>SUM(AlimentsRationOiesFemelles[[#This Row],[Valeur 6 et plus]:[Valeur 0-3]])</f>
        <v>0</v>
      </c>
      <c r="EL114" s="1345"/>
      <c r="EM114" s="1321"/>
      <c r="EN114" s="823" t="str">
        <f t="shared" si="29"/>
        <v>Orge</v>
      </c>
      <c r="EO114" s="828">
        <f t="array" ref="EO114">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14" s="828">
        <f t="array" ref="EP114">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14" s="828">
        <f t="array" ref="EQ114">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14" s="829">
        <f>SUM(Ration_canards_Femelles[[#This Row],[Valeur 6 et plus]:[Valeur 0-3]])</f>
        <v>0</v>
      </c>
      <c r="ES114" s="1345"/>
      <c r="ET114" s="1321"/>
      <c r="EU114" s="1082" t="str">
        <f t="shared" si="44"/>
        <v>Epinard</v>
      </c>
      <c r="EV114" s="1282">
        <f t="array" ref="EV114">IF(OR(ChoixRationComplèteEtéChevauxSelle=OUI,ChoixRationComplèteEtéChevauxSelle="",AND(ChoixChevauxSellePréHiver=OUI,ChoixChevauxSellePréEté=OUI)),0,IFERROR(IF(OR(AND(INDEX(Règles_chevaux_selle[Specificite],MATCH(RationEtéChevauxSelle&amp;$EU114,Règles_chevaux_selle[Ration]&amp;Règles_chevaux_selle[Aliment],0))="s1",IF($EU114=Spécificité1ChevauxSelle,1)),
AND(INDEX(Règles_chevaux_selle[Specificite],MATCH(RationEtéChevauxSelle&amp;$EU114,Règles_chevaux_selle[Ration]&amp;Règles_chevaux_selle[Aliment],0))="s2",IF($EU114=Spécificité2ChevauxSelle,1)),
INDEX(Règles_chevaux_selle[Specificite],MATCH(RationEtéChevauxSelle&amp;$EU114,Règles_chevaux_selle[Ration]&amp;Règles_chevaux_selle[Aliment],0))="c"),
INDEX(Règles_chevaux_selle[Valeur 36 et plus],MATCH(RationEtéChevauxSelle&amp;$EU114,Règles_chevaux_selle[Ration]&amp;Règles_chevaux_selle[Aliment],0)),0),0)*TotalJumentSelle*SUM(NbreJoursNourrirChevauxSelle))</f>
        <v>0</v>
      </c>
      <c r="EW114" s="1282">
        <f t="array" ref="EW114">IF(OR(ChoixRationComplèteEtéChevauxSelle=OUI,ChoixRationComplèteEtéChevauxSelle="",AND(ChoixChevauxSellePréHiver=OUI,ChoixChevauxSellePréEté=OUI)),0,IFERROR(IF(OR(AND(INDEX(Règles_chevaux_selle[Specificite],MATCH(RationEtéChevauxSelle&amp;$EU114,Règles_chevaux_selle[Ration]&amp;Règles_chevaux_selle[Aliment],0))="s1",IF($EU114=Spécificité1ChevauxSelle,1)),
AND(INDEX(Règles_chevaux_selle[Specificite],MATCH(RationEtéChevauxSelle&amp;$EU114,Règles_chevaux_selle[Ration]&amp;Règles_chevaux_selle[Aliment],0))="s2",IF($EU114=Spécificité2ChevauxSelle,1)),
INDEX(Règles_chevaux_selle[Specificite],MATCH(RationEtéChevauxSelle&amp;$EU114,Règles_chevaux_selle[Ration]&amp;Règles_chevaux_selle[Aliment],0))="c"),
INDEX(Règles_chevaux_selle[Valeur 24-36],MATCH(RationEtéChevauxSelle&amp;$EU114,Règles_chevaux_selle[Ration]&amp;Règles_chevaux_selle[Aliment],0)),0),0)*TotalJeuneJumentSelle_24_36_mois*SUM(NbreJoursNourrirChevauxSelle))</f>
        <v>0</v>
      </c>
      <c r="EX114" s="1282">
        <f t="array" ref="EX114">IF(OR(ChoixRationComplèteEtéChevauxSelle=OUI,ChoixRationComplèteEtéChevauxSelle="",AND(ChoixChevauxSellePréHiver=OUI,ChoixChevauxSellePréEté=OUI)),0,IFERROR(IF(OR(AND(INDEX(Règles_chevaux_selle[Specificite],MATCH(RationEtéChevauxSelle&amp;$EU114,Règles_chevaux_selle[Ration]&amp;Règles_chevaux_selle[Aliment],0))="s1",IF($EU114=Spécificité1ChevauxSelle,1)),
AND(INDEX(Règles_chevaux_selle[Specificite],MATCH(RationEtéChevauxSelle&amp;$EU114,Règles_chevaux_selle[Ration]&amp;Règles_chevaux_selle[Aliment],0))="s2",IF($EU114=Spécificité2ChevauxSelle,1)),
INDEX(Règles_chevaux_selle[Specificite],MATCH(RationEtéChevauxSelle&amp;$EU114,Règles_chevaux_selle[Ration]&amp;Règles_chevaux_selle[Aliment],0))="c"),
INDEX(Règles_chevaux_selle[Valeur 12-24],MATCH(RationEtéChevauxSelle&amp;$EU114,Règles_chevaux_selle[Ration]&amp;Règles_chevaux_selle[Aliment],0)),0),0)*TotalJeuneJumentSelle_12_24_mois*SUM(NbreJoursNourrirChevauxSelle))</f>
        <v>0</v>
      </c>
      <c r="EY114" s="1285">
        <f t="array" ref="EY114">IF(OR(ChoixRationComplèteEtéChevauxSelle=OUI,ChoixRationComplèteEtéChevauxSelle="",AND(ChoixChevauxSellePréHiver=OUI,ChoixChevauxSellePréEté=OUI)),0,IFERROR(IF(OR(AND(INDEX(Règles_chevaux_selle[Specificite],MATCH(RationEtéChevauxSelle&amp;$EU114,Règles_chevaux_selle[Ration]&amp;Règles_chevaux_selle[Aliment],0))="s1",IF($EU114=Spécificité1ChevauxSelle,1)),
AND(INDEX(Règles_chevaux_selle[Specificite],MATCH(RationEtéChevauxSelle&amp;$EU114,Règles_chevaux_selle[Ration]&amp;Règles_chevaux_selle[Aliment],0))="s2",IF($EU114=Spécificité2ChevauxSelle,1)),
INDEX(Règles_chevaux_selle[Specificite],MATCH(RationEtéChevauxSelle&amp;$EU114,Règles_chevaux_selle[Ration]&amp;Règles_chevaux_selle[Aliment],0))="c"),
INDEX(Règles_chevaux_selle[Valeur 0-12],MATCH(RationEtéChevauxSelle&amp;$EU114,Règles_chevaux_selle[Ration]&amp;Règles_chevaux_selle[Aliment],0)),0),0)*TotalPoulicheSelle_0_12_mois*SUM(NbreJoursNourrirChevauxSelle))</f>
        <v>0</v>
      </c>
      <c r="EZ114" s="1285">
        <f t="shared" si="43"/>
        <v>0</v>
      </c>
      <c r="FA114" s="1345"/>
      <c r="FB114" s="1345"/>
      <c r="FC114" s="1321"/>
      <c r="FD114" s="1082" t="str">
        <f t="shared" si="34"/>
        <v>Maïs grain</v>
      </c>
      <c r="FE114" s="1282">
        <f t="array" ref="FE114">IF(OR(ChoixRationComplèteEtéChevauxTrait=OUI,ChoixRationComplèteEtéChevauxTrait="",AND(ChoixChevauxTraitPréHiver=OUI,ChoixChevauxTraitPréEté=OUI)),0,IFERROR(IF(OR(AND(INDEX(Règles_chevaux_trait[Specificite],MATCH(RationEtéChevauxTrait&amp;$FD114,Règles_chevaux_trait[Ration]&amp;Règles_chevaux_trait[Aliment],0))="s1",IF($FD114=Spécificité1ChevauxTrait,1)),
AND(INDEX(Règles_chevaux_trait[Specificite],MATCH(RationEtéChevauxTrait&amp;$FD114,Règles_chevaux_trait[Ration]&amp;Règles_chevaux_trait[Aliment],0))="s2",IF($FD114=Spécificité2ChevauxTrait,1)),
INDEX(Règles_chevaux_trait[Specificite],MATCH(RationEtéChevauxTrait&amp;$FD114,Règles_chevaux_trait[Ration]&amp;Règles_chevaux_trait[Aliment],0))="c"),
INDEX(Règles_chevaux_trait[Valeur 36 et plus],MATCH(RationEtéChevauxTrait&amp;$FD114,Règles_chevaux_trait[Ration]&amp;Règles_chevaux_trait[Aliment],0)),0),0)*TotalJumentTrait*SUM(NbreJoursNourrirChevauxTrait))</f>
        <v>0</v>
      </c>
      <c r="FF114" s="1282">
        <f t="array" ref="FF114">IF(OR(ChoixRationComplèteEtéChevauxTrait=OUI,ChoixRationComplèteEtéChevauxTrait="",AND(ChoixChevauxTraitPréHiver=OUI,ChoixChevauxTraitPréEté=OUI)),0,IFERROR(IF(OR(AND(INDEX(Règles_chevaux_trait[Specificite],MATCH(RationEtéChevauxTrait&amp;$FD114,Règles_chevaux_trait[Ration]&amp;Règles_chevaux_trait[Aliment],0))="s1",IF($FD114=Spécificité1ChevauxTrait,1)),
AND(INDEX(Règles_chevaux_trait[Specificite],MATCH(RationEtéChevauxTrait&amp;$FD114,Règles_chevaux_trait[Ration]&amp;Règles_chevaux_trait[Aliment],0))="s2",IF($FD114=Spécificité2ChevauxTrait,1)),
INDEX(Règles_chevaux_trait[Specificite],MATCH(RationEtéChevauxTrait&amp;$FD114,Règles_chevaux_trait[Ration]&amp;Règles_chevaux_trait[Aliment],0))="c"),
INDEX(Règles_chevaux_trait[Valeur 24-36],MATCH(RationEtéChevauxTrait&amp;$FD114,Règles_chevaux_trait[Ration]&amp;Règles_chevaux_trait[Aliment],0)),0),0)*TotalJeuneJumentTrait_24_36_mois*SUM(NbreJoursNourrirChevauxTrait))</f>
        <v>0</v>
      </c>
      <c r="FG114" s="1282">
        <f t="array" ref="FG114">IF(OR(ChoixRationComplèteEtéChevauxTrait=OUI,ChoixRationComplèteEtéChevauxTrait="",AND(ChoixChevauxTraitPréHiver=OUI,ChoixChevauxTraitPréEté=OUI)),0,IFERROR(IF(OR(AND(INDEX(Règles_chevaux_trait[Specificite],MATCH(RationEtéChevauxTrait&amp;$FD114,Règles_chevaux_trait[Ration]&amp;Règles_chevaux_trait[Aliment],0))="s1",IF($FD114=Spécificité1ChevauxTrait,1)),
AND(INDEX(Règles_chevaux_trait[Specificite],MATCH(RationEtéChevauxTrait&amp;$FD114,Règles_chevaux_trait[Ration]&amp;Règles_chevaux_trait[Aliment],0))="s2",IF($FD114=Spécificité2ChevauxTrait,1)),
INDEX(Règles_chevaux_trait[Specificite],MATCH(RationEtéChevauxTrait&amp;$FD114,Règles_chevaux_trait[Ration]&amp;Règles_chevaux_trait[Aliment],0))="c"),
INDEX(Règles_chevaux_trait[Valeur 12-24],MATCH(RationEtéChevauxTrait&amp;$FD114,Règles_chevaux_trait[Ration]&amp;Règles_chevaux_trait[Aliment],0)),0),0)*TotalJeuneJumentTrait_12_24_mois*SUM(NbreJoursNourrirChevauxTrait))</f>
        <v>0</v>
      </c>
      <c r="FH114" s="1285">
        <f t="array" ref="FH114">IF(OR(ChoixRationComplèteEtéChevauxTrait=OUI,ChoixRationComplèteEtéChevauxTrait="",AND(ChoixChevauxTraitPréHiver=OUI,ChoixChevauxTraitPréEté=OUI)),0,IFERROR(IF(OR(AND(INDEX(Règles_chevaux_trait[Specificite],MATCH(RationEtéChevauxTrait&amp;$FD114,Règles_chevaux_trait[Ration]&amp;Règles_chevaux_trait[Aliment],0))="s1",IF($FD114=Spécificité1ChevauxTrait,1)),
AND(INDEX(Règles_chevaux_trait[Specificite],MATCH(RationEtéChevauxTrait&amp;$FD114,Règles_chevaux_trait[Ration]&amp;Règles_chevaux_trait[Aliment],0))="s2",IF($FD114=Spécificité2ChevauxTrait,1)),
INDEX(Règles_chevaux_trait[Specificite],MATCH(RationEtéChevauxTrait&amp;$FD114,Règles_chevaux_trait[Ration]&amp;Règles_chevaux_trait[Aliment],0))="c"),
INDEX(Règles_chevaux_trait[Valeur 0-12],MATCH(RationEtéChevauxTrait&amp;$FD114,Règles_chevaux_trait[Ration]&amp;Règles_chevaux_trait[Aliment],0)),0),0)*TotalPoulicheTrait_0_12_mois*SUM(NbreJoursNourrirChevauxTrait))</f>
        <v>0</v>
      </c>
      <c r="FI114" s="1285">
        <f t="shared" si="32"/>
        <v>0</v>
      </c>
      <c r="FJ114" s="1345"/>
      <c r="FK114" s="1345"/>
      <c r="FL114" s="1345"/>
      <c r="FM114" s="1321"/>
      <c r="FN114" s="1083" t="str">
        <f t="shared" si="33"/>
        <v>Minéraux + vitamines</v>
      </c>
      <c r="FO114" s="1283">
        <f t="array" ref="FO114">IF(OR(ChoixRationComplèteEtéPoneys=OUI,ChoixRationComplèteEtéPoneys="",AND(ChoixPoneysPréHiver=OUI,ChoixPoneysPréEté=OUI)),0,IFERROR(IF(OR(AND(INDEX(Règles_poneys[Specificite],MATCH(RationEtéPoneys&amp;$FN114,Règles_poneys[Ration]&amp;Règles_poneys[Aliment],0))="s1",IF($FN114=Spécificité1Poneys,1)),
AND(INDEX(Règles_poneys[Specificite],MATCH(RationEtéPoneys&amp;$FN114,Règles_poneys[Ration]&amp;Règles_poneys[Aliment],0))="s2",IF($FN114=Spécificité2Poneys,1)),
INDEX(Règles_poneys[Specificite],MATCH(RationEtéPoneys&amp;$FN114,Règles_poneys[Ration]&amp;Règles_poneys[Aliment],0))="c"),
INDEX(Règles_poneys[Valeur 36 et plus],MATCH(RationEtéPoneys&amp;$FN114,Règles_poneys[Ration]&amp;Règles_poneys[Aliment],0)),0),0)*TotalJumentPoney*SUM(NbreJoursNourrirPoneys))</f>
        <v>0</v>
      </c>
      <c r="FP114" s="1283">
        <f t="array" ref="FP114">IF(OR(ChoixRationComplèteEtéPoneys=OUI,ChoixRationComplèteEtéPoneys="",AND(ChoixPoneysPréHiver=OUI,ChoixPoneysPréEté=OUI)),0,IFERROR(IF(OR(AND(INDEX(Règles_poneys[Specificite],MATCH(RationEtéPoneys&amp;$FN114,Règles_poneys[Ration]&amp;Règles_poneys[Aliment],0))="s1",IF($FN114=Spécificité1Poneys,1)),
AND(INDEX(Règles_poneys[Specificite],MATCH(RationEtéPoneys&amp;$FN114,Règles_poneys[Ration]&amp;Règles_poneys[Aliment],0))="s2",IF($FN114=Spécificité2Poneys,1)),
INDEX(Règles_poneys[Specificite],MATCH(RationEtéPoneys&amp;$FN114,Règles_poneys[Ration]&amp;Règles_poneys[Aliment],0))="c"),
INDEX(Règles_poneys[Valeur 36 et plus],MATCH(RationEtéPoneys&amp;$FN114,Règles_poneys[Ration]&amp;Règles_poneys[Aliment],0)),0),0)*TotalJeuneJumentPoney_24_36_mois*SUM(NbreJoursNourrirPoneys))</f>
        <v>0</v>
      </c>
      <c r="FQ114" s="1283">
        <f t="array" ref="FQ114">IF(OR(ChoixRationComplèteEtéPoneys=OUI,ChoixRationComplèteEtéPoneys="",AND(ChoixPoneysPréHiver=OUI,ChoixPoneysPréEté=OUI)),0,IFERROR(IF(OR(AND(INDEX(Règles_poneys[Specificite],MATCH(RationEtéPoneys&amp;$FN114,Règles_poneys[Ration]&amp;Règles_poneys[Aliment],0))="s1",IF($FN114=Spécificité1Poneys,1)),
AND(INDEX(Règles_poneys[Specificite],MATCH(RationEtéPoneys&amp;$FN114,Règles_poneys[Ration]&amp;Règles_poneys[Aliment],0))="s2",IF($FN114=Spécificité2Poneys,1)),
INDEX(Règles_poneys[Specificite],MATCH(RationEtéPoneys&amp;$FN114,Règles_poneys[Ration]&amp;Règles_poneys[Aliment],0))="c"),
INDEX(Règles_poneys[Valeur 36 et plus],MATCH(RationEtéPoneys&amp;$FN114,Règles_poneys[Ration]&amp;Règles_poneys[Aliment],0)),0),0)*TotalJeuneJumentPoney_12_24_mois*SUM(NbreJoursNourrirPoneys))</f>
        <v>0</v>
      </c>
      <c r="FR114" s="1286">
        <f t="array" ref="FR114">IF(OR(ChoixRationComplèteEtéPoneys=OUI,ChoixRationComplèteEtéPoneys="",AND(ChoixPoneysPréHiver=OUI,ChoixPoneysPréEté=OUI)),0,IFERROR(IF(OR(AND(INDEX(Règles_poneys[Specificite],MATCH(RationEtéPoneys&amp;$FN114,Règles_poneys[Ration]&amp;Règles_poneys[Aliment],0))="s1",IF($FN114=Spécificité1Poneys,1)),
AND(INDEX(Règles_poneys[Specificite],MATCH(RationEtéPoneys&amp;$FN114,Règles_poneys[Ration]&amp;Règles_poneys[Aliment],0))="s2",IF($FN114=Spécificité2Poneys,1)),
INDEX(Règles_poneys[Specificite],MATCH(RationEtéPoneys&amp;$FN114,Règles_poneys[Ration]&amp;Règles_poneys[Aliment],0))="c"),
INDEX(Règles_poneys[Valeur 36 et plus],MATCH(RationEtéPoneys&amp;$FN114,Règles_poneys[Ration]&amp;Règles_poneys[Aliment],0)),0),0)*TotalPoulichePoney_0_12_mois*SUM(NbreJoursNourrirPoneys))</f>
        <v>0</v>
      </c>
      <c r="FS114" s="1286">
        <f t="shared" si="30"/>
        <v>0</v>
      </c>
      <c r="FT114" s="1345"/>
      <c r="FU114" s="1345"/>
      <c r="FV114" s="1345"/>
      <c r="FW114" s="823" t="str">
        <f t="shared" si="28"/>
        <v>Pulpe déshydratée de betterave</v>
      </c>
      <c r="FX114" s="828">
        <f t="array" ref="FX11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14" s="828">
        <f t="array" ref="FY11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14" s="828">
        <f t="array" ref="FZ11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14" s="828">
        <f t="array" ref="GA11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14" s="829">
        <f>SUM(AlimentsGavageCanards[[#This Row],[Valeur 3 et plus]:[Valeur 0-1]])</f>
        <v>0</v>
      </c>
      <c r="GC114" s="1321"/>
      <c r="GD114" s="1321"/>
      <c r="GE114" s="1321"/>
      <c r="GF114" s="1321"/>
      <c r="GG114" s="1321" t="s">
        <v>1349</v>
      </c>
      <c r="GH114" s="1321" t="s">
        <v>1349</v>
      </c>
      <c r="GI114" s="1321" t="s">
        <v>1349</v>
      </c>
      <c r="GJ114" s="1321" t="s">
        <v>1349</v>
      </c>
      <c r="GK114" s="1321" t="s">
        <v>1349</v>
      </c>
      <c r="GL114" s="1321" t="s">
        <v>1349</v>
      </c>
      <c r="GM114" s="1321" t="s">
        <v>1349</v>
      </c>
      <c r="GN114" s="1321" t="s">
        <v>1349</v>
      </c>
      <c r="GO114" s="1321" t="s">
        <v>1349</v>
      </c>
      <c r="GP114" s="1321" t="s">
        <v>1349</v>
      </c>
      <c r="GQ114" s="1321" t="s">
        <v>1349</v>
      </c>
      <c r="GR114" s="1321" t="s">
        <v>1349</v>
      </c>
      <c r="GS114" s="1321" t="s">
        <v>1349</v>
      </c>
      <c r="GT114" s="1321" t="s">
        <v>1349</v>
      </c>
      <c r="GU114" s="1321" t="s">
        <v>1349</v>
      </c>
      <c r="GV114" s="1321" t="s">
        <v>1349</v>
      </c>
      <c r="GW114" s="1321"/>
      <c r="GX114" s="1321"/>
      <c r="GY114" s="1321"/>
      <c r="GZ114" s="1321"/>
      <c r="HA114" s="1321"/>
      <c r="HB114" s="1321"/>
      <c r="HC114" s="1321"/>
      <c r="HD114" s="1321"/>
      <c r="HE114" s="1321"/>
      <c r="HF114" s="1321"/>
      <c r="HG114" s="1321"/>
      <c r="HH114" s="1321"/>
      <c r="HI114" s="1321"/>
      <c r="HJ114" s="1321"/>
      <c r="HK114" s="1321"/>
      <c r="HL114" s="1321"/>
      <c r="HM114" s="1321"/>
      <c r="HN114" s="1100" t="s">
        <v>340</v>
      </c>
      <c r="HO114" s="1084" t="e">
        <f>IF(SUM((VLOOKUP(HN114,AlimentsRationBovinsMâles,9,FALSE)+VLOOKUP(HN114,AlimentsRationBovinsFemelles,9,FALSE)+VLOOKUP(HN114,BDD!BB$284:BJ$323,9,FALSE))/1000/SUM(NbreJoursNourrirBovins)*IF('semences, engrais et traitement'!I$16=OUI,42,84))&lt;0,0,SUM((VLOOKUP(HN114,AlimentsRationBovinsMâles,9,FALSE)+VLOOKUP(HN114,AlimentsRationBovinsFemelles,9,FALSE)+VLOOKUP(HN114,BDD!BB$284:BJ$323,9,FALSE))/1000/SUM(NbreJoursNourrirBovins)*IF('semences, engrais et traitement'!I$16=OUI,42,84)))</f>
        <v>#DIV/0!</v>
      </c>
      <c r="HP114" s="1084">
        <f t="shared" si="36"/>
        <v>0</v>
      </c>
      <c r="HQ114" s="1084" t="e">
        <f>IF(SUM(VLOOKUP(HN114,AlimentsRationPorcinsMâles[],7,FALSE)+VLOOKUP(HN114,AlimentsRationPorcinsFemelles[],7,FALSE))/1000/SUM(NbreJoursNourrirAutres)*84&lt;0,0,SUM(VLOOKUP(HN114,AlimentsRationPorcinsMâles[],7,FALSE)+VLOOKUP(HN114,AlimentsRationPorcinsFemelles[],7,FALSE)/1000/SUM(NbreJoursNourrirAutres)*84))</f>
        <v>#DIV/0!</v>
      </c>
      <c r="HR114" s="1084" t="e">
        <f>IF(SUM(VLOOKUP(HN114,AlimentsRationCaprinsMâles,6,FALSE)+VLOOKUP(HN114,AlimentsRationCaprinsFemelles,6,FALSE))/1000/SUM(NbreJoursNourrirCaprins)*IF('semences, engrais et traitement'!I$17=OUI,42,84)&lt;0,0,SUM(VLOOKUP(HN114,AlimentsRationCaprinsMâles,6,FALSE)+VLOOKUP(HN114,AlimentsRationCaprinsFemelles,6,FALSE))/1000/SUM(NbreJoursNourrirCaprins)*IF('semences, engrais et traitement'!I$17=OUI,42,84))</f>
        <v>#DIV/0!</v>
      </c>
      <c r="HS114" s="1084" t="e">
        <f>IF(SUM(VLOOKUP(HN114,AlimentsRationVolaillesMâles[],5,FALSE)+VLOOKUP(HN114,AlimentsRationVolaillesFemelles[],5,FALSE))/1000/SUM(NbreJoursNourrirAutres)*84&lt;0,0,SUM(VLOOKUP(HN114,AlimentsRationVolaillesMâles[],5,FALSE)+VLOOKUP(HN114,AlimentsRationVolaillesFemelles[],5,FALSE)/1000/SUM(NbreJoursNourrirAutres)*84))</f>
        <v>#DIV/0!</v>
      </c>
      <c r="HT114" s="1084" t="e">
        <f>IF(SUM(VLOOKUP(HN114,AlimentsRationPintadesMâles[],5,FALSE)+VLOOKUP(HN114,AlimentsRationPintadesFemelles[],5,FALSE))/1000/SUM(NbreJoursNourrirAutres)*84&lt;0,0,SUM(VLOOKUP(HN114,AlimentsRationPintadesMâles[],5,FALSE)+VLOOKUP(HN114,AlimentsRationPintadesFemelles[],5,FALSE)/1000/SUM(NbreJoursNourrirAutres)*84))</f>
        <v>#DIV/0!</v>
      </c>
      <c r="HU114" s="1084" t="e">
        <f>IF(SUM(VLOOKUP(HN114,AlimentsRationLapinsMâles[],5,FALSE)+VLOOKUP(HN114,AlimentsRationLapinsFemelles[],5,FALSE))/1000/SUM(NbreJoursNourrirAutres)*84&lt;0,0,SUM(VLOOKUP(HN114,AlimentsRationLapinsMâles[],5,FALSE)+VLOOKUP(HN114,AlimentsRationLapinsFemelles[],5,FALSE)/1000/SUM(NbreJoursNourrirAutres)*84))</f>
        <v>#DIV/0!</v>
      </c>
      <c r="HV114" s="1084" t="e">
        <f>IF(SUM(VLOOKUP(HN114,AlimentsRationOvinsMâles,6,FALSE)+VLOOKUP(HN114,AlimentsRationOvinsFemelles,6,FALSE))/1000/SUM(NbreJoursNourrirOvins)*IF('semences, engrais et traitement'!I$18=OUI,42,84)&lt;0,0,SUM(VLOOKUP(HN114,AlimentsRationOvinsMâles,6,FALSE)+VLOOKUP(HN114,AlimentsRationOvinsFemelles,6,FALSE))/1000/SUM(NbreJoursNourrirOvins)*IF('semences, engrais et traitement'!I$18=OUI,42,84))</f>
        <v>#DIV/0!</v>
      </c>
      <c r="HW114" s="1084" t="e">
        <f>IF(SUM(VLOOKUP(HN114,AlimentsRationOiesMâles[],5,FALSE)+VLOOKUP(HN114,AlimentsRationOiesFemelles[],5,FALSE))/1000/SUM(NbreJoursNourrirAutres)*84&lt;0,0,SUM(VLOOKUP(HN114,AlimentsRationOiesMâles[],5,FALSE)+VLOOKUP(HN114,AlimentsRationOiesFemelles[],5,FALSE)/1000/SUM(NbreJoursNourrirAutres)*84))</f>
        <v>#DIV/0!</v>
      </c>
      <c r="HX114" s="1084" t="e">
        <f t="shared" si="37"/>
        <v>#DIV/0!</v>
      </c>
      <c r="HY114" s="1084" t="e">
        <f>IF(SUM(VLOOKUP(HN114,AlimentsRationEcurieChevauxMâlesSelle,6,FALSE)+VLOOKUP(HN114,AlimentsRationEcurieChevauxFemellesSelle,6,FALSE))/1000/SUM(NbreJoursNourrirChevauxSelle)*IF('semences, engrais et traitement'!M$16=OUI,56,84)&lt;0,0,SUM(VLOOKUP(HN114,AlimentsRationEcurieChevauxMâlesSelle,6,FALSE)+VLOOKUP(HN114,AlimentsRationEcurieChevauxFemellesSelle,6,FALSE))/1000/SUM(NbreJoursNourrirChevauxSelle)*IF('semences, engrais et traitement'!M$16=OUI,56,84))</f>
        <v>#DIV/0!</v>
      </c>
      <c r="HZ114" s="1084" t="e">
        <f>IF(SUM(VLOOKUP(HN114,AlimentsRationEcurieChevauxMâlesTrait,6,FALSE)+VLOOKUP(HN114,AlimentsRationEcurieChevauxFemellesTrait,6,FALSE))/1000/SUM(NbreJoursNourrirChevauxTrait)*IF('semences, engrais et traitement'!M$17=OUI,56,84)&lt;0,0,SUM(VLOOKUP(HN114,AlimentsRationEcurieChevauxMâlesTrait,6,FALSE)+VLOOKUP(HN114,AlimentsRationEcurieChevauxFemellesTrait,6,FALSE))/1000/SUM(NbreJoursNourrirChevauxTrait)*IF('semences, engrais et traitement'!M$17=OUI,56,84))</f>
        <v>#DIV/0!</v>
      </c>
      <c r="IA114" s="1084" t="e">
        <f>IF(SUM(VLOOKUP(HN114,AlimentsRationEcuriePoneysMâles,6,FALSE)+VLOOKUP(HN114,AlimentsRationEcuriePoneysFemelles,6,FALSE))/1000/SUM(NbreJoursNourrirPoneys)*IF('semences, engrais et traitement'!M$18=OUI,56,84)&lt;0,0,SUM(VLOOKUP(HN114,AlimentsRationEcuriePoneysMâles,6,FALSE)+VLOOKUP(HN114,AlimentsRationEcuriePoneysFemelles,6,FALSE))/1000/SUM(NbreJoursNourrirPoneys)*IF('semences, engrais et traitement'!M$18=OUI,56,84))</f>
        <v>#DIV/0!</v>
      </c>
      <c r="IB114" s="1100" t="e">
        <f t="shared" si="38"/>
        <v>#DIV/0!</v>
      </c>
      <c r="IC114" s="1321"/>
      <c r="ID114" s="1321"/>
      <c r="IE114" s="1321"/>
      <c r="IF114" s="1321"/>
      <c r="IG114" s="1321"/>
      <c r="IH114" s="1321"/>
      <c r="II114" s="1321"/>
      <c r="IJ114" s="1321"/>
      <c r="IK114" s="1321"/>
      <c r="IL114" s="1321"/>
      <c r="IM114" s="1321"/>
      <c r="IN114" s="1368"/>
    </row>
    <row r="115" spans="1:248" ht="12.75" customHeight="1" x14ac:dyDescent="0.2">
      <c r="A115" s="1315" t="s">
        <v>614</v>
      </c>
      <c r="B115" s="1241">
        <f t="shared" si="39"/>
        <v>1E-3</v>
      </c>
      <c r="C115" s="1321"/>
      <c r="D115" s="1321"/>
      <c r="E115" s="1321"/>
      <c r="F115" s="1143" t="s">
        <v>671</v>
      </c>
      <c r="G115" s="1246" t="s">
        <v>1201</v>
      </c>
      <c r="H115" s="1244" t="s">
        <v>1168</v>
      </c>
      <c r="I115" s="1244" t="s">
        <v>1200</v>
      </c>
      <c r="J115" s="1244" t="s">
        <v>1198</v>
      </c>
      <c r="K115" s="1244" t="s">
        <v>1198</v>
      </c>
      <c r="L115" s="1143">
        <v>0</v>
      </c>
      <c r="M115" s="1321"/>
      <c r="N115" s="1321"/>
      <c r="O115" s="1076">
        <v>4000</v>
      </c>
      <c r="P115" s="1321"/>
      <c r="Q115" s="1321"/>
      <c r="R115" s="1082" t="s">
        <v>1626</v>
      </c>
      <c r="S115" s="1143" t="s">
        <v>1031</v>
      </c>
      <c r="T115" s="1249">
        <v>43525</v>
      </c>
      <c r="U115" s="1249">
        <v>43799</v>
      </c>
      <c r="V115" s="1082">
        <f t="shared" si="46"/>
        <v>56</v>
      </c>
      <c r="W115" s="1321"/>
      <c r="X115" s="1321"/>
      <c r="Y115" s="1321"/>
      <c r="Z115" s="1321"/>
      <c r="AA115" s="1321"/>
      <c r="AB115" s="1321"/>
      <c r="AC115" s="1321"/>
      <c r="AD115" s="1321"/>
      <c r="AE115" s="1321"/>
      <c r="AF115" s="1321"/>
      <c r="AG115" s="1321"/>
      <c r="AH115" s="1321"/>
      <c r="AI115" s="1321"/>
      <c r="AJ115" s="1321"/>
      <c r="AK115" s="1321"/>
      <c r="AL115" s="1321"/>
      <c r="AM115" s="1321"/>
      <c r="AN115" s="1321"/>
      <c r="AO115" s="1321"/>
      <c r="AP115" s="1321"/>
      <c r="AQ115" s="1321"/>
      <c r="AR115" s="1321"/>
      <c r="AS115" s="1321"/>
      <c r="AT115" s="1321"/>
      <c r="AU115" s="1321"/>
      <c r="AV115" s="1321"/>
      <c r="AW115" s="1321"/>
      <c r="AX115" s="1321"/>
      <c r="AY115" s="1321"/>
      <c r="AZ115" s="1321"/>
      <c r="BA115" s="1321"/>
      <c r="BB115" s="1236" t="s">
        <v>1314</v>
      </c>
      <c r="BC115" s="1190" t="s">
        <v>715</v>
      </c>
      <c r="BD115" s="1190" t="s">
        <v>1254</v>
      </c>
      <c r="BE115" s="1237">
        <v>4.8</v>
      </c>
      <c r="BF115" s="1237">
        <v>4</v>
      </c>
      <c r="BG115" s="1237">
        <v>4</v>
      </c>
      <c r="BH115" s="1237">
        <v>4</v>
      </c>
      <c r="BI115" s="1237">
        <v>2</v>
      </c>
      <c r="BJ115" s="1237">
        <v>1.2</v>
      </c>
      <c r="BK115" s="1238">
        <v>0</v>
      </c>
      <c r="BL115" s="1348"/>
      <c r="BM115" s="1075" t="str">
        <f t="shared" ref="BM115:BM148" si="47">BM37</f>
        <v>Betterave</v>
      </c>
      <c r="BN115" s="1269">
        <f t="array" ref="BN115">SUM((IF(QualitéAlimentsBisonneauxMâles_0_3_mois=BONNE,VLOOKUP("Betterave",AlimentsRationHivernaleBisonsMâles,8,FALSE),0)+(IF(QualitéAlimentsBisonneauxFemelles_0_3_mois=BONNE,VLOOKUP("Betterave",AlimentsRationHivernaleBisonsFemelles,8,FALSE),0)+(IF(QualitéAlimentsBisonneauxMâles_3_6_mois=BONNE,VLOOKUP("Betterave",AlimentsRationHivernaleBisonsMâles,7,FALSE),0)+(IF(QualitéAlimentsBisonneauxFemelles_3_6_mois=BONNE,VLOOKUP("Betterave",AlimentsRationHivernaleBisonsFemelles,7,FALSE),0)+(IF(QualitéAlimentsBisonneauxMâles_6_12_mois=BONNE,VLOOKUP("Betterave",AlimentsRationHivernaleBisonsMâles,6,FALSE),0)+(IF(QualitéAlimentsBisonneauxFemelles_6_12_mois=BONNE,VLOOKUP("Betterave",AlimentsRationHivernaleBisonsFemelles,6,FALSE),0)+(IF(QualitéAlimentsJeunesBisons_12_18_mois=BONNE,VLOOKUP("Betterave",AlimentsRationHivernaleBisonsMâles,5,FALSE),0)+(IF(QualitéAlimentsJeunesBisonnes_12_18_mois=BONNE,VLOOKUP("Betterave",AlimentsRationHivernaleBisonsFemelles,5,FALSE),0)+(IF(QualitéAlimentsJeunesBisons_18_24_mois=BONNE,VLOOKUP("Betterave",AlimentsRationHivernaleBisonsMâles,4,FALSE),0)+(IF(QualitéAlimentsJeunesBisonnes_18_24_mois=BONNE,VLOOKUP("Betterave",AlimentsRationHivernaleBisonsFemelles,4,FALSE),0)+(IF(QualitéAlimentsJeunesBisons_24_36_mois=BONNE,VLOOKUP("Betterave",AlimentsRationHivernaleBisonsMâles,3,FALSE),0)+(IF(QualitéAlimentsJeunesBisonnes_24_36_mois=BONNE,VLOOKUP("Betterave",AlimentsRationHivernaleBisonsFemelles,3,FALSE),0)+(IF(QualitéAlimentsBisons=BONNE,VLOOKUP("Betterave",AlimentsRationHivernaleBisonsMâles,2,FALSE),0)+(IF(QualitéAlimentsBisonnes=BONNE,VLOOKUP("Betterave",AlimentsRationHivernaleBisonsFemelles,2,FALSE),0))))))))))))))))</f>
        <v>0</v>
      </c>
      <c r="BO115" s="1269">
        <f t="array" ref="BO115">SUM((IF(QualitéAlimentsBisonneauxMâles_0_3_mois=MOYENNE,VLOOKUP("Betterave",AlimentsRationHivernaleBisonsMâles,8,FALSE),0)+(IF(QualitéAlimentsBisonneauxFemelles_0_3_mois=MOYENNE,VLOOKUP("Betterave",AlimentsRationHivernaleBisonsFemelles,8,FALSE),0)+(IF(QualitéAlimentsBisonneauxMâles_3_6_mois=MOYENNE,VLOOKUP("Betterave",AlimentsRationHivernaleBisonsMâles,7,FALSE),0)+(IF(QualitéAlimentsBisonneauxFemelles_3_6_mois=MOYENNE,VLOOKUP("Betterave",AlimentsRationHivernaleBisonsFemelles,7,FALSE),0)+(IF(QualitéAlimentsBisonneauxMâles_6_12_mois=MOYENNE,VLOOKUP("Betterave",AlimentsRationHivernaleBisonsMâles,6,FALSE),0)+(IF(QualitéAlimentsBisonneauxFemelles_6_12_mois=MOYENNE,VLOOKUP("Betterave",AlimentsRationHivernaleBisonsFemelles,6,FALSE),0)+(IF(QualitéAlimentsJeunesBisons_12_18_mois=MOYENNE,VLOOKUP("Betterave",AlimentsRationHivernaleBisonsMâles,5,FALSE),0)+(IF(QualitéAlimentsJeunesBisonnes_12_18_mois=MOYENNE,VLOOKUP("Betterave",AlimentsRationHivernaleBisonsFemelles,5,FALSE),0)+(IF(QualitéAlimentsJeunesBisons_18_24_mois=MOYENNE,VLOOKUP("Betterave",AlimentsRationHivernaleBisonsMâles,4,FALSE),0)+(IF(QualitéAlimentsJeunesBisonnes_18_24_mois=MOYENNE,VLOOKUP("Betterave",AlimentsRationHivernaleBisonsFemelles,4,FALSE),0)+(IF(QualitéAlimentsJeunesBisons_24_36_mois=MOYENNE,VLOOKUP("Betterave",AlimentsRationHivernaleBisonsMâles,3,FALSE),0)+(IF(QualitéAlimentsJeunesBisonnes_24_36_mois=MOYENNE,VLOOKUP("Betterave",AlimentsRationHivernaleBisonsFemelles,3,FALSE),0)+(IF(QualitéAlimentsBisons=MOYENNE,VLOOKUP("Betterave",AlimentsRationHivernaleBisonsMâles,2,FALSE),0)+(IF(QualitéAlimentsBisonnes=MOYENNE,VLOOKUP("Betterave",AlimentsRationHivernaleBisonsFemelles,2,FALSE),0))))))))))))))))</f>
        <v>0</v>
      </c>
      <c r="BP115" s="1269">
        <f t="array" ref="BP115">SUM((IF(QualitéAlimentsBisonneauxMâles_0_3_mois=MAUVAISE,VLOOKUP("Betterave",AlimentsRationHivernaleBisonsMâles,8,FALSE),0)+(IF(QualitéAlimentsBisonneauxFemelles_0_3_mois=MAUVAISE,VLOOKUP("Betterave",AlimentsRationHivernaleBisonsFemelles,8,FALSE),0)+(IF(QualitéAlimentsBisonneauxMâles_3_6_mois=MAUVAISE,VLOOKUP("Betterave",AlimentsRationHivernaleBisonsMâles,7,FALSE),0)+(IF(QualitéAlimentsBisonneauxFemelles_3_6_mois=MAUVAISE,VLOOKUP("Betterave",AlimentsRationHivernaleBisonsFemelles,7,FALSE),0)+(IF(QualitéAlimentsBisonneauxMâles_6_12_mois=MAUVAISE,VLOOKUP("Betterave",AlimentsRationHivernaleBisonsMâles,6,FALSE),0)+(IF(QualitéAlimentsBisonneauxFemelles_6_12_mois=MAUVAISE,VLOOKUP("Betterave",AlimentsRationHivernaleBisonsFemelles,6,FALSE),0)+(IF(QualitéAlimentsJeunesBisons_12_18_mois=MAUVAISE,VLOOKUP("Betterave",AlimentsRationHivernaleBisonsMâles,5,FALSE),0)+(IF(QualitéAlimentsJeunesBisonnes_12_18_mois=MAUVAISE,VLOOKUP("Betterave",AlimentsRationHivernaleBisonsFemelles,5,FALSE),0)+(IF(QualitéAlimentsJeunesBisons_18_24_mois=MAUVAISE,VLOOKUP("Betterave",AlimentsRationHivernaleBisonsMâles,4,FALSE),0)+(IF(QualitéAlimentsJeunesBisonnes_18_24_mois=MAUVAISE,VLOOKUP("Betterave",AlimentsRationHivernaleBisonsFemelles,4,FALSE),0)+(IF(QualitéAlimentsJeunesBisons_24_36_mois=MAUVAISE,VLOOKUP("Betterave",AlimentsRationHivernaleBisonsMâles,3,FALSE),0)+(IF(QualitéAlimentsJeunesBisonnes_24_36_mois=MAUVAISE,VLOOKUP("Betterave",AlimentsRationHivernaleBisonsFemelles,3,FALSE),0)+(IF(QualitéAlimentsBisons=MAUVAISE,VLOOKUP("Betterave",AlimentsRationHivernaleBisonsMâles,2,FALSE),0)+(IF(QualitéAlimentsBisonnes=MAUVAISE,VLOOKUP("Betterave",AlimentsRationHivernaleBisonsFemelles,2,FALSE),0))))))))))))))))</f>
        <v>0</v>
      </c>
      <c r="BQ115" s="1346"/>
      <c r="BR115" s="1346"/>
      <c r="BS115" s="1346"/>
      <c r="BT115" s="1346"/>
      <c r="BU115" s="1346"/>
      <c r="BV115" s="1345"/>
      <c r="BW115" s="1345"/>
      <c r="BX115" s="1075" t="s">
        <v>1717</v>
      </c>
      <c r="BY115" s="1075">
        <f t="array" ref="BY115">IF(ChoixRationComplèteCaprins=OUI,0,IFERROR(IF(OR(AND(INDEX(Règles_caprins[Specificite],MATCH(ChoixRationCaprins&amp;$BX115,Règles_caprins[Ration]&amp;Règles_caprins[Aliment],0))="s1",IF($BX115=Spécificité1Caprins,1)),
INDEX(Règles_caprins[Specificite],MATCH(ChoixRationCaprins&amp;$BX115,Règles_caprins[Ration]&amp;Règles_caprins[Aliment],0))="c"),
INDEX(Règles_caprins[Valeur 12 et plus],MATCH(ChoixRationCaprins&amp;$BX115,Règles_caprins[Ration]&amp;Règles_caprins[Aliment],0)),0),0)*TotalBoucs*SUM(NbreJoursNourrirCaprins))</f>
        <v>0</v>
      </c>
      <c r="BZ115" s="1075">
        <f t="array" ref="BZ115">IF(ChoixRationComplèteCaprins=OUI,0,IFERROR(IF(OR(AND(INDEX(Règles_caprins[Specificite],MATCH(ChoixRationCaprins&amp;$BX115,Règles_caprins[Ration]&amp;Règles_caprins[Aliment],0))="s1",IF($BX115=Spécificité1Caprins,1)),
INDEX(Règles_caprins[Specificite],MATCH(ChoixRationCaprins&amp;$BX115,Règles_caprins[Ration]&amp;Règles_caprins[Aliment],0))="c"),
INDEX(Règles_caprins[Valeur 6-12],MATCH(ChoixRationCaprins&amp;$BX115,Règles_caprins[Ration]&amp;Règles_caprins[Aliment],0)),0),0)*jeune_bouc_6_12_mois*SUM(NbreJoursNourrirCaprins))</f>
        <v>0</v>
      </c>
      <c r="CA115" s="1075">
        <f t="array" ref="CA115">IF(ChoixRationComplèteCaprins=OUI,0,IFERROR(IF(OR(AND(INDEX(Règles_caprins[Specificite],MATCH(ChoixRationCaprins&amp;$BX115,Règles_caprins[Ration]&amp;Règles_caprins[Aliment],0))="s1",IF($BX115=Spécificité1Caprins,1)),
INDEX(Règles_caprins[Specificite],MATCH(ChoixRationCaprins&amp;$BX115,Règles_caprins[Ration]&amp;Règles_caprins[Aliment],0))="c"),
INDEX(Règles_caprins[Valeur 3-6],MATCH(ChoixRationCaprins&amp;$BX115,Règles_caprins[Ration]&amp;Règles_caprins[Aliment],0)),0),0)*chevreau_3_6_mois*SUM(NbreJoursNourrirCaprins))</f>
        <v>0</v>
      </c>
      <c r="CB115" s="1075">
        <f t="array" ref="CB115">IF(ChoixRationComplèteCaprins=OUI,0,IFERROR(IF(OR(AND(INDEX(Règles_caprins[Specificite],MATCH(ChoixRationCaprins&amp;$BX115,Règles_caprins[Ration]&amp;Règles_caprins[Aliment],0))="s1",IF($BX115=Spécificité1Caprins,1)),
INDEX(Règles_caprins[Specificite],MATCH(ChoixRationCaprins&amp;$BX115,Règles_caprins[Ration]&amp;Règles_caprins[Aliment],0))="c"),
INDEX(Règles_caprins[Valeur 0-3],MATCH(ChoixRationCaprins&amp;$BX115,Règles_caprins[Ration]&amp;Règles_caprins[Aliment],0)),0),0)*chevreau_0_3_mois*SUM(NbreJoursNourrirCaprins))</f>
        <v>0</v>
      </c>
      <c r="CC115" s="1075">
        <f t="shared" si="45"/>
        <v>0</v>
      </c>
      <c r="CD115" s="1345"/>
      <c r="CE115" s="1345"/>
      <c r="CF115" s="1345"/>
      <c r="CG115" s="1345"/>
      <c r="CH115" s="1321"/>
      <c r="CI115" s="1321"/>
      <c r="CJ115" s="808" t="str">
        <f t="shared" si="26"/>
        <v>Soja</v>
      </c>
      <c r="CK115" s="788">
        <f t="array" ref="CK11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15" s="788">
        <f t="array" ref="CL11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15" s="788">
        <f t="array" ref="CM11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15" s="788">
        <f t="array" ref="CN11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15" s="788">
        <f t="array" ref="CO115">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15" s="812">
        <f>SUM(AlimentsRationPorcinsFemelles[[#This Row],[Valeur 12 et plus]:[Valeur 0-1]])</f>
        <v>0</v>
      </c>
      <c r="CQ115" s="1345"/>
      <c r="CR115" s="1321"/>
      <c r="CS115" s="808" t="str">
        <f t="shared" si="40"/>
        <v>Lentille</v>
      </c>
      <c r="CT115" s="817">
        <f t="array" ref="CT11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15" s="817">
        <f t="array" ref="CU11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15" s="817">
        <f t="array" ref="CV11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15" s="818">
        <f>SUM(AlimentsRationLapinsFemelles[[#This Row],[Valeur 3 et plus]:[Valeur 0-1]])</f>
        <v>0</v>
      </c>
      <c r="CX115" s="1321"/>
      <c r="CY115" s="1321"/>
      <c r="CZ115" s="808" t="str">
        <f t="shared" si="41"/>
        <v>Lentille</v>
      </c>
      <c r="DA115" s="817">
        <f t="array" ref="DA11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15" s="817">
        <f t="array" ref="DB11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15" s="817">
        <f t="array" ref="DC11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15" s="818">
        <f>SUM(AlimentsRationVolaillesFemelles[[#This Row],[Valeur 6 et plus]:[Valeur 0-1]])</f>
        <v>0</v>
      </c>
      <c r="DE115" s="1345"/>
      <c r="DF115" s="1321"/>
      <c r="DG115" s="788" t="str">
        <f t="shared" si="27"/>
        <v>Ration complète</v>
      </c>
      <c r="DH115" s="817">
        <f t="array" ref="DH11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15" s="817">
        <f t="array" ref="DI11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15" s="817">
        <f t="array" ref="DJ11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15" s="821">
        <f>SUM(AlimentsRationPintadesFemelles[[#This Row],[Valeur 6 et plus]:[Valeur 0-1]])</f>
        <v>0</v>
      </c>
      <c r="DL115" s="1321"/>
      <c r="DM115" s="1321"/>
      <c r="DN115" s="1176" t="s">
        <v>1316</v>
      </c>
      <c r="DO115" s="1177" t="s">
        <v>1271</v>
      </c>
      <c r="DP115" s="1177" t="s">
        <v>1252</v>
      </c>
      <c r="DQ115" s="1181">
        <v>0.14000000000000001</v>
      </c>
      <c r="DR115" s="1181">
        <v>0.08</v>
      </c>
      <c r="DS115" s="1181">
        <v>0.04</v>
      </c>
      <c r="DT115" s="1243">
        <v>0.04</v>
      </c>
      <c r="DU115" s="1345"/>
      <c r="DV115" s="1075">
        <f t="shared" si="24"/>
        <v>0</v>
      </c>
      <c r="DW115" s="1269"/>
      <c r="DX115" s="1269"/>
      <c r="DY115" s="1269"/>
      <c r="DZ115" s="1345"/>
      <c r="EA115" s="1345"/>
      <c r="EB115" s="1345"/>
      <c r="EC115" s="1345"/>
      <c r="ED115" s="1345"/>
      <c r="EE115" s="1345"/>
      <c r="EF115" s="1321"/>
      <c r="EG115" s="808" t="str">
        <f t="shared" si="31"/>
        <v>Orge</v>
      </c>
      <c r="EH115" s="817">
        <f t="array" ref="EH11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15" s="817">
        <f t="array" ref="EI11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15" s="817">
        <f t="array" ref="EJ11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15" s="818">
        <f>SUM(AlimentsRationOiesFemelles[[#This Row],[Valeur 6 et plus]:[Valeur 0-3]])</f>
        <v>0</v>
      </c>
      <c r="EL115" s="1345"/>
      <c r="EM115" s="1321"/>
      <c r="EN115" s="823" t="str">
        <f t="shared" si="29"/>
        <v>Paille</v>
      </c>
      <c r="EO115" s="828">
        <f t="array" ref="EO115">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15" s="828">
        <f t="array" ref="EP115">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15" s="828">
        <f t="array" ref="EQ115">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15" s="829">
        <f>SUM(Ration_canards_Femelles[[#This Row],[Valeur 6 et plus]:[Valeur 0-3]])</f>
        <v>0</v>
      </c>
      <c r="ES115" s="1345"/>
      <c r="ET115" s="1321"/>
      <c r="EU115" s="1083" t="str">
        <f t="shared" si="44"/>
        <v>Féverole</v>
      </c>
      <c r="EV115" s="1283">
        <f t="array" ref="EV115">IF(OR(ChoixRationComplèteEtéChevauxSelle=OUI,ChoixRationComplèteEtéChevauxSelle="",AND(ChoixChevauxSellePréHiver=OUI,ChoixChevauxSellePréEté=OUI)),0,IFERROR(IF(OR(AND(INDEX(Règles_chevaux_selle[Specificite],MATCH(RationEtéChevauxSelle&amp;$EU115,Règles_chevaux_selle[Ration]&amp;Règles_chevaux_selle[Aliment],0))="s1",IF($EU115=Spécificité1ChevauxSelle,1)),
AND(INDEX(Règles_chevaux_selle[Specificite],MATCH(RationEtéChevauxSelle&amp;$EU115,Règles_chevaux_selle[Ration]&amp;Règles_chevaux_selle[Aliment],0))="s2",IF($EU115=Spécificité2ChevauxSelle,1)),
INDEX(Règles_chevaux_selle[Specificite],MATCH(RationEtéChevauxSelle&amp;$EU115,Règles_chevaux_selle[Ration]&amp;Règles_chevaux_selle[Aliment],0))="c"),
INDEX(Règles_chevaux_selle[Valeur 36 et plus],MATCH(RationEtéChevauxSelle&amp;$EU115,Règles_chevaux_selle[Ration]&amp;Règles_chevaux_selle[Aliment],0)),0),0)*TotalJumentSelle*SUM(NbreJoursNourrirChevauxSelle))</f>
        <v>0</v>
      </c>
      <c r="EW115" s="1283">
        <f t="array" ref="EW115">IF(OR(ChoixRationComplèteEtéChevauxSelle=OUI,ChoixRationComplèteEtéChevauxSelle="",AND(ChoixChevauxSellePréHiver=OUI,ChoixChevauxSellePréEté=OUI)),0,IFERROR(IF(OR(AND(INDEX(Règles_chevaux_selle[Specificite],MATCH(RationEtéChevauxSelle&amp;$EU115,Règles_chevaux_selle[Ration]&amp;Règles_chevaux_selle[Aliment],0))="s1",IF($EU115=Spécificité1ChevauxSelle,1)),
AND(INDEX(Règles_chevaux_selle[Specificite],MATCH(RationEtéChevauxSelle&amp;$EU115,Règles_chevaux_selle[Ration]&amp;Règles_chevaux_selle[Aliment],0))="s2",IF($EU115=Spécificité2ChevauxSelle,1)),
INDEX(Règles_chevaux_selle[Specificite],MATCH(RationEtéChevauxSelle&amp;$EU115,Règles_chevaux_selle[Ration]&amp;Règles_chevaux_selle[Aliment],0))="c"),
INDEX(Règles_chevaux_selle[Valeur 24-36],MATCH(RationEtéChevauxSelle&amp;$EU115,Règles_chevaux_selle[Ration]&amp;Règles_chevaux_selle[Aliment],0)),0),0)*TotalJeuneJumentSelle_24_36_mois*SUM(NbreJoursNourrirChevauxSelle))</f>
        <v>0</v>
      </c>
      <c r="EX115" s="1283">
        <f t="array" ref="EX115">IF(OR(ChoixRationComplèteEtéChevauxSelle=OUI,ChoixRationComplèteEtéChevauxSelle="",AND(ChoixChevauxSellePréHiver=OUI,ChoixChevauxSellePréEté=OUI)),0,IFERROR(IF(OR(AND(INDEX(Règles_chevaux_selle[Specificite],MATCH(RationEtéChevauxSelle&amp;$EU115,Règles_chevaux_selle[Ration]&amp;Règles_chevaux_selle[Aliment],0))="s1",IF($EU115=Spécificité1ChevauxSelle,1)),
AND(INDEX(Règles_chevaux_selle[Specificite],MATCH(RationEtéChevauxSelle&amp;$EU115,Règles_chevaux_selle[Ration]&amp;Règles_chevaux_selle[Aliment],0))="s2",IF($EU115=Spécificité2ChevauxSelle,1)),
INDEX(Règles_chevaux_selle[Specificite],MATCH(RationEtéChevauxSelle&amp;$EU115,Règles_chevaux_selle[Ration]&amp;Règles_chevaux_selle[Aliment],0))="c"),
INDEX(Règles_chevaux_selle[Valeur 12-24],MATCH(RationEtéChevauxSelle&amp;$EU115,Règles_chevaux_selle[Ration]&amp;Règles_chevaux_selle[Aliment],0)),0),0)*TotalJeuneJumentSelle_12_24_mois*SUM(NbreJoursNourrirChevauxSelle))</f>
        <v>0</v>
      </c>
      <c r="EY115" s="1286">
        <f t="array" ref="EY115">IF(OR(ChoixRationComplèteEtéChevauxSelle=OUI,ChoixRationComplèteEtéChevauxSelle="",AND(ChoixChevauxSellePréHiver=OUI,ChoixChevauxSellePréEté=OUI)),0,IFERROR(IF(OR(AND(INDEX(Règles_chevaux_selle[Specificite],MATCH(RationEtéChevauxSelle&amp;$EU115,Règles_chevaux_selle[Ration]&amp;Règles_chevaux_selle[Aliment],0))="s1",IF($EU115=Spécificité1ChevauxSelle,1)),
AND(INDEX(Règles_chevaux_selle[Specificite],MATCH(RationEtéChevauxSelle&amp;$EU115,Règles_chevaux_selle[Ration]&amp;Règles_chevaux_selle[Aliment],0))="s2",IF($EU115=Spécificité2ChevauxSelle,1)),
INDEX(Règles_chevaux_selle[Specificite],MATCH(RationEtéChevauxSelle&amp;$EU115,Règles_chevaux_selle[Ration]&amp;Règles_chevaux_selle[Aliment],0))="c"),
INDEX(Règles_chevaux_selle[Valeur 0-12],MATCH(RationEtéChevauxSelle&amp;$EU115,Règles_chevaux_selle[Ration]&amp;Règles_chevaux_selle[Aliment],0)),0),0)*TotalPoulicheSelle_0_12_mois*SUM(NbreJoursNourrirChevauxSelle))</f>
        <v>0</v>
      </c>
      <c r="EZ115" s="1286">
        <f t="shared" si="43"/>
        <v>0</v>
      </c>
      <c r="FA115" s="1345"/>
      <c r="FB115" s="1345"/>
      <c r="FC115" s="1321"/>
      <c r="FD115" s="1083" t="str">
        <f t="shared" si="34"/>
        <v>Minéraux + vitamines</v>
      </c>
      <c r="FE115" s="1283">
        <f t="array" ref="FE115">IF(OR(ChoixRationComplèteEtéChevauxTrait=OUI,ChoixRationComplèteEtéChevauxTrait="",AND(ChoixChevauxTraitPréHiver=OUI,ChoixChevauxTraitPréEté=OUI)),0,IFERROR(IF(OR(AND(INDEX(Règles_chevaux_trait[Specificite],MATCH(RationEtéChevauxTrait&amp;$FD115,Règles_chevaux_trait[Ration]&amp;Règles_chevaux_trait[Aliment],0))="s1",IF($FD115=Spécificité1ChevauxTrait,1)),
AND(INDEX(Règles_chevaux_trait[Specificite],MATCH(RationEtéChevauxTrait&amp;$FD115,Règles_chevaux_trait[Ration]&amp;Règles_chevaux_trait[Aliment],0))="s2",IF($FD115=Spécificité2ChevauxTrait,1)),
INDEX(Règles_chevaux_trait[Specificite],MATCH(RationEtéChevauxTrait&amp;$FD115,Règles_chevaux_trait[Ration]&amp;Règles_chevaux_trait[Aliment],0))="c"),
INDEX(Règles_chevaux_trait[Valeur 36 et plus],MATCH(RationEtéChevauxTrait&amp;$FD115,Règles_chevaux_trait[Ration]&amp;Règles_chevaux_trait[Aliment],0)),0),0)*TotalJumentTrait*SUM(NbreJoursNourrirChevauxTrait))</f>
        <v>0</v>
      </c>
      <c r="FF115" s="1283">
        <f t="array" ref="FF115">IF(OR(ChoixRationComplèteEtéChevauxTrait=OUI,ChoixRationComplèteEtéChevauxTrait="",AND(ChoixChevauxTraitPréHiver=OUI,ChoixChevauxTraitPréEté=OUI)),0,IFERROR(IF(OR(AND(INDEX(Règles_chevaux_trait[Specificite],MATCH(RationEtéChevauxTrait&amp;$FD115,Règles_chevaux_trait[Ration]&amp;Règles_chevaux_trait[Aliment],0))="s1",IF($FD115=Spécificité1ChevauxTrait,1)),
AND(INDEX(Règles_chevaux_trait[Specificite],MATCH(RationEtéChevauxTrait&amp;$FD115,Règles_chevaux_trait[Ration]&amp;Règles_chevaux_trait[Aliment],0))="s2",IF($FD115=Spécificité2ChevauxTrait,1)),
INDEX(Règles_chevaux_trait[Specificite],MATCH(RationEtéChevauxTrait&amp;$FD115,Règles_chevaux_trait[Ration]&amp;Règles_chevaux_trait[Aliment],0))="c"),
INDEX(Règles_chevaux_trait[Valeur 24-36],MATCH(RationEtéChevauxTrait&amp;$FD115,Règles_chevaux_trait[Ration]&amp;Règles_chevaux_trait[Aliment],0)),0),0)*TotalJeuneJumentTrait_24_36_mois*SUM(NbreJoursNourrirChevauxTrait))</f>
        <v>0</v>
      </c>
      <c r="FG115" s="1283">
        <f t="array" ref="FG115">IF(OR(ChoixRationComplèteEtéChevauxTrait=OUI,ChoixRationComplèteEtéChevauxTrait="",AND(ChoixChevauxTraitPréHiver=OUI,ChoixChevauxTraitPréEté=OUI)),0,IFERROR(IF(OR(AND(INDEX(Règles_chevaux_trait[Specificite],MATCH(RationEtéChevauxTrait&amp;$FD115,Règles_chevaux_trait[Ration]&amp;Règles_chevaux_trait[Aliment],0))="s1",IF($FD115=Spécificité1ChevauxTrait,1)),
AND(INDEX(Règles_chevaux_trait[Specificite],MATCH(RationEtéChevauxTrait&amp;$FD115,Règles_chevaux_trait[Ration]&amp;Règles_chevaux_trait[Aliment],0))="s2",IF($FD115=Spécificité2ChevauxTrait,1)),
INDEX(Règles_chevaux_trait[Specificite],MATCH(RationEtéChevauxTrait&amp;$FD115,Règles_chevaux_trait[Ration]&amp;Règles_chevaux_trait[Aliment],0))="c"),
INDEX(Règles_chevaux_trait[Valeur 12-24],MATCH(RationEtéChevauxTrait&amp;$FD115,Règles_chevaux_trait[Ration]&amp;Règles_chevaux_trait[Aliment],0)),0),0)*TotalJeuneJumentTrait_12_24_mois*SUM(NbreJoursNourrirChevauxTrait))</f>
        <v>0</v>
      </c>
      <c r="FH115" s="1286">
        <f t="array" ref="FH115">IF(OR(ChoixRationComplèteEtéChevauxTrait=OUI,ChoixRationComplèteEtéChevauxTrait="",AND(ChoixChevauxTraitPréHiver=OUI,ChoixChevauxTraitPréEté=OUI)),0,IFERROR(IF(OR(AND(INDEX(Règles_chevaux_trait[Specificite],MATCH(RationEtéChevauxTrait&amp;$FD115,Règles_chevaux_trait[Ration]&amp;Règles_chevaux_trait[Aliment],0))="s1",IF($FD115=Spécificité1ChevauxTrait,1)),
AND(INDEX(Règles_chevaux_trait[Specificite],MATCH(RationEtéChevauxTrait&amp;$FD115,Règles_chevaux_trait[Ration]&amp;Règles_chevaux_trait[Aliment],0))="s2",IF($FD115=Spécificité2ChevauxTrait,1)),
INDEX(Règles_chevaux_trait[Specificite],MATCH(RationEtéChevauxTrait&amp;$FD115,Règles_chevaux_trait[Ration]&amp;Règles_chevaux_trait[Aliment],0))="c"),
INDEX(Règles_chevaux_trait[Valeur 0-12],MATCH(RationEtéChevauxTrait&amp;$FD115,Règles_chevaux_trait[Ration]&amp;Règles_chevaux_trait[Aliment],0)),0),0)*TotalPoulicheTrait_0_12_mois*SUM(NbreJoursNourrirChevauxTrait))</f>
        <v>0</v>
      </c>
      <c r="FI115" s="1286">
        <f t="shared" si="32"/>
        <v>0</v>
      </c>
      <c r="FJ115" s="1345"/>
      <c r="FK115" s="1345"/>
      <c r="FL115" s="1345"/>
      <c r="FM115" s="1321"/>
      <c r="FN115" s="1082" t="str">
        <f t="shared" si="33"/>
        <v>Orge</v>
      </c>
      <c r="FO115" s="1282">
        <f t="array" ref="FO115">IF(OR(ChoixRationComplèteEtéPoneys=OUI,ChoixRationComplèteEtéPoneys="",AND(ChoixPoneysPréHiver=OUI,ChoixPoneysPréEté=OUI)),0,IFERROR(IF(OR(AND(INDEX(Règles_poneys[Specificite],MATCH(RationEtéPoneys&amp;$FN115,Règles_poneys[Ration]&amp;Règles_poneys[Aliment],0))="s1",IF($FN115=Spécificité1Poneys,1)),
AND(INDEX(Règles_poneys[Specificite],MATCH(RationEtéPoneys&amp;$FN115,Règles_poneys[Ration]&amp;Règles_poneys[Aliment],0))="s2",IF($FN115=Spécificité2Poneys,1)),
INDEX(Règles_poneys[Specificite],MATCH(RationEtéPoneys&amp;$FN115,Règles_poneys[Ration]&amp;Règles_poneys[Aliment],0))="c"),
INDEX(Règles_poneys[Valeur 36 et plus],MATCH(RationEtéPoneys&amp;$FN115,Règles_poneys[Ration]&amp;Règles_poneys[Aliment],0)),0),0)*TotalJumentPoney*SUM(NbreJoursNourrirPoneys))</f>
        <v>0</v>
      </c>
      <c r="FP115" s="1282">
        <f t="array" ref="FP115">IF(OR(ChoixRationComplèteEtéPoneys=OUI,ChoixRationComplèteEtéPoneys="",AND(ChoixPoneysPréHiver=OUI,ChoixPoneysPréEté=OUI)),0,IFERROR(IF(OR(AND(INDEX(Règles_poneys[Specificite],MATCH(RationEtéPoneys&amp;$FN115,Règles_poneys[Ration]&amp;Règles_poneys[Aliment],0))="s1",IF($FN115=Spécificité1Poneys,1)),
AND(INDEX(Règles_poneys[Specificite],MATCH(RationEtéPoneys&amp;$FN115,Règles_poneys[Ration]&amp;Règles_poneys[Aliment],0))="s2",IF($FN115=Spécificité2Poneys,1)),
INDEX(Règles_poneys[Specificite],MATCH(RationEtéPoneys&amp;$FN115,Règles_poneys[Ration]&amp;Règles_poneys[Aliment],0))="c"),
INDEX(Règles_poneys[Valeur 36 et plus],MATCH(RationEtéPoneys&amp;$FN115,Règles_poneys[Ration]&amp;Règles_poneys[Aliment],0)),0),0)*TotalJeuneJumentPoney_24_36_mois*SUM(NbreJoursNourrirPoneys))</f>
        <v>0</v>
      </c>
      <c r="FQ115" s="1282">
        <f t="array" ref="FQ115">IF(OR(ChoixRationComplèteEtéPoneys=OUI,ChoixRationComplèteEtéPoneys="",AND(ChoixPoneysPréHiver=OUI,ChoixPoneysPréEté=OUI)),0,IFERROR(IF(OR(AND(INDEX(Règles_poneys[Specificite],MATCH(RationEtéPoneys&amp;$FN115,Règles_poneys[Ration]&amp;Règles_poneys[Aliment],0))="s1",IF($FN115=Spécificité1Poneys,1)),
AND(INDEX(Règles_poneys[Specificite],MATCH(RationEtéPoneys&amp;$FN115,Règles_poneys[Ration]&amp;Règles_poneys[Aliment],0))="s2",IF($FN115=Spécificité2Poneys,1)),
INDEX(Règles_poneys[Specificite],MATCH(RationEtéPoneys&amp;$FN115,Règles_poneys[Ration]&amp;Règles_poneys[Aliment],0))="c"),
INDEX(Règles_poneys[Valeur 36 et plus],MATCH(RationEtéPoneys&amp;$FN115,Règles_poneys[Ration]&amp;Règles_poneys[Aliment],0)),0),0)*TotalJeuneJumentPoney_12_24_mois*SUM(NbreJoursNourrirPoneys))</f>
        <v>0</v>
      </c>
      <c r="FR115" s="1285">
        <f t="array" ref="FR115">IF(OR(ChoixRationComplèteEtéPoneys=OUI,ChoixRationComplèteEtéPoneys="",AND(ChoixPoneysPréHiver=OUI,ChoixPoneysPréEté=OUI)),0,IFERROR(IF(OR(AND(INDEX(Règles_poneys[Specificite],MATCH(RationEtéPoneys&amp;$FN115,Règles_poneys[Ration]&amp;Règles_poneys[Aliment],0))="s1",IF($FN115=Spécificité1Poneys,1)),
AND(INDEX(Règles_poneys[Specificite],MATCH(RationEtéPoneys&amp;$FN115,Règles_poneys[Ration]&amp;Règles_poneys[Aliment],0))="s2",IF($FN115=Spécificité2Poneys,1)),
INDEX(Règles_poneys[Specificite],MATCH(RationEtéPoneys&amp;$FN115,Règles_poneys[Ration]&amp;Règles_poneys[Aliment],0))="c"),
INDEX(Règles_poneys[Valeur 36 et plus],MATCH(RationEtéPoneys&amp;$FN115,Règles_poneys[Ration]&amp;Règles_poneys[Aliment],0)),0),0)*TotalPoulichePoney_0_12_mois*SUM(NbreJoursNourrirPoneys))</f>
        <v>0</v>
      </c>
      <c r="FS115" s="1285">
        <f t="shared" si="30"/>
        <v>0</v>
      </c>
      <c r="FT115" s="1345"/>
      <c r="FU115" s="1345"/>
      <c r="FV115" s="1345"/>
      <c r="FW115" s="823" t="str">
        <f t="shared" si="28"/>
        <v>Ration complète</v>
      </c>
      <c r="FX115" s="828">
        <f t="array" ref="FX11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15" s="828">
        <f t="array" ref="FY11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15" s="828">
        <f t="array" ref="FZ11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15" s="828">
        <f t="array" ref="GA11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15" s="829">
        <f>SUM(AlimentsGavageCanards[[#This Row],[Valeur 3 et plus]:[Valeur 0-1]])</f>
        <v>0</v>
      </c>
      <c r="GC115" s="1321"/>
      <c r="GD115" s="1321"/>
      <c r="GE115" s="1321"/>
      <c r="GF115" s="1321"/>
      <c r="GG115" s="1321" t="s">
        <v>1349</v>
      </c>
      <c r="GH115" s="1321" t="s">
        <v>1349</v>
      </c>
      <c r="GI115" s="1321" t="s">
        <v>1349</v>
      </c>
      <c r="GJ115" s="1321" t="s">
        <v>1349</v>
      </c>
      <c r="GK115" s="1321" t="s">
        <v>1349</v>
      </c>
      <c r="GL115" s="1321" t="s">
        <v>1349</v>
      </c>
      <c r="GM115" s="1321" t="s">
        <v>1349</v>
      </c>
      <c r="GN115" s="1321" t="s">
        <v>1349</v>
      </c>
      <c r="GO115" s="1321" t="s">
        <v>1349</v>
      </c>
      <c r="GP115" s="1321" t="s">
        <v>1349</v>
      </c>
      <c r="GQ115" s="1321" t="s">
        <v>1349</v>
      </c>
      <c r="GR115" s="1321" t="s">
        <v>1349</v>
      </c>
      <c r="GS115" s="1321" t="s">
        <v>1349</v>
      </c>
      <c r="GT115" s="1321" t="s">
        <v>1349</v>
      </c>
      <c r="GU115" s="1321" t="s">
        <v>1349</v>
      </c>
      <c r="GV115" s="1321" t="s">
        <v>1349</v>
      </c>
      <c r="GW115" s="1321"/>
      <c r="GX115" s="1321"/>
      <c r="GY115" s="1321"/>
      <c r="GZ115" s="1321"/>
      <c r="HA115" s="1321"/>
      <c r="HB115" s="1321"/>
      <c r="HC115" s="1321"/>
      <c r="HD115" s="1321"/>
      <c r="HE115" s="1321"/>
      <c r="HF115" s="1321"/>
      <c r="HG115" s="1321"/>
      <c r="HH115" s="1321"/>
      <c r="HI115" s="1321"/>
      <c r="HJ115" s="1321"/>
      <c r="HK115" s="1321"/>
      <c r="HL115" s="1321"/>
      <c r="HM115" s="1321"/>
      <c r="HN115" s="1082" t="s">
        <v>339</v>
      </c>
      <c r="HO115" s="1085" t="e">
        <f>IF(SUM((VLOOKUP(HN115,AlimentsRationBovinsMâles,9,FALSE)+VLOOKUP(HN115,AlimentsRationBovinsFemelles,9,FALSE)+VLOOKUP(HN115,BDD!BB$284:BJ$323,9,FALSE))/1000/SUM(NbreJoursNourrirBovins)*IF('semences, engrais et traitement'!I$16=OUI,42,84))&lt;0,0,SUM((VLOOKUP(HN115,AlimentsRationBovinsMâles,9,FALSE)+VLOOKUP(HN115,AlimentsRationBovinsFemelles,9,FALSE)+VLOOKUP(HN115,BDD!BB$284:BJ$323,9,FALSE))/1000/SUM(NbreJoursNourrirBovins)*IF('semences, engrais et traitement'!I$16=OUI,42,84)))</f>
        <v>#DIV/0!</v>
      </c>
      <c r="HP115" s="1085">
        <f t="shared" si="36"/>
        <v>0</v>
      </c>
      <c r="HQ115" s="1085" t="e">
        <f>IF(SUM(VLOOKUP(HN115,AlimentsRationPorcinsMâles[],7,FALSE)+VLOOKUP(HN115,AlimentsRationPorcinsFemelles[],7,FALSE))/1000/SUM(NbreJoursNourrirAutres)*84&lt;0,0,SUM(VLOOKUP(HN115,AlimentsRationPorcinsMâles[],7,FALSE)+VLOOKUP(HN115,AlimentsRationPorcinsFemelles[],7,FALSE)/1000/SUM(NbreJoursNourrirAutres)*84))</f>
        <v>#DIV/0!</v>
      </c>
      <c r="HR115" s="1085" t="e">
        <f>IF(SUM(VLOOKUP(HN115,AlimentsRationCaprinsMâles,6,FALSE)+VLOOKUP(HN115,AlimentsRationCaprinsFemelles,6,FALSE))/1000/SUM(NbreJoursNourrirCaprins)*IF('semences, engrais et traitement'!I$17=OUI,42,84)&lt;0,0,SUM(VLOOKUP(HN115,AlimentsRationCaprinsMâles,6,FALSE)+VLOOKUP(HN115,AlimentsRationCaprinsFemelles,6,FALSE))/1000/SUM(NbreJoursNourrirCaprins)*IF('semences, engrais et traitement'!I$17=OUI,42,84))</f>
        <v>#DIV/0!</v>
      </c>
      <c r="HS115" s="1085" t="e">
        <f>IF(SUM(VLOOKUP(HN115,AlimentsRationVolaillesMâles[],5,FALSE)+VLOOKUP(HN115,AlimentsRationVolaillesFemelles[],5,FALSE))/1000/SUM(NbreJoursNourrirAutres)*84&lt;0,0,SUM(VLOOKUP(HN115,AlimentsRationVolaillesMâles[],5,FALSE)+VLOOKUP(HN115,AlimentsRationVolaillesFemelles[],5,FALSE)/1000/SUM(NbreJoursNourrirAutres)*84))</f>
        <v>#DIV/0!</v>
      </c>
      <c r="HT115" s="1085" t="e">
        <f>IF(SUM(VLOOKUP(HN115,AlimentsRationPintadesMâles[],5,FALSE)+VLOOKUP(HN115,AlimentsRationPintadesFemelles[],5,FALSE))/1000/SUM(NbreJoursNourrirAutres)*84&lt;0,0,SUM(VLOOKUP(HN115,AlimentsRationPintadesMâles[],5,FALSE)+VLOOKUP(HN115,AlimentsRationPintadesFemelles[],5,FALSE)/1000/SUM(NbreJoursNourrirAutres)*84))</f>
        <v>#DIV/0!</v>
      </c>
      <c r="HU115" s="1085" t="e">
        <f>IF(SUM(VLOOKUP(HN115,AlimentsRationLapinsMâles[],5,FALSE)+VLOOKUP(HN115,AlimentsRationLapinsFemelles[],5,FALSE))/1000/SUM(NbreJoursNourrirAutres)*84&lt;0,0,SUM(VLOOKUP(HN115,AlimentsRationLapinsMâles[],5,FALSE)+VLOOKUP(HN115,AlimentsRationLapinsFemelles[],5,FALSE)/1000/SUM(NbreJoursNourrirAutres)*84))</f>
        <v>#DIV/0!</v>
      </c>
      <c r="HV115" s="1085" t="e">
        <f>IF(SUM(VLOOKUP(HN115,AlimentsRationOvinsMâles,6,FALSE)+VLOOKUP(HN115,AlimentsRationOvinsFemelles,6,FALSE))/1000/SUM(NbreJoursNourrirOvins)*IF('semences, engrais et traitement'!I$18=OUI,42,84)&lt;0,0,SUM(VLOOKUP(HN115,AlimentsRationOvinsMâles,6,FALSE)+VLOOKUP(HN115,AlimentsRationOvinsFemelles,6,FALSE))/1000/SUM(NbreJoursNourrirOvins)*IF('semences, engrais et traitement'!I$18=OUI,42,84))</f>
        <v>#DIV/0!</v>
      </c>
      <c r="HW115" s="1085" t="e">
        <f>IF(SUM(VLOOKUP(HN115,AlimentsRationOiesMâles[],5,FALSE)+VLOOKUP(HN115,AlimentsRationOiesFemelles[],5,FALSE))/1000/SUM(NbreJoursNourrirAutres)*84&lt;0,0,SUM(VLOOKUP(HN115,AlimentsRationOiesMâles[],5,FALSE)+VLOOKUP(HN115,AlimentsRationOiesFemelles[],5,FALSE)/1000/SUM(NbreJoursNourrirAutres)*84))</f>
        <v>#DIV/0!</v>
      </c>
      <c r="HX115" s="1085" t="e">
        <f t="shared" si="37"/>
        <v>#DIV/0!</v>
      </c>
      <c r="HY115" s="1085" t="e">
        <f>IF(SUM(VLOOKUP(HN115,AlimentsRationEcurieChevauxMâlesSelle,6,FALSE)+VLOOKUP(HN115,AlimentsRationEcurieChevauxFemellesSelle,6,FALSE))/1000/SUM(NbreJoursNourrirChevauxSelle)*IF('semences, engrais et traitement'!M$16=OUI,56,84)&lt;0,0,SUM(VLOOKUP(HN115,AlimentsRationEcurieChevauxMâlesSelle,6,FALSE)+VLOOKUP(HN115,AlimentsRationEcurieChevauxFemellesSelle,6,FALSE))/1000/SUM(NbreJoursNourrirChevauxSelle)*IF('semences, engrais et traitement'!M$16=OUI,56,84))</f>
        <v>#DIV/0!</v>
      </c>
      <c r="HZ115" s="1085" t="e">
        <f>IF(SUM(VLOOKUP(HN115,AlimentsRationEcurieChevauxMâlesTrait,6,FALSE)+VLOOKUP(HN115,AlimentsRationEcurieChevauxFemellesTrait,6,FALSE))/1000/SUM(NbreJoursNourrirChevauxTrait)*IF('semences, engrais et traitement'!M$17=OUI,56,84)&lt;0,0,SUM(VLOOKUP(HN115,AlimentsRationEcurieChevauxMâlesTrait,6,FALSE)+VLOOKUP(HN115,AlimentsRationEcurieChevauxFemellesTrait,6,FALSE))/1000/SUM(NbreJoursNourrirChevauxTrait)*IF('semences, engrais et traitement'!M$17=OUI,56,84))</f>
        <v>#DIV/0!</v>
      </c>
      <c r="IA115" s="1085" t="e">
        <f>IF(SUM(VLOOKUP(HN115,AlimentsRationEcuriePoneysMâles,6,FALSE)+VLOOKUP(HN115,AlimentsRationEcuriePoneysFemelles,6,FALSE))/1000/SUM(NbreJoursNourrirPoneys)*IF('semences, engrais et traitement'!M$18=OUI,56,84)&lt;0,0,SUM(VLOOKUP(HN115,AlimentsRationEcuriePoneysMâles,6,FALSE)+VLOOKUP(HN115,AlimentsRationEcuriePoneysFemelles,6,FALSE))/1000/SUM(NbreJoursNourrirPoneys)*IF('semences, engrais et traitement'!M$18=OUI,56,84))</f>
        <v>#DIV/0!</v>
      </c>
      <c r="IB115" s="1099" t="e">
        <f t="shared" si="38"/>
        <v>#DIV/0!</v>
      </c>
      <c r="IC115" s="1321"/>
      <c r="ID115" s="1321"/>
      <c r="IE115" s="1321"/>
      <c r="IF115" s="1321"/>
      <c r="IG115" s="1321"/>
      <c r="IH115" s="1321"/>
      <c r="II115" s="1321"/>
      <c r="IJ115" s="1321"/>
      <c r="IK115" s="1321"/>
      <c r="IL115" s="1321"/>
      <c r="IM115" s="1321"/>
      <c r="IN115" s="1368"/>
    </row>
    <row r="116" spans="1:248" ht="12.75" customHeight="1" x14ac:dyDescent="0.2">
      <c r="A116" s="1315" t="s">
        <v>615</v>
      </c>
      <c r="B116" s="1241">
        <f t="shared" si="39"/>
        <v>1E-3</v>
      </c>
      <c r="C116" s="1321"/>
      <c r="D116" s="1321"/>
      <c r="E116" s="1321"/>
      <c r="F116" s="1321"/>
      <c r="G116" s="1321"/>
      <c r="H116" s="1321"/>
      <c r="I116" s="1321"/>
      <c r="J116" s="1321"/>
      <c r="K116" s="1321"/>
      <c r="L116" s="1321"/>
      <c r="M116" s="1321"/>
      <c r="N116" s="1321"/>
      <c r="O116" s="1075">
        <v>5000</v>
      </c>
      <c r="P116" s="1321"/>
      <c r="Q116" s="1321"/>
      <c r="R116" s="1083" t="s">
        <v>21</v>
      </c>
      <c r="S116" s="1149" t="s">
        <v>1031</v>
      </c>
      <c r="T116" s="1250">
        <v>43525</v>
      </c>
      <c r="U116" s="1250">
        <v>43799</v>
      </c>
      <c r="V116" s="1083">
        <f t="shared" si="46"/>
        <v>56</v>
      </c>
      <c r="W116" s="1321"/>
      <c r="X116" s="1321"/>
      <c r="Y116" s="1321"/>
      <c r="Z116" s="1321"/>
      <c r="AA116" s="1321"/>
      <c r="AB116" s="1321"/>
      <c r="AC116" s="1321"/>
      <c r="AD116" s="1321"/>
      <c r="AE116" s="1321"/>
      <c r="AF116" s="1321"/>
      <c r="AG116" s="1321"/>
      <c r="AH116" s="1321"/>
      <c r="AI116" s="1321"/>
      <c r="AJ116" s="1321"/>
      <c r="AK116" s="1321"/>
      <c r="AL116" s="1321"/>
      <c r="AM116" s="1321"/>
      <c r="AN116" s="1321"/>
      <c r="AO116" s="1321"/>
      <c r="AP116" s="1321"/>
      <c r="AQ116" s="1321"/>
      <c r="AR116" s="1321"/>
      <c r="AS116" s="1321"/>
      <c r="AT116" s="1321"/>
      <c r="AU116" s="1321"/>
      <c r="AV116" s="1321"/>
      <c r="AW116" s="1321"/>
      <c r="AX116" s="1321"/>
      <c r="AY116" s="1321"/>
      <c r="AZ116" s="1321"/>
      <c r="BA116" s="1321"/>
      <c r="BB116" s="1236" t="s">
        <v>1314</v>
      </c>
      <c r="BC116" s="1190" t="s">
        <v>63</v>
      </c>
      <c r="BD116" s="1190" t="s">
        <v>1254</v>
      </c>
      <c r="BE116" s="1237">
        <v>4.8</v>
      </c>
      <c r="BF116" s="1237">
        <v>4</v>
      </c>
      <c r="BG116" s="1237">
        <v>4</v>
      </c>
      <c r="BH116" s="1237">
        <v>4</v>
      </c>
      <c r="BI116" s="1237">
        <v>2</v>
      </c>
      <c r="BJ116" s="1237">
        <v>1.2</v>
      </c>
      <c r="BK116" s="1238">
        <v>0</v>
      </c>
      <c r="BL116" s="1348"/>
      <c r="BM116" s="1076" t="str">
        <f t="shared" si="47"/>
        <v>Blé</v>
      </c>
      <c r="BN116" s="1267">
        <f t="array" ref="BN116">SUM((IF(QualitéAlimentsBisonneauxMâles_0_3_mois=BONNE,VLOOKUP("Blé",AlimentsRationHivernaleBisonsMâles,8,FALSE),0)+(IF(QualitéAlimentsBisonneauxFemelles_0_3_mois=BONNE,VLOOKUP("Blé",AlimentsRationHivernaleBisonsFemelles,8,FALSE),0)+(IF(QualitéAlimentsBisonneauxMâles_3_6_mois=BONNE,VLOOKUP("Blé",AlimentsRationHivernaleBisonsMâles,7,FALSE),0)+(IF(QualitéAlimentsBisonneauxFemelles_3_6_mois=BONNE,VLOOKUP("Blé",AlimentsRationHivernaleBisonsFemelles,7,FALSE),0)+(IF(QualitéAlimentsBisonneauxMâles_6_12_mois=BONNE,VLOOKUP("Blé",AlimentsRationHivernaleBisonsMâles,6,FALSE),0)+(IF(QualitéAlimentsBisonneauxFemelles_6_12_mois=BONNE,VLOOKUP("Blé",AlimentsRationHivernaleBisonsFemelles,6,FALSE),0)+(IF(QualitéAlimentsJeunesBisons_12_18_mois=BONNE,VLOOKUP("Blé",AlimentsRationHivernaleBisonsMâles,5,FALSE),0)+(IF(QualitéAlimentsJeunesBisonnes_12_18_mois=BONNE,VLOOKUP("Blé",AlimentsRationHivernaleBisonsFemelles,5,FALSE),0)+(IF(QualitéAlimentsJeunesBisons_18_24_mois=BONNE,VLOOKUP("Blé",AlimentsRationHivernaleBisonsMâles,4,FALSE),0)+(IF(QualitéAlimentsJeunesBisonnes_18_24_mois=BONNE,VLOOKUP("Blé",AlimentsRationHivernaleBisonsFemelles,4,FALSE),0)+(IF(QualitéAlimentsJeunesBisons_24_36_mois=BONNE,VLOOKUP("Blé",AlimentsRationHivernaleBisonsMâles,3,FALSE),0)+(IF(QualitéAlimentsJeunesBisonnes_24_36_mois=BONNE,VLOOKUP("Blé",AlimentsRationHivernaleBisonsFemelles,3,FALSE),0)+(IF(QualitéAlimentsBisons=BONNE,VLOOKUP("Blé",AlimentsRationHivernaleBisonsMâles,2,FALSE),0)+(IF(QualitéAlimentsBisonnes=BONNE,VLOOKUP("Blé",AlimentsRationHivernaleBisonsFemelles,2,FALSE),0))))))))))))))))</f>
        <v>0</v>
      </c>
      <c r="BO116" s="1267">
        <f t="array" ref="BO116">SUM((IF(QualitéAlimentsBisonneauxMâles_0_3_mois=MOYENNE,VLOOKUP("Blé",AlimentsRationHivernaleBisonsMâles,8,FALSE),0)+(IF(QualitéAlimentsBisonneauxFemelles_0_3_mois=MOYENNE,VLOOKUP("Blé",AlimentsRationHivernaleBisonsFemelles,8,FALSE),0)+(IF(QualitéAlimentsBisonneauxMâles_3_6_mois=MOYENNE,VLOOKUP("Blé",AlimentsRationHivernaleBisonsMâles,7,FALSE),0)+(IF(QualitéAlimentsBisonneauxFemelles_3_6_mois=MOYENNE,VLOOKUP("Blé",AlimentsRationHivernaleBisonsFemelles,7,FALSE),0)+(IF(QualitéAlimentsBisonneauxMâles_6_12_mois=MOYENNE,VLOOKUP("Blé",AlimentsRationHivernaleBisonsMâles,6,FALSE),0)+(IF(QualitéAlimentsBisonneauxFemelles_6_12_mois=MOYENNE,VLOOKUP("Blé",AlimentsRationHivernaleBisonsFemelles,6,FALSE),0)+(IF(QualitéAlimentsJeunesBisons_12_18_mois=MOYENNE,VLOOKUP("Blé",AlimentsRationHivernaleBisonsMâles,5,FALSE),0)+(IF(QualitéAlimentsJeunesBisonnes_12_18_mois=MOYENNE,VLOOKUP("Blé",AlimentsRationHivernaleBisonsFemelles,5,FALSE),0)+(IF(QualitéAlimentsJeunesBisons_18_24_mois=MOYENNE,VLOOKUP("Blé",AlimentsRationHivernaleBisonsMâles,4,FALSE),0)+(IF(QualitéAlimentsJeunesBisonnes_18_24_mois=MOYENNE,VLOOKUP("Blé",AlimentsRationHivernaleBisonsFemelles,4,FALSE),0)+(IF(QualitéAlimentsJeunesBisons_24_36_mois=MOYENNE,VLOOKUP("Blé",AlimentsRationHivernaleBisonsMâles,3,FALSE),0)+(IF(QualitéAlimentsJeunesBisonnes_24_36_mois=MOYENNE,VLOOKUP("Blé",AlimentsRationHivernaleBisonsFemelles,3,FALSE),0)+(IF(QualitéAlimentsBisons=MOYENNE,VLOOKUP("Blé",AlimentsRationHivernaleBisonsMâles,2,FALSE),0)+(IF(QualitéAlimentsBisonnes=MOYENNE,VLOOKUP("Blé",AlimentsRationHivernaleBisonsFemelles,2,FALSE),0))))))))))))))))</f>
        <v>0</v>
      </c>
      <c r="BP116" s="1267">
        <f t="array" ref="BP116">SUM((IF(QualitéAlimentsBisonneauxMâles_0_3_mois=MAUVAISE,VLOOKUP("Blé",AlimentsRationHivernaleBisonsMâles,8,FALSE),0)+(IF(QualitéAlimentsBisonneauxFemelles_0_3_mois=MAUVAISE,VLOOKUP("Blé",AlimentsRationHivernaleBisonsFemelles,8,FALSE),0)+(IF(QualitéAlimentsBisonneauxMâles_3_6_mois=MAUVAISE,VLOOKUP("Blé",AlimentsRationHivernaleBisonsMâles,7,FALSE),0)+(IF(QualitéAlimentsBisonneauxFemelles_3_6_mois=MAUVAISE,VLOOKUP("Blé",AlimentsRationHivernaleBisonsFemelles,7,FALSE),0)+(IF(QualitéAlimentsBisonneauxMâles_6_12_mois=MAUVAISE,VLOOKUP("Blé",AlimentsRationHivernaleBisonsMâles,6,FALSE),0)+(IF(QualitéAlimentsBisonneauxFemelles_6_12_mois=MAUVAISE,VLOOKUP("Blé",AlimentsRationHivernaleBisonsFemelles,6,FALSE),0)+(IF(QualitéAlimentsJeunesBisons_12_18_mois=MAUVAISE,VLOOKUP("Blé",AlimentsRationHivernaleBisonsMâles,5,FALSE),0)+(IF(QualitéAlimentsJeunesBisonnes_12_18_mois=MAUVAISE,VLOOKUP("Blé",AlimentsRationHivernaleBisonsFemelles,5,FALSE),0)+(IF(QualitéAlimentsJeunesBisons_18_24_mois=MAUVAISE,VLOOKUP("Blé",AlimentsRationHivernaleBisonsMâles,4,FALSE),0)+(IF(QualitéAlimentsJeunesBisonnes_18_24_mois=MAUVAISE,VLOOKUP("Blé",AlimentsRationHivernaleBisonsFemelles,4,FALSE),0)+(IF(QualitéAlimentsJeunesBisons_24_36_mois=MAUVAISE,VLOOKUP("Blé",AlimentsRationHivernaleBisonsMâles,3,FALSE),0)+(IF(QualitéAlimentsJeunesBisonnes_24_36_mois=MAUVAISE,VLOOKUP("Blé",AlimentsRationHivernaleBisonsFemelles,3,FALSE),0)+(IF(QualitéAlimentsBisons=MAUVAISE,VLOOKUP("Blé",AlimentsRationHivernaleBisonsMâles,2,FALSE),0)+(IF(QualitéAlimentsBisonnes=MAUVAISE,VLOOKUP("Blé",AlimentsRationHivernaleBisonsFemelles,2,FALSE),0))))))))))))))))</f>
        <v>0</v>
      </c>
      <c r="BQ116" s="1346"/>
      <c r="BR116" s="1346"/>
      <c r="BS116" s="1346"/>
      <c r="BT116" s="1346"/>
      <c r="BU116" s="1346"/>
      <c r="BV116" s="1345"/>
      <c r="BW116" s="1345"/>
      <c r="BX116" s="1076" t="s">
        <v>728</v>
      </c>
      <c r="BY116" s="1076">
        <f t="array" ref="BY116">IF(ChoixRationComplèteCaprins=OUI,0,IFERROR(IF(OR(AND(INDEX(Règles_caprins[Specificite],MATCH(ChoixRationCaprins&amp;$BX116,Règles_caprins[Ration]&amp;Règles_caprins[Aliment],0))="s1",IF($BX116=Spécificité1Caprins,1)),
INDEX(Règles_caprins[Specificite],MATCH(ChoixRationCaprins&amp;$BX116,Règles_caprins[Ration]&amp;Règles_caprins[Aliment],0))="c"),
INDEX(Règles_caprins[Valeur 12 et plus],MATCH(ChoixRationCaprins&amp;$BX116,Règles_caprins[Ration]&amp;Règles_caprins[Aliment],0)),0),0)*TotalBoucs*SUM(NbreJoursNourrirCaprins))</f>
        <v>0</v>
      </c>
      <c r="BZ116" s="1076">
        <f t="array" ref="BZ116">IF(ChoixRationComplèteCaprins=OUI,0,IFERROR(IF(OR(AND(INDEX(Règles_caprins[Specificite],MATCH(ChoixRationCaprins&amp;$BX116,Règles_caprins[Ration]&amp;Règles_caprins[Aliment],0))="s1",IF($BX116=Spécificité1Caprins,1)),
INDEX(Règles_caprins[Specificite],MATCH(ChoixRationCaprins&amp;$BX116,Règles_caprins[Ration]&amp;Règles_caprins[Aliment],0))="c"),
INDEX(Règles_caprins[Valeur 6-12],MATCH(ChoixRationCaprins&amp;$BX116,Règles_caprins[Ration]&amp;Règles_caprins[Aliment],0)),0),0)*jeune_bouc_6_12_mois*SUM(NbreJoursNourrirCaprins))</f>
        <v>0</v>
      </c>
      <c r="CA116" s="1076">
        <f t="array" ref="CA116">IF(ChoixRationComplèteCaprins=OUI,0,IFERROR(IF(OR(AND(INDEX(Règles_caprins[Specificite],MATCH(ChoixRationCaprins&amp;$BX116,Règles_caprins[Ration]&amp;Règles_caprins[Aliment],0))="s1",IF($BX116=Spécificité1Caprins,1)),
INDEX(Règles_caprins[Specificite],MATCH(ChoixRationCaprins&amp;$BX116,Règles_caprins[Ration]&amp;Règles_caprins[Aliment],0))="c"),
INDEX(Règles_caprins[Valeur 3-6],MATCH(ChoixRationCaprins&amp;$BX116,Règles_caprins[Ration]&amp;Règles_caprins[Aliment],0)),0),0)*chevreau_3_6_mois*SUM(NbreJoursNourrirCaprins))</f>
        <v>0</v>
      </c>
      <c r="CB116" s="1076">
        <f t="array" ref="CB116">IF(ChoixRationComplèteCaprins=OUI,0,IFERROR(IF(OR(AND(INDEX(Règles_caprins[Specificite],MATCH(ChoixRationCaprins&amp;$BX116,Règles_caprins[Ration]&amp;Règles_caprins[Aliment],0))="s1",IF($BX116=Spécificité1Caprins,1)),
INDEX(Règles_caprins[Specificite],MATCH(ChoixRationCaprins&amp;$BX116,Règles_caprins[Ration]&amp;Règles_caprins[Aliment],0))="c"),
INDEX(Règles_caprins[Valeur 0-3],MATCH(ChoixRationCaprins&amp;$BX116,Règles_caprins[Ration]&amp;Règles_caprins[Aliment],0)),0),0)*chevreau_0_3_mois*SUM(NbreJoursNourrirCaprins))</f>
        <v>0</v>
      </c>
      <c r="CC116" s="1076">
        <f t="shared" si="45"/>
        <v>0</v>
      </c>
      <c r="CD116" s="1345"/>
      <c r="CE116" s="1345"/>
      <c r="CF116" s="1345"/>
      <c r="CG116" s="1345"/>
      <c r="CH116" s="1321"/>
      <c r="CI116" s="1321"/>
      <c r="CJ116" s="808" t="str">
        <f t="shared" si="26"/>
        <v>Sorgho ensilé</v>
      </c>
      <c r="CK116" s="788">
        <f t="array" ref="CK11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16" s="788">
        <f t="array" ref="CL11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16" s="788">
        <f t="array" ref="CM11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16" s="788">
        <f t="array" ref="CN11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16" s="788">
        <f t="array" ref="CO116">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16" s="812">
        <f>SUM(AlimentsRationPorcinsFemelles[[#This Row],[Valeur 12 et plus]:[Valeur 0-1]])</f>
        <v>0</v>
      </c>
      <c r="CQ116" s="1345"/>
      <c r="CR116" s="1321"/>
      <c r="CS116" s="808" t="str">
        <f t="shared" si="40"/>
        <v>Maïs ensilé</v>
      </c>
      <c r="CT116" s="817">
        <f t="array" ref="CT11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16" s="817">
        <f t="array" ref="CU11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16" s="817">
        <f t="array" ref="CV11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16" s="818">
        <f>SUM(AlimentsRationLapinsFemelles[[#This Row],[Valeur 3 et plus]:[Valeur 0-1]])</f>
        <v>0</v>
      </c>
      <c r="CX116" s="1321"/>
      <c r="CY116" s="1321"/>
      <c r="CZ116" s="808" t="str">
        <f t="shared" si="41"/>
        <v>Maïs ensilé</v>
      </c>
      <c r="DA116" s="817">
        <f t="array" ref="DA11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16" s="817">
        <f t="array" ref="DB11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16" s="817">
        <f t="array" ref="DC11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16" s="818">
        <f>SUM(AlimentsRationVolaillesFemelles[[#This Row],[Valeur 6 et plus]:[Valeur 0-1]])</f>
        <v>0</v>
      </c>
      <c r="DE116" s="1321"/>
      <c r="DF116" s="1321"/>
      <c r="DG116" s="788" t="str">
        <f t="shared" si="27"/>
        <v>Seigle</v>
      </c>
      <c r="DH116" s="817">
        <f t="array" ref="DH11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16" s="817">
        <f t="array" ref="DI11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16" s="817">
        <f t="array" ref="DJ11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16" s="821">
        <f>SUM(AlimentsRationPintadesFemelles[[#This Row],[Valeur 6 et plus]:[Valeur 0-1]])</f>
        <v>0</v>
      </c>
      <c r="DL116" s="1321"/>
      <c r="DM116" s="1321"/>
      <c r="DN116" s="1176" t="s">
        <v>1316</v>
      </c>
      <c r="DO116" s="1177" t="s">
        <v>733</v>
      </c>
      <c r="DP116" s="1177" t="s">
        <v>1252</v>
      </c>
      <c r="DQ116" s="1181">
        <v>20</v>
      </c>
      <c r="DR116" s="1181">
        <v>12</v>
      </c>
      <c r="DS116" s="1181">
        <v>8</v>
      </c>
      <c r="DT116" s="1243">
        <v>4</v>
      </c>
      <c r="DU116" s="1345"/>
      <c r="DV116" s="1076">
        <f t="shared" si="24"/>
        <v>0</v>
      </c>
      <c r="DW116" s="1267"/>
      <c r="DX116" s="1267"/>
      <c r="DY116" s="1267"/>
      <c r="DZ116" s="1345"/>
      <c r="EA116" s="1345"/>
      <c r="EB116" s="1345"/>
      <c r="EC116" s="1345"/>
      <c r="ED116" s="1345"/>
      <c r="EE116" s="1345"/>
      <c r="EF116" s="1321"/>
      <c r="EG116" s="808" t="str">
        <f t="shared" si="31"/>
        <v>Paille</v>
      </c>
      <c r="EH116" s="817">
        <f t="array" ref="EH116">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16" s="817">
        <f t="array" ref="EI116">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16" s="817">
        <f t="array" ref="EJ116">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16" s="818">
        <f>SUM(AlimentsRationOiesFemelles[[#This Row],[Valeur 6 et plus]:[Valeur 0-3]])</f>
        <v>0</v>
      </c>
      <c r="EL116" s="1345"/>
      <c r="EM116" s="1321"/>
      <c r="EN116" s="823" t="str">
        <f t="shared" si="29"/>
        <v>Pois</v>
      </c>
      <c r="EO116" s="828">
        <f t="array" ref="EO11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16" s="828">
        <f t="array" ref="EP11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16" s="828">
        <f t="array" ref="EQ11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16" s="829">
        <f>SUM(Ration_canards_Femelles[[#This Row],[Valeur 6 et plus]:[Valeur 0-3]])</f>
        <v>0</v>
      </c>
      <c r="ES116" s="1345"/>
      <c r="ET116" s="1321"/>
      <c r="EU116" s="1082" t="str">
        <f t="shared" si="44"/>
        <v>Foin</v>
      </c>
      <c r="EV116" s="1282">
        <f t="array" ref="EV116">IF(OR(ChoixRationComplèteEtéChevauxSelle=OUI,ChoixRationComplèteEtéChevauxSelle="",AND(ChoixChevauxSellePréHiver=OUI,ChoixChevauxSellePréEté=OUI)),0,IFERROR(IF(OR(AND(INDEX(Règles_chevaux_selle[Specificite],MATCH(RationEtéChevauxSelle&amp;$EU116,Règles_chevaux_selle[Ration]&amp;Règles_chevaux_selle[Aliment],0))="s1",IF($EU116=Spécificité1ChevauxSelle,1)),
AND(INDEX(Règles_chevaux_selle[Specificite],MATCH(RationEtéChevauxSelle&amp;$EU116,Règles_chevaux_selle[Ration]&amp;Règles_chevaux_selle[Aliment],0))="s2",IF($EU116=Spécificité2ChevauxSelle,1)),
INDEX(Règles_chevaux_selle[Specificite],MATCH(RationEtéChevauxSelle&amp;$EU116,Règles_chevaux_selle[Ration]&amp;Règles_chevaux_selle[Aliment],0))="c"),
INDEX(Règles_chevaux_selle[Valeur 36 et plus],MATCH(RationEtéChevauxSelle&amp;$EU116,Règles_chevaux_selle[Ration]&amp;Règles_chevaux_selle[Aliment],0)),0),0)*TotalJumentSelle*SUM(NbreJoursNourrirChevauxSelle))</f>
        <v>0</v>
      </c>
      <c r="EW116" s="1282">
        <f t="array" ref="EW116">IF(OR(ChoixRationComplèteEtéChevauxSelle=OUI,ChoixRationComplèteEtéChevauxSelle="",AND(ChoixChevauxSellePréHiver=OUI,ChoixChevauxSellePréEté=OUI)),0,IFERROR(IF(OR(AND(INDEX(Règles_chevaux_selle[Specificite],MATCH(RationEtéChevauxSelle&amp;$EU116,Règles_chevaux_selle[Ration]&amp;Règles_chevaux_selle[Aliment],0))="s1",IF($EU116=Spécificité1ChevauxSelle,1)),
AND(INDEX(Règles_chevaux_selle[Specificite],MATCH(RationEtéChevauxSelle&amp;$EU116,Règles_chevaux_selle[Ration]&amp;Règles_chevaux_selle[Aliment],0))="s2",IF($EU116=Spécificité2ChevauxSelle,1)),
INDEX(Règles_chevaux_selle[Specificite],MATCH(RationEtéChevauxSelle&amp;$EU116,Règles_chevaux_selle[Ration]&amp;Règles_chevaux_selle[Aliment],0))="c"),
INDEX(Règles_chevaux_selle[Valeur 24-36],MATCH(RationEtéChevauxSelle&amp;$EU116,Règles_chevaux_selle[Ration]&amp;Règles_chevaux_selle[Aliment],0)),0),0)*TotalJeuneJumentSelle_24_36_mois*SUM(NbreJoursNourrirChevauxSelle))</f>
        <v>0</v>
      </c>
      <c r="EX116" s="1282">
        <f t="array" ref="EX116">IF(OR(ChoixRationComplèteEtéChevauxSelle=OUI,ChoixRationComplèteEtéChevauxSelle="",AND(ChoixChevauxSellePréHiver=OUI,ChoixChevauxSellePréEté=OUI)),0,IFERROR(IF(OR(AND(INDEX(Règles_chevaux_selle[Specificite],MATCH(RationEtéChevauxSelle&amp;$EU116,Règles_chevaux_selle[Ration]&amp;Règles_chevaux_selle[Aliment],0))="s1",IF($EU116=Spécificité1ChevauxSelle,1)),
AND(INDEX(Règles_chevaux_selle[Specificite],MATCH(RationEtéChevauxSelle&amp;$EU116,Règles_chevaux_selle[Ration]&amp;Règles_chevaux_selle[Aliment],0))="s2",IF($EU116=Spécificité2ChevauxSelle,1)),
INDEX(Règles_chevaux_selle[Specificite],MATCH(RationEtéChevauxSelle&amp;$EU116,Règles_chevaux_selle[Ration]&amp;Règles_chevaux_selle[Aliment],0))="c"),
INDEX(Règles_chevaux_selle[Valeur 12-24],MATCH(RationEtéChevauxSelle&amp;$EU116,Règles_chevaux_selle[Ration]&amp;Règles_chevaux_selle[Aliment],0)),0),0)*TotalJeuneJumentSelle_12_24_mois*SUM(NbreJoursNourrirChevauxSelle))</f>
        <v>0</v>
      </c>
      <c r="EY116" s="1285">
        <f t="array" ref="EY116">IF(OR(ChoixRationComplèteEtéChevauxSelle=OUI,ChoixRationComplèteEtéChevauxSelle="",AND(ChoixChevauxSellePréHiver=OUI,ChoixChevauxSellePréEté=OUI)),0,IFERROR(IF(OR(AND(INDEX(Règles_chevaux_selle[Specificite],MATCH(RationEtéChevauxSelle&amp;$EU116,Règles_chevaux_selle[Ration]&amp;Règles_chevaux_selle[Aliment],0))="s1",IF($EU116=Spécificité1ChevauxSelle,1)),
AND(INDEX(Règles_chevaux_selle[Specificite],MATCH(RationEtéChevauxSelle&amp;$EU116,Règles_chevaux_selle[Ration]&amp;Règles_chevaux_selle[Aliment],0))="s2",IF($EU116=Spécificité2ChevauxSelle,1)),
INDEX(Règles_chevaux_selle[Specificite],MATCH(RationEtéChevauxSelle&amp;$EU116,Règles_chevaux_selle[Ration]&amp;Règles_chevaux_selle[Aliment],0))="c"),
INDEX(Règles_chevaux_selle[Valeur 0-12],MATCH(RationEtéChevauxSelle&amp;$EU116,Règles_chevaux_selle[Ration]&amp;Règles_chevaux_selle[Aliment],0)),0),0)*TotalPoulicheSelle_0_12_mois*SUM(NbreJoursNourrirChevauxSelle))</f>
        <v>0</v>
      </c>
      <c r="EZ116" s="1285">
        <f t="shared" si="43"/>
        <v>0</v>
      </c>
      <c r="FA116" s="1345"/>
      <c r="FB116" s="1345"/>
      <c r="FC116" s="1321"/>
      <c r="FD116" s="1082" t="str">
        <f t="shared" si="34"/>
        <v>Orge</v>
      </c>
      <c r="FE116" s="1282">
        <f t="array" ref="FE116">IF(OR(ChoixRationComplèteEtéChevauxTrait=OUI,ChoixRationComplèteEtéChevauxTrait="",AND(ChoixChevauxTraitPréHiver=OUI,ChoixChevauxTraitPréEté=OUI)),0,IFERROR(IF(OR(AND(INDEX(Règles_chevaux_trait[Specificite],MATCH(RationEtéChevauxTrait&amp;$FD116,Règles_chevaux_trait[Ration]&amp;Règles_chevaux_trait[Aliment],0))="s1",IF($FD116=Spécificité1ChevauxTrait,1)),
AND(INDEX(Règles_chevaux_trait[Specificite],MATCH(RationEtéChevauxTrait&amp;$FD116,Règles_chevaux_trait[Ration]&amp;Règles_chevaux_trait[Aliment],0))="s2",IF($FD116=Spécificité2ChevauxTrait,1)),
INDEX(Règles_chevaux_trait[Specificite],MATCH(RationEtéChevauxTrait&amp;$FD116,Règles_chevaux_trait[Ration]&amp;Règles_chevaux_trait[Aliment],0))="c"),
INDEX(Règles_chevaux_trait[Valeur 36 et plus],MATCH(RationEtéChevauxTrait&amp;$FD116,Règles_chevaux_trait[Ration]&amp;Règles_chevaux_trait[Aliment],0)),0),0)*TotalJumentTrait*SUM(NbreJoursNourrirChevauxTrait))</f>
        <v>0</v>
      </c>
      <c r="FF116" s="1282">
        <f t="array" ref="FF116">IF(OR(ChoixRationComplèteEtéChevauxTrait=OUI,ChoixRationComplèteEtéChevauxTrait="",AND(ChoixChevauxTraitPréHiver=OUI,ChoixChevauxTraitPréEté=OUI)),0,IFERROR(IF(OR(AND(INDEX(Règles_chevaux_trait[Specificite],MATCH(RationEtéChevauxTrait&amp;$FD116,Règles_chevaux_trait[Ration]&amp;Règles_chevaux_trait[Aliment],0))="s1",IF($FD116=Spécificité1ChevauxTrait,1)),
AND(INDEX(Règles_chevaux_trait[Specificite],MATCH(RationEtéChevauxTrait&amp;$FD116,Règles_chevaux_trait[Ration]&amp;Règles_chevaux_trait[Aliment],0))="s2",IF($FD116=Spécificité2ChevauxTrait,1)),
INDEX(Règles_chevaux_trait[Specificite],MATCH(RationEtéChevauxTrait&amp;$FD116,Règles_chevaux_trait[Ration]&amp;Règles_chevaux_trait[Aliment],0))="c"),
INDEX(Règles_chevaux_trait[Valeur 24-36],MATCH(RationEtéChevauxTrait&amp;$FD116,Règles_chevaux_trait[Ration]&amp;Règles_chevaux_trait[Aliment],0)),0),0)*TotalJeuneJumentTrait_24_36_mois*SUM(NbreJoursNourrirChevauxTrait))</f>
        <v>0</v>
      </c>
      <c r="FG116" s="1282">
        <f t="array" ref="FG116">IF(OR(ChoixRationComplèteEtéChevauxTrait=OUI,ChoixRationComplèteEtéChevauxTrait="",AND(ChoixChevauxTraitPréHiver=OUI,ChoixChevauxTraitPréEté=OUI)),0,IFERROR(IF(OR(AND(INDEX(Règles_chevaux_trait[Specificite],MATCH(RationEtéChevauxTrait&amp;$FD116,Règles_chevaux_trait[Ration]&amp;Règles_chevaux_trait[Aliment],0))="s1",IF($FD116=Spécificité1ChevauxTrait,1)),
AND(INDEX(Règles_chevaux_trait[Specificite],MATCH(RationEtéChevauxTrait&amp;$FD116,Règles_chevaux_trait[Ration]&amp;Règles_chevaux_trait[Aliment],0))="s2",IF($FD116=Spécificité2ChevauxTrait,1)),
INDEX(Règles_chevaux_trait[Specificite],MATCH(RationEtéChevauxTrait&amp;$FD116,Règles_chevaux_trait[Ration]&amp;Règles_chevaux_trait[Aliment],0))="c"),
INDEX(Règles_chevaux_trait[Valeur 12-24],MATCH(RationEtéChevauxTrait&amp;$FD116,Règles_chevaux_trait[Ration]&amp;Règles_chevaux_trait[Aliment],0)),0),0)*TotalJeuneJumentTrait_12_24_mois*SUM(NbreJoursNourrirChevauxTrait))</f>
        <v>0</v>
      </c>
      <c r="FH116" s="1285">
        <f t="array" ref="FH116">IF(OR(ChoixRationComplèteEtéChevauxTrait=OUI,ChoixRationComplèteEtéChevauxTrait="",AND(ChoixChevauxTraitPréHiver=OUI,ChoixChevauxTraitPréEté=OUI)),0,IFERROR(IF(OR(AND(INDEX(Règles_chevaux_trait[Specificite],MATCH(RationEtéChevauxTrait&amp;$FD116,Règles_chevaux_trait[Ration]&amp;Règles_chevaux_trait[Aliment],0))="s1",IF($FD116=Spécificité1ChevauxTrait,1)),
AND(INDEX(Règles_chevaux_trait[Specificite],MATCH(RationEtéChevauxTrait&amp;$FD116,Règles_chevaux_trait[Ration]&amp;Règles_chevaux_trait[Aliment],0))="s2",IF($FD116=Spécificité2ChevauxTrait,1)),
INDEX(Règles_chevaux_trait[Specificite],MATCH(RationEtéChevauxTrait&amp;$FD116,Règles_chevaux_trait[Ration]&amp;Règles_chevaux_trait[Aliment],0))="c"),
INDEX(Règles_chevaux_trait[Valeur 0-12],MATCH(RationEtéChevauxTrait&amp;$FD116,Règles_chevaux_trait[Ration]&amp;Règles_chevaux_trait[Aliment],0)),0),0)*TotalPoulicheTrait_0_12_mois*SUM(NbreJoursNourrirChevauxTrait))</f>
        <v>0</v>
      </c>
      <c r="FI116" s="1285">
        <f t="shared" si="32"/>
        <v>0</v>
      </c>
      <c r="FJ116" s="1345"/>
      <c r="FK116" s="1345"/>
      <c r="FL116" s="1345"/>
      <c r="FM116" s="1321"/>
      <c r="FN116" s="1083" t="str">
        <f t="shared" si="33"/>
        <v>Paille</v>
      </c>
      <c r="FO116" s="1283">
        <f t="array" ref="FO116">IF(OR(ChoixRationComplèteEtéPoneys=OUI,ChoixRationComplèteEtéPoneys="",AND(ChoixPoneysPréHiver=OUI,ChoixPoneysPréEté=OUI)),0,IFERROR(IF(OR(AND(INDEX(Règles_poneys[Specificite],MATCH(RationEtéPoneys&amp;$FN116,Règles_poneys[Ration]&amp;Règles_poneys[Aliment],0))="s1",IF($FN116=Spécificité1Poneys,1)),
AND(INDEX(Règles_poneys[Specificite],MATCH(RationEtéPoneys&amp;$FN116,Règles_poneys[Ration]&amp;Règles_poneys[Aliment],0))="s2",IF($FN116=Spécificité2Poneys,1)),
INDEX(Règles_poneys[Specificite],MATCH(RationEtéPoneys&amp;$FN116,Règles_poneys[Ration]&amp;Règles_poneys[Aliment],0))="c"),
INDEX(Règles_poneys[Valeur 36 et plus],MATCH(RationEtéPoneys&amp;$FN116,Règles_poneys[Ration]&amp;Règles_poneys[Aliment],0)),0),0)*TotalJumentPoney*SUM(NbreJoursNourrirPoneys))</f>
        <v>0</v>
      </c>
      <c r="FP116" s="1283">
        <f t="array" ref="FP116">IF(OR(ChoixRationComplèteEtéPoneys=OUI,ChoixRationComplèteEtéPoneys="",AND(ChoixPoneysPréHiver=OUI,ChoixPoneysPréEté=OUI)),0,IFERROR(IF(OR(AND(INDEX(Règles_poneys[Specificite],MATCH(RationEtéPoneys&amp;$FN116,Règles_poneys[Ration]&amp;Règles_poneys[Aliment],0))="s1",IF($FN116=Spécificité1Poneys,1)),
AND(INDEX(Règles_poneys[Specificite],MATCH(RationEtéPoneys&amp;$FN116,Règles_poneys[Ration]&amp;Règles_poneys[Aliment],0))="s2",IF($FN116=Spécificité2Poneys,1)),
INDEX(Règles_poneys[Specificite],MATCH(RationEtéPoneys&amp;$FN116,Règles_poneys[Ration]&amp;Règles_poneys[Aliment],0))="c"),
INDEX(Règles_poneys[Valeur 36 et plus],MATCH(RationEtéPoneys&amp;$FN116,Règles_poneys[Ration]&amp;Règles_poneys[Aliment],0)),0),0)*TotalJeuneJumentPoney_24_36_mois*SUM(NbreJoursNourrirPoneys))</f>
        <v>0</v>
      </c>
      <c r="FQ116" s="1283">
        <f t="array" ref="FQ116">IF(OR(ChoixRationComplèteEtéPoneys=OUI,ChoixRationComplèteEtéPoneys="",AND(ChoixPoneysPréHiver=OUI,ChoixPoneysPréEté=OUI)),0,IFERROR(IF(OR(AND(INDEX(Règles_poneys[Specificite],MATCH(RationEtéPoneys&amp;$FN116,Règles_poneys[Ration]&amp;Règles_poneys[Aliment],0))="s1",IF($FN116=Spécificité1Poneys,1)),
AND(INDEX(Règles_poneys[Specificite],MATCH(RationEtéPoneys&amp;$FN116,Règles_poneys[Ration]&amp;Règles_poneys[Aliment],0))="s2",IF($FN116=Spécificité2Poneys,1)),
INDEX(Règles_poneys[Specificite],MATCH(RationEtéPoneys&amp;$FN116,Règles_poneys[Ration]&amp;Règles_poneys[Aliment],0))="c"),
INDEX(Règles_poneys[Valeur 36 et plus],MATCH(RationEtéPoneys&amp;$FN116,Règles_poneys[Ration]&amp;Règles_poneys[Aliment],0)),0),0)*TotalJeuneJumentPoney_12_24_mois*SUM(NbreJoursNourrirPoneys))</f>
        <v>0</v>
      </c>
      <c r="FR116" s="1286">
        <f t="array" ref="FR116">IF(OR(ChoixRationComplèteEtéPoneys=OUI,ChoixRationComplèteEtéPoneys="",AND(ChoixPoneysPréHiver=OUI,ChoixPoneysPréEté=OUI)),0,IFERROR(IF(OR(AND(INDEX(Règles_poneys[Specificite],MATCH(RationEtéPoneys&amp;$FN116,Règles_poneys[Ration]&amp;Règles_poneys[Aliment],0))="s1",IF($FN116=Spécificité1Poneys,1)),
AND(INDEX(Règles_poneys[Specificite],MATCH(RationEtéPoneys&amp;$FN116,Règles_poneys[Ration]&amp;Règles_poneys[Aliment],0))="s2",IF($FN116=Spécificité2Poneys,1)),
INDEX(Règles_poneys[Specificite],MATCH(RationEtéPoneys&amp;$FN116,Règles_poneys[Ration]&amp;Règles_poneys[Aliment],0))="c"),
INDEX(Règles_poneys[Valeur 36 et plus],MATCH(RationEtéPoneys&amp;$FN116,Règles_poneys[Ration]&amp;Règles_poneys[Aliment],0)),0),0)*TotalPoulichePoney_0_12_mois*SUM(NbreJoursNourrirPoneys))</f>
        <v>0</v>
      </c>
      <c r="FS116" s="1286">
        <f t="shared" si="30"/>
        <v>0</v>
      </c>
      <c r="FT116" s="1345"/>
      <c r="FU116" s="1345"/>
      <c r="FV116" s="1345"/>
      <c r="FW116" s="823" t="str">
        <f t="shared" si="28"/>
        <v>Seigle</v>
      </c>
      <c r="FX116" s="828">
        <f t="array" ref="FX11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16" s="828">
        <f t="array" ref="FY11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16" s="828">
        <f t="array" ref="FZ11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16" s="828">
        <f t="array" ref="GA11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16" s="829">
        <f>SUM(AlimentsGavageCanards[[#This Row],[Valeur 3 et plus]:[Valeur 0-1]])</f>
        <v>0</v>
      </c>
      <c r="GC116" s="1321"/>
      <c r="GD116" s="1321"/>
      <c r="GE116" s="1321"/>
      <c r="GF116" s="1321"/>
      <c r="GG116" s="1321" t="s">
        <v>1349</v>
      </c>
      <c r="GH116" s="1321" t="s">
        <v>1349</v>
      </c>
      <c r="GI116" s="1321" t="s">
        <v>1349</v>
      </c>
      <c r="GJ116" s="1321" t="s">
        <v>1349</v>
      </c>
      <c r="GK116" s="1321" t="s">
        <v>1349</v>
      </c>
      <c r="GL116" s="1321" t="s">
        <v>1349</v>
      </c>
      <c r="GM116" s="1321" t="s">
        <v>1349</v>
      </c>
      <c r="GN116" s="1321" t="s">
        <v>1349</v>
      </c>
      <c r="GO116" s="1321" t="s">
        <v>1349</v>
      </c>
      <c r="GP116" s="1321" t="s">
        <v>1349</v>
      </c>
      <c r="GQ116" s="1321" t="s">
        <v>1349</v>
      </c>
      <c r="GR116" s="1321" t="s">
        <v>1349</v>
      </c>
      <c r="GS116" s="1321" t="s">
        <v>1349</v>
      </c>
      <c r="GT116" s="1321" t="s">
        <v>1349</v>
      </c>
      <c r="GU116" s="1321" t="s">
        <v>1349</v>
      </c>
      <c r="GV116" s="1321" t="s">
        <v>1349</v>
      </c>
      <c r="GW116" s="1321"/>
      <c r="GX116" s="1321"/>
      <c r="GY116" s="1321"/>
      <c r="GZ116" s="1321"/>
      <c r="HA116" s="1321"/>
      <c r="HB116" s="1321"/>
      <c r="HC116" s="1321"/>
      <c r="HD116" s="1321"/>
      <c r="HE116" s="1321"/>
      <c r="HF116" s="1321"/>
      <c r="HG116" s="1321"/>
      <c r="HH116" s="1321"/>
      <c r="HI116" s="1321"/>
      <c r="HJ116" s="1321"/>
      <c r="HK116" s="1321"/>
      <c r="HL116" s="1321"/>
      <c r="HM116" s="1321"/>
      <c r="HN116" s="1083" t="s">
        <v>1271</v>
      </c>
      <c r="HO116" s="1084" t="e">
        <f>IF(SUM((VLOOKUP(HN116,AlimentsRationBovinsMâles,9,FALSE)+VLOOKUP(HN116,AlimentsRationBovinsFemelles,9,FALSE)+VLOOKUP(HN116,BDD!BB$284:BJ$323,9,FALSE))/1000/SUM(NbreJoursNourrirBovins)*IF('semences, engrais et traitement'!I$16=OUI,42,84))&lt;0,0,SUM((VLOOKUP(HN116,AlimentsRationBovinsMâles,9,FALSE)+VLOOKUP(HN116,AlimentsRationBovinsFemelles,9,FALSE)+VLOOKUP(HN116,BDD!BB$284:BJ$323,9,FALSE))/1000/SUM(NbreJoursNourrirBovins)*IF('semences, engrais et traitement'!I$16=OUI,42,84)))</f>
        <v>#DIV/0!</v>
      </c>
      <c r="HP116" s="1084">
        <f t="shared" si="36"/>
        <v>0</v>
      </c>
      <c r="HQ116" s="1084" t="e">
        <f>IF(SUM(VLOOKUP(HN116,AlimentsRationPorcinsMâles[],7,FALSE)+VLOOKUP(HN116,AlimentsRationPorcinsFemelles[],7,FALSE))/1000/SUM(NbreJoursNourrirAutres)*84&lt;0,0,SUM(VLOOKUP(HN116,AlimentsRationPorcinsMâles[],7,FALSE)+VLOOKUP(HN116,AlimentsRationPorcinsFemelles[],7,FALSE)/1000/SUM(NbreJoursNourrirAutres)*84))</f>
        <v>#DIV/0!</v>
      </c>
      <c r="HR116" s="1084" t="e">
        <f>IF(SUM(VLOOKUP(HN116,AlimentsRationCaprinsMâles,6,FALSE)+VLOOKUP(HN116,AlimentsRationCaprinsFemelles,6,FALSE))/1000/SUM(NbreJoursNourrirCaprins)*IF('semences, engrais et traitement'!I$17=OUI,42,84)&lt;0,0,SUM(VLOOKUP(HN116,AlimentsRationCaprinsMâles,6,FALSE)+VLOOKUP(HN116,AlimentsRationCaprinsFemelles,6,FALSE))/1000/SUM(NbreJoursNourrirCaprins)*IF('semences, engrais et traitement'!I$17=OUI,42,84))</f>
        <v>#DIV/0!</v>
      </c>
      <c r="HS116" s="1084" t="e">
        <f>IF(SUM(VLOOKUP(HN116,AlimentsRationVolaillesMâles[],5,FALSE)+VLOOKUP(HN116,AlimentsRationVolaillesFemelles[],5,FALSE))/1000/SUM(NbreJoursNourrirAutres)*84&lt;0,0,SUM(VLOOKUP(HN116,AlimentsRationVolaillesMâles[],5,FALSE)+VLOOKUP(HN116,AlimentsRationVolaillesFemelles[],5,FALSE)/1000/SUM(NbreJoursNourrirAutres)*84))</f>
        <v>#DIV/0!</v>
      </c>
      <c r="HT116" s="1084" t="e">
        <f>IF(SUM(VLOOKUP(HN116,AlimentsRationPintadesMâles[],5,FALSE)+VLOOKUP(HN116,AlimentsRationPintadesFemelles[],5,FALSE))/1000/SUM(NbreJoursNourrirAutres)*84&lt;0,0,SUM(VLOOKUP(HN116,AlimentsRationPintadesMâles[],5,FALSE)+VLOOKUP(HN116,AlimentsRationPintadesFemelles[],5,FALSE)/1000/SUM(NbreJoursNourrirAutres)*84))</f>
        <v>#DIV/0!</v>
      </c>
      <c r="HU116" s="1084" t="e">
        <f>IF(SUM(VLOOKUP(HN116,AlimentsRationLapinsMâles[],5,FALSE)+VLOOKUP(HN116,AlimentsRationLapinsFemelles[],5,FALSE))/1000/SUM(NbreJoursNourrirAutres)*84&lt;0,0,SUM(VLOOKUP(HN116,AlimentsRationLapinsMâles[],5,FALSE)+VLOOKUP(HN116,AlimentsRationLapinsFemelles[],5,FALSE)/1000/SUM(NbreJoursNourrirAutres)*84))</f>
        <v>#DIV/0!</v>
      </c>
      <c r="HV116" s="1084" t="e">
        <f>IF(SUM(VLOOKUP(HN116,AlimentsRationOvinsMâles,6,FALSE)+VLOOKUP(HN116,AlimentsRationOvinsFemelles,6,FALSE))/1000/SUM(NbreJoursNourrirOvins)*IF('semences, engrais et traitement'!I$18=OUI,42,84)&lt;0,0,SUM(VLOOKUP(HN116,AlimentsRationOvinsMâles,6,FALSE)+VLOOKUP(HN116,AlimentsRationOvinsFemelles,6,FALSE))/1000/SUM(NbreJoursNourrirOvins)*IF('semences, engrais et traitement'!I$18=OUI,42,84))</f>
        <v>#DIV/0!</v>
      </c>
      <c r="HW116" s="1084" t="e">
        <f>IF(SUM(VLOOKUP(HN116,AlimentsRationOiesMâles[],5,FALSE)+VLOOKUP(HN116,AlimentsRationOiesFemelles[],5,FALSE))/1000/SUM(NbreJoursNourrirAutres)*84&lt;0,0,SUM(VLOOKUP(HN116,AlimentsRationOiesMâles[],5,FALSE)+VLOOKUP(HN116,AlimentsRationOiesFemelles[],5,FALSE)/1000/SUM(NbreJoursNourrirAutres)*84))</f>
        <v>#DIV/0!</v>
      </c>
      <c r="HX116" s="1084" t="e">
        <f t="shared" si="37"/>
        <v>#DIV/0!</v>
      </c>
      <c r="HY116" s="1084" t="e">
        <f>IF(SUM(VLOOKUP(HN116,AlimentsRationEcurieChevauxMâlesSelle,6,FALSE)+VLOOKUP(HN116,AlimentsRationEcurieChevauxFemellesSelle,6,FALSE))/1000/SUM(NbreJoursNourrirChevauxSelle)*IF('semences, engrais et traitement'!M$16=OUI,56,84)&lt;0,0,SUM(VLOOKUP(HN116,AlimentsRationEcurieChevauxMâlesSelle,6,FALSE)+VLOOKUP(HN116,AlimentsRationEcurieChevauxFemellesSelle,6,FALSE))/1000/SUM(NbreJoursNourrirChevauxSelle)*IF('semences, engrais et traitement'!M$16=OUI,56,84))</f>
        <v>#DIV/0!</v>
      </c>
      <c r="HZ116" s="1084" t="e">
        <f>IF(SUM(VLOOKUP(HN116,AlimentsRationEcurieChevauxMâlesTrait,6,FALSE)+VLOOKUP(HN116,AlimentsRationEcurieChevauxFemellesTrait,6,FALSE))/1000/SUM(NbreJoursNourrirChevauxTrait)*IF('semences, engrais et traitement'!M$17=OUI,56,84)&lt;0,0,SUM(VLOOKUP(HN116,AlimentsRationEcurieChevauxMâlesTrait,6,FALSE)+VLOOKUP(HN116,AlimentsRationEcurieChevauxFemellesTrait,6,FALSE))/1000/SUM(NbreJoursNourrirChevauxTrait)*IF('semences, engrais et traitement'!M$17=OUI,56,84))</f>
        <v>#DIV/0!</v>
      </c>
      <c r="IA116" s="1084" t="e">
        <f>IF(SUM(VLOOKUP(HN116,AlimentsRationEcuriePoneysMâles,6,FALSE)+VLOOKUP(HN116,AlimentsRationEcuriePoneysFemelles,6,FALSE))/1000/SUM(NbreJoursNourrirPoneys)*IF('semences, engrais et traitement'!M$18=OUI,56,84)&lt;0,0,SUM(VLOOKUP(HN116,AlimentsRationEcuriePoneysMâles,6,FALSE)+VLOOKUP(HN116,AlimentsRationEcuriePoneysFemelles,6,FALSE))/1000/SUM(NbreJoursNourrirPoneys)*IF('semences, engrais et traitement'!M$18=OUI,56,84))</f>
        <v>#DIV/0!</v>
      </c>
      <c r="IB116" s="1100" t="e">
        <f t="shared" si="38"/>
        <v>#DIV/0!</v>
      </c>
      <c r="IC116" s="1321"/>
      <c r="ID116" s="1321"/>
      <c r="IE116" s="1321"/>
      <c r="IF116" s="1321"/>
      <c r="IG116" s="1321"/>
      <c r="IH116" s="1321"/>
      <c r="II116" s="1321"/>
      <c r="IJ116" s="1321"/>
      <c r="IK116" s="1321"/>
      <c r="IL116" s="1321"/>
      <c r="IM116" s="1321"/>
      <c r="IN116" s="1368"/>
    </row>
    <row r="117" spans="1:248" ht="12.75" customHeight="1" x14ac:dyDescent="0.2">
      <c r="A117" s="1315" t="s">
        <v>616</v>
      </c>
      <c r="B117" s="1241">
        <f t="shared" si="39"/>
        <v>1E-3</v>
      </c>
      <c r="C117" s="1321"/>
      <c r="D117" s="1321"/>
      <c r="E117" s="1321"/>
      <c r="F117" s="1321"/>
      <c r="G117" s="1321"/>
      <c r="H117" s="1321"/>
      <c r="I117" s="1321"/>
      <c r="J117" s="1321"/>
      <c r="K117" s="1321"/>
      <c r="L117" s="1321"/>
      <c r="M117" s="1321"/>
      <c r="N117" s="1321"/>
      <c r="O117" s="1076">
        <v>6000</v>
      </c>
      <c r="P117" s="1321"/>
      <c r="Q117" s="1321"/>
      <c r="R117" s="1321"/>
      <c r="S117" s="1321"/>
      <c r="T117" s="1321"/>
      <c r="U117" s="1321"/>
      <c r="V117" s="1321"/>
      <c r="W117" s="1321"/>
      <c r="X117" s="1321"/>
      <c r="Y117" s="1321"/>
      <c r="Z117" s="1321"/>
      <c r="AA117" s="1321"/>
      <c r="AB117" s="1321"/>
      <c r="AC117" s="1321"/>
      <c r="AD117" s="1321"/>
      <c r="AE117" s="1321"/>
      <c r="AF117" s="1321"/>
      <c r="AG117" s="1321"/>
      <c r="AH117" s="1321"/>
      <c r="AI117" s="1321"/>
      <c r="AJ117" s="1321"/>
      <c r="AK117" s="1321"/>
      <c r="AL117" s="1321"/>
      <c r="AM117" s="1321"/>
      <c r="AN117" s="1321"/>
      <c r="AO117" s="1321"/>
      <c r="AP117" s="1321"/>
      <c r="AQ117" s="1321"/>
      <c r="AR117" s="1321"/>
      <c r="AS117" s="1321"/>
      <c r="AT117" s="1321"/>
      <c r="AU117" s="1321"/>
      <c r="AV117" s="1321"/>
      <c r="AW117" s="1321"/>
      <c r="AX117" s="1321"/>
      <c r="AY117" s="1321"/>
      <c r="AZ117" s="1321"/>
      <c r="BA117" s="1321"/>
      <c r="BB117" s="1236" t="s">
        <v>1314</v>
      </c>
      <c r="BC117" s="1190" t="s">
        <v>1271</v>
      </c>
      <c r="BD117" s="1190" t="s">
        <v>1252</v>
      </c>
      <c r="BE117" s="1237">
        <v>1</v>
      </c>
      <c r="BF117" s="1237">
        <v>0.8</v>
      </c>
      <c r="BG117" s="1237">
        <v>0.6</v>
      </c>
      <c r="BH117" s="1237">
        <v>0.4</v>
      </c>
      <c r="BI117" s="1237">
        <v>0.4</v>
      </c>
      <c r="BJ117" s="1237">
        <v>0.4</v>
      </c>
      <c r="BK117" s="1238">
        <v>0</v>
      </c>
      <c r="BL117" s="1348"/>
      <c r="BM117" s="1075" t="str">
        <f t="shared" si="47"/>
        <v>Bouchons luzerne</v>
      </c>
      <c r="BN117" s="1269">
        <f t="array" ref="BN117">SUM((IF(QualitéAlimentsBisonneauxMâles_0_3_mois=BONNE,VLOOKUP("Bouchons luzerne",AlimentsRationHivernaleBisonsMâles,8,FALSE),0)+(IF(QualitéAlimentsBisonneauxFemelles_0_3_mois=BONNE,VLOOKUP("Bouchons luzerne",AlimentsRationHivernaleBisonsFemelles,8,FALSE),0)+(IF(QualitéAlimentsBisonneauxMâles_3_6_mois=BONNE,VLOOKUP("Bouchons luzerne",AlimentsRationHivernaleBisonsMâles,7,FALSE),0)+(IF(QualitéAlimentsBisonneauxFemelles_3_6_mois=BONNE,VLOOKUP("Bouchons luzerne",AlimentsRationHivernaleBisonsFemelles,7,FALSE),0)+(IF(QualitéAlimentsBisonneauxMâles_6_12_mois=BONNE,VLOOKUP("Bouchons luzerne",AlimentsRationHivernaleBisonsMâles,6,FALSE),0)+(IF(QualitéAlimentsBisonneauxFemelles_6_12_mois=BONNE,VLOOKUP("Bouchons luzerne",AlimentsRationHivernaleBisonsFemelles,6,FALSE),0)+(IF(QualitéAlimentsJeunesBisons_12_18_mois=BONNE,VLOOKUP("Bouchons luzerne",AlimentsRationHivernaleBisonsMâles,5,FALSE),0)+(IF(QualitéAlimentsJeunesBisonnes_12_18_mois=BONNE,VLOOKUP("Bouchons luzerne",AlimentsRationHivernaleBisonsFemelles,5,FALSE),0)+(IF(QualitéAlimentsJeunesBisons_18_24_mois=BONNE,VLOOKUP("Bouchons luzerne",AlimentsRationHivernaleBisonsMâles,4,FALSE),0)+(IF(QualitéAlimentsJeunesBisonnes_18_24_mois=BONNE,VLOOKUP("Bouchons luzerne",AlimentsRationHivernaleBisonsFemelles,4,FALSE),0)+(IF(QualitéAlimentsJeunesBisons_24_36_mois=BONNE,VLOOKUP("Bouchons luzerne",AlimentsRationHivernaleBisonsMâles,3,FALSE),0)+(IF(QualitéAlimentsJeunesBisonnes_24_36_mois=BONNE,VLOOKUP("Bouchons luzerne",AlimentsRationHivernaleBisonsFemelles,3,FALSE),0)+(IF(QualitéAlimentsBisons=BONNE,VLOOKUP("Bouchons luzerne",AlimentsRationHivernaleBisonsMâles,2,FALSE),0)+(IF(QualitéAlimentsBisonnes=BONNE,VLOOKUP("Bouchons luzerne",AlimentsRationHivernaleBisonsFemelles,2,FALSE),0))))))))))))))))</f>
        <v>0</v>
      </c>
      <c r="BO117" s="1269">
        <f t="array" ref="BO117">SUM((IF(QualitéAlimentsBisonneauxMâles_0_3_mois=MOYENNE,VLOOKUP("Bouchons luzerne",AlimentsRationHivernaleBisonsMâles,8,FALSE),0)+(IF(QualitéAlimentsBisonneauxFemelles_0_3_mois=MOYENNE,VLOOKUP("Bouchons luzerne",AlimentsRationHivernaleBisonsFemelles,8,FALSE),0)+(IF(QualitéAlimentsBisonneauxMâles_3_6_mois=MOYENNE,VLOOKUP("Bouchons luzerne",AlimentsRationHivernaleBisonsMâles,7,FALSE),0)+(IF(QualitéAlimentsBisonneauxFemelles_3_6_mois=MOYENNE,VLOOKUP("Bouchons luzerne",AlimentsRationHivernaleBisonsFemelles,7,FALSE),0)+(IF(QualitéAlimentsBisonneauxMâles_6_12_mois=MOYENNE,VLOOKUP("Bouchons luzerne",AlimentsRationHivernaleBisonsMâles,6,FALSE),0)+(IF(QualitéAlimentsBisonneauxFemelles_6_12_mois=MOYENNE,VLOOKUP("Bouchons luzerne",AlimentsRationHivernaleBisonsFemelles,6,FALSE),0)+(IF(QualitéAlimentsJeunesBisons_12_18_mois=MOYENNE,VLOOKUP("Bouchons luzerne",AlimentsRationHivernaleBisonsMâles,5,FALSE),0)+(IF(QualitéAlimentsJeunesBisonnes_12_18_mois=MOYENNE,VLOOKUP("Bouchons luzerne",AlimentsRationHivernaleBisonsFemelles,5,FALSE),0)+(IF(QualitéAlimentsJeunesBisons_18_24_mois=MOYENNE,VLOOKUP("Bouchons luzerne",AlimentsRationHivernaleBisonsMâles,4,FALSE),0)+(IF(QualitéAlimentsJeunesBisonnes_18_24_mois=MOYENNE,VLOOKUP("Bouchons luzerne",AlimentsRationHivernaleBisonsFemelles,4,FALSE),0)+(IF(QualitéAlimentsJeunesBisons_24_36_mois=MOYENNE,VLOOKUP("Bouchons luzerne",AlimentsRationHivernaleBisonsMâles,3,FALSE),0)+(IF(QualitéAlimentsJeunesBisonnes_24_36_mois=MOYENNE,VLOOKUP("Bouchons luzerne",AlimentsRationHivernaleBisonsFemelles,3,FALSE),0)+(IF(QualitéAlimentsBisons=MOYENNE,VLOOKUP("Bouchons luzerne",AlimentsRationHivernaleBisonsMâles,2,FALSE),0)+(IF(QualitéAlimentsBisonnes=MOYENNE,VLOOKUP("Bouchons luzerne",AlimentsRationHivernaleBisonsFemelles,2,FALSE),0))))))))))))))))</f>
        <v>0</v>
      </c>
      <c r="BP117" s="1269">
        <f t="array" ref="BP117">SUM((IF(QualitéAlimentsBisonneauxMâles_0_3_mois=MAUVAISE,VLOOKUP("Bouchons luzerne",AlimentsRationHivernaleBisonsMâles,8,FALSE),0)+(IF(QualitéAlimentsBisonneauxFemelles_0_3_mois=MAUVAISE,VLOOKUP("Bouchons luzerne",AlimentsRationHivernaleBisonsFemelles,8,FALSE),0)+(IF(QualitéAlimentsBisonneauxMâles_3_6_mois=MAUVAISE,VLOOKUP("Bouchons luzerne",AlimentsRationHivernaleBisonsMâles,7,FALSE),0)+(IF(QualitéAlimentsBisonneauxFemelles_3_6_mois=MAUVAISE,VLOOKUP("Bouchons luzerne",AlimentsRationHivernaleBisonsFemelles,7,FALSE),0)+(IF(QualitéAlimentsBisonneauxMâles_6_12_mois=MAUVAISE,VLOOKUP("Bouchons luzerne",AlimentsRationHivernaleBisonsMâles,6,FALSE),0)+(IF(QualitéAlimentsBisonneauxFemelles_6_12_mois=MAUVAISE,VLOOKUP("Bouchons luzerne",AlimentsRationHivernaleBisonsFemelles,6,FALSE),0)+(IF(QualitéAlimentsJeunesBisons_12_18_mois=MAUVAISE,VLOOKUP("Bouchons luzerne",AlimentsRationHivernaleBisonsMâles,5,FALSE),0)+(IF(QualitéAlimentsJeunesBisonnes_12_18_mois=MAUVAISE,VLOOKUP("Bouchons luzerne",AlimentsRationHivernaleBisonsFemelles,5,FALSE),0)+(IF(QualitéAlimentsJeunesBisons_18_24_mois=MAUVAISE,VLOOKUP("Bouchons luzerne",AlimentsRationHivernaleBisonsMâles,4,FALSE),0)+(IF(QualitéAlimentsJeunesBisonnes_18_24_mois=MAUVAISE,VLOOKUP("Bouchons luzerne",AlimentsRationHivernaleBisonsFemelles,4,FALSE),0)+(IF(QualitéAlimentsJeunesBisons_24_36_mois=MAUVAISE,VLOOKUP("Bouchons luzerne",AlimentsRationHivernaleBisonsMâles,3,FALSE),0)+(IF(QualitéAlimentsJeunesBisonnes_24_36_mois=MAUVAISE,VLOOKUP("Bouchons luzerne",AlimentsRationHivernaleBisonsFemelles,3,FALSE),0)+(IF(QualitéAlimentsBisons=MAUVAISE,VLOOKUP("Bouchons luzerne",AlimentsRationHivernaleBisonsMâles,2,FALSE),0)+(IF(QualitéAlimentsBisonnes=MAUVAISE,VLOOKUP("Bouchons luzerne",AlimentsRationHivernaleBisonsFemelles,2,FALSE),0))))))))))))))))</f>
        <v>0</v>
      </c>
      <c r="BQ117" s="1346"/>
      <c r="BR117" s="1346"/>
      <c r="BS117" s="1346"/>
      <c r="BT117" s="1346"/>
      <c r="BU117" s="1346"/>
      <c r="BV117" s="1345"/>
      <c r="BW117" s="1345"/>
      <c r="BX117" s="1075" t="s">
        <v>733</v>
      </c>
      <c r="BY117" s="1075">
        <f t="array" ref="BY117">IFERROR(IF(OR(AND(INDEX(Règles_caprins[Specificite],MATCH(ChoixRationCaprins&amp;$BX117,Règles_caprins[Ration]&amp;Règles_caprins[Aliment],0))="s1",IF($BX117=Spécificité1Caprins,1)),
INDEX(Règles_caprins[Specificite],MATCH(ChoixRationCaprins&amp;$BX117,Règles_caprins[Ration]&amp;Règles_caprins[Aliment],0))="c"),
INDEX(Règles_caprins[Valeur 12 et plus],MATCH(ChoixRationCaprins&amp;$BX117,Règles_caprins[Ration]&amp;Règles_caprins[Aliment],0)),0),0)*TotalBoucs*SUM(NbreJoursNourrirCaprins)</f>
        <v>0</v>
      </c>
      <c r="BZ117" s="1075">
        <f t="array" ref="BZ117">IFERROR(IF(OR(AND(INDEX(Règles_caprins[Specificite],MATCH(ChoixRationCaprins&amp;$BX117,Règles_caprins[Ration]&amp;Règles_caprins[Aliment],0))="s1",IF($BX117=Spécificité1Caprins,1)),
INDEX(Règles_caprins[Specificite],MATCH(ChoixRationCaprins&amp;$BX117,Règles_caprins[Ration]&amp;Règles_caprins[Aliment],0))="c"),
INDEX(Règles_caprins[Valeur 6-12],MATCH(ChoixRationCaprins&amp;$BX117,Règles_caprins[Ration]&amp;Règles_caprins[Aliment],0)),0),0)*jeune_bouc_6_12_mois*SUM(NbreJoursNourrirCaprins)</f>
        <v>0</v>
      </c>
      <c r="CA117" s="1075">
        <f t="array" ref="CA117">IFERROR(IF(OR(AND(INDEX(Règles_caprins[Specificite],MATCH(ChoixRationCaprins&amp;$BX117,Règles_caprins[Ration]&amp;Règles_caprins[Aliment],0))="s1",IF($BX117=Spécificité1Caprins,1)),
INDEX(Règles_caprins[Specificite],MATCH(ChoixRationCaprins&amp;$BX117,Règles_caprins[Ration]&amp;Règles_caprins[Aliment],0))="c"),
INDEX(Règles_caprins[Valeur 3-6],MATCH(ChoixRationCaprins&amp;$BX117,Règles_caprins[Ration]&amp;Règles_caprins[Aliment],0)),0),0)*chevreau_3_6_mois*SUM(NbreJoursNourrirCaprins)</f>
        <v>0</v>
      </c>
      <c r="CB117" s="1075">
        <f t="array" ref="CB117">IFERROR(IF(OR(AND(INDEX(Règles_caprins[Specificite],MATCH(ChoixRationCaprins&amp;$BX117,Règles_caprins[Ration]&amp;Règles_caprins[Aliment],0))="s1",IF($BX117=Spécificité1Caprins,1)),
INDEX(Règles_caprins[Specificite],MATCH(ChoixRationCaprins&amp;$BX117,Règles_caprins[Ration]&amp;Règles_caprins[Aliment],0))="c"),
INDEX(Règles_caprins[Valeur 0-3],MATCH(ChoixRationCaprins&amp;$BX117,Règles_caprins[Ration]&amp;Règles_caprins[Aliment],0)),0),0)*chevreau_0_3_mois*SUM(NbreJoursNourrirCaprins)</f>
        <v>0</v>
      </c>
      <c r="CC117" s="1075">
        <f t="shared" si="45"/>
        <v>0</v>
      </c>
      <c r="CD117" s="1345"/>
      <c r="CE117" s="1345"/>
      <c r="CF117" s="1345"/>
      <c r="CG117" s="1345"/>
      <c r="CH117" s="1321"/>
      <c r="CI117" s="1321"/>
      <c r="CJ117" s="808" t="str">
        <f t="shared" si="26"/>
        <v>Tournesol</v>
      </c>
      <c r="CK117" s="788">
        <f t="array" ref="CK11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17" s="788">
        <f t="array" ref="CL11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17" s="788">
        <f t="array" ref="CM11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17" s="788">
        <f t="array" ref="CN11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17" s="788">
        <f t="array" ref="CO117">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17" s="812">
        <f>SUM(AlimentsRationPorcinsFemelles[[#This Row],[Valeur 12 et plus]:[Valeur 0-1]])</f>
        <v>0</v>
      </c>
      <c r="CQ117" s="1345"/>
      <c r="CR117" s="1321"/>
      <c r="CS117" s="808" t="str">
        <f t="shared" si="40"/>
        <v>Maïs grain</v>
      </c>
      <c r="CT117" s="817">
        <f t="array" ref="CT11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17" s="817">
        <f t="array" ref="CU11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17" s="817">
        <f t="array" ref="CV11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17" s="818">
        <f>SUM(AlimentsRationLapinsFemelles[[#This Row],[Valeur 3 et plus]:[Valeur 0-1]])</f>
        <v>0</v>
      </c>
      <c r="CX117" s="1321"/>
      <c r="CY117" s="1321"/>
      <c r="CZ117" s="808" t="str">
        <f t="shared" si="41"/>
        <v>Maïs grain</v>
      </c>
      <c r="DA117" s="817">
        <f t="array" ref="DA11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17" s="817">
        <f t="array" ref="DB11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17" s="817">
        <f t="array" ref="DC11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17" s="818">
        <f>SUM(AlimentsRationVolaillesFemelles[[#This Row],[Valeur 6 et plus]:[Valeur 0-1]])</f>
        <v>0</v>
      </c>
      <c r="DE117" s="1321"/>
      <c r="DF117" s="1321"/>
      <c r="DG117" s="788" t="str">
        <f t="shared" si="27"/>
        <v>Soja</v>
      </c>
      <c r="DH117" s="817">
        <f t="array" ref="DH11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17" s="817">
        <f t="array" ref="DI11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17" s="817">
        <f t="array" ref="DJ11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17" s="821">
        <f>SUM(AlimentsRationPintadesFemelles[[#This Row],[Valeur 6 et plus]:[Valeur 0-1]])</f>
        <v>0</v>
      </c>
      <c r="DL117" s="1321"/>
      <c r="DM117" s="1321"/>
      <c r="DN117" s="1176" t="s">
        <v>837</v>
      </c>
      <c r="DO117" s="1177" t="s">
        <v>723</v>
      </c>
      <c r="DP117" s="1177" t="s">
        <v>1252</v>
      </c>
      <c r="DQ117" s="1181"/>
      <c r="DR117" s="1181"/>
      <c r="DS117" s="1181"/>
      <c r="DT117" s="1243"/>
      <c r="DU117" s="1345"/>
      <c r="DV117" s="1345"/>
      <c r="DW117" s="1345"/>
      <c r="DX117" s="1345"/>
      <c r="DY117" s="1345"/>
      <c r="DZ117" s="1345"/>
      <c r="EA117" s="1345"/>
      <c r="EB117" s="1345"/>
      <c r="EC117" s="1345"/>
      <c r="ED117" s="1345"/>
      <c r="EE117" s="1345"/>
      <c r="EF117" s="1321"/>
      <c r="EG117" s="808" t="str">
        <f t="shared" si="31"/>
        <v>Pois</v>
      </c>
      <c r="EH117" s="817">
        <f t="array" ref="EH11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17" s="817">
        <f t="array" ref="EI11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17" s="817">
        <f t="array" ref="EJ11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17" s="818">
        <f>SUM(AlimentsRationOiesFemelles[[#This Row],[Valeur 6 et plus]:[Valeur 0-3]])</f>
        <v>0</v>
      </c>
      <c r="EL117" s="1345"/>
      <c r="EM117" s="1321"/>
      <c r="EN117" s="823" t="str">
        <f t="shared" si="29"/>
        <v>Pomme de terre</v>
      </c>
      <c r="EO117" s="828">
        <f t="array" ref="EO11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17" s="828">
        <f t="array" ref="EP11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17" s="828">
        <f t="array" ref="EQ11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17" s="829">
        <f>SUM(Ration_canards_Femelles[[#This Row],[Valeur 6 et plus]:[Valeur 0-3]])</f>
        <v>0</v>
      </c>
      <c r="ES117" s="1345"/>
      <c r="ET117" s="1321"/>
      <c r="EU117" s="1083" t="str">
        <f t="shared" si="44"/>
        <v>Haricot vert</v>
      </c>
      <c r="EV117" s="1283">
        <f t="array" ref="EV117">IF(OR(ChoixRationComplèteEtéChevauxSelle=OUI,ChoixRationComplèteEtéChevauxSelle="",AND(ChoixChevauxSellePréHiver=OUI,ChoixChevauxSellePréEté=OUI)),0,IFERROR(IF(OR(AND(INDEX(Règles_chevaux_selle[Specificite],MATCH(RationEtéChevauxSelle&amp;$EU117,Règles_chevaux_selle[Ration]&amp;Règles_chevaux_selle[Aliment],0))="s1",IF($EU117=Spécificité1ChevauxSelle,1)),
AND(INDEX(Règles_chevaux_selle[Specificite],MATCH(RationEtéChevauxSelle&amp;$EU117,Règles_chevaux_selle[Ration]&amp;Règles_chevaux_selle[Aliment],0))="s2",IF($EU117=Spécificité2ChevauxSelle,1)),
INDEX(Règles_chevaux_selle[Specificite],MATCH(RationEtéChevauxSelle&amp;$EU117,Règles_chevaux_selle[Ration]&amp;Règles_chevaux_selle[Aliment],0))="c"),
INDEX(Règles_chevaux_selle[Valeur 36 et plus],MATCH(RationEtéChevauxSelle&amp;$EU117,Règles_chevaux_selle[Ration]&amp;Règles_chevaux_selle[Aliment],0)),0),0)*TotalJumentSelle*SUM(NbreJoursNourrirChevauxSelle))</f>
        <v>0</v>
      </c>
      <c r="EW117" s="1283">
        <f t="array" ref="EW117">IF(OR(ChoixRationComplèteEtéChevauxSelle=OUI,ChoixRationComplèteEtéChevauxSelle="",AND(ChoixChevauxSellePréHiver=OUI,ChoixChevauxSellePréEté=OUI)),0,IFERROR(IF(OR(AND(INDEX(Règles_chevaux_selle[Specificite],MATCH(RationEtéChevauxSelle&amp;$EU117,Règles_chevaux_selle[Ration]&amp;Règles_chevaux_selle[Aliment],0))="s1",IF($EU117=Spécificité1ChevauxSelle,1)),
AND(INDEX(Règles_chevaux_selle[Specificite],MATCH(RationEtéChevauxSelle&amp;$EU117,Règles_chevaux_selle[Ration]&amp;Règles_chevaux_selle[Aliment],0))="s2",IF($EU117=Spécificité2ChevauxSelle,1)),
INDEX(Règles_chevaux_selle[Specificite],MATCH(RationEtéChevauxSelle&amp;$EU117,Règles_chevaux_selle[Ration]&amp;Règles_chevaux_selle[Aliment],0))="c"),
INDEX(Règles_chevaux_selle[Valeur 24-36],MATCH(RationEtéChevauxSelle&amp;$EU117,Règles_chevaux_selle[Ration]&amp;Règles_chevaux_selle[Aliment],0)),0),0)*TotalJeuneJumentSelle_24_36_mois*SUM(NbreJoursNourrirChevauxSelle))</f>
        <v>0</v>
      </c>
      <c r="EX117" s="1283">
        <f t="array" ref="EX117">IF(OR(ChoixRationComplèteEtéChevauxSelle=OUI,ChoixRationComplèteEtéChevauxSelle="",AND(ChoixChevauxSellePréHiver=OUI,ChoixChevauxSellePréEté=OUI)),0,IFERROR(IF(OR(AND(INDEX(Règles_chevaux_selle[Specificite],MATCH(RationEtéChevauxSelle&amp;$EU117,Règles_chevaux_selle[Ration]&amp;Règles_chevaux_selle[Aliment],0))="s1",IF($EU117=Spécificité1ChevauxSelle,1)),
AND(INDEX(Règles_chevaux_selle[Specificite],MATCH(RationEtéChevauxSelle&amp;$EU117,Règles_chevaux_selle[Ration]&amp;Règles_chevaux_selle[Aliment],0))="s2",IF($EU117=Spécificité2ChevauxSelle,1)),
INDEX(Règles_chevaux_selle[Specificite],MATCH(RationEtéChevauxSelle&amp;$EU117,Règles_chevaux_selle[Ration]&amp;Règles_chevaux_selle[Aliment],0))="c"),
INDEX(Règles_chevaux_selle[Valeur 12-24],MATCH(RationEtéChevauxSelle&amp;$EU117,Règles_chevaux_selle[Ration]&amp;Règles_chevaux_selle[Aliment],0)),0),0)*TotalJeuneJumentSelle_12_24_mois*SUM(NbreJoursNourrirChevauxSelle))</f>
        <v>0</v>
      </c>
      <c r="EY117" s="1286">
        <f t="array" ref="EY117">IF(OR(ChoixRationComplèteEtéChevauxSelle=OUI,ChoixRationComplèteEtéChevauxSelle="",AND(ChoixChevauxSellePréHiver=OUI,ChoixChevauxSellePréEté=OUI)),0,IFERROR(IF(OR(AND(INDEX(Règles_chevaux_selle[Specificite],MATCH(RationEtéChevauxSelle&amp;$EU117,Règles_chevaux_selle[Ration]&amp;Règles_chevaux_selle[Aliment],0))="s1",IF($EU117=Spécificité1ChevauxSelle,1)),
AND(INDEX(Règles_chevaux_selle[Specificite],MATCH(RationEtéChevauxSelle&amp;$EU117,Règles_chevaux_selle[Ration]&amp;Règles_chevaux_selle[Aliment],0))="s2",IF($EU117=Spécificité2ChevauxSelle,1)),
INDEX(Règles_chevaux_selle[Specificite],MATCH(RationEtéChevauxSelle&amp;$EU117,Règles_chevaux_selle[Ration]&amp;Règles_chevaux_selle[Aliment],0))="c"),
INDEX(Règles_chevaux_selle[Valeur 0-12],MATCH(RationEtéChevauxSelle&amp;$EU117,Règles_chevaux_selle[Ration]&amp;Règles_chevaux_selle[Aliment],0)),0),0)*TotalPoulicheSelle_0_12_mois*SUM(NbreJoursNourrirChevauxSelle))</f>
        <v>0</v>
      </c>
      <c r="EZ117" s="1286">
        <f t="shared" si="43"/>
        <v>0</v>
      </c>
      <c r="FA117" s="1345"/>
      <c r="FB117" s="1345"/>
      <c r="FC117" s="1321"/>
      <c r="FD117" s="1083" t="str">
        <f t="shared" si="34"/>
        <v>Paille</v>
      </c>
      <c r="FE117" s="1283">
        <f t="array" ref="FE117">IF(OR(ChoixRationComplèteEtéChevauxTrait=OUI,ChoixRationComplèteEtéChevauxTrait="",AND(ChoixChevauxTraitPréHiver=OUI,ChoixChevauxTraitPréEté=OUI)),0,IFERROR(IF(OR(AND(INDEX(Règles_chevaux_trait[Specificite],MATCH(RationEtéChevauxTrait&amp;$FD117,Règles_chevaux_trait[Ration]&amp;Règles_chevaux_trait[Aliment],0))="s1",IF($FD117=Spécificité1ChevauxTrait,1)),
AND(INDEX(Règles_chevaux_trait[Specificite],MATCH(RationEtéChevauxTrait&amp;$FD117,Règles_chevaux_trait[Ration]&amp;Règles_chevaux_trait[Aliment],0))="s2",IF($FD117=Spécificité2ChevauxTrait,1)),
INDEX(Règles_chevaux_trait[Specificite],MATCH(RationEtéChevauxTrait&amp;$FD117,Règles_chevaux_trait[Ration]&amp;Règles_chevaux_trait[Aliment],0))="c"),
INDEX(Règles_chevaux_trait[Valeur 36 et plus],MATCH(RationEtéChevauxTrait&amp;$FD117,Règles_chevaux_trait[Ration]&amp;Règles_chevaux_trait[Aliment],0)),0),0)*TotalJumentTrait*SUM(NbreJoursNourrirChevauxTrait))</f>
        <v>0</v>
      </c>
      <c r="FF117" s="1283">
        <f t="array" ref="FF117">IF(OR(ChoixRationComplèteEtéChevauxTrait=OUI,ChoixRationComplèteEtéChevauxTrait="",AND(ChoixChevauxTraitPréHiver=OUI,ChoixChevauxTraitPréEté=OUI)),0,IFERROR(IF(OR(AND(INDEX(Règles_chevaux_trait[Specificite],MATCH(RationEtéChevauxTrait&amp;$FD117,Règles_chevaux_trait[Ration]&amp;Règles_chevaux_trait[Aliment],0))="s1",IF($FD117=Spécificité1ChevauxTrait,1)),
AND(INDEX(Règles_chevaux_trait[Specificite],MATCH(RationEtéChevauxTrait&amp;$FD117,Règles_chevaux_trait[Ration]&amp;Règles_chevaux_trait[Aliment],0))="s2",IF($FD117=Spécificité2ChevauxTrait,1)),
INDEX(Règles_chevaux_trait[Specificite],MATCH(RationEtéChevauxTrait&amp;$FD117,Règles_chevaux_trait[Ration]&amp;Règles_chevaux_trait[Aliment],0))="c"),
INDEX(Règles_chevaux_trait[Valeur 24-36],MATCH(RationEtéChevauxTrait&amp;$FD117,Règles_chevaux_trait[Ration]&amp;Règles_chevaux_trait[Aliment],0)),0),0)*TotalJeuneJumentTrait_24_36_mois*SUM(NbreJoursNourrirChevauxTrait))</f>
        <v>0</v>
      </c>
      <c r="FG117" s="1283">
        <f t="array" ref="FG117">IF(OR(ChoixRationComplèteEtéChevauxTrait=OUI,ChoixRationComplèteEtéChevauxTrait="",AND(ChoixChevauxTraitPréHiver=OUI,ChoixChevauxTraitPréEté=OUI)),0,IFERROR(IF(OR(AND(INDEX(Règles_chevaux_trait[Specificite],MATCH(RationEtéChevauxTrait&amp;$FD117,Règles_chevaux_trait[Ration]&amp;Règles_chevaux_trait[Aliment],0))="s1",IF($FD117=Spécificité1ChevauxTrait,1)),
AND(INDEX(Règles_chevaux_trait[Specificite],MATCH(RationEtéChevauxTrait&amp;$FD117,Règles_chevaux_trait[Ration]&amp;Règles_chevaux_trait[Aliment],0))="s2",IF($FD117=Spécificité2ChevauxTrait,1)),
INDEX(Règles_chevaux_trait[Specificite],MATCH(RationEtéChevauxTrait&amp;$FD117,Règles_chevaux_trait[Ration]&amp;Règles_chevaux_trait[Aliment],0))="c"),
INDEX(Règles_chevaux_trait[Valeur 12-24],MATCH(RationEtéChevauxTrait&amp;$FD117,Règles_chevaux_trait[Ration]&amp;Règles_chevaux_trait[Aliment],0)),0),0)*TotalJeuneJumentTrait_12_24_mois*SUM(NbreJoursNourrirChevauxTrait))</f>
        <v>0</v>
      </c>
      <c r="FH117" s="1286">
        <f t="array" ref="FH117">IF(OR(ChoixRationComplèteEtéChevauxTrait=OUI,ChoixRationComplèteEtéChevauxTrait="",AND(ChoixChevauxTraitPréHiver=OUI,ChoixChevauxTraitPréEté=OUI)),0,IFERROR(IF(OR(AND(INDEX(Règles_chevaux_trait[Specificite],MATCH(RationEtéChevauxTrait&amp;$FD117,Règles_chevaux_trait[Ration]&amp;Règles_chevaux_trait[Aliment],0))="s1",IF($FD117=Spécificité1ChevauxTrait,1)),
AND(INDEX(Règles_chevaux_trait[Specificite],MATCH(RationEtéChevauxTrait&amp;$FD117,Règles_chevaux_trait[Ration]&amp;Règles_chevaux_trait[Aliment],0))="s2",IF($FD117=Spécificité2ChevauxTrait,1)),
INDEX(Règles_chevaux_trait[Specificite],MATCH(RationEtéChevauxTrait&amp;$FD117,Règles_chevaux_trait[Ration]&amp;Règles_chevaux_trait[Aliment],0))="c"),
INDEX(Règles_chevaux_trait[Valeur 0-12],MATCH(RationEtéChevauxTrait&amp;$FD117,Règles_chevaux_trait[Ration]&amp;Règles_chevaux_trait[Aliment],0)),0),0)*TotalPoulicheTrait_0_12_mois*SUM(NbreJoursNourrirChevauxTrait))</f>
        <v>0</v>
      </c>
      <c r="FI117" s="1286">
        <f t="shared" si="32"/>
        <v>0</v>
      </c>
      <c r="FJ117" s="1345"/>
      <c r="FK117" s="1345"/>
      <c r="FL117" s="1345"/>
      <c r="FM117" s="1321"/>
      <c r="FN117" s="1082" t="str">
        <f t="shared" si="33"/>
        <v>Pois</v>
      </c>
      <c r="FO117" s="1282">
        <f t="array" ref="FO117">IF(OR(ChoixRationComplèteEtéPoneys=OUI,ChoixRationComplèteEtéPoneys="",AND(ChoixPoneysPréHiver=OUI,ChoixPoneysPréEté=OUI)),0,IFERROR(IF(OR(AND(INDEX(Règles_poneys[Specificite],MATCH(RationEtéPoneys&amp;$FN117,Règles_poneys[Ration]&amp;Règles_poneys[Aliment],0))="s1",IF($FN117=Spécificité1Poneys,1)),
AND(INDEX(Règles_poneys[Specificite],MATCH(RationEtéPoneys&amp;$FN117,Règles_poneys[Ration]&amp;Règles_poneys[Aliment],0))="s2",IF($FN117=Spécificité2Poneys,1)),
INDEX(Règles_poneys[Specificite],MATCH(RationEtéPoneys&amp;$FN117,Règles_poneys[Ration]&amp;Règles_poneys[Aliment],0))="c"),
INDEX(Règles_poneys[Valeur 36 et plus],MATCH(RationEtéPoneys&amp;$FN117,Règles_poneys[Ration]&amp;Règles_poneys[Aliment],0)),0),0)*TotalJumentPoney*SUM(NbreJoursNourrirPoneys))</f>
        <v>0</v>
      </c>
      <c r="FP117" s="1282">
        <f t="array" ref="FP117">IF(OR(ChoixRationComplèteEtéPoneys=OUI,ChoixRationComplèteEtéPoneys="",AND(ChoixPoneysPréHiver=OUI,ChoixPoneysPréEté=OUI)),0,IFERROR(IF(OR(AND(INDEX(Règles_poneys[Specificite],MATCH(RationEtéPoneys&amp;$FN117,Règles_poneys[Ration]&amp;Règles_poneys[Aliment],0))="s1",IF($FN117=Spécificité1Poneys,1)),
AND(INDEX(Règles_poneys[Specificite],MATCH(RationEtéPoneys&amp;$FN117,Règles_poneys[Ration]&amp;Règles_poneys[Aliment],0))="s2",IF($FN117=Spécificité2Poneys,1)),
INDEX(Règles_poneys[Specificite],MATCH(RationEtéPoneys&amp;$FN117,Règles_poneys[Ration]&amp;Règles_poneys[Aliment],0))="c"),
INDEX(Règles_poneys[Valeur 36 et plus],MATCH(RationEtéPoneys&amp;$FN117,Règles_poneys[Ration]&amp;Règles_poneys[Aliment],0)),0),0)*TotalJeuneJumentPoney_24_36_mois*SUM(NbreJoursNourrirPoneys))</f>
        <v>0</v>
      </c>
      <c r="FQ117" s="1282">
        <f t="array" ref="FQ117">IF(OR(ChoixRationComplèteEtéPoneys=OUI,ChoixRationComplèteEtéPoneys="",AND(ChoixPoneysPréHiver=OUI,ChoixPoneysPréEté=OUI)),0,IFERROR(IF(OR(AND(INDEX(Règles_poneys[Specificite],MATCH(RationEtéPoneys&amp;$FN117,Règles_poneys[Ration]&amp;Règles_poneys[Aliment],0))="s1",IF($FN117=Spécificité1Poneys,1)),
AND(INDEX(Règles_poneys[Specificite],MATCH(RationEtéPoneys&amp;$FN117,Règles_poneys[Ration]&amp;Règles_poneys[Aliment],0))="s2",IF($FN117=Spécificité2Poneys,1)),
INDEX(Règles_poneys[Specificite],MATCH(RationEtéPoneys&amp;$FN117,Règles_poneys[Ration]&amp;Règles_poneys[Aliment],0))="c"),
INDEX(Règles_poneys[Valeur 36 et plus],MATCH(RationEtéPoneys&amp;$FN117,Règles_poneys[Ration]&amp;Règles_poneys[Aliment],0)),0),0)*TotalJeuneJumentPoney_12_24_mois*SUM(NbreJoursNourrirPoneys))</f>
        <v>0</v>
      </c>
      <c r="FR117" s="1285">
        <f t="array" ref="FR117">IF(OR(ChoixRationComplèteEtéPoneys=OUI,ChoixRationComplèteEtéPoneys="",AND(ChoixPoneysPréHiver=OUI,ChoixPoneysPréEté=OUI)),0,IFERROR(IF(OR(AND(INDEX(Règles_poneys[Specificite],MATCH(RationEtéPoneys&amp;$FN117,Règles_poneys[Ration]&amp;Règles_poneys[Aliment],0))="s1",IF($FN117=Spécificité1Poneys,1)),
AND(INDEX(Règles_poneys[Specificite],MATCH(RationEtéPoneys&amp;$FN117,Règles_poneys[Ration]&amp;Règles_poneys[Aliment],0))="s2",IF($FN117=Spécificité2Poneys,1)),
INDEX(Règles_poneys[Specificite],MATCH(RationEtéPoneys&amp;$FN117,Règles_poneys[Ration]&amp;Règles_poneys[Aliment],0))="c"),
INDEX(Règles_poneys[Valeur 36 et plus],MATCH(RationEtéPoneys&amp;$FN117,Règles_poneys[Ration]&amp;Règles_poneys[Aliment],0)),0),0)*TotalPoulichePoney_0_12_mois*SUM(NbreJoursNourrirPoneys))</f>
        <v>0</v>
      </c>
      <c r="FS117" s="1285">
        <f t="shared" si="30"/>
        <v>0</v>
      </c>
      <c r="FT117" s="1345"/>
      <c r="FU117" s="1345"/>
      <c r="FV117" s="1345"/>
      <c r="FW117" s="823" t="str">
        <f t="shared" si="28"/>
        <v>Soja</v>
      </c>
      <c r="FX117" s="828">
        <f t="array" ref="FX11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17" s="828">
        <f t="array" ref="FY11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17" s="828">
        <f t="array" ref="FZ11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17" s="828">
        <f t="array" ref="GA11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17" s="829">
        <f>SUM(AlimentsGavageCanards[[#This Row],[Valeur 3 et plus]:[Valeur 0-1]])</f>
        <v>0</v>
      </c>
      <c r="GC117" s="1321"/>
      <c r="GD117" s="1321"/>
      <c r="GE117" s="1321"/>
      <c r="GF117" s="1321"/>
      <c r="GG117" s="1321" t="s">
        <v>1349</v>
      </c>
      <c r="GH117" s="1321" t="s">
        <v>1349</v>
      </c>
      <c r="GI117" s="1321" t="s">
        <v>1349</v>
      </c>
      <c r="GJ117" s="1321" t="s">
        <v>1349</v>
      </c>
      <c r="GK117" s="1321" t="s">
        <v>1349</v>
      </c>
      <c r="GL117" s="1321" t="s">
        <v>1349</v>
      </c>
      <c r="GM117" s="1321" t="s">
        <v>1349</v>
      </c>
      <c r="GN117" s="1321" t="s">
        <v>1349</v>
      </c>
      <c r="GO117" s="1321" t="s">
        <v>1349</v>
      </c>
      <c r="GP117" s="1321" t="s">
        <v>1349</v>
      </c>
      <c r="GQ117" s="1321" t="s">
        <v>1349</v>
      </c>
      <c r="GR117" s="1321" t="s">
        <v>1349</v>
      </c>
      <c r="GS117" s="1321" t="s">
        <v>1349</v>
      </c>
      <c r="GT117" s="1321" t="s">
        <v>1349</v>
      </c>
      <c r="GU117" s="1321" t="s">
        <v>1349</v>
      </c>
      <c r="GV117" s="1321" t="s">
        <v>1349</v>
      </c>
      <c r="GW117" s="1321"/>
      <c r="GX117" s="1321"/>
      <c r="GY117" s="1321"/>
      <c r="GZ117" s="1321"/>
      <c r="HA117" s="1321"/>
      <c r="HB117" s="1321"/>
      <c r="HC117" s="1321"/>
      <c r="HD117" s="1321"/>
      <c r="HE117" s="1321"/>
      <c r="HF117" s="1321"/>
      <c r="HG117" s="1321"/>
      <c r="HH117" s="1321"/>
      <c r="HI117" s="1321"/>
      <c r="HJ117" s="1321"/>
      <c r="HK117" s="1321"/>
      <c r="HL117" s="1321"/>
      <c r="HM117" s="1321"/>
      <c r="HN117" s="1082" t="s">
        <v>672</v>
      </c>
      <c r="HO117" s="1085" t="e">
        <f>IF(SUM((VLOOKUP(HN117,AlimentsRationBovinsMâles,9,FALSE)+VLOOKUP(HN117,AlimentsRationBovinsFemelles,9,FALSE)+VLOOKUP(HN117,BDD!BB$284:BJ$323,9,FALSE))/1000/SUM(NbreJoursNourrirBovins)*IF('semences, engrais et traitement'!I$16=OUI,42,84))&lt;0,0,SUM((VLOOKUP(HN117,AlimentsRationBovinsMâles,9,FALSE)+VLOOKUP(HN117,AlimentsRationBovinsFemelles,9,FALSE)+VLOOKUP(HN117,BDD!BB$284:BJ$323,9,FALSE))/1000/SUM(NbreJoursNourrirBovins)*IF('semences, engrais et traitement'!I$16=OUI,42,84)))</f>
        <v>#DIV/0!</v>
      </c>
      <c r="HP117" s="1085">
        <f t="shared" si="36"/>
        <v>0</v>
      </c>
      <c r="HQ117" s="1085" t="e">
        <f>IF(SUM(VLOOKUP(HN117,AlimentsRationPorcinsMâles[],7,FALSE)+VLOOKUP(HN117,AlimentsRationPorcinsFemelles[],7,FALSE))/1000/SUM(NbreJoursNourrirAutres)*84&lt;0,0,SUM(VLOOKUP(HN117,AlimentsRationPorcinsMâles[],7,FALSE)+VLOOKUP(HN117,AlimentsRationPorcinsFemelles[],7,FALSE)/1000/SUM(NbreJoursNourrirAutres)*84))</f>
        <v>#DIV/0!</v>
      </c>
      <c r="HR117" s="1085" t="e">
        <f>IF(SUM(VLOOKUP(HN117,AlimentsRationCaprinsMâles,6,FALSE)+VLOOKUP(HN117,AlimentsRationCaprinsFemelles,6,FALSE))/1000/SUM(NbreJoursNourrirCaprins)*IF('semences, engrais et traitement'!I$17=OUI,42,84)&lt;0,0,SUM(VLOOKUP(HN117,AlimentsRationCaprinsMâles,6,FALSE)+VLOOKUP(HN117,AlimentsRationCaprinsFemelles,6,FALSE))/1000/SUM(NbreJoursNourrirCaprins)*IF('semences, engrais et traitement'!I$17=OUI,42,84))</f>
        <v>#DIV/0!</v>
      </c>
      <c r="HS117" s="1085" t="e">
        <f>IF(SUM(VLOOKUP(HN117,AlimentsRationVolaillesMâles[],5,FALSE)+VLOOKUP(HN117,AlimentsRationVolaillesFemelles[],5,FALSE))/1000/SUM(NbreJoursNourrirAutres)*84&lt;0,0,SUM(VLOOKUP(HN117,AlimentsRationVolaillesMâles[],5,FALSE)+VLOOKUP(HN117,AlimentsRationVolaillesFemelles[],5,FALSE)/1000/SUM(NbreJoursNourrirAutres)*84))</f>
        <v>#DIV/0!</v>
      </c>
      <c r="HT117" s="1085" t="e">
        <f>IF(SUM(VLOOKUP(HN117,AlimentsRationPintadesMâles[],5,FALSE)+VLOOKUP(HN117,AlimentsRationPintadesFemelles[],5,FALSE))/1000/SUM(NbreJoursNourrirAutres)*84&lt;0,0,SUM(VLOOKUP(HN117,AlimentsRationPintadesMâles[],5,FALSE)+VLOOKUP(HN117,AlimentsRationPintadesFemelles[],5,FALSE)/1000/SUM(NbreJoursNourrirAutres)*84))</f>
        <v>#DIV/0!</v>
      </c>
      <c r="HU117" s="1085" t="e">
        <f>IF(SUM(VLOOKUP(HN117,AlimentsRationLapinsMâles[],5,FALSE)+VLOOKUP(HN117,AlimentsRationLapinsFemelles[],5,FALSE))/1000/SUM(NbreJoursNourrirAutres)*84&lt;0,0,SUM(VLOOKUP(HN117,AlimentsRationLapinsMâles[],5,FALSE)+VLOOKUP(HN117,AlimentsRationLapinsFemelles[],5,FALSE)/1000/SUM(NbreJoursNourrirAutres)*84))</f>
        <v>#DIV/0!</v>
      </c>
      <c r="HV117" s="1085" t="e">
        <f>IF(SUM(VLOOKUP(HN117,AlimentsRationOvinsMâles,6,FALSE)+VLOOKUP(HN117,AlimentsRationOvinsFemelles,6,FALSE))/1000/SUM(NbreJoursNourrirOvins)*IF('semences, engrais et traitement'!I$18=OUI,42,84)&lt;0,0,SUM(VLOOKUP(HN117,AlimentsRationOvinsMâles,6,FALSE)+VLOOKUP(HN117,AlimentsRationOvinsFemelles,6,FALSE))/1000/SUM(NbreJoursNourrirOvins)*IF('semences, engrais et traitement'!I$18=OUI,42,84))</f>
        <v>#DIV/0!</v>
      </c>
      <c r="HW117" s="1085" t="e">
        <f>IF(SUM(VLOOKUP(HN117,AlimentsRationOiesMâles[],5,FALSE)+VLOOKUP(HN117,AlimentsRationOiesFemelles[],5,FALSE))/1000/SUM(NbreJoursNourrirAutres)*84&lt;0,0,SUM(VLOOKUP(HN117,AlimentsRationOiesMâles[],5,FALSE)+VLOOKUP(HN117,AlimentsRationOiesFemelles[],5,FALSE)/1000/SUM(NbreJoursNourrirAutres)*84))</f>
        <v>#DIV/0!</v>
      </c>
      <c r="HX117" s="1085" t="e">
        <f t="shared" si="37"/>
        <v>#DIV/0!</v>
      </c>
      <c r="HY117" s="1085" t="e">
        <f>IF(SUM(VLOOKUP(HN117,AlimentsRationEcurieChevauxMâlesSelle,6,FALSE)+VLOOKUP(HN117,AlimentsRationEcurieChevauxFemellesSelle,6,FALSE))/1000/SUM(NbreJoursNourrirChevauxSelle)*IF('semences, engrais et traitement'!M$16=OUI,56,84)&lt;0,0,SUM(VLOOKUP(HN117,AlimentsRationEcurieChevauxMâlesSelle,6,FALSE)+VLOOKUP(HN117,AlimentsRationEcurieChevauxFemellesSelle,6,FALSE))/1000/SUM(NbreJoursNourrirChevauxSelle)*IF('semences, engrais et traitement'!M$16=OUI,56,84))</f>
        <v>#DIV/0!</v>
      </c>
      <c r="HZ117" s="1085" t="e">
        <f>IF(SUM(VLOOKUP(HN117,AlimentsRationEcurieChevauxMâlesTrait,6,FALSE)+VLOOKUP(HN117,AlimentsRationEcurieChevauxFemellesTrait,6,FALSE))/1000/SUM(NbreJoursNourrirChevauxTrait)*IF('semences, engrais et traitement'!M$17=OUI,56,84)&lt;0,0,SUM(VLOOKUP(HN117,AlimentsRationEcurieChevauxMâlesTrait,6,FALSE)+VLOOKUP(HN117,AlimentsRationEcurieChevauxFemellesTrait,6,FALSE))/1000/SUM(NbreJoursNourrirChevauxTrait)*IF('semences, engrais et traitement'!M$17=OUI,56,84))</f>
        <v>#DIV/0!</v>
      </c>
      <c r="IA117" s="1085" t="e">
        <f>IF(SUM(VLOOKUP(HN117,AlimentsRationEcuriePoneysMâles,6,FALSE)+VLOOKUP(HN117,AlimentsRationEcuriePoneysFemelles,6,FALSE))/1000/SUM(NbreJoursNourrirPoneys)*IF('semences, engrais et traitement'!M$18=OUI,56,84)&lt;0,0,SUM(VLOOKUP(HN117,AlimentsRationEcuriePoneysMâles,6,FALSE)+VLOOKUP(HN117,AlimentsRationEcuriePoneysFemelles,6,FALSE))/1000/SUM(NbreJoursNourrirPoneys)*IF('semences, engrais et traitement'!M$18=OUI,56,84))</f>
        <v>#DIV/0!</v>
      </c>
      <c r="IB117" s="1099" t="e">
        <f t="shared" si="38"/>
        <v>#DIV/0!</v>
      </c>
      <c r="IC117" s="1321"/>
      <c r="ID117" s="1321"/>
      <c r="IE117" s="1321"/>
      <c r="IF117" s="1321"/>
      <c r="IG117" s="1321"/>
      <c r="IH117" s="1321"/>
      <c r="II117" s="1321"/>
      <c r="IJ117" s="1321"/>
      <c r="IK117" s="1321"/>
      <c r="IL117" s="1321"/>
      <c r="IM117" s="1321"/>
      <c r="IN117" s="1368"/>
    </row>
    <row r="118" spans="1:248" ht="12.75" customHeight="1" x14ac:dyDescent="0.2">
      <c r="A118" s="1315" t="s">
        <v>617</v>
      </c>
      <c r="B118" s="1241">
        <f t="shared" si="39"/>
        <v>1E-3</v>
      </c>
      <c r="C118" s="1321"/>
      <c r="D118" s="1321"/>
      <c r="E118" s="1321"/>
      <c r="F118" s="1328" t="s">
        <v>1194</v>
      </c>
      <c r="G118" s="1321"/>
      <c r="H118" s="1321"/>
      <c r="I118" s="1321"/>
      <c r="J118" s="1321"/>
      <c r="K118" s="1321"/>
      <c r="L118" s="1321"/>
      <c r="M118" s="1321"/>
      <c r="N118" s="1321"/>
      <c r="O118" s="1075">
        <v>7000</v>
      </c>
      <c r="P118" s="1321"/>
      <c r="Q118" s="1321"/>
      <c r="R118" s="1321"/>
      <c r="S118" s="1321"/>
      <c r="T118" s="1321"/>
      <c r="U118" s="1321"/>
      <c r="V118" s="1321"/>
      <c r="W118" s="1321"/>
      <c r="X118" s="1321"/>
      <c r="Y118" s="1321"/>
      <c r="Z118" s="1321"/>
      <c r="AA118" s="1321"/>
      <c r="AB118" s="1321"/>
      <c r="AC118" s="1321"/>
      <c r="AD118" s="1321"/>
      <c r="AE118" s="1321"/>
      <c r="AF118" s="1321"/>
      <c r="AG118" s="1321"/>
      <c r="AH118" s="1321"/>
      <c r="AI118" s="1321"/>
      <c r="AJ118" s="1321"/>
      <c r="AK118" s="1321"/>
      <c r="AL118" s="1321"/>
      <c r="AM118" s="1321"/>
      <c r="AN118" s="1321"/>
      <c r="AO118" s="1321"/>
      <c r="AP118" s="1321"/>
      <c r="AQ118" s="1321"/>
      <c r="AR118" s="1321"/>
      <c r="AS118" s="1321"/>
      <c r="AT118" s="1321"/>
      <c r="AU118" s="1321"/>
      <c r="AV118" s="1321"/>
      <c r="AW118" s="1321"/>
      <c r="AX118" s="1321"/>
      <c r="AY118" s="1321"/>
      <c r="AZ118" s="1321"/>
      <c r="BA118" s="1321"/>
      <c r="BB118" s="1236" t="s">
        <v>1314</v>
      </c>
      <c r="BC118" s="1190" t="s">
        <v>1718</v>
      </c>
      <c r="BD118" s="1190" t="s">
        <v>1252</v>
      </c>
      <c r="BE118" s="1237">
        <v>0</v>
      </c>
      <c r="BF118" s="1237">
        <v>0</v>
      </c>
      <c r="BG118" s="1237">
        <v>0</v>
      </c>
      <c r="BH118" s="1237">
        <v>0</v>
      </c>
      <c r="BI118" s="1237">
        <v>0</v>
      </c>
      <c r="BJ118" s="1237">
        <v>0</v>
      </c>
      <c r="BK118" s="1238">
        <v>8</v>
      </c>
      <c r="BL118" s="1348"/>
      <c r="BM118" s="1076" t="str">
        <f t="shared" si="47"/>
        <v>Chanvre</v>
      </c>
      <c r="BN118" s="1267">
        <f t="array" ref="BN118">SUM((IF(QualitéAlimentsBisonneauxMâles_0_3_mois=BONNE,VLOOKUP("Chanvre",AlimentsRationHivernaleBisonsMâles,8,FALSE),0)+(IF(QualitéAlimentsBisonneauxFemelles_0_3_mois=BONNE,VLOOKUP("Chanvre",AlimentsRationHivernaleBisonsFemelles,8,FALSE),0)+(IF(QualitéAlimentsBisonneauxMâles_3_6_mois=BONNE,VLOOKUP("Chanvre",AlimentsRationHivernaleBisonsMâles,7,FALSE),0)+(IF(QualitéAlimentsBisonneauxFemelles_3_6_mois=BONNE,VLOOKUP("Chanvre",AlimentsRationHivernaleBisonsFemelles,7,FALSE),0)+(IF(QualitéAlimentsBisonneauxMâles_6_12_mois=BONNE,VLOOKUP("Chanvre",AlimentsRationHivernaleBisonsMâles,6,FALSE),0)+(IF(QualitéAlimentsBisonneauxFemelles_6_12_mois=BONNE,VLOOKUP("Chanvre",AlimentsRationHivernaleBisonsFemelles,6,FALSE),0)+(IF(QualitéAlimentsJeunesBisons_12_18_mois=BONNE,VLOOKUP("Chanvre",AlimentsRationHivernaleBisonsMâles,5,FALSE),0)+(IF(QualitéAlimentsJeunesBisonnes_12_18_mois=BONNE,VLOOKUP("Chanvre",AlimentsRationHivernaleBisonsFemelles,5,FALSE),0)+(IF(QualitéAlimentsJeunesBisons_18_24_mois=BONNE,VLOOKUP("Chanvre",AlimentsRationHivernaleBisonsMâles,4,FALSE),0)+(IF(QualitéAlimentsJeunesBisonnes_18_24_mois=BONNE,VLOOKUP("Chanvre",AlimentsRationHivernaleBisonsFemelles,4,FALSE),0)+(IF(QualitéAlimentsJeunesBisons_24_36_mois=BONNE,VLOOKUP("Chanvre",AlimentsRationHivernaleBisonsMâles,3,FALSE),0)+(IF(QualitéAlimentsJeunesBisonnes_24_36_mois=BONNE,VLOOKUP("Chanvre",AlimentsRationHivernaleBisonsFemelles,3,FALSE),0)+(IF(QualitéAlimentsBisons=BONNE,VLOOKUP("Chanvre",AlimentsRationHivernaleBisonsMâles,2,FALSE),0)+(IF(QualitéAlimentsBisonnes=BONNE,VLOOKUP("Chanvre",AlimentsRationHivernaleBisonsFemelles,2,FALSE),0))))))))))))))))</f>
        <v>0</v>
      </c>
      <c r="BO118" s="1267">
        <f t="array" ref="BO118">SUM((IF(QualitéAlimentsBisonneauxMâles_0_3_mois=MOYENNE,VLOOKUP("Chanvre",AlimentsRationHivernaleBisonsMâles,8,FALSE),0)+(IF(QualitéAlimentsBisonneauxFemelles_0_3_mois=MOYENNE,VLOOKUP("Chanvre",AlimentsRationHivernaleBisonsFemelles,8,FALSE),0)+(IF(QualitéAlimentsBisonneauxMâles_3_6_mois=MOYENNE,VLOOKUP("Chanvre",AlimentsRationHivernaleBisonsMâles,7,FALSE),0)+(IF(QualitéAlimentsBisonneauxFemelles_3_6_mois=MOYENNE,VLOOKUP("Chanvre",AlimentsRationHivernaleBisonsFemelles,7,FALSE),0)+(IF(QualitéAlimentsBisonneauxMâles_6_12_mois=MOYENNE,VLOOKUP("Chanvre",AlimentsRationHivernaleBisonsMâles,6,FALSE),0)+(IF(QualitéAlimentsBisonneauxFemelles_6_12_mois=MOYENNE,VLOOKUP("Chanvre",AlimentsRationHivernaleBisonsFemelles,6,FALSE),0)+(IF(QualitéAlimentsJeunesBisons_12_18_mois=MOYENNE,VLOOKUP("Chanvre",AlimentsRationHivernaleBisonsMâles,5,FALSE),0)+(IF(QualitéAlimentsJeunesBisonnes_12_18_mois=MOYENNE,VLOOKUP("Chanvre",AlimentsRationHivernaleBisonsFemelles,5,FALSE),0)+(IF(QualitéAlimentsJeunesBisons_18_24_mois=MOYENNE,VLOOKUP("Chanvre",AlimentsRationHivernaleBisonsMâles,4,FALSE),0)+(IF(QualitéAlimentsJeunesBisonnes_18_24_mois=MOYENNE,VLOOKUP("Chanvre",AlimentsRationHivernaleBisonsFemelles,4,FALSE),0)+(IF(QualitéAlimentsJeunesBisons_24_36_mois=MOYENNE,VLOOKUP("Chanvre",AlimentsRationHivernaleBisonsMâles,3,FALSE),0)+(IF(QualitéAlimentsJeunesBisonnes_24_36_mois=MOYENNE,VLOOKUP("Chanvre",AlimentsRationHivernaleBisonsFemelles,3,FALSE),0)+(IF(QualitéAlimentsBisons=MOYENNE,VLOOKUP("Chanvre",AlimentsRationHivernaleBisonsMâles,2,FALSE),0)+(IF(QualitéAlimentsBisonnes=MOYENNE,VLOOKUP("Chanvre",AlimentsRationHivernaleBisonsFemelles,2,FALSE),0))))))))))))))))</f>
        <v>0</v>
      </c>
      <c r="BP118" s="1267">
        <f t="array" ref="BP118">SUM((IF(QualitéAlimentsBisonneauxMâles_0_3_mois=MAUVAISE,VLOOKUP("Chanvre",AlimentsRationHivernaleBisonsMâles,8,FALSE),0)+(IF(QualitéAlimentsBisonneauxFemelles_0_3_mois=MAUVAISE,VLOOKUP("Chanvre",AlimentsRationHivernaleBisonsFemelles,8,FALSE),0)+(IF(QualitéAlimentsBisonneauxMâles_3_6_mois=MAUVAISE,VLOOKUP("Chanvre",AlimentsRationHivernaleBisonsMâles,7,FALSE),0)+(IF(QualitéAlimentsBisonneauxFemelles_3_6_mois=MAUVAISE,VLOOKUP("Chanvre",AlimentsRationHivernaleBisonsFemelles,7,FALSE),0)+(IF(QualitéAlimentsBisonneauxMâles_6_12_mois=MAUVAISE,VLOOKUP("Chanvre",AlimentsRationHivernaleBisonsMâles,6,FALSE),0)+(IF(QualitéAlimentsBisonneauxFemelles_6_12_mois=MAUVAISE,VLOOKUP("Chanvre",AlimentsRationHivernaleBisonsFemelles,6,FALSE),0)+(IF(QualitéAlimentsJeunesBisons_12_18_mois=MAUVAISE,VLOOKUP("Chanvre",AlimentsRationHivernaleBisonsMâles,5,FALSE),0)+(IF(QualitéAlimentsJeunesBisonnes_12_18_mois=MAUVAISE,VLOOKUP("Chanvre",AlimentsRationHivernaleBisonsFemelles,5,FALSE),0)+(IF(QualitéAlimentsJeunesBisons_18_24_mois=MAUVAISE,VLOOKUP("Chanvre",AlimentsRationHivernaleBisonsMâles,4,FALSE),0)+(IF(QualitéAlimentsJeunesBisonnes_18_24_mois=MAUVAISE,VLOOKUP("Chanvre",AlimentsRationHivernaleBisonsFemelles,4,FALSE),0)+(IF(QualitéAlimentsJeunesBisons_24_36_mois=MAUVAISE,VLOOKUP("Chanvre",AlimentsRationHivernaleBisonsMâles,3,FALSE),0)+(IF(QualitéAlimentsJeunesBisonnes_24_36_mois=MAUVAISE,VLOOKUP("Chanvre",AlimentsRationHivernaleBisonsFemelles,3,FALSE),0)+(IF(QualitéAlimentsBisons=MAUVAISE,VLOOKUP("Chanvre",AlimentsRationHivernaleBisonsMâles,2,FALSE),0)+(IF(QualitéAlimentsBisonnes=MAUVAISE,VLOOKUP("Chanvre",AlimentsRationHivernaleBisonsFemelles,2,FALSE),0))))))))))))))))</f>
        <v>0</v>
      </c>
      <c r="BQ118" s="1346"/>
      <c r="BR118" s="1346"/>
      <c r="BS118" s="1346"/>
      <c r="BT118" s="1346"/>
      <c r="BU118" s="1346"/>
      <c r="BV118" s="1345"/>
      <c r="BW118" s="1345"/>
      <c r="BX118" s="1076" t="s">
        <v>331</v>
      </c>
      <c r="BY118" s="1076">
        <f t="array" ref="BY118">IF(ChoixRationComplèteCaprins=OUI,0,IFERROR(IF(OR(AND(INDEX(Règles_caprins[Specificite],MATCH(ChoixRationCaprins&amp;$BX118,Règles_caprins[Ration]&amp;Règles_caprins[Aliment],0))="s1",IF($BX118=Spécificité1Caprins,1)),
INDEX(Règles_caprins[Specificite],MATCH(ChoixRationCaprins&amp;$BX118,Règles_caprins[Ration]&amp;Règles_caprins[Aliment],0))="c"),
INDEX(Règles_caprins[Valeur 12 et plus],MATCH(ChoixRationCaprins&amp;$BX118,Règles_caprins[Ration]&amp;Règles_caprins[Aliment],0)),0),0)*TotalBoucs*SUM(NbreJoursNourrirCaprins))</f>
        <v>0</v>
      </c>
      <c r="BZ118" s="1076">
        <f t="array" ref="BZ118">IF(ChoixRationComplèteCaprins=OUI,0,IFERROR(IF(OR(AND(INDEX(Règles_caprins[Specificite],MATCH(ChoixRationCaprins&amp;$BX118,Règles_caprins[Ration]&amp;Règles_caprins[Aliment],0))="s1",IF($BX118=Spécificité1Caprins,1)),
INDEX(Règles_caprins[Specificite],MATCH(ChoixRationCaprins&amp;$BX118,Règles_caprins[Ration]&amp;Règles_caprins[Aliment],0))="c"),
INDEX(Règles_caprins[Valeur 6-12],MATCH(ChoixRationCaprins&amp;$BX118,Règles_caprins[Ration]&amp;Règles_caprins[Aliment],0)),0),0)*jeune_bouc_6_12_mois*SUM(NbreJoursNourrirCaprins))</f>
        <v>0</v>
      </c>
      <c r="CA118" s="1076">
        <f t="array" ref="CA118">IF(ChoixRationComplèteCaprins=OUI,0,IFERROR(IF(OR(AND(INDEX(Règles_caprins[Specificite],MATCH(ChoixRationCaprins&amp;$BX118,Règles_caprins[Ration]&amp;Règles_caprins[Aliment],0))="s1",IF($BX118=Spécificité1Caprins,1)),
INDEX(Règles_caprins[Specificite],MATCH(ChoixRationCaprins&amp;$BX118,Règles_caprins[Ration]&amp;Règles_caprins[Aliment],0))="c"),
INDEX(Règles_caprins[Valeur 3-6],MATCH(ChoixRationCaprins&amp;$BX118,Règles_caprins[Ration]&amp;Règles_caprins[Aliment],0)),0),0)*chevreau_3_6_mois*SUM(NbreJoursNourrirCaprins))</f>
        <v>0</v>
      </c>
      <c r="CB118" s="1076">
        <f t="array" ref="CB118">IF(ChoixRationComplèteCaprins=OUI,0,IFERROR(IF(OR(AND(INDEX(Règles_caprins[Specificite],MATCH(ChoixRationCaprins&amp;$BX118,Règles_caprins[Ration]&amp;Règles_caprins[Aliment],0))="s1",IF($BX118=Spécificité1Caprins,1)),
INDEX(Règles_caprins[Specificite],MATCH(ChoixRationCaprins&amp;$BX118,Règles_caprins[Ration]&amp;Règles_caprins[Aliment],0))="c"),
INDEX(Règles_caprins[Valeur 0-3],MATCH(ChoixRationCaprins&amp;$BX118,Règles_caprins[Ration]&amp;Règles_caprins[Aliment],0)),0),0)*chevreau_0_3_mois*SUM(NbreJoursNourrirCaprins))</f>
        <v>0</v>
      </c>
      <c r="CC118" s="1076">
        <f t="shared" si="45"/>
        <v>0</v>
      </c>
      <c r="CD118" s="1345"/>
      <c r="CE118" s="1345"/>
      <c r="CF118" s="1345"/>
      <c r="CG118" s="1345"/>
      <c r="CH118" s="1321"/>
      <c r="CI118" s="1321"/>
      <c r="CJ118" s="808" t="str">
        <f t="shared" si="26"/>
        <v>Tourteau de colza</v>
      </c>
      <c r="CK118" s="788">
        <f t="array" ref="CK11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18" s="788">
        <f t="array" ref="CL11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18" s="788">
        <f t="array" ref="CM11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18" s="788">
        <f t="array" ref="CN11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18" s="788">
        <f t="array" ref="CO118">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18" s="812">
        <f>SUM(AlimentsRationPorcinsFemelles[[#This Row],[Valeur 12 et plus]:[Valeur 0-1]])</f>
        <v>0</v>
      </c>
      <c r="CQ118" s="1345"/>
      <c r="CR118" s="1321"/>
      <c r="CS118" s="808" t="str">
        <f t="shared" si="40"/>
        <v>Minéraux + vitamines</v>
      </c>
      <c r="CT118" s="817">
        <f t="array" ref="CT118">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18" s="817">
        <f t="array" ref="CU118">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18" s="817">
        <f t="array" ref="CV118">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18" s="818">
        <f>SUM(AlimentsRationLapinsFemelles[[#This Row],[Valeur 3 et plus]:[Valeur 0-1]])</f>
        <v>0</v>
      </c>
      <c r="CX118" s="1321"/>
      <c r="CY118" s="1321"/>
      <c r="CZ118" s="808" t="str">
        <f t="shared" si="41"/>
        <v>Minéraux + vitamines</v>
      </c>
      <c r="DA118" s="817">
        <f t="array" ref="DA118">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18" s="817">
        <f t="array" ref="DB118">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18" s="817">
        <f t="array" ref="DC118">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18" s="818">
        <f>SUM(AlimentsRationVolaillesFemelles[[#This Row],[Valeur 6 et plus]:[Valeur 0-1]])</f>
        <v>0</v>
      </c>
      <c r="DE118" s="1321"/>
      <c r="DF118" s="1321"/>
      <c r="DG118" s="788" t="str">
        <f t="shared" si="27"/>
        <v>Sorgho ensilé</v>
      </c>
      <c r="DH118" s="817">
        <f t="array" ref="DH11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18" s="817">
        <f t="array" ref="DI11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18" s="817">
        <f t="array" ref="DJ11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18" s="821">
        <f>SUM(AlimentsRationPintadesFemelles[[#This Row],[Valeur 6 et plus]:[Valeur 0-1]])</f>
        <v>0</v>
      </c>
      <c r="DL118" s="1321"/>
      <c r="DM118" s="1321"/>
      <c r="DN118" s="1176" t="s">
        <v>837</v>
      </c>
      <c r="DO118" s="1177" t="s">
        <v>219</v>
      </c>
      <c r="DP118" s="1177" t="s">
        <v>1252</v>
      </c>
      <c r="DQ118" s="1181">
        <v>8</v>
      </c>
      <c r="DR118" s="1181">
        <v>6</v>
      </c>
      <c r="DS118" s="1181">
        <v>4</v>
      </c>
      <c r="DT118" s="1243">
        <v>0</v>
      </c>
      <c r="DU118" s="1345"/>
      <c r="DV118" s="1321"/>
      <c r="DW118" s="1321"/>
      <c r="DX118" s="1321"/>
      <c r="DY118" s="1321"/>
      <c r="DZ118" s="1321"/>
      <c r="EA118" s="1321"/>
      <c r="EB118" s="1321"/>
      <c r="EC118" s="1321"/>
      <c r="ED118" s="1345"/>
      <c r="EE118" s="1345"/>
      <c r="EF118" s="1321"/>
      <c r="EG118" s="808" t="str">
        <f t="shared" si="31"/>
        <v>Pomme de terre</v>
      </c>
      <c r="EH118" s="817">
        <f t="array" ref="EH11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18" s="817">
        <f t="array" ref="EI11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18" s="817">
        <f t="array" ref="EJ11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18" s="818">
        <f>SUM(AlimentsRationOiesFemelles[[#This Row],[Valeur 6 et plus]:[Valeur 0-3]])</f>
        <v>0</v>
      </c>
      <c r="EL118" s="1345"/>
      <c r="EM118" s="1321"/>
      <c r="EN118" s="823" t="str">
        <f t="shared" si="29"/>
        <v>Pulpe déshydratée de betterave</v>
      </c>
      <c r="EO118" s="828">
        <f t="array" ref="EO11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18" s="828">
        <f t="array" ref="EP11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18" s="828">
        <f t="array" ref="EQ11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18" s="829">
        <f>SUM(Ration_canards_Femelles[[#This Row],[Valeur 6 et plus]:[Valeur 0-3]])</f>
        <v>0</v>
      </c>
      <c r="ES118" s="1345"/>
      <c r="ET118" s="1321"/>
      <c r="EU118" s="1082" t="str">
        <f t="shared" si="44"/>
        <v>Lentille</v>
      </c>
      <c r="EV118" s="1282">
        <f t="array" ref="EV118">IF(OR(ChoixRationComplèteEtéChevauxSelle=OUI,ChoixRationComplèteEtéChevauxSelle="",AND(ChoixChevauxSellePréHiver=OUI,ChoixChevauxSellePréEté=OUI)),0,IFERROR(IF(OR(AND(INDEX(Règles_chevaux_selle[Specificite],MATCH(RationEtéChevauxSelle&amp;$EU118,Règles_chevaux_selle[Ration]&amp;Règles_chevaux_selle[Aliment],0))="s1",IF($EU118=Spécificité1ChevauxSelle,1)),
AND(INDEX(Règles_chevaux_selle[Specificite],MATCH(RationEtéChevauxSelle&amp;$EU118,Règles_chevaux_selle[Ration]&amp;Règles_chevaux_selle[Aliment],0))="s2",IF($EU118=Spécificité2ChevauxSelle,1)),
INDEX(Règles_chevaux_selle[Specificite],MATCH(RationEtéChevauxSelle&amp;$EU118,Règles_chevaux_selle[Ration]&amp;Règles_chevaux_selle[Aliment],0))="c"),
INDEX(Règles_chevaux_selle[Valeur 36 et plus],MATCH(RationEtéChevauxSelle&amp;$EU118,Règles_chevaux_selle[Ration]&amp;Règles_chevaux_selle[Aliment],0)),0),0)*TotalJumentSelle*SUM(NbreJoursNourrirChevauxSelle))</f>
        <v>0</v>
      </c>
      <c r="EW118" s="1282">
        <f t="array" ref="EW118">IF(OR(ChoixRationComplèteEtéChevauxSelle=OUI,ChoixRationComplèteEtéChevauxSelle="",AND(ChoixChevauxSellePréHiver=OUI,ChoixChevauxSellePréEté=OUI)),0,IFERROR(IF(OR(AND(INDEX(Règles_chevaux_selle[Specificite],MATCH(RationEtéChevauxSelle&amp;$EU118,Règles_chevaux_selle[Ration]&amp;Règles_chevaux_selle[Aliment],0))="s1",IF($EU118=Spécificité1ChevauxSelle,1)),
AND(INDEX(Règles_chevaux_selle[Specificite],MATCH(RationEtéChevauxSelle&amp;$EU118,Règles_chevaux_selle[Ration]&amp;Règles_chevaux_selle[Aliment],0))="s2",IF($EU118=Spécificité2ChevauxSelle,1)),
INDEX(Règles_chevaux_selle[Specificite],MATCH(RationEtéChevauxSelle&amp;$EU118,Règles_chevaux_selle[Ration]&amp;Règles_chevaux_selle[Aliment],0))="c"),
INDEX(Règles_chevaux_selle[Valeur 24-36],MATCH(RationEtéChevauxSelle&amp;$EU118,Règles_chevaux_selle[Ration]&amp;Règles_chevaux_selle[Aliment],0)),0),0)*TotalJeuneJumentSelle_24_36_mois*SUM(NbreJoursNourrirChevauxSelle))</f>
        <v>0</v>
      </c>
      <c r="EX118" s="1282">
        <f t="array" ref="EX118">IF(OR(ChoixRationComplèteEtéChevauxSelle=OUI,ChoixRationComplèteEtéChevauxSelle="",AND(ChoixChevauxSellePréHiver=OUI,ChoixChevauxSellePréEté=OUI)),0,IFERROR(IF(OR(AND(INDEX(Règles_chevaux_selle[Specificite],MATCH(RationEtéChevauxSelle&amp;$EU118,Règles_chevaux_selle[Ration]&amp;Règles_chevaux_selle[Aliment],0))="s1",IF($EU118=Spécificité1ChevauxSelle,1)),
AND(INDEX(Règles_chevaux_selle[Specificite],MATCH(RationEtéChevauxSelle&amp;$EU118,Règles_chevaux_selle[Ration]&amp;Règles_chevaux_selle[Aliment],0))="s2",IF($EU118=Spécificité2ChevauxSelle,1)),
INDEX(Règles_chevaux_selle[Specificite],MATCH(RationEtéChevauxSelle&amp;$EU118,Règles_chevaux_selle[Ration]&amp;Règles_chevaux_selle[Aliment],0))="c"),
INDEX(Règles_chevaux_selle[Valeur 12-24],MATCH(RationEtéChevauxSelle&amp;$EU118,Règles_chevaux_selle[Ration]&amp;Règles_chevaux_selle[Aliment],0)),0),0)*TotalJeuneJumentSelle_12_24_mois*SUM(NbreJoursNourrirChevauxSelle))</f>
        <v>0</v>
      </c>
      <c r="EY118" s="1285">
        <f t="array" ref="EY118">IF(OR(ChoixRationComplèteEtéChevauxSelle=OUI,ChoixRationComplèteEtéChevauxSelle="",AND(ChoixChevauxSellePréHiver=OUI,ChoixChevauxSellePréEté=OUI)),0,IFERROR(IF(OR(AND(INDEX(Règles_chevaux_selle[Specificite],MATCH(RationEtéChevauxSelle&amp;$EU118,Règles_chevaux_selle[Ration]&amp;Règles_chevaux_selle[Aliment],0))="s1",IF($EU118=Spécificité1ChevauxSelle,1)),
AND(INDEX(Règles_chevaux_selle[Specificite],MATCH(RationEtéChevauxSelle&amp;$EU118,Règles_chevaux_selle[Ration]&amp;Règles_chevaux_selle[Aliment],0))="s2",IF($EU118=Spécificité2ChevauxSelle,1)),
INDEX(Règles_chevaux_selle[Specificite],MATCH(RationEtéChevauxSelle&amp;$EU118,Règles_chevaux_selle[Ration]&amp;Règles_chevaux_selle[Aliment],0))="c"),
INDEX(Règles_chevaux_selle[Valeur 0-12],MATCH(RationEtéChevauxSelle&amp;$EU118,Règles_chevaux_selle[Ration]&amp;Règles_chevaux_selle[Aliment],0)),0),0)*TotalPoulicheSelle_0_12_mois*SUM(NbreJoursNourrirChevauxSelle))</f>
        <v>0</v>
      </c>
      <c r="EZ118" s="1285">
        <f t="shared" si="43"/>
        <v>0</v>
      </c>
      <c r="FA118" s="1345"/>
      <c r="FB118" s="1345"/>
      <c r="FC118" s="1321"/>
      <c r="FD118" s="1082" t="str">
        <f t="shared" si="34"/>
        <v>Pois</v>
      </c>
      <c r="FE118" s="1282">
        <f t="array" ref="FE118">IF(OR(ChoixRationComplèteEtéChevauxTrait=OUI,ChoixRationComplèteEtéChevauxTrait="",AND(ChoixChevauxTraitPréHiver=OUI,ChoixChevauxTraitPréEté=OUI)),0,IFERROR(IF(OR(AND(INDEX(Règles_chevaux_trait[Specificite],MATCH(RationEtéChevauxTrait&amp;$FD118,Règles_chevaux_trait[Ration]&amp;Règles_chevaux_trait[Aliment],0))="s1",IF($FD118=Spécificité1ChevauxTrait,1)),
AND(INDEX(Règles_chevaux_trait[Specificite],MATCH(RationEtéChevauxTrait&amp;$FD118,Règles_chevaux_trait[Ration]&amp;Règles_chevaux_trait[Aliment],0))="s2",IF($FD118=Spécificité2ChevauxTrait,1)),
INDEX(Règles_chevaux_trait[Specificite],MATCH(RationEtéChevauxTrait&amp;$FD118,Règles_chevaux_trait[Ration]&amp;Règles_chevaux_trait[Aliment],0))="c"),
INDEX(Règles_chevaux_trait[Valeur 36 et plus],MATCH(RationEtéChevauxTrait&amp;$FD118,Règles_chevaux_trait[Ration]&amp;Règles_chevaux_trait[Aliment],0)),0),0)*TotalJumentTrait*SUM(NbreJoursNourrirChevauxTrait))</f>
        <v>0</v>
      </c>
      <c r="FF118" s="1282">
        <f t="array" ref="FF118">IF(OR(ChoixRationComplèteEtéChevauxTrait=OUI,ChoixRationComplèteEtéChevauxTrait="",AND(ChoixChevauxTraitPréHiver=OUI,ChoixChevauxTraitPréEté=OUI)),0,IFERROR(IF(OR(AND(INDEX(Règles_chevaux_trait[Specificite],MATCH(RationEtéChevauxTrait&amp;$FD118,Règles_chevaux_trait[Ration]&amp;Règles_chevaux_trait[Aliment],0))="s1",IF($FD118=Spécificité1ChevauxTrait,1)),
AND(INDEX(Règles_chevaux_trait[Specificite],MATCH(RationEtéChevauxTrait&amp;$FD118,Règles_chevaux_trait[Ration]&amp;Règles_chevaux_trait[Aliment],0))="s2",IF($FD118=Spécificité2ChevauxTrait,1)),
INDEX(Règles_chevaux_trait[Specificite],MATCH(RationEtéChevauxTrait&amp;$FD118,Règles_chevaux_trait[Ration]&amp;Règles_chevaux_trait[Aliment],0))="c"),
INDEX(Règles_chevaux_trait[Valeur 24-36],MATCH(RationEtéChevauxTrait&amp;$FD118,Règles_chevaux_trait[Ration]&amp;Règles_chevaux_trait[Aliment],0)),0),0)*TotalJeuneJumentTrait_24_36_mois*SUM(NbreJoursNourrirChevauxTrait))</f>
        <v>0</v>
      </c>
      <c r="FG118" s="1282">
        <f t="array" ref="FG118">IF(OR(ChoixRationComplèteEtéChevauxTrait=OUI,ChoixRationComplèteEtéChevauxTrait="",AND(ChoixChevauxTraitPréHiver=OUI,ChoixChevauxTraitPréEté=OUI)),0,IFERROR(IF(OR(AND(INDEX(Règles_chevaux_trait[Specificite],MATCH(RationEtéChevauxTrait&amp;$FD118,Règles_chevaux_trait[Ration]&amp;Règles_chevaux_trait[Aliment],0))="s1",IF($FD118=Spécificité1ChevauxTrait,1)),
AND(INDEX(Règles_chevaux_trait[Specificite],MATCH(RationEtéChevauxTrait&amp;$FD118,Règles_chevaux_trait[Ration]&amp;Règles_chevaux_trait[Aliment],0))="s2",IF($FD118=Spécificité2ChevauxTrait,1)),
INDEX(Règles_chevaux_trait[Specificite],MATCH(RationEtéChevauxTrait&amp;$FD118,Règles_chevaux_trait[Ration]&amp;Règles_chevaux_trait[Aliment],0))="c"),
INDEX(Règles_chevaux_trait[Valeur 12-24],MATCH(RationEtéChevauxTrait&amp;$FD118,Règles_chevaux_trait[Ration]&amp;Règles_chevaux_trait[Aliment],0)),0),0)*TotalJeuneJumentTrait_12_24_mois*SUM(NbreJoursNourrirChevauxTrait))</f>
        <v>0</v>
      </c>
      <c r="FH118" s="1285">
        <f t="array" ref="FH118">IF(OR(ChoixRationComplèteEtéChevauxTrait=OUI,ChoixRationComplèteEtéChevauxTrait="",AND(ChoixChevauxTraitPréHiver=OUI,ChoixChevauxTraitPréEté=OUI)),0,IFERROR(IF(OR(AND(INDEX(Règles_chevaux_trait[Specificite],MATCH(RationEtéChevauxTrait&amp;$FD118,Règles_chevaux_trait[Ration]&amp;Règles_chevaux_trait[Aliment],0))="s1",IF($FD118=Spécificité1ChevauxTrait,1)),
AND(INDEX(Règles_chevaux_trait[Specificite],MATCH(RationEtéChevauxTrait&amp;$FD118,Règles_chevaux_trait[Ration]&amp;Règles_chevaux_trait[Aliment],0))="s2",IF($FD118=Spécificité2ChevauxTrait,1)),
INDEX(Règles_chevaux_trait[Specificite],MATCH(RationEtéChevauxTrait&amp;$FD118,Règles_chevaux_trait[Ration]&amp;Règles_chevaux_trait[Aliment],0))="c"),
INDEX(Règles_chevaux_trait[Valeur 0-12],MATCH(RationEtéChevauxTrait&amp;$FD118,Règles_chevaux_trait[Ration]&amp;Règles_chevaux_trait[Aliment],0)),0),0)*TotalPoulicheTrait_0_12_mois*SUM(NbreJoursNourrirChevauxTrait))</f>
        <v>0</v>
      </c>
      <c r="FI118" s="1285">
        <f t="shared" si="32"/>
        <v>0</v>
      </c>
      <c r="FJ118" s="1345"/>
      <c r="FK118" s="1345"/>
      <c r="FL118" s="1345"/>
      <c r="FM118" s="1321"/>
      <c r="FN118" s="1083" t="str">
        <f t="shared" si="33"/>
        <v>Pomme de terre</v>
      </c>
      <c r="FO118" s="1283">
        <f t="array" ref="FO118">IF(OR(ChoixRationComplèteEtéPoneys=OUI,ChoixRationComplèteEtéPoneys="",AND(ChoixPoneysPréHiver=OUI,ChoixPoneysPréEté=OUI)),0,IFERROR(IF(OR(AND(INDEX(Règles_poneys[Specificite],MATCH(RationEtéPoneys&amp;$FN118,Règles_poneys[Ration]&amp;Règles_poneys[Aliment],0))="s1",IF($FN118=Spécificité1Poneys,1)),
AND(INDEX(Règles_poneys[Specificite],MATCH(RationEtéPoneys&amp;$FN118,Règles_poneys[Ration]&amp;Règles_poneys[Aliment],0))="s2",IF($FN118=Spécificité2Poneys,1)),
INDEX(Règles_poneys[Specificite],MATCH(RationEtéPoneys&amp;$FN118,Règles_poneys[Ration]&amp;Règles_poneys[Aliment],0))="c"),
INDEX(Règles_poneys[Valeur 36 et plus],MATCH(RationEtéPoneys&amp;$FN118,Règles_poneys[Ration]&amp;Règles_poneys[Aliment],0)),0),0)*TotalJumentPoney*SUM(NbreJoursNourrirPoneys))</f>
        <v>0</v>
      </c>
      <c r="FP118" s="1283">
        <f t="array" ref="FP118">IF(OR(ChoixRationComplèteEtéPoneys=OUI,ChoixRationComplèteEtéPoneys="",AND(ChoixPoneysPréHiver=OUI,ChoixPoneysPréEté=OUI)),0,IFERROR(IF(OR(AND(INDEX(Règles_poneys[Specificite],MATCH(RationEtéPoneys&amp;$FN118,Règles_poneys[Ration]&amp;Règles_poneys[Aliment],0))="s1",IF($FN118=Spécificité1Poneys,1)),
AND(INDEX(Règles_poneys[Specificite],MATCH(RationEtéPoneys&amp;$FN118,Règles_poneys[Ration]&amp;Règles_poneys[Aliment],0))="s2",IF($FN118=Spécificité2Poneys,1)),
INDEX(Règles_poneys[Specificite],MATCH(RationEtéPoneys&amp;$FN118,Règles_poneys[Ration]&amp;Règles_poneys[Aliment],0))="c"),
INDEX(Règles_poneys[Valeur 36 et plus],MATCH(RationEtéPoneys&amp;$FN118,Règles_poneys[Ration]&amp;Règles_poneys[Aliment],0)),0),0)*TotalJeuneJumentPoney_24_36_mois*SUM(NbreJoursNourrirPoneys))</f>
        <v>0</v>
      </c>
      <c r="FQ118" s="1283">
        <f t="array" ref="FQ118">IF(OR(ChoixRationComplèteEtéPoneys=OUI,ChoixRationComplèteEtéPoneys="",AND(ChoixPoneysPréHiver=OUI,ChoixPoneysPréEté=OUI)),0,IFERROR(IF(OR(AND(INDEX(Règles_poneys[Specificite],MATCH(RationEtéPoneys&amp;$FN118,Règles_poneys[Ration]&amp;Règles_poneys[Aliment],0))="s1",IF($FN118=Spécificité1Poneys,1)),
AND(INDEX(Règles_poneys[Specificite],MATCH(RationEtéPoneys&amp;$FN118,Règles_poneys[Ration]&amp;Règles_poneys[Aliment],0))="s2",IF($FN118=Spécificité2Poneys,1)),
INDEX(Règles_poneys[Specificite],MATCH(RationEtéPoneys&amp;$FN118,Règles_poneys[Ration]&amp;Règles_poneys[Aliment],0))="c"),
INDEX(Règles_poneys[Valeur 36 et plus],MATCH(RationEtéPoneys&amp;$FN118,Règles_poneys[Ration]&amp;Règles_poneys[Aliment],0)),0),0)*TotalJeuneJumentPoney_12_24_mois*SUM(NbreJoursNourrirPoneys))</f>
        <v>0</v>
      </c>
      <c r="FR118" s="1286">
        <f t="array" ref="FR118">IF(OR(ChoixRationComplèteEtéPoneys=OUI,ChoixRationComplèteEtéPoneys="",AND(ChoixPoneysPréHiver=OUI,ChoixPoneysPréEté=OUI)),0,IFERROR(IF(OR(AND(INDEX(Règles_poneys[Specificite],MATCH(RationEtéPoneys&amp;$FN118,Règles_poneys[Ration]&amp;Règles_poneys[Aliment],0))="s1",IF($FN118=Spécificité1Poneys,1)),
AND(INDEX(Règles_poneys[Specificite],MATCH(RationEtéPoneys&amp;$FN118,Règles_poneys[Ration]&amp;Règles_poneys[Aliment],0))="s2",IF($FN118=Spécificité2Poneys,1)),
INDEX(Règles_poneys[Specificite],MATCH(RationEtéPoneys&amp;$FN118,Règles_poneys[Ration]&amp;Règles_poneys[Aliment],0))="c"),
INDEX(Règles_poneys[Valeur 36 et plus],MATCH(RationEtéPoneys&amp;$FN118,Règles_poneys[Ration]&amp;Règles_poneys[Aliment],0)),0),0)*TotalPoulichePoney_0_12_mois*SUM(NbreJoursNourrirPoneys))</f>
        <v>0</v>
      </c>
      <c r="FS118" s="1286">
        <f t="shared" si="30"/>
        <v>0</v>
      </c>
      <c r="FT118" s="1345"/>
      <c r="FU118" s="1345"/>
      <c r="FV118" s="1345"/>
      <c r="FW118" s="823" t="str">
        <f t="shared" si="28"/>
        <v>Sorgho ensilé</v>
      </c>
      <c r="FX118" s="828">
        <f t="array" ref="FX11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18" s="828">
        <f t="array" ref="FY11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18" s="828">
        <f t="array" ref="FZ11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18" s="828">
        <f t="array" ref="GA11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18" s="829">
        <f>SUM(AlimentsGavageCanards[[#This Row],[Valeur 3 et plus]:[Valeur 0-1]])</f>
        <v>0</v>
      </c>
      <c r="GC118" s="1321"/>
      <c r="GD118" s="1321"/>
      <c r="GE118" s="1321"/>
      <c r="GF118" s="1321"/>
      <c r="GG118" s="1321" t="s">
        <v>1349</v>
      </c>
      <c r="GH118" s="1321" t="s">
        <v>1349</v>
      </c>
      <c r="GI118" s="1321" t="s">
        <v>1349</v>
      </c>
      <c r="GJ118" s="1321" t="s">
        <v>1349</v>
      </c>
      <c r="GK118" s="1321" t="s">
        <v>1349</v>
      </c>
      <c r="GL118" s="1321" t="s">
        <v>1349</v>
      </c>
      <c r="GM118" s="1321" t="s">
        <v>1349</v>
      </c>
      <c r="GN118" s="1321" t="s">
        <v>1349</v>
      </c>
      <c r="GO118" s="1321" t="s">
        <v>1349</v>
      </c>
      <c r="GP118" s="1321" t="s">
        <v>1349</v>
      </c>
      <c r="GQ118" s="1321" t="s">
        <v>1349</v>
      </c>
      <c r="GR118" s="1321" t="s">
        <v>1349</v>
      </c>
      <c r="GS118" s="1321" t="s">
        <v>1349</v>
      </c>
      <c r="GT118" s="1321" t="s">
        <v>1349</v>
      </c>
      <c r="GU118" s="1321" t="s">
        <v>1349</v>
      </c>
      <c r="GV118" s="1321" t="s">
        <v>1349</v>
      </c>
      <c r="GW118" s="1321"/>
      <c r="GX118" s="1321"/>
      <c r="GY118" s="1321"/>
      <c r="GZ118" s="1321"/>
      <c r="HA118" s="1321"/>
      <c r="HB118" s="1321"/>
      <c r="HC118" s="1321"/>
      <c r="HD118" s="1321"/>
      <c r="HE118" s="1321"/>
      <c r="HF118" s="1321"/>
      <c r="HG118" s="1321"/>
      <c r="HH118" s="1321"/>
      <c r="HI118" s="1321"/>
      <c r="HJ118" s="1321"/>
      <c r="HK118" s="1321"/>
      <c r="HL118" s="1321"/>
      <c r="HM118" s="1321"/>
      <c r="HN118" s="1083" t="s">
        <v>725</v>
      </c>
      <c r="HO118" s="1084" t="e">
        <f>IF(SUM((VLOOKUP(HN118,AlimentsRationBovinsMâles,9,FALSE)+VLOOKUP(HN118,AlimentsRationBovinsFemelles,9,FALSE)+VLOOKUP(HN118,BDD!BB$284:BJ$323,9,FALSE)+SUM(LitièreBovins[[#Totals],[Litière tout bovins]:[litière races laitières]]))/1000/SUM(NbreJoursNourrirBovins)*IF('semences, engrais et traitement'!I$16=OUI,42,84))&lt;0,0,SUM((VLOOKUP(HN118,AlimentsRationBovinsMâles,9,FALSE)+VLOOKUP(HN118,AlimentsRationBovinsFemelles,9,FALSE)+VLOOKUP(HN118,BDD!BB$284:BJ$323,9,FALSE)+SUM(LitièreBovins[[#Totals],[Litière tout bovins]:[litière races laitières]]))/1000/SUM(NbreJoursNourrirBovins)*IF('semences, engrais et traitement'!I$16=OUI,42,84)))</f>
        <v>#DIV/0!</v>
      </c>
      <c r="HP118" s="1084">
        <f t="shared" si="36"/>
        <v>0</v>
      </c>
      <c r="HQ118" s="1084" t="e">
        <f>IF(SUM(VLOOKUP(HN118,AlimentsRationPorcinsMâles[],7,FALSE)+VLOOKUP(HN118,AlimentsRationPorcinsFemelles[],7,FALSE)+LitièrePorcins[[#Totals],[litière]])/1000/SUM(NbreJoursNourrirAutres)*84&lt;0,0,(SUM(VLOOKUP(HN118,AlimentsRationPorcinsMâles[],7,FALSE)+VLOOKUP(HN118,AlimentsRationPorcinsFemelles[],7,FALSE)+LitièrePorcins[[#Totals],[litière]])/1000/SUM(NbreJoursNourrirAutres)*84))</f>
        <v>#DIV/0!</v>
      </c>
      <c r="HR118" s="1084" t="e">
        <f>IF(SUM(VLOOKUP(HN118,AlimentsRationCaprinsMâles,6,FALSE)+VLOOKUP(HN118,AlimentsRationCaprinsFemelles,6,FALSE))/1000/SUM(NbreJoursNourrirCaprins)*IF('semences, engrais et traitement'!I$17=OUI,42,84)&lt;0,0,SUM(VLOOKUP(HN118,AlimentsRationCaprinsMâles,6,FALSE)+VLOOKUP(HN118,AlimentsRationCaprinsFemelles,6,FALSE))/1000/SUM(NbreJoursNourrirCaprins)*IF('semences, engrais et traitement'!I$17=OUI,42,84))</f>
        <v>#DIV/0!</v>
      </c>
      <c r="HS118" s="1084" t="e">
        <f>IF(SUM(VLOOKUP(HN118,AlimentsRationVolaillesMâles[],5,FALSE)+VLOOKUP(HN118,AlimentsRationVolaillesFemelles[],5,FALSE)+LitièreVolailles[[#Totals],[litière]])/1000/SUM(NbreJoursNourrirAutres)*84&lt;0,0,(SUM(VLOOKUP(HN118,AlimentsRationVolaillesMâles[],5,FALSE)+VLOOKUP(HN118,AlimentsRationVolaillesFemelles[],5,FALSE)+LitièreVolailles[[#Totals],[litière]])/1000/SUM(NbreJoursNourrirAutres)*84))</f>
        <v>#DIV/0!</v>
      </c>
      <c r="HT118" s="1084" t="e">
        <f>IF(SUM(VLOOKUP(HN118,AlimentsRationPintadesMâles[],5,FALSE)+VLOOKUP(HN118,AlimentsRationPintadesFemelles[],5,FALSE)+LitièrePintades[[#Totals],[litière]])/1000/SUM(NbreJoursNourrirAutres)*84&lt;0,0,(SUM(VLOOKUP(HN118,AlimentsRationPintadesMâles[],5,FALSE)+VLOOKUP(HN118,AlimentsRationPintadesFemelles[],5,FALSE)+LitièrePintades[[#Totals],[litière]])/1000/SUM(NbreJoursNourrirAutres)*84))</f>
        <v>#DIV/0!</v>
      </c>
      <c r="HU118" s="1084" t="e">
        <f>IF(SUM(VLOOKUP(HN118,AlimentsRationLapinsMâles[],5,FALSE)+VLOOKUP(HN118,AlimentsRationLapinsFemelles[],5,FALSE)+LitièreLapins[[#Totals],[litière]])/1000/SUM(NbreJoursNourrirAutres)*84&lt;0,0,(SUM(VLOOKUP(HN118,AlimentsRationLapinsMâles[],5,FALSE)+VLOOKUP(HN118,AlimentsRationLapinsFemelles[],5,FALSE)+LitièreLapins[[#Totals],[litière]])/1000/SUM(NbreJoursNourrirAutres)*84))</f>
        <v>#DIV/0!</v>
      </c>
      <c r="HV118" s="1084" t="e">
        <f>IF(SUM(VLOOKUP(HN118,AlimentsRationOvinsMâles,6,FALSE)+VLOOKUP(HN118,AlimentsRationOvinsFemelles,6,FALSE))/1000/SUM(NbreJoursNourrirOvins)*IF('semences, engrais et traitement'!I$18=OUI,42,84)&lt;0,0,SUM(VLOOKUP(HN118,AlimentsRationOvinsMâles,6,FALSE)+VLOOKUP(HN118,AlimentsRationOvinsFemelles,6,FALSE))/1000/SUM(NbreJoursNourrirOvins)*IF('semences, engrais et traitement'!I$18=OUI,42,84))</f>
        <v>#DIV/0!</v>
      </c>
      <c r="HW118" s="1084" t="e">
        <f>IF(SUM(VLOOKUP(HN118,AlimentsRationOiesMâles[],5,FALSE)+VLOOKUP(HN118,AlimentsRationOiesFemelles[],5,FALSE)+LitièreOies[[#Totals],[litière]])/1000/SUM(NbreJoursNourrirAutres)*84&lt;0,0,(SUM(VLOOKUP(HN118,AlimentsRationOiesMâles[],5,FALSE)+VLOOKUP(HN118,AlimentsRationOiesFemelles[],5,FALSE)+LitièreOies[[#Totals],[litière]])/1000/SUM(NbreJoursNourrirAutres)*84))</f>
        <v>#DIV/0!</v>
      </c>
      <c r="HX118" s="1084" t="e">
        <f>IF(SUM(VLOOKUP(HN118,AlimentsRationCanardsMâles,5,FALSE)+VLOOKUP(HN118,AlimentsRationCanardsFemelles,5,FALSE)+LitièreCanards[[#Totals],[litière]])/1000/SUM(NbreJoursNourrirAutres)*84&lt;0,0,(SUM(VLOOKUP(HN118,AlimentsRationCanardsMâles,5,FALSE)+VLOOKUP(HN118,AlimentsRationCanardsFemelles,5,FALSE)+LitièreCanards[[#Totals],[litière]])/1000/SUM(NbreJoursNourrirAutres)*84))</f>
        <v>#DIV/0!</v>
      </c>
      <c r="HY118" s="1084" t="e">
        <f>IF(SUM(VLOOKUP(HN118,AlimentsRationEcurieChevauxMâlesSelle,6,FALSE)+VLOOKUP(HN118,AlimentsRationEcurieChevauxFemellesSelle,6,FALSE))/1000/SUM(NbreJoursNourrirChevauxSelle)*IF('semences, engrais et traitement'!M$16=OUI,56,84)&lt;0,0,SUM(VLOOKUP(HN118,AlimentsRationEcurieChevauxMâlesSelle,6,FALSE)+VLOOKUP(HN118,AlimentsRationEcurieChevauxFemellesSelle,6,FALSE))/1000/SUM(NbreJoursNourrirChevauxSelle)*IF('semences, engrais et traitement'!M$16=OUI,56,84))</f>
        <v>#DIV/0!</v>
      </c>
      <c r="HZ118" s="1084" t="e">
        <f>IF(SUM(VLOOKUP(HN118,AlimentsRationEcurieChevauxMâlesTrait,6,FALSE)+VLOOKUP(HN118,AlimentsRationEcurieChevauxFemellesTrait,6,FALSE))/1000/SUM(NbreJoursNourrirChevauxTrait)*IF('semences, engrais et traitement'!M$17=OUI,56,84)&lt;0,0,SUM(VLOOKUP(HN118,AlimentsRationEcurieChevauxMâlesTrait,6,FALSE)+VLOOKUP(HN118,AlimentsRationEcurieChevauxFemellesTrait,6,FALSE))/1000/SUM(NbreJoursNourrirChevauxTrait)*IF('semences, engrais et traitement'!M$17=OUI,56,84))</f>
        <v>#DIV/0!</v>
      </c>
      <c r="IA118" s="1084" t="e">
        <f>IF(SUM(VLOOKUP(HN118,AlimentsRationEcuriePoneysMâles,6,FALSE)+VLOOKUP(HN118,AlimentsRationEcuriePoneysFemelles,6,FALSE))/1000/SUM(NbreJoursNourrirPoneys)*IF('semences, engrais et traitement'!M$18=OUI,56,84)&lt;0,0,SUM(VLOOKUP(HN118,AlimentsRationEcuriePoneysMâles,6,FALSE)+VLOOKUP(HN118,AlimentsRationEcuriePoneysFemelles,6,FALSE))/1000/SUM(NbreJoursNourrirPoneys)*IF('semences, engrais et traitement'!M$18=OUI,56,84))</f>
        <v>#DIV/0!</v>
      </c>
      <c r="IB118" s="1100" t="e">
        <f t="shared" si="38"/>
        <v>#DIV/0!</v>
      </c>
      <c r="IC118" s="1321"/>
      <c r="ID118" s="1321"/>
      <c r="IE118" s="1321"/>
      <c r="IF118" s="1321"/>
      <c r="IG118" s="1321"/>
      <c r="IH118" s="1321"/>
      <c r="II118" s="1321"/>
      <c r="IJ118" s="1321"/>
      <c r="IK118" s="1321"/>
      <c r="IL118" s="1321"/>
      <c r="IM118" s="1321"/>
      <c r="IN118" s="1368"/>
    </row>
    <row r="119" spans="1:248" ht="12.75" customHeight="1" x14ac:dyDescent="0.2">
      <c r="A119" s="1315" t="s">
        <v>618</v>
      </c>
      <c r="B119" s="1241">
        <f t="shared" si="39"/>
        <v>1E-3</v>
      </c>
      <c r="C119" s="1321"/>
      <c r="D119" s="1321"/>
      <c r="E119" s="1321"/>
      <c r="F119" s="1139" t="s">
        <v>1035</v>
      </c>
      <c r="G119" s="1139" t="s">
        <v>861</v>
      </c>
      <c r="H119" s="1139" t="s">
        <v>862</v>
      </c>
      <c r="I119" s="1139" t="s">
        <v>863</v>
      </c>
      <c r="J119" s="1139" t="s">
        <v>864</v>
      </c>
      <c r="K119" s="1139" t="s">
        <v>865</v>
      </c>
      <c r="L119" s="1139" t="s">
        <v>866</v>
      </c>
      <c r="M119" s="1321"/>
      <c r="N119" s="1321"/>
      <c r="O119" s="1076">
        <v>8000</v>
      </c>
      <c r="P119" s="1321"/>
      <c r="Q119" s="1321"/>
      <c r="R119" s="1321"/>
      <c r="S119" s="1321"/>
      <c r="T119" s="1321"/>
      <c r="U119" s="1321"/>
      <c r="V119" s="1321"/>
      <c r="W119" s="1321"/>
      <c r="X119" s="1321"/>
      <c r="Y119" s="1321"/>
      <c r="Z119" s="1321"/>
      <c r="AA119" s="1321"/>
      <c r="AB119" s="1321"/>
      <c r="AC119" s="1321"/>
      <c r="AD119" s="1321"/>
      <c r="AE119" s="1321"/>
      <c r="AF119" s="1321"/>
      <c r="AG119" s="1321"/>
      <c r="AH119" s="1321"/>
      <c r="AI119" s="1321"/>
      <c r="AJ119" s="1321"/>
      <c r="AK119" s="1321"/>
      <c r="AL119" s="1321"/>
      <c r="AM119" s="1321"/>
      <c r="AN119" s="1321"/>
      <c r="AO119" s="1321"/>
      <c r="AP119" s="1321"/>
      <c r="AQ119" s="1321"/>
      <c r="AR119" s="1321"/>
      <c r="AS119" s="1321"/>
      <c r="AT119" s="1321"/>
      <c r="AU119" s="1321"/>
      <c r="AV119" s="1321"/>
      <c r="AW119" s="1321"/>
      <c r="AX119" s="1321"/>
      <c r="AY119" s="1321"/>
      <c r="AZ119" s="1321"/>
      <c r="BA119" s="1321"/>
      <c r="BB119" s="1236" t="s">
        <v>1314</v>
      </c>
      <c r="BC119" s="1190" t="s">
        <v>733</v>
      </c>
      <c r="BD119" s="1190" t="s">
        <v>1252</v>
      </c>
      <c r="BE119" s="1237">
        <v>200</v>
      </c>
      <c r="BF119" s="1237">
        <v>100</v>
      </c>
      <c r="BG119" s="1237">
        <v>80</v>
      </c>
      <c r="BH119" s="1237">
        <v>60</v>
      </c>
      <c r="BI119" s="1237">
        <v>40</v>
      </c>
      <c r="BJ119" s="1237">
        <v>28</v>
      </c>
      <c r="BK119" s="1238">
        <v>12</v>
      </c>
      <c r="BL119" s="1348"/>
      <c r="BM119" s="1075" t="str">
        <f t="shared" si="47"/>
        <v>Canola</v>
      </c>
      <c r="BN119" s="1269">
        <f t="array" ref="BN119">SUM((IF(QualitéAlimentsBisonneauxMâles_0_3_mois=BONNE,VLOOKUP("Canola",AlimentsRationHivernaleBisonsMâles,8,FALSE),0)+(IF(QualitéAlimentsBisonneauxFemelles_0_3_mois=BONNE,VLOOKUP("Canola",AlimentsRationHivernaleBisonsFemelles,8,FALSE),0)+(IF(QualitéAlimentsBisonneauxMâles_3_6_mois=BONNE,VLOOKUP("Canola",AlimentsRationHivernaleBisonsMâles,7,FALSE),0)+(IF(QualitéAlimentsBisonneauxFemelles_3_6_mois=BONNE,VLOOKUP("Canola",AlimentsRationHivernaleBisonsFemelles,7,FALSE),0)+(IF(QualitéAlimentsBisonneauxMâles_6_12_mois=BONNE,VLOOKUP("Canola",AlimentsRationHivernaleBisonsMâles,6,FALSE),0)+(IF(QualitéAlimentsBisonneauxFemelles_6_12_mois=BONNE,VLOOKUP("Canola",AlimentsRationHivernaleBisonsFemelles,6,FALSE),0)+(IF(QualitéAlimentsJeunesBisons_12_18_mois=BONNE,VLOOKUP("Canola",AlimentsRationHivernaleBisonsMâles,5,FALSE),0)+(IF(QualitéAlimentsJeunesBisonnes_12_18_mois=BONNE,VLOOKUP("Canola",AlimentsRationHivernaleBisonsFemelles,5,FALSE),0)+(IF(QualitéAlimentsJeunesBisons_18_24_mois=BONNE,VLOOKUP("Canola",AlimentsRationHivernaleBisonsMâles,4,FALSE),0)+(IF(QualitéAlimentsJeunesBisonnes_18_24_mois=BONNE,VLOOKUP("Canola",AlimentsRationHivernaleBisonsFemelles,4,FALSE),0)+(IF(QualitéAlimentsJeunesBisons_24_36_mois=BONNE,VLOOKUP("Canola",AlimentsRationHivernaleBisonsMâles,3,FALSE),0)+(IF(QualitéAlimentsJeunesBisonnes_24_36_mois=BONNE,VLOOKUP("Canola",AlimentsRationHivernaleBisonsFemelles,3,FALSE),0)+(IF(QualitéAlimentsBisons=BONNE,VLOOKUP("Canola",AlimentsRationHivernaleBisonsMâles,2,FALSE),0)+(IF(QualitéAlimentsBisonnes=BONNE,VLOOKUP("Canola",AlimentsRationHivernaleBisonsFemelles,2,FALSE),0))))))))))))))))</f>
        <v>0</v>
      </c>
      <c r="BO119" s="1269">
        <f t="array" ref="BO119">SUM((IF(QualitéAlimentsBisonneauxMâles_0_3_mois=MOYENNE,VLOOKUP("Canola",AlimentsRationHivernaleBisonsMâles,8,FALSE),0)+(IF(QualitéAlimentsBisonneauxFemelles_0_3_mois=MOYENNE,VLOOKUP("Canola",AlimentsRationHivernaleBisonsFemelles,8,FALSE),0)+(IF(QualitéAlimentsBisonneauxMâles_3_6_mois=MOYENNE,VLOOKUP("Canola",AlimentsRationHivernaleBisonsMâles,7,FALSE),0)+(IF(QualitéAlimentsBisonneauxFemelles_3_6_mois=MOYENNE,VLOOKUP("Canola",AlimentsRationHivernaleBisonsFemelles,7,FALSE),0)+(IF(QualitéAlimentsBisonneauxMâles_6_12_mois=MOYENNE,VLOOKUP("Canola",AlimentsRationHivernaleBisonsMâles,6,FALSE),0)+(IF(QualitéAlimentsBisonneauxFemelles_6_12_mois=MOYENNE,VLOOKUP("Canola",AlimentsRationHivernaleBisonsFemelles,6,FALSE),0)+(IF(QualitéAlimentsJeunesBisons_12_18_mois=MOYENNE,VLOOKUP("Canola",AlimentsRationHivernaleBisonsMâles,5,FALSE),0)+(IF(QualitéAlimentsJeunesBisonnes_12_18_mois=MOYENNE,VLOOKUP("Canola",AlimentsRationHivernaleBisonsFemelles,5,FALSE),0)+(IF(QualitéAlimentsJeunesBisons_18_24_mois=MOYENNE,VLOOKUP("Canola",AlimentsRationHivernaleBisonsMâles,4,FALSE),0)+(IF(QualitéAlimentsJeunesBisonnes_18_24_mois=MOYENNE,VLOOKUP("Canola",AlimentsRationHivernaleBisonsFemelles,4,FALSE),0)+(IF(QualitéAlimentsJeunesBisons_24_36_mois=MOYENNE,VLOOKUP("Canola",AlimentsRationHivernaleBisonsMâles,3,FALSE),0)+(IF(QualitéAlimentsJeunesBisonnes_24_36_mois=MOYENNE,VLOOKUP("Canola",AlimentsRationHivernaleBisonsFemelles,3,FALSE),0)+(IF(QualitéAlimentsBisons=MOYENNE,VLOOKUP("Canola",AlimentsRationHivernaleBisonsMâles,2,FALSE),0)+(IF(QualitéAlimentsBisonnes=MOYENNE,VLOOKUP("Canola",AlimentsRationHivernaleBisonsFemelles,2,FALSE),0))))))))))))))))</f>
        <v>0</v>
      </c>
      <c r="BP119" s="1269">
        <f t="array" ref="BP119">SUM((IF(QualitéAlimentsBisonneauxMâles_0_3_mois=MAUVAISE,VLOOKUP("Canola",AlimentsRationHivernaleBisonsMâles,8,FALSE),0)+(IF(QualitéAlimentsBisonneauxFemelles_0_3_mois=MAUVAISE,VLOOKUP("Canola",AlimentsRationHivernaleBisonsFemelles,8,FALSE),0)+(IF(QualitéAlimentsBisonneauxMâles_3_6_mois=MAUVAISE,VLOOKUP("Canola",AlimentsRationHivernaleBisonsMâles,7,FALSE),0)+(IF(QualitéAlimentsBisonneauxFemelles_3_6_mois=MAUVAISE,VLOOKUP("Canola",AlimentsRationHivernaleBisonsFemelles,7,FALSE),0)+(IF(QualitéAlimentsBisonneauxMâles_6_12_mois=MAUVAISE,VLOOKUP("Canola",AlimentsRationHivernaleBisonsMâles,6,FALSE),0)+(IF(QualitéAlimentsBisonneauxFemelles_6_12_mois=MAUVAISE,VLOOKUP("Canola",AlimentsRationHivernaleBisonsFemelles,6,FALSE),0)+(IF(QualitéAlimentsJeunesBisons_12_18_mois=MAUVAISE,VLOOKUP("Canola",AlimentsRationHivernaleBisonsMâles,5,FALSE),0)+(IF(QualitéAlimentsJeunesBisonnes_12_18_mois=MAUVAISE,VLOOKUP("Canola",AlimentsRationHivernaleBisonsFemelles,5,FALSE),0)+(IF(QualitéAlimentsJeunesBisons_18_24_mois=MAUVAISE,VLOOKUP("Canola",AlimentsRationHivernaleBisonsMâles,4,FALSE),0)+(IF(QualitéAlimentsJeunesBisonnes_18_24_mois=MAUVAISE,VLOOKUP("Canola",AlimentsRationHivernaleBisonsFemelles,4,FALSE),0)+(IF(QualitéAlimentsJeunesBisons_24_36_mois=MAUVAISE,VLOOKUP("Canola",AlimentsRationHivernaleBisonsMâles,3,FALSE),0)+(IF(QualitéAlimentsJeunesBisonnes_24_36_mois=MAUVAISE,VLOOKUP("Canola",AlimentsRationHivernaleBisonsFemelles,3,FALSE),0)+(IF(QualitéAlimentsBisons=MAUVAISE,VLOOKUP("Canola",AlimentsRationHivernaleBisonsMâles,2,FALSE),0)+(IF(QualitéAlimentsBisonnes=MAUVAISE,VLOOKUP("Canola",AlimentsRationHivernaleBisonsFemelles,2,FALSE),0))))))))))))))))</f>
        <v>0</v>
      </c>
      <c r="BQ119" s="1346"/>
      <c r="BR119" s="1346"/>
      <c r="BS119" s="1346"/>
      <c r="BT119" s="1346"/>
      <c r="BU119" s="1346"/>
      <c r="BV119" s="1345"/>
      <c r="BW119" s="1345"/>
      <c r="BX119" s="1075" t="s">
        <v>298</v>
      </c>
      <c r="BY119" s="1075">
        <f t="array" ref="BY119">IF(ChoixRationComplèteCaprins=OUI,0,IFERROR(IF(OR(AND(INDEX(Règles_caprins[Specificite],MATCH(ChoixRationCaprins&amp;$BX119,Règles_caprins[Ration]&amp;Règles_caprins[Aliment],0))="s1",IF($BX119=Spécificité1Caprins,1)),
INDEX(Règles_caprins[Specificite],MATCH(ChoixRationCaprins&amp;$BX119,Règles_caprins[Ration]&amp;Règles_caprins[Aliment],0))="c"),
INDEX(Règles_caprins[Valeur 12 et plus],MATCH(ChoixRationCaprins&amp;$BX119,Règles_caprins[Ration]&amp;Règles_caprins[Aliment],0)),0),0)*TotalBoucs*SUM(NbreJoursNourrirCaprins))</f>
        <v>0</v>
      </c>
      <c r="BZ119" s="1075">
        <f t="array" ref="BZ119">IF(ChoixRationComplèteCaprins=OUI,0,IFERROR(IF(OR(AND(INDEX(Règles_caprins[Specificite],MATCH(ChoixRationCaprins&amp;$BX119,Règles_caprins[Ration]&amp;Règles_caprins[Aliment],0))="s1",IF($BX119=Spécificité1Caprins,1)),
INDEX(Règles_caprins[Specificite],MATCH(ChoixRationCaprins&amp;$BX119,Règles_caprins[Ration]&amp;Règles_caprins[Aliment],0))="c"),
INDEX(Règles_caprins[Valeur 6-12],MATCH(ChoixRationCaprins&amp;$BX119,Règles_caprins[Ration]&amp;Règles_caprins[Aliment],0)),0),0)*jeune_bouc_6_12_mois*SUM(NbreJoursNourrirCaprins))</f>
        <v>0</v>
      </c>
      <c r="CA119" s="1075">
        <f t="array" ref="CA119">IF(ChoixRationComplèteCaprins=OUI,0,IFERROR(IF(OR(AND(INDEX(Règles_caprins[Specificite],MATCH(ChoixRationCaprins&amp;$BX119,Règles_caprins[Ration]&amp;Règles_caprins[Aliment],0))="s1",IF($BX119=Spécificité1Caprins,1)),
INDEX(Règles_caprins[Specificite],MATCH(ChoixRationCaprins&amp;$BX119,Règles_caprins[Ration]&amp;Règles_caprins[Aliment],0))="c"),
INDEX(Règles_caprins[Valeur 3-6],MATCH(ChoixRationCaprins&amp;$BX119,Règles_caprins[Ration]&amp;Règles_caprins[Aliment],0)),0),0)*chevreau_3_6_mois*SUM(NbreJoursNourrirCaprins))</f>
        <v>0</v>
      </c>
      <c r="CB119" s="1075">
        <f t="array" ref="CB119">IF(ChoixRationComplèteCaprins=OUI,0,IFERROR(IF(OR(AND(INDEX(Règles_caprins[Specificite],MATCH(ChoixRationCaprins&amp;$BX119,Règles_caprins[Ration]&amp;Règles_caprins[Aliment],0))="s1",IF($BX119=Spécificité1Caprins,1)),
INDEX(Règles_caprins[Specificite],MATCH(ChoixRationCaprins&amp;$BX119,Règles_caprins[Ration]&amp;Règles_caprins[Aliment],0))="c"),
INDEX(Règles_caprins[Valeur 0-3],MATCH(ChoixRationCaprins&amp;$BX119,Règles_caprins[Ration]&amp;Règles_caprins[Aliment],0)),0),0)*chevreau_0_3_mois*SUM(NbreJoursNourrirCaprins))</f>
        <v>0</v>
      </c>
      <c r="CC119" s="1075">
        <f t="shared" si="45"/>
        <v>0</v>
      </c>
      <c r="CD119" s="1345"/>
      <c r="CE119" s="1345"/>
      <c r="CF119" s="1345"/>
      <c r="CG119" s="1345"/>
      <c r="CH119" s="1321"/>
      <c r="CI119" s="1321"/>
      <c r="CJ119" s="808" t="str">
        <f t="shared" si="26"/>
        <v>Tourteau de tournesol</v>
      </c>
      <c r="CK119" s="788">
        <f t="array" ref="CK11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19" s="788">
        <f t="array" ref="CL11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19" s="788">
        <f t="array" ref="CM11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19" s="788">
        <f t="array" ref="CN11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19" s="788">
        <f t="array" ref="CO119">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19" s="812">
        <f>SUM(AlimentsRationPorcinsFemelles[[#This Row],[Valeur 12 et plus]:[Valeur 0-1]])</f>
        <v>0</v>
      </c>
      <c r="CQ119" s="1345"/>
      <c r="CR119" s="1321"/>
      <c r="CS119" s="808" t="str">
        <f t="shared" si="40"/>
        <v>Orge</v>
      </c>
      <c r="CT119" s="817">
        <f t="array" ref="CT11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19" s="817">
        <f t="array" ref="CU11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19" s="817">
        <f t="array" ref="CV11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19" s="818">
        <f>SUM(AlimentsRationLapinsFemelles[[#This Row],[Valeur 3 et plus]:[Valeur 0-1]])</f>
        <v>0</v>
      </c>
      <c r="CX119" s="1321"/>
      <c r="CY119" s="1321"/>
      <c r="CZ119" s="808" t="str">
        <f t="shared" si="41"/>
        <v>Orge</v>
      </c>
      <c r="DA119" s="817">
        <f t="array" ref="DA11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19" s="817">
        <f t="array" ref="DB11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19" s="817">
        <f t="array" ref="DC11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19" s="818">
        <f>SUM(AlimentsRationVolaillesFemelles[[#This Row],[Valeur 6 et plus]:[Valeur 0-1]])</f>
        <v>0</v>
      </c>
      <c r="DE119" s="1321"/>
      <c r="DF119" s="1321"/>
      <c r="DG119" s="788" t="str">
        <f t="shared" si="27"/>
        <v>Tournesol</v>
      </c>
      <c r="DH119" s="817">
        <f t="array" ref="DH119">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19" s="817">
        <f t="array" ref="DI119">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19" s="817">
        <f t="array" ref="DJ119">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19" s="821">
        <f>SUM(AlimentsRationPintadesFemelles[[#This Row],[Valeur 6 et plus]:[Valeur 0-1]])</f>
        <v>0</v>
      </c>
      <c r="DL119" s="1321"/>
      <c r="DM119" s="1321"/>
      <c r="DN119" s="1176" t="s">
        <v>837</v>
      </c>
      <c r="DO119" s="1177" t="s">
        <v>671</v>
      </c>
      <c r="DP119" s="1177" t="s">
        <v>1252</v>
      </c>
      <c r="DQ119" s="1181">
        <v>16</v>
      </c>
      <c r="DR119" s="1181">
        <v>12</v>
      </c>
      <c r="DS119" s="1181">
        <v>8</v>
      </c>
      <c r="DT119" s="1243">
        <v>0</v>
      </c>
      <c r="DU119" s="1346"/>
      <c r="DV119" s="1321"/>
      <c r="DW119" s="1321"/>
      <c r="DX119" s="1321"/>
      <c r="DY119" s="1321"/>
      <c r="DZ119" s="1321"/>
      <c r="EA119" s="1321"/>
      <c r="EB119" s="1321"/>
      <c r="EC119" s="1321"/>
      <c r="ED119" s="1345"/>
      <c r="EE119" s="1345"/>
      <c r="EF119" s="1321"/>
      <c r="EG119" s="808" t="str">
        <f t="shared" si="31"/>
        <v>Pulpe déshydratée de betterave</v>
      </c>
      <c r="EH119" s="817">
        <f t="array" ref="EH11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19" s="817">
        <f t="array" ref="EI11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19" s="817">
        <f t="array" ref="EJ11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19" s="818">
        <f>SUM(AlimentsRationOiesFemelles[[#This Row],[Valeur 6 et plus]:[Valeur 0-3]])</f>
        <v>0</v>
      </c>
      <c r="EL119" s="1345"/>
      <c r="EM119" s="1321"/>
      <c r="EN119" s="823" t="str">
        <f t="shared" si="29"/>
        <v>Ration complète</v>
      </c>
      <c r="EO119" s="828">
        <f t="array" ref="EO119">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19" s="828">
        <f t="array" ref="EP119">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19" s="828">
        <f t="array" ref="EQ119">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19" s="829">
        <f>SUM(Ration_canards_Femelles[[#This Row],[Valeur 6 et plus]:[Valeur 0-3]])</f>
        <v>0</v>
      </c>
      <c r="ES119" s="1345"/>
      <c r="ET119" s="1321"/>
      <c r="EU119" s="1083" t="str">
        <f t="shared" si="44"/>
        <v>Maïs ensilé</v>
      </c>
      <c r="EV119" s="1283">
        <f t="array" ref="EV119">IF(OR(ChoixRationComplèteEtéChevauxSelle=OUI,ChoixRationComplèteEtéChevauxSelle="",AND(ChoixChevauxSellePréHiver=OUI,ChoixChevauxSellePréEté=OUI)),0,IFERROR(IF(OR(AND(INDEX(Règles_chevaux_selle[Specificite],MATCH(RationEtéChevauxSelle&amp;$EU119,Règles_chevaux_selle[Ration]&amp;Règles_chevaux_selle[Aliment],0))="s1",IF($EU119=Spécificité1ChevauxSelle,1)),
AND(INDEX(Règles_chevaux_selle[Specificite],MATCH(RationEtéChevauxSelle&amp;$EU119,Règles_chevaux_selle[Ration]&amp;Règles_chevaux_selle[Aliment],0))="s2",IF($EU119=Spécificité2ChevauxSelle,1)),
INDEX(Règles_chevaux_selle[Specificite],MATCH(RationEtéChevauxSelle&amp;$EU119,Règles_chevaux_selle[Ration]&amp;Règles_chevaux_selle[Aliment],0))="c"),
INDEX(Règles_chevaux_selle[Valeur 36 et plus],MATCH(RationEtéChevauxSelle&amp;$EU119,Règles_chevaux_selle[Ration]&amp;Règles_chevaux_selle[Aliment],0)),0),0)*TotalJumentSelle*SUM(NbreJoursNourrirChevauxSelle))</f>
        <v>0</v>
      </c>
      <c r="EW119" s="1283">
        <f t="array" ref="EW119">IF(OR(ChoixRationComplèteEtéChevauxSelle=OUI,ChoixRationComplèteEtéChevauxSelle="",AND(ChoixChevauxSellePréHiver=OUI,ChoixChevauxSellePréEté=OUI)),0,IFERROR(IF(OR(AND(INDEX(Règles_chevaux_selle[Specificite],MATCH(RationEtéChevauxSelle&amp;$EU119,Règles_chevaux_selle[Ration]&amp;Règles_chevaux_selle[Aliment],0))="s1",IF($EU119=Spécificité1ChevauxSelle,1)),
AND(INDEX(Règles_chevaux_selle[Specificite],MATCH(RationEtéChevauxSelle&amp;$EU119,Règles_chevaux_selle[Ration]&amp;Règles_chevaux_selle[Aliment],0))="s2",IF($EU119=Spécificité2ChevauxSelle,1)),
INDEX(Règles_chevaux_selle[Specificite],MATCH(RationEtéChevauxSelle&amp;$EU119,Règles_chevaux_selle[Ration]&amp;Règles_chevaux_selle[Aliment],0))="c"),
INDEX(Règles_chevaux_selle[Valeur 24-36],MATCH(RationEtéChevauxSelle&amp;$EU119,Règles_chevaux_selle[Ration]&amp;Règles_chevaux_selle[Aliment],0)),0),0)*TotalJeuneJumentSelle_24_36_mois*SUM(NbreJoursNourrirChevauxSelle))</f>
        <v>0</v>
      </c>
      <c r="EX119" s="1283">
        <f t="array" ref="EX119">IF(OR(ChoixRationComplèteEtéChevauxSelle=OUI,ChoixRationComplèteEtéChevauxSelle="",AND(ChoixChevauxSellePréHiver=OUI,ChoixChevauxSellePréEté=OUI)),0,IFERROR(IF(OR(AND(INDEX(Règles_chevaux_selle[Specificite],MATCH(RationEtéChevauxSelle&amp;$EU119,Règles_chevaux_selle[Ration]&amp;Règles_chevaux_selle[Aliment],0))="s1",IF($EU119=Spécificité1ChevauxSelle,1)),
AND(INDEX(Règles_chevaux_selle[Specificite],MATCH(RationEtéChevauxSelle&amp;$EU119,Règles_chevaux_selle[Ration]&amp;Règles_chevaux_selle[Aliment],0))="s2",IF($EU119=Spécificité2ChevauxSelle,1)),
INDEX(Règles_chevaux_selle[Specificite],MATCH(RationEtéChevauxSelle&amp;$EU119,Règles_chevaux_selle[Ration]&amp;Règles_chevaux_selle[Aliment],0))="c"),
INDEX(Règles_chevaux_selle[Valeur 12-24],MATCH(RationEtéChevauxSelle&amp;$EU119,Règles_chevaux_selle[Ration]&amp;Règles_chevaux_selle[Aliment],0)),0),0)*TotalJeuneJumentSelle_12_24_mois*SUM(NbreJoursNourrirChevauxSelle))</f>
        <v>0</v>
      </c>
      <c r="EY119" s="1286">
        <f t="array" ref="EY119">IF(OR(ChoixRationComplèteEtéChevauxSelle=OUI,ChoixRationComplèteEtéChevauxSelle="",AND(ChoixChevauxSellePréHiver=OUI,ChoixChevauxSellePréEté=OUI)),0,IFERROR(IF(OR(AND(INDEX(Règles_chevaux_selle[Specificite],MATCH(RationEtéChevauxSelle&amp;$EU119,Règles_chevaux_selle[Ration]&amp;Règles_chevaux_selle[Aliment],0))="s1",IF($EU119=Spécificité1ChevauxSelle,1)),
AND(INDEX(Règles_chevaux_selle[Specificite],MATCH(RationEtéChevauxSelle&amp;$EU119,Règles_chevaux_selle[Ration]&amp;Règles_chevaux_selle[Aliment],0))="s2",IF($EU119=Spécificité2ChevauxSelle,1)),
INDEX(Règles_chevaux_selle[Specificite],MATCH(RationEtéChevauxSelle&amp;$EU119,Règles_chevaux_selle[Ration]&amp;Règles_chevaux_selle[Aliment],0))="c"),
INDEX(Règles_chevaux_selle[Valeur 0-12],MATCH(RationEtéChevauxSelle&amp;$EU119,Règles_chevaux_selle[Ration]&amp;Règles_chevaux_selle[Aliment],0)),0),0)*TotalPoulicheSelle_0_12_mois*SUM(NbreJoursNourrirChevauxSelle))</f>
        <v>0</v>
      </c>
      <c r="EZ119" s="1286">
        <f t="shared" si="43"/>
        <v>0</v>
      </c>
      <c r="FA119" s="1345"/>
      <c r="FB119" s="1345"/>
      <c r="FC119" s="1321"/>
      <c r="FD119" s="1083" t="str">
        <f t="shared" si="34"/>
        <v>Pomme de terre</v>
      </c>
      <c r="FE119" s="1283">
        <f t="array" ref="FE119">IF(OR(ChoixRationComplèteEtéChevauxTrait=OUI,ChoixRationComplèteEtéChevauxTrait="",AND(ChoixChevauxTraitPréHiver=OUI,ChoixChevauxTraitPréEté=OUI)),0,IFERROR(IF(OR(AND(INDEX(Règles_chevaux_trait[Specificite],MATCH(RationEtéChevauxTrait&amp;$FD119,Règles_chevaux_trait[Ration]&amp;Règles_chevaux_trait[Aliment],0))="s1",IF($FD119=Spécificité1ChevauxTrait,1)),
AND(INDEX(Règles_chevaux_trait[Specificite],MATCH(RationEtéChevauxTrait&amp;$FD119,Règles_chevaux_trait[Ration]&amp;Règles_chevaux_trait[Aliment],0))="s2",IF($FD119=Spécificité2ChevauxTrait,1)),
INDEX(Règles_chevaux_trait[Specificite],MATCH(RationEtéChevauxTrait&amp;$FD119,Règles_chevaux_trait[Ration]&amp;Règles_chevaux_trait[Aliment],0))="c"),
INDEX(Règles_chevaux_trait[Valeur 36 et plus],MATCH(RationEtéChevauxTrait&amp;$FD119,Règles_chevaux_trait[Ration]&amp;Règles_chevaux_trait[Aliment],0)),0),0)*TotalJumentTrait*SUM(NbreJoursNourrirChevauxTrait))</f>
        <v>0</v>
      </c>
      <c r="FF119" s="1283">
        <f t="array" ref="FF119">IF(OR(ChoixRationComplèteEtéChevauxTrait=OUI,ChoixRationComplèteEtéChevauxTrait="",AND(ChoixChevauxTraitPréHiver=OUI,ChoixChevauxTraitPréEté=OUI)),0,IFERROR(IF(OR(AND(INDEX(Règles_chevaux_trait[Specificite],MATCH(RationEtéChevauxTrait&amp;$FD119,Règles_chevaux_trait[Ration]&amp;Règles_chevaux_trait[Aliment],0))="s1",IF($FD119=Spécificité1ChevauxTrait,1)),
AND(INDEX(Règles_chevaux_trait[Specificite],MATCH(RationEtéChevauxTrait&amp;$FD119,Règles_chevaux_trait[Ration]&amp;Règles_chevaux_trait[Aliment],0))="s2",IF($FD119=Spécificité2ChevauxTrait,1)),
INDEX(Règles_chevaux_trait[Specificite],MATCH(RationEtéChevauxTrait&amp;$FD119,Règles_chevaux_trait[Ration]&amp;Règles_chevaux_trait[Aliment],0))="c"),
INDEX(Règles_chevaux_trait[Valeur 24-36],MATCH(RationEtéChevauxTrait&amp;$FD119,Règles_chevaux_trait[Ration]&amp;Règles_chevaux_trait[Aliment],0)),0),0)*TotalJeuneJumentTrait_24_36_mois*SUM(NbreJoursNourrirChevauxTrait))</f>
        <v>0</v>
      </c>
      <c r="FG119" s="1283">
        <f t="array" ref="FG119">IF(OR(ChoixRationComplèteEtéChevauxTrait=OUI,ChoixRationComplèteEtéChevauxTrait="",AND(ChoixChevauxTraitPréHiver=OUI,ChoixChevauxTraitPréEté=OUI)),0,IFERROR(IF(OR(AND(INDEX(Règles_chevaux_trait[Specificite],MATCH(RationEtéChevauxTrait&amp;$FD119,Règles_chevaux_trait[Ration]&amp;Règles_chevaux_trait[Aliment],0))="s1",IF($FD119=Spécificité1ChevauxTrait,1)),
AND(INDEX(Règles_chevaux_trait[Specificite],MATCH(RationEtéChevauxTrait&amp;$FD119,Règles_chevaux_trait[Ration]&amp;Règles_chevaux_trait[Aliment],0))="s2",IF($FD119=Spécificité2ChevauxTrait,1)),
INDEX(Règles_chevaux_trait[Specificite],MATCH(RationEtéChevauxTrait&amp;$FD119,Règles_chevaux_trait[Ration]&amp;Règles_chevaux_trait[Aliment],0))="c"),
INDEX(Règles_chevaux_trait[Valeur 12-24],MATCH(RationEtéChevauxTrait&amp;$FD119,Règles_chevaux_trait[Ration]&amp;Règles_chevaux_trait[Aliment],0)),0),0)*TotalJeuneJumentTrait_12_24_mois*SUM(NbreJoursNourrirChevauxTrait))</f>
        <v>0</v>
      </c>
      <c r="FH119" s="1286">
        <f t="array" ref="FH119">IF(OR(ChoixRationComplèteEtéChevauxTrait=OUI,ChoixRationComplèteEtéChevauxTrait="",AND(ChoixChevauxTraitPréHiver=OUI,ChoixChevauxTraitPréEté=OUI)),0,IFERROR(IF(OR(AND(INDEX(Règles_chevaux_trait[Specificite],MATCH(RationEtéChevauxTrait&amp;$FD119,Règles_chevaux_trait[Ration]&amp;Règles_chevaux_trait[Aliment],0))="s1",IF($FD119=Spécificité1ChevauxTrait,1)),
AND(INDEX(Règles_chevaux_trait[Specificite],MATCH(RationEtéChevauxTrait&amp;$FD119,Règles_chevaux_trait[Ration]&amp;Règles_chevaux_trait[Aliment],0))="s2",IF($FD119=Spécificité2ChevauxTrait,1)),
INDEX(Règles_chevaux_trait[Specificite],MATCH(RationEtéChevauxTrait&amp;$FD119,Règles_chevaux_trait[Ration]&amp;Règles_chevaux_trait[Aliment],0))="c"),
INDEX(Règles_chevaux_trait[Valeur 0-12],MATCH(RationEtéChevauxTrait&amp;$FD119,Règles_chevaux_trait[Ration]&amp;Règles_chevaux_trait[Aliment],0)),0),0)*TotalPoulicheTrait_0_12_mois*SUM(NbreJoursNourrirChevauxTrait))</f>
        <v>0</v>
      </c>
      <c r="FI119" s="1286">
        <f t="shared" si="32"/>
        <v>0</v>
      </c>
      <c r="FJ119" s="1345"/>
      <c r="FK119" s="1345"/>
      <c r="FL119" s="1345"/>
      <c r="FM119" s="1321"/>
      <c r="FN119" s="1082" t="str">
        <f t="shared" si="33"/>
        <v>Pulpe déshydratée de betterave</v>
      </c>
      <c r="FO119" s="1282">
        <f t="array" ref="FO119">IF(OR(ChoixRationComplèteEtéPoneys=OUI,ChoixRationComplèteEtéPoneys="",AND(ChoixPoneysPréHiver=OUI,ChoixPoneysPréEté=OUI)),0,IFERROR(IF(OR(AND(INDEX(Règles_poneys[Specificite],MATCH(RationEtéPoneys&amp;$FN119,Règles_poneys[Ration]&amp;Règles_poneys[Aliment],0))="s1",IF($FN119=Spécificité1Poneys,1)),
AND(INDEX(Règles_poneys[Specificite],MATCH(RationEtéPoneys&amp;$FN119,Règles_poneys[Ration]&amp;Règles_poneys[Aliment],0))="s2",IF($FN119=Spécificité2Poneys,1)),
INDEX(Règles_poneys[Specificite],MATCH(RationEtéPoneys&amp;$FN119,Règles_poneys[Ration]&amp;Règles_poneys[Aliment],0))="c"),
INDEX(Règles_poneys[Valeur 36 et plus],MATCH(RationEtéPoneys&amp;$FN119,Règles_poneys[Ration]&amp;Règles_poneys[Aliment],0)),0),0)*TotalJumentPoney*SUM(NbreJoursNourrirPoneys))</f>
        <v>0</v>
      </c>
      <c r="FP119" s="1282">
        <f t="array" ref="FP119">IF(OR(ChoixRationComplèteEtéPoneys=OUI,ChoixRationComplèteEtéPoneys="",AND(ChoixPoneysPréHiver=OUI,ChoixPoneysPréEté=OUI)),0,IFERROR(IF(OR(AND(INDEX(Règles_poneys[Specificite],MATCH(RationEtéPoneys&amp;$FN119,Règles_poneys[Ration]&amp;Règles_poneys[Aliment],0))="s1",IF($FN119=Spécificité1Poneys,1)),
AND(INDEX(Règles_poneys[Specificite],MATCH(RationEtéPoneys&amp;$FN119,Règles_poneys[Ration]&amp;Règles_poneys[Aliment],0))="s2",IF($FN119=Spécificité2Poneys,1)),
INDEX(Règles_poneys[Specificite],MATCH(RationEtéPoneys&amp;$FN119,Règles_poneys[Ration]&amp;Règles_poneys[Aliment],0))="c"),
INDEX(Règles_poneys[Valeur 36 et plus],MATCH(RationEtéPoneys&amp;$FN119,Règles_poneys[Ration]&amp;Règles_poneys[Aliment],0)),0),0)*TotalJeuneJumentPoney_24_36_mois*SUM(NbreJoursNourrirPoneys))</f>
        <v>0</v>
      </c>
      <c r="FQ119" s="1282">
        <f t="array" ref="FQ119">IF(OR(ChoixRationComplèteEtéPoneys=OUI,ChoixRationComplèteEtéPoneys="",AND(ChoixPoneysPréHiver=OUI,ChoixPoneysPréEté=OUI)),0,IFERROR(IF(OR(AND(INDEX(Règles_poneys[Specificite],MATCH(RationEtéPoneys&amp;$FN119,Règles_poneys[Ration]&amp;Règles_poneys[Aliment],0))="s1",IF($FN119=Spécificité1Poneys,1)),
AND(INDEX(Règles_poneys[Specificite],MATCH(RationEtéPoneys&amp;$FN119,Règles_poneys[Ration]&amp;Règles_poneys[Aliment],0))="s2",IF($FN119=Spécificité2Poneys,1)),
INDEX(Règles_poneys[Specificite],MATCH(RationEtéPoneys&amp;$FN119,Règles_poneys[Ration]&amp;Règles_poneys[Aliment],0))="c"),
INDEX(Règles_poneys[Valeur 36 et plus],MATCH(RationEtéPoneys&amp;$FN119,Règles_poneys[Ration]&amp;Règles_poneys[Aliment],0)),0),0)*TotalJeuneJumentPoney_12_24_mois*SUM(NbreJoursNourrirPoneys))</f>
        <v>0</v>
      </c>
      <c r="FR119" s="1285">
        <f t="array" ref="FR119">IF(OR(ChoixRationComplèteEtéPoneys=OUI,ChoixRationComplèteEtéPoneys="",AND(ChoixPoneysPréHiver=OUI,ChoixPoneysPréEté=OUI)),0,IFERROR(IF(OR(AND(INDEX(Règles_poneys[Specificite],MATCH(RationEtéPoneys&amp;$FN119,Règles_poneys[Ration]&amp;Règles_poneys[Aliment],0))="s1",IF($FN119=Spécificité1Poneys,1)),
AND(INDEX(Règles_poneys[Specificite],MATCH(RationEtéPoneys&amp;$FN119,Règles_poneys[Ration]&amp;Règles_poneys[Aliment],0))="s2",IF($FN119=Spécificité2Poneys,1)),
INDEX(Règles_poneys[Specificite],MATCH(RationEtéPoneys&amp;$FN119,Règles_poneys[Ration]&amp;Règles_poneys[Aliment],0))="c"),
INDEX(Règles_poneys[Valeur 36 et plus],MATCH(RationEtéPoneys&amp;$FN119,Règles_poneys[Ration]&amp;Règles_poneys[Aliment],0)),0),0)*TotalPoulichePoney_0_12_mois*SUM(NbreJoursNourrirPoneys))</f>
        <v>0</v>
      </c>
      <c r="FS119" s="1285">
        <f t="shared" si="30"/>
        <v>0</v>
      </c>
      <c r="FT119" s="1345"/>
      <c r="FU119" s="1345"/>
      <c r="FV119" s="1345"/>
      <c r="FW119" s="823" t="str">
        <f t="shared" si="28"/>
        <v>Tournesol</v>
      </c>
      <c r="FX119" s="828">
        <f t="array" ref="FX11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19" s="828">
        <f t="array" ref="FY11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19" s="828">
        <f t="array" ref="FZ11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19" s="828">
        <f t="array" ref="GA119">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19" s="829">
        <f>SUM(AlimentsGavageCanards[[#This Row],[Valeur 3 et plus]:[Valeur 0-1]])</f>
        <v>0</v>
      </c>
      <c r="GC119" s="1321"/>
      <c r="GD119" s="1321"/>
      <c r="GE119" s="1321"/>
      <c r="GF119" s="1321"/>
      <c r="GG119" s="1321" t="s">
        <v>1349</v>
      </c>
      <c r="GH119" s="1321" t="s">
        <v>1349</v>
      </c>
      <c r="GI119" s="1321" t="s">
        <v>1349</v>
      </c>
      <c r="GJ119" s="1321" t="s">
        <v>1349</v>
      </c>
      <c r="GK119" s="1321" t="s">
        <v>1349</v>
      </c>
      <c r="GL119" s="1321" t="s">
        <v>1349</v>
      </c>
      <c r="GM119" s="1321" t="s">
        <v>1349</v>
      </c>
      <c r="GN119" s="1321" t="s">
        <v>1349</v>
      </c>
      <c r="GO119" s="1321" t="s">
        <v>1349</v>
      </c>
      <c r="GP119" s="1321" t="s">
        <v>1349</v>
      </c>
      <c r="GQ119" s="1321" t="s">
        <v>1349</v>
      </c>
      <c r="GR119" s="1321" t="s">
        <v>1349</v>
      </c>
      <c r="GS119" s="1321" t="s">
        <v>1349</v>
      </c>
      <c r="GT119" s="1321" t="s">
        <v>1349</v>
      </c>
      <c r="GU119" s="1321" t="s">
        <v>1349</v>
      </c>
      <c r="GV119" s="1321" t="s">
        <v>1349</v>
      </c>
      <c r="GW119" s="1321"/>
      <c r="GX119" s="1321"/>
      <c r="GY119" s="1321"/>
      <c r="GZ119" s="1321"/>
      <c r="HA119" s="1321"/>
      <c r="HB119" s="1321"/>
      <c r="HC119" s="1321"/>
      <c r="HD119" s="1321"/>
      <c r="HE119" s="1321"/>
      <c r="HF119" s="1321"/>
      <c r="HG119" s="1321"/>
      <c r="HH119" s="1321"/>
      <c r="HI119" s="1321"/>
      <c r="HJ119" s="1321"/>
      <c r="HK119" s="1321"/>
      <c r="HL119" s="1321"/>
      <c r="HM119" s="1321"/>
      <c r="HN119" s="1082" t="s">
        <v>297</v>
      </c>
      <c r="HO119" s="1085" t="e">
        <f>IF(SUM((VLOOKUP(HN119,AlimentsRationBovinsMâles,9,FALSE)+VLOOKUP(HN119,AlimentsRationBovinsFemelles,9,FALSE)+VLOOKUP(HN119,BDD!BB$284:BJ$323,9,FALSE))/1000/SUM(NbreJoursNourrirBovins)*IF('semences, engrais et traitement'!I$16=OUI,42,84))&lt;0,0,SUM((VLOOKUP(HN119,AlimentsRationBovinsMâles,9,FALSE)+VLOOKUP(HN119,AlimentsRationBovinsFemelles,9,FALSE)+VLOOKUP(HN119,BDD!BB$284:BJ$323,9,FALSE))/1000/SUM(NbreJoursNourrirBovins)*IF('semences, engrais et traitement'!I$16=OUI,42,84)))</f>
        <v>#DIV/0!</v>
      </c>
      <c r="HP119" s="1085">
        <f t="shared" si="36"/>
        <v>0</v>
      </c>
      <c r="HQ119" s="1085" t="e">
        <f>IF(SUM(VLOOKUP(HN119,AlimentsRationPorcinsMâles[],7,FALSE)+VLOOKUP(HN119,AlimentsRationPorcinsFemelles[],7,FALSE))/1000/SUM(NbreJoursNourrirAutres)*84&lt;0,0,SUM(VLOOKUP(HN119,AlimentsRationPorcinsMâles[],7,FALSE)+VLOOKUP(HN119,AlimentsRationPorcinsFemelles[],7,FALSE)/1000/SUM(NbreJoursNourrirAutres)*84))</f>
        <v>#DIV/0!</v>
      </c>
      <c r="HR119" s="1085" t="e">
        <f>IF(SUM(VLOOKUP(HN119,AlimentsRationCaprinsMâles,6,FALSE)+VLOOKUP(HN119,AlimentsRationCaprinsFemelles,6,FALSE))/1000/SUM(NbreJoursNourrirCaprins)*IF('semences, engrais et traitement'!I$17=OUI,42,84)&lt;0,0,SUM(VLOOKUP(HN119,AlimentsRationCaprinsMâles,6,FALSE)+VLOOKUP(HN119,AlimentsRationCaprinsFemelles,6,FALSE))/1000/SUM(NbreJoursNourrirCaprins)*IF('semences, engrais et traitement'!I$17=OUI,42,84))</f>
        <v>#DIV/0!</v>
      </c>
      <c r="HS119" s="1085" t="e">
        <f>IF(SUM(VLOOKUP(HN119,AlimentsRationVolaillesMâles[],5,FALSE)+VLOOKUP(HN119,AlimentsRationVolaillesFemelles[],5,FALSE))/1000/SUM(NbreJoursNourrirAutres)*84&lt;0,0,SUM(VLOOKUP(HN119,AlimentsRationVolaillesMâles[],5,FALSE)+VLOOKUP(HN119,AlimentsRationVolaillesFemelles[],5,FALSE)/1000/SUM(NbreJoursNourrirAutres)*84))</f>
        <v>#DIV/0!</v>
      </c>
      <c r="HT119" s="1085" t="e">
        <f>IF(SUM(VLOOKUP(HN119,AlimentsRationPintadesMâles[],5,FALSE)+VLOOKUP(HN119,AlimentsRationPintadesFemelles[],5,FALSE))/1000/SUM(NbreJoursNourrirAutres)*84&lt;0,0,SUM(VLOOKUP(HN119,AlimentsRationPintadesMâles[],5,FALSE)+VLOOKUP(HN119,AlimentsRationPintadesFemelles[],5,FALSE)/1000/SUM(NbreJoursNourrirAutres)*84))</f>
        <v>#DIV/0!</v>
      </c>
      <c r="HU119" s="1085" t="e">
        <f>IF(SUM(VLOOKUP(HN119,AlimentsRationLapinsMâles[],5,FALSE)+VLOOKUP(HN119,AlimentsRationLapinsFemelles[],5,FALSE))/1000/SUM(NbreJoursNourrirAutres)*84&lt;0,0,SUM(VLOOKUP(HN119,AlimentsRationLapinsMâles[],5,FALSE)+VLOOKUP(HN119,AlimentsRationLapinsFemelles[],5,FALSE)/1000/SUM(NbreJoursNourrirAutres)*84))</f>
        <v>#DIV/0!</v>
      </c>
      <c r="HV119" s="1085" t="e">
        <f>IF(SUM(VLOOKUP(HN119,AlimentsRationOvinsMâles,6,FALSE)+VLOOKUP(HN119,AlimentsRationOvinsFemelles,6,FALSE))/1000/SUM(NbreJoursNourrirOvins)*IF('semences, engrais et traitement'!I$18=OUI,42,84)&lt;0,0,SUM(VLOOKUP(HN119,AlimentsRationOvinsMâles,6,FALSE)+VLOOKUP(HN119,AlimentsRationOvinsFemelles,6,FALSE))/1000/SUM(NbreJoursNourrirOvins)*IF('semences, engrais et traitement'!I$18=OUI,42,84))</f>
        <v>#DIV/0!</v>
      </c>
      <c r="HW119" s="1085" t="e">
        <f>IF(SUM(VLOOKUP(HN119,AlimentsRationOiesMâles[],5,FALSE)+VLOOKUP(HN119,AlimentsRationOiesFemelles[],5,FALSE))/1000/SUM(NbreJoursNourrirAutres)*84&lt;0,0,SUM(VLOOKUP(HN119,AlimentsRationOiesMâles[],5,FALSE)+VLOOKUP(HN119,AlimentsRationOiesFemelles[],5,FALSE)/1000/SUM(NbreJoursNourrirAutres)*84))</f>
        <v>#DIV/0!</v>
      </c>
      <c r="HX119" s="1085" t="e">
        <f t="shared" ref="HX119:HX129" si="48">IF(SUM(VLOOKUP(HN119,AlimentsRationCanardsMâles,5,FALSE)+VLOOKUP(HN119,AlimentsRationCanardsFemelles,5,FALSE))/1000/SUM(NbreJoursNourrirAutres)*84&lt;0,0,SUM(VLOOKUP(HN119,AlimentsRationCanardsMâles,5,FALSE)+VLOOKUP(HN119,AlimentsRationCanardsFemelles,5,FALSE)/1000/SUM(NbreJoursNourrirAutres)*84))</f>
        <v>#DIV/0!</v>
      </c>
      <c r="HY119" s="1085" t="e">
        <f>IF(SUM(VLOOKUP(HN119,AlimentsRationEcurieChevauxMâlesSelle,6,FALSE)+VLOOKUP(HN119,AlimentsRationEcurieChevauxFemellesSelle,6,FALSE))/1000/SUM(NbreJoursNourrirChevauxSelle)*IF('semences, engrais et traitement'!M$16=OUI,56,84)&lt;0,0,SUM(VLOOKUP(HN119,AlimentsRationEcurieChevauxMâlesSelle,6,FALSE)+VLOOKUP(HN119,AlimentsRationEcurieChevauxFemellesSelle,6,FALSE))/1000/SUM(NbreJoursNourrirChevauxSelle)*IF('semences, engrais et traitement'!M$16=OUI,56,84))</f>
        <v>#DIV/0!</v>
      </c>
      <c r="HZ119" s="1085" t="e">
        <f>IF(SUM(VLOOKUP(HN119,AlimentsRationEcurieChevauxMâlesTrait,6,FALSE)+VLOOKUP(HN119,AlimentsRationEcurieChevauxFemellesTrait,6,FALSE))/1000/SUM(NbreJoursNourrirChevauxTrait)*IF('semences, engrais et traitement'!M$17=OUI,56,84)&lt;0,0,SUM(VLOOKUP(HN119,AlimentsRationEcurieChevauxMâlesTrait,6,FALSE)+VLOOKUP(HN119,AlimentsRationEcurieChevauxFemellesTrait,6,FALSE))/1000/SUM(NbreJoursNourrirChevauxTrait)*IF('semences, engrais et traitement'!M$17=OUI,56,84))</f>
        <v>#DIV/0!</v>
      </c>
      <c r="IA119" s="1085" t="e">
        <f>IF(SUM(VLOOKUP(HN119,AlimentsRationEcuriePoneysMâles,6,FALSE)+VLOOKUP(HN119,AlimentsRationEcuriePoneysFemelles,6,FALSE))/1000/SUM(NbreJoursNourrirPoneys)*IF('semences, engrais et traitement'!M$18=OUI,56,84)&lt;0,0,SUM(VLOOKUP(HN119,AlimentsRationEcuriePoneysMâles,6,FALSE)+VLOOKUP(HN119,AlimentsRationEcuriePoneysFemelles,6,FALSE))/1000/SUM(NbreJoursNourrirPoneys)*IF('semences, engrais et traitement'!M$18=OUI,56,84))</f>
        <v>#DIV/0!</v>
      </c>
      <c r="IB119" s="1099" t="e">
        <f t="shared" si="38"/>
        <v>#DIV/0!</v>
      </c>
      <c r="IC119" s="1321"/>
      <c r="ID119" s="1321"/>
      <c r="IE119" s="1321"/>
      <c r="IF119" s="1321"/>
      <c r="IG119" s="1321"/>
      <c r="IH119" s="1321"/>
      <c r="II119" s="1321"/>
      <c r="IJ119" s="1321"/>
      <c r="IK119" s="1321"/>
      <c r="IL119" s="1321"/>
      <c r="IM119" s="1321"/>
      <c r="IN119" s="1368"/>
    </row>
    <row r="120" spans="1:248" ht="12.75" customHeight="1" x14ac:dyDescent="0.2">
      <c r="A120" s="1315" t="s">
        <v>619</v>
      </c>
      <c r="B120" s="1241">
        <f t="shared" si="39"/>
        <v>1E-3</v>
      </c>
      <c r="C120" s="1321"/>
      <c r="D120" s="1321"/>
      <c r="E120" s="1321"/>
      <c r="F120" s="1143" t="s">
        <v>1036</v>
      </c>
      <c r="G120" s="1143">
        <v>137.5</v>
      </c>
      <c r="H120" s="1143">
        <v>65</v>
      </c>
      <c r="I120" s="1143">
        <v>180</v>
      </c>
      <c r="J120" s="1143">
        <v>75</v>
      </c>
      <c r="K120" s="1143">
        <v>50</v>
      </c>
      <c r="L120" s="1143">
        <v>70</v>
      </c>
      <c r="M120" s="1321"/>
      <c r="N120" s="1321"/>
      <c r="O120" s="1075">
        <v>9000</v>
      </c>
      <c r="P120" s="1321"/>
      <c r="Q120" s="1321"/>
      <c r="R120" s="1321"/>
      <c r="S120" s="1321"/>
      <c r="T120" s="1321"/>
      <c r="U120" s="1321"/>
      <c r="V120" s="1321"/>
      <c r="W120" s="1321"/>
      <c r="X120" s="1321"/>
      <c r="Y120" s="1321"/>
      <c r="Z120" s="1321"/>
      <c r="AA120" s="1321"/>
      <c r="AB120" s="1321"/>
      <c r="AC120" s="1321"/>
      <c r="AD120" s="1321"/>
      <c r="AE120" s="1321"/>
      <c r="AF120" s="1321"/>
      <c r="AG120" s="1321"/>
      <c r="AH120" s="1321"/>
      <c r="AI120" s="1321"/>
      <c r="AJ120" s="1321"/>
      <c r="AK120" s="1321"/>
      <c r="AL120" s="1321"/>
      <c r="AM120" s="1321"/>
      <c r="AN120" s="1321"/>
      <c r="AO120" s="1321"/>
      <c r="AP120" s="1321"/>
      <c r="AQ120" s="1321"/>
      <c r="AR120" s="1321"/>
      <c r="AS120" s="1321"/>
      <c r="AT120" s="1321"/>
      <c r="AU120" s="1321"/>
      <c r="AV120" s="1321"/>
      <c r="AW120" s="1321"/>
      <c r="AX120" s="1321"/>
      <c r="AY120" s="1321"/>
      <c r="AZ120" s="1321"/>
      <c r="BA120" s="1321"/>
      <c r="BB120" s="1236" t="s">
        <v>731</v>
      </c>
      <c r="BC120" s="1190" t="s">
        <v>723</v>
      </c>
      <c r="BD120" s="1190" t="s">
        <v>1277</v>
      </c>
      <c r="BE120" s="1237">
        <v>169</v>
      </c>
      <c r="BF120" s="1237">
        <v>144</v>
      </c>
      <c r="BG120" s="1237">
        <v>112</v>
      </c>
      <c r="BH120" s="1237">
        <v>85</v>
      </c>
      <c r="BI120" s="1237">
        <v>57</v>
      </c>
      <c r="BJ120" s="1237">
        <v>29</v>
      </c>
      <c r="BK120" s="1238">
        <v>0</v>
      </c>
      <c r="BL120" s="1348"/>
      <c r="BM120" s="1076" t="str">
        <f t="shared" si="47"/>
        <v>Colza</v>
      </c>
      <c r="BN120" s="1267">
        <f t="array" ref="BN120">SUM((IF(QualitéAlimentsBisonneauxMâles_0_3_mois=BONNE,VLOOKUP("Colza",AlimentsRationHivernaleBisonsMâles,8,FALSE),0)+(IF(QualitéAlimentsBisonneauxFemelles_0_3_mois=BONNE,VLOOKUP("Colza",AlimentsRationHivernaleBisonsFemelles,8,FALSE),0)+(IF(QualitéAlimentsBisonneauxMâles_3_6_mois=BONNE,VLOOKUP("Colza",AlimentsRationHivernaleBisonsMâles,7,FALSE),0)+(IF(QualitéAlimentsBisonneauxFemelles_3_6_mois=BONNE,VLOOKUP("Colza",AlimentsRationHivernaleBisonsFemelles,7,FALSE),0)+(IF(QualitéAlimentsBisonneauxMâles_6_12_mois=BONNE,VLOOKUP("Colza",AlimentsRationHivernaleBisonsMâles,6,FALSE),0)+(IF(QualitéAlimentsBisonneauxFemelles_6_12_mois=BONNE,VLOOKUP("Colza",AlimentsRationHivernaleBisonsFemelles,6,FALSE),0)+(IF(QualitéAlimentsJeunesBisons_12_18_mois=BONNE,VLOOKUP("Colza",AlimentsRationHivernaleBisonsMâles,5,FALSE),0)+(IF(QualitéAlimentsJeunesBisonnes_12_18_mois=BONNE,VLOOKUP("Colza",AlimentsRationHivernaleBisonsFemelles,5,FALSE),0)+(IF(QualitéAlimentsJeunesBisons_18_24_mois=BONNE,VLOOKUP("Colza",AlimentsRationHivernaleBisonsMâles,4,FALSE),0)+(IF(QualitéAlimentsJeunesBisonnes_18_24_mois=BONNE,VLOOKUP("Colza",AlimentsRationHivernaleBisonsFemelles,4,FALSE),0)+(IF(QualitéAlimentsJeunesBisons_24_36_mois=BONNE,VLOOKUP("Colza",AlimentsRationHivernaleBisonsMâles,3,FALSE),0)+(IF(QualitéAlimentsJeunesBisonnes_24_36_mois=BONNE,VLOOKUP("Colza",AlimentsRationHivernaleBisonsFemelles,3,FALSE),0)+(IF(QualitéAlimentsBisons=BONNE,VLOOKUP("Colza",AlimentsRationHivernaleBisonsMâles,2,FALSE),0)+(IF(QualitéAlimentsBisonnes=BONNE,VLOOKUP("Colza",AlimentsRationHivernaleBisonsFemelles,2,FALSE),0))))))))))))))))</f>
        <v>0</v>
      </c>
      <c r="BO120" s="1267">
        <f t="array" ref="BO120">SUM((IF(QualitéAlimentsBisonneauxMâles_0_3_mois=MOYENNE,VLOOKUP("Colza",AlimentsRationHivernaleBisonsMâles,8,FALSE),0)+(IF(QualitéAlimentsBisonneauxFemelles_0_3_mois=MOYENNE,VLOOKUP("Colza",AlimentsRationHivernaleBisonsFemelles,8,FALSE),0)+(IF(QualitéAlimentsBisonneauxMâles_3_6_mois=MOYENNE,VLOOKUP("Colza",AlimentsRationHivernaleBisonsMâles,7,FALSE),0)+(IF(QualitéAlimentsBisonneauxFemelles_3_6_mois=MOYENNE,VLOOKUP("Colza",AlimentsRationHivernaleBisonsFemelles,7,FALSE),0)+(IF(QualitéAlimentsBisonneauxMâles_6_12_mois=MOYENNE,VLOOKUP("Colza",AlimentsRationHivernaleBisonsMâles,6,FALSE),0)+(IF(QualitéAlimentsBisonneauxFemelles_6_12_mois=MOYENNE,VLOOKUP("Colza",AlimentsRationHivernaleBisonsFemelles,6,FALSE),0)+(IF(QualitéAlimentsJeunesBisons_12_18_mois=MOYENNE,VLOOKUP("Colza",AlimentsRationHivernaleBisonsMâles,5,FALSE),0)+(IF(QualitéAlimentsJeunesBisonnes_12_18_mois=MOYENNE,VLOOKUP("Colza",AlimentsRationHivernaleBisonsFemelles,5,FALSE),0)+(IF(QualitéAlimentsJeunesBisons_18_24_mois=MOYENNE,VLOOKUP("Colza",AlimentsRationHivernaleBisonsMâles,4,FALSE),0)+(IF(QualitéAlimentsJeunesBisonnes_18_24_mois=MOYENNE,VLOOKUP("Colza",AlimentsRationHivernaleBisonsFemelles,4,FALSE),0)+(IF(QualitéAlimentsJeunesBisons_24_36_mois=MOYENNE,VLOOKUP("Colza",AlimentsRationHivernaleBisonsMâles,3,FALSE),0)+(IF(QualitéAlimentsJeunesBisonnes_24_36_mois=MOYENNE,VLOOKUP("Colza",AlimentsRationHivernaleBisonsFemelles,3,FALSE),0)+(IF(QualitéAlimentsBisons=MOYENNE,VLOOKUP("Colza",AlimentsRationHivernaleBisonsMâles,2,FALSE),0)+(IF(QualitéAlimentsBisonnes=MOYENNE,VLOOKUP("Colza",AlimentsRationHivernaleBisonsFemelles,2,FALSE),0))))))))))))))))</f>
        <v>0</v>
      </c>
      <c r="BP120" s="1267">
        <f t="array" ref="BP120">SUM((IF(QualitéAlimentsBisonneauxMâles_0_3_mois=MAUVAISE,VLOOKUP("Colza",AlimentsRationHivernaleBisonsMâles,8,FALSE),0)+(IF(QualitéAlimentsBisonneauxFemelles_0_3_mois=MAUVAISE,VLOOKUP("Colza",AlimentsRationHivernaleBisonsFemelles,8,FALSE),0)+(IF(QualitéAlimentsBisonneauxMâles_3_6_mois=MAUVAISE,VLOOKUP("Colza",AlimentsRationHivernaleBisonsMâles,7,FALSE),0)+(IF(QualitéAlimentsBisonneauxFemelles_3_6_mois=MAUVAISE,VLOOKUP("Colza",AlimentsRationHivernaleBisonsFemelles,7,FALSE),0)+(IF(QualitéAlimentsBisonneauxMâles_6_12_mois=MAUVAISE,VLOOKUP("Colza",AlimentsRationHivernaleBisonsMâles,6,FALSE),0)+(IF(QualitéAlimentsBisonneauxFemelles_6_12_mois=MAUVAISE,VLOOKUP("Colza",AlimentsRationHivernaleBisonsFemelles,6,FALSE),0)+(IF(QualitéAlimentsJeunesBisons_12_18_mois=MAUVAISE,VLOOKUP("Colza",AlimentsRationHivernaleBisonsMâles,5,FALSE),0)+(IF(QualitéAlimentsJeunesBisonnes_12_18_mois=MAUVAISE,VLOOKUP("Colza",AlimentsRationHivernaleBisonsFemelles,5,FALSE),0)+(IF(QualitéAlimentsJeunesBisons_18_24_mois=MAUVAISE,VLOOKUP("Colza",AlimentsRationHivernaleBisonsMâles,4,FALSE),0)+(IF(QualitéAlimentsJeunesBisonnes_18_24_mois=MAUVAISE,VLOOKUP("Colza",AlimentsRationHivernaleBisonsFemelles,4,FALSE),0)+(IF(QualitéAlimentsJeunesBisons_24_36_mois=MAUVAISE,VLOOKUP("Colza",AlimentsRationHivernaleBisonsMâles,3,FALSE),0)+(IF(QualitéAlimentsJeunesBisonnes_24_36_mois=MAUVAISE,VLOOKUP("Colza",AlimentsRationHivernaleBisonsFemelles,3,FALSE),0)+(IF(QualitéAlimentsBisons=MAUVAISE,VLOOKUP("Colza",AlimentsRationHivernaleBisonsMâles,2,FALSE),0)+(IF(QualitéAlimentsBisonnes=MAUVAISE,VLOOKUP("Colza",AlimentsRationHivernaleBisonsFemelles,2,FALSE),0))))))))))))))))</f>
        <v>0</v>
      </c>
      <c r="BQ120" s="1346"/>
      <c r="BR120" s="1346"/>
      <c r="BS120" s="1346"/>
      <c r="BT120" s="1346"/>
      <c r="BU120" s="1346"/>
      <c r="BV120" s="1345"/>
      <c r="BW120" s="1345"/>
      <c r="BX120" s="1076" t="s">
        <v>219</v>
      </c>
      <c r="BY120" s="1076">
        <f t="array" ref="BY120">IF(ChoixRationComplèteCaprins=OUI,0,IFERROR(IF(OR(AND(INDEX(Règles_caprins[Specificite],MATCH(ChoixRationCaprins&amp;$BX120,Règles_caprins[Ration]&amp;Règles_caprins[Aliment],0))="s1",IF($BX120=Spécificité1Caprins,1)),
INDEX(Règles_caprins[Specificite],MATCH(ChoixRationCaprins&amp;$BX120,Règles_caprins[Ration]&amp;Règles_caprins[Aliment],0))="c"),
INDEX(Règles_caprins[Valeur 12 et plus],MATCH(ChoixRationCaprins&amp;$BX120,Règles_caprins[Ration]&amp;Règles_caprins[Aliment],0)),0),0)*TotalBoucs*SUM(NbreJoursNourrirCaprins))</f>
        <v>0</v>
      </c>
      <c r="BZ120" s="1076">
        <f t="array" ref="BZ120">IF(ChoixRationComplèteCaprins=OUI,0,IFERROR(IF(OR(AND(INDEX(Règles_caprins[Specificite],MATCH(ChoixRationCaprins&amp;$BX120,Règles_caprins[Ration]&amp;Règles_caprins[Aliment],0))="s1",IF($BX120=Spécificité1Caprins,1)),
INDEX(Règles_caprins[Specificite],MATCH(ChoixRationCaprins&amp;$BX120,Règles_caprins[Ration]&amp;Règles_caprins[Aliment],0))="c"),
INDEX(Règles_caprins[Valeur 6-12],MATCH(ChoixRationCaprins&amp;$BX120,Règles_caprins[Ration]&amp;Règles_caprins[Aliment],0)),0),0)*jeune_bouc_6_12_mois*SUM(NbreJoursNourrirCaprins))</f>
        <v>0</v>
      </c>
      <c r="CA120" s="1076">
        <f t="array" ref="CA120">IF(ChoixRationComplèteCaprins=OUI,0,IFERROR(IF(OR(AND(INDEX(Règles_caprins[Specificite],MATCH(ChoixRationCaprins&amp;$BX120,Règles_caprins[Ration]&amp;Règles_caprins[Aliment],0))="s1",IF($BX120=Spécificité1Caprins,1)),
INDEX(Règles_caprins[Specificite],MATCH(ChoixRationCaprins&amp;$BX120,Règles_caprins[Ration]&amp;Règles_caprins[Aliment],0))="c"),
INDEX(Règles_caprins[Valeur 3-6],MATCH(ChoixRationCaprins&amp;$BX120,Règles_caprins[Ration]&amp;Règles_caprins[Aliment],0)),0),0)*chevreau_3_6_mois*SUM(NbreJoursNourrirCaprins))</f>
        <v>0</v>
      </c>
      <c r="CB120" s="1076">
        <f t="array" ref="CB120">IF(ChoixRationComplèteCaprins=OUI,0,IFERROR(IF(OR(AND(INDEX(Règles_caprins[Specificite],MATCH(ChoixRationCaprins&amp;$BX120,Règles_caprins[Ration]&amp;Règles_caprins[Aliment],0))="s1",IF($BX120=Spécificité1Caprins,1)),
INDEX(Règles_caprins[Specificite],MATCH(ChoixRationCaprins&amp;$BX120,Règles_caprins[Ration]&amp;Règles_caprins[Aliment],0))="c"),
INDEX(Règles_caprins[Valeur 0-3],MATCH(ChoixRationCaprins&amp;$BX120,Règles_caprins[Ration]&amp;Règles_caprins[Aliment],0)),0),0)*chevreau_0_3_mois*SUM(NbreJoursNourrirCaprins))</f>
        <v>0</v>
      </c>
      <c r="CC120" s="1076">
        <f t="shared" si="45"/>
        <v>0</v>
      </c>
      <c r="CD120" s="1345"/>
      <c r="CE120" s="1345"/>
      <c r="CF120" s="1345"/>
      <c r="CG120" s="1345"/>
      <c r="CH120" s="1321"/>
      <c r="CI120" s="1321"/>
      <c r="CJ120" s="808" t="str">
        <f t="shared" si="26"/>
        <v>Triticale</v>
      </c>
      <c r="CK120" s="788">
        <f t="array" ref="CK12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20" s="788">
        <f t="array" ref="CL12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20" s="788">
        <f t="array" ref="CM12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20" s="788">
        <f t="array" ref="CN12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20" s="788">
        <f t="array" ref="CO120">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20" s="812">
        <f>SUM(AlimentsRationPorcinsFemelles[[#This Row],[Valeur 12 et plus]:[Valeur 0-1]])</f>
        <v>0</v>
      </c>
      <c r="CQ120" s="1345"/>
      <c r="CR120" s="1321"/>
      <c r="CS120" s="808" t="str">
        <f t="shared" si="40"/>
        <v>Paille</v>
      </c>
      <c r="CT120" s="817">
        <f t="array" ref="CT120">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20" s="817">
        <f t="array" ref="CU120">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20" s="817">
        <f t="array" ref="CV120">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20" s="818">
        <f>SUM(AlimentsRationLapinsFemelles[[#This Row],[Valeur 3 et plus]:[Valeur 0-1]])</f>
        <v>0</v>
      </c>
      <c r="CX120" s="1321"/>
      <c r="CY120" s="1321"/>
      <c r="CZ120" s="808" t="str">
        <f t="shared" si="41"/>
        <v>Paille</v>
      </c>
      <c r="DA120" s="817">
        <f t="array" ref="DA120">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20" s="817">
        <f t="array" ref="DB120">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20" s="817">
        <f t="array" ref="DC120">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20" s="818">
        <f>SUM(AlimentsRationVolaillesFemelles[[#This Row],[Valeur 6 et plus]:[Valeur 0-1]])</f>
        <v>0</v>
      </c>
      <c r="DE120" s="1345"/>
      <c r="DF120" s="1321"/>
      <c r="DG120" s="788" t="str">
        <f t="shared" si="27"/>
        <v>Tourteau de colza</v>
      </c>
      <c r="DH120" s="817">
        <f t="array" ref="DH12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20" s="817">
        <f t="array" ref="DI12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20" s="817">
        <f t="array" ref="DJ120">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20" s="821">
        <f>SUM(AlimentsRationPintadesFemelles[[#This Row],[Valeur 6 et plus]:[Valeur 0-1]])</f>
        <v>0</v>
      </c>
      <c r="DL120" s="1321"/>
      <c r="DM120" s="1321"/>
      <c r="DN120" s="1176" t="s">
        <v>837</v>
      </c>
      <c r="DO120" s="1177" t="s">
        <v>672</v>
      </c>
      <c r="DP120" s="1177" t="s">
        <v>1253</v>
      </c>
      <c r="DQ120" s="1181">
        <v>1.6</v>
      </c>
      <c r="DR120" s="1181">
        <v>1.4</v>
      </c>
      <c r="DS120" s="1181">
        <v>1.2</v>
      </c>
      <c r="DT120" s="1243">
        <v>1</v>
      </c>
      <c r="DU120" s="1346"/>
      <c r="DV120" s="1321"/>
      <c r="DW120" s="1321"/>
      <c r="DX120" s="1321"/>
      <c r="DY120" s="1321"/>
      <c r="DZ120" s="1321"/>
      <c r="EA120" s="1321"/>
      <c r="EB120" s="1321"/>
      <c r="EC120" s="1321"/>
      <c r="ED120" s="1345"/>
      <c r="EE120" s="1345"/>
      <c r="EF120" s="1321"/>
      <c r="EG120" s="808" t="str">
        <f t="shared" si="31"/>
        <v>Ration complète</v>
      </c>
      <c r="EH120" s="817">
        <f t="array" ref="EH12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20" s="817">
        <f t="array" ref="EI12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20" s="817">
        <f t="array" ref="EJ12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20" s="818">
        <f>SUM(AlimentsRationOiesFemelles[[#This Row],[Valeur 6 et plus]:[Valeur 0-3]])</f>
        <v>0</v>
      </c>
      <c r="EL120" s="1345"/>
      <c r="EM120" s="1321"/>
      <c r="EN120" s="823" t="str">
        <f t="shared" si="29"/>
        <v>Seigle</v>
      </c>
      <c r="EO120" s="828">
        <f t="array" ref="EO12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20" s="828">
        <f t="array" ref="EP12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20" s="828">
        <f t="array" ref="EQ12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20" s="829">
        <f>SUM(Ration_canards_Femelles[[#This Row],[Valeur 6 et plus]:[Valeur 0-3]])</f>
        <v>0</v>
      </c>
      <c r="ES120" s="1345"/>
      <c r="ET120" s="1321"/>
      <c r="EU120" s="1082" t="str">
        <f t="shared" si="44"/>
        <v>Maïs grain</v>
      </c>
      <c r="EV120" s="1282">
        <f t="array" ref="EV120">IF(OR(ChoixRationComplèteEtéChevauxSelle=OUI,ChoixRationComplèteEtéChevauxSelle="",AND(ChoixChevauxSellePréHiver=OUI,ChoixChevauxSellePréEté=OUI)),0,IFERROR(IF(OR(AND(INDEX(Règles_chevaux_selle[Specificite],MATCH(RationEtéChevauxSelle&amp;$EU120,Règles_chevaux_selle[Ration]&amp;Règles_chevaux_selle[Aliment],0))="s1",IF($EU120=Spécificité1ChevauxSelle,1)),
AND(INDEX(Règles_chevaux_selle[Specificite],MATCH(RationEtéChevauxSelle&amp;$EU120,Règles_chevaux_selle[Ration]&amp;Règles_chevaux_selle[Aliment],0))="s2",IF($EU120=Spécificité2ChevauxSelle,1)),
INDEX(Règles_chevaux_selle[Specificite],MATCH(RationEtéChevauxSelle&amp;$EU120,Règles_chevaux_selle[Ration]&amp;Règles_chevaux_selle[Aliment],0))="c"),
INDEX(Règles_chevaux_selle[Valeur 36 et plus],MATCH(RationEtéChevauxSelle&amp;$EU120,Règles_chevaux_selle[Ration]&amp;Règles_chevaux_selle[Aliment],0)),0),0)*TotalJumentSelle*SUM(NbreJoursNourrirChevauxSelle))</f>
        <v>0</v>
      </c>
      <c r="EW120" s="1282">
        <f t="array" ref="EW120">IF(OR(ChoixRationComplèteEtéChevauxSelle=OUI,ChoixRationComplèteEtéChevauxSelle="",AND(ChoixChevauxSellePréHiver=OUI,ChoixChevauxSellePréEté=OUI)),0,IFERROR(IF(OR(AND(INDEX(Règles_chevaux_selle[Specificite],MATCH(RationEtéChevauxSelle&amp;$EU120,Règles_chevaux_selle[Ration]&amp;Règles_chevaux_selle[Aliment],0))="s1",IF($EU120=Spécificité1ChevauxSelle,1)),
AND(INDEX(Règles_chevaux_selle[Specificite],MATCH(RationEtéChevauxSelle&amp;$EU120,Règles_chevaux_selle[Ration]&amp;Règles_chevaux_selle[Aliment],0))="s2",IF($EU120=Spécificité2ChevauxSelle,1)),
INDEX(Règles_chevaux_selle[Specificite],MATCH(RationEtéChevauxSelle&amp;$EU120,Règles_chevaux_selle[Ration]&amp;Règles_chevaux_selle[Aliment],0))="c"),
INDEX(Règles_chevaux_selle[Valeur 24-36],MATCH(RationEtéChevauxSelle&amp;$EU120,Règles_chevaux_selle[Ration]&amp;Règles_chevaux_selle[Aliment],0)),0),0)*TotalJeuneJumentSelle_24_36_mois*SUM(NbreJoursNourrirChevauxSelle))</f>
        <v>0</v>
      </c>
      <c r="EX120" s="1282">
        <f t="array" ref="EX120">IF(OR(ChoixRationComplèteEtéChevauxSelle=OUI,ChoixRationComplèteEtéChevauxSelle="",AND(ChoixChevauxSellePréHiver=OUI,ChoixChevauxSellePréEté=OUI)),0,IFERROR(IF(OR(AND(INDEX(Règles_chevaux_selle[Specificite],MATCH(RationEtéChevauxSelle&amp;$EU120,Règles_chevaux_selle[Ration]&amp;Règles_chevaux_selle[Aliment],0))="s1",IF($EU120=Spécificité1ChevauxSelle,1)),
AND(INDEX(Règles_chevaux_selle[Specificite],MATCH(RationEtéChevauxSelle&amp;$EU120,Règles_chevaux_selle[Ration]&amp;Règles_chevaux_selle[Aliment],0))="s2",IF($EU120=Spécificité2ChevauxSelle,1)),
INDEX(Règles_chevaux_selle[Specificite],MATCH(RationEtéChevauxSelle&amp;$EU120,Règles_chevaux_selle[Ration]&amp;Règles_chevaux_selle[Aliment],0))="c"),
INDEX(Règles_chevaux_selle[Valeur 12-24],MATCH(RationEtéChevauxSelle&amp;$EU120,Règles_chevaux_selle[Ration]&amp;Règles_chevaux_selle[Aliment],0)),0),0)*TotalJeuneJumentSelle_12_24_mois*SUM(NbreJoursNourrirChevauxSelle))</f>
        <v>0</v>
      </c>
      <c r="EY120" s="1285">
        <f t="array" ref="EY120">IF(OR(ChoixRationComplèteEtéChevauxSelle=OUI,ChoixRationComplèteEtéChevauxSelle="",AND(ChoixChevauxSellePréHiver=OUI,ChoixChevauxSellePréEté=OUI)),0,IFERROR(IF(OR(AND(INDEX(Règles_chevaux_selle[Specificite],MATCH(RationEtéChevauxSelle&amp;$EU120,Règles_chevaux_selle[Ration]&amp;Règles_chevaux_selle[Aliment],0))="s1",IF($EU120=Spécificité1ChevauxSelle,1)),
AND(INDEX(Règles_chevaux_selle[Specificite],MATCH(RationEtéChevauxSelle&amp;$EU120,Règles_chevaux_selle[Ration]&amp;Règles_chevaux_selle[Aliment],0))="s2",IF($EU120=Spécificité2ChevauxSelle,1)),
INDEX(Règles_chevaux_selle[Specificite],MATCH(RationEtéChevauxSelle&amp;$EU120,Règles_chevaux_selle[Ration]&amp;Règles_chevaux_selle[Aliment],0))="c"),
INDEX(Règles_chevaux_selle[Valeur 0-12],MATCH(RationEtéChevauxSelle&amp;$EU120,Règles_chevaux_selle[Ration]&amp;Règles_chevaux_selle[Aliment],0)),0),0)*TotalPoulicheSelle_0_12_mois*SUM(NbreJoursNourrirChevauxSelle))</f>
        <v>0</v>
      </c>
      <c r="EZ120" s="1285">
        <f t="shared" si="43"/>
        <v>0</v>
      </c>
      <c r="FA120" s="1345"/>
      <c r="FB120" s="1345"/>
      <c r="FC120" s="1321"/>
      <c r="FD120" s="1082" t="str">
        <f t="shared" si="34"/>
        <v>Pulpe déshydratée de betterave</v>
      </c>
      <c r="FE120" s="1282">
        <f t="array" ref="FE120">IF(OR(ChoixRationComplèteEtéChevauxTrait=OUI,ChoixRationComplèteEtéChevauxTrait="",AND(ChoixChevauxTraitPréHiver=OUI,ChoixChevauxTraitPréEté=OUI)),0,IFERROR(IF(OR(AND(INDEX(Règles_chevaux_trait[Specificite],MATCH(RationEtéChevauxTrait&amp;$FD120,Règles_chevaux_trait[Ration]&amp;Règles_chevaux_trait[Aliment],0))="s1",IF($FD120=Spécificité1ChevauxTrait,1)),
AND(INDEX(Règles_chevaux_trait[Specificite],MATCH(RationEtéChevauxTrait&amp;$FD120,Règles_chevaux_trait[Ration]&amp;Règles_chevaux_trait[Aliment],0))="s2",IF($FD120=Spécificité2ChevauxTrait,1)),
INDEX(Règles_chevaux_trait[Specificite],MATCH(RationEtéChevauxTrait&amp;$FD120,Règles_chevaux_trait[Ration]&amp;Règles_chevaux_trait[Aliment],0))="c"),
INDEX(Règles_chevaux_trait[Valeur 36 et plus],MATCH(RationEtéChevauxTrait&amp;$FD120,Règles_chevaux_trait[Ration]&amp;Règles_chevaux_trait[Aliment],0)),0),0)*TotalJumentTrait*SUM(NbreJoursNourrirChevauxTrait))</f>
        <v>0</v>
      </c>
      <c r="FF120" s="1282">
        <f t="array" ref="FF120">IF(OR(ChoixRationComplèteEtéChevauxTrait=OUI,ChoixRationComplèteEtéChevauxTrait="",AND(ChoixChevauxTraitPréHiver=OUI,ChoixChevauxTraitPréEté=OUI)),0,IFERROR(IF(OR(AND(INDEX(Règles_chevaux_trait[Specificite],MATCH(RationEtéChevauxTrait&amp;$FD120,Règles_chevaux_trait[Ration]&amp;Règles_chevaux_trait[Aliment],0))="s1",IF($FD120=Spécificité1ChevauxTrait,1)),
AND(INDEX(Règles_chevaux_trait[Specificite],MATCH(RationEtéChevauxTrait&amp;$FD120,Règles_chevaux_trait[Ration]&amp;Règles_chevaux_trait[Aliment],0))="s2",IF($FD120=Spécificité2ChevauxTrait,1)),
INDEX(Règles_chevaux_trait[Specificite],MATCH(RationEtéChevauxTrait&amp;$FD120,Règles_chevaux_trait[Ration]&amp;Règles_chevaux_trait[Aliment],0))="c"),
INDEX(Règles_chevaux_trait[Valeur 24-36],MATCH(RationEtéChevauxTrait&amp;$FD120,Règles_chevaux_trait[Ration]&amp;Règles_chevaux_trait[Aliment],0)),0),0)*TotalJeuneJumentTrait_24_36_mois*SUM(NbreJoursNourrirChevauxTrait))</f>
        <v>0</v>
      </c>
      <c r="FG120" s="1282">
        <f t="array" ref="FG120">IF(OR(ChoixRationComplèteEtéChevauxTrait=OUI,ChoixRationComplèteEtéChevauxTrait="",AND(ChoixChevauxTraitPréHiver=OUI,ChoixChevauxTraitPréEté=OUI)),0,IFERROR(IF(OR(AND(INDEX(Règles_chevaux_trait[Specificite],MATCH(RationEtéChevauxTrait&amp;$FD120,Règles_chevaux_trait[Ration]&amp;Règles_chevaux_trait[Aliment],0))="s1",IF($FD120=Spécificité1ChevauxTrait,1)),
AND(INDEX(Règles_chevaux_trait[Specificite],MATCH(RationEtéChevauxTrait&amp;$FD120,Règles_chevaux_trait[Ration]&amp;Règles_chevaux_trait[Aliment],0))="s2",IF($FD120=Spécificité2ChevauxTrait,1)),
INDEX(Règles_chevaux_trait[Specificite],MATCH(RationEtéChevauxTrait&amp;$FD120,Règles_chevaux_trait[Ration]&amp;Règles_chevaux_trait[Aliment],0))="c"),
INDEX(Règles_chevaux_trait[Valeur 12-24],MATCH(RationEtéChevauxTrait&amp;$FD120,Règles_chevaux_trait[Ration]&amp;Règles_chevaux_trait[Aliment],0)),0),0)*TotalJeuneJumentTrait_12_24_mois*SUM(NbreJoursNourrirChevauxTrait))</f>
        <v>0</v>
      </c>
      <c r="FH120" s="1285">
        <f t="array" ref="FH120">IF(OR(ChoixRationComplèteEtéChevauxTrait=OUI,ChoixRationComplèteEtéChevauxTrait="",AND(ChoixChevauxTraitPréHiver=OUI,ChoixChevauxTraitPréEté=OUI)),0,IFERROR(IF(OR(AND(INDEX(Règles_chevaux_trait[Specificite],MATCH(RationEtéChevauxTrait&amp;$FD120,Règles_chevaux_trait[Ration]&amp;Règles_chevaux_trait[Aliment],0))="s1",IF($FD120=Spécificité1ChevauxTrait,1)),
AND(INDEX(Règles_chevaux_trait[Specificite],MATCH(RationEtéChevauxTrait&amp;$FD120,Règles_chevaux_trait[Ration]&amp;Règles_chevaux_trait[Aliment],0))="s2",IF($FD120=Spécificité2ChevauxTrait,1)),
INDEX(Règles_chevaux_trait[Specificite],MATCH(RationEtéChevauxTrait&amp;$FD120,Règles_chevaux_trait[Ration]&amp;Règles_chevaux_trait[Aliment],0))="c"),
INDEX(Règles_chevaux_trait[Valeur 0-12],MATCH(RationEtéChevauxTrait&amp;$FD120,Règles_chevaux_trait[Ration]&amp;Règles_chevaux_trait[Aliment],0)),0),0)*TotalPoulicheTrait_0_12_mois*SUM(NbreJoursNourrirChevauxTrait))</f>
        <v>0</v>
      </c>
      <c r="FI120" s="1285">
        <f t="shared" si="32"/>
        <v>0</v>
      </c>
      <c r="FJ120" s="1345"/>
      <c r="FK120" s="1345"/>
      <c r="FL120" s="1345"/>
      <c r="FM120" s="1321"/>
      <c r="FN120" s="1083" t="str">
        <f t="shared" si="33"/>
        <v>Ration complète</v>
      </c>
      <c r="FO120" s="1283">
        <f t="array" ref="FO120">IF(OR(ChoixRationComplèteEtéPoneys=OUI,ChoixRationComplèteEtéPoneys="",AND(ChoixPoneysPréHiver=OUI,ChoixPoneysPréEté=OUI)),0,IFERROR(IF(OR(AND(INDEX(Règles_poneys[Specificite],MATCH(RationEtéPoneys&amp;$FN120,Règles_poneys[Ration]&amp;Règles_poneys[Aliment],0))="s1",IF($FN120=Spécificité1Poneys,1)),
AND(INDEX(Règles_poneys[Specificite],MATCH(RationEtéPoneys&amp;$FN120,Règles_poneys[Ration]&amp;Règles_poneys[Aliment],0))="s2",IF($FN120=Spécificité2Poneys,1)),
INDEX(Règles_poneys[Specificite],MATCH(RationEtéPoneys&amp;$FN120,Règles_poneys[Ration]&amp;Règles_poneys[Aliment],0))="c"),
INDEX(Règles_poneys[Valeur 36 et plus],MATCH(RationEtéPoneys&amp;$FN120,Règles_poneys[Ration]&amp;Règles_poneys[Aliment],0)),0),0)*TotalJumentPoney*SUM(NbreJoursNourrirPoneys))</f>
        <v>0</v>
      </c>
      <c r="FP120" s="1283">
        <f t="array" ref="FP120">IF(OR(ChoixRationComplèteEtéPoneys=OUI,ChoixRationComplèteEtéPoneys="",AND(ChoixPoneysPréHiver=OUI,ChoixPoneysPréEté=OUI)),0,IFERROR(IF(OR(AND(INDEX(Règles_poneys[Specificite],MATCH(RationEtéPoneys&amp;$FN120,Règles_poneys[Ration]&amp;Règles_poneys[Aliment],0))="s1",IF($FN120=Spécificité1Poneys,1)),
AND(INDEX(Règles_poneys[Specificite],MATCH(RationEtéPoneys&amp;$FN120,Règles_poneys[Ration]&amp;Règles_poneys[Aliment],0))="s2",IF($FN120=Spécificité2Poneys,1)),
INDEX(Règles_poneys[Specificite],MATCH(RationEtéPoneys&amp;$FN120,Règles_poneys[Ration]&amp;Règles_poneys[Aliment],0))="c"),
INDEX(Règles_poneys[Valeur 36 et plus],MATCH(RationEtéPoneys&amp;$FN120,Règles_poneys[Ration]&amp;Règles_poneys[Aliment],0)),0),0)*TotalJeuneJumentPoney_24_36_mois*SUM(NbreJoursNourrirPoneys))</f>
        <v>0</v>
      </c>
      <c r="FQ120" s="1283">
        <f t="array" ref="FQ120">IF(OR(ChoixRationComplèteEtéPoneys=OUI,ChoixRationComplèteEtéPoneys="",AND(ChoixPoneysPréHiver=OUI,ChoixPoneysPréEté=OUI)),0,IFERROR(IF(OR(AND(INDEX(Règles_poneys[Specificite],MATCH(RationEtéPoneys&amp;$FN120,Règles_poneys[Ration]&amp;Règles_poneys[Aliment],0))="s1",IF($FN120=Spécificité1Poneys,1)),
AND(INDEX(Règles_poneys[Specificite],MATCH(RationEtéPoneys&amp;$FN120,Règles_poneys[Ration]&amp;Règles_poneys[Aliment],0))="s2",IF($FN120=Spécificité2Poneys,1)),
INDEX(Règles_poneys[Specificite],MATCH(RationEtéPoneys&amp;$FN120,Règles_poneys[Ration]&amp;Règles_poneys[Aliment],0))="c"),
INDEX(Règles_poneys[Valeur 36 et plus],MATCH(RationEtéPoneys&amp;$FN120,Règles_poneys[Ration]&amp;Règles_poneys[Aliment],0)),0),0)*TotalJeuneJumentPoney_12_24_mois*SUM(NbreJoursNourrirPoneys))</f>
        <v>0</v>
      </c>
      <c r="FR120" s="1286">
        <f t="array" ref="FR120">IF(OR(ChoixRationComplèteEtéPoneys=OUI,ChoixRationComplèteEtéPoneys="",AND(ChoixPoneysPréHiver=OUI,ChoixPoneysPréEté=OUI)),0,IFERROR(IF(OR(AND(INDEX(Règles_poneys[Specificite],MATCH(RationEtéPoneys&amp;$FN120,Règles_poneys[Ration]&amp;Règles_poneys[Aliment],0))="s1",IF($FN120=Spécificité1Poneys,1)),
AND(INDEX(Règles_poneys[Specificite],MATCH(RationEtéPoneys&amp;$FN120,Règles_poneys[Ration]&amp;Règles_poneys[Aliment],0))="s2",IF($FN120=Spécificité2Poneys,1)),
INDEX(Règles_poneys[Specificite],MATCH(RationEtéPoneys&amp;$FN120,Règles_poneys[Ration]&amp;Règles_poneys[Aliment],0))="c"),
INDEX(Règles_poneys[Valeur 36 et plus],MATCH(RationEtéPoneys&amp;$FN120,Règles_poneys[Ration]&amp;Règles_poneys[Aliment],0)),0),0)*TotalPoulichePoney_0_12_mois*SUM(NbreJoursNourrirPoneys))</f>
        <v>0</v>
      </c>
      <c r="FS120" s="1286">
        <f t="shared" si="30"/>
        <v>0</v>
      </c>
      <c r="FT120" s="1345"/>
      <c r="FU120" s="1345"/>
      <c r="FV120" s="1345"/>
      <c r="FW120" s="823" t="str">
        <f t="shared" si="28"/>
        <v>Tourteau de colza</v>
      </c>
      <c r="FX120" s="828">
        <f t="array" ref="FX12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20" s="828">
        <f t="array" ref="FY12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20" s="828">
        <f t="array" ref="FZ12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20" s="828">
        <f t="array" ref="GA120">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20" s="829">
        <f>SUM(AlimentsGavageCanards[[#This Row],[Valeur 3 et plus]:[Valeur 0-1]])</f>
        <v>0</v>
      </c>
      <c r="GC120" s="1321"/>
      <c r="GD120" s="1321"/>
      <c r="GE120" s="1321"/>
      <c r="GF120" s="1321"/>
      <c r="GG120" s="1321" t="s">
        <v>1349</v>
      </c>
      <c r="GH120" s="1321" t="s">
        <v>1349</v>
      </c>
      <c r="GI120" s="1321" t="s">
        <v>1349</v>
      </c>
      <c r="GJ120" s="1321" t="s">
        <v>1349</v>
      </c>
      <c r="GK120" s="1321" t="s">
        <v>1349</v>
      </c>
      <c r="GL120" s="1321" t="s">
        <v>1349</v>
      </c>
      <c r="GM120" s="1321" t="s">
        <v>1349</v>
      </c>
      <c r="GN120" s="1321" t="s">
        <v>1349</v>
      </c>
      <c r="GO120" s="1321" t="s">
        <v>1349</v>
      </c>
      <c r="GP120" s="1321" t="s">
        <v>1349</v>
      </c>
      <c r="GQ120" s="1321" t="s">
        <v>1349</v>
      </c>
      <c r="GR120" s="1321" t="s">
        <v>1349</v>
      </c>
      <c r="GS120" s="1321" t="s">
        <v>1349</v>
      </c>
      <c r="GT120" s="1321" t="s">
        <v>1349</v>
      </c>
      <c r="GU120" s="1321" t="s">
        <v>1349</v>
      </c>
      <c r="GV120" s="1321" t="s">
        <v>1349</v>
      </c>
      <c r="GW120" s="1321"/>
      <c r="GX120" s="1321"/>
      <c r="GY120" s="1321"/>
      <c r="GZ120" s="1321"/>
      <c r="HA120" s="1321"/>
      <c r="HB120" s="1321"/>
      <c r="HC120" s="1321"/>
      <c r="HD120" s="1321"/>
      <c r="HE120" s="1321"/>
      <c r="HF120" s="1321"/>
      <c r="HG120" s="1321"/>
      <c r="HH120" s="1321"/>
      <c r="HI120" s="1321"/>
      <c r="HJ120" s="1321"/>
      <c r="HK120" s="1321"/>
      <c r="HL120" s="1321"/>
      <c r="HM120" s="1321"/>
      <c r="HN120" s="1083" t="s">
        <v>65</v>
      </c>
      <c r="HO120" s="1084" t="e">
        <f>IF(SUM((VLOOKUP(HN120,AlimentsRationBovinsMâles,9,FALSE)+VLOOKUP(HN120,AlimentsRationBovinsFemelles,9,FALSE)+VLOOKUP(HN120,BDD!BB$284:BJ$323,9,FALSE))/1000/SUM(NbreJoursNourrirBovins)*IF('semences, engrais et traitement'!I$16=OUI,42,84))&lt;0,0,SUM((VLOOKUP(HN120,AlimentsRationBovinsMâles,9,FALSE)+VLOOKUP(HN120,AlimentsRationBovinsFemelles,9,FALSE)+VLOOKUP(HN120,BDD!BB$284:BJ$323,9,FALSE))/1000/SUM(NbreJoursNourrirBovins)*IF('semences, engrais et traitement'!I$16=OUI,42,84)))</f>
        <v>#DIV/0!</v>
      </c>
      <c r="HP120" s="1084">
        <f t="shared" si="36"/>
        <v>0</v>
      </c>
      <c r="HQ120" s="1084" t="e">
        <f>IF(SUM(VLOOKUP(HN120,AlimentsRationPorcinsMâles[],7,FALSE)+VLOOKUP(HN120,AlimentsRationPorcinsFemelles[],7,FALSE))/1000/SUM(NbreJoursNourrirAutres)*84&lt;0,0,SUM(VLOOKUP(HN120,AlimentsRationPorcinsMâles[],7,FALSE)+VLOOKUP(HN120,AlimentsRationPorcinsFemelles[],7,FALSE)/1000/SUM(NbreJoursNourrirAutres)*84))</f>
        <v>#DIV/0!</v>
      </c>
      <c r="HR120" s="1084" t="e">
        <f>IF(SUM(VLOOKUP(HN120,AlimentsRationCaprinsMâles,6,FALSE)+VLOOKUP(HN120,AlimentsRationCaprinsFemelles,6,FALSE))/1000/SUM(NbreJoursNourrirCaprins)*IF('semences, engrais et traitement'!I$17=OUI,42,84)&lt;0,0,SUM(VLOOKUP(HN120,AlimentsRationCaprinsMâles,6,FALSE)+VLOOKUP(HN120,AlimentsRationCaprinsFemelles,6,FALSE))/1000/SUM(NbreJoursNourrirCaprins)*IF('semences, engrais et traitement'!I$17=OUI,42,84))</f>
        <v>#DIV/0!</v>
      </c>
      <c r="HS120" s="1084" t="e">
        <f>IF(SUM(VLOOKUP(HN120,AlimentsRationVolaillesMâles[],5,FALSE)+VLOOKUP(HN120,AlimentsRationVolaillesFemelles[],5,FALSE))/1000/SUM(NbreJoursNourrirAutres)*84&lt;0,0,SUM(VLOOKUP(HN120,AlimentsRationVolaillesMâles[],5,FALSE)+VLOOKUP(HN120,AlimentsRationVolaillesFemelles[],5,FALSE)/1000/SUM(NbreJoursNourrirAutres)*84))</f>
        <v>#DIV/0!</v>
      </c>
      <c r="HT120" s="1084" t="e">
        <f>IF(SUM(VLOOKUP(HN120,AlimentsRationPintadesMâles[],5,FALSE)+VLOOKUP(HN120,AlimentsRationPintadesFemelles[],5,FALSE))/1000/SUM(NbreJoursNourrirAutres)*84&lt;0,0,SUM(VLOOKUP(HN120,AlimentsRationPintadesMâles[],5,FALSE)+VLOOKUP(HN120,AlimentsRationPintadesFemelles[],5,FALSE)/1000/SUM(NbreJoursNourrirAutres)*84))</f>
        <v>#DIV/0!</v>
      </c>
      <c r="HU120" s="1084" t="e">
        <f>IF(SUM(VLOOKUP(HN120,AlimentsRationLapinsMâles[],5,FALSE)+VLOOKUP(HN120,AlimentsRationLapinsFemelles[],5,FALSE))/1000/SUM(NbreJoursNourrirAutres)*84&lt;0,0,SUM(VLOOKUP(HN120,AlimentsRationLapinsMâles[],5,FALSE)+VLOOKUP(HN120,AlimentsRationLapinsFemelles[],5,FALSE)/1000/SUM(NbreJoursNourrirAutres)*84))</f>
        <v>#DIV/0!</v>
      </c>
      <c r="HV120" s="1084" t="e">
        <f>IF(SUM(VLOOKUP(HN120,AlimentsRationOvinsMâles,6,FALSE)+VLOOKUP(HN120,AlimentsRationOvinsFemelles,6,FALSE))/1000/SUM(NbreJoursNourrirOvins)*IF('semences, engrais et traitement'!I$18=OUI,42,84)&lt;0,0,SUM(VLOOKUP(HN120,AlimentsRationOvinsMâles,6,FALSE)+VLOOKUP(HN120,AlimentsRationOvinsFemelles,6,FALSE))/1000/SUM(NbreJoursNourrirOvins)*IF('semences, engrais et traitement'!I$18=OUI,42,84))</f>
        <v>#DIV/0!</v>
      </c>
      <c r="HW120" s="1084" t="e">
        <f>IF(SUM(VLOOKUP(HN120,AlimentsRationOiesMâles[],5,FALSE)+VLOOKUP(HN120,AlimentsRationOiesFemelles[],5,FALSE))/1000/SUM(NbreJoursNourrirAutres)*84&lt;0,0,SUM(VLOOKUP(HN120,AlimentsRationOiesMâles[],5,FALSE)+VLOOKUP(HN120,AlimentsRationOiesFemelles[],5,FALSE)/1000/SUM(NbreJoursNourrirAutres)*84))</f>
        <v>#DIV/0!</v>
      </c>
      <c r="HX120" s="1084" t="e">
        <f t="shared" si="48"/>
        <v>#DIV/0!</v>
      </c>
      <c r="HY120" s="1084" t="e">
        <f>IF(SUM(VLOOKUP(HN120,AlimentsRationEcurieChevauxMâlesSelle,6,FALSE)+VLOOKUP(HN120,AlimentsRationEcurieChevauxFemellesSelle,6,FALSE))/1000/SUM(NbreJoursNourrirChevauxSelle)*IF('semences, engrais et traitement'!M$16=OUI,56,84)&lt;0,0,SUM(VLOOKUP(HN120,AlimentsRationEcurieChevauxMâlesSelle,6,FALSE)+VLOOKUP(HN120,AlimentsRationEcurieChevauxFemellesSelle,6,FALSE))/1000/SUM(NbreJoursNourrirChevauxSelle)*IF('semences, engrais et traitement'!M$16=OUI,56,84))</f>
        <v>#DIV/0!</v>
      </c>
      <c r="HZ120" s="1084" t="e">
        <f>IF(SUM(VLOOKUP(HN120,AlimentsRationEcurieChevauxMâlesTrait,6,FALSE)+VLOOKUP(HN120,AlimentsRationEcurieChevauxFemellesTrait,6,FALSE))/1000/SUM(NbreJoursNourrirChevauxTrait)*IF('semences, engrais et traitement'!M$17=OUI,56,84)&lt;0,0,SUM(VLOOKUP(HN120,AlimentsRationEcurieChevauxMâlesTrait,6,FALSE)+VLOOKUP(HN120,AlimentsRationEcurieChevauxFemellesTrait,6,FALSE))/1000/SUM(NbreJoursNourrirChevauxTrait)*IF('semences, engrais et traitement'!M$17=OUI,56,84))</f>
        <v>#DIV/0!</v>
      </c>
      <c r="IA120" s="1084" t="e">
        <f>IF(SUM(VLOOKUP(HN120,AlimentsRationEcuriePoneysMâles,6,FALSE)+VLOOKUP(HN120,AlimentsRationEcuriePoneysFemelles,6,FALSE))/1000/SUM(NbreJoursNourrirPoneys)*IF('semences, engrais et traitement'!M$18=OUI,56,84)&lt;0,0,SUM(VLOOKUP(HN120,AlimentsRationEcuriePoneysMâles,6,FALSE)+VLOOKUP(HN120,AlimentsRationEcuriePoneysFemelles,6,FALSE))/1000/SUM(NbreJoursNourrirPoneys)*IF('semences, engrais et traitement'!M$18=OUI,56,84))</f>
        <v>#DIV/0!</v>
      </c>
      <c r="IB120" s="1100" t="e">
        <f t="shared" si="38"/>
        <v>#DIV/0!</v>
      </c>
      <c r="IC120" s="1321"/>
      <c r="ID120" s="1321"/>
      <c r="IE120" s="1321"/>
      <c r="IF120" s="1321"/>
      <c r="IG120" s="1321"/>
      <c r="IH120" s="1321"/>
      <c r="II120" s="1321"/>
      <c r="IJ120" s="1321"/>
      <c r="IK120" s="1321"/>
      <c r="IL120" s="1321"/>
      <c r="IM120" s="1321"/>
      <c r="IN120" s="1368"/>
    </row>
    <row r="121" spans="1:248" ht="12.75" customHeight="1" x14ac:dyDescent="0.2">
      <c r="A121" s="1307" t="s">
        <v>229</v>
      </c>
      <c r="B121" s="1241">
        <f t="shared" si="39"/>
        <v>1E-3</v>
      </c>
      <c r="C121" s="1321"/>
      <c r="D121" s="1321"/>
      <c r="E121" s="1321"/>
      <c r="F121" s="1149" t="s">
        <v>1039</v>
      </c>
      <c r="G121" s="1149">
        <v>75</v>
      </c>
      <c r="H121" s="1149">
        <v>60</v>
      </c>
      <c r="I121" s="1149">
        <v>45</v>
      </c>
      <c r="J121" s="1149">
        <v>45</v>
      </c>
      <c r="K121" s="1149">
        <v>15</v>
      </c>
      <c r="L121" s="1149">
        <v>35</v>
      </c>
      <c r="M121" s="1321"/>
      <c r="N121" s="1321"/>
      <c r="O121" s="1076">
        <v>10000</v>
      </c>
      <c r="P121" s="1321"/>
      <c r="Q121" s="1321"/>
      <c r="R121" s="1321"/>
      <c r="S121" s="1321"/>
      <c r="T121" s="1321"/>
      <c r="U121" s="1321"/>
      <c r="V121" s="1321"/>
      <c r="W121" s="1321"/>
      <c r="X121" s="1321"/>
      <c r="Y121" s="1321"/>
      <c r="Z121" s="1321"/>
      <c r="AA121" s="1321"/>
      <c r="AB121" s="1321"/>
      <c r="AC121" s="1321"/>
      <c r="AD121" s="1321"/>
      <c r="AE121" s="1321"/>
      <c r="AF121" s="1321"/>
      <c r="AG121" s="1321"/>
      <c r="AH121" s="1321"/>
      <c r="AI121" s="1321"/>
      <c r="AJ121" s="1321"/>
      <c r="AK121" s="1321"/>
      <c r="AL121" s="1321"/>
      <c r="AM121" s="1321"/>
      <c r="AN121" s="1321"/>
      <c r="AO121" s="1321"/>
      <c r="AP121" s="1321"/>
      <c r="AQ121" s="1321"/>
      <c r="AR121" s="1321"/>
      <c r="AS121" s="1321"/>
      <c r="AT121" s="1321"/>
      <c r="AU121" s="1321"/>
      <c r="AV121" s="1321"/>
      <c r="AW121" s="1321"/>
      <c r="AX121" s="1321"/>
      <c r="AY121" s="1321"/>
      <c r="AZ121" s="1321"/>
      <c r="BA121" s="1321"/>
      <c r="BB121" s="1236" t="s">
        <v>731</v>
      </c>
      <c r="BC121" s="1190" t="s">
        <v>219</v>
      </c>
      <c r="BD121" s="1190" t="s">
        <v>1252</v>
      </c>
      <c r="BE121" s="1237">
        <v>72</v>
      </c>
      <c r="BF121" s="1237">
        <v>60</v>
      </c>
      <c r="BG121" s="1237">
        <v>48</v>
      </c>
      <c r="BH121" s="1237">
        <v>36</v>
      </c>
      <c r="BI121" s="1237">
        <v>24</v>
      </c>
      <c r="BJ121" s="1237">
        <v>12</v>
      </c>
      <c r="BK121" s="1238">
        <v>0</v>
      </c>
      <c r="BL121" s="1348"/>
      <c r="BM121" s="1075" t="str">
        <f t="shared" si="47"/>
        <v>concentré jeunes bovins</v>
      </c>
      <c r="BN121" s="1269">
        <f t="array" ref="BN121">SUM((IF(QualitéAlimentsBisonneauxMâles_0_3_mois=BONNE,VLOOKUP("concentré jeunes bovins",AlimentsRationHivernaleBisonsMâles,8,FALSE),0)+(IF(QualitéAlimentsBisonneauxFemelles_0_3_mois=BONNE,VLOOKUP("concentré jeunes bovins",AlimentsRationHivernaleBisonsFemelles,8,FALSE),0)+(IF(QualitéAlimentsBisonneauxMâles_3_6_mois=BONNE,VLOOKUP("concentré jeunes bovins",AlimentsRationHivernaleBisonsMâles,7,FALSE),0)+(IF(QualitéAlimentsBisonneauxFemelles_3_6_mois=BONNE,VLOOKUP("concentré jeunes bovins",AlimentsRationHivernaleBisonsFemelles,7,FALSE),0)+(IF(QualitéAlimentsBisonneauxMâles_6_12_mois=BONNE,VLOOKUP("concentré jeunes bovins",AlimentsRationHivernaleBisonsMâles,6,FALSE),0)+(IF(QualitéAlimentsBisonneauxFemelles_6_12_mois=BONNE,VLOOKUP("concentré jeunes bovins",AlimentsRationHivernaleBisonsFemelles,6,FALSE),0)+(IF(QualitéAlimentsJeunesBisons_12_18_mois=BONNE,VLOOKUP("concentré jeunes bovins",AlimentsRationHivernaleBisonsMâles,5,FALSE),0)+(IF(QualitéAlimentsJeunesBisonnes_12_18_mois=BONNE,VLOOKUP("concentré jeunes bovins",AlimentsRationHivernaleBisonsFemelles,5,FALSE),0)+(IF(QualitéAlimentsJeunesBisons_18_24_mois=BONNE,VLOOKUP("concentré jeunes bovins",AlimentsRationHivernaleBisonsMâles,4,FALSE),0)+(IF(QualitéAlimentsJeunesBisonnes_18_24_mois=BONNE,VLOOKUP("concentré jeunes bovins",AlimentsRationHivernaleBisonsFemelles,4,FALSE),0)+(IF(QualitéAlimentsJeunesBisons_24_36_mois=BONNE,VLOOKUP("concentré jeunes bovins",AlimentsRationHivernaleBisonsMâles,3,FALSE),0)+(IF(QualitéAlimentsJeunesBisonnes_24_36_mois=BONNE,VLOOKUP("concentré jeunes bovins",AlimentsRationHivernaleBisonsFemelles,3,FALSE),0)+(IF(QualitéAlimentsBisons=BONNE,VLOOKUP("concentré jeunes bovins",AlimentsRationHivernaleBisonsMâles,2,FALSE),0)+(IF(QualitéAlimentsBisonnes=BONNE,VLOOKUP("concentré jeunes bovins",AlimentsRationHivernaleBisonsFemelles,2,FALSE),0))))))))))))))))</f>
        <v>0</v>
      </c>
      <c r="BO121" s="1269">
        <f t="array" ref="BO121">SUM((IF(QualitéAlimentsBisonneauxMâles_0_3_mois=MOYENNE,VLOOKUP("concentré jeunes bovins",AlimentsRationHivernaleBisonsMâles,8,FALSE),0)+(IF(QualitéAlimentsBisonneauxFemelles_0_3_mois=MOYENNE,VLOOKUP("concentré jeunes bovins",AlimentsRationHivernaleBisonsFemelles,8,FALSE),0)+(IF(QualitéAlimentsBisonneauxMâles_3_6_mois=MOYENNE,VLOOKUP("concentré jeunes bovins",AlimentsRationHivernaleBisonsMâles,7,FALSE),0)+(IF(QualitéAlimentsBisonneauxFemelles_3_6_mois=MOYENNE,VLOOKUP("concentré jeunes bovins",AlimentsRationHivernaleBisonsFemelles,7,FALSE),0)+(IF(QualitéAlimentsBisonneauxMâles_6_12_mois=MOYENNE,VLOOKUP("concentré jeunes bovins",AlimentsRationHivernaleBisonsMâles,6,FALSE),0)+(IF(QualitéAlimentsBisonneauxFemelles_6_12_mois=MOYENNE,VLOOKUP("concentré jeunes bovins",AlimentsRationHivernaleBisonsFemelles,6,FALSE),0)+(IF(QualitéAlimentsJeunesBisons_12_18_mois=MOYENNE,VLOOKUP("concentré jeunes bovins",AlimentsRationHivernaleBisonsMâles,5,FALSE),0)+(IF(QualitéAlimentsJeunesBisonnes_12_18_mois=MOYENNE,VLOOKUP("concentré jeunes bovins",AlimentsRationHivernaleBisonsFemelles,5,FALSE),0)+(IF(QualitéAlimentsJeunesBisons_18_24_mois=MOYENNE,VLOOKUP("concentré jeunes bovins",AlimentsRationHivernaleBisonsMâles,4,FALSE),0)+(IF(QualitéAlimentsJeunesBisonnes_18_24_mois=MOYENNE,VLOOKUP("concentré jeunes bovins",AlimentsRationHivernaleBisonsFemelles,4,FALSE),0)+(IF(QualitéAlimentsJeunesBisons_24_36_mois=MOYENNE,VLOOKUP("concentré jeunes bovins",AlimentsRationHivernaleBisonsMâles,3,FALSE),0)+(IF(QualitéAlimentsJeunesBisonnes_24_36_mois=MOYENNE,VLOOKUP("concentré jeunes bovins",AlimentsRationHivernaleBisonsFemelles,3,FALSE),0)+(IF(QualitéAlimentsBisons=MOYENNE,VLOOKUP("concentré jeunes bovins",AlimentsRationHivernaleBisonsMâles,2,FALSE),0)+(IF(QualitéAlimentsBisonnes=MOYENNE,VLOOKUP("concentré jeunes bovins",AlimentsRationHivernaleBisonsFemelles,2,FALSE),0))))))))))))))))</f>
        <v>0</v>
      </c>
      <c r="BP121" s="1269">
        <f t="array" ref="BP121">SUM((IF(QualitéAlimentsBisonneauxMâles_0_3_mois=MAUVAISE,VLOOKUP("concentré jeunes bovins",AlimentsRationHivernaleBisonsMâles,8,FALSE),0)+(IF(QualitéAlimentsBisonneauxFemelles_0_3_mois=MAUVAISE,VLOOKUP("concentré jeunes bovins",AlimentsRationHivernaleBisonsFemelles,8,FALSE),0)+(IF(QualitéAlimentsBisonneauxMâles_3_6_mois=MAUVAISE,VLOOKUP("concentré jeunes bovins",AlimentsRationHivernaleBisonsMâles,7,FALSE),0)+(IF(QualitéAlimentsBisonneauxFemelles_3_6_mois=MAUVAISE,VLOOKUP("concentré jeunes bovins",AlimentsRationHivernaleBisonsFemelles,7,FALSE),0)+(IF(QualitéAlimentsBisonneauxMâles_6_12_mois=MAUVAISE,VLOOKUP("concentré jeunes bovins",AlimentsRationHivernaleBisonsMâles,6,FALSE),0)+(IF(QualitéAlimentsBisonneauxFemelles_6_12_mois=MAUVAISE,VLOOKUP("concentré jeunes bovins",AlimentsRationHivernaleBisonsFemelles,6,FALSE),0)+(IF(QualitéAlimentsJeunesBisons_12_18_mois=MAUVAISE,VLOOKUP("concentré jeunes bovins",AlimentsRationHivernaleBisonsMâles,5,FALSE),0)+(IF(QualitéAlimentsJeunesBisonnes_12_18_mois=MAUVAISE,VLOOKUP("concentré jeunes bovins",AlimentsRationHivernaleBisonsFemelles,5,FALSE),0)+(IF(QualitéAlimentsJeunesBisons_18_24_mois=MAUVAISE,VLOOKUP("concentré jeunes bovins",AlimentsRationHivernaleBisonsMâles,4,FALSE),0)+(IF(QualitéAlimentsJeunesBisonnes_18_24_mois=MAUVAISE,VLOOKUP("concentré jeunes bovins",AlimentsRationHivernaleBisonsFemelles,4,FALSE),0)+(IF(QualitéAlimentsJeunesBisons_24_36_mois=MAUVAISE,VLOOKUP("concentré jeunes bovins",AlimentsRationHivernaleBisonsMâles,3,FALSE),0)+(IF(QualitéAlimentsJeunesBisonnes_24_36_mois=MAUVAISE,VLOOKUP("concentré jeunes bovins",AlimentsRationHivernaleBisonsFemelles,3,FALSE),0)+(IF(QualitéAlimentsBisons=MAUVAISE,VLOOKUP("concentré jeunes bovins",AlimentsRationHivernaleBisonsMâles,2,FALSE),0)+(IF(QualitéAlimentsBisonnes=MAUVAISE,VLOOKUP("concentré jeunes bovins",AlimentsRationHivernaleBisonsFemelles,2,FALSE),0))))))))))))))))</f>
        <v>0</v>
      </c>
      <c r="BQ121" s="1346"/>
      <c r="BR121" s="1346"/>
      <c r="BS121" s="1346"/>
      <c r="BT121" s="1346"/>
      <c r="BU121" s="1346"/>
      <c r="BV121" s="1345"/>
      <c r="BW121" s="1345"/>
      <c r="BX121" s="1075" t="s">
        <v>332</v>
      </c>
      <c r="BY121" s="1075">
        <f t="array" ref="BY121">IF(ChoixRationComplèteCaprins=OUI,0,IFERROR(IF(OR(AND(INDEX(Règles_caprins[Specificite],MATCH(ChoixRationCaprins&amp;$BX121,Règles_caprins[Ration]&amp;Règles_caprins[Aliment],0))="s1",IF($BX121=Spécificité1Caprins,1)),
INDEX(Règles_caprins[Specificite],MATCH(ChoixRationCaprins&amp;$BX121,Règles_caprins[Ration]&amp;Règles_caprins[Aliment],0))="c"),
INDEX(Règles_caprins[Valeur 12 et plus],MATCH(ChoixRationCaprins&amp;$BX121,Règles_caprins[Ration]&amp;Règles_caprins[Aliment],0)),0),0)*TotalBoucs*SUM(NbreJoursNourrirCaprins))</f>
        <v>0</v>
      </c>
      <c r="BZ121" s="1075">
        <f t="array" ref="BZ121">IF(ChoixRationComplèteCaprins=OUI,0,IFERROR(IF(OR(AND(INDEX(Règles_caprins[Specificite],MATCH(ChoixRationCaprins&amp;$BX121,Règles_caprins[Ration]&amp;Règles_caprins[Aliment],0))="s1",IF($BX121=Spécificité1Caprins,1)),
INDEX(Règles_caprins[Specificite],MATCH(ChoixRationCaprins&amp;$BX121,Règles_caprins[Ration]&amp;Règles_caprins[Aliment],0))="c"),
INDEX(Règles_caprins[Valeur 6-12],MATCH(ChoixRationCaprins&amp;$BX121,Règles_caprins[Ration]&amp;Règles_caprins[Aliment],0)),0),0)*jeune_bouc_6_12_mois*SUM(NbreJoursNourrirCaprins))</f>
        <v>0</v>
      </c>
      <c r="CA121" s="1075">
        <f t="array" ref="CA121">IF(ChoixRationComplèteCaprins=OUI,0,IFERROR(IF(OR(AND(INDEX(Règles_caprins[Specificite],MATCH(ChoixRationCaprins&amp;$BX121,Règles_caprins[Ration]&amp;Règles_caprins[Aliment],0))="s1",IF($BX121=Spécificité1Caprins,1)),
INDEX(Règles_caprins[Specificite],MATCH(ChoixRationCaprins&amp;$BX121,Règles_caprins[Ration]&amp;Règles_caprins[Aliment],0))="c"),
INDEX(Règles_caprins[Valeur 3-6],MATCH(ChoixRationCaprins&amp;$BX121,Règles_caprins[Ration]&amp;Règles_caprins[Aliment],0)),0),0)*chevreau_3_6_mois*SUM(NbreJoursNourrirCaprins))</f>
        <v>0</v>
      </c>
      <c r="CB121" s="1075">
        <f t="array" ref="CB121">IF(ChoixRationComplèteCaprins=OUI,0,IFERROR(IF(OR(AND(INDEX(Règles_caprins[Specificite],MATCH(ChoixRationCaprins&amp;$BX121,Règles_caprins[Ration]&amp;Règles_caprins[Aliment],0))="s1",IF($BX121=Spécificité1Caprins,1)),
INDEX(Règles_caprins[Specificite],MATCH(ChoixRationCaprins&amp;$BX121,Règles_caprins[Ration]&amp;Règles_caprins[Aliment],0))="c"),
INDEX(Règles_caprins[Valeur 0-3],MATCH(ChoixRationCaprins&amp;$BX121,Règles_caprins[Ration]&amp;Règles_caprins[Aliment],0)),0),0)*chevreau_0_3_mois*SUM(NbreJoursNourrirCaprins))</f>
        <v>0</v>
      </c>
      <c r="CC121" s="1075">
        <f t="shared" si="45"/>
        <v>0</v>
      </c>
      <c r="CD121" s="1345"/>
      <c r="CE121" s="1345"/>
      <c r="CF121" s="1345"/>
      <c r="CG121" s="1345"/>
      <c r="CH121" s="1321"/>
      <c r="CI121" s="1321"/>
      <c r="CJ121" s="808">
        <f t="shared" si="26"/>
        <v>0</v>
      </c>
      <c r="CK121" s="788">
        <f t="array" ref="CK12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21" s="788">
        <f t="array" ref="CL12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21" s="788">
        <f t="array" ref="CM12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21" s="788">
        <f t="array" ref="CN12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21" s="788">
        <f t="array" ref="CO121">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21" s="812">
        <f>SUM(AlimentsRationPorcinsFemelles[[#This Row],[Valeur 12 et plus]:[Valeur 0-1]])</f>
        <v>0</v>
      </c>
      <c r="CQ121" s="1345"/>
      <c r="CR121" s="1321"/>
      <c r="CS121" s="808" t="str">
        <f t="shared" si="40"/>
        <v>Pois</v>
      </c>
      <c r="CT121" s="817">
        <f t="array" ref="CT12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21" s="817">
        <f t="array" ref="CU12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21" s="817">
        <f t="array" ref="CV12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21" s="818">
        <f>SUM(AlimentsRationLapinsFemelles[[#This Row],[Valeur 3 et plus]:[Valeur 0-1]])</f>
        <v>0</v>
      </c>
      <c r="CX121" s="1321"/>
      <c r="CY121" s="1321"/>
      <c r="CZ121" s="808" t="str">
        <f t="shared" si="41"/>
        <v>Pois</v>
      </c>
      <c r="DA121" s="817">
        <f t="array" ref="DA12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21" s="817">
        <f t="array" ref="DB12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21" s="817">
        <f t="array" ref="DC12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21" s="818">
        <f>SUM(AlimentsRationVolaillesFemelles[[#This Row],[Valeur 6 et plus]:[Valeur 0-1]])</f>
        <v>0</v>
      </c>
      <c r="DE121" s="1345"/>
      <c r="DF121" s="1321"/>
      <c r="DG121" s="788" t="str">
        <f t="shared" si="27"/>
        <v>Tourteau de tournesol</v>
      </c>
      <c r="DH121" s="817">
        <f t="array" ref="DH121">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21" s="817">
        <f t="array" ref="DI121">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21" s="817">
        <f t="array" ref="DJ121">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21" s="821">
        <f>SUM(AlimentsRationPintadesFemelles[[#This Row],[Valeur 6 et plus]:[Valeur 0-1]])</f>
        <v>0</v>
      </c>
      <c r="DL121" s="1321"/>
      <c r="DM121" s="1321"/>
      <c r="DN121" s="1176" t="s">
        <v>837</v>
      </c>
      <c r="DO121" s="1177" t="s">
        <v>285</v>
      </c>
      <c r="DP121" s="1177" t="s">
        <v>1253</v>
      </c>
      <c r="DQ121" s="1181">
        <v>1.6</v>
      </c>
      <c r="DR121" s="1181">
        <v>1.4</v>
      </c>
      <c r="DS121" s="1181">
        <v>1.2</v>
      </c>
      <c r="DT121" s="1243">
        <v>1</v>
      </c>
      <c r="DU121" s="1346"/>
      <c r="DV121" s="1321"/>
      <c r="DW121" s="1321"/>
      <c r="DX121" s="1321"/>
      <c r="DY121" s="1321"/>
      <c r="DZ121" s="1321"/>
      <c r="EA121" s="1321"/>
      <c r="EB121" s="1321"/>
      <c r="EC121" s="1321"/>
      <c r="ED121" s="1345"/>
      <c r="EE121" s="1345"/>
      <c r="EF121" s="1321"/>
      <c r="EG121" s="808" t="str">
        <f t="shared" si="31"/>
        <v>Seigle</v>
      </c>
      <c r="EH121" s="817">
        <f t="array" ref="EH12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21" s="817">
        <f t="array" ref="EI12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21" s="817">
        <f t="array" ref="EJ12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21" s="818">
        <f>SUM(AlimentsRationOiesFemelles[[#This Row],[Valeur 6 et plus]:[Valeur 0-3]])</f>
        <v>0</v>
      </c>
      <c r="EL121" s="1345"/>
      <c r="EM121" s="1321"/>
      <c r="EN121" s="823" t="str">
        <f t="shared" si="29"/>
        <v>Soja</v>
      </c>
      <c r="EO121" s="828">
        <f t="array" ref="EO12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21" s="828">
        <f t="array" ref="EP12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21" s="828">
        <f t="array" ref="EQ12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21" s="829">
        <f>SUM(Ration_canards_Femelles[[#This Row],[Valeur 6 et plus]:[Valeur 0-3]])</f>
        <v>0</v>
      </c>
      <c r="ES121" s="1345"/>
      <c r="ET121" s="1321"/>
      <c r="EU121" s="1083" t="str">
        <f t="shared" si="44"/>
        <v>Minéraux + vitamines</v>
      </c>
      <c r="EV121" s="1283">
        <f t="array" ref="EV121">IF(OR(ChoixRationComplèteEtéChevauxSelle=OUI,ChoixRationComplèteEtéChevauxSelle="",AND(ChoixChevauxSellePréHiver=OUI,ChoixChevauxSellePréEté=OUI)),0,IFERROR(IF(OR(AND(INDEX(Règles_chevaux_selle[Specificite],MATCH(RationEtéChevauxSelle&amp;$EU121,Règles_chevaux_selle[Ration]&amp;Règles_chevaux_selle[Aliment],0))="s1",IF($EU121=Spécificité1ChevauxSelle,1)),
AND(INDEX(Règles_chevaux_selle[Specificite],MATCH(RationEtéChevauxSelle&amp;$EU121,Règles_chevaux_selle[Ration]&amp;Règles_chevaux_selle[Aliment],0))="s2",IF($EU121=Spécificité2ChevauxSelle,1)),
INDEX(Règles_chevaux_selle[Specificite],MATCH(RationEtéChevauxSelle&amp;$EU121,Règles_chevaux_selle[Ration]&amp;Règles_chevaux_selle[Aliment],0))="c"),
INDEX(Règles_chevaux_selle[Valeur 36 et plus],MATCH(RationEtéChevauxSelle&amp;$EU121,Règles_chevaux_selle[Ration]&amp;Règles_chevaux_selle[Aliment],0)),0),0)*TotalJumentSelle*SUM(NbreJoursNourrirChevauxSelle))</f>
        <v>0</v>
      </c>
      <c r="EW121" s="1283">
        <f t="array" ref="EW121">IF(OR(ChoixRationComplèteEtéChevauxSelle=OUI,ChoixRationComplèteEtéChevauxSelle="",AND(ChoixChevauxSellePréHiver=OUI,ChoixChevauxSellePréEté=OUI)),0,IFERROR(IF(OR(AND(INDEX(Règles_chevaux_selle[Specificite],MATCH(RationEtéChevauxSelle&amp;$EU121,Règles_chevaux_selle[Ration]&amp;Règles_chevaux_selle[Aliment],0))="s1",IF($EU121=Spécificité1ChevauxSelle,1)),
AND(INDEX(Règles_chevaux_selle[Specificite],MATCH(RationEtéChevauxSelle&amp;$EU121,Règles_chevaux_selle[Ration]&amp;Règles_chevaux_selle[Aliment],0))="s2",IF($EU121=Spécificité2ChevauxSelle,1)),
INDEX(Règles_chevaux_selle[Specificite],MATCH(RationEtéChevauxSelle&amp;$EU121,Règles_chevaux_selle[Ration]&amp;Règles_chevaux_selle[Aliment],0))="c"),
INDEX(Règles_chevaux_selle[Valeur 24-36],MATCH(RationEtéChevauxSelle&amp;$EU121,Règles_chevaux_selle[Ration]&amp;Règles_chevaux_selle[Aliment],0)),0),0)*TotalJeuneJumentSelle_24_36_mois*SUM(NbreJoursNourrirChevauxSelle))</f>
        <v>0</v>
      </c>
      <c r="EX121" s="1283">
        <f t="array" ref="EX121">IF(OR(ChoixRationComplèteEtéChevauxSelle=OUI,ChoixRationComplèteEtéChevauxSelle="",AND(ChoixChevauxSellePréHiver=OUI,ChoixChevauxSellePréEté=OUI)),0,IFERROR(IF(OR(AND(INDEX(Règles_chevaux_selle[Specificite],MATCH(RationEtéChevauxSelle&amp;$EU121,Règles_chevaux_selle[Ration]&amp;Règles_chevaux_selle[Aliment],0))="s1",IF($EU121=Spécificité1ChevauxSelle,1)),
AND(INDEX(Règles_chevaux_selle[Specificite],MATCH(RationEtéChevauxSelle&amp;$EU121,Règles_chevaux_selle[Ration]&amp;Règles_chevaux_selle[Aliment],0))="s2",IF($EU121=Spécificité2ChevauxSelle,1)),
INDEX(Règles_chevaux_selle[Specificite],MATCH(RationEtéChevauxSelle&amp;$EU121,Règles_chevaux_selle[Ration]&amp;Règles_chevaux_selle[Aliment],0))="c"),
INDEX(Règles_chevaux_selle[Valeur 12-24],MATCH(RationEtéChevauxSelle&amp;$EU121,Règles_chevaux_selle[Ration]&amp;Règles_chevaux_selle[Aliment],0)),0),0)*TotalJeuneJumentSelle_12_24_mois*SUM(NbreJoursNourrirChevauxSelle))</f>
        <v>0</v>
      </c>
      <c r="EY121" s="1286">
        <f t="array" ref="EY121">IF(OR(ChoixRationComplèteEtéChevauxSelle=OUI,ChoixRationComplèteEtéChevauxSelle="",AND(ChoixChevauxSellePréHiver=OUI,ChoixChevauxSellePréEté=OUI)),0,IFERROR(IF(OR(AND(INDEX(Règles_chevaux_selle[Specificite],MATCH(RationEtéChevauxSelle&amp;$EU121,Règles_chevaux_selle[Ration]&amp;Règles_chevaux_selle[Aliment],0))="s1",IF($EU121=Spécificité1ChevauxSelle,1)),
AND(INDEX(Règles_chevaux_selle[Specificite],MATCH(RationEtéChevauxSelle&amp;$EU121,Règles_chevaux_selle[Ration]&amp;Règles_chevaux_selle[Aliment],0))="s2",IF($EU121=Spécificité2ChevauxSelle,1)),
INDEX(Règles_chevaux_selle[Specificite],MATCH(RationEtéChevauxSelle&amp;$EU121,Règles_chevaux_selle[Ration]&amp;Règles_chevaux_selle[Aliment],0))="c"),
INDEX(Règles_chevaux_selle[Valeur 0-12],MATCH(RationEtéChevauxSelle&amp;$EU121,Règles_chevaux_selle[Ration]&amp;Règles_chevaux_selle[Aliment],0)),0),0)*TotalPoulicheSelle_0_12_mois*SUM(NbreJoursNourrirChevauxSelle))</f>
        <v>0</v>
      </c>
      <c r="EZ121" s="1286">
        <f t="shared" si="43"/>
        <v>0</v>
      </c>
      <c r="FA121" s="1345"/>
      <c r="FB121" s="1345"/>
      <c r="FC121" s="1321"/>
      <c r="FD121" s="1083" t="str">
        <f t="shared" si="34"/>
        <v>Ration complète</v>
      </c>
      <c r="FE121" s="1283">
        <f t="array" ref="FE121">IF(OR(ChoixRationComplèteEtéChevauxTrait=OUI,ChoixRationComplèteEtéChevauxTrait="",AND(ChoixChevauxTraitPréHiver=OUI,ChoixChevauxTraitPréEté=OUI)),0,IFERROR(IF(OR(AND(INDEX(Règles_chevaux_trait[Specificite],MATCH(RationEtéChevauxTrait&amp;$FD121,Règles_chevaux_trait[Ration]&amp;Règles_chevaux_trait[Aliment],0))="s1",IF($FD121=Spécificité1ChevauxTrait,1)),
AND(INDEX(Règles_chevaux_trait[Specificite],MATCH(RationEtéChevauxTrait&amp;$FD121,Règles_chevaux_trait[Ration]&amp;Règles_chevaux_trait[Aliment],0))="s2",IF($FD121=Spécificité2ChevauxTrait,1)),
INDEX(Règles_chevaux_trait[Specificite],MATCH(RationEtéChevauxTrait&amp;$FD121,Règles_chevaux_trait[Ration]&amp;Règles_chevaux_trait[Aliment],0))="c"),
INDEX(Règles_chevaux_trait[Valeur 36 et plus],MATCH(RationEtéChevauxTrait&amp;$FD121,Règles_chevaux_trait[Ration]&amp;Règles_chevaux_trait[Aliment],0)),0),0)*TotalJumentTrait*SUM(NbreJoursNourrirChevauxTrait))</f>
        <v>0</v>
      </c>
      <c r="FF121" s="1283">
        <f t="array" ref="FF121">IF(OR(ChoixRationComplèteEtéChevauxTrait=OUI,ChoixRationComplèteEtéChevauxTrait="",AND(ChoixChevauxTraitPréHiver=OUI,ChoixChevauxTraitPréEté=OUI)),0,IFERROR(IF(OR(AND(INDEX(Règles_chevaux_trait[Specificite],MATCH(RationEtéChevauxTrait&amp;$FD121,Règles_chevaux_trait[Ration]&amp;Règles_chevaux_trait[Aliment],0))="s1",IF($FD121=Spécificité1ChevauxTrait,1)),
AND(INDEX(Règles_chevaux_trait[Specificite],MATCH(RationEtéChevauxTrait&amp;$FD121,Règles_chevaux_trait[Ration]&amp;Règles_chevaux_trait[Aliment],0))="s2",IF($FD121=Spécificité2ChevauxTrait,1)),
INDEX(Règles_chevaux_trait[Specificite],MATCH(RationEtéChevauxTrait&amp;$FD121,Règles_chevaux_trait[Ration]&amp;Règles_chevaux_trait[Aliment],0))="c"),
INDEX(Règles_chevaux_trait[Valeur 24-36],MATCH(RationEtéChevauxTrait&amp;$FD121,Règles_chevaux_trait[Ration]&amp;Règles_chevaux_trait[Aliment],0)),0),0)*TotalJeuneJumentTrait_24_36_mois*SUM(NbreJoursNourrirChevauxTrait))</f>
        <v>0</v>
      </c>
      <c r="FG121" s="1283">
        <f t="array" ref="FG121">IF(OR(ChoixRationComplèteEtéChevauxTrait=OUI,ChoixRationComplèteEtéChevauxTrait="",AND(ChoixChevauxTraitPréHiver=OUI,ChoixChevauxTraitPréEté=OUI)),0,IFERROR(IF(OR(AND(INDEX(Règles_chevaux_trait[Specificite],MATCH(RationEtéChevauxTrait&amp;$FD121,Règles_chevaux_trait[Ration]&amp;Règles_chevaux_trait[Aliment],0))="s1",IF($FD121=Spécificité1ChevauxTrait,1)),
AND(INDEX(Règles_chevaux_trait[Specificite],MATCH(RationEtéChevauxTrait&amp;$FD121,Règles_chevaux_trait[Ration]&amp;Règles_chevaux_trait[Aliment],0))="s2",IF($FD121=Spécificité2ChevauxTrait,1)),
INDEX(Règles_chevaux_trait[Specificite],MATCH(RationEtéChevauxTrait&amp;$FD121,Règles_chevaux_trait[Ration]&amp;Règles_chevaux_trait[Aliment],0))="c"),
INDEX(Règles_chevaux_trait[Valeur 12-24],MATCH(RationEtéChevauxTrait&amp;$FD121,Règles_chevaux_trait[Ration]&amp;Règles_chevaux_trait[Aliment],0)),0),0)*TotalJeuneJumentTrait_12_24_mois*SUM(NbreJoursNourrirChevauxTrait))</f>
        <v>0</v>
      </c>
      <c r="FH121" s="1286">
        <f t="array" ref="FH121">IF(OR(ChoixRationComplèteEtéChevauxTrait=OUI,ChoixRationComplèteEtéChevauxTrait="",AND(ChoixChevauxTraitPréHiver=OUI,ChoixChevauxTraitPréEté=OUI)),0,IFERROR(IF(OR(AND(INDEX(Règles_chevaux_trait[Specificite],MATCH(RationEtéChevauxTrait&amp;$FD121,Règles_chevaux_trait[Ration]&amp;Règles_chevaux_trait[Aliment],0))="s1",IF($FD121=Spécificité1ChevauxTrait,1)),
AND(INDEX(Règles_chevaux_trait[Specificite],MATCH(RationEtéChevauxTrait&amp;$FD121,Règles_chevaux_trait[Ration]&amp;Règles_chevaux_trait[Aliment],0))="s2",IF($FD121=Spécificité2ChevauxTrait,1)),
INDEX(Règles_chevaux_trait[Specificite],MATCH(RationEtéChevauxTrait&amp;$FD121,Règles_chevaux_trait[Ration]&amp;Règles_chevaux_trait[Aliment],0))="c"),
INDEX(Règles_chevaux_trait[Valeur 0-12],MATCH(RationEtéChevauxTrait&amp;$FD121,Règles_chevaux_trait[Ration]&amp;Règles_chevaux_trait[Aliment],0)),0),0)*TotalPoulicheTrait_0_12_mois*SUM(NbreJoursNourrirChevauxTrait))</f>
        <v>0</v>
      </c>
      <c r="FI121" s="1286">
        <f t="shared" si="32"/>
        <v>0</v>
      </c>
      <c r="FJ121" s="1345"/>
      <c r="FK121" s="1345"/>
      <c r="FL121" s="1345"/>
      <c r="FM121" s="1321"/>
      <c r="FN121" s="1082" t="str">
        <f t="shared" si="33"/>
        <v>Seigle</v>
      </c>
      <c r="FO121" s="1282">
        <f t="array" ref="FO121">IF(OR(ChoixRationComplèteEtéPoneys=OUI,ChoixRationComplèteEtéPoneys="",AND(ChoixPoneysPréHiver=OUI,ChoixPoneysPréEté=OUI)),0,IFERROR(IF(OR(AND(INDEX(Règles_poneys[Specificite],MATCH(RationEtéPoneys&amp;$FN121,Règles_poneys[Ration]&amp;Règles_poneys[Aliment],0))="s1",IF($FN121=Spécificité1Poneys,1)),
AND(INDEX(Règles_poneys[Specificite],MATCH(RationEtéPoneys&amp;$FN121,Règles_poneys[Ration]&amp;Règles_poneys[Aliment],0))="s2",IF($FN121=Spécificité2Poneys,1)),
INDEX(Règles_poneys[Specificite],MATCH(RationEtéPoneys&amp;$FN121,Règles_poneys[Ration]&amp;Règles_poneys[Aliment],0))="c"),
INDEX(Règles_poneys[Valeur 36 et plus],MATCH(RationEtéPoneys&amp;$FN121,Règles_poneys[Ration]&amp;Règles_poneys[Aliment],0)),0),0)*TotalJumentPoney*SUM(NbreJoursNourrirPoneys))</f>
        <v>0</v>
      </c>
      <c r="FP121" s="1282">
        <f t="array" ref="FP121">IF(OR(ChoixRationComplèteEtéPoneys=OUI,ChoixRationComplèteEtéPoneys="",AND(ChoixPoneysPréHiver=OUI,ChoixPoneysPréEté=OUI)),0,IFERROR(IF(OR(AND(INDEX(Règles_poneys[Specificite],MATCH(RationEtéPoneys&amp;$FN121,Règles_poneys[Ration]&amp;Règles_poneys[Aliment],0))="s1",IF($FN121=Spécificité1Poneys,1)),
AND(INDEX(Règles_poneys[Specificite],MATCH(RationEtéPoneys&amp;$FN121,Règles_poneys[Ration]&amp;Règles_poneys[Aliment],0))="s2",IF($FN121=Spécificité2Poneys,1)),
INDEX(Règles_poneys[Specificite],MATCH(RationEtéPoneys&amp;$FN121,Règles_poneys[Ration]&amp;Règles_poneys[Aliment],0))="c"),
INDEX(Règles_poneys[Valeur 36 et plus],MATCH(RationEtéPoneys&amp;$FN121,Règles_poneys[Ration]&amp;Règles_poneys[Aliment],0)),0),0)*TotalJeuneJumentPoney_24_36_mois*SUM(NbreJoursNourrirPoneys))</f>
        <v>0</v>
      </c>
      <c r="FQ121" s="1282">
        <f t="array" ref="FQ121">IF(OR(ChoixRationComplèteEtéPoneys=OUI,ChoixRationComplèteEtéPoneys="",AND(ChoixPoneysPréHiver=OUI,ChoixPoneysPréEté=OUI)),0,IFERROR(IF(OR(AND(INDEX(Règles_poneys[Specificite],MATCH(RationEtéPoneys&amp;$FN121,Règles_poneys[Ration]&amp;Règles_poneys[Aliment],0))="s1",IF($FN121=Spécificité1Poneys,1)),
AND(INDEX(Règles_poneys[Specificite],MATCH(RationEtéPoneys&amp;$FN121,Règles_poneys[Ration]&amp;Règles_poneys[Aliment],0))="s2",IF($FN121=Spécificité2Poneys,1)),
INDEX(Règles_poneys[Specificite],MATCH(RationEtéPoneys&amp;$FN121,Règles_poneys[Ration]&amp;Règles_poneys[Aliment],0))="c"),
INDEX(Règles_poneys[Valeur 36 et plus],MATCH(RationEtéPoneys&amp;$FN121,Règles_poneys[Ration]&amp;Règles_poneys[Aliment],0)),0),0)*TotalJeuneJumentPoney_12_24_mois*SUM(NbreJoursNourrirPoneys))</f>
        <v>0</v>
      </c>
      <c r="FR121" s="1285">
        <f t="array" ref="FR121">IF(OR(ChoixRationComplèteEtéPoneys=OUI,ChoixRationComplèteEtéPoneys="",AND(ChoixPoneysPréHiver=OUI,ChoixPoneysPréEté=OUI)),0,IFERROR(IF(OR(AND(INDEX(Règles_poneys[Specificite],MATCH(RationEtéPoneys&amp;$FN121,Règles_poneys[Ration]&amp;Règles_poneys[Aliment],0))="s1",IF($FN121=Spécificité1Poneys,1)),
AND(INDEX(Règles_poneys[Specificite],MATCH(RationEtéPoneys&amp;$FN121,Règles_poneys[Ration]&amp;Règles_poneys[Aliment],0))="s2",IF($FN121=Spécificité2Poneys,1)),
INDEX(Règles_poneys[Specificite],MATCH(RationEtéPoneys&amp;$FN121,Règles_poneys[Ration]&amp;Règles_poneys[Aliment],0))="c"),
INDEX(Règles_poneys[Valeur 36 et plus],MATCH(RationEtéPoneys&amp;$FN121,Règles_poneys[Ration]&amp;Règles_poneys[Aliment],0)),0),0)*TotalPoulichePoney_0_12_mois*SUM(NbreJoursNourrirPoneys))</f>
        <v>0</v>
      </c>
      <c r="FS121" s="1285">
        <f t="shared" si="30"/>
        <v>0</v>
      </c>
      <c r="FT121" s="1345"/>
      <c r="FU121" s="1345"/>
      <c r="FV121" s="1345"/>
      <c r="FW121" s="823" t="str">
        <f t="shared" si="28"/>
        <v>Tourteau de tournesol</v>
      </c>
      <c r="FX121" s="828">
        <f t="array" ref="FX12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21" s="828">
        <f t="array" ref="FY12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21" s="828">
        <f t="array" ref="FZ12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21" s="828">
        <f t="array" ref="GA121">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21" s="829">
        <f>SUM(AlimentsGavageCanards[[#This Row],[Valeur 3 et plus]:[Valeur 0-1]])</f>
        <v>0</v>
      </c>
      <c r="GC121" s="1321"/>
      <c r="GD121" s="1321"/>
      <c r="GE121" s="1321"/>
      <c r="GF121" s="1321"/>
      <c r="GG121" s="1321" t="s">
        <v>1349</v>
      </c>
      <c r="GH121" s="1321" t="s">
        <v>1349</v>
      </c>
      <c r="GI121" s="1321" t="s">
        <v>1349</v>
      </c>
      <c r="GJ121" s="1321" t="s">
        <v>1349</v>
      </c>
      <c r="GK121" s="1321" t="s">
        <v>1349</v>
      </c>
      <c r="GL121" s="1321" t="s">
        <v>1349</v>
      </c>
      <c r="GM121" s="1321" t="s">
        <v>1349</v>
      </c>
      <c r="GN121" s="1321" t="s">
        <v>1349</v>
      </c>
      <c r="GO121" s="1321" t="s">
        <v>1349</v>
      </c>
      <c r="GP121" s="1321" t="s">
        <v>1349</v>
      </c>
      <c r="GQ121" s="1321" t="s">
        <v>1349</v>
      </c>
      <c r="GR121" s="1321" t="s">
        <v>1349</v>
      </c>
      <c r="GS121" s="1321" t="s">
        <v>1349</v>
      </c>
      <c r="GT121" s="1321" t="s">
        <v>1349</v>
      </c>
      <c r="GU121" s="1321" t="s">
        <v>1349</v>
      </c>
      <c r="GV121" s="1321" t="s">
        <v>1349</v>
      </c>
      <c r="GW121" s="1321"/>
      <c r="GX121" s="1321"/>
      <c r="GY121" s="1321"/>
      <c r="GZ121" s="1321"/>
      <c r="HA121" s="1321"/>
      <c r="HB121" s="1321"/>
      <c r="HC121" s="1321"/>
      <c r="HD121" s="1321"/>
      <c r="HE121" s="1321"/>
      <c r="HF121" s="1321"/>
      <c r="HG121" s="1321"/>
      <c r="HH121" s="1321"/>
      <c r="HI121" s="1321"/>
      <c r="HJ121" s="1321"/>
      <c r="HK121" s="1321"/>
      <c r="HL121" s="1321"/>
      <c r="HM121" s="1321"/>
      <c r="HN121" s="1082" t="s">
        <v>1272</v>
      </c>
      <c r="HO121" s="1085" t="e">
        <f>IF(SUM((VLOOKUP(HN121,AlimentsRationBovinsMâles,9,FALSE)+VLOOKUP(HN121,AlimentsRationBovinsFemelles,9,FALSE)+VLOOKUP(HN121,BDD!BB$284:BJ$323,9,FALSE))/1000/SUM(NbreJoursNourrirBovins)*IF('semences, engrais et traitement'!I$16=OUI,42,84))&lt;0,0,SUM((VLOOKUP(HN121,AlimentsRationBovinsMâles,9,FALSE)+VLOOKUP(HN121,AlimentsRationBovinsFemelles,9,FALSE)+VLOOKUP(HN121,BDD!BB$284:BJ$323,9,FALSE))/1000/SUM(NbreJoursNourrirBovins)*IF('semences, engrais et traitement'!I$16=OUI,42,84)))</f>
        <v>#DIV/0!</v>
      </c>
      <c r="HP121" s="1085">
        <f t="shared" si="36"/>
        <v>0</v>
      </c>
      <c r="HQ121" s="1085" t="e">
        <f>IF(SUM(VLOOKUP(HN121,AlimentsRationPorcinsMâles[],7,FALSE)+VLOOKUP(HN121,AlimentsRationPorcinsFemelles[],7,FALSE))/1000/SUM(NbreJoursNourrirAutres)*84&lt;0,0,SUM(VLOOKUP(HN121,AlimentsRationPorcinsMâles[],7,FALSE)+VLOOKUP(HN121,AlimentsRationPorcinsFemelles[],7,FALSE)/1000/SUM(NbreJoursNourrirAutres)*84))</f>
        <v>#DIV/0!</v>
      </c>
      <c r="HR121" s="1085" t="e">
        <f>IF(SUM(VLOOKUP(HN121,AlimentsRationCaprinsMâles,6,FALSE)+VLOOKUP(HN121,AlimentsRationCaprinsFemelles,6,FALSE))/1000/SUM(NbreJoursNourrirCaprins)*IF('semences, engrais et traitement'!I$17=OUI,42,84)&lt;0,0,SUM(VLOOKUP(HN121,AlimentsRationCaprinsMâles,6,FALSE)+VLOOKUP(HN121,AlimentsRationCaprinsFemelles,6,FALSE))/1000/SUM(NbreJoursNourrirCaprins)*IF('semences, engrais et traitement'!I$17=OUI,42,84))</f>
        <v>#DIV/0!</v>
      </c>
      <c r="HS121" s="1085" t="e">
        <f>IF(SUM(VLOOKUP(HN121,AlimentsRationVolaillesMâles[],5,FALSE)+VLOOKUP(HN121,AlimentsRationVolaillesFemelles[],5,FALSE))/1000/SUM(NbreJoursNourrirAutres)*84&lt;0,0,SUM(VLOOKUP(HN121,AlimentsRationVolaillesMâles[],5,FALSE)+VLOOKUP(HN121,AlimentsRationVolaillesFemelles[],5,FALSE)/1000/SUM(NbreJoursNourrirAutres)*84))</f>
        <v>#DIV/0!</v>
      </c>
      <c r="HT121" s="1085" t="e">
        <f>IF(SUM(VLOOKUP(HN121,AlimentsRationPintadesMâles[],5,FALSE)+VLOOKUP(HN121,AlimentsRationPintadesFemelles[],5,FALSE))/1000/SUM(NbreJoursNourrirAutres)*84&lt;0,0,SUM(VLOOKUP(HN121,AlimentsRationPintadesMâles[],5,FALSE)+VLOOKUP(HN121,AlimentsRationPintadesFemelles[],5,FALSE)/1000/SUM(NbreJoursNourrirAutres)*84))</f>
        <v>#DIV/0!</v>
      </c>
      <c r="HU121" s="1085" t="e">
        <f>IF(SUM(VLOOKUP(HN121,AlimentsRationLapinsMâles[],5,FALSE)+VLOOKUP(HN121,AlimentsRationLapinsFemelles[],5,FALSE))/1000/SUM(NbreJoursNourrirAutres)*84&lt;0,0,SUM(VLOOKUP(HN121,AlimentsRationLapinsMâles[],5,FALSE)+VLOOKUP(HN121,AlimentsRationLapinsFemelles[],5,FALSE)/1000/SUM(NbreJoursNourrirAutres)*84))</f>
        <v>#DIV/0!</v>
      </c>
      <c r="HV121" s="1085" t="e">
        <f>IF(SUM(VLOOKUP(HN121,AlimentsRationOvinsMâles,6,FALSE)+VLOOKUP(HN121,AlimentsRationOvinsFemelles,6,FALSE))/1000/SUM(NbreJoursNourrirOvins)*IF('semences, engrais et traitement'!I$18=OUI,42,84)&lt;0,0,SUM(VLOOKUP(HN121,AlimentsRationOvinsMâles,6,FALSE)+VLOOKUP(HN121,AlimentsRationOvinsFemelles,6,FALSE))/1000/SUM(NbreJoursNourrirOvins)*IF('semences, engrais et traitement'!I$18=OUI,42,84))</f>
        <v>#DIV/0!</v>
      </c>
      <c r="HW121" s="1085" t="e">
        <f>IF(SUM(VLOOKUP(HN121,AlimentsRationOiesMâles[],5,FALSE)+VLOOKUP(HN121,AlimentsRationOiesFemelles[],5,FALSE))/1000/SUM(NbreJoursNourrirAutres)*84&lt;0,0,SUM(VLOOKUP(HN121,AlimentsRationOiesMâles[],5,FALSE)+VLOOKUP(HN121,AlimentsRationOiesFemelles[],5,FALSE)/1000/SUM(NbreJoursNourrirAutres)*84))</f>
        <v>#DIV/0!</v>
      </c>
      <c r="HX121" s="1085" t="e">
        <f t="shared" si="48"/>
        <v>#DIV/0!</v>
      </c>
      <c r="HY121" s="1085" t="e">
        <f>IF(SUM(VLOOKUP(HN121,AlimentsRationEcurieChevauxMâlesSelle,6,FALSE)+VLOOKUP(HN121,AlimentsRationEcurieChevauxFemellesSelle,6,FALSE))/1000/SUM(NbreJoursNourrirChevauxSelle)*IF('semences, engrais et traitement'!M$16=OUI,56,84)&lt;0,0,SUM(VLOOKUP(HN121,AlimentsRationEcurieChevauxMâlesSelle,6,FALSE)+VLOOKUP(HN121,AlimentsRationEcurieChevauxFemellesSelle,6,FALSE))/1000/SUM(NbreJoursNourrirChevauxSelle)*IF('semences, engrais et traitement'!M$16=OUI,56,84))</f>
        <v>#DIV/0!</v>
      </c>
      <c r="HZ121" s="1085" t="e">
        <f>IF(SUM(VLOOKUP(HN121,AlimentsRationEcurieChevauxMâlesTrait,6,FALSE)+VLOOKUP(HN121,AlimentsRationEcurieChevauxFemellesTrait,6,FALSE))/1000/SUM(NbreJoursNourrirChevauxTrait)*IF('semences, engrais et traitement'!M$17=OUI,56,84)&lt;0,0,SUM(VLOOKUP(HN121,AlimentsRationEcurieChevauxMâlesTrait,6,FALSE)+VLOOKUP(HN121,AlimentsRationEcurieChevauxFemellesTrait,6,FALSE))/1000/SUM(NbreJoursNourrirChevauxTrait)*IF('semences, engrais et traitement'!M$17=OUI,56,84))</f>
        <v>#DIV/0!</v>
      </c>
      <c r="IA121" s="1085" t="e">
        <f>IF(SUM(VLOOKUP(HN121,AlimentsRationEcuriePoneysMâles,6,FALSE)+VLOOKUP(HN121,AlimentsRationEcuriePoneysFemelles,6,FALSE))/1000/SUM(NbreJoursNourrirPoneys)*IF('semences, engrais et traitement'!M$18=OUI,56,84)&lt;0,0,SUM(VLOOKUP(HN121,AlimentsRationEcuriePoneysMâles,6,FALSE)+VLOOKUP(HN121,AlimentsRationEcuriePoneysFemelles,6,FALSE))/1000/SUM(NbreJoursNourrirPoneys)*IF('semences, engrais et traitement'!M$18=OUI,56,84))</f>
        <v>#DIV/0!</v>
      </c>
      <c r="IB121" s="1099" t="e">
        <f t="shared" si="38"/>
        <v>#DIV/0!</v>
      </c>
      <c r="IC121" s="1321"/>
      <c r="ID121" s="1321"/>
      <c r="IE121" s="1321"/>
      <c r="IF121" s="1321"/>
      <c r="IG121" s="1321"/>
      <c r="IH121" s="1321"/>
      <c r="II121" s="1321"/>
      <c r="IJ121" s="1321"/>
      <c r="IK121" s="1321"/>
      <c r="IL121" s="1321"/>
      <c r="IM121" s="1321"/>
      <c r="IN121" s="1368"/>
    </row>
    <row r="122" spans="1:248" ht="12.75" customHeight="1" x14ac:dyDescent="0.2">
      <c r="A122" s="1307" t="s">
        <v>502</v>
      </c>
      <c r="B122" s="1241">
        <f t="shared" si="39"/>
        <v>1E-3</v>
      </c>
      <c r="C122" s="1321"/>
      <c r="D122" s="1321"/>
      <c r="E122" s="1321"/>
      <c r="F122" s="1143" t="s">
        <v>1192</v>
      </c>
      <c r="G122" s="1143">
        <v>95</v>
      </c>
      <c r="H122" s="1143">
        <v>60</v>
      </c>
      <c r="I122" s="1143">
        <v>120</v>
      </c>
      <c r="J122" s="1143">
        <v>180</v>
      </c>
      <c r="K122" s="1143">
        <v>35</v>
      </c>
      <c r="L122" s="1143">
        <v>60</v>
      </c>
      <c r="M122" s="1321"/>
      <c r="N122" s="1321"/>
      <c r="O122" s="1321"/>
      <c r="P122" s="1321"/>
      <c r="Q122" s="1321"/>
      <c r="R122" s="1321"/>
      <c r="S122" s="1321"/>
      <c r="T122" s="1321"/>
      <c r="U122" s="1321"/>
      <c r="V122" s="1321"/>
      <c r="W122" s="1321"/>
      <c r="X122" s="1321"/>
      <c r="Y122" s="1321"/>
      <c r="Z122" s="1321"/>
      <c r="AA122" s="1321"/>
      <c r="AB122" s="1321"/>
      <c r="AC122" s="1321"/>
      <c r="AD122" s="1321"/>
      <c r="AE122" s="1321"/>
      <c r="AF122" s="1321"/>
      <c r="AG122" s="1321"/>
      <c r="AH122" s="1321"/>
      <c r="AI122" s="1321"/>
      <c r="AJ122" s="1321"/>
      <c r="AK122" s="1321"/>
      <c r="AL122" s="1321"/>
      <c r="AM122" s="1321"/>
      <c r="AN122" s="1321"/>
      <c r="AO122" s="1321"/>
      <c r="AP122" s="1321"/>
      <c r="AQ122" s="1321"/>
      <c r="AR122" s="1321"/>
      <c r="AS122" s="1321"/>
      <c r="AT122" s="1321"/>
      <c r="AU122" s="1321"/>
      <c r="AV122" s="1321"/>
      <c r="AW122" s="1321"/>
      <c r="AX122" s="1321"/>
      <c r="AY122" s="1321"/>
      <c r="AZ122" s="1321"/>
      <c r="BA122" s="1321"/>
      <c r="BB122" s="1236" t="s">
        <v>731</v>
      </c>
      <c r="BC122" s="1190" t="s">
        <v>340</v>
      </c>
      <c r="BD122" s="1190" t="s">
        <v>1252</v>
      </c>
      <c r="BE122" s="1237">
        <v>42</v>
      </c>
      <c r="BF122" s="1237">
        <v>36</v>
      </c>
      <c r="BG122" s="1237">
        <v>24</v>
      </c>
      <c r="BH122" s="1237">
        <v>18</v>
      </c>
      <c r="BI122" s="1237">
        <v>12</v>
      </c>
      <c r="BJ122" s="1237">
        <v>6</v>
      </c>
      <c r="BK122" s="1238">
        <v>0</v>
      </c>
      <c r="BL122" s="1348"/>
      <c r="BM122" s="1076" t="str">
        <f t="shared" si="47"/>
        <v>concentré jeunes lapins</v>
      </c>
      <c r="BN122" s="1267">
        <f t="array" ref="BN122">SUM((IF(QualitéAlimentsBisonneauxMâles_0_3_mois=BONNE,VLOOKUP("concentré jeunes lapins",AlimentsRationHivernaleBisonsMâles,8,FALSE),0)+(IF(QualitéAlimentsBisonneauxFemelles_0_3_mois=BONNE,VLOOKUP("concentré jeunes lapins",AlimentsRationHivernaleBisonsFemelles,8,FALSE),0)+(IF(QualitéAlimentsBisonneauxMâles_3_6_mois=BONNE,VLOOKUP("concentré jeunes lapins",AlimentsRationHivernaleBisonsMâles,7,FALSE),0)+(IF(QualitéAlimentsBisonneauxFemelles_3_6_mois=BONNE,VLOOKUP("concentré jeunes lapins",AlimentsRationHivernaleBisonsFemelles,7,FALSE),0)+(IF(QualitéAlimentsBisonneauxMâles_6_12_mois=BONNE,VLOOKUP("concentré jeunes lapins",AlimentsRationHivernaleBisonsMâles,6,FALSE),0)+(IF(QualitéAlimentsBisonneauxFemelles_6_12_mois=BONNE,VLOOKUP("concentré jeunes lapins",AlimentsRationHivernaleBisonsFemelles,6,FALSE),0)+(IF(QualitéAlimentsJeunesBisons_12_18_mois=BONNE,VLOOKUP("concentré jeunes lapins",AlimentsRationHivernaleBisonsMâles,5,FALSE),0)+(IF(QualitéAlimentsJeunesBisonnes_12_18_mois=BONNE,VLOOKUP("concentré jeunes lapins",AlimentsRationHivernaleBisonsFemelles,5,FALSE),0)+(IF(QualitéAlimentsJeunesBisons_18_24_mois=BONNE,VLOOKUP("concentré jeunes lapins",AlimentsRationHivernaleBisonsMâles,4,FALSE),0)+(IF(QualitéAlimentsJeunesBisonnes_18_24_mois=BONNE,VLOOKUP("concentré jeunes lapins",AlimentsRationHivernaleBisonsFemelles,4,FALSE),0)+(IF(QualitéAlimentsJeunesBisons_24_36_mois=BONNE,VLOOKUP("concentré jeunes lapins",AlimentsRationHivernaleBisonsMâles,3,FALSE),0)+(IF(QualitéAlimentsJeunesBisonnes_24_36_mois=BONNE,VLOOKUP("concentré jeunes lapins",AlimentsRationHivernaleBisonsFemelles,3,FALSE),0)+(IF(QualitéAlimentsBisons=BONNE,VLOOKUP("concentré jeunes lapins",AlimentsRationHivernaleBisonsMâles,2,FALSE),0)+(IF(QualitéAlimentsBisonnes=BONNE,VLOOKUP("concentré jeunes lapins",AlimentsRationHivernaleBisonsFemelles,2,FALSE),0))))))))))))))))</f>
        <v>0</v>
      </c>
      <c r="BO122" s="1267">
        <f t="array" ref="BO122">SUM((IF(QualitéAlimentsBisonneauxMâles_0_3_mois=MOYENNE,VLOOKUP("concentré jeunes lapins",AlimentsRationHivernaleBisonsMâles,8,FALSE),0)+(IF(QualitéAlimentsBisonneauxFemelles_0_3_mois=MOYENNE,VLOOKUP("concentré jeunes lapins",AlimentsRationHivernaleBisonsFemelles,8,FALSE),0)+(IF(QualitéAlimentsBisonneauxMâles_3_6_mois=MOYENNE,VLOOKUP("concentré jeunes lapins",AlimentsRationHivernaleBisonsMâles,7,FALSE),0)+(IF(QualitéAlimentsBisonneauxFemelles_3_6_mois=MOYENNE,VLOOKUP("concentré jeunes lapins",AlimentsRationHivernaleBisonsFemelles,7,FALSE),0)+(IF(QualitéAlimentsBisonneauxMâles_6_12_mois=MOYENNE,VLOOKUP("concentré jeunes lapins",AlimentsRationHivernaleBisonsMâles,6,FALSE),0)+(IF(QualitéAlimentsBisonneauxFemelles_6_12_mois=MOYENNE,VLOOKUP("concentré jeunes lapins",AlimentsRationHivernaleBisonsFemelles,6,FALSE),0)+(IF(QualitéAlimentsJeunesBisons_12_18_mois=MOYENNE,VLOOKUP("concentré jeunes lapins",AlimentsRationHivernaleBisonsMâles,5,FALSE),0)+(IF(QualitéAlimentsJeunesBisonnes_12_18_mois=MOYENNE,VLOOKUP("concentré jeunes lapins",AlimentsRationHivernaleBisonsFemelles,5,FALSE),0)+(IF(QualitéAlimentsJeunesBisons_18_24_mois=MOYENNE,VLOOKUP("concentré jeunes lapins",AlimentsRationHivernaleBisonsMâles,4,FALSE),0)+(IF(QualitéAlimentsJeunesBisonnes_18_24_mois=MOYENNE,VLOOKUP("concentré jeunes lapins",AlimentsRationHivernaleBisonsFemelles,4,FALSE),0)+(IF(QualitéAlimentsJeunesBisons_24_36_mois=MOYENNE,VLOOKUP("concentré jeunes lapins",AlimentsRationHivernaleBisonsMâles,3,FALSE),0)+(IF(QualitéAlimentsJeunesBisonnes_24_36_mois=MOYENNE,VLOOKUP("concentré jeunes lapins",AlimentsRationHivernaleBisonsFemelles,3,FALSE),0)+(IF(QualitéAlimentsBisons=MOYENNE,VLOOKUP("concentré jeunes lapins",AlimentsRationHivernaleBisonsMâles,2,FALSE),0)+(IF(QualitéAlimentsBisonnes=MOYENNE,VLOOKUP("concentré jeunes lapins",AlimentsRationHivernaleBisonsFemelles,2,FALSE),0))))))))))))))))</f>
        <v>0</v>
      </c>
      <c r="BP122" s="1267">
        <f t="array" ref="BP122">SUM((IF(QualitéAlimentsBisonneauxMâles_0_3_mois=MAUVAISE,VLOOKUP("concentré jeunes lapins",AlimentsRationHivernaleBisonsMâles,8,FALSE),0)+(IF(QualitéAlimentsBisonneauxFemelles_0_3_mois=MAUVAISE,VLOOKUP("concentré jeunes lapins",AlimentsRationHivernaleBisonsFemelles,8,FALSE),0)+(IF(QualitéAlimentsBisonneauxMâles_3_6_mois=MAUVAISE,VLOOKUP("concentré jeunes lapins",AlimentsRationHivernaleBisonsMâles,7,FALSE),0)+(IF(QualitéAlimentsBisonneauxFemelles_3_6_mois=MAUVAISE,VLOOKUP("concentré jeunes lapins",AlimentsRationHivernaleBisonsFemelles,7,FALSE),0)+(IF(QualitéAlimentsBisonneauxMâles_6_12_mois=MAUVAISE,VLOOKUP("concentré jeunes lapins",AlimentsRationHivernaleBisonsMâles,6,FALSE),0)+(IF(QualitéAlimentsBisonneauxFemelles_6_12_mois=MAUVAISE,VLOOKUP("concentré jeunes lapins",AlimentsRationHivernaleBisonsFemelles,6,FALSE),0)+(IF(QualitéAlimentsJeunesBisons_12_18_mois=MAUVAISE,VLOOKUP("concentré jeunes lapins",AlimentsRationHivernaleBisonsMâles,5,FALSE),0)+(IF(QualitéAlimentsJeunesBisonnes_12_18_mois=MAUVAISE,VLOOKUP("concentré jeunes lapins",AlimentsRationHivernaleBisonsFemelles,5,FALSE),0)+(IF(QualitéAlimentsJeunesBisons_18_24_mois=MAUVAISE,VLOOKUP("concentré jeunes lapins",AlimentsRationHivernaleBisonsMâles,4,FALSE),0)+(IF(QualitéAlimentsJeunesBisonnes_18_24_mois=MAUVAISE,VLOOKUP("concentré jeunes lapins",AlimentsRationHivernaleBisonsFemelles,4,FALSE),0)+(IF(QualitéAlimentsJeunesBisons_24_36_mois=MAUVAISE,VLOOKUP("concentré jeunes lapins",AlimentsRationHivernaleBisonsMâles,3,FALSE),0)+(IF(QualitéAlimentsJeunesBisonnes_24_36_mois=MAUVAISE,VLOOKUP("concentré jeunes lapins",AlimentsRationHivernaleBisonsFemelles,3,FALSE),0)+(IF(QualitéAlimentsBisons=MAUVAISE,VLOOKUP("concentré jeunes lapins",AlimentsRationHivernaleBisonsMâles,2,FALSE),0)+(IF(QualitéAlimentsBisonnes=MAUVAISE,VLOOKUP("concentré jeunes lapins",AlimentsRationHivernaleBisonsFemelles,2,FALSE),0))))))))))))))))</f>
        <v>0</v>
      </c>
      <c r="BQ122" s="1346"/>
      <c r="BR122" s="1346"/>
      <c r="BS122" s="1346"/>
      <c r="BT122" s="1346"/>
      <c r="BU122" s="1346"/>
      <c r="BV122" s="1345"/>
      <c r="BW122" s="1345"/>
      <c r="BX122" s="1076" t="s">
        <v>333</v>
      </c>
      <c r="BY122" s="1076">
        <f t="array" ref="BY122">IF(ChoixRationComplèteCaprins=OUI,0,IFERROR(IF(OR(AND(INDEX(Règles_caprins[Specificite],MATCH(ChoixRationCaprins&amp;$BX122,Règles_caprins[Ration]&amp;Règles_caprins[Aliment],0))="s1",IF($BX122=Spécificité1Caprins,1)),
INDEX(Règles_caprins[Specificite],MATCH(ChoixRationCaprins&amp;$BX122,Règles_caprins[Ration]&amp;Règles_caprins[Aliment],0))="c"),
INDEX(Règles_caprins[Valeur 12 et plus],MATCH(ChoixRationCaprins&amp;$BX122,Règles_caprins[Ration]&amp;Règles_caprins[Aliment],0)),0),0)*TotalBoucs*SUM(NbreJoursNourrirCaprins))</f>
        <v>0</v>
      </c>
      <c r="BZ122" s="1076">
        <f t="array" ref="BZ122">IF(ChoixRationComplèteCaprins=OUI,0,IFERROR(IF(OR(AND(INDEX(Règles_caprins[Specificite],MATCH(ChoixRationCaprins&amp;$BX122,Règles_caprins[Ration]&amp;Règles_caprins[Aliment],0))="s1",IF($BX122=Spécificité1Caprins,1)),
INDEX(Règles_caprins[Specificite],MATCH(ChoixRationCaprins&amp;$BX122,Règles_caprins[Ration]&amp;Règles_caprins[Aliment],0))="c"),
INDEX(Règles_caprins[Valeur 6-12],MATCH(ChoixRationCaprins&amp;$BX122,Règles_caprins[Ration]&amp;Règles_caprins[Aliment],0)),0),0)*jeune_bouc_6_12_mois*SUM(NbreJoursNourrirCaprins))</f>
        <v>0</v>
      </c>
      <c r="CA122" s="1076">
        <f t="array" ref="CA122">IF(ChoixRationComplèteCaprins=OUI,0,IFERROR(IF(OR(AND(INDEX(Règles_caprins[Specificite],MATCH(ChoixRationCaprins&amp;$BX122,Règles_caprins[Ration]&amp;Règles_caprins[Aliment],0))="s1",IF($BX122=Spécificité1Caprins,1)),
INDEX(Règles_caprins[Specificite],MATCH(ChoixRationCaprins&amp;$BX122,Règles_caprins[Ration]&amp;Règles_caprins[Aliment],0))="c"),
INDEX(Règles_caprins[Valeur 3-6],MATCH(ChoixRationCaprins&amp;$BX122,Règles_caprins[Ration]&amp;Règles_caprins[Aliment],0)),0),0)*chevreau_3_6_mois*SUM(NbreJoursNourrirCaprins))</f>
        <v>0</v>
      </c>
      <c r="CB122" s="1076">
        <f t="array" ref="CB122">IF(ChoixRationComplèteCaprins=OUI,0,IFERROR(IF(OR(AND(INDEX(Règles_caprins[Specificite],MATCH(ChoixRationCaprins&amp;$BX122,Règles_caprins[Ration]&amp;Règles_caprins[Aliment],0))="s1",IF($BX122=Spécificité1Caprins,1)),
INDEX(Règles_caprins[Specificite],MATCH(ChoixRationCaprins&amp;$BX122,Règles_caprins[Ration]&amp;Règles_caprins[Aliment],0))="c"),
INDEX(Règles_caprins[Valeur 0-3],MATCH(ChoixRationCaprins&amp;$BX122,Règles_caprins[Ration]&amp;Règles_caprins[Aliment],0)),0),0)*chevreau_0_3_mois*SUM(NbreJoursNourrirCaprins))</f>
        <v>0</v>
      </c>
      <c r="CC122" s="1076">
        <f t="shared" si="45"/>
        <v>0</v>
      </c>
      <c r="CD122" s="1345"/>
      <c r="CE122" s="1345"/>
      <c r="CF122" s="1345"/>
      <c r="CG122" s="1345"/>
      <c r="CH122" s="1321"/>
      <c r="CI122" s="1321"/>
      <c r="CJ122" s="792">
        <f t="shared" si="26"/>
        <v>0</v>
      </c>
      <c r="CK122" s="815">
        <f t="array" ref="CK12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12 et plus],MATCH(ChoixRationPorcins&amp;AlimentsRationPorcinsFemelles[[#This Row],[aliment]],Règles_porcins[Ration]&amp;Règles_porcins[Aliment],0)),0),0)*TotalTruies*SUM(NbreJoursNourrirAutres))</f>
        <v>0</v>
      </c>
      <c r="CL122" s="815">
        <f t="array" ref="CL12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6-12],MATCH(ChoixRationPorcins&amp;AlimentsRationPorcinsFemelles[[#This Row],[aliment]],Règles_porcins[Ration]&amp;Règles_porcins[Aliment],0)),0),0)*jeune_truie_6_12_mois*SUM(NbreJoursNourrirAutres))</f>
        <v>0</v>
      </c>
      <c r="CM122" s="815">
        <f t="array" ref="CM12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3-6],MATCH(ChoixRationPorcins&amp;AlimentsRationPorcinsFemelles[[#This Row],[aliment]],Règles_porcins[Ration]&amp;Règles_porcins[Aliment],0)),0),0)*jeune_truie_3_6_mois*SUM(NbreJoursNourrirAutres))</f>
        <v>0</v>
      </c>
      <c r="CN122" s="815">
        <f t="array" ref="CN12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1-3],MATCH(ChoixRationPorcins&amp;AlimentsRationPorcinsFemelles[[#This Row],[aliment]],Règles_porcins[Ration]&amp;Règles_porcins[Aliment],0)),0),0)*porcelet_femelle_1_3_mois*SUM(NbreJoursNourrirAutres))</f>
        <v>0</v>
      </c>
      <c r="CO122" s="815">
        <f t="array" ref="CO122">IF(ChoixRationComplètePorcins=OUI,0,IFERROR(IF(OR(AND(INDEX(Règles_porcins[Specificite],MATCH(ChoixRationPorcins&amp;AlimentsRationPorcinsFemelles[[#This Row],[aliment]],Règles_porcins[Ration]&amp;Règles_porcins[Aliment],0))="s1",IF(AlimentsRationPorcinsFemelles[[#This Row],[aliment]]=Spécificité1Porcins,1)),
INDEX(Règles_porcins[Specificite],MATCH(ChoixRationPorcins&amp;AlimentsRationPorcinsFemelles[[#This Row],[aliment]],Règles_porcins[Ration]&amp;Règles_porcins[Aliment],0))="c"),
INDEX(Règles_porcins[Valeur 0-1],MATCH(ChoixRationPorcins&amp;AlimentsRationPorcinsFemelles[[#This Row],[aliment]],Règles_porcins[Ration]&amp;Règles_porcins[Aliment],0)),0),0)*porcelet_femelle_0_1_mois*SUM(NbreJoursNourrirAutres))</f>
        <v>0</v>
      </c>
      <c r="CP122" s="816">
        <f>SUM(AlimentsRationPorcinsFemelles[[#This Row],[Valeur 12 et plus]:[Valeur 0-1]])</f>
        <v>0</v>
      </c>
      <c r="CQ122" s="1345"/>
      <c r="CR122" s="1321"/>
      <c r="CS122" s="808" t="str">
        <f t="shared" si="40"/>
        <v>Pomme de terre</v>
      </c>
      <c r="CT122" s="817">
        <f t="array" ref="CT12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22" s="817">
        <f t="array" ref="CU12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22" s="817">
        <f t="array" ref="CV12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22" s="818">
        <f>SUM(AlimentsRationLapinsFemelles[[#This Row],[Valeur 3 et plus]:[Valeur 0-1]])</f>
        <v>0</v>
      </c>
      <c r="CX122" s="1321"/>
      <c r="CY122" s="1321"/>
      <c r="CZ122" s="808" t="str">
        <f t="shared" si="41"/>
        <v>Pomme de terre</v>
      </c>
      <c r="DA122" s="817">
        <f t="array" ref="DA12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22" s="817">
        <f t="array" ref="DB12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22" s="817">
        <f t="array" ref="DC12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22" s="818">
        <f>SUM(AlimentsRationVolaillesFemelles[[#This Row],[Valeur 6 et plus]:[Valeur 0-1]])</f>
        <v>0</v>
      </c>
      <c r="DE122" s="1345"/>
      <c r="DF122" s="1321"/>
      <c r="DG122" s="788" t="str">
        <f t="shared" si="27"/>
        <v>Triticale</v>
      </c>
      <c r="DH122" s="817">
        <f t="array" ref="DH12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22" s="817">
        <f t="array" ref="DI12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22" s="817">
        <f t="array" ref="DJ122">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22" s="821">
        <f>SUM(AlimentsRationPintadesFemelles[[#This Row],[Valeur 6 et plus]:[Valeur 0-1]])</f>
        <v>0</v>
      </c>
      <c r="DL122" s="1321"/>
      <c r="DM122" s="1321"/>
      <c r="DN122" s="1176" t="s">
        <v>837</v>
      </c>
      <c r="DO122" s="1177" t="s">
        <v>76</v>
      </c>
      <c r="DP122" s="1177" t="s">
        <v>1253</v>
      </c>
      <c r="DQ122" s="1181">
        <v>1.6</v>
      </c>
      <c r="DR122" s="1181">
        <v>1.4</v>
      </c>
      <c r="DS122" s="1181">
        <v>1.2</v>
      </c>
      <c r="DT122" s="1243">
        <v>1</v>
      </c>
      <c r="DU122" s="1346"/>
      <c r="DV122" s="1321"/>
      <c r="DW122" s="1321"/>
      <c r="DX122" s="1321"/>
      <c r="DY122" s="1321"/>
      <c r="DZ122" s="1321"/>
      <c r="EA122" s="1321"/>
      <c r="EB122" s="1321"/>
      <c r="EC122" s="1321"/>
      <c r="ED122" s="1345"/>
      <c r="EE122" s="1345"/>
      <c r="EF122" s="1321"/>
      <c r="EG122" s="808" t="str">
        <f t="shared" si="31"/>
        <v>Soja</v>
      </c>
      <c r="EH122" s="817">
        <f t="array" ref="EH12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22" s="817">
        <f t="array" ref="EI12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22" s="817">
        <f t="array" ref="EJ12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22" s="818">
        <f>SUM(AlimentsRationOiesFemelles[[#This Row],[Valeur 6 et plus]:[Valeur 0-3]])</f>
        <v>0</v>
      </c>
      <c r="EL122" s="1345"/>
      <c r="EM122" s="1321"/>
      <c r="EN122" s="823" t="str">
        <f t="shared" si="29"/>
        <v>Sorgho ensilé</v>
      </c>
      <c r="EO122" s="828">
        <f t="array" ref="EO12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22" s="828">
        <f t="array" ref="EP12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22" s="828">
        <f t="array" ref="EQ12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22" s="829">
        <f>SUM(Ration_canards_Femelles[[#This Row],[Valeur 6 et plus]:[Valeur 0-3]])</f>
        <v>0</v>
      </c>
      <c r="ES122" s="1345"/>
      <c r="ET122" s="1321"/>
      <c r="EU122" s="1082" t="str">
        <f t="shared" si="44"/>
        <v>Orge</v>
      </c>
      <c r="EV122" s="1282">
        <f t="array" ref="EV122">IF(OR(ChoixRationComplèteEtéChevauxSelle=OUI,ChoixRationComplèteEtéChevauxSelle="",AND(ChoixChevauxSellePréHiver=OUI,ChoixChevauxSellePréEté=OUI)),0,IFERROR(IF(OR(AND(INDEX(Règles_chevaux_selle[Specificite],MATCH(RationEtéChevauxSelle&amp;$EU122,Règles_chevaux_selle[Ration]&amp;Règles_chevaux_selle[Aliment],0))="s1",IF($EU122=Spécificité1ChevauxSelle,1)),
AND(INDEX(Règles_chevaux_selle[Specificite],MATCH(RationEtéChevauxSelle&amp;$EU122,Règles_chevaux_selle[Ration]&amp;Règles_chevaux_selle[Aliment],0))="s2",IF($EU122=Spécificité2ChevauxSelle,1)),
INDEX(Règles_chevaux_selle[Specificite],MATCH(RationEtéChevauxSelle&amp;$EU122,Règles_chevaux_selle[Ration]&amp;Règles_chevaux_selle[Aliment],0))="c"),
INDEX(Règles_chevaux_selle[Valeur 36 et plus],MATCH(RationEtéChevauxSelle&amp;$EU122,Règles_chevaux_selle[Ration]&amp;Règles_chevaux_selle[Aliment],0)),0),0)*TotalJumentSelle*SUM(NbreJoursNourrirChevauxSelle))</f>
        <v>0</v>
      </c>
      <c r="EW122" s="1282">
        <f t="array" ref="EW122">IF(OR(ChoixRationComplèteEtéChevauxSelle=OUI,ChoixRationComplèteEtéChevauxSelle="",AND(ChoixChevauxSellePréHiver=OUI,ChoixChevauxSellePréEté=OUI)),0,IFERROR(IF(OR(AND(INDEX(Règles_chevaux_selle[Specificite],MATCH(RationEtéChevauxSelle&amp;$EU122,Règles_chevaux_selle[Ration]&amp;Règles_chevaux_selle[Aliment],0))="s1",IF($EU122=Spécificité1ChevauxSelle,1)),
AND(INDEX(Règles_chevaux_selle[Specificite],MATCH(RationEtéChevauxSelle&amp;$EU122,Règles_chevaux_selle[Ration]&amp;Règles_chevaux_selle[Aliment],0))="s2",IF($EU122=Spécificité2ChevauxSelle,1)),
INDEX(Règles_chevaux_selle[Specificite],MATCH(RationEtéChevauxSelle&amp;$EU122,Règles_chevaux_selle[Ration]&amp;Règles_chevaux_selle[Aliment],0))="c"),
INDEX(Règles_chevaux_selle[Valeur 24-36],MATCH(RationEtéChevauxSelle&amp;$EU122,Règles_chevaux_selle[Ration]&amp;Règles_chevaux_selle[Aliment],0)),0),0)*TotalJeuneJumentSelle_24_36_mois*SUM(NbreJoursNourrirChevauxSelle))</f>
        <v>0</v>
      </c>
      <c r="EX122" s="1282">
        <f t="array" ref="EX122">IF(OR(ChoixRationComplèteEtéChevauxSelle=OUI,ChoixRationComplèteEtéChevauxSelle="",AND(ChoixChevauxSellePréHiver=OUI,ChoixChevauxSellePréEté=OUI)),0,IFERROR(IF(OR(AND(INDEX(Règles_chevaux_selle[Specificite],MATCH(RationEtéChevauxSelle&amp;$EU122,Règles_chevaux_selle[Ration]&amp;Règles_chevaux_selle[Aliment],0))="s1",IF($EU122=Spécificité1ChevauxSelle,1)),
AND(INDEX(Règles_chevaux_selle[Specificite],MATCH(RationEtéChevauxSelle&amp;$EU122,Règles_chevaux_selle[Ration]&amp;Règles_chevaux_selle[Aliment],0))="s2",IF($EU122=Spécificité2ChevauxSelle,1)),
INDEX(Règles_chevaux_selle[Specificite],MATCH(RationEtéChevauxSelle&amp;$EU122,Règles_chevaux_selle[Ration]&amp;Règles_chevaux_selle[Aliment],0))="c"),
INDEX(Règles_chevaux_selle[Valeur 12-24],MATCH(RationEtéChevauxSelle&amp;$EU122,Règles_chevaux_selle[Ration]&amp;Règles_chevaux_selle[Aliment],0)),0),0)*TotalJeuneJumentSelle_12_24_mois*SUM(NbreJoursNourrirChevauxSelle))</f>
        <v>0</v>
      </c>
      <c r="EY122" s="1285">
        <f t="array" ref="EY122">IF(OR(ChoixRationComplèteEtéChevauxSelle=OUI,ChoixRationComplèteEtéChevauxSelle="",AND(ChoixChevauxSellePréHiver=OUI,ChoixChevauxSellePréEté=OUI)),0,IFERROR(IF(OR(AND(INDEX(Règles_chevaux_selle[Specificite],MATCH(RationEtéChevauxSelle&amp;$EU122,Règles_chevaux_selle[Ration]&amp;Règles_chevaux_selle[Aliment],0))="s1",IF($EU122=Spécificité1ChevauxSelle,1)),
AND(INDEX(Règles_chevaux_selle[Specificite],MATCH(RationEtéChevauxSelle&amp;$EU122,Règles_chevaux_selle[Ration]&amp;Règles_chevaux_selle[Aliment],0))="s2",IF($EU122=Spécificité2ChevauxSelle,1)),
INDEX(Règles_chevaux_selle[Specificite],MATCH(RationEtéChevauxSelle&amp;$EU122,Règles_chevaux_selle[Ration]&amp;Règles_chevaux_selle[Aliment],0))="c"),
INDEX(Règles_chevaux_selle[Valeur 0-12],MATCH(RationEtéChevauxSelle&amp;$EU122,Règles_chevaux_selle[Ration]&amp;Règles_chevaux_selle[Aliment],0)),0),0)*TotalPoulicheSelle_0_12_mois*SUM(NbreJoursNourrirChevauxSelle))</f>
        <v>0</v>
      </c>
      <c r="EZ122" s="1285">
        <f t="shared" si="43"/>
        <v>0</v>
      </c>
      <c r="FA122" s="1345"/>
      <c r="FB122" s="1345"/>
      <c r="FC122" s="1321"/>
      <c r="FD122" s="1082" t="str">
        <f t="shared" si="34"/>
        <v>Seigle</v>
      </c>
      <c r="FE122" s="1282">
        <f t="array" ref="FE122">IF(OR(ChoixRationComplèteEtéChevauxTrait=OUI,ChoixRationComplèteEtéChevauxTrait="",AND(ChoixChevauxTraitPréHiver=OUI,ChoixChevauxTraitPréEté=OUI)),0,IFERROR(IF(OR(AND(INDEX(Règles_chevaux_trait[Specificite],MATCH(RationEtéChevauxTrait&amp;$FD122,Règles_chevaux_trait[Ration]&amp;Règles_chevaux_trait[Aliment],0))="s1",IF($FD122=Spécificité1ChevauxTrait,1)),
AND(INDEX(Règles_chevaux_trait[Specificite],MATCH(RationEtéChevauxTrait&amp;$FD122,Règles_chevaux_trait[Ration]&amp;Règles_chevaux_trait[Aliment],0))="s2",IF($FD122=Spécificité2ChevauxTrait,1)),
INDEX(Règles_chevaux_trait[Specificite],MATCH(RationEtéChevauxTrait&amp;$FD122,Règles_chevaux_trait[Ration]&amp;Règles_chevaux_trait[Aliment],0))="c"),
INDEX(Règles_chevaux_trait[Valeur 36 et plus],MATCH(RationEtéChevauxTrait&amp;$FD122,Règles_chevaux_trait[Ration]&amp;Règles_chevaux_trait[Aliment],0)),0),0)*TotalJumentTrait*SUM(NbreJoursNourrirChevauxTrait))</f>
        <v>0</v>
      </c>
      <c r="FF122" s="1282">
        <f t="array" ref="FF122">IF(OR(ChoixRationComplèteEtéChevauxTrait=OUI,ChoixRationComplèteEtéChevauxTrait="",AND(ChoixChevauxTraitPréHiver=OUI,ChoixChevauxTraitPréEté=OUI)),0,IFERROR(IF(OR(AND(INDEX(Règles_chevaux_trait[Specificite],MATCH(RationEtéChevauxTrait&amp;$FD122,Règles_chevaux_trait[Ration]&amp;Règles_chevaux_trait[Aliment],0))="s1",IF($FD122=Spécificité1ChevauxTrait,1)),
AND(INDEX(Règles_chevaux_trait[Specificite],MATCH(RationEtéChevauxTrait&amp;$FD122,Règles_chevaux_trait[Ration]&amp;Règles_chevaux_trait[Aliment],0))="s2",IF($FD122=Spécificité2ChevauxTrait,1)),
INDEX(Règles_chevaux_trait[Specificite],MATCH(RationEtéChevauxTrait&amp;$FD122,Règles_chevaux_trait[Ration]&amp;Règles_chevaux_trait[Aliment],0))="c"),
INDEX(Règles_chevaux_trait[Valeur 24-36],MATCH(RationEtéChevauxTrait&amp;$FD122,Règles_chevaux_trait[Ration]&amp;Règles_chevaux_trait[Aliment],0)),0),0)*TotalJeuneJumentTrait_24_36_mois*SUM(NbreJoursNourrirChevauxTrait))</f>
        <v>0</v>
      </c>
      <c r="FG122" s="1282">
        <f t="array" ref="FG122">IF(OR(ChoixRationComplèteEtéChevauxTrait=OUI,ChoixRationComplèteEtéChevauxTrait="",AND(ChoixChevauxTraitPréHiver=OUI,ChoixChevauxTraitPréEté=OUI)),0,IFERROR(IF(OR(AND(INDEX(Règles_chevaux_trait[Specificite],MATCH(RationEtéChevauxTrait&amp;$FD122,Règles_chevaux_trait[Ration]&amp;Règles_chevaux_trait[Aliment],0))="s1",IF($FD122=Spécificité1ChevauxTrait,1)),
AND(INDEX(Règles_chevaux_trait[Specificite],MATCH(RationEtéChevauxTrait&amp;$FD122,Règles_chevaux_trait[Ration]&amp;Règles_chevaux_trait[Aliment],0))="s2",IF($FD122=Spécificité2ChevauxTrait,1)),
INDEX(Règles_chevaux_trait[Specificite],MATCH(RationEtéChevauxTrait&amp;$FD122,Règles_chevaux_trait[Ration]&amp;Règles_chevaux_trait[Aliment],0))="c"),
INDEX(Règles_chevaux_trait[Valeur 12-24],MATCH(RationEtéChevauxTrait&amp;$FD122,Règles_chevaux_trait[Ration]&amp;Règles_chevaux_trait[Aliment],0)),0),0)*TotalJeuneJumentTrait_12_24_mois*SUM(NbreJoursNourrirChevauxTrait))</f>
        <v>0</v>
      </c>
      <c r="FH122" s="1285">
        <f t="array" ref="FH122">IF(OR(ChoixRationComplèteEtéChevauxTrait=OUI,ChoixRationComplèteEtéChevauxTrait="",AND(ChoixChevauxTraitPréHiver=OUI,ChoixChevauxTraitPréEté=OUI)),0,IFERROR(IF(OR(AND(INDEX(Règles_chevaux_trait[Specificite],MATCH(RationEtéChevauxTrait&amp;$FD122,Règles_chevaux_trait[Ration]&amp;Règles_chevaux_trait[Aliment],0))="s1",IF($FD122=Spécificité1ChevauxTrait,1)),
AND(INDEX(Règles_chevaux_trait[Specificite],MATCH(RationEtéChevauxTrait&amp;$FD122,Règles_chevaux_trait[Ration]&amp;Règles_chevaux_trait[Aliment],0))="s2",IF($FD122=Spécificité2ChevauxTrait,1)),
INDEX(Règles_chevaux_trait[Specificite],MATCH(RationEtéChevauxTrait&amp;$FD122,Règles_chevaux_trait[Ration]&amp;Règles_chevaux_trait[Aliment],0))="c"),
INDEX(Règles_chevaux_trait[Valeur 0-12],MATCH(RationEtéChevauxTrait&amp;$FD122,Règles_chevaux_trait[Ration]&amp;Règles_chevaux_trait[Aliment],0)),0),0)*TotalPoulicheTrait_0_12_mois*SUM(NbreJoursNourrirChevauxTrait))</f>
        <v>0</v>
      </c>
      <c r="FI122" s="1285">
        <f t="shared" si="32"/>
        <v>0</v>
      </c>
      <c r="FJ122" s="1345"/>
      <c r="FK122" s="1345"/>
      <c r="FL122" s="1345"/>
      <c r="FM122" s="1321"/>
      <c r="FN122" s="1083" t="str">
        <f t="shared" si="33"/>
        <v>Soja</v>
      </c>
      <c r="FO122" s="1283">
        <f t="array" ref="FO122">IF(OR(ChoixRationComplèteEtéPoneys=OUI,ChoixRationComplèteEtéPoneys="",AND(ChoixPoneysPréHiver=OUI,ChoixPoneysPréEté=OUI)),0,IFERROR(IF(OR(AND(INDEX(Règles_poneys[Specificite],MATCH(RationEtéPoneys&amp;$FN122,Règles_poneys[Ration]&amp;Règles_poneys[Aliment],0))="s1",IF($FN122=Spécificité1Poneys,1)),
AND(INDEX(Règles_poneys[Specificite],MATCH(RationEtéPoneys&amp;$FN122,Règles_poneys[Ration]&amp;Règles_poneys[Aliment],0))="s2",IF($FN122=Spécificité2Poneys,1)),
INDEX(Règles_poneys[Specificite],MATCH(RationEtéPoneys&amp;$FN122,Règles_poneys[Ration]&amp;Règles_poneys[Aliment],0))="c"),
INDEX(Règles_poneys[Valeur 36 et plus],MATCH(RationEtéPoneys&amp;$FN122,Règles_poneys[Ration]&amp;Règles_poneys[Aliment],0)),0),0)*TotalJumentPoney*SUM(NbreJoursNourrirPoneys))</f>
        <v>0</v>
      </c>
      <c r="FP122" s="1283">
        <f t="array" ref="FP122">IF(OR(ChoixRationComplèteEtéPoneys=OUI,ChoixRationComplèteEtéPoneys="",AND(ChoixPoneysPréHiver=OUI,ChoixPoneysPréEté=OUI)),0,IFERROR(IF(OR(AND(INDEX(Règles_poneys[Specificite],MATCH(RationEtéPoneys&amp;$FN122,Règles_poneys[Ration]&amp;Règles_poneys[Aliment],0))="s1",IF($FN122=Spécificité1Poneys,1)),
AND(INDEX(Règles_poneys[Specificite],MATCH(RationEtéPoneys&amp;$FN122,Règles_poneys[Ration]&amp;Règles_poneys[Aliment],0))="s2",IF($FN122=Spécificité2Poneys,1)),
INDEX(Règles_poneys[Specificite],MATCH(RationEtéPoneys&amp;$FN122,Règles_poneys[Ration]&amp;Règles_poneys[Aliment],0))="c"),
INDEX(Règles_poneys[Valeur 36 et plus],MATCH(RationEtéPoneys&amp;$FN122,Règles_poneys[Ration]&amp;Règles_poneys[Aliment],0)),0),0)*TotalJeuneJumentPoney_24_36_mois*SUM(NbreJoursNourrirPoneys))</f>
        <v>0</v>
      </c>
      <c r="FQ122" s="1283">
        <f t="array" ref="FQ122">IF(OR(ChoixRationComplèteEtéPoneys=OUI,ChoixRationComplèteEtéPoneys="",AND(ChoixPoneysPréHiver=OUI,ChoixPoneysPréEté=OUI)),0,IFERROR(IF(OR(AND(INDEX(Règles_poneys[Specificite],MATCH(RationEtéPoneys&amp;$FN122,Règles_poneys[Ration]&amp;Règles_poneys[Aliment],0))="s1",IF($FN122=Spécificité1Poneys,1)),
AND(INDEX(Règles_poneys[Specificite],MATCH(RationEtéPoneys&amp;$FN122,Règles_poneys[Ration]&amp;Règles_poneys[Aliment],0))="s2",IF($FN122=Spécificité2Poneys,1)),
INDEX(Règles_poneys[Specificite],MATCH(RationEtéPoneys&amp;$FN122,Règles_poneys[Ration]&amp;Règles_poneys[Aliment],0))="c"),
INDEX(Règles_poneys[Valeur 36 et plus],MATCH(RationEtéPoneys&amp;$FN122,Règles_poneys[Ration]&amp;Règles_poneys[Aliment],0)),0),0)*TotalJeuneJumentPoney_12_24_mois*SUM(NbreJoursNourrirPoneys))</f>
        <v>0</v>
      </c>
      <c r="FR122" s="1286">
        <f t="array" ref="FR122">IF(OR(ChoixRationComplèteEtéPoneys=OUI,ChoixRationComplèteEtéPoneys="",AND(ChoixPoneysPréHiver=OUI,ChoixPoneysPréEté=OUI)),0,IFERROR(IF(OR(AND(INDEX(Règles_poneys[Specificite],MATCH(RationEtéPoneys&amp;$FN122,Règles_poneys[Ration]&amp;Règles_poneys[Aliment],0))="s1",IF($FN122=Spécificité1Poneys,1)),
AND(INDEX(Règles_poneys[Specificite],MATCH(RationEtéPoneys&amp;$FN122,Règles_poneys[Ration]&amp;Règles_poneys[Aliment],0))="s2",IF($FN122=Spécificité2Poneys,1)),
INDEX(Règles_poneys[Specificite],MATCH(RationEtéPoneys&amp;$FN122,Règles_poneys[Ration]&amp;Règles_poneys[Aliment],0))="c"),
INDEX(Règles_poneys[Valeur 36 et plus],MATCH(RationEtéPoneys&amp;$FN122,Règles_poneys[Ration]&amp;Règles_poneys[Aliment],0)),0),0)*TotalPoulichePoney_0_12_mois*SUM(NbreJoursNourrirPoneys))</f>
        <v>0</v>
      </c>
      <c r="FS122" s="1286">
        <f t="shared" si="30"/>
        <v>0</v>
      </c>
      <c r="FT122" s="1345"/>
      <c r="FU122" s="1345"/>
      <c r="FV122" s="1345"/>
      <c r="FW122" s="823" t="str">
        <f t="shared" si="28"/>
        <v>Triticale</v>
      </c>
      <c r="FX122" s="828">
        <f t="array" ref="FX12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22" s="828">
        <f t="array" ref="FY12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22" s="828">
        <f t="array" ref="FZ12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22" s="828">
        <f t="array" ref="GA122">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22" s="829">
        <f>SUM(AlimentsGavageCanards[[#This Row],[Valeur 3 et plus]:[Valeur 0-1]])</f>
        <v>0</v>
      </c>
      <c r="GC122" s="1321"/>
      <c r="GD122" s="1321"/>
      <c r="GE122" s="1321"/>
      <c r="GF122" s="1321"/>
      <c r="GG122" s="1321" t="s">
        <v>1349</v>
      </c>
      <c r="GH122" s="1321" t="s">
        <v>1349</v>
      </c>
      <c r="GI122" s="1321" t="s">
        <v>1349</v>
      </c>
      <c r="GJ122" s="1321" t="s">
        <v>1349</v>
      </c>
      <c r="GK122" s="1321" t="s">
        <v>1349</v>
      </c>
      <c r="GL122" s="1321" t="s">
        <v>1349</v>
      </c>
      <c r="GM122" s="1321" t="s">
        <v>1349</v>
      </c>
      <c r="GN122" s="1321" t="s">
        <v>1349</v>
      </c>
      <c r="GO122" s="1321" t="s">
        <v>1349</v>
      </c>
      <c r="GP122" s="1321" t="s">
        <v>1349</v>
      </c>
      <c r="GQ122" s="1321" t="s">
        <v>1349</v>
      </c>
      <c r="GR122" s="1321" t="s">
        <v>1349</v>
      </c>
      <c r="GS122" s="1321" t="s">
        <v>1349</v>
      </c>
      <c r="GT122" s="1321" t="s">
        <v>1349</v>
      </c>
      <c r="GU122" s="1321" t="s">
        <v>1349</v>
      </c>
      <c r="GV122" s="1321" t="s">
        <v>1349</v>
      </c>
      <c r="GW122" s="1321"/>
      <c r="GX122" s="1321"/>
      <c r="GY122" s="1321"/>
      <c r="GZ122" s="1321"/>
      <c r="HA122" s="1321"/>
      <c r="HB122" s="1321"/>
      <c r="HC122" s="1321"/>
      <c r="HD122" s="1321"/>
      <c r="HE122" s="1321"/>
      <c r="HF122" s="1321"/>
      <c r="HG122" s="1321"/>
      <c r="HH122" s="1321"/>
      <c r="HI122" s="1321"/>
      <c r="HJ122" s="1321"/>
      <c r="HK122" s="1321"/>
      <c r="HL122" s="1321"/>
      <c r="HM122" s="1321"/>
      <c r="HN122" s="1083" t="s">
        <v>723</v>
      </c>
      <c r="HO122" s="1084" t="e">
        <f>IF(SUM((VLOOKUP(HN122,AlimentsRationBovinsMâles,9,FALSE)+VLOOKUP(HN122,AlimentsRationBovinsFemelles,9,FALSE)+VLOOKUP(HN122,BDD!BB$284:BJ$323,9,FALSE))/1000/SUM(NbreJoursNourrirBovins)*IF('semences, engrais et traitement'!I$16=OUI,42,84))&lt;0,0,SUM((VLOOKUP(HN122,AlimentsRationBovinsMâles,9,FALSE)+VLOOKUP(HN122,AlimentsRationBovinsFemelles,9,FALSE)+VLOOKUP(HN122,BDD!BB$284:BJ$323,9,FALSE))/1000/SUM(NbreJoursNourrirBovins)*IF('semences, engrais et traitement'!I$16=OUI,42,84)))</f>
        <v>#DIV/0!</v>
      </c>
      <c r="HP122" s="1084">
        <f t="shared" si="36"/>
        <v>0</v>
      </c>
      <c r="HQ122" s="1084" t="e">
        <f>IF(SUM(VLOOKUP(HN122,AlimentsRationPorcinsMâles[],7,FALSE)+VLOOKUP(HN122,AlimentsRationPorcinsFemelles[],7,FALSE))/1000/SUM(NbreJoursNourrirAutres)*84&lt;0,0,SUM(VLOOKUP(HN122,AlimentsRationPorcinsMâles[],7,FALSE)+VLOOKUP(HN122,AlimentsRationPorcinsFemelles[],7,FALSE)/1000/SUM(NbreJoursNourrirAutres)*84))</f>
        <v>#DIV/0!</v>
      </c>
      <c r="HR122" s="1084" t="e">
        <f>IF(SUM(VLOOKUP(HN122,AlimentsRationCaprinsMâles,6,FALSE)+VLOOKUP(HN122,AlimentsRationCaprinsFemelles,6,FALSE))/1000/SUM(NbreJoursNourrirCaprins)*IF('semences, engrais et traitement'!I$17=OUI,42,84)&lt;0,0,SUM(VLOOKUP(HN122,AlimentsRationCaprinsMâles,6,FALSE)+VLOOKUP(HN122,AlimentsRationCaprinsFemelles,6,FALSE))/1000/SUM(NbreJoursNourrirCaprins)*IF('semences, engrais et traitement'!I$17=OUI,42,84))</f>
        <v>#DIV/0!</v>
      </c>
      <c r="HS122" s="1084" t="e">
        <f>IF(SUM(VLOOKUP(HN122,AlimentsRationVolaillesMâles[],5,FALSE)+VLOOKUP(HN122,AlimentsRationVolaillesFemelles[],5,FALSE))/1000/SUM(NbreJoursNourrirAutres)*84&lt;0,0,SUM(VLOOKUP(HN122,AlimentsRationVolaillesMâles[],5,FALSE)+VLOOKUP(HN122,AlimentsRationVolaillesFemelles[],5,FALSE)/1000/SUM(NbreJoursNourrirAutres)*84))</f>
        <v>#DIV/0!</v>
      </c>
      <c r="HT122" s="1084" t="e">
        <f>IF(SUM(VLOOKUP(HN122,AlimentsRationPintadesMâles[],5,FALSE)+VLOOKUP(HN122,AlimentsRationPintadesFemelles[],5,FALSE))/1000/SUM(NbreJoursNourrirAutres)*84&lt;0,0,SUM(VLOOKUP(HN122,AlimentsRationPintadesMâles[],5,FALSE)+VLOOKUP(HN122,AlimentsRationPintadesFemelles[],5,FALSE)/1000/SUM(NbreJoursNourrirAutres)*84))</f>
        <v>#DIV/0!</v>
      </c>
      <c r="HU122" s="1084" t="e">
        <f>IF(SUM(VLOOKUP(HN122,AlimentsRationLapinsMâles[],5,FALSE)+VLOOKUP(HN122,AlimentsRationLapinsFemelles[],5,FALSE))/1000/SUM(NbreJoursNourrirAutres)*84&lt;0,0,SUM(VLOOKUP(HN122,AlimentsRationLapinsMâles[],5,FALSE)+VLOOKUP(HN122,AlimentsRationLapinsFemelles[],5,FALSE)/1000/SUM(NbreJoursNourrirAutres)*84))</f>
        <v>#DIV/0!</v>
      </c>
      <c r="HV122" s="1084" t="e">
        <f>IF(SUM(VLOOKUP(HN122,AlimentsRationOvinsMâles,6,FALSE)+VLOOKUP(HN122,AlimentsRationOvinsFemelles,6,FALSE))/1000/SUM(NbreJoursNourrirOvins)*IF('semences, engrais et traitement'!I$18=OUI,42,84)&lt;0,0,SUM(VLOOKUP(HN122,AlimentsRationOvinsMâles,6,FALSE)+VLOOKUP(HN122,AlimentsRationOvinsFemelles,6,FALSE))/1000/SUM(NbreJoursNourrirOvins)*IF('semences, engrais et traitement'!I$18=OUI,42,84))</f>
        <v>#DIV/0!</v>
      </c>
      <c r="HW122" s="1084" t="e">
        <f>IF(SUM(VLOOKUP(HN122,AlimentsRationOiesMâles[],5,FALSE)+VLOOKUP(HN122,AlimentsRationOiesFemelles[],5,FALSE))/1000/SUM(NbreJoursNourrirAutres)*84&lt;0,0,SUM(VLOOKUP(HN122,AlimentsRationOiesMâles[],5,FALSE)+VLOOKUP(HN122,AlimentsRationOiesFemelles[],5,FALSE)/1000/SUM(NbreJoursNourrirAutres)*84))</f>
        <v>#DIV/0!</v>
      </c>
      <c r="HX122" s="1084" t="e">
        <f t="shared" si="48"/>
        <v>#DIV/0!</v>
      </c>
      <c r="HY122" s="1084" t="e">
        <f>IF(SUM(VLOOKUP(HN122,AlimentsRationEcurieChevauxMâlesSelle,6,FALSE)+VLOOKUP(HN122,AlimentsRationEcurieChevauxFemellesSelle,6,FALSE))/1000/SUM(NbreJoursNourrirChevauxSelle)*IF('semences, engrais et traitement'!M$16=OUI,56,84)&lt;0,0,SUM(VLOOKUP(HN122,AlimentsRationEcurieChevauxMâlesSelle,6,FALSE)+VLOOKUP(HN122,AlimentsRationEcurieChevauxFemellesSelle,6,FALSE))/1000/SUM(NbreJoursNourrirChevauxSelle)*IF('semences, engrais et traitement'!M$16=OUI,56,84))</f>
        <v>#DIV/0!</v>
      </c>
      <c r="HZ122" s="1084" t="e">
        <f>IF(SUM(VLOOKUP(HN122,AlimentsRationEcurieChevauxMâlesTrait,6,FALSE)+VLOOKUP(HN122,AlimentsRationEcurieChevauxFemellesTrait,6,FALSE))/1000/SUM(NbreJoursNourrirChevauxTrait)*IF('semences, engrais et traitement'!M$17=OUI,56,84)&lt;0,0,SUM(VLOOKUP(HN122,AlimentsRationEcurieChevauxMâlesTrait,6,FALSE)+VLOOKUP(HN122,AlimentsRationEcurieChevauxFemellesTrait,6,FALSE))/1000/SUM(NbreJoursNourrirChevauxTrait)*IF('semences, engrais et traitement'!M$17=OUI,56,84))</f>
        <v>#DIV/0!</v>
      </c>
      <c r="IA122" s="1084" t="e">
        <f>IF(SUM(VLOOKUP(HN122,AlimentsRationEcuriePoneysMâles,6,FALSE)+VLOOKUP(HN122,AlimentsRationEcuriePoneysFemelles,6,FALSE))/1000/SUM(NbreJoursNourrirPoneys)*IF('semences, engrais et traitement'!M$18=OUI,56,84)&lt;0,0,SUM(VLOOKUP(HN122,AlimentsRationEcuriePoneysMâles,6,FALSE)+VLOOKUP(HN122,AlimentsRationEcuriePoneysFemelles,6,FALSE))/1000/SUM(NbreJoursNourrirPoneys)*IF('semences, engrais et traitement'!M$18=OUI,56,84))</f>
        <v>#DIV/0!</v>
      </c>
      <c r="IB122" s="1100" t="e">
        <f t="shared" si="38"/>
        <v>#DIV/0!</v>
      </c>
      <c r="IC122" s="1321"/>
      <c r="ID122" s="1321"/>
      <c r="IE122" s="1321"/>
      <c r="IF122" s="1321"/>
      <c r="IG122" s="1321"/>
      <c r="IH122" s="1321"/>
      <c r="II122" s="1321"/>
      <c r="IJ122" s="1321"/>
      <c r="IK122" s="1321"/>
      <c r="IL122" s="1321"/>
      <c r="IM122" s="1321"/>
      <c r="IN122" s="1368"/>
    </row>
    <row r="123" spans="1:248" ht="12.75" customHeight="1" x14ac:dyDescent="0.2">
      <c r="A123" s="1307" t="s">
        <v>503</v>
      </c>
      <c r="B123" s="1241">
        <f t="shared" si="39"/>
        <v>1E-3</v>
      </c>
      <c r="C123" s="1321"/>
      <c r="D123" s="1321"/>
      <c r="E123" s="1321"/>
      <c r="F123" s="1149" t="s">
        <v>1193</v>
      </c>
      <c r="G123" s="1149">
        <v>45</v>
      </c>
      <c r="H123" s="1149">
        <v>120</v>
      </c>
      <c r="I123" s="1149">
        <v>15</v>
      </c>
      <c r="J123" s="1149">
        <v>3600</v>
      </c>
      <c r="K123" s="1149">
        <v>90</v>
      </c>
      <c r="L123" s="1149">
        <v>0</v>
      </c>
      <c r="M123" s="1321"/>
      <c r="N123" s="1321"/>
      <c r="O123" s="1321"/>
      <c r="P123" s="1321"/>
      <c r="Q123" s="1321"/>
      <c r="R123" s="1321"/>
      <c r="S123" s="1321"/>
      <c r="T123" s="1321"/>
      <c r="U123" s="1321"/>
      <c r="V123" s="1321"/>
      <c r="W123" s="1321"/>
      <c r="X123" s="1321"/>
      <c r="Y123" s="1321"/>
      <c r="Z123" s="1321"/>
      <c r="AA123" s="1321"/>
      <c r="AB123" s="1321"/>
      <c r="AC123" s="1321"/>
      <c r="AD123" s="1321"/>
      <c r="AE123" s="1321"/>
      <c r="AF123" s="1321"/>
      <c r="AG123" s="1321"/>
      <c r="AH123" s="1321"/>
      <c r="AI123" s="1321"/>
      <c r="AJ123" s="1321"/>
      <c r="AK123" s="1321"/>
      <c r="AL123" s="1321"/>
      <c r="AM123" s="1321"/>
      <c r="AN123" s="1321"/>
      <c r="AO123" s="1321"/>
      <c r="AP123" s="1321"/>
      <c r="AQ123" s="1321"/>
      <c r="AR123" s="1321"/>
      <c r="AS123" s="1321"/>
      <c r="AT123" s="1321"/>
      <c r="AU123" s="1321"/>
      <c r="AV123" s="1321"/>
      <c r="AW123" s="1321"/>
      <c r="AX123" s="1321"/>
      <c r="AY123" s="1321"/>
      <c r="AZ123" s="1321"/>
      <c r="BA123" s="1321"/>
      <c r="BB123" s="1236" t="s">
        <v>731</v>
      </c>
      <c r="BC123" s="1190" t="s">
        <v>671</v>
      </c>
      <c r="BD123" s="1190" t="s">
        <v>1252</v>
      </c>
      <c r="BE123" s="1237">
        <v>42</v>
      </c>
      <c r="BF123" s="1237">
        <v>36</v>
      </c>
      <c r="BG123" s="1237">
        <v>24</v>
      </c>
      <c r="BH123" s="1237">
        <v>18</v>
      </c>
      <c r="BI123" s="1237">
        <v>12</v>
      </c>
      <c r="BJ123" s="1237">
        <v>6</v>
      </c>
      <c r="BK123" s="1238">
        <v>0</v>
      </c>
      <c r="BL123" s="1348"/>
      <c r="BM123" s="1075" t="str">
        <f t="shared" si="47"/>
        <v>concentré jeunes porcins</v>
      </c>
      <c r="BN123" s="1269">
        <f t="array" ref="BN123">SUM((IF(QualitéAlimentsBisonneauxMâles_0_3_mois=BONNE,VLOOKUP("concentré jeunes porcins",AlimentsRationHivernaleBisonsMâles,8,FALSE),0)+(IF(QualitéAlimentsBisonneauxFemelles_0_3_mois=BONNE,VLOOKUP("concentré jeunes porcins",AlimentsRationHivernaleBisonsFemelles,8,FALSE),0)+(IF(QualitéAlimentsBisonneauxMâles_3_6_mois=BONNE,VLOOKUP("concentré jeunes porcins",AlimentsRationHivernaleBisonsMâles,7,FALSE),0)+(IF(QualitéAlimentsBisonneauxFemelles_3_6_mois=BONNE,VLOOKUP("concentré jeunes porcins",AlimentsRationHivernaleBisonsFemelles,7,FALSE),0)+(IF(QualitéAlimentsBisonneauxMâles_6_12_mois=BONNE,VLOOKUP("concentré jeunes porcins",AlimentsRationHivernaleBisonsMâles,6,FALSE),0)+(IF(QualitéAlimentsBisonneauxFemelles_6_12_mois=BONNE,VLOOKUP("concentré jeunes porcins",AlimentsRationHivernaleBisonsFemelles,6,FALSE),0)+(IF(QualitéAlimentsJeunesBisons_12_18_mois=BONNE,VLOOKUP("concentré jeunes porcins",AlimentsRationHivernaleBisonsMâles,5,FALSE),0)+(IF(QualitéAlimentsJeunesBisonnes_12_18_mois=BONNE,VLOOKUP("concentré jeunes porcins",AlimentsRationHivernaleBisonsFemelles,5,FALSE),0)+(IF(QualitéAlimentsJeunesBisons_18_24_mois=BONNE,VLOOKUP("concentré jeunes porcins",AlimentsRationHivernaleBisonsMâles,4,FALSE),0)+(IF(QualitéAlimentsJeunesBisonnes_18_24_mois=BONNE,VLOOKUP("concentré jeunes porcins",AlimentsRationHivernaleBisonsFemelles,4,FALSE),0)+(IF(QualitéAlimentsJeunesBisons_24_36_mois=BONNE,VLOOKUP("concentré jeunes porcins",AlimentsRationHivernaleBisonsMâles,3,FALSE),0)+(IF(QualitéAlimentsJeunesBisonnes_24_36_mois=BONNE,VLOOKUP("concentré jeunes porcins",AlimentsRationHivernaleBisonsFemelles,3,FALSE),0)+(IF(QualitéAlimentsBisons=BONNE,VLOOKUP("concentré jeunes porcins",AlimentsRationHivernaleBisonsMâles,2,FALSE),0)+(IF(QualitéAlimentsBisonnes=BONNE,VLOOKUP("concentré jeunes porcins",AlimentsRationHivernaleBisonsFemelles,2,FALSE),0))))))))))))))))</f>
        <v>0</v>
      </c>
      <c r="BO123" s="1269">
        <f t="array" ref="BO123">SUM((IF(QualitéAlimentsBisonneauxMâles_0_3_mois=MOYENNE,VLOOKUP("concentré jeunes porcins",AlimentsRationHivernaleBisonsMâles,8,FALSE),0)+(IF(QualitéAlimentsBisonneauxFemelles_0_3_mois=MOYENNE,VLOOKUP("concentré jeunes porcins",AlimentsRationHivernaleBisonsFemelles,8,FALSE),0)+(IF(QualitéAlimentsBisonneauxMâles_3_6_mois=MOYENNE,VLOOKUP("concentré jeunes porcins",AlimentsRationHivernaleBisonsMâles,7,FALSE),0)+(IF(QualitéAlimentsBisonneauxFemelles_3_6_mois=MOYENNE,VLOOKUP("concentré jeunes porcins",AlimentsRationHivernaleBisonsFemelles,7,FALSE),0)+(IF(QualitéAlimentsBisonneauxMâles_6_12_mois=MOYENNE,VLOOKUP("concentré jeunes porcins",AlimentsRationHivernaleBisonsMâles,6,FALSE),0)+(IF(QualitéAlimentsBisonneauxFemelles_6_12_mois=MOYENNE,VLOOKUP("concentré jeunes porcins",AlimentsRationHivernaleBisonsFemelles,6,FALSE),0)+(IF(QualitéAlimentsJeunesBisons_12_18_mois=MOYENNE,VLOOKUP("concentré jeunes porcins",AlimentsRationHivernaleBisonsMâles,5,FALSE),0)+(IF(QualitéAlimentsJeunesBisonnes_12_18_mois=MOYENNE,VLOOKUP("concentré jeunes porcins",AlimentsRationHivernaleBisonsFemelles,5,FALSE),0)+(IF(QualitéAlimentsJeunesBisons_18_24_mois=MOYENNE,VLOOKUP("concentré jeunes porcins",AlimentsRationHivernaleBisonsMâles,4,FALSE),0)+(IF(QualitéAlimentsJeunesBisonnes_18_24_mois=MOYENNE,VLOOKUP("concentré jeunes porcins",AlimentsRationHivernaleBisonsFemelles,4,FALSE),0)+(IF(QualitéAlimentsJeunesBisons_24_36_mois=MOYENNE,VLOOKUP("concentré jeunes porcins",AlimentsRationHivernaleBisonsMâles,3,FALSE),0)+(IF(QualitéAlimentsJeunesBisonnes_24_36_mois=MOYENNE,VLOOKUP("concentré jeunes porcins",AlimentsRationHivernaleBisonsFemelles,3,FALSE),0)+(IF(QualitéAlimentsBisons=MOYENNE,VLOOKUP("concentré jeunes porcins",AlimentsRationHivernaleBisonsMâles,2,FALSE),0)+(IF(QualitéAlimentsBisonnes=MOYENNE,VLOOKUP("concentré jeunes porcins",AlimentsRationHivernaleBisonsFemelles,2,FALSE),0))))))))))))))))</f>
        <v>0</v>
      </c>
      <c r="BP123" s="1269">
        <f t="array" ref="BP123">SUM((IF(QualitéAlimentsBisonneauxMâles_0_3_mois=MAUVAISE,VLOOKUP("concentré jeunes porcins",AlimentsRationHivernaleBisonsMâles,8,FALSE),0)+(IF(QualitéAlimentsBisonneauxFemelles_0_3_mois=MAUVAISE,VLOOKUP("concentré jeunes porcins",AlimentsRationHivernaleBisonsFemelles,8,FALSE),0)+(IF(QualitéAlimentsBisonneauxMâles_3_6_mois=MAUVAISE,VLOOKUP("concentré jeunes porcins",AlimentsRationHivernaleBisonsMâles,7,FALSE),0)+(IF(QualitéAlimentsBisonneauxFemelles_3_6_mois=MAUVAISE,VLOOKUP("concentré jeunes porcins",AlimentsRationHivernaleBisonsFemelles,7,FALSE),0)+(IF(QualitéAlimentsBisonneauxMâles_6_12_mois=MAUVAISE,VLOOKUP("concentré jeunes porcins",AlimentsRationHivernaleBisonsMâles,6,FALSE),0)+(IF(QualitéAlimentsBisonneauxFemelles_6_12_mois=MAUVAISE,VLOOKUP("concentré jeunes porcins",AlimentsRationHivernaleBisonsFemelles,6,FALSE),0)+(IF(QualitéAlimentsJeunesBisons_12_18_mois=MAUVAISE,VLOOKUP("concentré jeunes porcins",AlimentsRationHivernaleBisonsMâles,5,FALSE),0)+(IF(QualitéAlimentsJeunesBisonnes_12_18_mois=MAUVAISE,VLOOKUP("concentré jeunes porcins",AlimentsRationHivernaleBisonsFemelles,5,FALSE),0)+(IF(QualitéAlimentsJeunesBisons_18_24_mois=MAUVAISE,VLOOKUP("concentré jeunes porcins",AlimentsRationHivernaleBisonsMâles,4,FALSE),0)+(IF(QualitéAlimentsJeunesBisonnes_18_24_mois=MAUVAISE,VLOOKUP("concentré jeunes porcins",AlimentsRationHivernaleBisonsFemelles,4,FALSE),0)+(IF(QualitéAlimentsJeunesBisons_24_36_mois=MAUVAISE,VLOOKUP("concentré jeunes porcins",AlimentsRationHivernaleBisonsMâles,3,FALSE),0)+(IF(QualitéAlimentsJeunesBisonnes_24_36_mois=MAUVAISE,VLOOKUP("concentré jeunes porcins",AlimentsRationHivernaleBisonsFemelles,3,FALSE),0)+(IF(QualitéAlimentsBisons=MAUVAISE,VLOOKUP("concentré jeunes porcins",AlimentsRationHivernaleBisonsMâles,2,FALSE),0)+(IF(QualitéAlimentsBisonnes=MAUVAISE,VLOOKUP("concentré jeunes porcins",AlimentsRationHivernaleBisonsFemelles,2,FALSE),0))))))))))))))))</f>
        <v>0</v>
      </c>
      <c r="BQ123" s="1346"/>
      <c r="BR123" s="1346"/>
      <c r="BS123" s="1346"/>
      <c r="BT123" s="1346"/>
      <c r="BU123" s="1346"/>
      <c r="BV123" s="1345"/>
      <c r="BW123" s="1345"/>
      <c r="BX123" s="1075" t="s">
        <v>340</v>
      </c>
      <c r="BY123" s="1075">
        <f t="array" ref="BY123">IF(ChoixRationComplèteCaprins=OUI,0,IFERROR(IF(OR(AND(INDEX(Règles_caprins[Specificite],MATCH(ChoixRationCaprins&amp;$BX123,Règles_caprins[Ration]&amp;Règles_caprins[Aliment],0))="s1",IF($BX123=Spécificité1Caprins,1)),
INDEX(Règles_caprins[Specificite],MATCH(ChoixRationCaprins&amp;$BX123,Règles_caprins[Ration]&amp;Règles_caprins[Aliment],0))="c"),
INDEX(Règles_caprins[Valeur 12 et plus],MATCH(ChoixRationCaprins&amp;$BX123,Règles_caprins[Ration]&amp;Règles_caprins[Aliment],0)),0),0)*TotalBoucs*SUM(NbreJoursNourrirCaprins))</f>
        <v>0</v>
      </c>
      <c r="BZ123" s="1075">
        <f t="array" ref="BZ123">IF(ChoixRationComplèteCaprins=OUI,0,IFERROR(IF(OR(AND(INDEX(Règles_caprins[Specificite],MATCH(ChoixRationCaprins&amp;$BX123,Règles_caprins[Ration]&amp;Règles_caprins[Aliment],0))="s1",IF($BX123=Spécificité1Caprins,1)),
INDEX(Règles_caprins[Specificite],MATCH(ChoixRationCaprins&amp;$BX123,Règles_caprins[Ration]&amp;Règles_caprins[Aliment],0))="c"),
INDEX(Règles_caprins[Valeur 6-12],MATCH(ChoixRationCaprins&amp;$BX123,Règles_caprins[Ration]&amp;Règles_caprins[Aliment],0)),0),0)*jeune_bouc_6_12_mois*SUM(NbreJoursNourrirCaprins))</f>
        <v>0</v>
      </c>
      <c r="CA123" s="1075">
        <f t="array" ref="CA123">IF(ChoixRationComplèteCaprins=OUI,0,IFERROR(IF(OR(AND(INDEX(Règles_caprins[Specificite],MATCH(ChoixRationCaprins&amp;$BX123,Règles_caprins[Ration]&amp;Règles_caprins[Aliment],0))="s1",IF($BX123=Spécificité1Caprins,1)),
INDEX(Règles_caprins[Specificite],MATCH(ChoixRationCaprins&amp;$BX123,Règles_caprins[Ration]&amp;Règles_caprins[Aliment],0))="c"),
INDEX(Règles_caprins[Valeur 3-6],MATCH(ChoixRationCaprins&amp;$BX123,Règles_caprins[Ration]&amp;Règles_caprins[Aliment],0)),0),0)*chevreau_3_6_mois*SUM(NbreJoursNourrirCaprins))</f>
        <v>0</v>
      </c>
      <c r="CB123" s="1075">
        <f t="array" ref="CB123">IF(ChoixRationComplèteCaprins=OUI,0,IFERROR(IF(OR(AND(INDEX(Règles_caprins[Specificite],MATCH(ChoixRationCaprins&amp;$BX123,Règles_caprins[Ration]&amp;Règles_caprins[Aliment],0))="s1",IF($BX123=Spécificité1Caprins,1)),
INDEX(Règles_caprins[Specificite],MATCH(ChoixRationCaprins&amp;$BX123,Règles_caprins[Ration]&amp;Règles_caprins[Aliment],0))="c"),
INDEX(Règles_caprins[Valeur 0-3],MATCH(ChoixRationCaprins&amp;$BX123,Règles_caprins[Ration]&amp;Règles_caprins[Aliment],0)),0),0)*chevreau_0_3_mois*SUM(NbreJoursNourrirCaprins))</f>
        <v>0</v>
      </c>
      <c r="CC123" s="1075">
        <f t="shared" si="45"/>
        <v>0</v>
      </c>
      <c r="CD123" s="1345"/>
      <c r="CE123" s="1345"/>
      <c r="CF123" s="1345"/>
      <c r="CG123" s="1345"/>
      <c r="CH123" s="1321"/>
      <c r="CI123" s="1321"/>
      <c r="CJ123" s="1336"/>
      <c r="CK123" s="1336"/>
      <c r="CL123" s="1336"/>
      <c r="CM123" s="1336"/>
      <c r="CN123" s="1336"/>
      <c r="CO123" s="1336"/>
      <c r="CP123" s="1336"/>
      <c r="CQ123" s="1345"/>
      <c r="CR123" s="1321"/>
      <c r="CS123" s="808" t="str">
        <f t="shared" si="40"/>
        <v>Pulpe déshydratée de betterave</v>
      </c>
      <c r="CT123" s="817">
        <f t="array" ref="CT12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23" s="817">
        <f t="array" ref="CU12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23" s="817">
        <f t="array" ref="CV12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23" s="818">
        <f>SUM(AlimentsRationLapinsFemelles[[#This Row],[Valeur 3 et plus]:[Valeur 0-1]])</f>
        <v>0</v>
      </c>
      <c r="CX123" s="1321"/>
      <c r="CY123" s="1321"/>
      <c r="CZ123" s="808" t="str">
        <f t="shared" si="41"/>
        <v>Pulpe déshydratée de betterave</v>
      </c>
      <c r="DA123" s="817">
        <f t="array" ref="DA12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23" s="817">
        <f t="array" ref="DB12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23" s="817">
        <f t="array" ref="DC12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23" s="818">
        <f>SUM(AlimentsRationVolaillesFemelles[[#This Row],[Valeur 6 et plus]:[Valeur 0-1]])</f>
        <v>0</v>
      </c>
      <c r="DE123" s="1345"/>
      <c r="DF123" s="1321"/>
      <c r="DG123" s="788">
        <f t="shared" si="27"/>
        <v>0</v>
      </c>
      <c r="DH123" s="817">
        <f t="array" ref="DH12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23" s="817">
        <f t="array" ref="DI12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23" s="817">
        <f t="array" ref="DJ123">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23" s="821">
        <f>SUM(AlimentsRationPintadesFemelles[[#This Row],[Valeur 6 et plus]:[Valeur 0-1]])</f>
        <v>0</v>
      </c>
      <c r="DL123" s="1321"/>
      <c r="DM123" s="1321"/>
      <c r="DN123" s="1176" t="s">
        <v>837</v>
      </c>
      <c r="DO123" s="1177" t="s">
        <v>1273</v>
      </c>
      <c r="DP123" s="1177" t="s">
        <v>1252</v>
      </c>
      <c r="DQ123" s="1181">
        <v>1.2</v>
      </c>
      <c r="DR123" s="1181">
        <v>0.8</v>
      </c>
      <c r="DS123" s="1181">
        <v>0.6</v>
      </c>
      <c r="DT123" s="1243">
        <v>0.4</v>
      </c>
      <c r="DU123" s="1346"/>
      <c r="DV123" s="1321"/>
      <c r="DW123" s="1321"/>
      <c r="DX123" s="1321"/>
      <c r="DY123" s="1321"/>
      <c r="DZ123" s="1321"/>
      <c r="EA123" s="1321"/>
      <c r="EB123" s="1321"/>
      <c r="EC123" s="1321"/>
      <c r="ED123" s="1345"/>
      <c r="EE123" s="1345"/>
      <c r="EF123" s="1321"/>
      <c r="EG123" s="808" t="str">
        <f t="shared" si="31"/>
        <v>Sorgho ensilé</v>
      </c>
      <c r="EH123" s="817">
        <f t="array" ref="EH12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23" s="817">
        <f t="array" ref="EI12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23" s="817">
        <f t="array" ref="EJ12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23" s="818">
        <f>SUM(AlimentsRationOiesFemelles[[#This Row],[Valeur 6 et plus]:[Valeur 0-3]])</f>
        <v>0</v>
      </c>
      <c r="EL123" s="1345"/>
      <c r="EM123" s="1321"/>
      <c r="EN123" s="823" t="str">
        <f t="shared" si="29"/>
        <v>Tournesol</v>
      </c>
      <c r="EO123" s="828">
        <f t="array" ref="EO123">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23" s="828">
        <f t="array" ref="EP123">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23" s="828">
        <f t="array" ref="EQ123">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23" s="829">
        <f>SUM(Ration_canards_Femelles[[#This Row],[Valeur 6 et plus]:[Valeur 0-3]])</f>
        <v>0</v>
      </c>
      <c r="ES123" s="1345"/>
      <c r="ET123" s="1321"/>
      <c r="EU123" s="1083" t="str">
        <f t="shared" si="44"/>
        <v>Paille</v>
      </c>
      <c r="EV123" s="1283">
        <f t="array" ref="EV123">IF(OR(ChoixRationComplèteEtéChevauxSelle=OUI,ChoixRationComplèteEtéChevauxSelle="",AND(ChoixChevauxSellePréHiver=OUI,ChoixChevauxSellePréEté=OUI)),0,IFERROR(IF(OR(AND(INDEX(Règles_chevaux_selle[Specificite],MATCH(RationEtéChevauxSelle&amp;$EU123,Règles_chevaux_selle[Ration]&amp;Règles_chevaux_selle[Aliment],0))="s1",IF($EU123=Spécificité1ChevauxSelle,1)),
AND(INDEX(Règles_chevaux_selle[Specificite],MATCH(RationEtéChevauxSelle&amp;$EU123,Règles_chevaux_selle[Ration]&amp;Règles_chevaux_selle[Aliment],0))="s2",IF($EU123=Spécificité2ChevauxSelle,1)),
INDEX(Règles_chevaux_selle[Specificite],MATCH(RationEtéChevauxSelle&amp;$EU123,Règles_chevaux_selle[Ration]&amp;Règles_chevaux_selle[Aliment],0))="c"),
INDEX(Règles_chevaux_selle[Valeur 36 et plus],MATCH(RationEtéChevauxSelle&amp;$EU123,Règles_chevaux_selle[Ration]&amp;Règles_chevaux_selle[Aliment],0)),0),0)*TotalJumentSelle*SUM(NbreJoursNourrirChevauxSelle))</f>
        <v>0</v>
      </c>
      <c r="EW123" s="1283">
        <f t="array" ref="EW123">IF(OR(ChoixRationComplèteEtéChevauxSelle=OUI,ChoixRationComplèteEtéChevauxSelle="",AND(ChoixChevauxSellePréHiver=OUI,ChoixChevauxSellePréEté=OUI)),0,IFERROR(IF(OR(AND(INDEX(Règles_chevaux_selle[Specificite],MATCH(RationEtéChevauxSelle&amp;$EU123,Règles_chevaux_selle[Ration]&amp;Règles_chevaux_selle[Aliment],0))="s1",IF($EU123=Spécificité1ChevauxSelle,1)),
AND(INDEX(Règles_chevaux_selle[Specificite],MATCH(RationEtéChevauxSelle&amp;$EU123,Règles_chevaux_selle[Ration]&amp;Règles_chevaux_selle[Aliment],0))="s2",IF($EU123=Spécificité2ChevauxSelle,1)),
INDEX(Règles_chevaux_selle[Specificite],MATCH(RationEtéChevauxSelle&amp;$EU123,Règles_chevaux_selle[Ration]&amp;Règles_chevaux_selle[Aliment],0))="c"),
INDEX(Règles_chevaux_selle[Valeur 24-36],MATCH(RationEtéChevauxSelle&amp;$EU123,Règles_chevaux_selle[Ration]&amp;Règles_chevaux_selle[Aliment],0)),0),0)*TotalJeuneJumentSelle_24_36_mois*SUM(NbreJoursNourrirChevauxSelle))</f>
        <v>0</v>
      </c>
      <c r="EX123" s="1283">
        <f t="array" ref="EX123">IF(OR(ChoixRationComplèteEtéChevauxSelle=OUI,ChoixRationComplèteEtéChevauxSelle="",AND(ChoixChevauxSellePréHiver=OUI,ChoixChevauxSellePréEté=OUI)),0,IFERROR(IF(OR(AND(INDEX(Règles_chevaux_selle[Specificite],MATCH(RationEtéChevauxSelle&amp;$EU123,Règles_chevaux_selle[Ration]&amp;Règles_chevaux_selle[Aliment],0))="s1",IF($EU123=Spécificité1ChevauxSelle,1)),
AND(INDEX(Règles_chevaux_selle[Specificite],MATCH(RationEtéChevauxSelle&amp;$EU123,Règles_chevaux_selle[Ration]&amp;Règles_chevaux_selle[Aliment],0))="s2",IF($EU123=Spécificité2ChevauxSelle,1)),
INDEX(Règles_chevaux_selle[Specificite],MATCH(RationEtéChevauxSelle&amp;$EU123,Règles_chevaux_selle[Ration]&amp;Règles_chevaux_selle[Aliment],0))="c"),
INDEX(Règles_chevaux_selle[Valeur 12-24],MATCH(RationEtéChevauxSelle&amp;$EU123,Règles_chevaux_selle[Ration]&amp;Règles_chevaux_selle[Aliment],0)),0),0)*TotalJeuneJumentSelle_12_24_mois*SUM(NbreJoursNourrirChevauxSelle))</f>
        <v>0</v>
      </c>
      <c r="EY123" s="1286">
        <f t="array" ref="EY123">IF(OR(ChoixRationComplèteEtéChevauxSelle=OUI,ChoixRationComplèteEtéChevauxSelle="",AND(ChoixChevauxSellePréHiver=OUI,ChoixChevauxSellePréEté=OUI)),0,IFERROR(IF(OR(AND(INDEX(Règles_chevaux_selle[Specificite],MATCH(RationEtéChevauxSelle&amp;$EU123,Règles_chevaux_selle[Ration]&amp;Règles_chevaux_selle[Aliment],0))="s1",IF($EU123=Spécificité1ChevauxSelle,1)),
AND(INDEX(Règles_chevaux_selle[Specificite],MATCH(RationEtéChevauxSelle&amp;$EU123,Règles_chevaux_selle[Ration]&amp;Règles_chevaux_selle[Aliment],0))="s2",IF($EU123=Spécificité2ChevauxSelle,1)),
INDEX(Règles_chevaux_selle[Specificite],MATCH(RationEtéChevauxSelle&amp;$EU123,Règles_chevaux_selle[Ration]&amp;Règles_chevaux_selle[Aliment],0))="c"),
INDEX(Règles_chevaux_selle[Valeur 0-12],MATCH(RationEtéChevauxSelle&amp;$EU123,Règles_chevaux_selle[Ration]&amp;Règles_chevaux_selle[Aliment],0)),0),0)*TotalPoulicheSelle_0_12_mois*SUM(NbreJoursNourrirChevauxSelle))</f>
        <v>0</v>
      </c>
      <c r="EZ123" s="1286">
        <f t="shared" si="43"/>
        <v>0</v>
      </c>
      <c r="FA123" s="1345"/>
      <c r="FB123" s="1345"/>
      <c r="FC123" s="1321"/>
      <c r="FD123" s="1083" t="str">
        <f t="shared" si="34"/>
        <v>Soja</v>
      </c>
      <c r="FE123" s="1283">
        <f t="array" ref="FE123">IF(OR(ChoixRationComplèteEtéChevauxTrait=OUI,ChoixRationComplèteEtéChevauxTrait="",AND(ChoixChevauxTraitPréHiver=OUI,ChoixChevauxTraitPréEté=OUI)),0,IFERROR(IF(OR(AND(INDEX(Règles_chevaux_trait[Specificite],MATCH(RationEtéChevauxTrait&amp;$FD123,Règles_chevaux_trait[Ration]&amp;Règles_chevaux_trait[Aliment],0))="s1",IF($FD123=Spécificité1ChevauxTrait,1)),
AND(INDEX(Règles_chevaux_trait[Specificite],MATCH(RationEtéChevauxTrait&amp;$FD123,Règles_chevaux_trait[Ration]&amp;Règles_chevaux_trait[Aliment],0))="s2",IF($FD123=Spécificité2ChevauxTrait,1)),
INDEX(Règles_chevaux_trait[Specificite],MATCH(RationEtéChevauxTrait&amp;$FD123,Règles_chevaux_trait[Ration]&amp;Règles_chevaux_trait[Aliment],0))="c"),
INDEX(Règles_chevaux_trait[Valeur 36 et plus],MATCH(RationEtéChevauxTrait&amp;$FD123,Règles_chevaux_trait[Ration]&amp;Règles_chevaux_trait[Aliment],0)),0),0)*TotalJumentTrait*SUM(NbreJoursNourrirChevauxTrait))</f>
        <v>0</v>
      </c>
      <c r="FF123" s="1283">
        <f t="array" ref="FF123">IF(OR(ChoixRationComplèteEtéChevauxTrait=OUI,ChoixRationComplèteEtéChevauxTrait="",AND(ChoixChevauxTraitPréHiver=OUI,ChoixChevauxTraitPréEté=OUI)),0,IFERROR(IF(OR(AND(INDEX(Règles_chevaux_trait[Specificite],MATCH(RationEtéChevauxTrait&amp;$FD123,Règles_chevaux_trait[Ration]&amp;Règles_chevaux_trait[Aliment],0))="s1",IF($FD123=Spécificité1ChevauxTrait,1)),
AND(INDEX(Règles_chevaux_trait[Specificite],MATCH(RationEtéChevauxTrait&amp;$FD123,Règles_chevaux_trait[Ration]&amp;Règles_chevaux_trait[Aliment],0))="s2",IF($FD123=Spécificité2ChevauxTrait,1)),
INDEX(Règles_chevaux_trait[Specificite],MATCH(RationEtéChevauxTrait&amp;$FD123,Règles_chevaux_trait[Ration]&amp;Règles_chevaux_trait[Aliment],0))="c"),
INDEX(Règles_chevaux_trait[Valeur 24-36],MATCH(RationEtéChevauxTrait&amp;$FD123,Règles_chevaux_trait[Ration]&amp;Règles_chevaux_trait[Aliment],0)),0),0)*TotalJeuneJumentTrait_24_36_mois*SUM(NbreJoursNourrirChevauxTrait))</f>
        <v>0</v>
      </c>
      <c r="FG123" s="1283">
        <f t="array" ref="FG123">IF(OR(ChoixRationComplèteEtéChevauxTrait=OUI,ChoixRationComplèteEtéChevauxTrait="",AND(ChoixChevauxTraitPréHiver=OUI,ChoixChevauxTraitPréEté=OUI)),0,IFERROR(IF(OR(AND(INDEX(Règles_chevaux_trait[Specificite],MATCH(RationEtéChevauxTrait&amp;$FD123,Règles_chevaux_trait[Ration]&amp;Règles_chevaux_trait[Aliment],0))="s1",IF($FD123=Spécificité1ChevauxTrait,1)),
AND(INDEX(Règles_chevaux_trait[Specificite],MATCH(RationEtéChevauxTrait&amp;$FD123,Règles_chevaux_trait[Ration]&amp;Règles_chevaux_trait[Aliment],0))="s2",IF($FD123=Spécificité2ChevauxTrait,1)),
INDEX(Règles_chevaux_trait[Specificite],MATCH(RationEtéChevauxTrait&amp;$FD123,Règles_chevaux_trait[Ration]&amp;Règles_chevaux_trait[Aliment],0))="c"),
INDEX(Règles_chevaux_trait[Valeur 12-24],MATCH(RationEtéChevauxTrait&amp;$FD123,Règles_chevaux_trait[Ration]&amp;Règles_chevaux_trait[Aliment],0)),0),0)*TotalJeuneJumentTrait_12_24_mois*SUM(NbreJoursNourrirChevauxTrait))</f>
        <v>0</v>
      </c>
      <c r="FH123" s="1286">
        <f t="array" ref="FH123">IF(OR(ChoixRationComplèteEtéChevauxTrait=OUI,ChoixRationComplèteEtéChevauxTrait="",AND(ChoixChevauxTraitPréHiver=OUI,ChoixChevauxTraitPréEté=OUI)),0,IFERROR(IF(OR(AND(INDEX(Règles_chevaux_trait[Specificite],MATCH(RationEtéChevauxTrait&amp;$FD123,Règles_chevaux_trait[Ration]&amp;Règles_chevaux_trait[Aliment],0))="s1",IF($FD123=Spécificité1ChevauxTrait,1)),
AND(INDEX(Règles_chevaux_trait[Specificite],MATCH(RationEtéChevauxTrait&amp;$FD123,Règles_chevaux_trait[Ration]&amp;Règles_chevaux_trait[Aliment],0))="s2",IF($FD123=Spécificité2ChevauxTrait,1)),
INDEX(Règles_chevaux_trait[Specificite],MATCH(RationEtéChevauxTrait&amp;$FD123,Règles_chevaux_trait[Ration]&amp;Règles_chevaux_trait[Aliment],0))="c"),
INDEX(Règles_chevaux_trait[Valeur 0-12],MATCH(RationEtéChevauxTrait&amp;$FD123,Règles_chevaux_trait[Ration]&amp;Règles_chevaux_trait[Aliment],0)),0),0)*TotalPoulicheTrait_0_12_mois*SUM(NbreJoursNourrirChevauxTrait))</f>
        <v>0</v>
      </c>
      <c r="FI123" s="1286">
        <f t="shared" si="32"/>
        <v>0</v>
      </c>
      <c r="FJ123" s="1345"/>
      <c r="FK123" s="1345"/>
      <c r="FL123" s="1345"/>
      <c r="FM123" s="1321"/>
      <c r="FN123" s="1082" t="str">
        <f t="shared" si="33"/>
        <v>Sorgho ensilé</v>
      </c>
      <c r="FO123" s="1282">
        <f t="array" ref="FO123">IF(OR(ChoixRationComplèteEtéPoneys=OUI,ChoixRationComplèteEtéPoneys="",AND(ChoixPoneysPréHiver=OUI,ChoixPoneysPréEté=OUI)),0,IFERROR(IF(OR(AND(INDEX(Règles_poneys[Specificite],MATCH(RationEtéPoneys&amp;$FN123,Règles_poneys[Ration]&amp;Règles_poneys[Aliment],0))="s1",IF($FN123=Spécificité1Poneys,1)),
AND(INDEX(Règles_poneys[Specificite],MATCH(RationEtéPoneys&amp;$FN123,Règles_poneys[Ration]&amp;Règles_poneys[Aliment],0))="s2",IF($FN123=Spécificité2Poneys,1)),
INDEX(Règles_poneys[Specificite],MATCH(RationEtéPoneys&amp;$FN123,Règles_poneys[Ration]&amp;Règles_poneys[Aliment],0))="c"),
INDEX(Règles_poneys[Valeur 36 et plus],MATCH(RationEtéPoneys&amp;$FN123,Règles_poneys[Ration]&amp;Règles_poneys[Aliment],0)),0),0)*TotalJumentPoney*SUM(NbreJoursNourrirPoneys))</f>
        <v>0</v>
      </c>
      <c r="FP123" s="1282">
        <f t="array" ref="FP123">IF(OR(ChoixRationComplèteEtéPoneys=OUI,ChoixRationComplèteEtéPoneys="",AND(ChoixPoneysPréHiver=OUI,ChoixPoneysPréEté=OUI)),0,IFERROR(IF(OR(AND(INDEX(Règles_poneys[Specificite],MATCH(RationEtéPoneys&amp;$FN123,Règles_poneys[Ration]&amp;Règles_poneys[Aliment],0))="s1",IF($FN123=Spécificité1Poneys,1)),
AND(INDEX(Règles_poneys[Specificite],MATCH(RationEtéPoneys&amp;$FN123,Règles_poneys[Ration]&amp;Règles_poneys[Aliment],0))="s2",IF($FN123=Spécificité2Poneys,1)),
INDEX(Règles_poneys[Specificite],MATCH(RationEtéPoneys&amp;$FN123,Règles_poneys[Ration]&amp;Règles_poneys[Aliment],0))="c"),
INDEX(Règles_poneys[Valeur 36 et plus],MATCH(RationEtéPoneys&amp;$FN123,Règles_poneys[Ration]&amp;Règles_poneys[Aliment],0)),0),0)*TotalJeuneJumentPoney_24_36_mois*SUM(NbreJoursNourrirPoneys))</f>
        <v>0</v>
      </c>
      <c r="FQ123" s="1282">
        <f t="array" ref="FQ123">IF(OR(ChoixRationComplèteEtéPoneys=OUI,ChoixRationComplèteEtéPoneys="",AND(ChoixPoneysPréHiver=OUI,ChoixPoneysPréEté=OUI)),0,IFERROR(IF(OR(AND(INDEX(Règles_poneys[Specificite],MATCH(RationEtéPoneys&amp;$FN123,Règles_poneys[Ration]&amp;Règles_poneys[Aliment],0))="s1",IF($FN123=Spécificité1Poneys,1)),
AND(INDEX(Règles_poneys[Specificite],MATCH(RationEtéPoneys&amp;$FN123,Règles_poneys[Ration]&amp;Règles_poneys[Aliment],0))="s2",IF($FN123=Spécificité2Poneys,1)),
INDEX(Règles_poneys[Specificite],MATCH(RationEtéPoneys&amp;$FN123,Règles_poneys[Ration]&amp;Règles_poneys[Aliment],0))="c"),
INDEX(Règles_poneys[Valeur 36 et plus],MATCH(RationEtéPoneys&amp;$FN123,Règles_poneys[Ration]&amp;Règles_poneys[Aliment],0)),0),0)*TotalJeuneJumentPoney_12_24_mois*SUM(NbreJoursNourrirPoneys))</f>
        <v>0</v>
      </c>
      <c r="FR123" s="1285">
        <f t="array" ref="FR123">IF(OR(ChoixRationComplèteEtéPoneys=OUI,ChoixRationComplèteEtéPoneys="",AND(ChoixPoneysPréHiver=OUI,ChoixPoneysPréEté=OUI)),0,IFERROR(IF(OR(AND(INDEX(Règles_poneys[Specificite],MATCH(RationEtéPoneys&amp;$FN123,Règles_poneys[Ration]&amp;Règles_poneys[Aliment],0))="s1",IF($FN123=Spécificité1Poneys,1)),
AND(INDEX(Règles_poneys[Specificite],MATCH(RationEtéPoneys&amp;$FN123,Règles_poneys[Ration]&amp;Règles_poneys[Aliment],0))="s2",IF($FN123=Spécificité2Poneys,1)),
INDEX(Règles_poneys[Specificite],MATCH(RationEtéPoneys&amp;$FN123,Règles_poneys[Ration]&amp;Règles_poneys[Aliment],0))="c"),
INDEX(Règles_poneys[Valeur 36 et plus],MATCH(RationEtéPoneys&amp;$FN123,Règles_poneys[Ration]&amp;Règles_poneys[Aliment],0)),0),0)*TotalPoulichePoney_0_12_mois*SUM(NbreJoursNourrirPoneys))</f>
        <v>0</v>
      </c>
      <c r="FS123" s="1285">
        <f t="shared" si="30"/>
        <v>0</v>
      </c>
      <c r="FT123" s="1345"/>
      <c r="FU123" s="1345"/>
      <c r="FV123" s="1345"/>
      <c r="FW123" s="823">
        <f t="shared" si="28"/>
        <v>0</v>
      </c>
      <c r="FX123" s="828">
        <f t="array" ref="FX12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23" s="828">
        <f t="array" ref="FY12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23" s="828">
        <f t="array" ref="FZ12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23" s="828">
        <f t="array" ref="GA123">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23" s="829">
        <f>SUM(AlimentsGavageCanards[[#This Row],[Valeur 3 et plus]:[Valeur 0-1]])</f>
        <v>0</v>
      </c>
      <c r="GC123" s="1321"/>
      <c r="GD123" s="1321"/>
      <c r="GE123" s="1321"/>
      <c r="GF123" s="1321"/>
      <c r="GG123" s="1321" t="s">
        <v>1349</v>
      </c>
      <c r="GH123" s="1321" t="s">
        <v>1349</v>
      </c>
      <c r="GI123" s="1321" t="s">
        <v>1349</v>
      </c>
      <c r="GJ123" s="1321" t="s">
        <v>1349</v>
      </c>
      <c r="GK123" s="1321" t="s">
        <v>1349</v>
      </c>
      <c r="GL123" s="1321" t="s">
        <v>1349</v>
      </c>
      <c r="GM123" s="1321" t="s">
        <v>1349</v>
      </c>
      <c r="GN123" s="1321" t="s">
        <v>1349</v>
      </c>
      <c r="GO123" s="1321" t="s">
        <v>1349</v>
      </c>
      <c r="GP123" s="1321" t="s">
        <v>1349</v>
      </c>
      <c r="GQ123" s="1321" t="s">
        <v>1349</v>
      </c>
      <c r="GR123" s="1321" t="s">
        <v>1349</v>
      </c>
      <c r="GS123" s="1321" t="s">
        <v>1349</v>
      </c>
      <c r="GT123" s="1321" t="s">
        <v>1349</v>
      </c>
      <c r="GU123" s="1321" t="s">
        <v>1349</v>
      </c>
      <c r="GV123" s="1321" t="s">
        <v>1349</v>
      </c>
      <c r="GW123" s="1321"/>
      <c r="GX123" s="1321"/>
      <c r="GY123" s="1321"/>
      <c r="GZ123" s="1321"/>
      <c r="HA123" s="1321"/>
      <c r="HB123" s="1321"/>
      <c r="HC123" s="1321"/>
      <c r="HD123" s="1321"/>
      <c r="HE123" s="1321"/>
      <c r="HF123" s="1321"/>
      <c r="HG123" s="1321"/>
      <c r="HH123" s="1321"/>
      <c r="HI123" s="1321"/>
      <c r="HJ123" s="1321"/>
      <c r="HK123" s="1321"/>
      <c r="HL123" s="1321"/>
      <c r="HM123" s="1321"/>
      <c r="HN123" s="1082" t="s">
        <v>500</v>
      </c>
      <c r="HO123" s="1085" t="e">
        <f>IF(SUM((VLOOKUP(HN123,AlimentsRationBovinsMâles,9,FALSE)+VLOOKUP(HN123,AlimentsRationBovinsFemelles,9,FALSE)+VLOOKUP(HN123,BDD!BB$284:BJ$323,9,FALSE))/1000/SUM(NbreJoursNourrirBovins)*IF('semences, engrais et traitement'!I$16=OUI,42,84))&lt;0,0,SUM((VLOOKUP(HN123,AlimentsRationBovinsMâles,9,FALSE)+VLOOKUP(HN123,AlimentsRationBovinsFemelles,9,FALSE)+VLOOKUP(HN123,BDD!BB$284:BJ$323,9,FALSE))/1000/SUM(NbreJoursNourrirBovins)*IF('semences, engrais et traitement'!I$16=OUI,42,84)))</f>
        <v>#DIV/0!</v>
      </c>
      <c r="HP123" s="1085">
        <f t="shared" si="36"/>
        <v>0</v>
      </c>
      <c r="HQ123" s="1085" t="e">
        <f>IF(SUM(VLOOKUP(HN123,AlimentsRationPorcinsMâles[],7,FALSE)+VLOOKUP(HN123,AlimentsRationPorcinsFemelles[],7,FALSE))/1000/SUM(NbreJoursNourrirAutres)*84&lt;0,0,SUM(VLOOKUP(HN123,AlimentsRationPorcinsMâles[],7,FALSE)+VLOOKUP(HN123,AlimentsRationPorcinsFemelles[],7,FALSE)/1000/SUM(NbreJoursNourrirAutres)*84))</f>
        <v>#DIV/0!</v>
      </c>
      <c r="HR123" s="1085" t="e">
        <f>IF(SUM(VLOOKUP(HN123,AlimentsRationCaprinsMâles,6,FALSE)+VLOOKUP(HN123,AlimentsRationCaprinsFemelles,6,FALSE))/1000/SUM(NbreJoursNourrirCaprins)*IF('semences, engrais et traitement'!I$17=OUI,42,84)&lt;0,0,SUM(VLOOKUP(HN123,AlimentsRationCaprinsMâles,6,FALSE)+VLOOKUP(HN123,AlimentsRationCaprinsFemelles,6,FALSE))/1000/SUM(NbreJoursNourrirCaprins)*IF('semences, engrais et traitement'!I$17=OUI,42,84))</f>
        <v>#DIV/0!</v>
      </c>
      <c r="HS123" s="1085" t="e">
        <f>IF(SUM(VLOOKUP(HN123,AlimentsRationVolaillesMâles[],5,FALSE)+VLOOKUP(HN123,AlimentsRationVolaillesFemelles[],5,FALSE))/1000/SUM(NbreJoursNourrirAutres)*84&lt;0,0,SUM(VLOOKUP(HN123,AlimentsRationVolaillesMâles[],5,FALSE)+VLOOKUP(HN123,AlimentsRationVolaillesFemelles[],5,FALSE)/1000/SUM(NbreJoursNourrirAutres)*84))</f>
        <v>#DIV/0!</v>
      </c>
      <c r="HT123" s="1085" t="e">
        <f>IF(SUM(VLOOKUP(HN123,AlimentsRationPintadesMâles[],5,FALSE)+VLOOKUP(HN123,AlimentsRationPintadesFemelles[],5,FALSE))/1000/SUM(NbreJoursNourrirAutres)*84&lt;0,0,SUM(VLOOKUP(HN123,AlimentsRationPintadesMâles[],5,FALSE)+VLOOKUP(HN123,AlimentsRationPintadesFemelles[],5,FALSE)/1000/SUM(NbreJoursNourrirAutres)*84))</f>
        <v>#DIV/0!</v>
      </c>
      <c r="HU123" s="1085" t="e">
        <f>IF(SUM(VLOOKUP(HN123,AlimentsRationLapinsMâles[],5,FALSE)+VLOOKUP(HN123,AlimentsRationLapinsFemelles[],5,FALSE))/1000/SUM(NbreJoursNourrirAutres)*84&lt;0,0,SUM(VLOOKUP(HN123,AlimentsRationLapinsMâles[],5,FALSE)+VLOOKUP(HN123,AlimentsRationLapinsFemelles[],5,FALSE)/1000/SUM(NbreJoursNourrirAutres)*84))</f>
        <v>#DIV/0!</v>
      </c>
      <c r="HV123" s="1085" t="e">
        <f>IF(SUM(VLOOKUP(HN123,AlimentsRationOvinsMâles,6,FALSE)+VLOOKUP(HN123,AlimentsRationOvinsFemelles,6,FALSE))/1000/SUM(NbreJoursNourrirOvins)*IF('semences, engrais et traitement'!I$18=OUI,42,84)&lt;0,0,SUM(VLOOKUP(HN123,AlimentsRationOvinsMâles,6,FALSE)+VLOOKUP(HN123,AlimentsRationOvinsFemelles,6,FALSE))/1000/SUM(NbreJoursNourrirOvins)*IF('semences, engrais et traitement'!I$18=OUI,42,84))</f>
        <v>#DIV/0!</v>
      </c>
      <c r="HW123" s="1085" t="e">
        <f>IF(SUM(VLOOKUP(HN123,AlimentsRationOiesMâles[],5,FALSE)+VLOOKUP(HN123,AlimentsRationOiesFemelles[],5,FALSE))/1000/SUM(NbreJoursNourrirAutres)*84&lt;0,0,SUM(VLOOKUP(HN123,AlimentsRationOiesMâles[],5,FALSE)+VLOOKUP(HN123,AlimentsRationOiesFemelles[],5,FALSE)/1000/SUM(NbreJoursNourrirAutres)*84))</f>
        <v>#DIV/0!</v>
      </c>
      <c r="HX123" s="1085" t="e">
        <f t="shared" si="48"/>
        <v>#DIV/0!</v>
      </c>
      <c r="HY123" s="1085" t="e">
        <f>IF(SUM(VLOOKUP(HN123,AlimentsRationEcurieChevauxMâlesSelle,6,FALSE)+VLOOKUP(HN123,AlimentsRationEcurieChevauxFemellesSelle,6,FALSE))/1000/SUM(NbreJoursNourrirChevauxSelle)*IF('semences, engrais et traitement'!M$16=OUI,56,84)&lt;0,0,SUM(VLOOKUP(HN123,AlimentsRationEcurieChevauxMâlesSelle,6,FALSE)+VLOOKUP(HN123,AlimentsRationEcurieChevauxFemellesSelle,6,FALSE))/1000/SUM(NbreJoursNourrirChevauxSelle)*IF('semences, engrais et traitement'!M$16=OUI,56,84))</f>
        <v>#DIV/0!</v>
      </c>
      <c r="HZ123" s="1085" t="e">
        <f>IF(SUM(VLOOKUP(HN123,AlimentsRationEcurieChevauxMâlesTrait,6,FALSE)+VLOOKUP(HN123,AlimentsRationEcurieChevauxFemellesTrait,6,FALSE))/1000/SUM(NbreJoursNourrirChevauxTrait)*IF('semences, engrais et traitement'!M$17=OUI,56,84)&lt;0,0,SUM(VLOOKUP(HN123,AlimentsRationEcurieChevauxMâlesTrait,6,FALSE)+VLOOKUP(HN123,AlimentsRationEcurieChevauxFemellesTrait,6,FALSE))/1000/SUM(NbreJoursNourrirChevauxTrait)*IF('semences, engrais et traitement'!M$17=OUI,56,84))</f>
        <v>#DIV/0!</v>
      </c>
      <c r="IA123" s="1085" t="e">
        <f>IF(SUM(VLOOKUP(HN123,AlimentsRationEcuriePoneysMâles,6,FALSE)+VLOOKUP(HN123,AlimentsRationEcuriePoneysFemelles,6,FALSE))/1000/SUM(NbreJoursNourrirPoneys)*IF('semences, engrais et traitement'!M$18=OUI,56,84)&lt;0,0,SUM(VLOOKUP(HN123,AlimentsRationEcuriePoneysMâles,6,FALSE)+VLOOKUP(HN123,AlimentsRationEcuriePoneysFemelles,6,FALSE))/1000/SUM(NbreJoursNourrirPoneys)*IF('semences, engrais et traitement'!M$18=OUI,56,84))</f>
        <v>#DIV/0!</v>
      </c>
      <c r="IB123" s="1099" t="e">
        <f t="shared" si="38"/>
        <v>#DIV/0!</v>
      </c>
      <c r="IC123" s="1321"/>
      <c r="ID123" s="1321"/>
      <c r="IE123" s="1321"/>
      <c r="IF123" s="1321"/>
      <c r="IG123" s="1321"/>
      <c r="IH123" s="1321"/>
      <c r="II123" s="1321"/>
      <c r="IJ123" s="1321"/>
      <c r="IK123" s="1321"/>
      <c r="IL123" s="1321"/>
      <c r="IM123" s="1321"/>
      <c r="IN123" s="1368"/>
    </row>
    <row r="124" spans="1:248" ht="12.75" customHeight="1" x14ac:dyDescent="0.2">
      <c r="A124" s="1307" t="s">
        <v>504</v>
      </c>
      <c r="B124" s="1241">
        <f t="shared" si="39"/>
        <v>1E-3</v>
      </c>
      <c r="C124" s="1321"/>
      <c r="D124" s="1321"/>
      <c r="E124" s="1321"/>
      <c r="F124" s="1321"/>
      <c r="G124" s="1321"/>
      <c r="H124" s="1321"/>
      <c r="I124" s="1321"/>
      <c r="J124" s="1321"/>
      <c r="K124" s="1321"/>
      <c r="L124" s="1321"/>
      <c r="M124" s="1321"/>
      <c r="N124" s="1321"/>
      <c r="O124" s="1321"/>
      <c r="P124" s="1321"/>
      <c r="Q124" s="1321"/>
      <c r="R124" s="1321"/>
      <c r="S124" s="1321"/>
      <c r="T124" s="1321"/>
      <c r="U124" s="1321"/>
      <c r="V124" s="1321"/>
      <c r="W124" s="1321"/>
      <c r="X124" s="1321"/>
      <c r="Y124" s="1321"/>
      <c r="Z124" s="1321"/>
      <c r="AA124" s="1321"/>
      <c r="AB124" s="1321"/>
      <c r="AC124" s="1321"/>
      <c r="AD124" s="1321"/>
      <c r="AE124" s="1321"/>
      <c r="AF124" s="1321"/>
      <c r="AG124" s="1321"/>
      <c r="AH124" s="1321"/>
      <c r="AI124" s="1321"/>
      <c r="AJ124" s="1321"/>
      <c r="AK124" s="1321"/>
      <c r="AL124" s="1321"/>
      <c r="AM124" s="1321"/>
      <c r="AN124" s="1321"/>
      <c r="AO124" s="1321"/>
      <c r="AP124" s="1321"/>
      <c r="AQ124" s="1321"/>
      <c r="AR124" s="1321"/>
      <c r="AS124" s="1321"/>
      <c r="AT124" s="1321"/>
      <c r="AU124" s="1321"/>
      <c r="AV124" s="1321"/>
      <c r="AW124" s="1321"/>
      <c r="AX124" s="1321"/>
      <c r="AY124" s="1321"/>
      <c r="AZ124" s="1321"/>
      <c r="BA124" s="1321"/>
      <c r="BB124" s="1236" t="s">
        <v>731</v>
      </c>
      <c r="BC124" s="1190" t="s">
        <v>672</v>
      </c>
      <c r="BD124" s="1190" t="s">
        <v>1253</v>
      </c>
      <c r="BE124" s="1237">
        <v>7.2</v>
      </c>
      <c r="BF124" s="1237">
        <v>6</v>
      </c>
      <c r="BG124" s="1237">
        <v>4</v>
      </c>
      <c r="BH124" s="1237">
        <v>2</v>
      </c>
      <c r="BI124" s="1237">
        <v>1.2</v>
      </c>
      <c r="BJ124" s="1237">
        <v>0.6</v>
      </c>
      <c r="BK124" s="1238">
        <v>0</v>
      </c>
      <c r="BL124" s="1348"/>
      <c r="BM124" s="1076" t="str">
        <f t="shared" si="47"/>
        <v>Ensilage d'herbe</v>
      </c>
      <c r="BN124" s="1267">
        <f t="array" ref="BN124">SUM((IF(QualitéAlimentsBisonneauxMâles_0_3_mois=BONNE,VLOOKUP("ensilage d'herbe",AlimentsRationHivernaleBisonsMâles,8,FALSE),0)+(IF(QualitéAlimentsBisonneauxFemelles_0_3_mois=BONNE,VLOOKUP("ensilage d'herbe",AlimentsRationHivernaleBisonsFemelles,8,FALSE),0)+(IF(QualitéAlimentsBisonneauxMâles_3_6_mois=BONNE,VLOOKUP("ensilage d'herbe",AlimentsRationHivernaleBisonsMâles,7,FALSE),0)+(IF(QualitéAlimentsBisonneauxFemelles_3_6_mois=BONNE,VLOOKUP("ensilage d'herbe",AlimentsRationHivernaleBisonsFemelles,7,FALSE),0)+(IF(QualitéAlimentsBisonneauxMâles_6_12_mois=BONNE,VLOOKUP("ensilage d'herbe",AlimentsRationHivernaleBisonsMâles,6,FALSE),0)+(IF(QualitéAlimentsBisonneauxFemelles_6_12_mois=BONNE,VLOOKUP("ensilage d'herbe",AlimentsRationHivernaleBisonsFemelles,6,FALSE),0)+(IF(QualitéAlimentsJeunesBisons_12_18_mois=BONNE,VLOOKUP("ensilage d'herbe",AlimentsRationHivernaleBisonsMâles,5,FALSE),0)+(IF(QualitéAlimentsJeunesBisonnes_12_18_mois=BONNE,VLOOKUP("ensilage d'herbe",AlimentsRationHivernaleBisonsFemelles,5,FALSE),0)+(IF(QualitéAlimentsJeunesBisons_18_24_mois=BONNE,VLOOKUP("ensilage d'herbe",AlimentsRationHivernaleBisonsMâles,4,FALSE),0)+(IF(QualitéAlimentsJeunesBisonnes_18_24_mois=BONNE,VLOOKUP("ensilage d'herbe",AlimentsRationHivernaleBisonsFemelles,4,FALSE),0)+(IF(QualitéAlimentsJeunesBisons_24_36_mois=BONNE,VLOOKUP("ensilage d'herbe",AlimentsRationHivernaleBisonsMâles,3,FALSE),0)+(IF(QualitéAlimentsJeunesBisonnes_24_36_mois=BONNE,VLOOKUP("ensilage d'herbe",AlimentsRationHivernaleBisonsFemelles,3,FALSE),0)+(IF(QualitéAlimentsBisons=BONNE,VLOOKUP("ensilage d'herbe",AlimentsRationHivernaleBisonsMâles,2,FALSE),0)+(IF(QualitéAlimentsBisonnes=BONNE,VLOOKUP("ensilage d'herbe",AlimentsRationHivernaleBisonsFemelles,2,FALSE),0))))))))))))))))</f>
        <v>0</v>
      </c>
      <c r="BO124" s="1267">
        <f t="array" ref="BO124">SUM((IF(QualitéAlimentsBisonneauxMâles_0_3_mois=MOYENNE,VLOOKUP("ensilage d'herbe",AlimentsRationHivernaleBisonsMâles,8,FALSE),0)+(IF(QualitéAlimentsBisonneauxFemelles_0_3_mois=MOYENNE,VLOOKUP("ensilage d'herbe",AlimentsRationHivernaleBisonsFemelles,8,FALSE),0)+(IF(QualitéAlimentsBisonneauxMâles_3_6_mois=MOYENNE,VLOOKUP("ensilage d'herbe",AlimentsRationHivernaleBisonsMâles,7,FALSE),0)+(IF(QualitéAlimentsBisonneauxFemelles_3_6_mois=MOYENNE,VLOOKUP("ensilage d'herbe",AlimentsRationHivernaleBisonsFemelles,7,FALSE),0)+(IF(QualitéAlimentsBisonneauxMâles_6_12_mois=MOYENNE,VLOOKUP("ensilage d'herbe",AlimentsRationHivernaleBisonsMâles,6,FALSE),0)+(IF(QualitéAlimentsBisonneauxFemelles_6_12_mois=MOYENNE,VLOOKUP("ensilage d'herbe",AlimentsRationHivernaleBisonsFemelles,6,FALSE),0)+(IF(QualitéAlimentsJeunesBisons_12_18_mois=MOYENNE,VLOOKUP("ensilage d'herbe",AlimentsRationHivernaleBisonsMâles,5,FALSE),0)+(IF(QualitéAlimentsJeunesBisonnes_12_18_mois=MOYENNE,VLOOKUP("ensilage d'herbe",AlimentsRationHivernaleBisonsFemelles,5,FALSE),0)+(IF(QualitéAlimentsJeunesBisons_18_24_mois=MOYENNE,VLOOKUP("ensilage d'herbe",AlimentsRationHivernaleBisonsMâles,4,FALSE),0)+(IF(QualitéAlimentsJeunesBisonnes_18_24_mois=MOYENNE,VLOOKUP("ensilage d'herbe",AlimentsRationHivernaleBisonsFemelles,4,FALSE),0)+(IF(QualitéAlimentsJeunesBisons_24_36_mois=MOYENNE,VLOOKUP("ensilage d'herbe",AlimentsRationHivernaleBisonsMâles,3,FALSE),0)+(IF(QualitéAlimentsJeunesBisonnes_24_36_mois=MOYENNE,VLOOKUP("ensilage d'herbe",AlimentsRationHivernaleBisonsFemelles,3,FALSE),0)+(IF(QualitéAlimentsBisons=MOYENNE,VLOOKUP("ensilage d'herbe",AlimentsRationHivernaleBisonsMâles,2,FALSE),0)+(IF(QualitéAlimentsBisonnes=MOYENNE,VLOOKUP("ensilage d'herbe",AlimentsRationHivernaleBisonsFemelles,2,FALSE),0))))))))))))))))</f>
        <v>0</v>
      </c>
      <c r="BP124" s="1267">
        <f t="array" ref="BP124">SUM((IF(QualitéAlimentsBisonneauxMâles_0_3_mois=MAUVAISE,VLOOKUP("ensilage d'herbe",AlimentsRationHivernaleBisonsMâles,8,FALSE),0)+(IF(QualitéAlimentsBisonneauxFemelles_0_3_mois=MAUVAISE,VLOOKUP("ensilage d'herbe",AlimentsRationHivernaleBisonsFemelles,8,FALSE),0)+(IF(QualitéAlimentsBisonneauxMâles_3_6_mois=MAUVAISE,VLOOKUP("ensilage d'herbe",AlimentsRationHivernaleBisonsMâles,7,FALSE),0)+(IF(QualitéAlimentsBisonneauxFemelles_3_6_mois=MAUVAISE,VLOOKUP("ensilage d'herbe",AlimentsRationHivernaleBisonsFemelles,7,FALSE),0)+(IF(QualitéAlimentsBisonneauxMâles_6_12_mois=MAUVAISE,VLOOKUP("ensilage d'herbe",AlimentsRationHivernaleBisonsMâles,6,FALSE),0)+(IF(QualitéAlimentsBisonneauxFemelles_6_12_mois=MAUVAISE,VLOOKUP("ensilage d'herbe",AlimentsRationHivernaleBisonsFemelles,6,FALSE),0)+(IF(QualitéAlimentsJeunesBisons_12_18_mois=MAUVAISE,VLOOKUP("ensilage d'herbe",AlimentsRationHivernaleBisonsMâles,5,FALSE),0)+(IF(QualitéAlimentsJeunesBisonnes_12_18_mois=MAUVAISE,VLOOKUP("ensilage d'herbe",AlimentsRationHivernaleBisonsFemelles,5,FALSE),0)+(IF(QualitéAlimentsJeunesBisons_18_24_mois=MAUVAISE,VLOOKUP("ensilage d'herbe",AlimentsRationHivernaleBisonsMâles,4,FALSE),0)+(IF(QualitéAlimentsJeunesBisonnes_18_24_mois=MAUVAISE,VLOOKUP("ensilage d'herbe",AlimentsRationHivernaleBisonsFemelles,4,FALSE),0)+(IF(QualitéAlimentsJeunesBisons_24_36_mois=MAUVAISE,VLOOKUP("ensilage d'herbe",AlimentsRationHivernaleBisonsMâles,3,FALSE),0)+(IF(QualitéAlimentsJeunesBisonnes_24_36_mois=MAUVAISE,VLOOKUP("ensilage d'herbe",AlimentsRationHivernaleBisonsFemelles,3,FALSE),0)+(IF(QualitéAlimentsBisons=MAUVAISE,VLOOKUP("ensilage d'herbe",AlimentsRationHivernaleBisonsMâles,2,FALSE),0)+(IF(QualitéAlimentsBisonnes=MAUVAISE,VLOOKUP("ensilage d'herbe",AlimentsRationHivernaleBisonsFemelles,2,FALSE),0))))))))))))))))</f>
        <v>0</v>
      </c>
      <c r="BQ124" s="1346"/>
      <c r="BR124" s="1346"/>
      <c r="BS124" s="1346"/>
      <c r="BT124" s="1346"/>
      <c r="BU124" s="1346"/>
      <c r="BV124" s="1345"/>
      <c r="BW124" s="1345"/>
      <c r="BX124" s="1076" t="s">
        <v>339</v>
      </c>
      <c r="BY124" s="1076">
        <f t="array" ref="BY124">IF(ChoixRationComplèteCaprins=OUI,0,IFERROR(IF(OR(AND(INDEX(Règles_caprins[Specificite],MATCH(ChoixRationCaprins&amp;$BX124,Règles_caprins[Ration]&amp;Règles_caprins[Aliment],0))="s1",IF($BX124=Spécificité1Caprins,1)),
INDEX(Règles_caprins[Specificite],MATCH(ChoixRationCaprins&amp;$BX124,Règles_caprins[Ration]&amp;Règles_caprins[Aliment],0))="c"),
INDEX(Règles_caprins[Valeur 12 et plus],MATCH(ChoixRationCaprins&amp;$BX124,Règles_caprins[Ration]&amp;Règles_caprins[Aliment],0)),0),0)*TotalBoucs*SUM(NbreJoursNourrirCaprins))</f>
        <v>0</v>
      </c>
      <c r="BZ124" s="1076">
        <f t="array" ref="BZ124">IF(ChoixRationComplèteCaprins=OUI,0,IFERROR(IF(OR(AND(INDEX(Règles_caprins[Specificite],MATCH(ChoixRationCaprins&amp;$BX124,Règles_caprins[Ration]&amp;Règles_caprins[Aliment],0))="s1",IF($BX124=Spécificité1Caprins,1)),
INDEX(Règles_caprins[Specificite],MATCH(ChoixRationCaprins&amp;$BX124,Règles_caprins[Ration]&amp;Règles_caprins[Aliment],0))="c"),
INDEX(Règles_caprins[Valeur 6-12],MATCH(ChoixRationCaprins&amp;$BX124,Règles_caprins[Ration]&amp;Règles_caprins[Aliment],0)),0),0)*jeune_bouc_6_12_mois*SUM(NbreJoursNourrirCaprins))</f>
        <v>0</v>
      </c>
      <c r="CA124" s="1076">
        <f t="array" ref="CA124">IF(ChoixRationComplèteCaprins=OUI,0,IFERROR(IF(OR(AND(INDEX(Règles_caprins[Specificite],MATCH(ChoixRationCaprins&amp;$BX124,Règles_caprins[Ration]&amp;Règles_caprins[Aliment],0))="s1",IF($BX124=Spécificité1Caprins,1)),
INDEX(Règles_caprins[Specificite],MATCH(ChoixRationCaprins&amp;$BX124,Règles_caprins[Ration]&amp;Règles_caprins[Aliment],0))="c"),
INDEX(Règles_caprins[Valeur 3-6],MATCH(ChoixRationCaprins&amp;$BX124,Règles_caprins[Ration]&amp;Règles_caprins[Aliment],0)),0),0)*chevreau_3_6_mois*SUM(NbreJoursNourrirCaprins))</f>
        <v>0</v>
      </c>
      <c r="CB124" s="1076">
        <f t="array" ref="CB124">IF(ChoixRationComplèteCaprins=OUI,0,IFERROR(IF(OR(AND(INDEX(Règles_caprins[Specificite],MATCH(ChoixRationCaprins&amp;$BX124,Règles_caprins[Ration]&amp;Règles_caprins[Aliment],0))="s1",IF($BX124=Spécificité1Caprins,1)),
INDEX(Règles_caprins[Specificite],MATCH(ChoixRationCaprins&amp;$BX124,Règles_caprins[Ration]&amp;Règles_caprins[Aliment],0))="c"),
INDEX(Règles_caprins[Valeur 0-3],MATCH(ChoixRationCaprins&amp;$BX124,Règles_caprins[Ration]&amp;Règles_caprins[Aliment],0)),0),0)*chevreau_0_3_mois*SUM(NbreJoursNourrirCaprins))</f>
        <v>0</v>
      </c>
      <c r="CC124" s="1076">
        <f t="shared" si="45"/>
        <v>0</v>
      </c>
      <c r="CD124" s="1345"/>
      <c r="CE124" s="1345"/>
      <c r="CF124" s="1345"/>
      <c r="CG124" s="1345"/>
      <c r="CH124" s="1321"/>
      <c r="CI124" s="1321"/>
      <c r="CJ124" s="1335" t="s">
        <v>1278</v>
      </c>
      <c r="CK124" s="1336"/>
      <c r="CL124" s="1336"/>
      <c r="CM124" s="1336"/>
      <c r="CN124" s="1336"/>
      <c r="CO124" s="1336"/>
      <c r="CP124" s="1336"/>
      <c r="CQ124" s="1345"/>
      <c r="CR124" s="1321"/>
      <c r="CS124" s="808" t="str">
        <f t="shared" si="40"/>
        <v>Ration complète</v>
      </c>
      <c r="CT124" s="817">
        <f t="array" ref="CT12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24" s="817">
        <f t="array" ref="CU12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24" s="817">
        <f t="array" ref="CV12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24" s="818">
        <f>SUM(AlimentsRationLapinsFemelles[[#This Row],[Valeur 3 et plus]:[Valeur 0-1]])</f>
        <v>0</v>
      </c>
      <c r="CX124" s="1321"/>
      <c r="CY124" s="1321"/>
      <c r="CZ124" s="808" t="str">
        <f t="shared" si="41"/>
        <v>Ration complète</v>
      </c>
      <c r="DA124" s="817">
        <f t="array" ref="DA12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24" s="817">
        <f t="array" ref="DB12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24" s="817">
        <f t="array" ref="DC12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24" s="818">
        <f>SUM(AlimentsRationVolaillesFemelles[[#This Row],[Valeur 6 et plus]:[Valeur 0-1]])</f>
        <v>0</v>
      </c>
      <c r="DE124" s="1345"/>
      <c r="DF124" s="1321"/>
      <c r="DG124" s="788">
        <f t="shared" si="27"/>
        <v>0</v>
      </c>
      <c r="DH124" s="817">
        <f t="array" ref="DH12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24" s="817">
        <f t="array" ref="DI12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24" s="817">
        <f t="array" ref="DJ124">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24" s="821">
        <f>SUM(AlimentsRationPintadesFemelles[[#This Row],[Valeur 6 et plus]:[Valeur 0-1]])</f>
        <v>0</v>
      </c>
      <c r="DL124" s="1321"/>
      <c r="DM124" s="1321"/>
      <c r="DN124" s="1176" t="s">
        <v>837</v>
      </c>
      <c r="DO124" s="1177" t="s">
        <v>715</v>
      </c>
      <c r="DP124" s="1177" t="s">
        <v>1252</v>
      </c>
      <c r="DQ124" s="1181">
        <v>1.2</v>
      </c>
      <c r="DR124" s="1181">
        <v>0.8</v>
      </c>
      <c r="DS124" s="1181">
        <v>0.6</v>
      </c>
      <c r="DT124" s="1243">
        <v>0.4</v>
      </c>
      <c r="DU124" s="1346"/>
      <c r="DV124" s="1321"/>
      <c r="DW124" s="1321"/>
      <c r="DX124" s="1321"/>
      <c r="DY124" s="1321"/>
      <c r="DZ124" s="1321"/>
      <c r="EA124" s="1321"/>
      <c r="EB124" s="1321"/>
      <c r="EC124" s="1321"/>
      <c r="ED124" s="1345"/>
      <c r="EE124" s="1345"/>
      <c r="EF124" s="1321"/>
      <c r="EG124" s="808" t="str">
        <f t="shared" si="31"/>
        <v>Tournesol</v>
      </c>
      <c r="EH124" s="817">
        <f t="array" ref="EH124">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24" s="817">
        <f t="array" ref="EI124">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24" s="817">
        <f t="array" ref="EJ124">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24" s="818">
        <f>SUM(AlimentsRationOiesFemelles[[#This Row],[Valeur 6 et plus]:[Valeur 0-3]])</f>
        <v>0</v>
      </c>
      <c r="EL124" s="1345"/>
      <c r="EM124" s="1321"/>
      <c r="EN124" s="823" t="str">
        <f t="shared" si="29"/>
        <v>Tourteau de colza</v>
      </c>
      <c r="EO124" s="828">
        <f t="array" ref="EO124">IF(OR(ChoixPaysPartie=USA,ChoixPaysPartie=CANADA,ChoixPaysPartie=""),0,IF(ChoixRationComplèteCanards=OUI,0,IFERROR(IF(OR(AND(INDEX(Règles_canards[Specificite],MATCH(ChoixRationCanards&amp;Ration_canards_Femelles[[#This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24" s="828">
        <f t="array" ref="EP124">IF(OR(ChoixPaysPartie=USA,ChoixPaysPartie=CANADA,ChoixPaysPartie=""),0,IF(ChoixRationComplèteCanards=OUI,0,IFERROR(IF(OR(AND(INDEX(Règles_canards[Specificite],MATCH(ChoixRationCanards&amp;Ration_canards_Femelles[[#This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24" s="828">
        <f t="array" ref="EQ124">IF(OR(ChoixPaysPartie=USA,ChoixPaysPartie=CANADA,ChoixPaysPartie=""),0,IF(ChoixRationComplèteCanards=OUI,0,IFERROR(IF(OR(AND(INDEX(Règles_canards[Specificite],MATCH(ChoixRationCanards&amp;Ration_canards_Femelles[[#This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24" s="829">
        <f>SUM(Ration_canards_Femelles[[#This Row],[Valeur 6 et plus]:[Valeur 0-3]])</f>
        <v>0</v>
      </c>
      <c r="ES124" s="1345"/>
      <c r="ET124" s="1321"/>
      <c r="EU124" s="1082" t="str">
        <f t="shared" si="44"/>
        <v>Pois</v>
      </c>
      <c r="EV124" s="1282">
        <f t="array" ref="EV124">IF(OR(ChoixRationComplèteEtéChevauxSelle=OUI,ChoixRationComplèteEtéChevauxSelle="",AND(ChoixChevauxSellePréHiver=OUI,ChoixChevauxSellePréEté=OUI)),0,IFERROR(IF(OR(AND(INDEX(Règles_chevaux_selle[Specificite],MATCH(RationEtéChevauxSelle&amp;$EU124,Règles_chevaux_selle[Ration]&amp;Règles_chevaux_selle[Aliment],0))="s1",IF($EU124=Spécificité1ChevauxSelle,1)),
AND(INDEX(Règles_chevaux_selle[Specificite],MATCH(RationEtéChevauxSelle&amp;$EU124,Règles_chevaux_selle[Ration]&amp;Règles_chevaux_selle[Aliment],0))="s2",IF($EU124=Spécificité2ChevauxSelle,1)),
INDEX(Règles_chevaux_selle[Specificite],MATCH(RationEtéChevauxSelle&amp;$EU124,Règles_chevaux_selle[Ration]&amp;Règles_chevaux_selle[Aliment],0))="c"),
INDEX(Règles_chevaux_selle[Valeur 36 et plus],MATCH(RationEtéChevauxSelle&amp;$EU124,Règles_chevaux_selle[Ration]&amp;Règles_chevaux_selle[Aliment],0)),0),0)*TotalJumentSelle*SUM(NbreJoursNourrirChevauxSelle))</f>
        <v>0</v>
      </c>
      <c r="EW124" s="1282">
        <f t="array" ref="EW124">IF(OR(ChoixRationComplèteEtéChevauxSelle=OUI,ChoixRationComplèteEtéChevauxSelle="",AND(ChoixChevauxSellePréHiver=OUI,ChoixChevauxSellePréEté=OUI)),0,IFERROR(IF(OR(AND(INDEX(Règles_chevaux_selle[Specificite],MATCH(RationEtéChevauxSelle&amp;$EU124,Règles_chevaux_selle[Ration]&amp;Règles_chevaux_selle[Aliment],0))="s1",IF($EU124=Spécificité1ChevauxSelle,1)),
AND(INDEX(Règles_chevaux_selle[Specificite],MATCH(RationEtéChevauxSelle&amp;$EU124,Règles_chevaux_selle[Ration]&amp;Règles_chevaux_selle[Aliment],0))="s2",IF($EU124=Spécificité2ChevauxSelle,1)),
INDEX(Règles_chevaux_selle[Specificite],MATCH(RationEtéChevauxSelle&amp;$EU124,Règles_chevaux_selle[Ration]&amp;Règles_chevaux_selle[Aliment],0))="c"),
INDEX(Règles_chevaux_selle[Valeur 24-36],MATCH(RationEtéChevauxSelle&amp;$EU124,Règles_chevaux_selle[Ration]&amp;Règles_chevaux_selle[Aliment],0)),0),0)*TotalJeuneJumentSelle_24_36_mois*SUM(NbreJoursNourrirChevauxSelle))</f>
        <v>0</v>
      </c>
      <c r="EX124" s="1282">
        <f t="array" ref="EX124">IF(OR(ChoixRationComplèteEtéChevauxSelle=OUI,ChoixRationComplèteEtéChevauxSelle="",AND(ChoixChevauxSellePréHiver=OUI,ChoixChevauxSellePréEté=OUI)),0,IFERROR(IF(OR(AND(INDEX(Règles_chevaux_selle[Specificite],MATCH(RationEtéChevauxSelle&amp;$EU124,Règles_chevaux_selle[Ration]&amp;Règles_chevaux_selle[Aliment],0))="s1",IF($EU124=Spécificité1ChevauxSelle,1)),
AND(INDEX(Règles_chevaux_selle[Specificite],MATCH(RationEtéChevauxSelle&amp;$EU124,Règles_chevaux_selle[Ration]&amp;Règles_chevaux_selle[Aliment],0))="s2",IF($EU124=Spécificité2ChevauxSelle,1)),
INDEX(Règles_chevaux_selle[Specificite],MATCH(RationEtéChevauxSelle&amp;$EU124,Règles_chevaux_selle[Ration]&amp;Règles_chevaux_selle[Aliment],0))="c"),
INDEX(Règles_chevaux_selle[Valeur 12-24],MATCH(RationEtéChevauxSelle&amp;$EU124,Règles_chevaux_selle[Ration]&amp;Règles_chevaux_selle[Aliment],0)),0),0)*TotalJeuneJumentSelle_12_24_mois*SUM(NbreJoursNourrirChevauxSelle))</f>
        <v>0</v>
      </c>
      <c r="EY124" s="1285">
        <f t="array" ref="EY124">IF(OR(ChoixRationComplèteEtéChevauxSelle=OUI,ChoixRationComplèteEtéChevauxSelle="",AND(ChoixChevauxSellePréHiver=OUI,ChoixChevauxSellePréEté=OUI)),0,IFERROR(IF(OR(AND(INDEX(Règles_chevaux_selle[Specificite],MATCH(RationEtéChevauxSelle&amp;$EU124,Règles_chevaux_selle[Ration]&amp;Règles_chevaux_selle[Aliment],0))="s1",IF($EU124=Spécificité1ChevauxSelle,1)),
AND(INDEX(Règles_chevaux_selle[Specificite],MATCH(RationEtéChevauxSelle&amp;$EU124,Règles_chevaux_selle[Ration]&amp;Règles_chevaux_selle[Aliment],0))="s2",IF($EU124=Spécificité2ChevauxSelle,1)),
INDEX(Règles_chevaux_selle[Specificite],MATCH(RationEtéChevauxSelle&amp;$EU124,Règles_chevaux_selle[Ration]&amp;Règles_chevaux_selle[Aliment],0))="c"),
INDEX(Règles_chevaux_selle[Valeur 0-12],MATCH(RationEtéChevauxSelle&amp;$EU124,Règles_chevaux_selle[Ration]&amp;Règles_chevaux_selle[Aliment],0)),0),0)*TotalPoulicheSelle_0_12_mois*SUM(NbreJoursNourrirChevauxSelle))</f>
        <v>0</v>
      </c>
      <c r="EZ124" s="1285">
        <f t="shared" si="43"/>
        <v>0</v>
      </c>
      <c r="FA124" s="1345"/>
      <c r="FB124" s="1345"/>
      <c r="FC124" s="1321"/>
      <c r="FD124" s="1082" t="str">
        <f t="shared" si="34"/>
        <v>Sorgho ensilé</v>
      </c>
      <c r="FE124" s="1282">
        <f t="array" ref="FE124">IF(OR(ChoixRationComplèteEtéChevauxTrait=OUI,ChoixRationComplèteEtéChevauxTrait="",AND(ChoixChevauxTraitPréHiver=OUI,ChoixChevauxTraitPréEté=OUI)),0,IFERROR(IF(OR(AND(INDEX(Règles_chevaux_trait[Specificite],MATCH(RationEtéChevauxTrait&amp;$FD124,Règles_chevaux_trait[Ration]&amp;Règles_chevaux_trait[Aliment],0))="s1",IF($FD124=Spécificité1ChevauxTrait,1)),
AND(INDEX(Règles_chevaux_trait[Specificite],MATCH(RationEtéChevauxTrait&amp;$FD124,Règles_chevaux_trait[Ration]&amp;Règles_chevaux_trait[Aliment],0))="s2",IF($FD124=Spécificité2ChevauxTrait,1)),
INDEX(Règles_chevaux_trait[Specificite],MATCH(RationEtéChevauxTrait&amp;$FD124,Règles_chevaux_trait[Ration]&amp;Règles_chevaux_trait[Aliment],0))="c"),
INDEX(Règles_chevaux_trait[Valeur 36 et plus],MATCH(RationEtéChevauxTrait&amp;$FD124,Règles_chevaux_trait[Ration]&amp;Règles_chevaux_trait[Aliment],0)),0),0)*TotalJumentTrait*SUM(NbreJoursNourrirChevauxTrait))</f>
        <v>0</v>
      </c>
      <c r="FF124" s="1282">
        <f t="array" ref="FF124">IF(OR(ChoixRationComplèteEtéChevauxTrait=OUI,ChoixRationComplèteEtéChevauxTrait="",AND(ChoixChevauxTraitPréHiver=OUI,ChoixChevauxTraitPréEté=OUI)),0,IFERROR(IF(OR(AND(INDEX(Règles_chevaux_trait[Specificite],MATCH(RationEtéChevauxTrait&amp;$FD124,Règles_chevaux_trait[Ration]&amp;Règles_chevaux_trait[Aliment],0))="s1",IF($FD124=Spécificité1ChevauxTrait,1)),
AND(INDEX(Règles_chevaux_trait[Specificite],MATCH(RationEtéChevauxTrait&amp;$FD124,Règles_chevaux_trait[Ration]&amp;Règles_chevaux_trait[Aliment],0))="s2",IF($FD124=Spécificité2ChevauxTrait,1)),
INDEX(Règles_chevaux_trait[Specificite],MATCH(RationEtéChevauxTrait&amp;$FD124,Règles_chevaux_trait[Ration]&amp;Règles_chevaux_trait[Aliment],0))="c"),
INDEX(Règles_chevaux_trait[Valeur 24-36],MATCH(RationEtéChevauxTrait&amp;$FD124,Règles_chevaux_trait[Ration]&amp;Règles_chevaux_trait[Aliment],0)),0),0)*TotalJeuneJumentTrait_24_36_mois*SUM(NbreJoursNourrirChevauxTrait))</f>
        <v>0</v>
      </c>
      <c r="FG124" s="1282">
        <f t="array" ref="FG124">IF(OR(ChoixRationComplèteEtéChevauxTrait=OUI,ChoixRationComplèteEtéChevauxTrait="",AND(ChoixChevauxTraitPréHiver=OUI,ChoixChevauxTraitPréEté=OUI)),0,IFERROR(IF(OR(AND(INDEX(Règles_chevaux_trait[Specificite],MATCH(RationEtéChevauxTrait&amp;$FD124,Règles_chevaux_trait[Ration]&amp;Règles_chevaux_trait[Aliment],0))="s1",IF($FD124=Spécificité1ChevauxTrait,1)),
AND(INDEX(Règles_chevaux_trait[Specificite],MATCH(RationEtéChevauxTrait&amp;$FD124,Règles_chevaux_trait[Ration]&amp;Règles_chevaux_trait[Aliment],0))="s2",IF($FD124=Spécificité2ChevauxTrait,1)),
INDEX(Règles_chevaux_trait[Specificite],MATCH(RationEtéChevauxTrait&amp;$FD124,Règles_chevaux_trait[Ration]&amp;Règles_chevaux_trait[Aliment],0))="c"),
INDEX(Règles_chevaux_trait[Valeur 12-24],MATCH(RationEtéChevauxTrait&amp;$FD124,Règles_chevaux_trait[Ration]&amp;Règles_chevaux_trait[Aliment],0)),0),0)*TotalJeuneJumentTrait_12_24_mois*SUM(NbreJoursNourrirChevauxTrait))</f>
        <v>0</v>
      </c>
      <c r="FH124" s="1285">
        <f t="array" ref="FH124">IF(OR(ChoixRationComplèteEtéChevauxTrait=OUI,ChoixRationComplèteEtéChevauxTrait="",AND(ChoixChevauxTraitPréHiver=OUI,ChoixChevauxTraitPréEté=OUI)),0,IFERROR(IF(OR(AND(INDEX(Règles_chevaux_trait[Specificite],MATCH(RationEtéChevauxTrait&amp;$FD124,Règles_chevaux_trait[Ration]&amp;Règles_chevaux_trait[Aliment],0))="s1",IF($FD124=Spécificité1ChevauxTrait,1)),
AND(INDEX(Règles_chevaux_trait[Specificite],MATCH(RationEtéChevauxTrait&amp;$FD124,Règles_chevaux_trait[Ration]&amp;Règles_chevaux_trait[Aliment],0))="s2",IF($FD124=Spécificité2ChevauxTrait,1)),
INDEX(Règles_chevaux_trait[Specificite],MATCH(RationEtéChevauxTrait&amp;$FD124,Règles_chevaux_trait[Ration]&amp;Règles_chevaux_trait[Aliment],0))="c"),
INDEX(Règles_chevaux_trait[Valeur 0-12],MATCH(RationEtéChevauxTrait&amp;$FD124,Règles_chevaux_trait[Ration]&amp;Règles_chevaux_trait[Aliment],0)),0),0)*TotalPoulicheTrait_0_12_mois*SUM(NbreJoursNourrirChevauxTrait))</f>
        <v>0</v>
      </c>
      <c r="FI124" s="1285">
        <f t="shared" si="32"/>
        <v>0</v>
      </c>
      <c r="FJ124" s="1345"/>
      <c r="FK124" s="1345"/>
      <c r="FL124" s="1345"/>
      <c r="FM124" s="1321"/>
      <c r="FN124" s="1083" t="str">
        <f t="shared" si="33"/>
        <v>Tournesol</v>
      </c>
      <c r="FO124" s="1283">
        <f t="array" ref="FO124">IF(OR(ChoixRationComplèteEtéPoneys=OUI,ChoixRationComplèteEtéPoneys="",AND(ChoixPoneysPréHiver=OUI,ChoixPoneysPréEté=OUI)),0,IFERROR(IF(OR(AND(INDEX(Règles_poneys[Specificite],MATCH(RationEtéPoneys&amp;$FN124,Règles_poneys[Ration]&amp;Règles_poneys[Aliment],0))="s1",IF($FN124=Spécificité1Poneys,1)),
AND(INDEX(Règles_poneys[Specificite],MATCH(RationEtéPoneys&amp;$FN124,Règles_poneys[Ration]&amp;Règles_poneys[Aliment],0))="s2",IF($FN124=Spécificité2Poneys,1)),
INDEX(Règles_poneys[Specificite],MATCH(RationEtéPoneys&amp;$FN124,Règles_poneys[Ration]&amp;Règles_poneys[Aliment],0))="c"),
INDEX(Règles_poneys[Valeur 36 et plus],MATCH(RationEtéPoneys&amp;$FN124,Règles_poneys[Ration]&amp;Règles_poneys[Aliment],0)),0),0)*TotalJumentPoney*SUM(NbreJoursNourrirPoneys))</f>
        <v>0</v>
      </c>
      <c r="FP124" s="1283">
        <f t="array" ref="FP124">IF(OR(ChoixRationComplèteEtéPoneys=OUI,ChoixRationComplèteEtéPoneys="",AND(ChoixPoneysPréHiver=OUI,ChoixPoneysPréEté=OUI)),0,IFERROR(IF(OR(AND(INDEX(Règles_poneys[Specificite],MATCH(RationEtéPoneys&amp;$FN124,Règles_poneys[Ration]&amp;Règles_poneys[Aliment],0))="s1",IF($FN124=Spécificité1Poneys,1)),
AND(INDEX(Règles_poneys[Specificite],MATCH(RationEtéPoneys&amp;$FN124,Règles_poneys[Ration]&amp;Règles_poneys[Aliment],0))="s2",IF($FN124=Spécificité2Poneys,1)),
INDEX(Règles_poneys[Specificite],MATCH(RationEtéPoneys&amp;$FN124,Règles_poneys[Ration]&amp;Règles_poneys[Aliment],0))="c"),
INDEX(Règles_poneys[Valeur 36 et plus],MATCH(RationEtéPoneys&amp;$FN124,Règles_poneys[Ration]&amp;Règles_poneys[Aliment],0)),0),0)*TotalJeuneJumentPoney_24_36_mois*SUM(NbreJoursNourrirPoneys))</f>
        <v>0</v>
      </c>
      <c r="FQ124" s="1283">
        <f t="array" ref="FQ124">IF(OR(ChoixRationComplèteEtéPoneys=OUI,ChoixRationComplèteEtéPoneys="",AND(ChoixPoneysPréHiver=OUI,ChoixPoneysPréEté=OUI)),0,IFERROR(IF(OR(AND(INDEX(Règles_poneys[Specificite],MATCH(RationEtéPoneys&amp;$FN124,Règles_poneys[Ration]&amp;Règles_poneys[Aliment],0))="s1",IF($FN124=Spécificité1Poneys,1)),
AND(INDEX(Règles_poneys[Specificite],MATCH(RationEtéPoneys&amp;$FN124,Règles_poneys[Ration]&amp;Règles_poneys[Aliment],0))="s2",IF($FN124=Spécificité2Poneys,1)),
INDEX(Règles_poneys[Specificite],MATCH(RationEtéPoneys&amp;$FN124,Règles_poneys[Ration]&amp;Règles_poneys[Aliment],0))="c"),
INDEX(Règles_poneys[Valeur 36 et plus],MATCH(RationEtéPoneys&amp;$FN124,Règles_poneys[Ration]&amp;Règles_poneys[Aliment],0)),0),0)*TotalJeuneJumentPoney_12_24_mois*SUM(NbreJoursNourrirPoneys))</f>
        <v>0</v>
      </c>
      <c r="FR124" s="1286">
        <f t="array" ref="FR124">IF(OR(ChoixRationComplèteEtéPoneys=OUI,ChoixRationComplèteEtéPoneys="",AND(ChoixPoneysPréHiver=OUI,ChoixPoneysPréEté=OUI)),0,IFERROR(IF(OR(AND(INDEX(Règles_poneys[Specificite],MATCH(RationEtéPoneys&amp;$FN124,Règles_poneys[Ration]&amp;Règles_poneys[Aliment],0))="s1",IF($FN124=Spécificité1Poneys,1)),
AND(INDEX(Règles_poneys[Specificite],MATCH(RationEtéPoneys&amp;$FN124,Règles_poneys[Ration]&amp;Règles_poneys[Aliment],0))="s2",IF($FN124=Spécificité2Poneys,1)),
INDEX(Règles_poneys[Specificite],MATCH(RationEtéPoneys&amp;$FN124,Règles_poneys[Ration]&amp;Règles_poneys[Aliment],0))="c"),
INDEX(Règles_poneys[Valeur 36 et plus],MATCH(RationEtéPoneys&amp;$FN124,Règles_poneys[Ration]&amp;Règles_poneys[Aliment],0)),0),0)*TotalPoulichePoney_0_12_mois*SUM(NbreJoursNourrirPoneys))</f>
        <v>0</v>
      </c>
      <c r="FS124" s="1286">
        <f t="shared" si="30"/>
        <v>0</v>
      </c>
      <c r="FT124" s="1345"/>
      <c r="FU124" s="1345"/>
      <c r="FV124" s="1345"/>
      <c r="FW124" s="823">
        <f t="shared" si="28"/>
        <v>0</v>
      </c>
      <c r="FX124" s="828">
        <f t="array" ref="FX12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24" s="828">
        <f t="array" ref="FY12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24" s="828">
        <f t="array" ref="FZ12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24" s="828">
        <f t="array" ref="GA124">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24" s="829">
        <f>SUM(AlimentsGavageCanards[[#This Row],[Valeur 3 et plus]:[Valeur 0-1]])</f>
        <v>0</v>
      </c>
      <c r="GC124" s="1321"/>
      <c r="GD124" s="1321"/>
      <c r="GE124" s="1321"/>
      <c r="GF124" s="1321"/>
      <c r="GG124" s="1321" t="s">
        <v>1349</v>
      </c>
      <c r="GH124" s="1321" t="s">
        <v>1349</v>
      </c>
      <c r="GI124" s="1321" t="s">
        <v>1349</v>
      </c>
      <c r="GJ124" s="1321" t="s">
        <v>1349</v>
      </c>
      <c r="GK124" s="1321" t="s">
        <v>1349</v>
      </c>
      <c r="GL124" s="1321" t="s">
        <v>1349</v>
      </c>
      <c r="GM124" s="1321" t="s">
        <v>1349</v>
      </c>
      <c r="GN124" s="1321" t="s">
        <v>1349</v>
      </c>
      <c r="GO124" s="1321" t="s">
        <v>1349</v>
      </c>
      <c r="GP124" s="1321" t="s">
        <v>1349</v>
      </c>
      <c r="GQ124" s="1321" t="s">
        <v>1349</v>
      </c>
      <c r="GR124" s="1321" t="s">
        <v>1349</v>
      </c>
      <c r="GS124" s="1321" t="s">
        <v>1349</v>
      </c>
      <c r="GT124" s="1321" t="s">
        <v>1349</v>
      </c>
      <c r="GU124" s="1321" t="s">
        <v>1349</v>
      </c>
      <c r="GV124" s="1321" t="s">
        <v>1349</v>
      </c>
      <c r="GW124" s="1321"/>
      <c r="GX124" s="1321"/>
      <c r="GY124" s="1321"/>
      <c r="GZ124" s="1321"/>
      <c r="HA124" s="1321"/>
      <c r="HB124" s="1321"/>
      <c r="HC124" s="1321"/>
      <c r="HD124" s="1321"/>
      <c r="HE124" s="1321"/>
      <c r="HF124" s="1321"/>
      <c r="HG124" s="1321"/>
      <c r="HH124" s="1321"/>
      <c r="HI124" s="1321"/>
      <c r="HJ124" s="1321"/>
      <c r="HK124" s="1321"/>
      <c r="HL124" s="1321"/>
      <c r="HM124" s="1321"/>
      <c r="HN124" s="1083" t="s">
        <v>63</v>
      </c>
      <c r="HO124" s="1084" t="e">
        <f>IF(SUM((VLOOKUP(HN124,AlimentsRationBovinsMâles,9,FALSE)+VLOOKUP(HN124,AlimentsRationBovinsFemelles,9,FALSE)+VLOOKUP(HN124,BDD!BB$284:BJ$323,9,FALSE))/1000/SUM(NbreJoursNourrirBovins)*IF('semences, engrais et traitement'!I$16=OUI,42,84))&lt;0,0,SUM((VLOOKUP(HN124,AlimentsRationBovinsMâles,9,FALSE)+VLOOKUP(HN124,AlimentsRationBovinsFemelles,9,FALSE)+VLOOKUP(HN124,BDD!BB$284:BJ$323,9,FALSE))/1000/SUM(NbreJoursNourrirBovins)*IF('semences, engrais et traitement'!I$16=OUI,42,84)))</f>
        <v>#DIV/0!</v>
      </c>
      <c r="HP124" s="1084">
        <f t="shared" si="36"/>
        <v>0</v>
      </c>
      <c r="HQ124" s="1084" t="e">
        <f>IF(SUM(VLOOKUP(HN124,AlimentsRationPorcinsMâles[],7,FALSE)+VLOOKUP(HN124,AlimentsRationPorcinsFemelles[],7,FALSE))/1000/SUM(NbreJoursNourrirAutres)*84&lt;0,0,SUM(VLOOKUP(HN124,AlimentsRationPorcinsMâles[],7,FALSE)+VLOOKUP(HN124,AlimentsRationPorcinsFemelles[],7,FALSE)/1000/SUM(NbreJoursNourrirAutres)*84))</f>
        <v>#DIV/0!</v>
      </c>
      <c r="HR124" s="1084" t="e">
        <f>IF(SUM(VLOOKUP(HN124,AlimentsRationCaprinsMâles,6,FALSE)+VLOOKUP(HN124,AlimentsRationCaprinsFemelles,6,FALSE))/1000/SUM(NbreJoursNourrirCaprins)*IF('semences, engrais et traitement'!I$17=OUI,42,84)&lt;0,0,SUM(VLOOKUP(HN124,AlimentsRationCaprinsMâles,6,FALSE)+VLOOKUP(HN124,AlimentsRationCaprinsFemelles,6,FALSE))/1000/SUM(NbreJoursNourrirCaprins)*IF('semences, engrais et traitement'!I$17=OUI,42,84))</f>
        <v>#DIV/0!</v>
      </c>
      <c r="HS124" s="1084" t="e">
        <f>IF(SUM(VLOOKUP(HN124,AlimentsRationVolaillesMâles[],5,FALSE)+VLOOKUP(HN124,AlimentsRationVolaillesFemelles[],5,FALSE))/1000/SUM(NbreJoursNourrirAutres)*84&lt;0,0,SUM(VLOOKUP(HN124,AlimentsRationVolaillesMâles[],5,FALSE)+VLOOKUP(HN124,AlimentsRationVolaillesFemelles[],5,FALSE)/1000/SUM(NbreJoursNourrirAutres)*84))</f>
        <v>#DIV/0!</v>
      </c>
      <c r="HT124" s="1084" t="e">
        <f>IF(SUM(VLOOKUP(HN124,AlimentsRationPintadesMâles[],5,FALSE)+VLOOKUP(HN124,AlimentsRationPintadesFemelles[],5,FALSE))/1000/SUM(NbreJoursNourrirAutres)*84&lt;0,0,SUM(VLOOKUP(HN124,AlimentsRationPintadesMâles[],5,FALSE)+VLOOKUP(HN124,AlimentsRationPintadesFemelles[],5,FALSE)/1000/SUM(NbreJoursNourrirAutres)*84))</f>
        <v>#DIV/0!</v>
      </c>
      <c r="HU124" s="1084" t="e">
        <f>IF(SUM(VLOOKUP(HN124,AlimentsRationLapinsMâles[],5,FALSE)+VLOOKUP(HN124,AlimentsRationLapinsFemelles[],5,FALSE))/1000/SUM(NbreJoursNourrirAutres)*84&lt;0,0,SUM(VLOOKUP(HN124,AlimentsRationLapinsMâles[],5,FALSE)+VLOOKUP(HN124,AlimentsRationLapinsFemelles[],5,FALSE)/1000/SUM(NbreJoursNourrirAutres)*84))</f>
        <v>#DIV/0!</v>
      </c>
      <c r="HV124" s="1084" t="e">
        <f>IF(SUM(VLOOKUP(HN124,AlimentsRationOvinsMâles,6,FALSE)+VLOOKUP(HN124,AlimentsRationOvinsFemelles,6,FALSE))/1000/SUM(NbreJoursNourrirOvins)*IF('semences, engrais et traitement'!I$18=OUI,42,84)&lt;0,0,SUM(VLOOKUP(HN124,AlimentsRationOvinsMâles,6,FALSE)+VLOOKUP(HN124,AlimentsRationOvinsFemelles,6,FALSE))/1000/SUM(NbreJoursNourrirOvins)*IF('semences, engrais et traitement'!I$18=OUI,42,84))</f>
        <v>#DIV/0!</v>
      </c>
      <c r="HW124" s="1084" t="e">
        <f>IF(SUM(VLOOKUP(HN124,AlimentsRationOiesMâles[],5,FALSE)+VLOOKUP(HN124,AlimentsRationOiesFemelles[],5,FALSE))/1000/SUM(NbreJoursNourrirAutres)*84&lt;0,0,SUM(VLOOKUP(HN124,AlimentsRationOiesMâles[],5,FALSE)+VLOOKUP(HN124,AlimentsRationOiesFemelles[],5,FALSE)/1000/SUM(NbreJoursNourrirAutres)*84))</f>
        <v>#DIV/0!</v>
      </c>
      <c r="HX124" s="1084" t="e">
        <f t="shared" si="48"/>
        <v>#DIV/0!</v>
      </c>
      <c r="HY124" s="1084" t="e">
        <f>IF(SUM(VLOOKUP(HN124,AlimentsRationEcurieChevauxMâlesSelle,6,FALSE)+VLOOKUP(HN124,AlimentsRationEcurieChevauxFemellesSelle,6,FALSE))/1000/SUM(NbreJoursNourrirChevauxSelle)*IF('semences, engrais et traitement'!M$16=OUI,56,84)&lt;0,0,SUM(VLOOKUP(HN124,AlimentsRationEcurieChevauxMâlesSelle,6,FALSE)+VLOOKUP(HN124,AlimentsRationEcurieChevauxFemellesSelle,6,FALSE))/1000/SUM(NbreJoursNourrirChevauxSelle)*IF('semences, engrais et traitement'!M$16=OUI,56,84))</f>
        <v>#DIV/0!</v>
      </c>
      <c r="HZ124" s="1084" t="e">
        <f>IF(SUM(VLOOKUP(HN124,AlimentsRationEcurieChevauxMâlesTrait,6,FALSE)+VLOOKUP(HN124,AlimentsRationEcurieChevauxFemellesTrait,6,FALSE))/1000/SUM(NbreJoursNourrirChevauxTrait)*IF('semences, engrais et traitement'!M$17=OUI,56,84)&lt;0,0,SUM(VLOOKUP(HN124,AlimentsRationEcurieChevauxMâlesTrait,6,FALSE)+VLOOKUP(HN124,AlimentsRationEcurieChevauxFemellesTrait,6,FALSE))/1000/SUM(NbreJoursNourrirChevauxTrait)*IF('semences, engrais et traitement'!M$17=OUI,56,84))</f>
        <v>#DIV/0!</v>
      </c>
      <c r="IA124" s="1084" t="e">
        <f>IF(SUM(VLOOKUP(HN124,AlimentsRationEcuriePoneysMâles,6,FALSE)+VLOOKUP(HN124,AlimentsRationEcuriePoneysFemelles,6,FALSE))/1000/SUM(NbreJoursNourrirPoneys)*IF('semences, engrais et traitement'!M$18=OUI,56,84)&lt;0,0,SUM(VLOOKUP(HN124,AlimentsRationEcuriePoneysMâles,6,FALSE)+VLOOKUP(HN124,AlimentsRationEcuriePoneysFemelles,6,FALSE))/1000/SUM(NbreJoursNourrirPoneys)*IF('semences, engrais et traitement'!M$18=OUI,56,84))</f>
        <v>#DIV/0!</v>
      </c>
      <c r="IB124" s="1100" t="e">
        <f t="shared" si="38"/>
        <v>#DIV/0!</v>
      </c>
      <c r="IC124" s="1321"/>
      <c r="ID124" s="1321"/>
      <c r="IE124" s="1321"/>
      <c r="IF124" s="1321"/>
      <c r="IG124" s="1321"/>
      <c r="IH124" s="1321"/>
      <c r="II124" s="1321"/>
      <c r="IJ124" s="1321"/>
      <c r="IK124" s="1321"/>
      <c r="IL124" s="1321"/>
      <c r="IM124" s="1321"/>
      <c r="IN124" s="1368"/>
    </row>
    <row r="125" spans="1:248" ht="12.75" customHeight="1" x14ac:dyDescent="0.2">
      <c r="A125" s="1307" t="s">
        <v>295</v>
      </c>
      <c r="B125" s="1241">
        <f t="shared" si="39"/>
        <v>1E-3</v>
      </c>
      <c r="C125" s="1321"/>
      <c r="D125" s="1321"/>
      <c r="E125" s="1321"/>
      <c r="F125" s="1328" t="s">
        <v>1754</v>
      </c>
      <c r="G125" s="1321"/>
      <c r="H125" s="1321"/>
      <c r="I125" s="1321"/>
      <c r="J125" s="1321"/>
      <c r="K125" s="1321"/>
      <c r="L125" s="1321"/>
      <c r="M125" s="1321"/>
      <c r="N125" s="1321"/>
      <c r="O125" s="1321"/>
      <c r="P125" s="1321"/>
      <c r="Q125" s="1321"/>
      <c r="R125" s="1321"/>
      <c r="S125" s="1321"/>
      <c r="T125" s="1321"/>
      <c r="U125" s="1321"/>
      <c r="V125" s="1321"/>
      <c r="W125" s="1321"/>
      <c r="X125" s="1321"/>
      <c r="Y125" s="1321"/>
      <c r="Z125" s="1321"/>
      <c r="AA125" s="1321"/>
      <c r="AB125" s="1321"/>
      <c r="AC125" s="1321"/>
      <c r="AD125" s="1321"/>
      <c r="AE125" s="1321"/>
      <c r="AF125" s="1321"/>
      <c r="AG125" s="1321"/>
      <c r="AH125" s="1321"/>
      <c r="AI125" s="1321"/>
      <c r="AJ125" s="1321"/>
      <c r="AK125" s="1321"/>
      <c r="AL125" s="1321"/>
      <c r="AM125" s="1321"/>
      <c r="AN125" s="1321"/>
      <c r="AO125" s="1321"/>
      <c r="AP125" s="1321"/>
      <c r="AQ125" s="1321"/>
      <c r="AR125" s="1321"/>
      <c r="AS125" s="1321"/>
      <c r="AT125" s="1321"/>
      <c r="AU125" s="1321"/>
      <c r="AV125" s="1321"/>
      <c r="AW125" s="1321"/>
      <c r="AX125" s="1321"/>
      <c r="AY125" s="1321"/>
      <c r="AZ125" s="1321"/>
      <c r="BA125" s="1321"/>
      <c r="BB125" s="1236" t="s">
        <v>731</v>
      </c>
      <c r="BC125" s="1190" t="s">
        <v>285</v>
      </c>
      <c r="BD125" s="1190" t="s">
        <v>1253</v>
      </c>
      <c r="BE125" s="1237">
        <v>7.2</v>
      </c>
      <c r="BF125" s="1237">
        <v>6</v>
      </c>
      <c r="BG125" s="1237">
        <v>4</v>
      </c>
      <c r="BH125" s="1237">
        <v>2</v>
      </c>
      <c r="BI125" s="1237">
        <v>1.2</v>
      </c>
      <c r="BJ125" s="1237">
        <v>0.6</v>
      </c>
      <c r="BK125" s="1238">
        <v>0</v>
      </c>
      <c r="BL125" s="1348"/>
      <c r="BM125" s="1075" t="str">
        <f t="shared" si="47"/>
        <v>Eau</v>
      </c>
      <c r="BN125" s="1269">
        <f t="array" ref="BN125">SUM((IF(QualitéAlimentsBisonneauxMâles_0_3_mois=BONNE,VLOOKUP("eau",AlimentsRationHivernaleBisonsMâles,8,FALSE),0)+(IF(QualitéAlimentsBisonneauxFemelles_0_3_mois=BONNE,VLOOKUP("eau",AlimentsRationHivernaleBisonsFemelles,8,FALSE),0)+(IF(QualitéAlimentsBisonneauxMâles_3_6_mois=BONNE,VLOOKUP("eau",AlimentsRationHivernaleBisonsMâles,7,FALSE),0)+(IF(QualitéAlimentsBisonneauxFemelles_3_6_mois=BONNE,VLOOKUP("eau",AlimentsRationHivernaleBisonsFemelles,7,FALSE),0)+(IF(QualitéAlimentsBisonneauxMâles_6_12_mois=BONNE,VLOOKUP("eau",AlimentsRationHivernaleBisonsMâles,6,FALSE),0)+(IF(QualitéAlimentsBisonneauxFemelles_6_12_mois=BONNE,VLOOKUP("eau",AlimentsRationHivernaleBisonsFemelles,6,FALSE),0)+(IF(QualitéAlimentsJeunesBisons_12_18_mois=BONNE,VLOOKUP("eau",AlimentsRationHivernaleBisonsMâles,5,FALSE),0)+(IF(QualitéAlimentsJeunesBisonnes_12_18_mois=BONNE,VLOOKUP("eau",AlimentsRationHivernaleBisonsFemelles,5,FALSE),0)+(IF(QualitéAlimentsJeunesBisons_18_24_mois=BONNE,VLOOKUP("eau",AlimentsRationHivernaleBisonsMâles,4,FALSE),0)+(IF(QualitéAlimentsJeunesBisonnes_18_24_mois=BONNE,VLOOKUP("eau",AlimentsRationHivernaleBisonsFemelles,4,FALSE),0)+(IF(QualitéAlimentsJeunesBisons_24_36_mois=BONNE,VLOOKUP("eau",AlimentsRationHivernaleBisonsMâles,3,FALSE),0)+(IF(QualitéAlimentsJeunesBisonnes_24_36_mois=BONNE,VLOOKUP("eau",AlimentsRationHivernaleBisonsFemelles,3,FALSE),0)+(IF(QualitéAlimentsBisons=BONNE,VLOOKUP("eau",AlimentsRationHivernaleBisonsMâles,2,FALSE),0)+(IF(QualitéAlimentsBisonnes=BONNE,VLOOKUP("eau",AlimentsRationHivernaleBisonsFemelles,2,FALSE),0))))))))))))))))</f>
        <v>0</v>
      </c>
      <c r="BO125" s="1269">
        <f t="array" ref="BO125">SUM((IF(QualitéAlimentsBisonneauxMâles_0_3_mois=MOYENNE,VLOOKUP("eau",AlimentsRationHivernaleBisonsMâles,8,FALSE),0)+(IF(QualitéAlimentsBisonneauxFemelles_0_3_mois=MOYENNE,VLOOKUP("eau",AlimentsRationHivernaleBisonsFemelles,8,FALSE),0)+(IF(QualitéAlimentsBisonneauxMâles_3_6_mois=MOYENNE,VLOOKUP("eau",AlimentsRationHivernaleBisonsMâles,7,FALSE),0)+(IF(QualitéAlimentsBisonneauxFemelles_3_6_mois=MOYENNE,VLOOKUP("eau",AlimentsRationHivernaleBisonsFemelles,7,FALSE),0)+(IF(QualitéAlimentsBisonneauxMâles_6_12_mois=MOYENNE,VLOOKUP("eau",AlimentsRationHivernaleBisonsMâles,6,FALSE),0)+(IF(QualitéAlimentsBisonneauxFemelles_6_12_mois=MOYENNE,VLOOKUP("eau",AlimentsRationHivernaleBisonsFemelles,6,FALSE),0)+(IF(QualitéAlimentsJeunesBisons_12_18_mois=MOYENNE,VLOOKUP("eau",AlimentsRationHivernaleBisonsMâles,5,FALSE),0)+(IF(QualitéAlimentsJeunesBisonnes_12_18_mois=MOYENNE,VLOOKUP("eau",AlimentsRationHivernaleBisonsFemelles,5,FALSE),0)+(IF(QualitéAlimentsJeunesBisons_18_24_mois=MOYENNE,VLOOKUP("eau",AlimentsRationHivernaleBisonsMâles,4,FALSE),0)+(IF(QualitéAlimentsJeunesBisonnes_18_24_mois=MOYENNE,VLOOKUP("eau",AlimentsRationHivernaleBisonsFemelles,4,FALSE),0)+(IF(QualitéAlimentsJeunesBisons_24_36_mois=MOYENNE,VLOOKUP("eau",AlimentsRationHivernaleBisonsMâles,3,FALSE),0)+(IF(QualitéAlimentsJeunesBisonnes_24_36_mois=MOYENNE,VLOOKUP("eau",AlimentsRationHivernaleBisonsFemelles,3,FALSE),0)+(IF(QualitéAlimentsBisons=MOYENNE,VLOOKUP("eau",AlimentsRationHivernaleBisonsMâles,2,FALSE),0)+(IF(QualitéAlimentsBisonnes=MOYENNE,VLOOKUP("eau",AlimentsRationHivernaleBisonsFemelles,2,FALSE),0))))))))))))))))</f>
        <v>0</v>
      </c>
      <c r="BP125" s="1269">
        <f t="array" ref="BP125">SUM((IF(QualitéAlimentsBisonneauxMâles_0_3_mois=MAUVAISE,VLOOKUP("eau",AlimentsRationHivernaleBisonsMâles,8,FALSE),0)+(IF(QualitéAlimentsBisonneauxFemelles_0_3_mois=MAUVAISE,VLOOKUP("eau",AlimentsRationHivernaleBisonsFemelles,8,FALSE),0)+(IF(QualitéAlimentsBisonneauxMâles_3_6_mois=MAUVAISE,VLOOKUP("eau",AlimentsRationHivernaleBisonsMâles,7,FALSE),0)+(IF(QualitéAlimentsBisonneauxFemelles_3_6_mois=MAUVAISE,VLOOKUP("eau",AlimentsRationHivernaleBisonsFemelles,7,FALSE),0)+(IF(QualitéAlimentsBisonneauxMâles_6_12_mois=MAUVAISE,VLOOKUP("eau",AlimentsRationHivernaleBisonsMâles,6,FALSE),0)+(IF(QualitéAlimentsBisonneauxFemelles_6_12_mois=MAUVAISE,VLOOKUP("eau",AlimentsRationHivernaleBisonsFemelles,6,FALSE),0)+(IF(QualitéAlimentsJeunesBisons_12_18_mois=MAUVAISE,VLOOKUP("eau",AlimentsRationHivernaleBisonsMâles,5,FALSE),0)+(IF(QualitéAlimentsJeunesBisonnes_12_18_mois=MAUVAISE,VLOOKUP("eau",AlimentsRationHivernaleBisonsFemelles,5,FALSE),0)+(IF(QualitéAlimentsJeunesBisons_18_24_mois=MAUVAISE,VLOOKUP("eau",AlimentsRationHivernaleBisonsMâles,4,FALSE),0)+(IF(QualitéAlimentsJeunesBisonnes_18_24_mois=MAUVAISE,VLOOKUP("eau",AlimentsRationHivernaleBisonsFemelles,4,FALSE),0)+(IF(QualitéAlimentsJeunesBisons_24_36_mois=MAUVAISE,VLOOKUP("eau",AlimentsRationHivernaleBisonsMâles,3,FALSE),0)+(IF(QualitéAlimentsJeunesBisonnes_24_36_mois=MAUVAISE,VLOOKUP("eau",AlimentsRationHivernaleBisonsFemelles,3,FALSE),0)+(IF(QualitéAlimentsBisons=MAUVAISE,VLOOKUP("eau",AlimentsRationHivernaleBisonsMâles,2,FALSE),0)+(IF(QualitéAlimentsBisonnes=MAUVAISE,VLOOKUP("eau",AlimentsRationHivernaleBisonsFemelles,2,FALSE),0))))))))))))))))</f>
        <v>0</v>
      </c>
      <c r="BQ125" s="1346"/>
      <c r="BR125" s="1346"/>
      <c r="BS125" s="1346"/>
      <c r="BT125" s="1346"/>
      <c r="BU125" s="1346"/>
      <c r="BV125" s="1345"/>
      <c r="BW125" s="1345"/>
      <c r="BX125" s="1075" t="s">
        <v>1271</v>
      </c>
      <c r="BY125" s="1075">
        <f t="array" ref="BY125">IF(ChoixRationComplèteCaprins=OUI,0,IFERROR(IF(OR(AND(INDEX(Règles_caprins[Specificite],MATCH(ChoixRationCaprins&amp;$BX125,Règles_caprins[Ration]&amp;Règles_caprins[Aliment],0))="s1",IF($BX125=Spécificité1Caprins,1)),
INDEX(Règles_caprins[Specificite],MATCH(ChoixRationCaprins&amp;$BX125,Règles_caprins[Ration]&amp;Règles_caprins[Aliment],0))="c"),
INDEX(Règles_caprins[Valeur 12 et plus],MATCH(ChoixRationCaprins&amp;$BX125,Règles_caprins[Ration]&amp;Règles_caprins[Aliment],0)),0),0)*TotalBoucs*SUM(NbreJoursNourrirCaprins))</f>
        <v>0</v>
      </c>
      <c r="BZ125" s="1075">
        <f t="array" ref="BZ125">IF(ChoixRationComplèteCaprins=OUI,0,IFERROR(IF(OR(AND(INDEX(Règles_caprins[Specificite],MATCH(ChoixRationCaprins&amp;$BX125,Règles_caprins[Ration]&amp;Règles_caprins[Aliment],0))="s1",IF($BX125=Spécificité1Caprins,1)),
INDEX(Règles_caprins[Specificite],MATCH(ChoixRationCaprins&amp;$BX125,Règles_caprins[Ration]&amp;Règles_caprins[Aliment],0))="c"),
INDEX(Règles_caprins[Valeur 6-12],MATCH(ChoixRationCaprins&amp;$BX125,Règles_caprins[Ration]&amp;Règles_caprins[Aliment],0)),0),0)*jeune_bouc_6_12_mois*SUM(NbreJoursNourrirCaprins))</f>
        <v>0</v>
      </c>
      <c r="CA125" s="1075">
        <f t="array" ref="CA125">IF(ChoixRationComplèteCaprins=OUI,0,IFERROR(IF(OR(AND(INDEX(Règles_caprins[Specificite],MATCH(ChoixRationCaprins&amp;$BX125,Règles_caprins[Ration]&amp;Règles_caprins[Aliment],0))="s1",IF($BX125=Spécificité1Caprins,1)),
INDEX(Règles_caprins[Specificite],MATCH(ChoixRationCaprins&amp;$BX125,Règles_caprins[Ration]&amp;Règles_caprins[Aliment],0))="c"),
INDEX(Règles_caprins[Valeur 3-6],MATCH(ChoixRationCaprins&amp;$BX125,Règles_caprins[Ration]&amp;Règles_caprins[Aliment],0)),0),0)*chevreau_3_6_mois*SUM(NbreJoursNourrirCaprins))</f>
        <v>0</v>
      </c>
      <c r="CB125" s="1075">
        <f t="array" ref="CB125">IF(ChoixRationComplèteCaprins=OUI,0,IFERROR(IF(OR(AND(INDEX(Règles_caprins[Specificite],MATCH(ChoixRationCaprins&amp;$BX125,Règles_caprins[Ration]&amp;Règles_caprins[Aliment],0))="s1",IF($BX125=Spécificité1Caprins,1)),
INDEX(Règles_caprins[Specificite],MATCH(ChoixRationCaprins&amp;$BX125,Règles_caprins[Ration]&amp;Règles_caprins[Aliment],0))="c"),
INDEX(Règles_caprins[Valeur 0-3],MATCH(ChoixRationCaprins&amp;$BX125,Règles_caprins[Ration]&amp;Règles_caprins[Aliment],0)),0),0)*chevreau_0_3_mois*SUM(NbreJoursNourrirCaprins))</f>
        <v>0</v>
      </c>
      <c r="CC125" s="1075">
        <f t="shared" si="45"/>
        <v>0</v>
      </c>
      <c r="CD125" s="1345"/>
      <c r="CE125" s="1345"/>
      <c r="CF125" s="1345"/>
      <c r="CG125" s="1345"/>
      <c r="CH125" s="1321"/>
      <c r="CI125" s="1321"/>
      <c r="CJ125" s="789" t="s">
        <v>1276</v>
      </c>
      <c r="CK125" s="790" t="s">
        <v>1280</v>
      </c>
      <c r="CL125" s="790" t="s">
        <v>1257</v>
      </c>
      <c r="CM125" s="790" t="s">
        <v>1256</v>
      </c>
      <c r="CN125" s="790" t="s">
        <v>1283</v>
      </c>
      <c r="CO125" s="790" t="s">
        <v>1284</v>
      </c>
      <c r="CP125" s="791" t="s">
        <v>1269</v>
      </c>
      <c r="CQ125" s="1345"/>
      <c r="CR125" s="1321"/>
      <c r="CS125" s="808" t="str">
        <f t="shared" si="40"/>
        <v>Seigle</v>
      </c>
      <c r="CT125" s="817">
        <f t="array" ref="CT12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25" s="817">
        <f t="array" ref="CU12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25" s="817">
        <f t="array" ref="CV12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25" s="818">
        <f>SUM(AlimentsRationLapinsFemelles[[#This Row],[Valeur 3 et plus]:[Valeur 0-1]])</f>
        <v>0</v>
      </c>
      <c r="CX125" s="1321"/>
      <c r="CY125" s="1321"/>
      <c r="CZ125" s="808" t="str">
        <f t="shared" si="41"/>
        <v>Seigle</v>
      </c>
      <c r="DA125" s="817">
        <f t="array" ref="DA12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25" s="817">
        <f t="array" ref="DB12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25" s="817">
        <f t="array" ref="DC12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25" s="818">
        <f>SUM(AlimentsRationVolaillesFemelles[[#This Row],[Valeur 6 et plus]:[Valeur 0-1]])</f>
        <v>0</v>
      </c>
      <c r="DE125" s="1345"/>
      <c r="DF125" s="1321"/>
      <c r="DG125" s="788">
        <f t="shared" si="27"/>
        <v>0</v>
      </c>
      <c r="DH125" s="817">
        <f t="array" ref="DH12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25" s="817">
        <f t="array" ref="DI12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25" s="817">
        <f t="array" ref="DJ125">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25" s="821">
        <f>SUM(AlimentsRationPintadesFemelles[[#This Row],[Valeur 6 et plus]:[Valeur 0-1]])</f>
        <v>0</v>
      </c>
      <c r="DL125" s="1321"/>
      <c r="DM125" s="1321"/>
      <c r="DN125" s="1176" t="s">
        <v>837</v>
      </c>
      <c r="DO125" s="1177" t="s">
        <v>1271</v>
      </c>
      <c r="DP125" s="1177" t="s">
        <v>1252</v>
      </c>
      <c r="DQ125" s="1181">
        <v>0.14000000000000001</v>
      </c>
      <c r="DR125" s="1181">
        <v>0.08</v>
      </c>
      <c r="DS125" s="1181">
        <v>0.04</v>
      </c>
      <c r="DT125" s="1243">
        <v>0.04</v>
      </c>
      <c r="DU125" s="1346"/>
      <c r="DV125" s="1321"/>
      <c r="DW125" s="1321"/>
      <c r="DX125" s="1321"/>
      <c r="DY125" s="1321"/>
      <c r="DZ125" s="1321"/>
      <c r="EA125" s="1321"/>
      <c r="EB125" s="1321"/>
      <c r="EC125" s="1321"/>
      <c r="ED125" s="1345"/>
      <c r="EE125" s="1345"/>
      <c r="EF125" s="1321"/>
      <c r="EG125" s="808" t="str">
        <f t="shared" si="31"/>
        <v>Tourteau de colza</v>
      </c>
      <c r="EH125" s="817">
        <f t="array" ref="EH12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25" s="817">
        <f t="array" ref="EI12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25" s="817">
        <f t="array" ref="EJ125">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25" s="818">
        <f>SUM(AlimentsRationOiesFemelles[[#This Row],[Valeur 6 et plus]:[Valeur 0-3]])</f>
        <v>0</v>
      </c>
      <c r="EL125" s="1345"/>
      <c r="EM125" s="1321"/>
      <c r="EN125" s="823" t="str">
        <f t="shared" si="29"/>
        <v>Tourteau de tournesol</v>
      </c>
      <c r="EO125" s="828">
        <f t="array" ref="EO125">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25" s="828">
        <f t="array" ref="EP125">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25" s="828">
        <f t="array" ref="EQ125">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25" s="829">
        <f>SUM(Ration_canards_Femelles[[#This Row],[Valeur 6 et plus]:[Valeur 0-3]])</f>
        <v>0</v>
      </c>
      <c r="ES125" s="1345"/>
      <c r="ET125" s="1321"/>
      <c r="EU125" s="1083" t="str">
        <f t="shared" si="44"/>
        <v>Pomme de terre</v>
      </c>
      <c r="EV125" s="1283">
        <f t="array" ref="EV125">IF(OR(ChoixRationComplèteEtéChevauxSelle=OUI,ChoixRationComplèteEtéChevauxSelle="",AND(ChoixChevauxSellePréHiver=OUI,ChoixChevauxSellePréEté=OUI)),0,IFERROR(IF(OR(AND(INDEX(Règles_chevaux_selle[Specificite],MATCH(RationEtéChevauxSelle&amp;$EU125,Règles_chevaux_selle[Ration]&amp;Règles_chevaux_selle[Aliment],0))="s1",IF($EU125=Spécificité1ChevauxSelle,1)),
AND(INDEX(Règles_chevaux_selle[Specificite],MATCH(RationEtéChevauxSelle&amp;$EU125,Règles_chevaux_selle[Ration]&amp;Règles_chevaux_selle[Aliment],0))="s2",IF($EU125=Spécificité2ChevauxSelle,1)),
INDEX(Règles_chevaux_selle[Specificite],MATCH(RationEtéChevauxSelle&amp;$EU125,Règles_chevaux_selle[Ration]&amp;Règles_chevaux_selle[Aliment],0))="c"),
INDEX(Règles_chevaux_selle[Valeur 36 et plus],MATCH(RationEtéChevauxSelle&amp;$EU125,Règles_chevaux_selle[Ration]&amp;Règles_chevaux_selle[Aliment],0)),0),0)*TotalJumentSelle*SUM(NbreJoursNourrirChevauxSelle))</f>
        <v>0</v>
      </c>
      <c r="EW125" s="1283">
        <f t="array" ref="EW125">IF(OR(ChoixRationComplèteEtéChevauxSelle=OUI,ChoixRationComplèteEtéChevauxSelle="",AND(ChoixChevauxSellePréHiver=OUI,ChoixChevauxSellePréEté=OUI)),0,IFERROR(IF(OR(AND(INDEX(Règles_chevaux_selle[Specificite],MATCH(RationEtéChevauxSelle&amp;$EU125,Règles_chevaux_selle[Ration]&amp;Règles_chevaux_selle[Aliment],0))="s1",IF($EU125=Spécificité1ChevauxSelle,1)),
AND(INDEX(Règles_chevaux_selle[Specificite],MATCH(RationEtéChevauxSelle&amp;$EU125,Règles_chevaux_selle[Ration]&amp;Règles_chevaux_selle[Aliment],0))="s2",IF($EU125=Spécificité2ChevauxSelle,1)),
INDEX(Règles_chevaux_selle[Specificite],MATCH(RationEtéChevauxSelle&amp;$EU125,Règles_chevaux_selle[Ration]&amp;Règles_chevaux_selle[Aliment],0))="c"),
INDEX(Règles_chevaux_selle[Valeur 24-36],MATCH(RationEtéChevauxSelle&amp;$EU125,Règles_chevaux_selle[Ration]&amp;Règles_chevaux_selle[Aliment],0)),0),0)*TotalJeuneJumentSelle_24_36_mois*SUM(NbreJoursNourrirChevauxSelle))</f>
        <v>0</v>
      </c>
      <c r="EX125" s="1283">
        <f t="array" ref="EX125">IF(OR(ChoixRationComplèteEtéChevauxSelle=OUI,ChoixRationComplèteEtéChevauxSelle="",AND(ChoixChevauxSellePréHiver=OUI,ChoixChevauxSellePréEté=OUI)),0,IFERROR(IF(OR(AND(INDEX(Règles_chevaux_selle[Specificite],MATCH(RationEtéChevauxSelle&amp;$EU125,Règles_chevaux_selle[Ration]&amp;Règles_chevaux_selle[Aliment],0))="s1",IF($EU125=Spécificité1ChevauxSelle,1)),
AND(INDEX(Règles_chevaux_selle[Specificite],MATCH(RationEtéChevauxSelle&amp;$EU125,Règles_chevaux_selle[Ration]&amp;Règles_chevaux_selle[Aliment],0))="s2",IF($EU125=Spécificité2ChevauxSelle,1)),
INDEX(Règles_chevaux_selle[Specificite],MATCH(RationEtéChevauxSelle&amp;$EU125,Règles_chevaux_selle[Ration]&amp;Règles_chevaux_selle[Aliment],0))="c"),
INDEX(Règles_chevaux_selle[Valeur 12-24],MATCH(RationEtéChevauxSelle&amp;$EU125,Règles_chevaux_selle[Ration]&amp;Règles_chevaux_selle[Aliment],0)),0),0)*TotalJeuneJumentSelle_12_24_mois*SUM(NbreJoursNourrirChevauxSelle))</f>
        <v>0</v>
      </c>
      <c r="EY125" s="1286">
        <f t="array" ref="EY125">IF(OR(ChoixRationComplèteEtéChevauxSelle=OUI,ChoixRationComplèteEtéChevauxSelle="",AND(ChoixChevauxSellePréHiver=OUI,ChoixChevauxSellePréEté=OUI)),0,IFERROR(IF(OR(AND(INDEX(Règles_chevaux_selle[Specificite],MATCH(RationEtéChevauxSelle&amp;$EU125,Règles_chevaux_selle[Ration]&amp;Règles_chevaux_selle[Aliment],0))="s1",IF($EU125=Spécificité1ChevauxSelle,1)),
AND(INDEX(Règles_chevaux_selle[Specificite],MATCH(RationEtéChevauxSelle&amp;$EU125,Règles_chevaux_selle[Ration]&amp;Règles_chevaux_selle[Aliment],0))="s2",IF($EU125=Spécificité2ChevauxSelle,1)),
INDEX(Règles_chevaux_selle[Specificite],MATCH(RationEtéChevauxSelle&amp;$EU125,Règles_chevaux_selle[Ration]&amp;Règles_chevaux_selle[Aliment],0))="c"),
INDEX(Règles_chevaux_selle[Valeur 0-12],MATCH(RationEtéChevauxSelle&amp;$EU125,Règles_chevaux_selle[Ration]&amp;Règles_chevaux_selle[Aliment],0)),0),0)*TotalPoulicheSelle_0_12_mois*SUM(NbreJoursNourrirChevauxSelle))</f>
        <v>0</v>
      </c>
      <c r="EZ125" s="1286">
        <f t="shared" si="43"/>
        <v>0</v>
      </c>
      <c r="FA125" s="1345"/>
      <c r="FB125" s="1345"/>
      <c r="FC125" s="1321"/>
      <c r="FD125" s="1083" t="str">
        <f t="shared" si="34"/>
        <v>Tournesol</v>
      </c>
      <c r="FE125" s="1283">
        <f t="array" ref="FE125">IF(OR(ChoixRationComplèteEtéChevauxTrait=OUI,ChoixRationComplèteEtéChevauxTrait="",AND(ChoixChevauxTraitPréHiver=OUI,ChoixChevauxTraitPréEté=OUI)),0,IFERROR(IF(OR(AND(INDEX(Règles_chevaux_trait[Specificite],MATCH(RationEtéChevauxTrait&amp;$FD125,Règles_chevaux_trait[Ration]&amp;Règles_chevaux_trait[Aliment],0))="s1",IF($FD125=Spécificité1ChevauxTrait,1)),
AND(INDEX(Règles_chevaux_trait[Specificite],MATCH(RationEtéChevauxTrait&amp;$FD125,Règles_chevaux_trait[Ration]&amp;Règles_chevaux_trait[Aliment],0))="s2",IF($FD125=Spécificité2ChevauxTrait,1)),
INDEX(Règles_chevaux_trait[Specificite],MATCH(RationEtéChevauxTrait&amp;$FD125,Règles_chevaux_trait[Ration]&amp;Règles_chevaux_trait[Aliment],0))="c"),
INDEX(Règles_chevaux_trait[Valeur 36 et plus],MATCH(RationEtéChevauxTrait&amp;$FD125,Règles_chevaux_trait[Ration]&amp;Règles_chevaux_trait[Aliment],0)),0),0)*TotalJumentTrait*SUM(NbreJoursNourrirChevauxTrait))</f>
        <v>0</v>
      </c>
      <c r="FF125" s="1283">
        <f t="array" ref="FF125">IF(OR(ChoixRationComplèteEtéChevauxTrait=OUI,ChoixRationComplèteEtéChevauxTrait="",AND(ChoixChevauxTraitPréHiver=OUI,ChoixChevauxTraitPréEté=OUI)),0,IFERROR(IF(OR(AND(INDEX(Règles_chevaux_trait[Specificite],MATCH(RationEtéChevauxTrait&amp;$FD125,Règles_chevaux_trait[Ration]&amp;Règles_chevaux_trait[Aliment],0))="s1",IF($FD125=Spécificité1ChevauxTrait,1)),
AND(INDEX(Règles_chevaux_trait[Specificite],MATCH(RationEtéChevauxTrait&amp;$FD125,Règles_chevaux_trait[Ration]&amp;Règles_chevaux_trait[Aliment],0))="s2",IF($FD125=Spécificité2ChevauxTrait,1)),
INDEX(Règles_chevaux_trait[Specificite],MATCH(RationEtéChevauxTrait&amp;$FD125,Règles_chevaux_trait[Ration]&amp;Règles_chevaux_trait[Aliment],0))="c"),
INDEX(Règles_chevaux_trait[Valeur 24-36],MATCH(RationEtéChevauxTrait&amp;$FD125,Règles_chevaux_trait[Ration]&amp;Règles_chevaux_trait[Aliment],0)),0),0)*TotalJeuneJumentTrait_24_36_mois*SUM(NbreJoursNourrirChevauxTrait))</f>
        <v>0</v>
      </c>
      <c r="FG125" s="1283">
        <f t="array" ref="FG125">IF(OR(ChoixRationComplèteEtéChevauxTrait=OUI,ChoixRationComplèteEtéChevauxTrait="",AND(ChoixChevauxTraitPréHiver=OUI,ChoixChevauxTraitPréEté=OUI)),0,IFERROR(IF(OR(AND(INDEX(Règles_chevaux_trait[Specificite],MATCH(RationEtéChevauxTrait&amp;$FD125,Règles_chevaux_trait[Ration]&amp;Règles_chevaux_trait[Aliment],0))="s1",IF($FD125=Spécificité1ChevauxTrait,1)),
AND(INDEX(Règles_chevaux_trait[Specificite],MATCH(RationEtéChevauxTrait&amp;$FD125,Règles_chevaux_trait[Ration]&amp;Règles_chevaux_trait[Aliment],0))="s2",IF($FD125=Spécificité2ChevauxTrait,1)),
INDEX(Règles_chevaux_trait[Specificite],MATCH(RationEtéChevauxTrait&amp;$FD125,Règles_chevaux_trait[Ration]&amp;Règles_chevaux_trait[Aliment],0))="c"),
INDEX(Règles_chevaux_trait[Valeur 12-24],MATCH(RationEtéChevauxTrait&amp;$FD125,Règles_chevaux_trait[Ration]&amp;Règles_chevaux_trait[Aliment],0)),0),0)*TotalJeuneJumentTrait_12_24_mois*SUM(NbreJoursNourrirChevauxTrait))</f>
        <v>0</v>
      </c>
      <c r="FH125" s="1286">
        <f t="array" ref="FH125">IF(OR(ChoixRationComplèteEtéChevauxTrait=OUI,ChoixRationComplèteEtéChevauxTrait="",AND(ChoixChevauxTraitPréHiver=OUI,ChoixChevauxTraitPréEté=OUI)),0,IFERROR(IF(OR(AND(INDEX(Règles_chevaux_trait[Specificite],MATCH(RationEtéChevauxTrait&amp;$FD125,Règles_chevaux_trait[Ration]&amp;Règles_chevaux_trait[Aliment],0))="s1",IF($FD125=Spécificité1ChevauxTrait,1)),
AND(INDEX(Règles_chevaux_trait[Specificite],MATCH(RationEtéChevauxTrait&amp;$FD125,Règles_chevaux_trait[Ration]&amp;Règles_chevaux_trait[Aliment],0))="s2",IF($FD125=Spécificité2ChevauxTrait,1)),
INDEX(Règles_chevaux_trait[Specificite],MATCH(RationEtéChevauxTrait&amp;$FD125,Règles_chevaux_trait[Ration]&amp;Règles_chevaux_trait[Aliment],0))="c"),
INDEX(Règles_chevaux_trait[Valeur 0-12],MATCH(RationEtéChevauxTrait&amp;$FD125,Règles_chevaux_trait[Ration]&amp;Règles_chevaux_trait[Aliment],0)),0),0)*TotalPoulicheTrait_0_12_mois*SUM(NbreJoursNourrirChevauxTrait))</f>
        <v>0</v>
      </c>
      <c r="FI125" s="1286">
        <f t="shared" si="32"/>
        <v>0</v>
      </c>
      <c r="FJ125" s="1345"/>
      <c r="FK125" s="1345"/>
      <c r="FL125" s="1345"/>
      <c r="FM125" s="1321"/>
      <c r="FN125" s="1082" t="str">
        <f t="shared" si="33"/>
        <v>Tourteau de colza</v>
      </c>
      <c r="FO125" s="1282">
        <f t="array" ref="FO125">IF(OR(ChoixRationComplèteEtéPoneys=OUI,ChoixRationComplèteEtéPoneys="",AND(ChoixPoneysPréHiver=OUI,ChoixPoneysPréEté=OUI)),0,IFERROR(IF(OR(AND(INDEX(Règles_poneys[Specificite],MATCH(RationEtéPoneys&amp;$FN125,Règles_poneys[Ration]&amp;Règles_poneys[Aliment],0))="s1",IF($FN125=Spécificité1Poneys,1)),
AND(INDEX(Règles_poneys[Specificite],MATCH(RationEtéPoneys&amp;$FN125,Règles_poneys[Ration]&amp;Règles_poneys[Aliment],0))="s2",IF($FN125=Spécificité2Poneys,1)),
INDEX(Règles_poneys[Specificite],MATCH(RationEtéPoneys&amp;$FN125,Règles_poneys[Ration]&amp;Règles_poneys[Aliment],0))="c"),
INDEX(Règles_poneys[Valeur 36 et plus],MATCH(RationEtéPoneys&amp;$FN125,Règles_poneys[Ration]&amp;Règles_poneys[Aliment],0)),0),0)*TotalJumentPoney*SUM(NbreJoursNourrirPoneys))</f>
        <v>0</v>
      </c>
      <c r="FP125" s="1282">
        <f t="array" ref="FP125">IF(OR(ChoixRationComplèteEtéPoneys=OUI,ChoixRationComplèteEtéPoneys="",AND(ChoixPoneysPréHiver=OUI,ChoixPoneysPréEté=OUI)),0,IFERROR(IF(OR(AND(INDEX(Règles_poneys[Specificite],MATCH(RationEtéPoneys&amp;$FN125,Règles_poneys[Ration]&amp;Règles_poneys[Aliment],0))="s1",IF($FN125=Spécificité1Poneys,1)),
AND(INDEX(Règles_poneys[Specificite],MATCH(RationEtéPoneys&amp;$FN125,Règles_poneys[Ration]&amp;Règles_poneys[Aliment],0))="s2",IF($FN125=Spécificité2Poneys,1)),
INDEX(Règles_poneys[Specificite],MATCH(RationEtéPoneys&amp;$FN125,Règles_poneys[Ration]&amp;Règles_poneys[Aliment],0))="c"),
INDEX(Règles_poneys[Valeur 36 et plus],MATCH(RationEtéPoneys&amp;$FN125,Règles_poneys[Ration]&amp;Règles_poneys[Aliment],0)),0),0)*TotalJeuneJumentPoney_24_36_mois*SUM(NbreJoursNourrirPoneys))</f>
        <v>0</v>
      </c>
      <c r="FQ125" s="1282">
        <f t="array" ref="FQ125">IF(OR(ChoixRationComplèteEtéPoneys=OUI,ChoixRationComplèteEtéPoneys="",AND(ChoixPoneysPréHiver=OUI,ChoixPoneysPréEté=OUI)),0,IFERROR(IF(OR(AND(INDEX(Règles_poneys[Specificite],MATCH(RationEtéPoneys&amp;$FN125,Règles_poneys[Ration]&amp;Règles_poneys[Aliment],0))="s1",IF($FN125=Spécificité1Poneys,1)),
AND(INDEX(Règles_poneys[Specificite],MATCH(RationEtéPoneys&amp;$FN125,Règles_poneys[Ration]&amp;Règles_poneys[Aliment],0))="s2",IF($FN125=Spécificité2Poneys,1)),
INDEX(Règles_poneys[Specificite],MATCH(RationEtéPoneys&amp;$FN125,Règles_poneys[Ration]&amp;Règles_poneys[Aliment],0))="c"),
INDEX(Règles_poneys[Valeur 36 et plus],MATCH(RationEtéPoneys&amp;$FN125,Règles_poneys[Ration]&amp;Règles_poneys[Aliment],0)),0),0)*TotalJeuneJumentPoney_12_24_mois*SUM(NbreJoursNourrirPoneys))</f>
        <v>0</v>
      </c>
      <c r="FR125" s="1285">
        <f t="array" ref="FR125">IF(OR(ChoixRationComplèteEtéPoneys=OUI,ChoixRationComplèteEtéPoneys="",AND(ChoixPoneysPréHiver=OUI,ChoixPoneysPréEté=OUI)),0,IFERROR(IF(OR(AND(INDEX(Règles_poneys[Specificite],MATCH(RationEtéPoneys&amp;$FN125,Règles_poneys[Ration]&amp;Règles_poneys[Aliment],0))="s1",IF($FN125=Spécificité1Poneys,1)),
AND(INDEX(Règles_poneys[Specificite],MATCH(RationEtéPoneys&amp;$FN125,Règles_poneys[Ration]&amp;Règles_poneys[Aliment],0))="s2",IF($FN125=Spécificité2Poneys,1)),
INDEX(Règles_poneys[Specificite],MATCH(RationEtéPoneys&amp;$FN125,Règles_poneys[Ration]&amp;Règles_poneys[Aliment],0))="c"),
INDEX(Règles_poneys[Valeur 36 et plus],MATCH(RationEtéPoneys&amp;$FN125,Règles_poneys[Ration]&amp;Règles_poneys[Aliment],0)),0),0)*TotalPoulichePoney_0_12_mois*SUM(NbreJoursNourrirPoneys))</f>
        <v>0</v>
      </c>
      <c r="FS125" s="1285">
        <f t="shared" si="30"/>
        <v>0</v>
      </c>
      <c r="FT125" s="1345"/>
      <c r="FU125" s="1345"/>
      <c r="FV125" s="1345"/>
      <c r="FW125" s="823">
        <f t="shared" si="28"/>
        <v>0</v>
      </c>
      <c r="FX125" s="828">
        <f t="array" ref="FX12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25" s="828">
        <f t="array" ref="FY12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25" s="828">
        <f t="array" ref="FZ12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25" s="828">
        <f t="array" ref="GA125">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25" s="829">
        <f>SUM(AlimentsGavageCanards[[#This Row],[Valeur 3 et plus]:[Valeur 0-1]])</f>
        <v>0</v>
      </c>
      <c r="GC125" s="1321"/>
      <c r="GD125" s="1321"/>
      <c r="GE125" s="1321"/>
      <c r="GF125" s="1321"/>
      <c r="GG125" s="1321" t="s">
        <v>1349</v>
      </c>
      <c r="GH125" s="1321" t="s">
        <v>1349</v>
      </c>
      <c r="GI125" s="1321" t="s">
        <v>1349</v>
      </c>
      <c r="GJ125" s="1321" t="s">
        <v>1349</v>
      </c>
      <c r="GK125" s="1321" t="s">
        <v>1349</v>
      </c>
      <c r="GL125" s="1321" t="s">
        <v>1349</v>
      </c>
      <c r="GM125" s="1321" t="s">
        <v>1349</v>
      </c>
      <c r="GN125" s="1321" t="s">
        <v>1349</v>
      </c>
      <c r="GO125" s="1321" t="s">
        <v>1349</v>
      </c>
      <c r="GP125" s="1321" t="s">
        <v>1349</v>
      </c>
      <c r="GQ125" s="1321" t="s">
        <v>1349</v>
      </c>
      <c r="GR125" s="1321" t="s">
        <v>1349</v>
      </c>
      <c r="GS125" s="1321" t="s">
        <v>1349</v>
      </c>
      <c r="GT125" s="1321" t="s">
        <v>1349</v>
      </c>
      <c r="GU125" s="1321" t="s">
        <v>1349</v>
      </c>
      <c r="GV125" s="1321" t="s">
        <v>1349</v>
      </c>
      <c r="GW125" s="1321"/>
      <c r="GX125" s="1321"/>
      <c r="GY125" s="1321"/>
      <c r="GZ125" s="1321"/>
      <c r="HA125" s="1321"/>
      <c r="HB125" s="1321"/>
      <c r="HC125" s="1321"/>
      <c r="HD125" s="1321"/>
      <c r="HE125" s="1321"/>
      <c r="HF125" s="1321"/>
      <c r="HG125" s="1321"/>
      <c r="HH125" s="1321"/>
      <c r="HI125" s="1321"/>
      <c r="HJ125" s="1321"/>
      <c r="HK125" s="1321"/>
      <c r="HL125" s="1321"/>
      <c r="HM125" s="1321"/>
      <c r="HN125" s="1082" t="s">
        <v>671</v>
      </c>
      <c r="HO125" s="1085" t="e">
        <f>IF(SUM((VLOOKUP(HN125,AlimentsRationBovinsMâles,9,FALSE)+VLOOKUP(HN125,AlimentsRationBovinsFemelles,9,FALSE)+VLOOKUP(HN125,BDD!BB$284:BJ$323,9,FALSE))/1000/SUM(NbreJoursNourrirBovins)*IF('semences, engrais et traitement'!I$16=OUI,42,84))&lt;0,0,SUM((VLOOKUP(HN125,AlimentsRationBovinsMâles,9,FALSE)+VLOOKUP(HN125,AlimentsRationBovinsFemelles,9,FALSE)+VLOOKUP(HN125,BDD!BB$284:BJ$323,9,FALSE))/1000/SUM(NbreJoursNourrirBovins)*IF('semences, engrais et traitement'!I$16=OUI,42,84)))</f>
        <v>#DIV/0!</v>
      </c>
      <c r="HP125" s="1085">
        <f t="shared" si="36"/>
        <v>0</v>
      </c>
      <c r="HQ125" s="1085" t="e">
        <f>IF(SUM(VLOOKUP(HN125,AlimentsRationPorcinsMâles[],7,FALSE)+VLOOKUP(HN125,AlimentsRationPorcinsFemelles[],7,FALSE))/1000/SUM(NbreJoursNourrirAutres)*84&lt;0,0,SUM(VLOOKUP(HN125,AlimentsRationPorcinsMâles[],7,FALSE)+VLOOKUP(HN125,AlimentsRationPorcinsFemelles[],7,FALSE)/1000/SUM(NbreJoursNourrirAutres)*84))</f>
        <v>#DIV/0!</v>
      </c>
      <c r="HR125" s="1085" t="e">
        <f>IF(SUM(VLOOKUP(HN125,AlimentsRationCaprinsMâles,6,FALSE)+VLOOKUP(HN125,AlimentsRationCaprinsFemelles,6,FALSE))/1000/SUM(NbreJoursNourrirCaprins)*IF('semences, engrais et traitement'!I$17=OUI,42,84)&lt;0,0,SUM(VLOOKUP(HN125,AlimentsRationCaprinsMâles,6,FALSE)+VLOOKUP(HN125,AlimentsRationCaprinsFemelles,6,FALSE))/1000/SUM(NbreJoursNourrirCaprins)*IF('semences, engrais et traitement'!I$17=OUI,42,84))</f>
        <v>#DIV/0!</v>
      </c>
      <c r="HS125" s="1085" t="e">
        <f>IF(SUM(VLOOKUP(HN125,AlimentsRationVolaillesMâles[],5,FALSE)+VLOOKUP(HN125,AlimentsRationVolaillesFemelles[],5,FALSE))/1000/SUM(NbreJoursNourrirAutres)*84&lt;0,0,SUM(VLOOKUP(HN125,AlimentsRationVolaillesMâles[],5,FALSE)+VLOOKUP(HN125,AlimentsRationVolaillesFemelles[],5,FALSE)/1000/SUM(NbreJoursNourrirAutres)*84))</f>
        <v>#DIV/0!</v>
      </c>
      <c r="HT125" s="1085" t="e">
        <f>IF(SUM(VLOOKUP(HN125,AlimentsRationPintadesMâles[],5,FALSE)+VLOOKUP(HN125,AlimentsRationPintadesFemelles[],5,FALSE))/1000/SUM(NbreJoursNourrirAutres)*84&lt;0,0,SUM(VLOOKUP(HN125,AlimentsRationPintadesMâles[],5,FALSE)+VLOOKUP(HN125,AlimentsRationPintadesFemelles[],5,FALSE)/1000/SUM(NbreJoursNourrirAutres)*84))</f>
        <v>#DIV/0!</v>
      </c>
      <c r="HU125" s="1085" t="e">
        <f>IF(SUM(VLOOKUP(HN125,AlimentsRationLapinsMâles[],5,FALSE)+VLOOKUP(HN125,AlimentsRationLapinsFemelles[],5,FALSE))/1000/SUM(NbreJoursNourrirAutres)*84&lt;0,0,SUM(VLOOKUP(HN125,AlimentsRationLapinsMâles[],5,FALSE)+VLOOKUP(HN125,AlimentsRationLapinsFemelles[],5,FALSE)/1000/SUM(NbreJoursNourrirAutres)*84))</f>
        <v>#DIV/0!</v>
      </c>
      <c r="HV125" s="1085" t="e">
        <f>IF(SUM(VLOOKUP(HN125,AlimentsRationOvinsMâles,6,FALSE)+VLOOKUP(HN125,AlimentsRationOvinsFemelles,6,FALSE))/1000/SUM(NbreJoursNourrirOvins)*IF('semences, engrais et traitement'!I$18=OUI,42,84)&lt;0,0,SUM(VLOOKUP(HN125,AlimentsRationOvinsMâles,6,FALSE)+VLOOKUP(HN125,AlimentsRationOvinsFemelles,6,FALSE))/1000/SUM(NbreJoursNourrirOvins)*IF('semences, engrais et traitement'!I$18=OUI,42,84))</f>
        <v>#DIV/0!</v>
      </c>
      <c r="HW125" s="1085" t="e">
        <f>IF(SUM(VLOOKUP(HN125,AlimentsRationOiesMâles[],5,FALSE)+VLOOKUP(HN125,AlimentsRationOiesFemelles[],5,FALSE))/1000/SUM(NbreJoursNourrirAutres)*84&lt;0,0,SUM(VLOOKUP(HN125,AlimentsRationOiesMâles[],5,FALSE)+VLOOKUP(HN125,AlimentsRationOiesFemelles[],5,FALSE)/1000/SUM(NbreJoursNourrirAutres)*84))</f>
        <v>#DIV/0!</v>
      </c>
      <c r="HX125" s="1085" t="e">
        <f t="shared" si="48"/>
        <v>#DIV/0!</v>
      </c>
      <c r="HY125" s="1085" t="e">
        <f>IF(SUM(VLOOKUP(HN125,AlimentsRationEcurieChevauxMâlesSelle,6,FALSE)+VLOOKUP(HN125,AlimentsRationEcurieChevauxFemellesSelle,6,FALSE))/1000/SUM(NbreJoursNourrirChevauxSelle)*IF('semences, engrais et traitement'!M$16=OUI,56,84)&lt;0,0,SUM(VLOOKUP(HN125,AlimentsRationEcurieChevauxMâlesSelle,6,FALSE)+VLOOKUP(HN125,AlimentsRationEcurieChevauxFemellesSelle,6,FALSE))/1000/SUM(NbreJoursNourrirChevauxSelle)*IF('semences, engrais et traitement'!M$16=OUI,56,84))</f>
        <v>#DIV/0!</v>
      </c>
      <c r="HZ125" s="1085" t="e">
        <f>IF(SUM(VLOOKUP(HN125,AlimentsRationEcurieChevauxMâlesTrait,6,FALSE)+VLOOKUP(HN125,AlimentsRationEcurieChevauxFemellesTrait,6,FALSE))/1000/SUM(NbreJoursNourrirChevauxTrait)*IF('semences, engrais et traitement'!M$17=OUI,56,84)&lt;0,0,SUM(VLOOKUP(HN125,AlimentsRationEcurieChevauxMâlesTrait,6,FALSE)+VLOOKUP(HN125,AlimentsRationEcurieChevauxFemellesTrait,6,FALSE))/1000/SUM(NbreJoursNourrirChevauxTrait)*IF('semences, engrais et traitement'!M$17=OUI,56,84))</f>
        <v>#DIV/0!</v>
      </c>
      <c r="IA125" s="1085" t="e">
        <f>IF(SUM(VLOOKUP(HN125,AlimentsRationEcuriePoneysMâles,6,FALSE)+VLOOKUP(HN125,AlimentsRationEcuriePoneysFemelles,6,FALSE))/1000/SUM(NbreJoursNourrirPoneys)*IF('semences, engrais et traitement'!M$18=OUI,56,84)&lt;0,0,SUM(VLOOKUP(HN125,AlimentsRationEcuriePoneysMâles,6,FALSE)+VLOOKUP(HN125,AlimentsRationEcuriePoneysFemelles,6,FALSE))/1000/SUM(NbreJoursNourrirPoneys)*IF('semences, engrais et traitement'!M$18=OUI,56,84))</f>
        <v>#DIV/0!</v>
      </c>
      <c r="IB125" s="1099" t="e">
        <f t="shared" si="38"/>
        <v>#DIV/0!</v>
      </c>
      <c r="IC125" s="1321"/>
      <c r="ID125" s="1321"/>
      <c r="IE125" s="1321"/>
      <c r="IF125" s="1321"/>
      <c r="IG125" s="1321"/>
      <c r="IH125" s="1321"/>
      <c r="II125" s="1321"/>
      <c r="IJ125" s="1321"/>
      <c r="IK125" s="1321"/>
      <c r="IL125" s="1321"/>
      <c r="IM125" s="1321"/>
      <c r="IN125" s="1368"/>
    </row>
    <row r="126" spans="1:248" ht="12.75" customHeight="1" x14ac:dyDescent="0.2">
      <c r="A126" s="1307" t="s">
        <v>30</v>
      </c>
      <c r="B126" s="1241">
        <f t="shared" si="39"/>
        <v>1E-3</v>
      </c>
      <c r="C126" s="1321"/>
      <c r="D126" s="1321"/>
      <c r="E126" s="1321"/>
      <c r="F126" s="1143" t="s">
        <v>861</v>
      </c>
      <c r="G126" s="1143">
        <v>0.43</v>
      </c>
      <c r="H126" s="1321"/>
      <c r="I126" s="1321"/>
      <c r="J126" s="1321"/>
      <c r="K126" s="1321"/>
      <c r="L126" s="1321"/>
      <c r="M126" s="1321"/>
      <c r="N126" s="1321"/>
      <c r="O126" s="1321"/>
      <c r="P126" s="1321"/>
      <c r="Q126" s="1321"/>
      <c r="R126" s="1321"/>
      <c r="S126" s="1321"/>
      <c r="T126" s="1321"/>
      <c r="U126" s="1321"/>
      <c r="V126" s="1321"/>
      <c r="W126" s="1321"/>
      <c r="X126" s="1321"/>
      <c r="Y126" s="1321"/>
      <c r="Z126" s="1321"/>
      <c r="AA126" s="1321"/>
      <c r="AB126" s="1321"/>
      <c r="AC126" s="1321"/>
      <c r="AD126" s="1321"/>
      <c r="AE126" s="1321"/>
      <c r="AF126" s="1321"/>
      <c r="AG126" s="1321"/>
      <c r="AH126" s="1321"/>
      <c r="AI126" s="1321"/>
      <c r="AJ126" s="1321"/>
      <c r="AK126" s="1321"/>
      <c r="AL126" s="1321"/>
      <c r="AM126" s="1321"/>
      <c r="AN126" s="1321"/>
      <c r="AO126" s="1321"/>
      <c r="AP126" s="1321"/>
      <c r="AQ126" s="1321"/>
      <c r="AR126" s="1321"/>
      <c r="AS126" s="1321"/>
      <c r="AT126" s="1321"/>
      <c r="AU126" s="1321"/>
      <c r="AV126" s="1321"/>
      <c r="AW126" s="1321"/>
      <c r="AX126" s="1321"/>
      <c r="AY126" s="1321"/>
      <c r="AZ126" s="1321"/>
      <c r="BA126" s="1321"/>
      <c r="BB126" s="1236" t="s">
        <v>731</v>
      </c>
      <c r="BC126" s="1190" t="s">
        <v>76</v>
      </c>
      <c r="BD126" s="1190" t="s">
        <v>1253</v>
      </c>
      <c r="BE126" s="1237">
        <v>7.2</v>
      </c>
      <c r="BF126" s="1237">
        <v>6</v>
      </c>
      <c r="BG126" s="1237">
        <v>4</v>
      </c>
      <c r="BH126" s="1237">
        <v>2</v>
      </c>
      <c r="BI126" s="1237">
        <v>1.2</v>
      </c>
      <c r="BJ126" s="1237">
        <v>0.6</v>
      </c>
      <c r="BK126" s="1238">
        <v>0</v>
      </c>
      <c r="BL126" s="1348"/>
      <c r="BM126" s="1076" t="str">
        <f t="shared" si="47"/>
        <v>Epinard</v>
      </c>
      <c r="BN126" s="1267">
        <f t="array" ref="BN126">SUM((IF(QualitéAlimentsBisonneauxMâles_0_3_mois=BONNE,VLOOKUP("Epinard",AlimentsRationHivernaleBisonsMâles,8,FALSE),0)+(IF(QualitéAlimentsBisonneauxFemelles_0_3_mois=BONNE,VLOOKUP("Epinard",AlimentsRationHivernaleBisonsFemelles,8,FALSE),0)+(IF(QualitéAlimentsBisonneauxMâles_3_6_mois=BONNE,VLOOKUP("Epinard",AlimentsRationHivernaleBisonsMâles,7,FALSE),0)+(IF(QualitéAlimentsBisonneauxFemelles_3_6_mois=BONNE,VLOOKUP("Epinard",AlimentsRationHivernaleBisonsFemelles,7,FALSE),0)+(IF(QualitéAlimentsBisonneauxMâles_6_12_mois=BONNE,VLOOKUP("Epinard",AlimentsRationHivernaleBisonsMâles,6,FALSE),0)+(IF(QualitéAlimentsBisonneauxFemelles_6_12_mois=BONNE,VLOOKUP("Epinard",AlimentsRationHivernaleBisonsFemelles,6,FALSE),0)+(IF(QualitéAlimentsJeunesBisons_12_18_mois=BONNE,VLOOKUP("Epinard",AlimentsRationHivernaleBisonsMâles,5,FALSE),0)+(IF(QualitéAlimentsJeunesBisonnes_12_18_mois=BONNE,VLOOKUP("Epinard",AlimentsRationHivernaleBisonsFemelles,5,FALSE),0)+(IF(QualitéAlimentsJeunesBisons_18_24_mois=BONNE,VLOOKUP("Epinard",AlimentsRationHivernaleBisonsMâles,4,FALSE),0)+(IF(QualitéAlimentsJeunesBisonnes_18_24_mois=BONNE,VLOOKUP("Epinard",AlimentsRationHivernaleBisonsFemelles,4,FALSE),0)+(IF(QualitéAlimentsJeunesBisons_24_36_mois=BONNE,VLOOKUP("Epinard",AlimentsRationHivernaleBisonsMâles,3,FALSE),0)+(IF(QualitéAlimentsJeunesBisonnes_24_36_mois=BONNE,VLOOKUP("Epinard",AlimentsRationHivernaleBisonsFemelles,3,FALSE),0)+(IF(QualitéAlimentsBisons=BONNE,VLOOKUP("Epinard",AlimentsRationHivernaleBisonsMâles,2,FALSE),0)+(IF(QualitéAlimentsBisonnes=BONNE,VLOOKUP("Epinard",AlimentsRationHivernaleBisonsFemelles,2,FALSE),0))))))))))))))))</f>
        <v>0</v>
      </c>
      <c r="BO126" s="1267">
        <f t="array" ref="BO126">SUM((IF(QualitéAlimentsBisonneauxMâles_0_3_mois=MOYENNE,VLOOKUP("Epinard",AlimentsRationHivernaleBisonsMâles,8,FALSE),0)+(IF(QualitéAlimentsBisonneauxFemelles_0_3_mois=MOYENNE,VLOOKUP("Epinard",AlimentsRationHivernaleBisonsFemelles,8,FALSE),0)+(IF(QualitéAlimentsBisonneauxMâles_3_6_mois=MOYENNE,VLOOKUP("Epinard",AlimentsRationHivernaleBisonsMâles,7,FALSE),0)+(IF(QualitéAlimentsBisonneauxFemelles_3_6_mois=MOYENNE,VLOOKUP("Epinard",AlimentsRationHivernaleBisonsFemelles,7,FALSE),0)+(IF(QualitéAlimentsBisonneauxMâles_6_12_mois=MOYENNE,VLOOKUP("Epinard",AlimentsRationHivernaleBisonsMâles,6,FALSE),0)+(IF(QualitéAlimentsBisonneauxFemelles_6_12_mois=MOYENNE,VLOOKUP("Epinard",AlimentsRationHivernaleBisonsFemelles,6,FALSE),0)+(IF(QualitéAlimentsJeunesBisons_12_18_mois=MOYENNE,VLOOKUP("Epinard",AlimentsRationHivernaleBisonsMâles,5,FALSE),0)+(IF(QualitéAlimentsJeunesBisonnes_12_18_mois=MOYENNE,VLOOKUP("Epinard",AlimentsRationHivernaleBisonsFemelles,5,FALSE),0)+(IF(QualitéAlimentsJeunesBisons_18_24_mois=MOYENNE,VLOOKUP("Epinard",AlimentsRationHivernaleBisonsMâles,4,FALSE),0)+(IF(QualitéAlimentsJeunesBisonnes_18_24_mois=MOYENNE,VLOOKUP("Epinard",AlimentsRationHivernaleBisonsFemelles,4,FALSE),0)+(IF(QualitéAlimentsJeunesBisons_24_36_mois=MOYENNE,VLOOKUP("Epinard",AlimentsRationHivernaleBisonsMâles,3,FALSE),0)+(IF(QualitéAlimentsJeunesBisonnes_24_36_mois=MOYENNE,VLOOKUP("Epinard",AlimentsRationHivernaleBisonsFemelles,3,FALSE),0)+(IF(QualitéAlimentsBisons=MOYENNE,VLOOKUP("Epinard",AlimentsRationHivernaleBisonsMâles,2,FALSE),0)+(IF(QualitéAlimentsBisonnes=MOYENNE,VLOOKUP("Epinard",AlimentsRationHivernaleBisonsFemelles,2,FALSE),0))))))))))))))))</f>
        <v>0</v>
      </c>
      <c r="BP126" s="1267">
        <f t="array" ref="BP126">SUM((IF(QualitéAlimentsBisonneauxMâles_0_3_mois=MAUVAISE,VLOOKUP("Epinard",AlimentsRationHivernaleBisonsMâles,8,FALSE),0)+(IF(QualitéAlimentsBisonneauxFemelles_0_3_mois=MAUVAISE,VLOOKUP("Epinard",AlimentsRationHivernaleBisonsFemelles,8,FALSE),0)+(IF(QualitéAlimentsBisonneauxMâles_3_6_mois=MAUVAISE,VLOOKUP("Epinard",AlimentsRationHivernaleBisonsMâles,7,FALSE),0)+(IF(QualitéAlimentsBisonneauxFemelles_3_6_mois=MAUVAISE,VLOOKUP("Epinard",AlimentsRationHivernaleBisonsFemelles,7,FALSE),0)+(IF(QualitéAlimentsBisonneauxMâles_6_12_mois=MAUVAISE,VLOOKUP("Epinard",AlimentsRationHivernaleBisonsMâles,6,FALSE),0)+(IF(QualitéAlimentsBisonneauxFemelles_6_12_mois=MAUVAISE,VLOOKUP("Epinard",AlimentsRationHivernaleBisonsFemelles,6,FALSE),0)+(IF(QualitéAlimentsJeunesBisons_12_18_mois=MAUVAISE,VLOOKUP("Epinard",AlimentsRationHivernaleBisonsMâles,5,FALSE),0)+(IF(QualitéAlimentsJeunesBisonnes_12_18_mois=MAUVAISE,VLOOKUP("Epinard",AlimentsRationHivernaleBisonsFemelles,5,FALSE),0)+(IF(QualitéAlimentsJeunesBisons_18_24_mois=MAUVAISE,VLOOKUP("Epinard",AlimentsRationHivernaleBisonsMâles,4,FALSE),0)+(IF(QualitéAlimentsJeunesBisonnes_18_24_mois=MAUVAISE,VLOOKUP("Epinard",AlimentsRationHivernaleBisonsFemelles,4,FALSE),0)+(IF(QualitéAlimentsJeunesBisons_24_36_mois=MAUVAISE,VLOOKUP("Epinard",AlimentsRationHivernaleBisonsMâles,3,FALSE),0)+(IF(QualitéAlimentsJeunesBisonnes_24_36_mois=MAUVAISE,VLOOKUP("Epinard",AlimentsRationHivernaleBisonsFemelles,3,FALSE),0)+(IF(QualitéAlimentsBisons=MAUVAISE,VLOOKUP("Epinard",AlimentsRationHivernaleBisonsMâles,2,FALSE),0)+(IF(QualitéAlimentsBisonnes=MAUVAISE,VLOOKUP("Epinard",AlimentsRationHivernaleBisonsFemelles,2,FALSE),0))))))))))))))))</f>
        <v>0</v>
      </c>
      <c r="BQ126" s="1346"/>
      <c r="BR126" s="1346"/>
      <c r="BS126" s="1346"/>
      <c r="BT126" s="1346"/>
      <c r="BU126" s="1346"/>
      <c r="BV126" s="1345"/>
      <c r="BW126" s="1345"/>
      <c r="BX126" s="1076" t="s">
        <v>672</v>
      </c>
      <c r="BY126" s="1076">
        <f t="array" ref="BY126">IF(ChoixRationComplèteCaprins=OUI,0,IFERROR(IF(OR(AND(INDEX(Règles_caprins[Specificite],MATCH(ChoixRationCaprins&amp;$BX126,Règles_caprins[Ration]&amp;Règles_caprins[Aliment],0))="s1",IF($BX126=Spécificité1Caprins,1)),
INDEX(Règles_caprins[Specificite],MATCH(ChoixRationCaprins&amp;$BX126,Règles_caprins[Ration]&amp;Règles_caprins[Aliment],0))="c"),
INDEX(Règles_caprins[Valeur 12 et plus],MATCH(ChoixRationCaprins&amp;$BX126,Règles_caprins[Ration]&amp;Règles_caprins[Aliment],0)),0),0)*TotalBoucs*SUM(NbreJoursNourrirCaprins))</f>
        <v>0</v>
      </c>
      <c r="BZ126" s="1076">
        <f t="array" ref="BZ126">IF(ChoixRationComplèteCaprins=OUI,0,IFERROR(IF(OR(AND(INDEX(Règles_caprins[Specificite],MATCH(ChoixRationCaprins&amp;$BX126,Règles_caprins[Ration]&amp;Règles_caprins[Aliment],0))="s1",IF($BX126=Spécificité1Caprins,1)),
INDEX(Règles_caprins[Specificite],MATCH(ChoixRationCaprins&amp;$BX126,Règles_caprins[Ration]&amp;Règles_caprins[Aliment],0))="c"),
INDEX(Règles_caprins[Valeur 6-12],MATCH(ChoixRationCaprins&amp;$BX126,Règles_caprins[Ration]&amp;Règles_caprins[Aliment],0)),0),0)*jeune_bouc_6_12_mois*SUM(NbreJoursNourrirCaprins))</f>
        <v>0</v>
      </c>
      <c r="CA126" s="1076">
        <f t="array" ref="CA126">IF(ChoixRationComplèteCaprins=OUI,0,IFERROR(IF(OR(AND(INDEX(Règles_caprins[Specificite],MATCH(ChoixRationCaprins&amp;$BX126,Règles_caprins[Ration]&amp;Règles_caprins[Aliment],0))="s1",IF($BX126=Spécificité1Caprins,1)),
INDEX(Règles_caprins[Specificite],MATCH(ChoixRationCaprins&amp;$BX126,Règles_caprins[Ration]&amp;Règles_caprins[Aliment],0))="c"),
INDEX(Règles_caprins[Valeur 3-6],MATCH(ChoixRationCaprins&amp;$BX126,Règles_caprins[Ration]&amp;Règles_caprins[Aliment],0)),0),0)*chevreau_3_6_mois*SUM(NbreJoursNourrirCaprins))</f>
        <v>0</v>
      </c>
      <c r="CB126" s="1076">
        <f t="array" ref="CB126">IF(ChoixRationComplèteCaprins=OUI,0,IFERROR(IF(OR(AND(INDEX(Règles_caprins[Specificite],MATCH(ChoixRationCaprins&amp;$BX126,Règles_caprins[Ration]&amp;Règles_caprins[Aliment],0))="s1",IF($BX126=Spécificité1Caprins,1)),
INDEX(Règles_caprins[Specificite],MATCH(ChoixRationCaprins&amp;$BX126,Règles_caprins[Ration]&amp;Règles_caprins[Aliment],0))="c"),
INDEX(Règles_caprins[Valeur 0-3],MATCH(ChoixRationCaprins&amp;$BX126,Règles_caprins[Ration]&amp;Règles_caprins[Aliment],0)),0),0)*chevreau_0_3_mois*SUM(NbreJoursNourrirCaprins))</f>
        <v>0</v>
      </c>
      <c r="CC126" s="1076">
        <f t="shared" si="45"/>
        <v>0</v>
      </c>
      <c r="CD126" s="1345"/>
      <c r="CE126" s="1345"/>
      <c r="CF126" s="1345"/>
      <c r="CG126" s="1345"/>
      <c r="CH126" s="1321"/>
      <c r="CI126" s="1321"/>
      <c r="CJ126" s="792" t="s">
        <v>723</v>
      </c>
      <c r="CK126" s="805">
        <f t="array" ref="CK126">IF(ChoixRationComplètePorcins=NON,0,IFERROR(IF(OR(AND(INDEX(Règles_porcins[Specificite],MATCH(ChoixRationPorcins&amp;Ration_complète_porcins[[#This Row],[aliment]],Règles_porcins[Ration]&amp;Règles_porcins[Aliment],0))="s1",IF(Ration_complète_porcins[[#This Row],[aliment]]=Spécificité1Porcins,1)),
INDEX(Règles_porcins[Specificite],MATCH(ChoixRationPorcins&amp;Ration_complète_porcins[[#This Row],[aliment]],Règles_porcins[Ration]&amp;Règles_porcins[Aliment],0))="c",INDEX(Règles_porcins[Specificite],MATCH(ChoixRationPorcins&amp;Ration_complète_porcins[[#This Row],[aliment]],Règles_porcins[Ration]&amp;Règles_porcins[Aliment],0))="complet"),
INDEX(Règles_porcins[Valeur 12 et plus],MATCH(ChoixRationPorcins&amp;Ration_complète_porcins[[#This Row],[aliment]],Règles_porcins[Ration]&amp;Règles_porcins[Aliment],0)),0),0)*SUM(TotalPorcinsAdultes)*SUM(Z76:Z100))</f>
        <v>0</v>
      </c>
      <c r="CL126" s="805">
        <f t="array" ref="CL126">IF(ChoixRationComplètePorcins=NON,0,IFERROR(IF(OR(AND(INDEX(Règles_porcins[Specificite],MATCH(ChoixRationPorcins&amp;Ration_complète_porcins[[#This Row],[aliment]],Règles_porcins[Ration]&amp;Règles_porcins[Aliment],0))="s1",IF(Ration_complète_porcins[[#This Row],[aliment]]=Spécificité1Porcins,1)),
INDEX(Règles_porcins[Specificite],MATCH(ChoixRationPorcins&amp;Ration_complète_porcins[[#This Row],[aliment]],Règles_porcins[Ration]&amp;Règles_porcins[Aliment],0))="c",INDEX(Règles_porcins[Specificite],MATCH(ChoixRationPorcins&amp;Ration_complète_porcins[[#This Row],[aliment]],Règles_porcins[Ration]&amp;Règles_porcins[Aliment],0))="complet"),
INDEX(Règles_porcins[Valeur 6-12],MATCH(ChoixRationPorcins&amp;Ration_complète_porcins[[#This Row],[aliment]],Règles_porcins[Ration]&amp;Règles_porcins[Aliment],0)),0),0)*SUM(TotalPorcins_6_12Mois)*SUM(Z76:Z100))</f>
        <v>0</v>
      </c>
      <c r="CM126" s="805">
        <f t="array" ref="CM126">IF(ChoixRationComplètePorcins=NON,0,IFERROR(IF(OR(AND(INDEX(Règles_porcins[Specificite],MATCH(ChoixRationPorcins&amp;Ration_complète_porcins[[#This Row],[aliment]],Règles_porcins[Ration]&amp;Règles_porcins[Aliment],0))="s1",IF(Ration_complète_porcins[[#This Row],[aliment]]=Spécificité1Porcins,1)),
INDEX(Règles_porcins[Specificite],MATCH(ChoixRationPorcins&amp;Ration_complète_porcins[[#This Row],[aliment]],Règles_porcins[Ration]&amp;Règles_porcins[Aliment],0))="c",INDEX(Règles_porcins[Specificite],MATCH(ChoixRationPorcins&amp;Ration_complète_porcins[[#This Row],[aliment]],Règles_porcins[Ration]&amp;Règles_porcins[Aliment],0))="complet"),
INDEX(Règles_porcins[Valeur 3-6],MATCH(ChoixRationPorcins&amp;Ration_complète_porcins[[#This Row],[aliment]],Règles_porcins[Ration]&amp;Règles_porcins[Aliment],0)),0),0)*SUM(TotalPorcins_3_6Mois)*SUM(Z76:Z100))</f>
        <v>0</v>
      </c>
      <c r="CN126" s="805">
        <f t="array" ref="CN126">IF(ChoixRationComplètePorcins=NON,0,IFERROR(IF(OR(AND(INDEX(Règles_porcins[Specificite],MATCH(ChoixRationPorcins&amp;Ration_complète_porcins[[#This Row],[aliment]],Règles_porcins[Ration]&amp;Règles_porcins[Aliment],0))="s1",IF(Ration_complète_porcins[[#This Row],[aliment]]=Spécificité1Porcins,1)),
INDEX(Règles_porcins[Specificite],MATCH(ChoixRationPorcins&amp;Ration_complète_porcins[[#This Row],[aliment]],Règles_porcins[Ration]&amp;Règles_porcins[Aliment],0))="c",INDEX(Règles_porcins[Specificite],MATCH(ChoixRationPorcins&amp;Ration_complète_porcins[[#This Row],[aliment]],Règles_porcins[Ration]&amp;Règles_porcins[Aliment],0))="complet"),
INDEX(Règles_porcins[Valeur 1-3],MATCH(ChoixRationPorcins&amp;Ration_complète_porcins[[#This Row],[aliment]],Règles_porcins[Ration]&amp;Règles_porcins[Aliment],0)),0),0)*SUM(TotalPorcins_1_3Mois)*SUM(Z76:Z100))</f>
        <v>0</v>
      </c>
      <c r="CO126" s="805">
        <f t="array" ref="CO126">IF(ChoixRationComplètePorcins=NON,0,IFERROR(IF(OR(AND(INDEX(Règles_porcins[Specificite],MATCH(ChoixRationPorcins&amp;Ration_complète_porcins[[#This Row],[aliment]],Règles_porcins[Ration]&amp;Règles_porcins[Aliment],0))="s1",IF(Ration_complète_porcins[[#This Row],[aliment]]=Spécificité1Porcins,1)),
INDEX(Règles_porcins[Specificite],MATCH(ChoixRationPorcins&amp;Ration_complète_porcins[[#This Row],[aliment]],Règles_porcins[Ration]&amp;Règles_porcins[Aliment],0))="c",INDEX(Règles_porcins[Specificite],MATCH(ChoixRationPorcins&amp;Ration_complète_porcins[[#This Row],[aliment]],Règles_porcins[Ration]&amp;Règles_porcins[Aliment],0))="complet"),
INDEX(Règles_porcins[Valeur 0-1],MATCH(ChoixRationPorcins&amp;Ration_complète_porcins[[#This Row],[aliment]],Règles_porcins[Ration]&amp;Règles_porcins[Aliment],0)),0),0)*SUM(TotalPorcins_0_1Mois)*SUM(Z76:Z100))</f>
        <v>0</v>
      </c>
      <c r="CP126" s="807">
        <f>SUM(Ration_complète_porcins[[Valeur 12 et plus]:[Valeur 1-3]])</f>
        <v>0</v>
      </c>
      <c r="CQ126" s="1321"/>
      <c r="CR126" s="1321"/>
      <c r="CS126" s="808" t="str">
        <f t="shared" si="40"/>
        <v>Soja</v>
      </c>
      <c r="CT126" s="817">
        <f t="array" ref="CT12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26" s="817">
        <f t="array" ref="CU12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26" s="817">
        <f t="array" ref="CV12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26" s="818">
        <f>SUM(AlimentsRationLapinsFemelles[[#This Row],[Valeur 3 et plus]:[Valeur 0-1]])</f>
        <v>0</v>
      </c>
      <c r="CX126" s="1321"/>
      <c r="CY126" s="1321"/>
      <c r="CZ126" s="808" t="str">
        <f t="shared" si="41"/>
        <v>Soja</v>
      </c>
      <c r="DA126" s="817">
        <f t="array" ref="DA12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26" s="817">
        <f t="array" ref="DB12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26" s="817">
        <f t="array" ref="DC12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26" s="818">
        <f>SUM(AlimentsRationVolaillesFemelles[[#This Row],[Valeur 6 et plus]:[Valeur 0-1]])</f>
        <v>0</v>
      </c>
      <c r="DE126" s="1345"/>
      <c r="DF126" s="1321"/>
      <c r="DG126" s="788">
        <f t="shared" si="27"/>
        <v>0</v>
      </c>
      <c r="DH126" s="817">
        <f t="array" ref="DH12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26" s="817">
        <f t="array" ref="DI12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26" s="817">
        <f t="array" ref="DJ126">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26" s="821">
        <f>SUM(AlimentsRationPintadesFemelles[[#This Row],[Valeur 6 et plus]:[Valeur 0-1]])</f>
        <v>0</v>
      </c>
      <c r="DL126" s="1321"/>
      <c r="DM126" s="1321"/>
      <c r="DN126" s="1176" t="s">
        <v>837</v>
      </c>
      <c r="DO126" s="1177" t="s">
        <v>733</v>
      </c>
      <c r="DP126" s="1177" t="s">
        <v>1252</v>
      </c>
      <c r="DQ126" s="1181">
        <v>20</v>
      </c>
      <c r="DR126" s="1181">
        <v>12</v>
      </c>
      <c r="DS126" s="1181">
        <v>8</v>
      </c>
      <c r="DT126" s="1243">
        <v>4</v>
      </c>
      <c r="DU126" s="1346"/>
      <c r="DV126" s="1321"/>
      <c r="DW126" s="1321"/>
      <c r="DX126" s="1321"/>
      <c r="DY126" s="1321"/>
      <c r="DZ126" s="1321"/>
      <c r="EA126" s="1321"/>
      <c r="EB126" s="1321"/>
      <c r="EC126" s="1321"/>
      <c r="ED126" s="1345"/>
      <c r="EE126" s="1345"/>
      <c r="EF126" s="1321"/>
      <c r="EG126" s="808" t="str">
        <f t="shared" si="31"/>
        <v>Tourteau de tournesol</v>
      </c>
      <c r="EH126" s="817">
        <f t="array" ref="EH126">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26" s="817">
        <f t="array" ref="EI126">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26" s="817">
        <f t="array" ref="EJ126">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26" s="818">
        <f>SUM(AlimentsRationOiesFemelles[[#This Row],[Valeur 6 et plus]:[Valeur 0-3]])</f>
        <v>0</v>
      </c>
      <c r="EL126" s="1345"/>
      <c r="EM126" s="1321"/>
      <c r="EN126" s="823" t="str">
        <f t="shared" si="29"/>
        <v>Triticale</v>
      </c>
      <c r="EO126" s="828">
        <f t="array" ref="EO12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26" s="828">
        <f t="array" ref="EP12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26" s="828">
        <f t="array" ref="EQ126">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26" s="829">
        <f>SUM(Ration_canards_Femelles[[#This Row],[Valeur 6 et plus]:[Valeur 0-3]])</f>
        <v>0</v>
      </c>
      <c r="ES126" s="1345"/>
      <c r="ET126" s="1321"/>
      <c r="EU126" s="1082" t="str">
        <f t="shared" si="44"/>
        <v>Pulpe déshydratée de betterave</v>
      </c>
      <c r="EV126" s="1282">
        <f t="array" ref="EV126">IF(OR(ChoixRationComplèteEtéChevauxSelle=OUI,ChoixRationComplèteEtéChevauxSelle="",AND(ChoixChevauxSellePréHiver=OUI,ChoixChevauxSellePréEté=OUI)),0,IFERROR(IF(OR(AND(INDEX(Règles_chevaux_selle[Specificite],MATCH(RationEtéChevauxSelle&amp;$EU126,Règles_chevaux_selle[Ration]&amp;Règles_chevaux_selle[Aliment],0))="s1",IF($EU126=Spécificité1ChevauxSelle,1)),
AND(INDEX(Règles_chevaux_selle[Specificite],MATCH(RationEtéChevauxSelle&amp;$EU126,Règles_chevaux_selle[Ration]&amp;Règles_chevaux_selle[Aliment],0))="s2",IF($EU126=Spécificité2ChevauxSelle,1)),
INDEX(Règles_chevaux_selle[Specificite],MATCH(RationEtéChevauxSelle&amp;$EU126,Règles_chevaux_selle[Ration]&amp;Règles_chevaux_selle[Aliment],0))="c"),
INDEX(Règles_chevaux_selle[Valeur 36 et plus],MATCH(RationEtéChevauxSelle&amp;$EU126,Règles_chevaux_selle[Ration]&amp;Règles_chevaux_selle[Aliment],0)),0),0)*TotalJumentSelle*SUM(NbreJoursNourrirChevauxSelle))</f>
        <v>0</v>
      </c>
      <c r="EW126" s="1282">
        <f t="array" ref="EW126">IF(OR(ChoixRationComplèteEtéChevauxSelle=OUI,ChoixRationComplèteEtéChevauxSelle="",AND(ChoixChevauxSellePréHiver=OUI,ChoixChevauxSellePréEté=OUI)),0,IFERROR(IF(OR(AND(INDEX(Règles_chevaux_selle[Specificite],MATCH(RationEtéChevauxSelle&amp;$EU126,Règles_chevaux_selle[Ration]&amp;Règles_chevaux_selle[Aliment],0))="s1",IF($EU126=Spécificité1ChevauxSelle,1)),
AND(INDEX(Règles_chevaux_selle[Specificite],MATCH(RationEtéChevauxSelle&amp;$EU126,Règles_chevaux_selle[Ration]&amp;Règles_chevaux_selle[Aliment],0))="s2",IF($EU126=Spécificité2ChevauxSelle,1)),
INDEX(Règles_chevaux_selle[Specificite],MATCH(RationEtéChevauxSelle&amp;$EU126,Règles_chevaux_selle[Ration]&amp;Règles_chevaux_selle[Aliment],0))="c"),
INDEX(Règles_chevaux_selle[Valeur 24-36],MATCH(RationEtéChevauxSelle&amp;$EU126,Règles_chevaux_selle[Ration]&amp;Règles_chevaux_selle[Aliment],0)),0),0)*TotalJeuneJumentSelle_24_36_mois*SUM(NbreJoursNourrirChevauxSelle))</f>
        <v>0</v>
      </c>
      <c r="EX126" s="1282">
        <f t="array" ref="EX126">IF(OR(ChoixRationComplèteEtéChevauxSelle=OUI,ChoixRationComplèteEtéChevauxSelle="",AND(ChoixChevauxSellePréHiver=OUI,ChoixChevauxSellePréEté=OUI)),0,IFERROR(IF(OR(AND(INDEX(Règles_chevaux_selle[Specificite],MATCH(RationEtéChevauxSelle&amp;$EU126,Règles_chevaux_selle[Ration]&amp;Règles_chevaux_selle[Aliment],0))="s1",IF($EU126=Spécificité1ChevauxSelle,1)),
AND(INDEX(Règles_chevaux_selle[Specificite],MATCH(RationEtéChevauxSelle&amp;$EU126,Règles_chevaux_selle[Ration]&amp;Règles_chevaux_selle[Aliment],0))="s2",IF($EU126=Spécificité2ChevauxSelle,1)),
INDEX(Règles_chevaux_selle[Specificite],MATCH(RationEtéChevauxSelle&amp;$EU126,Règles_chevaux_selle[Ration]&amp;Règles_chevaux_selle[Aliment],0))="c"),
INDEX(Règles_chevaux_selle[Valeur 12-24],MATCH(RationEtéChevauxSelle&amp;$EU126,Règles_chevaux_selle[Ration]&amp;Règles_chevaux_selle[Aliment],0)),0),0)*TotalJeuneJumentSelle_12_24_mois*SUM(NbreJoursNourrirChevauxSelle))</f>
        <v>0</v>
      </c>
      <c r="EY126" s="1285">
        <f t="array" ref="EY126">IF(OR(ChoixRationComplèteEtéChevauxSelle=OUI,ChoixRationComplèteEtéChevauxSelle="",AND(ChoixChevauxSellePréHiver=OUI,ChoixChevauxSellePréEté=OUI)),0,IFERROR(IF(OR(AND(INDEX(Règles_chevaux_selle[Specificite],MATCH(RationEtéChevauxSelle&amp;$EU126,Règles_chevaux_selle[Ration]&amp;Règles_chevaux_selle[Aliment],0))="s1",IF($EU126=Spécificité1ChevauxSelle,1)),
AND(INDEX(Règles_chevaux_selle[Specificite],MATCH(RationEtéChevauxSelle&amp;$EU126,Règles_chevaux_selle[Ration]&amp;Règles_chevaux_selle[Aliment],0))="s2",IF($EU126=Spécificité2ChevauxSelle,1)),
INDEX(Règles_chevaux_selle[Specificite],MATCH(RationEtéChevauxSelle&amp;$EU126,Règles_chevaux_selle[Ration]&amp;Règles_chevaux_selle[Aliment],0))="c"),
INDEX(Règles_chevaux_selle[Valeur 0-12],MATCH(RationEtéChevauxSelle&amp;$EU126,Règles_chevaux_selle[Ration]&amp;Règles_chevaux_selle[Aliment],0)),0),0)*TotalPoulicheSelle_0_12_mois*SUM(NbreJoursNourrirChevauxSelle))</f>
        <v>0</v>
      </c>
      <c r="EZ126" s="1285">
        <f t="shared" si="43"/>
        <v>0</v>
      </c>
      <c r="FA126" s="1345"/>
      <c r="FB126" s="1345"/>
      <c r="FC126" s="1321"/>
      <c r="FD126" s="1082" t="str">
        <f t="shared" si="34"/>
        <v>Tourteau de colza</v>
      </c>
      <c r="FE126" s="1282">
        <f t="array" ref="FE126">IF(OR(ChoixRationComplèteEtéChevauxTrait=OUI,ChoixRationComplèteEtéChevauxTrait="",AND(ChoixChevauxTraitPréHiver=OUI,ChoixChevauxTraitPréEté=OUI)),0,IFERROR(IF(OR(AND(INDEX(Règles_chevaux_trait[Specificite],MATCH(RationEtéChevauxTrait&amp;$FD126,Règles_chevaux_trait[Ration]&amp;Règles_chevaux_trait[Aliment],0))="s1",IF($FD126=Spécificité1ChevauxTrait,1)),
AND(INDEX(Règles_chevaux_trait[Specificite],MATCH(RationEtéChevauxTrait&amp;$FD126,Règles_chevaux_trait[Ration]&amp;Règles_chevaux_trait[Aliment],0))="s2",IF($FD126=Spécificité2ChevauxTrait,1)),
INDEX(Règles_chevaux_trait[Specificite],MATCH(RationEtéChevauxTrait&amp;$FD126,Règles_chevaux_trait[Ration]&amp;Règles_chevaux_trait[Aliment],0))="c"),
INDEX(Règles_chevaux_trait[Valeur 36 et plus],MATCH(RationEtéChevauxTrait&amp;$FD126,Règles_chevaux_trait[Ration]&amp;Règles_chevaux_trait[Aliment],0)),0),0)*TotalJumentTrait*SUM(NbreJoursNourrirChevauxTrait))</f>
        <v>0</v>
      </c>
      <c r="FF126" s="1282">
        <f t="array" ref="FF126">IF(OR(ChoixRationComplèteEtéChevauxTrait=OUI,ChoixRationComplèteEtéChevauxTrait="",AND(ChoixChevauxTraitPréHiver=OUI,ChoixChevauxTraitPréEté=OUI)),0,IFERROR(IF(OR(AND(INDEX(Règles_chevaux_trait[Specificite],MATCH(RationEtéChevauxTrait&amp;$FD126,Règles_chevaux_trait[Ration]&amp;Règles_chevaux_trait[Aliment],0))="s1",IF($FD126=Spécificité1ChevauxTrait,1)),
AND(INDEX(Règles_chevaux_trait[Specificite],MATCH(RationEtéChevauxTrait&amp;$FD126,Règles_chevaux_trait[Ration]&amp;Règles_chevaux_trait[Aliment],0))="s2",IF($FD126=Spécificité2ChevauxTrait,1)),
INDEX(Règles_chevaux_trait[Specificite],MATCH(RationEtéChevauxTrait&amp;$FD126,Règles_chevaux_trait[Ration]&amp;Règles_chevaux_trait[Aliment],0))="c"),
INDEX(Règles_chevaux_trait[Valeur 24-36],MATCH(RationEtéChevauxTrait&amp;$FD126,Règles_chevaux_trait[Ration]&amp;Règles_chevaux_trait[Aliment],0)),0),0)*TotalJeuneJumentTrait_24_36_mois*SUM(NbreJoursNourrirChevauxTrait))</f>
        <v>0</v>
      </c>
      <c r="FG126" s="1282">
        <f t="array" ref="FG126">IF(OR(ChoixRationComplèteEtéChevauxTrait=OUI,ChoixRationComplèteEtéChevauxTrait="",AND(ChoixChevauxTraitPréHiver=OUI,ChoixChevauxTraitPréEté=OUI)),0,IFERROR(IF(OR(AND(INDEX(Règles_chevaux_trait[Specificite],MATCH(RationEtéChevauxTrait&amp;$FD126,Règles_chevaux_trait[Ration]&amp;Règles_chevaux_trait[Aliment],0))="s1",IF($FD126=Spécificité1ChevauxTrait,1)),
AND(INDEX(Règles_chevaux_trait[Specificite],MATCH(RationEtéChevauxTrait&amp;$FD126,Règles_chevaux_trait[Ration]&amp;Règles_chevaux_trait[Aliment],0))="s2",IF($FD126=Spécificité2ChevauxTrait,1)),
INDEX(Règles_chevaux_trait[Specificite],MATCH(RationEtéChevauxTrait&amp;$FD126,Règles_chevaux_trait[Ration]&amp;Règles_chevaux_trait[Aliment],0))="c"),
INDEX(Règles_chevaux_trait[Valeur 12-24],MATCH(RationEtéChevauxTrait&amp;$FD126,Règles_chevaux_trait[Ration]&amp;Règles_chevaux_trait[Aliment],0)),0),0)*TotalJeuneJumentTrait_12_24_mois*SUM(NbreJoursNourrirChevauxTrait))</f>
        <v>0</v>
      </c>
      <c r="FH126" s="1285">
        <f t="array" ref="FH126">IF(OR(ChoixRationComplèteEtéChevauxTrait=OUI,ChoixRationComplèteEtéChevauxTrait="",AND(ChoixChevauxTraitPréHiver=OUI,ChoixChevauxTraitPréEté=OUI)),0,IFERROR(IF(OR(AND(INDEX(Règles_chevaux_trait[Specificite],MATCH(RationEtéChevauxTrait&amp;$FD126,Règles_chevaux_trait[Ration]&amp;Règles_chevaux_trait[Aliment],0))="s1",IF($FD126=Spécificité1ChevauxTrait,1)),
AND(INDEX(Règles_chevaux_trait[Specificite],MATCH(RationEtéChevauxTrait&amp;$FD126,Règles_chevaux_trait[Ration]&amp;Règles_chevaux_trait[Aliment],0))="s2",IF($FD126=Spécificité2ChevauxTrait,1)),
INDEX(Règles_chevaux_trait[Specificite],MATCH(RationEtéChevauxTrait&amp;$FD126,Règles_chevaux_trait[Ration]&amp;Règles_chevaux_trait[Aliment],0))="c"),
INDEX(Règles_chevaux_trait[Valeur 0-12],MATCH(RationEtéChevauxTrait&amp;$FD126,Règles_chevaux_trait[Ration]&amp;Règles_chevaux_trait[Aliment],0)),0),0)*TotalPoulicheTrait_0_12_mois*SUM(NbreJoursNourrirChevauxTrait))</f>
        <v>0</v>
      </c>
      <c r="FI126" s="1285">
        <f t="shared" si="32"/>
        <v>0</v>
      </c>
      <c r="FJ126" s="1345"/>
      <c r="FK126" s="1345"/>
      <c r="FL126" s="1345"/>
      <c r="FM126" s="1321"/>
      <c r="FN126" s="1083" t="str">
        <f t="shared" si="33"/>
        <v>Tourteau de tournesol</v>
      </c>
      <c r="FO126" s="1283">
        <f t="array" ref="FO126">IF(OR(ChoixRationComplèteEtéPoneys=OUI,ChoixRationComplèteEtéPoneys="",AND(ChoixPoneysPréHiver=OUI,ChoixPoneysPréEté=OUI)),0,IFERROR(IF(OR(AND(INDEX(Règles_poneys[Specificite],MATCH(RationEtéPoneys&amp;$FN126,Règles_poneys[Ration]&amp;Règles_poneys[Aliment],0))="s1",IF($FN126=Spécificité1Poneys,1)),
AND(INDEX(Règles_poneys[Specificite],MATCH(RationEtéPoneys&amp;$FN126,Règles_poneys[Ration]&amp;Règles_poneys[Aliment],0))="s2",IF($FN126=Spécificité2Poneys,1)),
INDEX(Règles_poneys[Specificite],MATCH(RationEtéPoneys&amp;$FN126,Règles_poneys[Ration]&amp;Règles_poneys[Aliment],0))="c"),
INDEX(Règles_poneys[Valeur 36 et plus],MATCH(RationEtéPoneys&amp;$FN126,Règles_poneys[Ration]&amp;Règles_poneys[Aliment],0)),0),0)*TotalJumentPoney*SUM(NbreJoursNourrirPoneys))</f>
        <v>0</v>
      </c>
      <c r="FP126" s="1283">
        <f t="array" ref="FP126">IF(OR(ChoixRationComplèteEtéPoneys=OUI,ChoixRationComplèteEtéPoneys="",AND(ChoixPoneysPréHiver=OUI,ChoixPoneysPréEté=OUI)),0,IFERROR(IF(OR(AND(INDEX(Règles_poneys[Specificite],MATCH(RationEtéPoneys&amp;$FN126,Règles_poneys[Ration]&amp;Règles_poneys[Aliment],0))="s1",IF($FN126=Spécificité1Poneys,1)),
AND(INDEX(Règles_poneys[Specificite],MATCH(RationEtéPoneys&amp;$FN126,Règles_poneys[Ration]&amp;Règles_poneys[Aliment],0))="s2",IF($FN126=Spécificité2Poneys,1)),
INDEX(Règles_poneys[Specificite],MATCH(RationEtéPoneys&amp;$FN126,Règles_poneys[Ration]&amp;Règles_poneys[Aliment],0))="c"),
INDEX(Règles_poneys[Valeur 36 et plus],MATCH(RationEtéPoneys&amp;$FN126,Règles_poneys[Ration]&amp;Règles_poneys[Aliment],0)),0),0)*TotalJeuneJumentPoney_24_36_mois*SUM(NbreJoursNourrirPoneys))</f>
        <v>0</v>
      </c>
      <c r="FQ126" s="1283">
        <f t="array" ref="FQ126">IF(OR(ChoixRationComplèteEtéPoneys=OUI,ChoixRationComplèteEtéPoneys="",AND(ChoixPoneysPréHiver=OUI,ChoixPoneysPréEté=OUI)),0,IFERROR(IF(OR(AND(INDEX(Règles_poneys[Specificite],MATCH(RationEtéPoneys&amp;$FN126,Règles_poneys[Ration]&amp;Règles_poneys[Aliment],0))="s1",IF($FN126=Spécificité1Poneys,1)),
AND(INDEX(Règles_poneys[Specificite],MATCH(RationEtéPoneys&amp;$FN126,Règles_poneys[Ration]&amp;Règles_poneys[Aliment],0))="s2",IF($FN126=Spécificité2Poneys,1)),
INDEX(Règles_poneys[Specificite],MATCH(RationEtéPoneys&amp;$FN126,Règles_poneys[Ration]&amp;Règles_poneys[Aliment],0))="c"),
INDEX(Règles_poneys[Valeur 36 et plus],MATCH(RationEtéPoneys&amp;$FN126,Règles_poneys[Ration]&amp;Règles_poneys[Aliment],0)),0),0)*TotalJeuneJumentPoney_12_24_mois*SUM(NbreJoursNourrirPoneys))</f>
        <v>0</v>
      </c>
      <c r="FR126" s="1286">
        <f t="array" ref="FR126">IF(OR(ChoixRationComplèteEtéPoneys=OUI,ChoixRationComplèteEtéPoneys="",AND(ChoixPoneysPréHiver=OUI,ChoixPoneysPréEté=OUI)),0,IFERROR(IF(OR(AND(INDEX(Règles_poneys[Specificite],MATCH(RationEtéPoneys&amp;$FN126,Règles_poneys[Ration]&amp;Règles_poneys[Aliment],0))="s1",IF($FN126=Spécificité1Poneys,1)),
AND(INDEX(Règles_poneys[Specificite],MATCH(RationEtéPoneys&amp;$FN126,Règles_poneys[Ration]&amp;Règles_poneys[Aliment],0))="s2",IF($FN126=Spécificité2Poneys,1)),
INDEX(Règles_poneys[Specificite],MATCH(RationEtéPoneys&amp;$FN126,Règles_poneys[Ration]&amp;Règles_poneys[Aliment],0))="c"),
INDEX(Règles_poneys[Valeur 36 et plus],MATCH(RationEtéPoneys&amp;$FN126,Règles_poneys[Ration]&amp;Règles_poneys[Aliment],0)),0),0)*TotalPoulichePoney_0_12_mois*SUM(NbreJoursNourrirPoneys))</f>
        <v>0</v>
      </c>
      <c r="FS126" s="1286">
        <f t="shared" si="30"/>
        <v>0</v>
      </c>
      <c r="FT126" s="1345"/>
      <c r="FU126" s="1345"/>
      <c r="FV126" s="1345"/>
      <c r="FW126" s="823">
        <f t="shared" si="28"/>
        <v>0</v>
      </c>
      <c r="FX126" s="828">
        <f t="array" ref="FX12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26" s="828">
        <f t="array" ref="FY12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26" s="828">
        <f t="array" ref="FZ12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26" s="828">
        <f t="array" ref="GA126">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26" s="829">
        <f>SUM(AlimentsGavageCanards[[#This Row],[Valeur 3 et plus]:[Valeur 0-1]])</f>
        <v>0</v>
      </c>
      <c r="GC126" s="1321"/>
      <c r="GD126" s="1321"/>
      <c r="GE126" s="1321"/>
      <c r="GF126" s="1321"/>
      <c r="GG126" s="1321" t="s">
        <v>1349</v>
      </c>
      <c r="GH126" s="1321" t="s">
        <v>1349</v>
      </c>
      <c r="GI126" s="1321" t="s">
        <v>1349</v>
      </c>
      <c r="GJ126" s="1321" t="s">
        <v>1349</v>
      </c>
      <c r="GK126" s="1321" t="s">
        <v>1349</v>
      </c>
      <c r="GL126" s="1321" t="s">
        <v>1349</v>
      </c>
      <c r="GM126" s="1321" t="s">
        <v>1349</v>
      </c>
      <c r="GN126" s="1321" t="s">
        <v>1349</v>
      </c>
      <c r="GO126" s="1321" t="s">
        <v>1349</v>
      </c>
      <c r="GP126" s="1321" t="s">
        <v>1349</v>
      </c>
      <c r="GQ126" s="1321" t="s">
        <v>1349</v>
      </c>
      <c r="GR126" s="1321" t="s">
        <v>1349</v>
      </c>
      <c r="GS126" s="1321" t="s">
        <v>1349</v>
      </c>
      <c r="GT126" s="1321" t="s">
        <v>1349</v>
      </c>
      <c r="GU126" s="1321" t="s">
        <v>1349</v>
      </c>
      <c r="GV126" s="1321" t="s">
        <v>1349</v>
      </c>
      <c r="GW126" s="1321"/>
      <c r="GX126" s="1321"/>
      <c r="GY126" s="1321"/>
      <c r="GZ126" s="1321"/>
      <c r="HA126" s="1321"/>
      <c r="HB126" s="1321"/>
      <c r="HC126" s="1321"/>
      <c r="HD126" s="1321"/>
      <c r="HE126" s="1321"/>
      <c r="HF126" s="1321"/>
      <c r="HG126" s="1321"/>
      <c r="HH126" s="1321"/>
      <c r="HI126" s="1321"/>
      <c r="HJ126" s="1321"/>
      <c r="HK126" s="1321"/>
      <c r="HL126" s="1321"/>
      <c r="HM126" s="1321"/>
      <c r="HN126" s="1083" t="s">
        <v>296</v>
      </c>
      <c r="HO126" s="1084" t="e">
        <f>IF(SUM((VLOOKUP(HN126,AlimentsRationBovinsMâles,9,FALSE)+VLOOKUP(HN126,AlimentsRationBovinsFemelles,9,FALSE)+VLOOKUP(HN126,BDD!BB$284:BJ$323,9,FALSE))/1000/SUM(NbreJoursNourrirBovins)*IF('semences, engrais et traitement'!I$16=OUI,42,84))&lt;0,0,SUM((VLOOKUP(HN126,AlimentsRationBovinsMâles,9,FALSE)+VLOOKUP(HN126,AlimentsRationBovinsFemelles,9,FALSE)+VLOOKUP(HN126,BDD!BB$284:BJ$323,9,FALSE))/1000/SUM(NbreJoursNourrirBovins)*IF('semences, engrais et traitement'!I$16=OUI,42,84)))</f>
        <v>#DIV/0!</v>
      </c>
      <c r="HP126" s="1084">
        <f t="shared" si="36"/>
        <v>0</v>
      </c>
      <c r="HQ126" s="1084" t="e">
        <f>IF(SUM(VLOOKUP(HN126,AlimentsRationPorcinsMâles[],7,FALSE)+VLOOKUP(HN126,AlimentsRationPorcinsFemelles[],7,FALSE))/1000/SUM(NbreJoursNourrirAutres)*84&lt;0,0,SUM(VLOOKUP(HN126,AlimentsRationPorcinsMâles[],7,FALSE)+VLOOKUP(HN126,AlimentsRationPorcinsFemelles[],7,FALSE)/1000/SUM(NbreJoursNourrirAutres)*84))</f>
        <v>#DIV/0!</v>
      </c>
      <c r="HR126" s="1084" t="e">
        <f>IF(SUM(VLOOKUP(HN126,AlimentsRationCaprinsMâles,6,FALSE)+VLOOKUP(HN126,AlimentsRationCaprinsFemelles,6,FALSE))/1000/SUM(NbreJoursNourrirCaprins)*IF('semences, engrais et traitement'!I$17=OUI,42,84)&lt;0,0,SUM(VLOOKUP(HN126,AlimentsRationCaprinsMâles,6,FALSE)+VLOOKUP(HN126,AlimentsRationCaprinsFemelles,6,FALSE))/1000/SUM(NbreJoursNourrirCaprins)*IF('semences, engrais et traitement'!I$17=OUI,42,84))</f>
        <v>#DIV/0!</v>
      </c>
      <c r="HS126" s="1084" t="e">
        <f>IF(SUM(VLOOKUP(HN126,AlimentsRationVolaillesMâles[],5,FALSE)+VLOOKUP(HN126,AlimentsRationVolaillesFemelles[],5,FALSE))/1000/SUM(NbreJoursNourrirAutres)*84&lt;0,0,SUM(VLOOKUP(HN126,AlimentsRationVolaillesMâles[],5,FALSE)+VLOOKUP(HN126,AlimentsRationVolaillesFemelles[],5,FALSE)/1000/SUM(NbreJoursNourrirAutres)*84))</f>
        <v>#DIV/0!</v>
      </c>
      <c r="HT126" s="1084" t="e">
        <f>IF(SUM(VLOOKUP(HN126,AlimentsRationPintadesMâles[],5,FALSE)+VLOOKUP(HN126,AlimentsRationPintadesFemelles[],5,FALSE))/1000/SUM(NbreJoursNourrirAutres)*84&lt;0,0,SUM(VLOOKUP(HN126,AlimentsRationPintadesMâles[],5,FALSE)+VLOOKUP(HN126,AlimentsRationPintadesFemelles[],5,FALSE)/1000/SUM(NbreJoursNourrirAutres)*84))</f>
        <v>#DIV/0!</v>
      </c>
      <c r="HU126" s="1084" t="e">
        <f>IF(SUM(VLOOKUP(HN126,AlimentsRationLapinsMâles[],5,FALSE)+VLOOKUP(HN126,AlimentsRationLapinsFemelles[],5,FALSE))/1000/SUM(NbreJoursNourrirAutres)*84&lt;0,0,SUM(VLOOKUP(HN126,AlimentsRationLapinsMâles[],5,FALSE)+VLOOKUP(HN126,AlimentsRationLapinsFemelles[],5,FALSE)/1000/SUM(NbreJoursNourrirAutres)*84))</f>
        <v>#DIV/0!</v>
      </c>
      <c r="HV126" s="1084" t="e">
        <f>IF(SUM(VLOOKUP(HN126,AlimentsRationOvinsMâles,6,FALSE)+VLOOKUP(HN126,AlimentsRationOvinsFemelles,6,FALSE))/1000/SUM(NbreJoursNourrirOvins)*IF('semences, engrais et traitement'!I$18=OUI,42,84)&lt;0,0,SUM(VLOOKUP(HN126,AlimentsRationOvinsMâles,6,FALSE)+VLOOKUP(HN126,AlimentsRationOvinsFemelles,6,FALSE))/1000/SUM(NbreJoursNourrirOvins)*IF('semences, engrais et traitement'!I$18=OUI,42,84))</f>
        <v>#DIV/0!</v>
      </c>
      <c r="HW126" s="1084" t="e">
        <f>IF(SUM(VLOOKUP(HN126,AlimentsRationOiesMâles[],5,FALSE)+VLOOKUP(HN126,AlimentsRationOiesFemelles[],5,FALSE))/1000/SUM(NbreJoursNourrirAutres)*84&lt;0,0,SUM(VLOOKUP(HN126,AlimentsRationOiesMâles[],5,FALSE)+VLOOKUP(HN126,AlimentsRationOiesFemelles[],5,FALSE)/1000/SUM(NbreJoursNourrirAutres)*84))</f>
        <v>#DIV/0!</v>
      </c>
      <c r="HX126" s="1084" t="e">
        <f t="shared" si="48"/>
        <v>#DIV/0!</v>
      </c>
      <c r="HY126" s="1084" t="e">
        <f>IF(SUM(VLOOKUP(HN126,AlimentsRationEcurieChevauxMâlesSelle,6,FALSE)+VLOOKUP(HN126,AlimentsRationEcurieChevauxFemellesSelle,6,FALSE))/1000/SUM(NbreJoursNourrirChevauxSelle)*IF('semences, engrais et traitement'!M$16=OUI,56,84)&lt;0,0,SUM(VLOOKUP(HN126,AlimentsRationEcurieChevauxMâlesSelle,6,FALSE)+VLOOKUP(HN126,AlimentsRationEcurieChevauxFemellesSelle,6,FALSE))/1000/SUM(NbreJoursNourrirChevauxSelle)*IF('semences, engrais et traitement'!M$16=OUI,56,84))</f>
        <v>#DIV/0!</v>
      </c>
      <c r="HZ126" s="1084" t="e">
        <f>IF(SUM(VLOOKUP(HN126,AlimentsRationEcurieChevauxMâlesTrait,6,FALSE)+VLOOKUP(HN126,AlimentsRationEcurieChevauxFemellesTrait,6,FALSE))/1000/SUM(NbreJoursNourrirChevauxTrait)*IF('semences, engrais et traitement'!M$17=OUI,56,84)&lt;0,0,SUM(VLOOKUP(HN126,AlimentsRationEcurieChevauxMâlesTrait,6,FALSE)+VLOOKUP(HN126,AlimentsRationEcurieChevauxFemellesTrait,6,FALSE))/1000/SUM(NbreJoursNourrirChevauxTrait)*IF('semences, engrais et traitement'!M$17=OUI,56,84))</f>
        <v>#DIV/0!</v>
      </c>
      <c r="IA126" s="1084" t="e">
        <f>IF(SUM(VLOOKUP(HN126,AlimentsRationEcuriePoneysMâles,6,FALSE)+VLOOKUP(HN126,AlimentsRationEcuriePoneysFemelles,6,FALSE))/1000/SUM(NbreJoursNourrirPoneys)*IF('semences, engrais et traitement'!M$18=OUI,56,84)&lt;0,0,SUM(VLOOKUP(HN126,AlimentsRationEcuriePoneysMâles,6,FALSE)+VLOOKUP(HN126,AlimentsRationEcuriePoneysFemelles,6,FALSE))/1000/SUM(NbreJoursNourrirPoneys)*IF('semences, engrais et traitement'!M$18=OUI,56,84))</f>
        <v>#DIV/0!</v>
      </c>
      <c r="IB126" s="1100" t="e">
        <f t="shared" si="38"/>
        <v>#DIV/0!</v>
      </c>
      <c r="IC126" s="1321"/>
      <c r="ID126" s="1321"/>
      <c r="IE126" s="1321"/>
      <c r="IF126" s="1321"/>
      <c r="IG126" s="1321"/>
      <c r="IH126" s="1321"/>
      <c r="II126" s="1321"/>
      <c r="IJ126" s="1321"/>
      <c r="IK126" s="1321"/>
      <c r="IL126" s="1321"/>
      <c r="IM126" s="1321"/>
      <c r="IN126" s="1368"/>
    </row>
    <row r="127" spans="1:248" ht="12.75" customHeight="1" x14ac:dyDescent="0.2">
      <c r="A127" s="1307" t="s">
        <v>55</v>
      </c>
      <c r="B127" s="1241">
        <f t="shared" si="39"/>
        <v>1E-3</v>
      </c>
      <c r="C127" s="1321"/>
      <c r="D127" s="1321"/>
      <c r="E127" s="1321"/>
      <c r="F127" s="1149" t="s">
        <v>862</v>
      </c>
      <c r="G127" s="1149">
        <v>0.28000000000000003</v>
      </c>
      <c r="H127" s="1321"/>
      <c r="I127" s="1077" t="s">
        <v>1866</v>
      </c>
      <c r="J127" s="1078" t="s">
        <v>1867</v>
      </c>
      <c r="K127" s="1078" t="s">
        <v>1844</v>
      </c>
      <c r="L127" s="1078" t="s">
        <v>1845</v>
      </c>
      <c r="M127" s="1078" t="s">
        <v>1846</v>
      </c>
      <c r="N127" s="1078" t="s">
        <v>1847</v>
      </c>
      <c r="O127" s="1078" t="s">
        <v>1852</v>
      </c>
      <c r="P127" s="1078" t="s">
        <v>1853</v>
      </c>
      <c r="Q127" s="1078" t="s">
        <v>1854</v>
      </c>
      <c r="R127" s="1079" t="s">
        <v>1865</v>
      </c>
      <c r="S127" s="1079" t="s">
        <v>1865</v>
      </c>
      <c r="T127" s="1321"/>
      <c r="U127" s="1321"/>
      <c r="V127" s="1079" t="s">
        <v>1865</v>
      </c>
      <c r="W127" s="1321"/>
      <c r="X127" s="1321"/>
      <c r="Y127" s="1321"/>
      <c r="Z127" s="1321"/>
      <c r="AA127" s="1321"/>
      <c r="AB127" s="1321"/>
      <c r="AC127" s="1321"/>
      <c r="AD127" s="1321"/>
      <c r="AE127" s="1321"/>
      <c r="AF127" s="1321"/>
      <c r="AG127" s="1321"/>
      <c r="AH127" s="1321"/>
      <c r="AI127" s="1321"/>
      <c r="AJ127" s="1321"/>
      <c r="AK127" s="1321"/>
      <c r="AL127" s="1321"/>
      <c r="AM127" s="1321"/>
      <c r="AN127" s="1321"/>
      <c r="AO127" s="1321"/>
      <c r="AP127" s="1321"/>
      <c r="AQ127" s="1321"/>
      <c r="AR127" s="1321"/>
      <c r="AS127" s="1321"/>
      <c r="AT127" s="1321"/>
      <c r="AU127" s="1321"/>
      <c r="AV127" s="1321"/>
      <c r="AW127" s="1321"/>
      <c r="AX127" s="1321"/>
      <c r="AY127" s="1321"/>
      <c r="AZ127" s="1321"/>
      <c r="BA127" s="1321"/>
      <c r="BB127" s="1236" t="s">
        <v>731</v>
      </c>
      <c r="BC127" s="1190" t="s">
        <v>1273</v>
      </c>
      <c r="BD127" s="1190" t="s">
        <v>1254</v>
      </c>
      <c r="BE127" s="1237">
        <v>4.8</v>
      </c>
      <c r="BF127" s="1237">
        <v>4</v>
      </c>
      <c r="BG127" s="1237">
        <v>4</v>
      </c>
      <c r="BH127" s="1237">
        <v>4</v>
      </c>
      <c r="BI127" s="1237">
        <v>2</v>
      </c>
      <c r="BJ127" s="1237">
        <v>1.2</v>
      </c>
      <c r="BK127" s="1238">
        <v>0</v>
      </c>
      <c r="BL127" s="1348"/>
      <c r="BM127" s="1075" t="str">
        <f t="shared" si="47"/>
        <v>Féverole</v>
      </c>
      <c r="BN127" s="1269">
        <f t="array" ref="BN127">SUM((IF(QualitéAlimentsBisonneauxMâles_0_3_mois=BONNE,VLOOKUP("Féverole",AlimentsRationHivernaleBisonsMâles,8,FALSE),0)+(IF(QualitéAlimentsBisonneauxFemelles_0_3_mois=BONNE,VLOOKUP("Féverole",AlimentsRationHivernaleBisonsFemelles,8,FALSE),0)+(IF(QualitéAlimentsBisonneauxMâles_3_6_mois=BONNE,VLOOKUP("Féverole",AlimentsRationHivernaleBisonsMâles,7,FALSE),0)+(IF(QualitéAlimentsBisonneauxFemelles_3_6_mois=BONNE,VLOOKUP("Féverole",AlimentsRationHivernaleBisonsFemelles,7,FALSE),0)+(IF(QualitéAlimentsBisonneauxMâles_6_12_mois=BONNE,VLOOKUP("Féverole",AlimentsRationHivernaleBisonsMâles,6,FALSE),0)+(IF(QualitéAlimentsBisonneauxFemelles_6_12_mois=BONNE,VLOOKUP("Féverole",AlimentsRationHivernaleBisonsFemelles,6,FALSE),0)+(IF(QualitéAlimentsJeunesBisons_12_18_mois=BONNE,VLOOKUP("Féverole",AlimentsRationHivernaleBisonsMâles,5,FALSE),0)+(IF(QualitéAlimentsJeunesBisonnes_12_18_mois=BONNE,VLOOKUP("Féverole",AlimentsRationHivernaleBisonsFemelles,5,FALSE),0)+(IF(QualitéAlimentsJeunesBisons_18_24_mois=BONNE,VLOOKUP("Féverole",AlimentsRationHivernaleBisonsMâles,4,FALSE),0)+(IF(QualitéAlimentsJeunesBisonnes_18_24_mois=BONNE,VLOOKUP("Féverole",AlimentsRationHivernaleBisonsFemelles,4,FALSE),0)+(IF(QualitéAlimentsJeunesBisons_24_36_mois=BONNE,VLOOKUP("Féverole",AlimentsRationHivernaleBisonsMâles,3,FALSE),0)+(IF(QualitéAlimentsJeunesBisonnes_24_36_mois=BONNE,VLOOKUP("Féverole",AlimentsRationHivernaleBisonsFemelles,3,FALSE),0)+(IF(QualitéAlimentsBisons=BONNE,VLOOKUP("Féverole",AlimentsRationHivernaleBisonsMâles,2,FALSE),0)+(IF(QualitéAlimentsBisonnes=BONNE,VLOOKUP("Féverole",AlimentsRationHivernaleBisonsFemelles,2,FALSE),0))))))))))))))))</f>
        <v>0</v>
      </c>
      <c r="BO127" s="1269">
        <f t="array" ref="BO127">SUM((IF(QualitéAlimentsBisonneauxMâles_0_3_mois=MOYENNE,VLOOKUP("Féverole",AlimentsRationHivernaleBisonsMâles,8,FALSE),0)+(IF(QualitéAlimentsBisonneauxFemelles_0_3_mois=MOYENNE,VLOOKUP("Féverole",AlimentsRationHivernaleBisonsFemelles,8,FALSE),0)+(IF(QualitéAlimentsBisonneauxMâles_3_6_mois=MOYENNE,VLOOKUP("Féverole",AlimentsRationHivernaleBisonsMâles,7,FALSE),0)+(IF(QualitéAlimentsBisonneauxFemelles_3_6_mois=MOYENNE,VLOOKUP("Féverole",AlimentsRationHivernaleBisonsFemelles,7,FALSE),0)+(IF(QualitéAlimentsBisonneauxMâles_6_12_mois=MOYENNE,VLOOKUP("Féverole",AlimentsRationHivernaleBisonsMâles,6,FALSE),0)+(IF(QualitéAlimentsBisonneauxFemelles_6_12_mois=MOYENNE,VLOOKUP("Féverole",AlimentsRationHivernaleBisonsFemelles,6,FALSE),0)+(IF(QualitéAlimentsJeunesBisons_12_18_mois=MOYENNE,VLOOKUP("Féverole",AlimentsRationHivernaleBisonsMâles,5,FALSE),0)+(IF(QualitéAlimentsJeunesBisonnes_12_18_mois=MOYENNE,VLOOKUP("Féverole",AlimentsRationHivernaleBisonsFemelles,5,FALSE),0)+(IF(QualitéAlimentsJeunesBisons_18_24_mois=MOYENNE,VLOOKUP("Féverole",AlimentsRationHivernaleBisonsMâles,4,FALSE),0)+(IF(QualitéAlimentsJeunesBisonnes_18_24_mois=MOYENNE,VLOOKUP("Féverole",AlimentsRationHivernaleBisonsFemelles,4,FALSE),0)+(IF(QualitéAlimentsJeunesBisons_24_36_mois=MOYENNE,VLOOKUP("Féverole",AlimentsRationHivernaleBisonsMâles,3,FALSE),0)+(IF(QualitéAlimentsJeunesBisonnes_24_36_mois=MOYENNE,VLOOKUP("Féverole",AlimentsRationHivernaleBisonsFemelles,3,FALSE),0)+(IF(QualitéAlimentsBisons=MOYENNE,VLOOKUP("Féverole",AlimentsRationHivernaleBisonsMâles,2,FALSE),0)+(IF(QualitéAlimentsBisonnes=MOYENNE,VLOOKUP("Féverole",AlimentsRationHivernaleBisonsFemelles,2,FALSE),0))))))))))))))))</f>
        <v>0</v>
      </c>
      <c r="BP127" s="1269">
        <f t="array" ref="BP127">SUM((IF(QualitéAlimentsBisonneauxMâles_0_3_mois=MAUVAISE,VLOOKUP("Féverole",AlimentsRationHivernaleBisonsMâles,8,FALSE),0)+(IF(QualitéAlimentsBisonneauxFemelles_0_3_mois=MAUVAISE,VLOOKUP("Féverole",AlimentsRationHivernaleBisonsFemelles,8,FALSE),0)+(IF(QualitéAlimentsBisonneauxMâles_3_6_mois=MAUVAISE,VLOOKUP("Féverole",AlimentsRationHivernaleBisonsMâles,7,FALSE),0)+(IF(QualitéAlimentsBisonneauxFemelles_3_6_mois=MAUVAISE,VLOOKUP("Féverole",AlimentsRationHivernaleBisonsFemelles,7,FALSE),0)+(IF(QualitéAlimentsBisonneauxMâles_6_12_mois=MAUVAISE,VLOOKUP("Féverole",AlimentsRationHivernaleBisonsMâles,6,FALSE),0)+(IF(QualitéAlimentsBisonneauxFemelles_6_12_mois=MAUVAISE,VLOOKUP("Féverole",AlimentsRationHivernaleBisonsFemelles,6,FALSE),0)+(IF(QualitéAlimentsJeunesBisons_12_18_mois=MAUVAISE,VLOOKUP("Féverole",AlimentsRationHivernaleBisonsMâles,5,FALSE),0)+(IF(QualitéAlimentsJeunesBisonnes_12_18_mois=MAUVAISE,VLOOKUP("Féverole",AlimentsRationHivernaleBisonsFemelles,5,FALSE),0)+(IF(QualitéAlimentsJeunesBisons_18_24_mois=MAUVAISE,VLOOKUP("Féverole",AlimentsRationHivernaleBisonsMâles,4,FALSE),0)+(IF(QualitéAlimentsJeunesBisonnes_18_24_mois=MAUVAISE,VLOOKUP("Féverole",AlimentsRationHivernaleBisonsFemelles,4,FALSE),0)+(IF(QualitéAlimentsJeunesBisons_24_36_mois=MAUVAISE,VLOOKUP("Féverole",AlimentsRationHivernaleBisonsMâles,3,FALSE),0)+(IF(QualitéAlimentsJeunesBisonnes_24_36_mois=MAUVAISE,VLOOKUP("Féverole",AlimentsRationHivernaleBisonsFemelles,3,FALSE),0)+(IF(QualitéAlimentsBisons=MAUVAISE,VLOOKUP("Féverole",AlimentsRationHivernaleBisonsMâles,2,FALSE),0)+(IF(QualitéAlimentsBisonnes=MAUVAISE,VLOOKUP("Féverole",AlimentsRationHivernaleBisonsFemelles,2,FALSE),0))))))))))))))))</f>
        <v>0</v>
      </c>
      <c r="BQ127" s="1346"/>
      <c r="BR127" s="1346"/>
      <c r="BS127" s="1346"/>
      <c r="BT127" s="1346"/>
      <c r="BU127" s="1346"/>
      <c r="BV127" s="1345"/>
      <c r="BW127" s="1345"/>
      <c r="BX127" s="1075" t="s">
        <v>725</v>
      </c>
      <c r="BY127" s="1075">
        <f t="array" ref="BY127">IF(ChoixRationComplèteCaprins=OUI,0,IFERROR(IF(OR(AND(INDEX(Règles_caprins[Specificite],MATCH(ChoixRationCaprins&amp;$BX127,Règles_caprins[Ration]&amp;Règles_caprins[Aliment],0))="s1",IF($BX127=Spécificité1Caprins,1)),
INDEX(Règles_caprins[Specificite],MATCH(ChoixRationCaprins&amp;$BX127,Règles_caprins[Ration]&amp;Règles_caprins[Aliment],0))="c"),
INDEX(Règles_caprins[Valeur 12 et plus],MATCH(ChoixRationCaprins&amp;$BX127,Règles_caprins[Ration]&amp;Règles_caprins[Aliment],0)),0),0)*TotalBoucs*SUM(NbreJoursNourrirCaprins))</f>
        <v>0</v>
      </c>
      <c r="BZ127" s="1075">
        <f t="array" ref="BZ127">IF(ChoixRationComplèteCaprins=OUI,0,IFERROR(IF(OR(AND(INDEX(Règles_caprins[Specificite],MATCH(ChoixRationCaprins&amp;$BX127,Règles_caprins[Ration]&amp;Règles_caprins[Aliment],0))="s1",IF($BX127=Spécificité1Caprins,1)),
INDEX(Règles_caprins[Specificite],MATCH(ChoixRationCaprins&amp;$BX127,Règles_caprins[Ration]&amp;Règles_caprins[Aliment],0))="c"),
INDEX(Règles_caprins[Valeur 6-12],MATCH(ChoixRationCaprins&amp;$BX127,Règles_caprins[Ration]&amp;Règles_caprins[Aliment],0)),0),0)*jeune_bouc_6_12_mois*SUM(NbreJoursNourrirCaprins))</f>
        <v>0</v>
      </c>
      <c r="CA127" s="1075">
        <f t="array" ref="CA127">IF(ChoixRationComplèteCaprins=OUI,0,IFERROR(IF(OR(AND(INDEX(Règles_caprins[Specificite],MATCH(ChoixRationCaprins&amp;$BX127,Règles_caprins[Ration]&amp;Règles_caprins[Aliment],0))="s1",IF($BX127=Spécificité1Caprins,1)),
INDEX(Règles_caprins[Specificite],MATCH(ChoixRationCaprins&amp;$BX127,Règles_caprins[Ration]&amp;Règles_caprins[Aliment],0))="c"),
INDEX(Règles_caprins[Valeur 3-6],MATCH(ChoixRationCaprins&amp;$BX127,Règles_caprins[Ration]&amp;Règles_caprins[Aliment],0)),0),0)*chevreau_3_6_mois*SUM(NbreJoursNourrirCaprins))</f>
        <v>0</v>
      </c>
      <c r="CB127" s="1075">
        <f t="array" ref="CB127">IF(ChoixRationComplèteCaprins=OUI,0,IFERROR(IF(OR(AND(INDEX(Règles_caprins[Specificite],MATCH(ChoixRationCaprins&amp;$BX127,Règles_caprins[Ration]&amp;Règles_caprins[Aliment],0))="s1",IF($BX127=Spécificité1Caprins,1)),
INDEX(Règles_caprins[Specificite],MATCH(ChoixRationCaprins&amp;$BX127,Règles_caprins[Ration]&amp;Règles_caprins[Aliment],0))="c"),
INDEX(Règles_caprins[Valeur 0-3],MATCH(ChoixRationCaprins&amp;$BX127,Règles_caprins[Ration]&amp;Règles_caprins[Aliment],0)),0),0)*chevreau_0_3_mois*SUM(NbreJoursNourrirCaprins))</f>
        <v>0</v>
      </c>
      <c r="CC127" s="1075">
        <f t="shared" si="45"/>
        <v>0</v>
      </c>
      <c r="CD127" s="1345"/>
      <c r="CE127" s="1345"/>
      <c r="CF127" s="1345"/>
      <c r="CG127" s="1345"/>
      <c r="CH127" s="1321"/>
      <c r="CI127" s="1321"/>
      <c r="CJ127" s="1321"/>
      <c r="CK127" s="1321"/>
      <c r="CL127" s="1321"/>
      <c r="CM127" s="1321"/>
      <c r="CN127" s="1321"/>
      <c r="CO127" s="1321"/>
      <c r="CP127" s="1321"/>
      <c r="CQ127" s="1321"/>
      <c r="CR127" s="1321"/>
      <c r="CS127" s="808" t="str">
        <f t="shared" si="40"/>
        <v>Sorgho ensilé</v>
      </c>
      <c r="CT127" s="817">
        <f t="array" ref="CT12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27" s="817">
        <f t="array" ref="CU12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27" s="817">
        <f t="array" ref="CV12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27" s="818">
        <f>SUM(AlimentsRationLapinsFemelles[[#This Row],[Valeur 3 et plus]:[Valeur 0-1]])</f>
        <v>0</v>
      </c>
      <c r="CX127" s="1321"/>
      <c r="CY127" s="1321"/>
      <c r="CZ127" s="808" t="str">
        <f t="shared" si="41"/>
        <v>Sorgho ensilé</v>
      </c>
      <c r="DA127" s="817">
        <f t="array" ref="DA12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27" s="817">
        <f t="array" ref="DB12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27" s="817">
        <f t="array" ref="DC12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27" s="818">
        <f>SUM(AlimentsRationVolaillesFemelles[[#This Row],[Valeur 6 et plus]:[Valeur 0-1]])</f>
        <v>0</v>
      </c>
      <c r="DE127" s="1345"/>
      <c r="DF127" s="1321"/>
      <c r="DG127" s="788">
        <f t="shared" si="27"/>
        <v>0</v>
      </c>
      <c r="DH127" s="817">
        <f t="array" ref="DH12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27" s="817">
        <f t="array" ref="DI12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27" s="817">
        <f t="array" ref="DJ127">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27" s="821">
        <f>SUM(AlimentsRationPintadesFemelles[[#This Row],[Valeur 6 et plus]:[Valeur 0-1]])</f>
        <v>0</v>
      </c>
      <c r="DL127" s="1321"/>
      <c r="DM127" s="1321"/>
      <c r="DN127" s="1176" t="s">
        <v>765</v>
      </c>
      <c r="DO127" s="1177" t="s">
        <v>723</v>
      </c>
      <c r="DP127" s="1177" t="s">
        <v>1252</v>
      </c>
      <c r="DQ127" s="1181"/>
      <c r="DR127" s="1181"/>
      <c r="DS127" s="1181"/>
      <c r="DT127" s="1243"/>
      <c r="DU127" s="1346"/>
      <c r="DV127" s="1321"/>
      <c r="DW127" s="1321"/>
      <c r="DX127" s="1321"/>
      <c r="DY127" s="1321"/>
      <c r="DZ127" s="1321"/>
      <c r="EA127" s="1321"/>
      <c r="EB127" s="1321"/>
      <c r="EC127" s="1321"/>
      <c r="ED127" s="1345"/>
      <c r="EE127" s="1345"/>
      <c r="EF127" s="1321"/>
      <c r="EG127" s="808" t="str">
        <f t="shared" si="31"/>
        <v>Triticale</v>
      </c>
      <c r="EH127" s="817">
        <f t="array" ref="EH12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27" s="817">
        <f t="array" ref="EI12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27" s="817">
        <f t="array" ref="EJ127">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27" s="818">
        <f>SUM(AlimentsRationOiesFemelles[[#This Row],[Valeur 6 et plus]:[Valeur 0-3]])</f>
        <v>0</v>
      </c>
      <c r="EL127" s="1345"/>
      <c r="EM127" s="1321"/>
      <c r="EN127" s="823">
        <f t="shared" si="29"/>
        <v>0</v>
      </c>
      <c r="EO127" s="828">
        <f t="array" ref="EO12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27" s="828">
        <f t="array" ref="EP12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27" s="828">
        <f t="array" ref="EQ127">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27" s="829">
        <f>SUM(Ration_canards_Femelles[[#This Row],[Valeur 6 et plus]:[Valeur 0-3]])</f>
        <v>0</v>
      </c>
      <c r="ES127" s="1345"/>
      <c r="ET127" s="1321"/>
      <c r="EU127" s="1083" t="str">
        <f t="shared" si="44"/>
        <v>Ration complète</v>
      </c>
      <c r="EV127" s="1283">
        <f t="array" ref="EV127">IF(OR(ChoixRationComplèteEtéChevauxSelle=OUI,ChoixRationComplèteEtéChevauxSelle="",AND(ChoixChevauxSellePréHiver=OUI,ChoixChevauxSellePréEté=OUI)),0,IFERROR(IF(OR(AND(INDEX(Règles_chevaux_selle[Specificite],MATCH(RationEtéChevauxSelle&amp;$EU127,Règles_chevaux_selle[Ration]&amp;Règles_chevaux_selle[Aliment],0))="s1",IF($EU127=Spécificité1ChevauxSelle,1)),
AND(INDEX(Règles_chevaux_selle[Specificite],MATCH(RationEtéChevauxSelle&amp;$EU127,Règles_chevaux_selle[Ration]&amp;Règles_chevaux_selle[Aliment],0))="s2",IF($EU127=Spécificité2ChevauxSelle,1)),
INDEX(Règles_chevaux_selle[Specificite],MATCH(RationEtéChevauxSelle&amp;$EU127,Règles_chevaux_selle[Ration]&amp;Règles_chevaux_selle[Aliment],0))="c"),
INDEX(Règles_chevaux_selle[Valeur 36 et plus],MATCH(RationEtéChevauxSelle&amp;$EU127,Règles_chevaux_selle[Ration]&amp;Règles_chevaux_selle[Aliment],0)),0),0)*TotalJumentSelle*SUM(NbreJoursNourrirChevauxSelle))</f>
        <v>0</v>
      </c>
      <c r="EW127" s="1283">
        <f t="array" ref="EW127">IF(OR(ChoixRationComplèteEtéChevauxSelle=OUI,ChoixRationComplèteEtéChevauxSelle="",AND(ChoixChevauxSellePréHiver=OUI,ChoixChevauxSellePréEté=OUI)),0,IFERROR(IF(OR(AND(INDEX(Règles_chevaux_selle[Specificite],MATCH(RationEtéChevauxSelle&amp;$EU127,Règles_chevaux_selle[Ration]&amp;Règles_chevaux_selle[Aliment],0))="s1",IF($EU127=Spécificité1ChevauxSelle,1)),
AND(INDEX(Règles_chevaux_selle[Specificite],MATCH(RationEtéChevauxSelle&amp;$EU127,Règles_chevaux_selle[Ration]&amp;Règles_chevaux_selle[Aliment],0))="s2",IF($EU127=Spécificité2ChevauxSelle,1)),
INDEX(Règles_chevaux_selle[Specificite],MATCH(RationEtéChevauxSelle&amp;$EU127,Règles_chevaux_selle[Ration]&amp;Règles_chevaux_selle[Aliment],0))="c"),
INDEX(Règles_chevaux_selle[Valeur 24-36],MATCH(RationEtéChevauxSelle&amp;$EU127,Règles_chevaux_selle[Ration]&amp;Règles_chevaux_selle[Aliment],0)),0),0)*TotalJeuneJumentSelle_24_36_mois*SUM(NbreJoursNourrirChevauxSelle))</f>
        <v>0</v>
      </c>
      <c r="EX127" s="1283">
        <f t="array" ref="EX127">IF(OR(ChoixRationComplèteEtéChevauxSelle=OUI,ChoixRationComplèteEtéChevauxSelle="",AND(ChoixChevauxSellePréHiver=OUI,ChoixChevauxSellePréEté=OUI)),0,IFERROR(IF(OR(AND(INDEX(Règles_chevaux_selle[Specificite],MATCH(RationEtéChevauxSelle&amp;$EU127,Règles_chevaux_selle[Ration]&amp;Règles_chevaux_selle[Aliment],0))="s1",IF($EU127=Spécificité1ChevauxSelle,1)),
AND(INDEX(Règles_chevaux_selle[Specificite],MATCH(RationEtéChevauxSelle&amp;$EU127,Règles_chevaux_selle[Ration]&amp;Règles_chevaux_selle[Aliment],0))="s2",IF($EU127=Spécificité2ChevauxSelle,1)),
INDEX(Règles_chevaux_selle[Specificite],MATCH(RationEtéChevauxSelle&amp;$EU127,Règles_chevaux_selle[Ration]&amp;Règles_chevaux_selle[Aliment],0))="c"),
INDEX(Règles_chevaux_selle[Valeur 12-24],MATCH(RationEtéChevauxSelle&amp;$EU127,Règles_chevaux_selle[Ration]&amp;Règles_chevaux_selle[Aliment],0)),0),0)*TotalJeuneJumentSelle_12_24_mois*SUM(NbreJoursNourrirChevauxSelle))</f>
        <v>0</v>
      </c>
      <c r="EY127" s="1286">
        <f t="array" ref="EY127">IF(OR(ChoixRationComplèteEtéChevauxSelle=OUI,ChoixRationComplèteEtéChevauxSelle="",AND(ChoixChevauxSellePréHiver=OUI,ChoixChevauxSellePréEté=OUI)),0,IFERROR(IF(OR(AND(INDEX(Règles_chevaux_selle[Specificite],MATCH(RationEtéChevauxSelle&amp;$EU127,Règles_chevaux_selle[Ration]&amp;Règles_chevaux_selle[Aliment],0))="s1",IF($EU127=Spécificité1ChevauxSelle,1)),
AND(INDEX(Règles_chevaux_selle[Specificite],MATCH(RationEtéChevauxSelle&amp;$EU127,Règles_chevaux_selle[Ration]&amp;Règles_chevaux_selle[Aliment],0))="s2",IF($EU127=Spécificité2ChevauxSelle,1)),
INDEX(Règles_chevaux_selle[Specificite],MATCH(RationEtéChevauxSelle&amp;$EU127,Règles_chevaux_selle[Ration]&amp;Règles_chevaux_selle[Aliment],0))="c"),
INDEX(Règles_chevaux_selle[Valeur 0-12],MATCH(RationEtéChevauxSelle&amp;$EU127,Règles_chevaux_selle[Ration]&amp;Règles_chevaux_selle[Aliment],0)),0),0)*TotalPoulicheSelle_0_12_mois*SUM(NbreJoursNourrirChevauxSelle))</f>
        <v>0</v>
      </c>
      <c r="EZ127" s="1286">
        <f t="shared" si="43"/>
        <v>0</v>
      </c>
      <c r="FA127" s="1345"/>
      <c r="FB127" s="1345"/>
      <c r="FC127" s="1321"/>
      <c r="FD127" s="1083" t="str">
        <f t="shared" si="34"/>
        <v>Tourteau de tournesol</v>
      </c>
      <c r="FE127" s="1283">
        <f t="array" ref="FE127">IF(OR(ChoixRationComplèteEtéChevauxTrait=OUI,ChoixRationComplèteEtéChevauxTrait="",AND(ChoixChevauxTraitPréHiver=OUI,ChoixChevauxTraitPréEté=OUI)),0,IFERROR(IF(OR(AND(INDEX(Règles_chevaux_trait[Specificite],MATCH(RationEtéChevauxTrait&amp;$FD127,Règles_chevaux_trait[Ration]&amp;Règles_chevaux_trait[Aliment],0))="s1",IF($FD127=Spécificité1ChevauxTrait,1)),
AND(INDEX(Règles_chevaux_trait[Specificite],MATCH(RationEtéChevauxTrait&amp;$FD127,Règles_chevaux_trait[Ration]&amp;Règles_chevaux_trait[Aliment],0))="s2",IF($FD127=Spécificité2ChevauxTrait,1)),
INDEX(Règles_chevaux_trait[Specificite],MATCH(RationEtéChevauxTrait&amp;$FD127,Règles_chevaux_trait[Ration]&amp;Règles_chevaux_trait[Aliment],0))="c"),
INDEX(Règles_chevaux_trait[Valeur 36 et plus],MATCH(RationEtéChevauxTrait&amp;$FD127,Règles_chevaux_trait[Ration]&amp;Règles_chevaux_trait[Aliment],0)),0),0)*TotalJumentTrait*SUM(NbreJoursNourrirChevauxTrait))</f>
        <v>0</v>
      </c>
      <c r="FF127" s="1283">
        <f t="array" ref="FF127">IF(OR(ChoixRationComplèteEtéChevauxTrait=OUI,ChoixRationComplèteEtéChevauxTrait="",AND(ChoixChevauxTraitPréHiver=OUI,ChoixChevauxTraitPréEté=OUI)),0,IFERROR(IF(OR(AND(INDEX(Règles_chevaux_trait[Specificite],MATCH(RationEtéChevauxTrait&amp;$FD127,Règles_chevaux_trait[Ration]&amp;Règles_chevaux_trait[Aliment],0))="s1",IF($FD127=Spécificité1ChevauxTrait,1)),
AND(INDEX(Règles_chevaux_trait[Specificite],MATCH(RationEtéChevauxTrait&amp;$FD127,Règles_chevaux_trait[Ration]&amp;Règles_chevaux_trait[Aliment],0))="s2",IF($FD127=Spécificité2ChevauxTrait,1)),
INDEX(Règles_chevaux_trait[Specificite],MATCH(RationEtéChevauxTrait&amp;$FD127,Règles_chevaux_trait[Ration]&amp;Règles_chevaux_trait[Aliment],0))="c"),
INDEX(Règles_chevaux_trait[Valeur 24-36],MATCH(RationEtéChevauxTrait&amp;$FD127,Règles_chevaux_trait[Ration]&amp;Règles_chevaux_trait[Aliment],0)),0),0)*TotalJeuneJumentTrait_24_36_mois*SUM(NbreJoursNourrirChevauxTrait))</f>
        <v>0</v>
      </c>
      <c r="FG127" s="1283">
        <f t="array" ref="FG127">IF(OR(ChoixRationComplèteEtéChevauxTrait=OUI,ChoixRationComplèteEtéChevauxTrait="",AND(ChoixChevauxTraitPréHiver=OUI,ChoixChevauxTraitPréEté=OUI)),0,IFERROR(IF(OR(AND(INDEX(Règles_chevaux_trait[Specificite],MATCH(RationEtéChevauxTrait&amp;$FD127,Règles_chevaux_trait[Ration]&amp;Règles_chevaux_trait[Aliment],0))="s1",IF($FD127=Spécificité1ChevauxTrait,1)),
AND(INDEX(Règles_chevaux_trait[Specificite],MATCH(RationEtéChevauxTrait&amp;$FD127,Règles_chevaux_trait[Ration]&amp;Règles_chevaux_trait[Aliment],0))="s2",IF($FD127=Spécificité2ChevauxTrait,1)),
INDEX(Règles_chevaux_trait[Specificite],MATCH(RationEtéChevauxTrait&amp;$FD127,Règles_chevaux_trait[Ration]&amp;Règles_chevaux_trait[Aliment],0))="c"),
INDEX(Règles_chevaux_trait[Valeur 12-24],MATCH(RationEtéChevauxTrait&amp;$FD127,Règles_chevaux_trait[Ration]&amp;Règles_chevaux_trait[Aliment],0)),0),0)*TotalJeuneJumentTrait_12_24_mois*SUM(NbreJoursNourrirChevauxTrait))</f>
        <v>0</v>
      </c>
      <c r="FH127" s="1286">
        <f t="array" ref="FH127">IF(OR(ChoixRationComplèteEtéChevauxTrait=OUI,ChoixRationComplèteEtéChevauxTrait="",AND(ChoixChevauxTraitPréHiver=OUI,ChoixChevauxTraitPréEté=OUI)),0,IFERROR(IF(OR(AND(INDEX(Règles_chevaux_trait[Specificite],MATCH(RationEtéChevauxTrait&amp;$FD127,Règles_chevaux_trait[Ration]&amp;Règles_chevaux_trait[Aliment],0))="s1",IF($FD127=Spécificité1ChevauxTrait,1)),
AND(INDEX(Règles_chevaux_trait[Specificite],MATCH(RationEtéChevauxTrait&amp;$FD127,Règles_chevaux_trait[Ration]&amp;Règles_chevaux_trait[Aliment],0))="s2",IF($FD127=Spécificité2ChevauxTrait,1)),
INDEX(Règles_chevaux_trait[Specificite],MATCH(RationEtéChevauxTrait&amp;$FD127,Règles_chevaux_trait[Ration]&amp;Règles_chevaux_trait[Aliment],0))="c"),
INDEX(Règles_chevaux_trait[Valeur 0-12],MATCH(RationEtéChevauxTrait&amp;$FD127,Règles_chevaux_trait[Ration]&amp;Règles_chevaux_trait[Aliment],0)),0),0)*TotalPoulicheTrait_0_12_mois*SUM(NbreJoursNourrirChevauxTrait))</f>
        <v>0</v>
      </c>
      <c r="FI127" s="1286">
        <f t="shared" si="32"/>
        <v>0</v>
      </c>
      <c r="FJ127" s="1345"/>
      <c r="FK127" s="1345"/>
      <c r="FL127" s="1345"/>
      <c r="FM127" s="1321"/>
      <c r="FN127" s="1082" t="str">
        <f t="shared" si="33"/>
        <v>Triticale</v>
      </c>
      <c r="FO127" s="1282">
        <f t="array" ref="FO127">IF(OR(ChoixRationComplèteEtéPoneys=OUI,ChoixRationComplèteEtéPoneys="",AND(ChoixPoneysPréHiver=OUI,ChoixPoneysPréEté=OUI)),0,IFERROR(IF(OR(AND(INDEX(Règles_poneys[Specificite],MATCH(RationEtéPoneys&amp;$FN127,Règles_poneys[Ration]&amp;Règles_poneys[Aliment],0))="s1",IF($FN127=Spécificité1Poneys,1)),
AND(INDEX(Règles_poneys[Specificite],MATCH(RationEtéPoneys&amp;$FN127,Règles_poneys[Ration]&amp;Règles_poneys[Aliment],0))="s2",IF($FN127=Spécificité2Poneys,1)),
INDEX(Règles_poneys[Specificite],MATCH(RationEtéPoneys&amp;$FN127,Règles_poneys[Ration]&amp;Règles_poneys[Aliment],0))="c"),
INDEX(Règles_poneys[Valeur 36 et plus],MATCH(RationEtéPoneys&amp;$FN127,Règles_poneys[Ration]&amp;Règles_poneys[Aliment],0)),0),0)*TotalJumentPoney*SUM(NbreJoursNourrirPoneys))</f>
        <v>0</v>
      </c>
      <c r="FP127" s="1282">
        <f t="array" ref="FP127">IF(OR(ChoixRationComplèteEtéPoneys=OUI,ChoixRationComplèteEtéPoneys="",AND(ChoixPoneysPréHiver=OUI,ChoixPoneysPréEté=OUI)),0,IFERROR(IF(OR(AND(INDEX(Règles_poneys[Specificite],MATCH(RationEtéPoneys&amp;$FN127,Règles_poneys[Ration]&amp;Règles_poneys[Aliment],0))="s1",IF($FN127=Spécificité1Poneys,1)),
AND(INDEX(Règles_poneys[Specificite],MATCH(RationEtéPoneys&amp;$FN127,Règles_poneys[Ration]&amp;Règles_poneys[Aliment],0))="s2",IF($FN127=Spécificité2Poneys,1)),
INDEX(Règles_poneys[Specificite],MATCH(RationEtéPoneys&amp;$FN127,Règles_poneys[Ration]&amp;Règles_poneys[Aliment],0))="c"),
INDEX(Règles_poneys[Valeur 36 et plus],MATCH(RationEtéPoneys&amp;$FN127,Règles_poneys[Ration]&amp;Règles_poneys[Aliment],0)),0),0)*TotalJeuneJumentPoney_24_36_mois*SUM(NbreJoursNourrirPoneys))</f>
        <v>0</v>
      </c>
      <c r="FQ127" s="1282">
        <f t="array" ref="FQ127">IF(OR(ChoixRationComplèteEtéPoneys=OUI,ChoixRationComplèteEtéPoneys="",AND(ChoixPoneysPréHiver=OUI,ChoixPoneysPréEté=OUI)),0,IFERROR(IF(OR(AND(INDEX(Règles_poneys[Specificite],MATCH(RationEtéPoneys&amp;$FN127,Règles_poneys[Ration]&amp;Règles_poneys[Aliment],0))="s1",IF($FN127=Spécificité1Poneys,1)),
AND(INDEX(Règles_poneys[Specificite],MATCH(RationEtéPoneys&amp;$FN127,Règles_poneys[Ration]&amp;Règles_poneys[Aliment],0))="s2",IF($FN127=Spécificité2Poneys,1)),
INDEX(Règles_poneys[Specificite],MATCH(RationEtéPoneys&amp;$FN127,Règles_poneys[Ration]&amp;Règles_poneys[Aliment],0))="c"),
INDEX(Règles_poneys[Valeur 36 et plus],MATCH(RationEtéPoneys&amp;$FN127,Règles_poneys[Ration]&amp;Règles_poneys[Aliment],0)),0),0)*TotalJeuneJumentPoney_12_24_mois*SUM(NbreJoursNourrirPoneys))</f>
        <v>0</v>
      </c>
      <c r="FR127" s="1285">
        <f t="array" ref="FR127">IF(OR(ChoixRationComplèteEtéPoneys=OUI,ChoixRationComplèteEtéPoneys="",AND(ChoixPoneysPréHiver=OUI,ChoixPoneysPréEté=OUI)),0,IFERROR(IF(OR(AND(INDEX(Règles_poneys[Specificite],MATCH(RationEtéPoneys&amp;$FN127,Règles_poneys[Ration]&amp;Règles_poneys[Aliment],0))="s1",IF($FN127=Spécificité1Poneys,1)),
AND(INDEX(Règles_poneys[Specificite],MATCH(RationEtéPoneys&amp;$FN127,Règles_poneys[Ration]&amp;Règles_poneys[Aliment],0))="s2",IF($FN127=Spécificité2Poneys,1)),
INDEX(Règles_poneys[Specificite],MATCH(RationEtéPoneys&amp;$FN127,Règles_poneys[Ration]&amp;Règles_poneys[Aliment],0))="c"),
INDEX(Règles_poneys[Valeur 36 et plus],MATCH(RationEtéPoneys&amp;$FN127,Règles_poneys[Ration]&amp;Règles_poneys[Aliment],0)),0),0)*TotalPoulichePoney_0_12_mois*SUM(NbreJoursNourrirPoneys))</f>
        <v>0</v>
      </c>
      <c r="FS127" s="1285">
        <f t="shared" si="30"/>
        <v>0</v>
      </c>
      <c r="FT127" s="1345"/>
      <c r="FU127" s="1345"/>
      <c r="FV127" s="1345"/>
      <c r="FW127" s="823">
        <f t="shared" si="28"/>
        <v>0</v>
      </c>
      <c r="FX127" s="828">
        <f t="array" ref="FX12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27" s="828">
        <f t="array" ref="FY12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27" s="828">
        <f t="array" ref="FZ12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27" s="828">
        <f t="array" ref="GA127">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27" s="829">
        <f>SUM(AlimentsGavageCanards[[#This Row],[Valeur 3 et plus]:[Valeur 0-1]])</f>
        <v>0</v>
      </c>
      <c r="GC127" s="1321"/>
      <c r="GD127" s="1321"/>
      <c r="GE127" s="1321"/>
      <c r="GF127" s="1321"/>
      <c r="GG127" s="1321" t="s">
        <v>1349</v>
      </c>
      <c r="GH127" s="1321" t="s">
        <v>1349</v>
      </c>
      <c r="GI127" s="1321" t="s">
        <v>1349</v>
      </c>
      <c r="GJ127" s="1321" t="s">
        <v>1349</v>
      </c>
      <c r="GK127" s="1321" t="s">
        <v>1349</v>
      </c>
      <c r="GL127" s="1321" t="s">
        <v>1349</v>
      </c>
      <c r="GM127" s="1321" t="s">
        <v>1349</v>
      </c>
      <c r="GN127" s="1321" t="s">
        <v>1349</v>
      </c>
      <c r="GO127" s="1321" t="s">
        <v>1349</v>
      </c>
      <c r="GP127" s="1321" t="s">
        <v>1349</v>
      </c>
      <c r="GQ127" s="1321" t="s">
        <v>1349</v>
      </c>
      <c r="GR127" s="1321" t="s">
        <v>1349</v>
      </c>
      <c r="GS127" s="1321" t="s">
        <v>1349</v>
      </c>
      <c r="GT127" s="1321" t="s">
        <v>1349</v>
      </c>
      <c r="GU127" s="1321" t="s">
        <v>1349</v>
      </c>
      <c r="GV127" s="1321" t="s">
        <v>1349</v>
      </c>
      <c r="GW127" s="1321"/>
      <c r="GX127" s="1321"/>
      <c r="GY127" s="1321"/>
      <c r="GZ127" s="1321"/>
      <c r="HA127" s="1321"/>
      <c r="HB127" s="1321"/>
      <c r="HC127" s="1321"/>
      <c r="HD127" s="1321"/>
      <c r="HE127" s="1321"/>
      <c r="HF127" s="1321"/>
      <c r="HG127" s="1321"/>
      <c r="HH127" s="1321"/>
      <c r="HI127" s="1321"/>
      <c r="HJ127" s="1321"/>
      <c r="HK127" s="1321"/>
      <c r="HL127" s="1321"/>
      <c r="HM127" s="1321"/>
      <c r="HN127" s="1082" t="s">
        <v>1273</v>
      </c>
      <c r="HO127" s="1085" t="e">
        <f>IF(SUM((VLOOKUP(HN127,AlimentsRationBovinsMâles,9,FALSE)+VLOOKUP(HN127,AlimentsRationBovinsFemelles,9,FALSE)+VLOOKUP(HN127,BDD!BB$284:BJ$323,9,FALSE))/1000/SUM(NbreJoursNourrirBovins)*IF('semences, engrais et traitement'!I$16=OUI,42,84))&lt;0,0,SUM((VLOOKUP(HN127,AlimentsRationBovinsMâles,9,FALSE)+VLOOKUP(HN127,AlimentsRationBovinsFemelles,9,FALSE)+VLOOKUP(HN127,BDD!BB$284:BJ$323,9,FALSE))/1000/SUM(NbreJoursNourrirBovins)*IF('semences, engrais et traitement'!I$16=OUI,42,84)))</f>
        <v>#DIV/0!</v>
      </c>
      <c r="HP127" s="1085">
        <f t="shared" si="36"/>
        <v>0</v>
      </c>
      <c r="HQ127" s="1085" t="e">
        <f>IF(SUM(VLOOKUP(HN127,AlimentsRationPorcinsMâles[],7,FALSE)+VLOOKUP(HN127,AlimentsRationPorcinsFemelles[],7,FALSE))/1000/SUM(NbreJoursNourrirAutres)*84&lt;0,0,SUM(VLOOKUP(HN127,AlimentsRationPorcinsMâles[],7,FALSE)+VLOOKUP(HN127,AlimentsRationPorcinsFemelles[],7,FALSE)/1000/SUM(NbreJoursNourrirAutres)*84))</f>
        <v>#DIV/0!</v>
      </c>
      <c r="HR127" s="1085" t="e">
        <f>IF(SUM(VLOOKUP(HN127,AlimentsRationCaprinsMâles,6,FALSE)+VLOOKUP(HN127,AlimentsRationCaprinsFemelles,6,FALSE))/1000/SUM(NbreJoursNourrirCaprins)*IF('semences, engrais et traitement'!I$17=OUI,42,84)&lt;0,0,SUM(VLOOKUP(HN127,AlimentsRationCaprinsMâles,6,FALSE)+VLOOKUP(HN127,AlimentsRationCaprinsFemelles,6,FALSE))/1000/SUM(NbreJoursNourrirCaprins)*IF('semences, engrais et traitement'!I$17=OUI,42,84))</f>
        <v>#DIV/0!</v>
      </c>
      <c r="HS127" s="1085" t="e">
        <f>IF(SUM(VLOOKUP(HN127,AlimentsRationVolaillesMâles[],5,FALSE)+VLOOKUP(HN127,AlimentsRationVolaillesFemelles[],5,FALSE))/1000/SUM(NbreJoursNourrirAutres)*84&lt;0,0,SUM(VLOOKUP(HN127,AlimentsRationVolaillesMâles[],5,FALSE)+VLOOKUP(HN127,AlimentsRationVolaillesFemelles[],5,FALSE)/1000/SUM(NbreJoursNourrirAutres)*84))</f>
        <v>#DIV/0!</v>
      </c>
      <c r="HT127" s="1085" t="e">
        <f>IF(SUM(VLOOKUP(HN127,AlimentsRationPintadesMâles[],5,FALSE)+VLOOKUP(HN127,AlimentsRationPintadesFemelles[],5,FALSE))/1000/SUM(NbreJoursNourrirAutres)*84&lt;0,0,SUM(VLOOKUP(HN127,AlimentsRationPintadesMâles[],5,FALSE)+VLOOKUP(HN127,AlimentsRationPintadesFemelles[],5,FALSE)/1000/SUM(NbreJoursNourrirAutres)*84))</f>
        <v>#DIV/0!</v>
      </c>
      <c r="HU127" s="1085" t="e">
        <f>IF(SUM(VLOOKUP(HN127,AlimentsRationLapinsMâles[],5,FALSE)+VLOOKUP(HN127,AlimentsRationLapinsFemelles[],5,FALSE))/1000/SUM(NbreJoursNourrirAutres)*84&lt;0,0,SUM(VLOOKUP(HN127,AlimentsRationLapinsMâles[],5,FALSE)+VLOOKUP(HN127,AlimentsRationLapinsFemelles[],5,FALSE)/1000/SUM(NbreJoursNourrirAutres)*84))</f>
        <v>#DIV/0!</v>
      </c>
      <c r="HV127" s="1085" t="e">
        <f>IF(SUM(VLOOKUP(HN127,AlimentsRationOvinsMâles,6,FALSE)+VLOOKUP(HN127,AlimentsRationOvinsFemelles,6,FALSE))/1000/SUM(NbreJoursNourrirOvins)*IF('semences, engrais et traitement'!I$18=OUI,42,84)&lt;0,0,SUM(VLOOKUP(HN127,AlimentsRationOvinsMâles,6,FALSE)+VLOOKUP(HN127,AlimentsRationOvinsFemelles,6,FALSE))/1000/SUM(NbreJoursNourrirOvins)*IF('semences, engrais et traitement'!I$18=OUI,42,84))</f>
        <v>#DIV/0!</v>
      </c>
      <c r="HW127" s="1085" t="e">
        <f>IF(SUM(VLOOKUP(HN127,AlimentsRationOiesMâles[],5,FALSE)+VLOOKUP(HN127,AlimentsRationOiesFemelles[],5,FALSE))/1000/SUM(NbreJoursNourrirAutres)*84&lt;0,0,SUM(VLOOKUP(HN127,AlimentsRationOiesMâles[],5,FALSE)+VLOOKUP(HN127,AlimentsRationOiesFemelles[],5,FALSE)/1000/SUM(NbreJoursNourrirAutres)*84))</f>
        <v>#DIV/0!</v>
      </c>
      <c r="HX127" s="1085" t="e">
        <f t="shared" si="48"/>
        <v>#DIV/0!</v>
      </c>
      <c r="HY127" s="1085" t="e">
        <f>IF(SUM(VLOOKUP(HN127,AlimentsRationEcurieChevauxMâlesSelle,6,FALSE)+VLOOKUP(HN127,AlimentsRationEcurieChevauxFemellesSelle,6,FALSE))/1000/SUM(NbreJoursNourrirChevauxSelle)*IF('semences, engrais et traitement'!M$16=OUI,56,84)&lt;0,0,SUM(VLOOKUP(HN127,AlimentsRationEcurieChevauxMâlesSelle,6,FALSE)+VLOOKUP(HN127,AlimentsRationEcurieChevauxFemellesSelle,6,FALSE))/1000/SUM(NbreJoursNourrirChevauxSelle)*IF('semences, engrais et traitement'!M$16=OUI,56,84))</f>
        <v>#DIV/0!</v>
      </c>
      <c r="HZ127" s="1085" t="e">
        <f>IF(SUM(VLOOKUP(HN127,AlimentsRationEcurieChevauxMâlesTrait,6,FALSE)+VLOOKUP(HN127,AlimentsRationEcurieChevauxFemellesTrait,6,FALSE))/1000/SUM(NbreJoursNourrirChevauxTrait)*IF('semences, engrais et traitement'!M$17=OUI,56,84)&lt;0,0,SUM(VLOOKUP(HN127,AlimentsRationEcurieChevauxMâlesTrait,6,FALSE)+VLOOKUP(HN127,AlimentsRationEcurieChevauxFemellesTrait,6,FALSE))/1000/SUM(NbreJoursNourrirChevauxTrait)*IF('semences, engrais et traitement'!M$17=OUI,56,84))</f>
        <v>#DIV/0!</v>
      </c>
      <c r="IA127" s="1085" t="e">
        <f>IF(SUM(VLOOKUP(HN127,AlimentsRationEcuriePoneysMâles,6,FALSE)+VLOOKUP(HN127,AlimentsRationEcuriePoneysFemelles,6,FALSE))/1000/SUM(NbreJoursNourrirPoneys)*IF('semences, engrais et traitement'!M$18=OUI,56,84)&lt;0,0,SUM(VLOOKUP(HN127,AlimentsRationEcuriePoneysMâles,6,FALSE)+VLOOKUP(HN127,AlimentsRationEcuriePoneysFemelles,6,FALSE))/1000/SUM(NbreJoursNourrirPoneys)*IF('semences, engrais et traitement'!M$18=OUI,56,84))</f>
        <v>#DIV/0!</v>
      </c>
      <c r="IB127" s="1099" t="e">
        <f t="shared" si="38"/>
        <v>#DIV/0!</v>
      </c>
      <c r="IC127" s="1321"/>
      <c r="ID127" s="1321"/>
      <c r="IE127" s="1321"/>
      <c r="IF127" s="1321"/>
      <c r="IG127" s="1321"/>
      <c r="IH127" s="1321"/>
      <c r="II127" s="1321"/>
      <c r="IJ127" s="1321"/>
      <c r="IK127" s="1321"/>
      <c r="IL127" s="1321"/>
      <c r="IM127" s="1321"/>
      <c r="IN127" s="1368"/>
    </row>
    <row r="128" spans="1:248" ht="12.75" customHeight="1" x14ac:dyDescent="0.2">
      <c r="A128" s="1307" t="s">
        <v>315</v>
      </c>
      <c r="B128" s="1241">
        <f t="shared" si="39"/>
        <v>1E-3</v>
      </c>
      <c r="C128" s="1321"/>
      <c r="D128" s="1321"/>
      <c r="E128" s="1321"/>
      <c r="F128" s="1143" t="s">
        <v>863</v>
      </c>
      <c r="G128" s="1143">
        <v>0.38</v>
      </c>
      <c r="H128" s="1321"/>
      <c r="I128" s="1076" t="s">
        <v>1044</v>
      </c>
      <c r="J128" s="1081">
        <f>IF(gains!F$4=BDD!O$127,10,IF(gains!F$4=BDD!P$127,20,IF(gains!F$4=BDD!Q$127,30,0)))</f>
        <v>10</v>
      </c>
      <c r="K128" s="1081">
        <f>IF(gains!$G$7=K$127,1,0)</f>
        <v>0</v>
      </c>
      <c r="L128" s="1081">
        <f>IF(gains!$G$7=L$127,2,0)</f>
        <v>0</v>
      </c>
      <c r="M128" s="1081">
        <f>IF(gains!$G$7=M$127,3,0)</f>
        <v>0</v>
      </c>
      <c r="N128" s="1081">
        <f>IF(gains!$G$7=N$127,4,0)</f>
        <v>4</v>
      </c>
      <c r="O128" s="1081">
        <f>IF(AND(J128=10,SUM(K128:N128)=1),gains!$F$38,IF(AND(J128=10,SUM(K128:N128)=2),gains!$F$38*2,IF(AND(J128=10,SUM(K128:N128)=3),gains!$F$38*3,IF(AND(J128=10,SUM(K128:N128)=4),gains!$F$38*4,0))))</f>
        <v>56000</v>
      </c>
      <c r="P128" s="1081">
        <f>IF(AND(J128=20,SUM(K128:N128)=1),gains!$F$38*7,IF(AND(J128=20,SUM(K128:N128)=2),gains!$F$38*7*2,IF(AND(J128=20,SUM(K128:N128)=3),gains!$F$38*7*3,IF(AND(J128=20,SUM(K128:N128)=4),gains!$F$38*7*4,0))))</f>
        <v>0</v>
      </c>
      <c r="Q128" s="1081">
        <f>IF(AND(J128=30,SUM(K128:N128)=1),gains!$F$38*7*12,IF(AND(J128=30,SUM(K128:N128)=2),gains!$F$38*7*12*2,IF(AND(J128=30,SUM(K128:N128)=3),gains!$F$38*7*12*3,IF(AND(J128=30,SUM(K128:N128)=4),gains!$F$38*7*12*4,0))))</f>
        <v>0</v>
      </c>
      <c r="R128" s="1081">
        <f>SUM(R130:R140)*7*12</f>
        <v>0</v>
      </c>
      <c r="S128" s="1081">
        <f>SUM(S130:S136)</f>
        <v>0</v>
      </c>
      <c r="T128" s="1321"/>
      <c r="U128" s="1321"/>
      <c r="V128" s="1074">
        <f>SUM(V130:V135)*7*12</f>
        <v>0</v>
      </c>
      <c r="W128" s="1321"/>
      <c r="X128" s="1321"/>
      <c r="Y128" s="1321"/>
      <c r="Z128" s="1321"/>
      <c r="AA128" s="1321"/>
      <c r="AB128" s="1321"/>
      <c r="AC128" s="1321"/>
      <c r="AD128" s="1321"/>
      <c r="AE128" s="1321"/>
      <c r="AF128" s="1321"/>
      <c r="AG128" s="1321"/>
      <c r="AH128" s="1321"/>
      <c r="AI128" s="1321"/>
      <c r="AJ128" s="1321"/>
      <c r="AK128" s="1321"/>
      <c r="AL128" s="1321"/>
      <c r="AM128" s="1321"/>
      <c r="AN128" s="1321"/>
      <c r="AO128" s="1321"/>
      <c r="AP128" s="1321"/>
      <c r="AQ128" s="1321"/>
      <c r="AR128" s="1321"/>
      <c r="AS128" s="1321"/>
      <c r="AT128" s="1321"/>
      <c r="AU128" s="1321"/>
      <c r="AV128" s="1321"/>
      <c r="AW128" s="1321"/>
      <c r="AX128" s="1321"/>
      <c r="AY128" s="1321"/>
      <c r="AZ128" s="1321"/>
      <c r="BA128" s="1321"/>
      <c r="BB128" s="1236" t="s">
        <v>731</v>
      </c>
      <c r="BC128" s="1190" t="s">
        <v>715</v>
      </c>
      <c r="BD128" s="1190" t="s">
        <v>1254</v>
      </c>
      <c r="BE128" s="1237">
        <v>4.8</v>
      </c>
      <c r="BF128" s="1237">
        <v>4</v>
      </c>
      <c r="BG128" s="1237">
        <v>4</v>
      </c>
      <c r="BH128" s="1237">
        <v>4</v>
      </c>
      <c r="BI128" s="1237">
        <v>2</v>
      </c>
      <c r="BJ128" s="1237">
        <v>1.2</v>
      </c>
      <c r="BK128" s="1238">
        <v>0</v>
      </c>
      <c r="BL128" s="1348"/>
      <c r="BM128" s="1076" t="str">
        <f t="shared" si="47"/>
        <v>Foin</v>
      </c>
      <c r="BN128" s="1267">
        <f t="array" ref="BN128">SUM((IF(QualitéAlimentsBisonneauxMâles_0_3_mois=BONNE,VLOOKUP("Foin",AlimentsRationHivernaleBisonsMâles,8,FALSE),0)+(IF(QualitéAlimentsBisonneauxFemelles_0_3_mois=BONNE,VLOOKUP("Foin",AlimentsRationHivernaleBisonsFemelles,8,FALSE),0)+(IF(QualitéAlimentsBisonneauxMâles_3_6_mois=BONNE,VLOOKUP("Foin",AlimentsRationHivernaleBisonsMâles,7,FALSE),0)+(IF(QualitéAlimentsBisonneauxFemelles_3_6_mois=BONNE,VLOOKUP("Foin",AlimentsRationHivernaleBisonsFemelles,7,FALSE),0)+(IF(QualitéAlimentsBisonneauxMâles_6_12_mois=BONNE,VLOOKUP("Foin",AlimentsRationHivernaleBisonsMâles,6,FALSE),0)+(IF(QualitéAlimentsBisonneauxFemelles_6_12_mois=BONNE,VLOOKUP("Foin",AlimentsRationHivernaleBisonsFemelles,6,FALSE),0)+(IF(QualitéAlimentsJeunesBisons_12_18_mois=BONNE,VLOOKUP("Foin",AlimentsRationHivernaleBisonsMâles,5,FALSE),0)+(IF(QualitéAlimentsJeunesBisonnes_12_18_mois=BONNE,VLOOKUP("Foin",AlimentsRationHivernaleBisonsFemelles,5,FALSE),0)+(IF(QualitéAlimentsJeunesBisons_18_24_mois=BONNE,VLOOKUP("Foin",AlimentsRationHivernaleBisonsMâles,4,FALSE),0)+(IF(QualitéAlimentsJeunesBisonnes_18_24_mois=BONNE,VLOOKUP("Foin",AlimentsRationHivernaleBisonsFemelles,4,FALSE),0)+(IF(QualitéAlimentsJeunesBisons_24_36_mois=BONNE,VLOOKUP("Foin",AlimentsRationHivernaleBisonsMâles,3,FALSE),0)+(IF(QualitéAlimentsJeunesBisonnes_24_36_mois=BONNE,VLOOKUP("Foin",AlimentsRationHivernaleBisonsFemelles,3,FALSE),0)+(IF(QualitéAlimentsBisons=BONNE,VLOOKUP("Foin",AlimentsRationHivernaleBisonsMâles,2,FALSE),0)+(IF(QualitéAlimentsBisonnes=BONNE,VLOOKUP("Foin",AlimentsRationHivernaleBisonsFemelles,2,FALSE),0))))))))))))))))</f>
        <v>0</v>
      </c>
      <c r="BO128" s="1267">
        <f t="array" ref="BO128">SUM((IF(QualitéAlimentsBisonneauxMâles_0_3_mois=MOYENNE,VLOOKUP("Foin",AlimentsRationHivernaleBisonsMâles,8,FALSE),0)+(IF(QualitéAlimentsBisonneauxFemelles_0_3_mois=MOYENNE,VLOOKUP("Foin",AlimentsRationHivernaleBisonsFemelles,8,FALSE),0)+(IF(QualitéAlimentsBisonneauxMâles_3_6_mois=MOYENNE,VLOOKUP("Foin",AlimentsRationHivernaleBisonsMâles,7,FALSE),0)+(IF(QualitéAlimentsBisonneauxFemelles_3_6_mois=MOYENNE,VLOOKUP("Foin",AlimentsRationHivernaleBisonsFemelles,7,FALSE),0)+(IF(QualitéAlimentsBisonneauxMâles_6_12_mois=MOYENNE,VLOOKUP("Foin",AlimentsRationHivernaleBisonsMâles,6,FALSE),0)+(IF(QualitéAlimentsBisonneauxFemelles_6_12_mois=MOYENNE,VLOOKUP("Foin",AlimentsRationHivernaleBisonsFemelles,6,FALSE),0)+(IF(QualitéAlimentsJeunesBisons_12_18_mois=MOYENNE,VLOOKUP("Foin",AlimentsRationHivernaleBisonsMâles,5,FALSE),0)+(IF(QualitéAlimentsJeunesBisonnes_12_18_mois=MOYENNE,VLOOKUP("Foin",AlimentsRationHivernaleBisonsFemelles,5,FALSE),0)+(IF(QualitéAlimentsJeunesBisons_18_24_mois=MOYENNE,VLOOKUP("Foin",AlimentsRationHivernaleBisonsMâles,4,FALSE),0)+(IF(QualitéAlimentsJeunesBisonnes_18_24_mois=MOYENNE,VLOOKUP("Foin",AlimentsRationHivernaleBisonsFemelles,4,FALSE),0)+(IF(QualitéAlimentsJeunesBisons_24_36_mois=MOYENNE,VLOOKUP("Foin",AlimentsRationHivernaleBisonsMâles,3,FALSE),0)+(IF(QualitéAlimentsJeunesBisonnes_24_36_mois=MOYENNE,VLOOKUP("Foin",AlimentsRationHivernaleBisonsFemelles,3,FALSE),0)+(IF(QualitéAlimentsBisons=MOYENNE,VLOOKUP("Foin",AlimentsRationHivernaleBisonsMâles,2,FALSE),0)+(IF(QualitéAlimentsBisonnes=MOYENNE,VLOOKUP("Foin",AlimentsRationHivernaleBisonsFemelles,2,FALSE),0))))))))))))))))</f>
        <v>0</v>
      </c>
      <c r="BP128" s="1267">
        <f t="array" ref="BP128">SUM((IF(QualitéAlimentsBisonneauxMâles_0_3_mois=MAUVAISE,VLOOKUP("Foin",AlimentsRationHivernaleBisonsMâles,8,FALSE),0)+(IF(QualitéAlimentsBisonneauxFemelles_0_3_mois=MAUVAISE,VLOOKUP("Foin",AlimentsRationHivernaleBisonsFemelles,8,FALSE),0)+(IF(QualitéAlimentsBisonneauxMâles_3_6_mois=MAUVAISE,VLOOKUP("Foin",AlimentsRationHivernaleBisonsMâles,7,FALSE),0)+(IF(QualitéAlimentsBisonneauxFemelles_3_6_mois=MAUVAISE,VLOOKUP("Foin",AlimentsRationHivernaleBisonsFemelles,7,FALSE),0)+(IF(QualitéAlimentsBisonneauxMâles_6_12_mois=MAUVAISE,VLOOKUP("Foin",AlimentsRationHivernaleBisonsMâles,6,FALSE),0)+(IF(QualitéAlimentsBisonneauxFemelles_6_12_mois=MAUVAISE,VLOOKUP("Foin",AlimentsRationHivernaleBisonsFemelles,6,FALSE),0)+(IF(QualitéAlimentsJeunesBisons_12_18_mois=MAUVAISE,VLOOKUP("Foin",AlimentsRationHivernaleBisonsMâles,5,FALSE),0)+(IF(QualitéAlimentsJeunesBisonnes_12_18_mois=MAUVAISE,VLOOKUP("Foin",AlimentsRationHivernaleBisonsFemelles,5,FALSE),0)+(IF(QualitéAlimentsJeunesBisons_18_24_mois=MAUVAISE,VLOOKUP("Foin",AlimentsRationHivernaleBisonsMâles,4,FALSE),0)+(IF(QualitéAlimentsJeunesBisonnes_18_24_mois=MAUVAISE,VLOOKUP("Foin",AlimentsRationHivernaleBisonsFemelles,4,FALSE),0)+(IF(QualitéAlimentsJeunesBisons_24_36_mois=MAUVAISE,VLOOKUP("Foin",AlimentsRationHivernaleBisonsMâles,3,FALSE),0)+(IF(QualitéAlimentsJeunesBisonnes_24_36_mois=MAUVAISE,VLOOKUP("Foin",AlimentsRationHivernaleBisonsFemelles,3,FALSE),0)+(IF(QualitéAlimentsBisons=MAUVAISE,VLOOKUP("Foin",AlimentsRationHivernaleBisonsMâles,2,FALSE),0)+(IF(QualitéAlimentsBisonnes=MAUVAISE,VLOOKUP("Foin",AlimentsRationHivernaleBisonsFemelles,2,FALSE),0))))))))))))))))</f>
        <v>0</v>
      </c>
      <c r="BQ128" s="1346"/>
      <c r="BR128" s="1346"/>
      <c r="BS128" s="1346"/>
      <c r="BT128" s="1346"/>
      <c r="BU128" s="1346"/>
      <c r="BV128" s="1345"/>
      <c r="BW128" s="1345"/>
      <c r="BX128" s="1076" t="s">
        <v>297</v>
      </c>
      <c r="BY128" s="1076">
        <f t="array" ref="BY128">IF(ChoixRationComplèteCaprins=OUI,0,IFERROR(IF(OR(AND(INDEX(Règles_caprins[Specificite],MATCH(ChoixRationCaprins&amp;$BX128,Règles_caprins[Ration]&amp;Règles_caprins[Aliment],0))="s1",IF($BX128=Spécificité1Caprins,1)),
INDEX(Règles_caprins[Specificite],MATCH(ChoixRationCaprins&amp;$BX128,Règles_caprins[Ration]&amp;Règles_caprins[Aliment],0))="c"),
INDEX(Règles_caprins[Valeur 12 et plus],MATCH(ChoixRationCaprins&amp;$BX128,Règles_caprins[Ration]&amp;Règles_caprins[Aliment],0)),0),0)*TotalBoucs*SUM(NbreJoursNourrirCaprins))</f>
        <v>0</v>
      </c>
      <c r="BZ128" s="1076">
        <f t="array" ref="BZ128">IF(ChoixRationComplèteCaprins=OUI,0,IFERROR(IF(OR(AND(INDEX(Règles_caprins[Specificite],MATCH(ChoixRationCaprins&amp;$BX128,Règles_caprins[Ration]&amp;Règles_caprins[Aliment],0))="s1",IF($BX128=Spécificité1Caprins,1)),
INDEX(Règles_caprins[Specificite],MATCH(ChoixRationCaprins&amp;$BX128,Règles_caprins[Ration]&amp;Règles_caprins[Aliment],0))="c"),
INDEX(Règles_caprins[Valeur 6-12],MATCH(ChoixRationCaprins&amp;$BX128,Règles_caprins[Ration]&amp;Règles_caprins[Aliment],0)),0),0)*jeune_bouc_6_12_mois*SUM(NbreJoursNourrirCaprins))</f>
        <v>0</v>
      </c>
      <c r="CA128" s="1076">
        <f t="array" ref="CA128">IF(ChoixRationComplèteCaprins=OUI,0,IFERROR(IF(OR(AND(INDEX(Règles_caprins[Specificite],MATCH(ChoixRationCaprins&amp;$BX128,Règles_caprins[Ration]&amp;Règles_caprins[Aliment],0))="s1",IF($BX128=Spécificité1Caprins,1)),
INDEX(Règles_caprins[Specificite],MATCH(ChoixRationCaprins&amp;$BX128,Règles_caprins[Ration]&amp;Règles_caprins[Aliment],0))="c"),
INDEX(Règles_caprins[Valeur 3-6],MATCH(ChoixRationCaprins&amp;$BX128,Règles_caprins[Ration]&amp;Règles_caprins[Aliment],0)),0),0)*chevreau_3_6_mois*SUM(NbreJoursNourrirCaprins))</f>
        <v>0</v>
      </c>
      <c r="CB128" s="1076">
        <f t="array" ref="CB128">IF(ChoixRationComplèteCaprins=OUI,0,IFERROR(IF(OR(AND(INDEX(Règles_caprins[Specificite],MATCH(ChoixRationCaprins&amp;$BX128,Règles_caprins[Ration]&amp;Règles_caprins[Aliment],0))="s1",IF($BX128=Spécificité1Caprins,1)),
INDEX(Règles_caprins[Specificite],MATCH(ChoixRationCaprins&amp;$BX128,Règles_caprins[Ration]&amp;Règles_caprins[Aliment],0))="c"),
INDEX(Règles_caprins[Valeur 0-3],MATCH(ChoixRationCaprins&amp;$BX128,Règles_caprins[Ration]&amp;Règles_caprins[Aliment],0)),0),0)*chevreau_0_3_mois*SUM(NbreJoursNourrirCaprins))</f>
        <v>0</v>
      </c>
      <c r="CC128" s="1076">
        <f t="shared" si="45"/>
        <v>0</v>
      </c>
      <c r="CD128" s="1345"/>
      <c r="CE128" s="1345"/>
      <c r="CF128" s="1345"/>
      <c r="CG128" s="1345"/>
      <c r="CH128" s="1321"/>
      <c r="CI128" s="1321"/>
      <c r="CJ128" s="1335" t="s">
        <v>1478</v>
      </c>
      <c r="CK128" s="1336"/>
      <c r="CL128" s="1321"/>
      <c r="CM128" s="1336" t="s">
        <v>1480</v>
      </c>
      <c r="CN128" s="1336"/>
      <c r="CO128" s="1321"/>
      <c r="CP128" s="1321"/>
      <c r="CQ128" s="1321"/>
      <c r="CR128" s="1321"/>
      <c r="CS128" s="808" t="str">
        <f t="shared" si="40"/>
        <v>Tournesol</v>
      </c>
      <c r="CT128" s="817">
        <f t="array" ref="CT128">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28" s="817">
        <f t="array" ref="CU128">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28" s="817">
        <f t="array" ref="CV128">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28" s="818">
        <f>SUM(AlimentsRationLapinsFemelles[[#This Row],[Valeur 3 et plus]:[Valeur 0-1]])</f>
        <v>0</v>
      </c>
      <c r="CX128" s="1321"/>
      <c r="CY128" s="1321"/>
      <c r="CZ128" s="808" t="str">
        <f t="shared" si="41"/>
        <v>Tournesol</v>
      </c>
      <c r="DA128" s="817">
        <f t="array" ref="DA128">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28" s="817">
        <f t="array" ref="DB128">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28" s="817">
        <f t="array" ref="DC128">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28" s="818">
        <f>SUM(AlimentsRationVolaillesFemelles[[#This Row],[Valeur 6 et plus]:[Valeur 0-1]])</f>
        <v>0</v>
      </c>
      <c r="DE128" s="1321"/>
      <c r="DF128" s="1321"/>
      <c r="DG128" s="788">
        <f t="shared" si="27"/>
        <v>0</v>
      </c>
      <c r="DH128" s="817">
        <f t="array" ref="DH12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6 et plus],MATCH(ChoixRationPintades&amp;AlimentsRationPintadesFemelles[[#This Row],[aliment]],Règles_pintades[Ration]&amp;Règles_pintades[Aliment],0)),0),0)*TotalPintadeFemelle*SUM(NbreJoursNourrirAutres))</f>
        <v>0</v>
      </c>
      <c r="DI128" s="817">
        <f t="array" ref="DI12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1-6],MATCH(ChoixRationPintades&amp;AlimentsRationPintadesFemelles[[#This Row],[aliment]],Règles_pintades[Ration]&amp;Règles_pintades[Aliment],0)),0),0)*JeunePintadeFemelle_1_9_mois*SUM(NbreJoursNourrirAutres))</f>
        <v>0</v>
      </c>
      <c r="DJ128" s="817">
        <f t="array" ref="DJ128">IF(ChoixRationComplètePintades=OUI,0,IFERROR(IF(OR(AND(INDEX(Règles_pintades[Specificite],MATCH(ChoixRationPintades&amp;AlimentsRationPintadesFemelles[[#This Row],[aliment]],Règles_pintades[Ration]&amp;Règles_pintades[Aliment],0))="s1",IF(AlimentsRationPintadesFemelles[[#This Row],[aliment]]=Spécificité1Pintades,1)),
AND(INDEX(Règles_pintades[Specificite],MATCH(ChoixRationPintades&amp;AlimentsRationPintadesFemelles[[#This Row],[aliment]],Règles_pintades[Ration]&amp;Règles_pintades[Aliment],0))="s2",IF(AlimentsRationPintadesFemelles[[#This Row],[aliment]]=Spécificité2Pintades,1)),
INDEX(Règles_pintades[Specificite],MATCH(ChoixRationPintades&amp;AlimentsRationPintadesFemelles[[#This Row],[aliment]],Règles_pintades[Ration]&amp;Règles_pintades[Aliment],0))="c"),
INDEX(Règles_pintades[Valeur 0-1],MATCH(ChoixRationPintades&amp;AlimentsRationPintadesFemelles[[#This Row],[aliment]],Règles_pintades[Ration]&amp;Règles_pintades[Aliment],0)),0),0)*PintadeauFemelle_0_1_mois*SUM(NbreJoursNourrirAutres))</f>
        <v>0</v>
      </c>
      <c r="DK128" s="821">
        <f>SUM(AlimentsRationPintadesFemelles[[#This Row],[Valeur 6 et plus]:[Valeur 0-1]])</f>
        <v>0</v>
      </c>
      <c r="DL128" s="1321"/>
      <c r="DM128" s="1321"/>
      <c r="DN128" s="1176" t="s">
        <v>765</v>
      </c>
      <c r="DO128" s="1177" t="s">
        <v>219</v>
      </c>
      <c r="DP128" s="1177" t="s">
        <v>1252</v>
      </c>
      <c r="DQ128" s="1181">
        <v>10</v>
      </c>
      <c r="DR128" s="1181">
        <v>8</v>
      </c>
      <c r="DS128" s="1181">
        <v>6</v>
      </c>
      <c r="DT128" s="1243">
        <v>0</v>
      </c>
      <c r="DU128" s="1346"/>
      <c r="DV128" s="1321"/>
      <c r="DW128" s="1321"/>
      <c r="DX128" s="1321"/>
      <c r="DY128" s="1321"/>
      <c r="DZ128" s="1321"/>
      <c r="EA128" s="1321"/>
      <c r="EB128" s="1321"/>
      <c r="EC128" s="1321"/>
      <c r="ED128" s="1345"/>
      <c r="EE128" s="1345"/>
      <c r="EF128" s="1321"/>
      <c r="EG128" s="808">
        <f t="shared" si="31"/>
        <v>0</v>
      </c>
      <c r="EH128" s="817">
        <f t="array" ref="EH12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28" s="817">
        <f t="array" ref="EI12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28" s="817">
        <f t="array" ref="EJ128">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28" s="818">
        <f>SUM(AlimentsRationOiesFemelles[[#This Row],[Valeur 6 et plus]:[Valeur 0-3]])</f>
        <v>0</v>
      </c>
      <c r="EL128" s="1345"/>
      <c r="EM128" s="1321"/>
      <c r="EN128" s="823">
        <f t="shared" si="29"/>
        <v>0</v>
      </c>
      <c r="EO128" s="828">
        <f t="array" ref="EO12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28" s="828">
        <f t="array" ref="EP12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28" s="828">
        <f t="array" ref="EQ128">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28" s="829">
        <f>SUM(Ration_canards_Femelles[[#This Row],[Valeur 6 et plus]:[Valeur 0-3]])</f>
        <v>0</v>
      </c>
      <c r="ES128" s="1345"/>
      <c r="ET128" s="1321"/>
      <c r="EU128" s="1082" t="str">
        <f t="shared" si="44"/>
        <v>Seigle</v>
      </c>
      <c r="EV128" s="1282">
        <f t="array" ref="EV128">IF(OR(ChoixRationComplèteEtéChevauxSelle=OUI,ChoixRationComplèteEtéChevauxSelle="",AND(ChoixChevauxSellePréHiver=OUI,ChoixChevauxSellePréEté=OUI)),0,IFERROR(IF(OR(AND(INDEX(Règles_chevaux_selle[Specificite],MATCH(RationEtéChevauxSelle&amp;$EU128,Règles_chevaux_selle[Ration]&amp;Règles_chevaux_selle[Aliment],0))="s1",IF($EU128=Spécificité1ChevauxSelle,1)),
AND(INDEX(Règles_chevaux_selle[Specificite],MATCH(RationEtéChevauxSelle&amp;$EU128,Règles_chevaux_selle[Ration]&amp;Règles_chevaux_selle[Aliment],0))="s2",IF($EU128=Spécificité2ChevauxSelle,1)),
INDEX(Règles_chevaux_selle[Specificite],MATCH(RationEtéChevauxSelle&amp;$EU128,Règles_chevaux_selle[Ration]&amp;Règles_chevaux_selle[Aliment],0))="c"),
INDEX(Règles_chevaux_selle[Valeur 36 et plus],MATCH(RationEtéChevauxSelle&amp;$EU128,Règles_chevaux_selle[Ration]&amp;Règles_chevaux_selle[Aliment],0)),0),0)*TotalJumentSelle*SUM(NbreJoursNourrirChevauxSelle))</f>
        <v>0</v>
      </c>
      <c r="EW128" s="1282">
        <f t="array" ref="EW128">IF(OR(ChoixRationComplèteEtéChevauxSelle=OUI,ChoixRationComplèteEtéChevauxSelle="",AND(ChoixChevauxSellePréHiver=OUI,ChoixChevauxSellePréEté=OUI)),0,IFERROR(IF(OR(AND(INDEX(Règles_chevaux_selle[Specificite],MATCH(RationEtéChevauxSelle&amp;$EU128,Règles_chevaux_selle[Ration]&amp;Règles_chevaux_selle[Aliment],0))="s1",IF($EU128=Spécificité1ChevauxSelle,1)),
AND(INDEX(Règles_chevaux_selle[Specificite],MATCH(RationEtéChevauxSelle&amp;$EU128,Règles_chevaux_selle[Ration]&amp;Règles_chevaux_selle[Aliment],0))="s2",IF($EU128=Spécificité2ChevauxSelle,1)),
INDEX(Règles_chevaux_selle[Specificite],MATCH(RationEtéChevauxSelle&amp;$EU128,Règles_chevaux_selle[Ration]&amp;Règles_chevaux_selle[Aliment],0))="c"),
INDEX(Règles_chevaux_selle[Valeur 24-36],MATCH(RationEtéChevauxSelle&amp;$EU128,Règles_chevaux_selle[Ration]&amp;Règles_chevaux_selle[Aliment],0)),0),0)*TotalJeuneJumentSelle_24_36_mois*SUM(NbreJoursNourrirChevauxSelle))</f>
        <v>0</v>
      </c>
      <c r="EX128" s="1282">
        <f t="array" ref="EX128">IF(OR(ChoixRationComplèteEtéChevauxSelle=OUI,ChoixRationComplèteEtéChevauxSelle="",AND(ChoixChevauxSellePréHiver=OUI,ChoixChevauxSellePréEté=OUI)),0,IFERROR(IF(OR(AND(INDEX(Règles_chevaux_selle[Specificite],MATCH(RationEtéChevauxSelle&amp;$EU128,Règles_chevaux_selle[Ration]&amp;Règles_chevaux_selle[Aliment],0))="s1",IF($EU128=Spécificité1ChevauxSelle,1)),
AND(INDEX(Règles_chevaux_selle[Specificite],MATCH(RationEtéChevauxSelle&amp;$EU128,Règles_chevaux_selle[Ration]&amp;Règles_chevaux_selle[Aliment],0))="s2",IF($EU128=Spécificité2ChevauxSelle,1)),
INDEX(Règles_chevaux_selle[Specificite],MATCH(RationEtéChevauxSelle&amp;$EU128,Règles_chevaux_selle[Ration]&amp;Règles_chevaux_selle[Aliment],0))="c"),
INDEX(Règles_chevaux_selle[Valeur 12-24],MATCH(RationEtéChevauxSelle&amp;$EU128,Règles_chevaux_selle[Ration]&amp;Règles_chevaux_selle[Aliment],0)),0),0)*TotalJeuneJumentSelle_12_24_mois*SUM(NbreJoursNourrirChevauxSelle))</f>
        <v>0</v>
      </c>
      <c r="EY128" s="1285">
        <f t="array" ref="EY128">IF(OR(ChoixRationComplèteEtéChevauxSelle=OUI,ChoixRationComplèteEtéChevauxSelle="",AND(ChoixChevauxSellePréHiver=OUI,ChoixChevauxSellePréEté=OUI)),0,IFERROR(IF(OR(AND(INDEX(Règles_chevaux_selle[Specificite],MATCH(RationEtéChevauxSelle&amp;$EU128,Règles_chevaux_selle[Ration]&amp;Règles_chevaux_selle[Aliment],0))="s1",IF($EU128=Spécificité1ChevauxSelle,1)),
AND(INDEX(Règles_chevaux_selle[Specificite],MATCH(RationEtéChevauxSelle&amp;$EU128,Règles_chevaux_selle[Ration]&amp;Règles_chevaux_selle[Aliment],0))="s2",IF($EU128=Spécificité2ChevauxSelle,1)),
INDEX(Règles_chevaux_selle[Specificite],MATCH(RationEtéChevauxSelle&amp;$EU128,Règles_chevaux_selle[Ration]&amp;Règles_chevaux_selle[Aliment],0))="c"),
INDEX(Règles_chevaux_selle[Valeur 0-12],MATCH(RationEtéChevauxSelle&amp;$EU128,Règles_chevaux_selle[Ration]&amp;Règles_chevaux_selle[Aliment],0)),0),0)*TotalPoulicheSelle_0_12_mois*SUM(NbreJoursNourrirChevauxSelle))</f>
        <v>0</v>
      </c>
      <c r="EZ128" s="1285">
        <f t="shared" si="43"/>
        <v>0</v>
      </c>
      <c r="FA128" s="1345"/>
      <c r="FB128" s="1345"/>
      <c r="FC128" s="1321"/>
      <c r="FD128" s="1082" t="str">
        <f t="shared" si="34"/>
        <v>Triticale</v>
      </c>
      <c r="FE128" s="1282">
        <f t="array" ref="FE128">IF(OR(ChoixRationComplèteEtéChevauxTrait=OUI,ChoixRationComplèteEtéChevauxTrait="",AND(ChoixChevauxTraitPréHiver=OUI,ChoixChevauxTraitPréEté=OUI)),0,IFERROR(IF(OR(AND(INDEX(Règles_chevaux_trait[Specificite],MATCH(RationEtéChevauxTrait&amp;$FD128,Règles_chevaux_trait[Ration]&amp;Règles_chevaux_trait[Aliment],0))="s1",IF($FD128=Spécificité1ChevauxTrait,1)),
AND(INDEX(Règles_chevaux_trait[Specificite],MATCH(RationEtéChevauxTrait&amp;$FD128,Règles_chevaux_trait[Ration]&amp;Règles_chevaux_trait[Aliment],0))="s2",IF($FD128=Spécificité2ChevauxTrait,1)),
INDEX(Règles_chevaux_trait[Specificite],MATCH(RationEtéChevauxTrait&amp;$FD128,Règles_chevaux_trait[Ration]&amp;Règles_chevaux_trait[Aliment],0))="c"),
INDEX(Règles_chevaux_trait[Valeur 36 et plus],MATCH(RationEtéChevauxTrait&amp;$FD128,Règles_chevaux_trait[Ration]&amp;Règles_chevaux_trait[Aliment],0)),0),0)*TotalJumentTrait*SUM(NbreJoursNourrirChevauxTrait))</f>
        <v>0</v>
      </c>
      <c r="FF128" s="1282">
        <f t="array" ref="FF128">IF(OR(ChoixRationComplèteEtéChevauxTrait=OUI,ChoixRationComplèteEtéChevauxTrait="",AND(ChoixChevauxTraitPréHiver=OUI,ChoixChevauxTraitPréEté=OUI)),0,IFERROR(IF(OR(AND(INDEX(Règles_chevaux_trait[Specificite],MATCH(RationEtéChevauxTrait&amp;$FD128,Règles_chevaux_trait[Ration]&amp;Règles_chevaux_trait[Aliment],0))="s1",IF($FD128=Spécificité1ChevauxTrait,1)),
AND(INDEX(Règles_chevaux_trait[Specificite],MATCH(RationEtéChevauxTrait&amp;$FD128,Règles_chevaux_trait[Ration]&amp;Règles_chevaux_trait[Aliment],0))="s2",IF($FD128=Spécificité2ChevauxTrait,1)),
INDEX(Règles_chevaux_trait[Specificite],MATCH(RationEtéChevauxTrait&amp;$FD128,Règles_chevaux_trait[Ration]&amp;Règles_chevaux_trait[Aliment],0))="c"),
INDEX(Règles_chevaux_trait[Valeur 24-36],MATCH(RationEtéChevauxTrait&amp;$FD128,Règles_chevaux_trait[Ration]&amp;Règles_chevaux_trait[Aliment],0)),0),0)*TotalJeuneJumentTrait_24_36_mois*SUM(NbreJoursNourrirChevauxTrait))</f>
        <v>0</v>
      </c>
      <c r="FG128" s="1282">
        <f t="array" ref="FG128">IF(OR(ChoixRationComplèteEtéChevauxTrait=OUI,ChoixRationComplèteEtéChevauxTrait="",AND(ChoixChevauxTraitPréHiver=OUI,ChoixChevauxTraitPréEté=OUI)),0,IFERROR(IF(OR(AND(INDEX(Règles_chevaux_trait[Specificite],MATCH(RationEtéChevauxTrait&amp;$FD128,Règles_chevaux_trait[Ration]&amp;Règles_chevaux_trait[Aliment],0))="s1",IF($FD128=Spécificité1ChevauxTrait,1)),
AND(INDEX(Règles_chevaux_trait[Specificite],MATCH(RationEtéChevauxTrait&amp;$FD128,Règles_chevaux_trait[Ration]&amp;Règles_chevaux_trait[Aliment],0))="s2",IF($FD128=Spécificité2ChevauxTrait,1)),
INDEX(Règles_chevaux_trait[Specificite],MATCH(RationEtéChevauxTrait&amp;$FD128,Règles_chevaux_trait[Ration]&amp;Règles_chevaux_trait[Aliment],0))="c"),
INDEX(Règles_chevaux_trait[Valeur 12-24],MATCH(RationEtéChevauxTrait&amp;$FD128,Règles_chevaux_trait[Ration]&amp;Règles_chevaux_trait[Aliment],0)),0),0)*TotalJeuneJumentTrait_12_24_mois*SUM(NbreJoursNourrirChevauxTrait))</f>
        <v>0</v>
      </c>
      <c r="FH128" s="1285">
        <f t="array" ref="FH128">IF(OR(ChoixRationComplèteEtéChevauxTrait=OUI,ChoixRationComplèteEtéChevauxTrait="",AND(ChoixChevauxTraitPréHiver=OUI,ChoixChevauxTraitPréEté=OUI)),0,IFERROR(IF(OR(AND(INDEX(Règles_chevaux_trait[Specificite],MATCH(RationEtéChevauxTrait&amp;$FD128,Règles_chevaux_trait[Ration]&amp;Règles_chevaux_trait[Aliment],0))="s1",IF($FD128=Spécificité1ChevauxTrait,1)),
AND(INDEX(Règles_chevaux_trait[Specificite],MATCH(RationEtéChevauxTrait&amp;$FD128,Règles_chevaux_trait[Ration]&amp;Règles_chevaux_trait[Aliment],0))="s2",IF($FD128=Spécificité2ChevauxTrait,1)),
INDEX(Règles_chevaux_trait[Specificite],MATCH(RationEtéChevauxTrait&amp;$FD128,Règles_chevaux_trait[Ration]&amp;Règles_chevaux_trait[Aliment],0))="c"),
INDEX(Règles_chevaux_trait[Valeur 0-12],MATCH(RationEtéChevauxTrait&amp;$FD128,Règles_chevaux_trait[Ration]&amp;Règles_chevaux_trait[Aliment],0)),0),0)*TotalPoulicheTrait_0_12_mois*SUM(NbreJoursNourrirChevauxTrait))</f>
        <v>0</v>
      </c>
      <c r="FI128" s="1285">
        <f t="shared" si="32"/>
        <v>0</v>
      </c>
      <c r="FJ128" s="1345"/>
      <c r="FK128" s="1345"/>
      <c r="FL128" s="1345"/>
      <c r="FM128" s="1321"/>
      <c r="FN128" s="1083">
        <f t="shared" si="33"/>
        <v>0</v>
      </c>
      <c r="FO128" s="1283">
        <f t="array" ref="FO128">IF(OR(ChoixRationComplèteEtéPoneys=OUI,ChoixRationComplèteEtéPoneys="",AND(ChoixPoneysPréHiver=OUI,ChoixPoneysPréEté=OUI)),0,IFERROR(IF(OR(AND(INDEX(Règles_poneys[Specificite],MATCH(RationEtéPoneys&amp;$FN128,Règles_poneys[Ration]&amp;Règles_poneys[Aliment],0))="s1",IF($FN128=Spécificité1Poneys,1)),
AND(INDEX(Règles_poneys[Specificite],MATCH(RationEtéPoneys&amp;$FN128,Règles_poneys[Ration]&amp;Règles_poneys[Aliment],0))="s2",IF($FN128=Spécificité2Poneys,1)),
INDEX(Règles_poneys[Specificite],MATCH(RationEtéPoneys&amp;$FN128,Règles_poneys[Ration]&amp;Règles_poneys[Aliment],0))="c"),
INDEX(Règles_poneys[Valeur 36 et plus],MATCH(RationEtéPoneys&amp;$FN128,Règles_poneys[Ration]&amp;Règles_poneys[Aliment],0)),0),0)*TotalJumentPoney*SUM(NbreJoursNourrirPoneys))</f>
        <v>0</v>
      </c>
      <c r="FP128" s="1283">
        <f t="array" ref="FP128">IF(OR(ChoixRationComplèteEtéPoneys=OUI,ChoixRationComplèteEtéPoneys="",AND(ChoixPoneysPréHiver=OUI,ChoixPoneysPréEté=OUI)),0,IFERROR(IF(OR(AND(INDEX(Règles_poneys[Specificite],MATCH(RationEtéPoneys&amp;$FN128,Règles_poneys[Ration]&amp;Règles_poneys[Aliment],0))="s1",IF($FN128=Spécificité1Poneys,1)),
AND(INDEX(Règles_poneys[Specificite],MATCH(RationEtéPoneys&amp;$FN128,Règles_poneys[Ration]&amp;Règles_poneys[Aliment],0))="s2",IF($FN128=Spécificité2Poneys,1)),
INDEX(Règles_poneys[Specificite],MATCH(RationEtéPoneys&amp;$FN128,Règles_poneys[Ration]&amp;Règles_poneys[Aliment],0))="c"),
INDEX(Règles_poneys[Valeur 36 et plus],MATCH(RationEtéPoneys&amp;$FN128,Règles_poneys[Ration]&amp;Règles_poneys[Aliment],0)),0),0)*TotalJeuneJumentPoney_24_36_mois*SUM(NbreJoursNourrirPoneys))</f>
        <v>0</v>
      </c>
      <c r="FQ128" s="1283">
        <f t="array" ref="FQ128">IF(OR(ChoixRationComplèteEtéPoneys=OUI,ChoixRationComplèteEtéPoneys="",AND(ChoixPoneysPréHiver=OUI,ChoixPoneysPréEté=OUI)),0,IFERROR(IF(OR(AND(INDEX(Règles_poneys[Specificite],MATCH(RationEtéPoneys&amp;$FN128,Règles_poneys[Ration]&amp;Règles_poneys[Aliment],0))="s1",IF($FN128=Spécificité1Poneys,1)),
AND(INDEX(Règles_poneys[Specificite],MATCH(RationEtéPoneys&amp;$FN128,Règles_poneys[Ration]&amp;Règles_poneys[Aliment],0))="s2",IF($FN128=Spécificité2Poneys,1)),
INDEX(Règles_poneys[Specificite],MATCH(RationEtéPoneys&amp;$FN128,Règles_poneys[Ration]&amp;Règles_poneys[Aliment],0))="c"),
INDEX(Règles_poneys[Valeur 36 et plus],MATCH(RationEtéPoneys&amp;$FN128,Règles_poneys[Ration]&amp;Règles_poneys[Aliment],0)),0),0)*TotalJeuneJumentPoney_12_24_mois*SUM(NbreJoursNourrirPoneys))</f>
        <v>0</v>
      </c>
      <c r="FR128" s="1286">
        <f t="array" ref="FR128">IF(OR(ChoixRationComplèteEtéPoneys=OUI,ChoixRationComplèteEtéPoneys="",AND(ChoixPoneysPréHiver=OUI,ChoixPoneysPréEté=OUI)),0,IFERROR(IF(OR(AND(INDEX(Règles_poneys[Specificite],MATCH(RationEtéPoneys&amp;$FN128,Règles_poneys[Ration]&amp;Règles_poneys[Aliment],0))="s1",IF($FN128=Spécificité1Poneys,1)),
AND(INDEX(Règles_poneys[Specificite],MATCH(RationEtéPoneys&amp;$FN128,Règles_poneys[Ration]&amp;Règles_poneys[Aliment],0))="s2",IF($FN128=Spécificité2Poneys,1)),
INDEX(Règles_poneys[Specificite],MATCH(RationEtéPoneys&amp;$FN128,Règles_poneys[Ration]&amp;Règles_poneys[Aliment],0))="c"),
INDEX(Règles_poneys[Valeur 36 et plus],MATCH(RationEtéPoneys&amp;$FN128,Règles_poneys[Ration]&amp;Règles_poneys[Aliment],0)),0),0)*TotalPoulichePoney_0_12_mois*SUM(NbreJoursNourrirPoneys))</f>
        <v>0</v>
      </c>
      <c r="FS128" s="1286">
        <f t="shared" si="30"/>
        <v>0</v>
      </c>
      <c r="FT128" s="1345"/>
      <c r="FU128" s="1345"/>
      <c r="FV128" s="1345"/>
      <c r="FW128" s="809">
        <f t="shared" si="28"/>
        <v>0</v>
      </c>
      <c r="FX128" s="830">
        <f t="array" ref="FX12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6 et plus],MATCH(ChoixRationFoieGrasCanards&amp;AlimentsGavageCanards[[#This Row],[aliment]],Règles_gavage[Ration]&amp;Règles_gavage[Aliment],0)),0),0)*TotalJeunesCanards_3moisEtPlus*DuréePhaseGavageCanards)</f>
        <v>0</v>
      </c>
      <c r="FY128" s="830">
        <f t="array" ref="FY12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2-3],MATCH(ChoixRationFoieGrasCanards&amp;AlimentsGavageCanards[[#This Row],[aliment]],Règles_gavage[Ration]&amp;Règles_gavage[Aliment],0)),0),0)*FoieGrasCanetons_2_3mois*DuréePhaseElevage2_3)</f>
        <v>0</v>
      </c>
      <c r="FZ128" s="830">
        <f t="array" ref="FZ12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1-2],MATCH(ChoixRationFoieGrasCanards&amp;AlimentsGavageCanards[[#This Row],[aliment]],Règles_gavage[Ration]&amp;Règles_gavage[Aliment],0)),0),0)*FoieGrasCanetons_1_2mois*DuréePhaseElevage1_2)</f>
        <v>0</v>
      </c>
      <c r="GA128" s="830">
        <f t="array" ref="GA128">IF(ChoixRationComplèteFoieGrasCanards=OUI,0,IFERROR(IF(OR(AND(INDEX(Règles_gavage[Specificite],MATCH(ChoixRationFoieGrasCanards&amp;AlimentsGavageCanards[[#This Row],[aliment]],Règles_gavage[Ration]&amp;Règles_gavage[Aliment],0))="s1",IF(AlimentsGavageCanards[[#This Row],[aliment]]=ChoixSpécificité1FoieGrasCanards,1)),
AND(INDEX(Règles_gavage[Specificite],MATCH(ChoixRationFoieGrasCanards&amp;AlimentsGavageCanards[[#This Row],[aliment]],Règles_gavage[Ration]&amp;Règles_gavage[Aliment],0))="s2",IF(AlimentsGavageCanards[[#This Row],[aliment]]=ChoixSpécificité2FoieGrasCanards,1)),
INDEX(Règles_gavage[Specificite],MATCH(ChoixRationFoieGrasCanards&amp;AlimentsGavageCanards[[#This Row],[aliment]],Règles_gavage[Ration]&amp;Règles_gavage[Aliment],0))="c"),
INDEX(Règles_gavage[Valeur 0-1],MATCH(ChoixRationFoieGrasCanards&amp;AlimentsGavageCanards[[#This Row],[aliment]],Règles_gavage[Ration]&amp;Règles_gavage[Aliment],0)),0),0)*FoieGrasCanetons_0_1mois*DuréePhaseElevage0_1)</f>
        <v>0</v>
      </c>
      <c r="GB128" s="831">
        <f>SUM(AlimentsGavageCanards[[#This Row],[Valeur 3 et plus]:[Valeur 0-1]])</f>
        <v>0</v>
      </c>
      <c r="GC128" s="1321"/>
      <c r="GD128" s="1321"/>
      <c r="GE128" s="1321"/>
      <c r="GF128" s="1321"/>
      <c r="GG128" s="1321" t="s">
        <v>1349</v>
      </c>
      <c r="GH128" s="1321" t="s">
        <v>1349</v>
      </c>
      <c r="GI128" s="1321" t="s">
        <v>1349</v>
      </c>
      <c r="GJ128" s="1321" t="s">
        <v>1349</v>
      </c>
      <c r="GK128" s="1321" t="s">
        <v>1349</v>
      </c>
      <c r="GL128" s="1321" t="s">
        <v>1349</v>
      </c>
      <c r="GM128" s="1321" t="s">
        <v>1349</v>
      </c>
      <c r="GN128" s="1321" t="s">
        <v>1349</v>
      </c>
      <c r="GO128" s="1321" t="s">
        <v>1349</v>
      </c>
      <c r="GP128" s="1321" t="s">
        <v>1349</v>
      </c>
      <c r="GQ128" s="1321" t="s">
        <v>1349</v>
      </c>
      <c r="GR128" s="1321" t="s">
        <v>1349</v>
      </c>
      <c r="GS128" s="1321" t="s">
        <v>1349</v>
      </c>
      <c r="GT128" s="1321" t="s">
        <v>1349</v>
      </c>
      <c r="GU128" s="1321" t="s">
        <v>1349</v>
      </c>
      <c r="GV128" s="1321" t="s">
        <v>1349</v>
      </c>
      <c r="GW128" s="1321"/>
      <c r="GX128" s="1321"/>
      <c r="GY128" s="1321"/>
      <c r="GZ128" s="1321"/>
      <c r="HA128" s="1321"/>
      <c r="HB128" s="1321"/>
      <c r="HC128" s="1321"/>
      <c r="HD128" s="1321"/>
      <c r="HE128" s="1321"/>
      <c r="HF128" s="1321"/>
      <c r="HG128" s="1321"/>
      <c r="HH128" s="1321"/>
      <c r="HI128" s="1321"/>
      <c r="HJ128" s="1321"/>
      <c r="HK128" s="1321"/>
      <c r="HL128" s="1321"/>
      <c r="HM128" s="1321"/>
      <c r="HN128" s="1083" t="s">
        <v>1274</v>
      </c>
      <c r="HO128" s="1084" t="e">
        <f>IF(SUM((VLOOKUP(HN128,AlimentsRationBovinsMâles,9,FALSE)+VLOOKUP(HN128,AlimentsRationBovinsFemelles,9,FALSE)+VLOOKUP(HN128,BDD!BB$284:BJ$323,9,FALSE))/1000/SUM(NbreJoursNourrirBovins)*IF('semences, engrais et traitement'!I$16=OUI,42,84))&lt;0,0,SUM((VLOOKUP(HN128,AlimentsRationBovinsMâles,9,FALSE)+VLOOKUP(HN128,AlimentsRationBovinsFemelles,9,FALSE)+VLOOKUP(HN128,BDD!BB$284:BJ$323,9,FALSE))/1000/SUM(NbreJoursNourrirBovins)*IF('semences, engrais et traitement'!I$16=OUI,42,84)))</f>
        <v>#DIV/0!</v>
      </c>
      <c r="HP128" s="1084">
        <f t="shared" si="36"/>
        <v>0</v>
      </c>
      <c r="HQ128" s="1084" t="e">
        <f>IF(SUM(VLOOKUP(HN128,AlimentsRationPorcinsMâles[],7,FALSE)+VLOOKUP(HN128,AlimentsRationPorcinsFemelles[],7,FALSE))/1000/SUM(NbreJoursNourrirAutres)*84&lt;0,0,SUM(VLOOKUP(HN128,AlimentsRationPorcinsMâles[],7,FALSE)+VLOOKUP(HN128,AlimentsRationPorcinsFemelles[],7,FALSE)/1000/SUM(NbreJoursNourrirAutres)*84))</f>
        <v>#DIV/0!</v>
      </c>
      <c r="HR128" s="1084" t="e">
        <f>IF(SUM(VLOOKUP(HN128,AlimentsRationCaprinsMâles,6,FALSE)+VLOOKUP(HN128,AlimentsRationCaprinsFemelles,6,FALSE))/1000/SUM(NbreJoursNourrirCaprins)*IF('semences, engrais et traitement'!I$17=OUI,42,84)&lt;0,0,SUM(VLOOKUP(HN128,AlimentsRationCaprinsMâles,6,FALSE)+VLOOKUP(HN128,AlimentsRationCaprinsFemelles,6,FALSE))/1000/SUM(NbreJoursNourrirCaprins)*IF('semences, engrais et traitement'!I$17=OUI,42,84))</f>
        <v>#DIV/0!</v>
      </c>
      <c r="HS128" s="1084" t="e">
        <f>IF(SUM(VLOOKUP(HN128,AlimentsRationVolaillesMâles[],5,FALSE)+VLOOKUP(HN128,AlimentsRationVolaillesFemelles[],5,FALSE))/1000/SUM(NbreJoursNourrirAutres)*84&lt;0,0,SUM(VLOOKUP(HN128,AlimentsRationVolaillesMâles[],5,FALSE)+VLOOKUP(HN128,AlimentsRationVolaillesFemelles[],5,FALSE)/1000/SUM(NbreJoursNourrirAutres)*84))</f>
        <v>#DIV/0!</v>
      </c>
      <c r="HT128" s="1084" t="e">
        <f>IF(SUM(VLOOKUP(HN128,AlimentsRationPintadesMâles[],5,FALSE)+VLOOKUP(HN128,AlimentsRationPintadesFemelles[],5,FALSE))/1000/SUM(NbreJoursNourrirAutres)*84&lt;0,0,SUM(VLOOKUP(HN128,AlimentsRationPintadesMâles[],5,FALSE)+VLOOKUP(HN128,AlimentsRationPintadesFemelles[],5,FALSE)/1000/SUM(NbreJoursNourrirAutres)*84))</f>
        <v>#DIV/0!</v>
      </c>
      <c r="HU128" s="1084" t="e">
        <f>IF(SUM(VLOOKUP(HN128,AlimentsRationLapinsMâles[],5,FALSE)+VLOOKUP(HN128,AlimentsRationLapinsFemelles[],5,FALSE))/1000/SUM(NbreJoursNourrirAutres)*84&lt;0,0,SUM(VLOOKUP(HN128,AlimentsRationLapinsMâles[],5,FALSE)+VLOOKUP(HN128,AlimentsRationLapinsFemelles[],5,FALSE)/1000/SUM(NbreJoursNourrirAutres)*84))</f>
        <v>#DIV/0!</v>
      </c>
      <c r="HV128" s="1084" t="e">
        <f>IF(SUM(VLOOKUP(HN128,AlimentsRationOvinsMâles,6,FALSE)+VLOOKUP(HN128,AlimentsRationOvinsFemelles,6,FALSE))/1000/SUM(NbreJoursNourrirOvins)*IF('semences, engrais et traitement'!I$18=OUI,42,84)&lt;0,0,SUM(VLOOKUP(HN128,AlimentsRationOvinsMâles,6,FALSE)+VLOOKUP(HN128,AlimentsRationOvinsFemelles,6,FALSE))/1000/SUM(NbreJoursNourrirOvins)*IF('semences, engrais et traitement'!I$18=OUI,42,84))</f>
        <v>#DIV/0!</v>
      </c>
      <c r="HW128" s="1084" t="e">
        <f>IF(SUM(VLOOKUP(HN128,AlimentsRationOiesMâles[],5,FALSE)+VLOOKUP(HN128,AlimentsRationOiesFemelles[],5,FALSE))/1000/SUM(NbreJoursNourrirAutres)*84&lt;0,0,SUM(VLOOKUP(HN128,AlimentsRationOiesMâles[],5,FALSE)+VLOOKUP(HN128,AlimentsRationOiesFemelles[],5,FALSE)/1000/SUM(NbreJoursNourrirAutres)*84))</f>
        <v>#DIV/0!</v>
      </c>
      <c r="HX128" s="1084" t="e">
        <f t="shared" si="48"/>
        <v>#DIV/0!</v>
      </c>
      <c r="HY128" s="1084" t="e">
        <f>IF(SUM(VLOOKUP(HN128,AlimentsRationEcurieChevauxMâlesSelle,6,FALSE)+VLOOKUP(HN128,AlimentsRationEcurieChevauxFemellesSelle,6,FALSE))/1000/SUM(NbreJoursNourrirChevauxSelle)*IF('semences, engrais et traitement'!M$16=OUI,56,84)&lt;0,0,SUM(VLOOKUP(HN128,AlimentsRationEcurieChevauxMâlesSelle,6,FALSE)+VLOOKUP(HN128,AlimentsRationEcurieChevauxFemellesSelle,6,FALSE))/1000/SUM(NbreJoursNourrirChevauxSelle)*IF('semences, engrais et traitement'!M$16=OUI,56,84))</f>
        <v>#DIV/0!</v>
      </c>
      <c r="HZ128" s="1084" t="e">
        <f>IF(SUM(VLOOKUP(HN128,AlimentsRationEcurieChevauxMâlesTrait,6,FALSE)+VLOOKUP(HN128,AlimentsRationEcurieChevauxFemellesTrait,6,FALSE))/1000/SUM(NbreJoursNourrirChevauxTrait)*IF('semences, engrais et traitement'!M$17=OUI,56,84)&lt;0,0,SUM(VLOOKUP(HN128,AlimentsRationEcurieChevauxMâlesTrait,6,FALSE)+VLOOKUP(HN128,AlimentsRationEcurieChevauxFemellesTrait,6,FALSE))/1000/SUM(NbreJoursNourrirChevauxTrait)*IF('semences, engrais et traitement'!M$17=OUI,56,84))</f>
        <v>#DIV/0!</v>
      </c>
      <c r="IA128" s="1084" t="e">
        <f>IF(SUM(VLOOKUP(HN128,AlimentsRationEcuriePoneysMâles,6,FALSE)+VLOOKUP(HN128,AlimentsRationEcuriePoneysFemelles,6,FALSE))/1000/SUM(NbreJoursNourrirPoneys)*IF('semences, engrais et traitement'!M$18=OUI,56,84)&lt;0,0,SUM(VLOOKUP(HN128,AlimentsRationEcuriePoneysMâles,6,FALSE)+VLOOKUP(HN128,AlimentsRationEcuriePoneysFemelles,6,FALSE))/1000/SUM(NbreJoursNourrirPoneys)*IF('semences, engrais et traitement'!M$18=OUI,56,84))</f>
        <v>#DIV/0!</v>
      </c>
      <c r="IB128" s="1100" t="e">
        <f t="shared" si="38"/>
        <v>#DIV/0!</v>
      </c>
      <c r="IC128" s="1321"/>
      <c r="ID128" s="1321"/>
      <c r="IE128" s="1321"/>
      <c r="IF128" s="1321"/>
      <c r="IG128" s="1321"/>
      <c r="IH128" s="1321"/>
      <c r="II128" s="1321"/>
      <c r="IJ128" s="1321"/>
      <c r="IK128" s="1321"/>
      <c r="IL128" s="1321"/>
      <c r="IM128" s="1321"/>
      <c r="IN128" s="1368"/>
    </row>
    <row r="129" spans="1:248" ht="12.75" customHeight="1" x14ac:dyDescent="0.2">
      <c r="A129" s="1307" t="s">
        <v>316</v>
      </c>
      <c r="B129" s="1241">
        <f t="shared" si="39"/>
        <v>1E-3</v>
      </c>
      <c r="C129" s="1321"/>
      <c r="D129" s="1321"/>
      <c r="E129" s="1321"/>
      <c r="F129" s="1149" t="s">
        <v>864</v>
      </c>
      <c r="G129" s="1149">
        <v>0.3</v>
      </c>
      <c r="H129" s="1321"/>
      <c r="I129" s="1075" t="s">
        <v>1045</v>
      </c>
      <c r="J129" s="1080">
        <f>IF(gains!F$4=BDD!O$127,10,IF(gains!F$4=BDD!P$127,20,IF(gains!F$4=BDD!Q$127,30,0)))</f>
        <v>10</v>
      </c>
      <c r="K129" s="1080">
        <f>IF(gains!$G$7=K$127,1,0)</f>
        <v>0</v>
      </c>
      <c r="L129" s="1080">
        <f>IF(gains!$G$7=L$127,2,0)</f>
        <v>0</v>
      </c>
      <c r="M129" s="1080">
        <f>IF(gains!$G$7=M$127,3,0)</f>
        <v>0</v>
      </c>
      <c r="N129" s="1080">
        <f>IF(gains!$G$7=N$127,4,0)</f>
        <v>4</v>
      </c>
      <c r="O129" s="1080">
        <f>IF(AND(J129=10,SUM(K129:N129)=1),gains!$F$38,IF(AND(J129=10,SUM(K129:N129)=2),gains!$F$38*2,IF(AND(J129=10,SUM(K129:N129)=3),gains!$F$38*3,IF(AND(J129=10,SUM(K129:N129)=4),gains!$F$38*4,0))))</f>
        <v>56000</v>
      </c>
      <c r="P129" s="1080">
        <f>IF(AND(J129=20,SUM(K129:N129)=1),gains!$F$38*7,IF(AND(J129=20,SUM(K129:N129)=2),gains!$F$38*7*2,IF(AND(J129=20,SUM(K129:N129)=3),gains!$F$38*7*3,IF(AND(J129=20,SUM(K129:N129)=4),gains!$F$38*7*4,0))))</f>
        <v>0</v>
      </c>
      <c r="Q129" s="1080">
        <f>IF(AND(J129=30,SUM(K129:N129)=1),gains!$F$38*7*12,IF(AND(J129=30,SUM(K129:N129)=2),gains!$F$38*7*12*2,IF(AND(J129=30,SUM(K129:N129)=3),gains!$F$38*7*12*3,IF(AND(J129=30,SUM(K129:N129)=4),gains!$F$38*7*12*4,0))))</f>
        <v>0</v>
      </c>
      <c r="R129" s="1079" t="s">
        <v>1868</v>
      </c>
      <c r="S129" s="1079" t="s">
        <v>1869</v>
      </c>
      <c r="T129" s="1079" t="s">
        <v>1870</v>
      </c>
      <c r="U129" s="1079" t="s">
        <v>1871</v>
      </c>
      <c r="V129" s="1079" t="s">
        <v>1872</v>
      </c>
      <c r="W129" s="1079" t="s">
        <v>1873</v>
      </c>
      <c r="X129" s="1079" t="s">
        <v>1874</v>
      </c>
      <c r="Y129" s="1321"/>
      <c r="Z129" s="1321"/>
      <c r="AA129" s="1321"/>
      <c r="AB129" s="1321"/>
      <c r="AC129" s="1321"/>
      <c r="AD129" s="1321"/>
      <c r="AE129" s="1321"/>
      <c r="AF129" s="1321"/>
      <c r="AG129" s="1321"/>
      <c r="AH129" s="1321"/>
      <c r="AI129" s="1321"/>
      <c r="AJ129" s="1321"/>
      <c r="AK129" s="1321"/>
      <c r="AL129" s="1321"/>
      <c r="AM129" s="1321"/>
      <c r="AN129" s="1321"/>
      <c r="AO129" s="1321"/>
      <c r="AP129" s="1321"/>
      <c r="AQ129" s="1321"/>
      <c r="AR129" s="1321"/>
      <c r="AS129" s="1321"/>
      <c r="AT129" s="1321"/>
      <c r="AU129" s="1321"/>
      <c r="AV129" s="1321"/>
      <c r="AW129" s="1321"/>
      <c r="AX129" s="1321"/>
      <c r="AY129" s="1321"/>
      <c r="AZ129" s="1321"/>
      <c r="BA129" s="1321"/>
      <c r="BB129" s="1236" t="s">
        <v>731</v>
      </c>
      <c r="BC129" s="1190" t="s">
        <v>63</v>
      </c>
      <c r="BD129" s="1190" t="s">
        <v>1254</v>
      </c>
      <c r="BE129" s="1237">
        <v>4.8</v>
      </c>
      <c r="BF129" s="1237">
        <v>4</v>
      </c>
      <c r="BG129" s="1237">
        <v>4</v>
      </c>
      <c r="BH129" s="1237">
        <v>4</v>
      </c>
      <c r="BI129" s="1237">
        <v>2</v>
      </c>
      <c r="BJ129" s="1237">
        <v>1.2</v>
      </c>
      <c r="BK129" s="1238">
        <v>0</v>
      </c>
      <c r="BL129" s="1348"/>
      <c r="BM129" s="1075" t="str">
        <f t="shared" si="47"/>
        <v>Haricot vert</v>
      </c>
      <c r="BN129" s="1269">
        <f t="array" ref="BN129">SUM((IF(QualitéAlimentsBisonneauxMâles_0_3_mois=BONNE,VLOOKUP("Haricot vert",AlimentsRationHivernaleBisonsMâles,8,FALSE),0)+(IF(QualitéAlimentsBisonneauxFemelles_0_3_mois=BONNE,VLOOKUP("Haricot vert",AlimentsRationHivernaleBisonsFemelles,8,FALSE),0)+(IF(QualitéAlimentsBisonneauxMâles_3_6_mois=BONNE,VLOOKUP("Haricot vert",AlimentsRationHivernaleBisonsMâles,7,FALSE),0)+(IF(QualitéAlimentsBisonneauxFemelles_3_6_mois=BONNE,VLOOKUP("Haricot vert",AlimentsRationHivernaleBisonsFemelles,7,FALSE),0)+(IF(QualitéAlimentsBisonneauxMâles_6_12_mois=BONNE,VLOOKUP("Haricot vert",AlimentsRationHivernaleBisonsMâles,6,FALSE),0)+(IF(QualitéAlimentsBisonneauxFemelles_6_12_mois=BONNE,VLOOKUP("Haricot vert",AlimentsRationHivernaleBisonsFemelles,6,FALSE),0)+(IF(QualitéAlimentsJeunesBisons_12_18_mois=BONNE,VLOOKUP("Haricot vert",AlimentsRationHivernaleBisonsMâles,5,FALSE),0)+(IF(QualitéAlimentsJeunesBisonnes_12_18_mois=BONNE,VLOOKUP("Haricot vert",AlimentsRationHivernaleBisonsFemelles,5,FALSE),0)+(IF(QualitéAlimentsJeunesBisons_18_24_mois=BONNE,VLOOKUP("Haricot vert",AlimentsRationHivernaleBisonsMâles,4,FALSE),0)+(IF(QualitéAlimentsJeunesBisonnes_18_24_mois=BONNE,VLOOKUP("Haricot vert",AlimentsRationHivernaleBisonsFemelles,4,FALSE),0)+(IF(QualitéAlimentsJeunesBisons_24_36_mois=BONNE,VLOOKUP("Haricot vert",AlimentsRationHivernaleBisonsMâles,3,FALSE),0)+(IF(QualitéAlimentsJeunesBisonnes_24_36_mois=BONNE,VLOOKUP("Haricot vert",AlimentsRationHivernaleBisonsFemelles,3,FALSE),0)+(IF(QualitéAlimentsBisons=BONNE,VLOOKUP("Haricot vert",AlimentsRationHivernaleBisonsMâles,2,FALSE),0)+(IF(QualitéAlimentsBisonnes=BONNE,VLOOKUP("Haricot vert",AlimentsRationHivernaleBisonsFemelles,2,FALSE),0))))))))))))))))</f>
        <v>0</v>
      </c>
      <c r="BO129" s="1269">
        <f t="array" ref="BO129">SUM((IF(QualitéAlimentsBisonneauxMâles_0_3_mois=MOYENNE,VLOOKUP("Haricot vert",AlimentsRationHivernaleBisonsMâles,8,FALSE),0)+(IF(QualitéAlimentsBisonneauxFemelles_0_3_mois=MOYENNE,VLOOKUP("Haricot vert",AlimentsRationHivernaleBisonsFemelles,8,FALSE),0)+(IF(QualitéAlimentsBisonneauxMâles_3_6_mois=MOYENNE,VLOOKUP("Haricot vert",AlimentsRationHivernaleBisonsMâles,7,FALSE),0)+(IF(QualitéAlimentsBisonneauxFemelles_3_6_mois=MOYENNE,VLOOKUP("Haricot vert",AlimentsRationHivernaleBisonsFemelles,7,FALSE),0)+(IF(QualitéAlimentsBisonneauxMâles_6_12_mois=MOYENNE,VLOOKUP("Haricot vert",AlimentsRationHivernaleBisonsMâles,6,FALSE),0)+(IF(QualitéAlimentsBisonneauxFemelles_6_12_mois=MOYENNE,VLOOKUP("Haricot vert",AlimentsRationHivernaleBisonsFemelles,6,FALSE),0)+(IF(QualitéAlimentsJeunesBisons_12_18_mois=MOYENNE,VLOOKUP("Haricot vert",AlimentsRationHivernaleBisonsMâles,5,FALSE),0)+(IF(QualitéAlimentsJeunesBisonnes_12_18_mois=MOYENNE,VLOOKUP("Haricot vert",AlimentsRationHivernaleBisonsFemelles,5,FALSE),0)+(IF(QualitéAlimentsJeunesBisons_18_24_mois=MOYENNE,VLOOKUP("Haricot vert",AlimentsRationHivernaleBisonsMâles,4,FALSE),0)+(IF(QualitéAlimentsJeunesBisonnes_18_24_mois=MOYENNE,VLOOKUP("Haricot vert",AlimentsRationHivernaleBisonsFemelles,4,FALSE),0)+(IF(QualitéAlimentsJeunesBisons_24_36_mois=MOYENNE,VLOOKUP("Haricot vert",AlimentsRationHivernaleBisonsMâles,3,FALSE),0)+(IF(QualitéAlimentsJeunesBisonnes_24_36_mois=MOYENNE,VLOOKUP("Haricot vert",AlimentsRationHivernaleBisonsFemelles,3,FALSE),0)+(IF(QualitéAlimentsBisons=MOYENNE,VLOOKUP("Haricot vert",AlimentsRationHivernaleBisonsMâles,2,FALSE),0)+(IF(QualitéAlimentsBisonnes=MOYENNE,VLOOKUP("Haricot vert",AlimentsRationHivernaleBisonsFemelles,2,FALSE),0))))))))))))))))</f>
        <v>0</v>
      </c>
      <c r="BP129" s="1269">
        <f t="array" ref="BP129">SUM((IF(QualitéAlimentsBisonneauxMâles_0_3_mois=MAUVAISE,VLOOKUP("Haricot vert",AlimentsRationHivernaleBisonsMâles,8,FALSE),0)+(IF(QualitéAlimentsBisonneauxFemelles_0_3_mois=MAUVAISE,VLOOKUP("Haricot vert",AlimentsRationHivernaleBisonsFemelles,8,FALSE),0)+(IF(QualitéAlimentsBisonneauxMâles_3_6_mois=MAUVAISE,VLOOKUP("Haricot vert",AlimentsRationHivernaleBisonsMâles,7,FALSE),0)+(IF(QualitéAlimentsBisonneauxFemelles_3_6_mois=MAUVAISE,VLOOKUP("Haricot vert",AlimentsRationHivernaleBisonsFemelles,7,FALSE),0)+(IF(QualitéAlimentsBisonneauxMâles_6_12_mois=MAUVAISE,VLOOKUP("Haricot vert",AlimentsRationHivernaleBisonsMâles,6,FALSE),0)+(IF(QualitéAlimentsBisonneauxFemelles_6_12_mois=MAUVAISE,VLOOKUP("Haricot vert",AlimentsRationHivernaleBisonsFemelles,6,FALSE),0)+(IF(QualitéAlimentsJeunesBisons_12_18_mois=MAUVAISE,VLOOKUP("Haricot vert",AlimentsRationHivernaleBisonsMâles,5,FALSE),0)+(IF(QualitéAlimentsJeunesBisonnes_12_18_mois=MAUVAISE,VLOOKUP("Haricot vert",AlimentsRationHivernaleBisonsFemelles,5,FALSE),0)+(IF(QualitéAlimentsJeunesBisons_18_24_mois=MAUVAISE,VLOOKUP("Haricot vert",AlimentsRationHivernaleBisonsMâles,4,FALSE),0)+(IF(QualitéAlimentsJeunesBisonnes_18_24_mois=MAUVAISE,VLOOKUP("Haricot vert",AlimentsRationHivernaleBisonsFemelles,4,FALSE),0)+(IF(QualitéAlimentsJeunesBisons_24_36_mois=MAUVAISE,VLOOKUP("Haricot vert",AlimentsRationHivernaleBisonsMâles,3,FALSE),0)+(IF(QualitéAlimentsJeunesBisonnes_24_36_mois=MAUVAISE,VLOOKUP("Haricot vert",AlimentsRationHivernaleBisonsFemelles,3,FALSE),0)+(IF(QualitéAlimentsBisons=MAUVAISE,VLOOKUP("Haricot vert",AlimentsRationHivernaleBisonsMâles,2,FALSE),0)+(IF(QualitéAlimentsBisonnes=MAUVAISE,VLOOKUP("Haricot vert",AlimentsRationHivernaleBisonsFemelles,2,FALSE),0))))))))))))))))</f>
        <v>0</v>
      </c>
      <c r="BQ129" s="1346"/>
      <c r="BR129" s="1346"/>
      <c r="BS129" s="1346"/>
      <c r="BT129" s="1346"/>
      <c r="BU129" s="1346"/>
      <c r="BV129" s="1345"/>
      <c r="BW129" s="1345"/>
      <c r="BX129" s="1075" t="s">
        <v>65</v>
      </c>
      <c r="BY129" s="1075">
        <f t="array" ref="BY129">IF(ChoixRationComplèteCaprins=OUI,0,IFERROR(IF(OR(AND(INDEX(Règles_caprins[Specificite],MATCH(ChoixRationCaprins&amp;$BX129,Règles_caprins[Ration]&amp;Règles_caprins[Aliment],0))="s1",IF($BX129=Spécificité1Caprins,1)),
INDEX(Règles_caprins[Specificite],MATCH(ChoixRationCaprins&amp;$BX129,Règles_caprins[Ration]&amp;Règles_caprins[Aliment],0))="c"),
INDEX(Règles_caprins[Valeur 12 et plus],MATCH(ChoixRationCaprins&amp;$BX129,Règles_caprins[Ration]&amp;Règles_caprins[Aliment],0)),0),0)*TotalBoucs*SUM(NbreJoursNourrirCaprins))</f>
        <v>0</v>
      </c>
      <c r="BZ129" s="1075">
        <f t="array" ref="BZ129">IF(ChoixRationComplèteCaprins=OUI,0,IFERROR(IF(OR(AND(INDEX(Règles_caprins[Specificite],MATCH(ChoixRationCaprins&amp;$BX129,Règles_caprins[Ration]&amp;Règles_caprins[Aliment],0))="s1",IF($BX129=Spécificité1Caprins,1)),
INDEX(Règles_caprins[Specificite],MATCH(ChoixRationCaprins&amp;$BX129,Règles_caprins[Ration]&amp;Règles_caprins[Aliment],0))="c"),
INDEX(Règles_caprins[Valeur 6-12],MATCH(ChoixRationCaprins&amp;$BX129,Règles_caprins[Ration]&amp;Règles_caprins[Aliment],0)),0),0)*jeune_bouc_6_12_mois*SUM(NbreJoursNourrirCaprins))</f>
        <v>0</v>
      </c>
      <c r="CA129" s="1075">
        <f t="array" ref="CA129">IF(ChoixRationComplèteCaprins=OUI,0,IFERROR(IF(OR(AND(INDEX(Règles_caprins[Specificite],MATCH(ChoixRationCaprins&amp;$BX129,Règles_caprins[Ration]&amp;Règles_caprins[Aliment],0))="s1",IF($BX129=Spécificité1Caprins,1)),
INDEX(Règles_caprins[Specificite],MATCH(ChoixRationCaprins&amp;$BX129,Règles_caprins[Ration]&amp;Règles_caprins[Aliment],0))="c"),
INDEX(Règles_caprins[Valeur 3-6],MATCH(ChoixRationCaprins&amp;$BX129,Règles_caprins[Ration]&amp;Règles_caprins[Aliment],0)),0),0)*chevreau_3_6_mois*SUM(NbreJoursNourrirCaprins))</f>
        <v>0</v>
      </c>
      <c r="CB129" s="1075">
        <f t="array" ref="CB129">IF(ChoixRationComplèteCaprins=OUI,0,IFERROR(IF(OR(AND(INDEX(Règles_caprins[Specificite],MATCH(ChoixRationCaprins&amp;$BX129,Règles_caprins[Ration]&amp;Règles_caprins[Aliment],0))="s1",IF($BX129=Spécificité1Caprins,1)),
INDEX(Règles_caprins[Specificite],MATCH(ChoixRationCaprins&amp;$BX129,Règles_caprins[Ration]&amp;Règles_caprins[Aliment],0))="c"),
INDEX(Règles_caprins[Valeur 0-3],MATCH(ChoixRationCaprins&amp;$BX129,Règles_caprins[Ration]&amp;Règles_caprins[Aliment],0)),0),0)*chevreau_0_3_mois*SUM(NbreJoursNourrirCaprins))</f>
        <v>0</v>
      </c>
      <c r="CC129" s="1075">
        <f t="shared" si="45"/>
        <v>0</v>
      </c>
      <c r="CD129" s="1345"/>
      <c r="CE129" s="1345"/>
      <c r="CF129" s="1345"/>
      <c r="CG129" s="1345"/>
      <c r="CH129" s="1321"/>
      <c r="CI129" s="1321"/>
      <c r="CJ129" s="789" t="s">
        <v>1372</v>
      </c>
      <c r="CK129" s="791" t="s">
        <v>159</v>
      </c>
      <c r="CL129" s="1321"/>
      <c r="CM129" s="789" t="s">
        <v>1372</v>
      </c>
      <c r="CN129" s="791" t="s">
        <v>1373</v>
      </c>
      <c r="CO129" s="1321"/>
      <c r="CP129" s="1321"/>
      <c r="CQ129" s="1321"/>
      <c r="CR129" s="1321"/>
      <c r="CS129" s="808" t="str">
        <f t="shared" si="40"/>
        <v>Tourteau de colza</v>
      </c>
      <c r="CT129" s="817">
        <f t="array" ref="CT12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29" s="817">
        <f t="array" ref="CU12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29" s="817">
        <f t="array" ref="CV129">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29" s="818">
        <f>SUM(AlimentsRationLapinsFemelles[[#This Row],[Valeur 3 et plus]:[Valeur 0-1]])</f>
        <v>0</v>
      </c>
      <c r="CX129" s="1321"/>
      <c r="CY129" s="1321"/>
      <c r="CZ129" s="808" t="str">
        <f t="shared" si="41"/>
        <v>Tourteau de colza</v>
      </c>
      <c r="DA129" s="817">
        <f t="array" ref="DA12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29" s="817">
        <f t="array" ref="DB12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29" s="817">
        <f t="array" ref="DC129">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29" s="818">
        <f>SUM(AlimentsRationVolaillesFemelles[[#This Row],[Valeur 6 et plus]:[Valeur 0-1]])</f>
        <v>0</v>
      </c>
      <c r="DE129" s="1321"/>
      <c r="DF129" s="1321"/>
      <c r="DG129" s="1336"/>
      <c r="DH129" s="1336"/>
      <c r="DI129" s="1336"/>
      <c r="DJ129" s="1336"/>
      <c r="DK129" s="1336"/>
      <c r="DL129" s="1321"/>
      <c r="DM129" s="1321"/>
      <c r="DN129" s="1176" t="s">
        <v>765</v>
      </c>
      <c r="DO129" s="1177" t="s">
        <v>671</v>
      </c>
      <c r="DP129" s="1177" t="s">
        <v>1252</v>
      </c>
      <c r="DQ129" s="1181">
        <v>8</v>
      </c>
      <c r="DR129" s="1181">
        <v>6</v>
      </c>
      <c r="DS129" s="1181">
        <v>4</v>
      </c>
      <c r="DT129" s="1243">
        <v>0</v>
      </c>
      <c r="DU129" s="1346"/>
      <c r="DV129" s="1321"/>
      <c r="DW129" s="1321"/>
      <c r="DX129" s="1321"/>
      <c r="DY129" s="1321"/>
      <c r="DZ129" s="1321"/>
      <c r="EA129" s="1321"/>
      <c r="EB129" s="1321"/>
      <c r="EC129" s="1321"/>
      <c r="ED129" s="1345"/>
      <c r="EE129" s="1345"/>
      <c r="EF129" s="1321"/>
      <c r="EG129" s="808">
        <f t="shared" si="31"/>
        <v>0</v>
      </c>
      <c r="EH129" s="817">
        <f t="array" ref="EH12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29" s="817">
        <f t="array" ref="EI12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29" s="817">
        <f t="array" ref="EJ129">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29" s="818">
        <f>SUM(AlimentsRationOiesFemelles[[#This Row],[Valeur 6 et plus]:[Valeur 0-3]])</f>
        <v>0</v>
      </c>
      <c r="EL129" s="1345"/>
      <c r="EM129" s="1321"/>
      <c r="EN129" s="823">
        <f t="shared" si="29"/>
        <v>0</v>
      </c>
      <c r="EO129" s="828">
        <f t="array" ref="EO129">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29" s="828">
        <f t="array" ref="EP129">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29" s="828">
        <f t="array" ref="EQ129">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29" s="829">
        <f>SUM(Ration_canards_Femelles[[#This Row],[Valeur 6 et plus]:[Valeur 0-3]])</f>
        <v>0</v>
      </c>
      <c r="ES129" s="1345"/>
      <c r="ET129" s="1321"/>
      <c r="EU129" s="1083" t="str">
        <f t="shared" si="44"/>
        <v>Soja</v>
      </c>
      <c r="EV129" s="1283">
        <f t="array" ref="EV129">IF(OR(ChoixRationComplèteEtéChevauxSelle=OUI,ChoixRationComplèteEtéChevauxSelle="",AND(ChoixChevauxSellePréHiver=OUI,ChoixChevauxSellePréEté=OUI)),0,IFERROR(IF(OR(AND(INDEX(Règles_chevaux_selle[Specificite],MATCH(RationEtéChevauxSelle&amp;$EU129,Règles_chevaux_selle[Ration]&amp;Règles_chevaux_selle[Aliment],0))="s1",IF($EU129=Spécificité1ChevauxSelle,1)),
AND(INDEX(Règles_chevaux_selle[Specificite],MATCH(RationEtéChevauxSelle&amp;$EU129,Règles_chevaux_selle[Ration]&amp;Règles_chevaux_selle[Aliment],0))="s2",IF($EU129=Spécificité2ChevauxSelle,1)),
INDEX(Règles_chevaux_selle[Specificite],MATCH(RationEtéChevauxSelle&amp;$EU129,Règles_chevaux_selle[Ration]&amp;Règles_chevaux_selle[Aliment],0))="c"),
INDEX(Règles_chevaux_selle[Valeur 36 et plus],MATCH(RationEtéChevauxSelle&amp;$EU129,Règles_chevaux_selle[Ration]&amp;Règles_chevaux_selle[Aliment],0)),0),0)*TotalJumentSelle*SUM(NbreJoursNourrirChevauxSelle))</f>
        <v>0</v>
      </c>
      <c r="EW129" s="1283">
        <f t="array" ref="EW129">IF(OR(ChoixRationComplèteEtéChevauxSelle=OUI,ChoixRationComplèteEtéChevauxSelle="",AND(ChoixChevauxSellePréHiver=OUI,ChoixChevauxSellePréEté=OUI)),0,IFERROR(IF(OR(AND(INDEX(Règles_chevaux_selle[Specificite],MATCH(RationEtéChevauxSelle&amp;$EU129,Règles_chevaux_selle[Ration]&amp;Règles_chevaux_selle[Aliment],0))="s1",IF($EU129=Spécificité1ChevauxSelle,1)),
AND(INDEX(Règles_chevaux_selle[Specificite],MATCH(RationEtéChevauxSelle&amp;$EU129,Règles_chevaux_selle[Ration]&amp;Règles_chevaux_selle[Aliment],0))="s2",IF($EU129=Spécificité2ChevauxSelle,1)),
INDEX(Règles_chevaux_selle[Specificite],MATCH(RationEtéChevauxSelle&amp;$EU129,Règles_chevaux_selle[Ration]&amp;Règles_chevaux_selle[Aliment],0))="c"),
INDEX(Règles_chevaux_selle[Valeur 24-36],MATCH(RationEtéChevauxSelle&amp;$EU129,Règles_chevaux_selle[Ration]&amp;Règles_chevaux_selle[Aliment],0)),0),0)*TotalJeuneJumentSelle_24_36_mois*SUM(NbreJoursNourrirChevauxSelle))</f>
        <v>0</v>
      </c>
      <c r="EX129" s="1283">
        <f t="array" ref="EX129">IF(OR(ChoixRationComplèteEtéChevauxSelle=OUI,ChoixRationComplèteEtéChevauxSelle="",AND(ChoixChevauxSellePréHiver=OUI,ChoixChevauxSellePréEté=OUI)),0,IFERROR(IF(OR(AND(INDEX(Règles_chevaux_selle[Specificite],MATCH(RationEtéChevauxSelle&amp;$EU129,Règles_chevaux_selle[Ration]&amp;Règles_chevaux_selle[Aliment],0))="s1",IF($EU129=Spécificité1ChevauxSelle,1)),
AND(INDEX(Règles_chevaux_selle[Specificite],MATCH(RationEtéChevauxSelle&amp;$EU129,Règles_chevaux_selle[Ration]&amp;Règles_chevaux_selle[Aliment],0))="s2",IF($EU129=Spécificité2ChevauxSelle,1)),
INDEX(Règles_chevaux_selle[Specificite],MATCH(RationEtéChevauxSelle&amp;$EU129,Règles_chevaux_selle[Ration]&amp;Règles_chevaux_selle[Aliment],0))="c"),
INDEX(Règles_chevaux_selle[Valeur 12-24],MATCH(RationEtéChevauxSelle&amp;$EU129,Règles_chevaux_selle[Ration]&amp;Règles_chevaux_selle[Aliment],0)),0),0)*TotalJeuneJumentSelle_12_24_mois*SUM(NbreJoursNourrirChevauxSelle))</f>
        <v>0</v>
      </c>
      <c r="EY129" s="1286">
        <f t="array" ref="EY129">IF(OR(ChoixRationComplèteEtéChevauxSelle=OUI,ChoixRationComplèteEtéChevauxSelle="",AND(ChoixChevauxSellePréHiver=OUI,ChoixChevauxSellePréEté=OUI)),0,IFERROR(IF(OR(AND(INDEX(Règles_chevaux_selle[Specificite],MATCH(RationEtéChevauxSelle&amp;$EU129,Règles_chevaux_selle[Ration]&amp;Règles_chevaux_selle[Aliment],0))="s1",IF($EU129=Spécificité1ChevauxSelle,1)),
AND(INDEX(Règles_chevaux_selle[Specificite],MATCH(RationEtéChevauxSelle&amp;$EU129,Règles_chevaux_selle[Ration]&amp;Règles_chevaux_selle[Aliment],0))="s2",IF($EU129=Spécificité2ChevauxSelle,1)),
INDEX(Règles_chevaux_selle[Specificite],MATCH(RationEtéChevauxSelle&amp;$EU129,Règles_chevaux_selle[Ration]&amp;Règles_chevaux_selle[Aliment],0))="c"),
INDEX(Règles_chevaux_selle[Valeur 0-12],MATCH(RationEtéChevauxSelle&amp;$EU129,Règles_chevaux_selle[Ration]&amp;Règles_chevaux_selle[Aliment],0)),0),0)*TotalPoulicheSelle_0_12_mois*SUM(NbreJoursNourrirChevauxSelle))</f>
        <v>0</v>
      </c>
      <c r="EZ129" s="1286">
        <f t="shared" si="43"/>
        <v>0</v>
      </c>
      <c r="FA129" s="1345"/>
      <c r="FB129" s="1345"/>
      <c r="FC129" s="1321"/>
      <c r="FD129" s="1083">
        <f t="shared" si="34"/>
        <v>0</v>
      </c>
      <c r="FE129" s="1283">
        <f t="array" ref="FE129">IF(OR(ChoixRationComplèteEtéChevauxTrait=OUI,ChoixRationComplèteEtéChevauxTrait="",AND(ChoixChevauxTraitPréHiver=OUI,ChoixChevauxTraitPréEté=OUI)),0,IFERROR(IF(OR(AND(INDEX(Règles_chevaux_trait[Specificite],MATCH(RationEtéChevauxTrait&amp;$FD129,Règles_chevaux_trait[Ration]&amp;Règles_chevaux_trait[Aliment],0))="s1",IF($FD129=Spécificité1ChevauxTrait,1)),
AND(INDEX(Règles_chevaux_trait[Specificite],MATCH(RationEtéChevauxTrait&amp;$FD129,Règles_chevaux_trait[Ration]&amp;Règles_chevaux_trait[Aliment],0))="s2",IF($FD129=Spécificité2ChevauxTrait,1)),
INDEX(Règles_chevaux_trait[Specificite],MATCH(RationEtéChevauxTrait&amp;$FD129,Règles_chevaux_trait[Ration]&amp;Règles_chevaux_trait[Aliment],0))="c"),
INDEX(Règles_chevaux_trait[Valeur 36 et plus],MATCH(RationEtéChevauxTrait&amp;$FD129,Règles_chevaux_trait[Ration]&amp;Règles_chevaux_trait[Aliment],0)),0),0)*TotalJumentTrait*SUM(NbreJoursNourrirChevauxTrait))</f>
        <v>0</v>
      </c>
      <c r="FF129" s="1283">
        <f t="array" ref="FF129">IF(OR(ChoixRationComplèteEtéChevauxTrait=OUI,ChoixRationComplèteEtéChevauxTrait="",AND(ChoixChevauxTraitPréHiver=OUI,ChoixChevauxTraitPréEté=OUI)),0,IFERROR(IF(OR(AND(INDEX(Règles_chevaux_trait[Specificite],MATCH(RationEtéChevauxTrait&amp;$FD129,Règles_chevaux_trait[Ration]&amp;Règles_chevaux_trait[Aliment],0))="s1",IF($FD129=Spécificité1ChevauxTrait,1)),
AND(INDEX(Règles_chevaux_trait[Specificite],MATCH(RationEtéChevauxTrait&amp;$FD129,Règles_chevaux_trait[Ration]&amp;Règles_chevaux_trait[Aliment],0))="s2",IF($FD129=Spécificité2ChevauxTrait,1)),
INDEX(Règles_chevaux_trait[Specificite],MATCH(RationEtéChevauxTrait&amp;$FD129,Règles_chevaux_trait[Ration]&amp;Règles_chevaux_trait[Aliment],0))="c"),
INDEX(Règles_chevaux_trait[Valeur 24-36],MATCH(RationEtéChevauxTrait&amp;$FD129,Règles_chevaux_trait[Ration]&amp;Règles_chevaux_trait[Aliment],0)),0),0)*TotalJeuneJumentTrait_24_36_mois*SUM(NbreJoursNourrirChevauxTrait))</f>
        <v>0</v>
      </c>
      <c r="FG129" s="1283">
        <f t="array" ref="FG129">IF(OR(ChoixRationComplèteEtéChevauxTrait=OUI,ChoixRationComplèteEtéChevauxTrait="",AND(ChoixChevauxTraitPréHiver=OUI,ChoixChevauxTraitPréEté=OUI)),0,IFERROR(IF(OR(AND(INDEX(Règles_chevaux_trait[Specificite],MATCH(RationEtéChevauxTrait&amp;$FD129,Règles_chevaux_trait[Ration]&amp;Règles_chevaux_trait[Aliment],0))="s1",IF($FD129=Spécificité1ChevauxTrait,1)),
AND(INDEX(Règles_chevaux_trait[Specificite],MATCH(RationEtéChevauxTrait&amp;$FD129,Règles_chevaux_trait[Ration]&amp;Règles_chevaux_trait[Aliment],0))="s2",IF($FD129=Spécificité2ChevauxTrait,1)),
INDEX(Règles_chevaux_trait[Specificite],MATCH(RationEtéChevauxTrait&amp;$FD129,Règles_chevaux_trait[Ration]&amp;Règles_chevaux_trait[Aliment],0))="c"),
INDEX(Règles_chevaux_trait[Valeur 12-24],MATCH(RationEtéChevauxTrait&amp;$FD129,Règles_chevaux_trait[Ration]&amp;Règles_chevaux_trait[Aliment],0)),0),0)*TotalJeuneJumentTrait_12_24_mois*SUM(NbreJoursNourrirChevauxTrait))</f>
        <v>0</v>
      </c>
      <c r="FH129" s="1286">
        <f t="array" ref="FH129">IF(OR(ChoixRationComplèteEtéChevauxTrait=OUI,ChoixRationComplèteEtéChevauxTrait="",AND(ChoixChevauxTraitPréHiver=OUI,ChoixChevauxTraitPréEté=OUI)),0,IFERROR(IF(OR(AND(INDEX(Règles_chevaux_trait[Specificite],MATCH(RationEtéChevauxTrait&amp;$FD129,Règles_chevaux_trait[Ration]&amp;Règles_chevaux_trait[Aliment],0))="s1",IF($FD129=Spécificité1ChevauxTrait,1)),
AND(INDEX(Règles_chevaux_trait[Specificite],MATCH(RationEtéChevauxTrait&amp;$FD129,Règles_chevaux_trait[Ration]&amp;Règles_chevaux_trait[Aliment],0))="s2",IF($FD129=Spécificité2ChevauxTrait,1)),
INDEX(Règles_chevaux_trait[Specificite],MATCH(RationEtéChevauxTrait&amp;$FD129,Règles_chevaux_trait[Ration]&amp;Règles_chevaux_trait[Aliment],0))="c"),
INDEX(Règles_chevaux_trait[Valeur 0-12],MATCH(RationEtéChevauxTrait&amp;$FD129,Règles_chevaux_trait[Ration]&amp;Règles_chevaux_trait[Aliment],0)),0),0)*TotalPoulicheTrait_0_12_mois*SUM(NbreJoursNourrirChevauxTrait))</f>
        <v>0</v>
      </c>
      <c r="FI129" s="1286">
        <f t="shared" si="32"/>
        <v>0</v>
      </c>
      <c r="FJ129" s="1345"/>
      <c r="FK129" s="1345"/>
      <c r="FL129" s="1345"/>
      <c r="FM129" s="1321"/>
      <c r="FN129" s="1082">
        <f t="shared" si="33"/>
        <v>0</v>
      </c>
      <c r="FO129" s="1282">
        <f t="array" ref="FO129">IF(OR(ChoixRationComplèteEtéPoneys=OUI,ChoixRationComplèteEtéPoneys="",AND(ChoixPoneysPréHiver=OUI,ChoixPoneysPréEté=OUI)),0,IFERROR(IF(OR(AND(INDEX(Règles_poneys[Specificite],MATCH(RationEtéPoneys&amp;$FN129,Règles_poneys[Ration]&amp;Règles_poneys[Aliment],0))="s1",IF($FN129=Spécificité1Poneys,1)),
AND(INDEX(Règles_poneys[Specificite],MATCH(RationEtéPoneys&amp;$FN129,Règles_poneys[Ration]&amp;Règles_poneys[Aliment],0))="s2",IF($FN129=Spécificité2Poneys,1)),
INDEX(Règles_poneys[Specificite],MATCH(RationEtéPoneys&amp;$FN129,Règles_poneys[Ration]&amp;Règles_poneys[Aliment],0))="c"),
INDEX(Règles_poneys[Valeur 36 et plus],MATCH(RationEtéPoneys&amp;$FN129,Règles_poneys[Ration]&amp;Règles_poneys[Aliment],0)),0),0)*TotalJumentPoney*SUM(NbreJoursNourrirPoneys))</f>
        <v>0</v>
      </c>
      <c r="FP129" s="1282">
        <f t="array" ref="FP129">IF(OR(ChoixRationComplèteEtéPoneys=OUI,ChoixRationComplèteEtéPoneys="",AND(ChoixPoneysPréHiver=OUI,ChoixPoneysPréEté=OUI)),0,IFERROR(IF(OR(AND(INDEX(Règles_poneys[Specificite],MATCH(RationEtéPoneys&amp;$FN129,Règles_poneys[Ration]&amp;Règles_poneys[Aliment],0))="s1",IF($FN129=Spécificité1Poneys,1)),
AND(INDEX(Règles_poneys[Specificite],MATCH(RationEtéPoneys&amp;$FN129,Règles_poneys[Ration]&amp;Règles_poneys[Aliment],0))="s2",IF($FN129=Spécificité2Poneys,1)),
INDEX(Règles_poneys[Specificite],MATCH(RationEtéPoneys&amp;$FN129,Règles_poneys[Ration]&amp;Règles_poneys[Aliment],0))="c"),
INDEX(Règles_poneys[Valeur 36 et plus],MATCH(RationEtéPoneys&amp;$FN129,Règles_poneys[Ration]&amp;Règles_poneys[Aliment],0)),0),0)*TotalJeuneJumentPoney_24_36_mois*SUM(NbreJoursNourrirPoneys))</f>
        <v>0</v>
      </c>
      <c r="FQ129" s="1282">
        <f t="array" ref="FQ129">IF(OR(ChoixRationComplèteEtéPoneys=OUI,ChoixRationComplèteEtéPoneys="",AND(ChoixPoneysPréHiver=OUI,ChoixPoneysPréEté=OUI)),0,IFERROR(IF(OR(AND(INDEX(Règles_poneys[Specificite],MATCH(RationEtéPoneys&amp;$FN129,Règles_poneys[Ration]&amp;Règles_poneys[Aliment],0))="s1",IF($FN129=Spécificité1Poneys,1)),
AND(INDEX(Règles_poneys[Specificite],MATCH(RationEtéPoneys&amp;$FN129,Règles_poneys[Ration]&amp;Règles_poneys[Aliment],0))="s2",IF($FN129=Spécificité2Poneys,1)),
INDEX(Règles_poneys[Specificite],MATCH(RationEtéPoneys&amp;$FN129,Règles_poneys[Ration]&amp;Règles_poneys[Aliment],0))="c"),
INDEX(Règles_poneys[Valeur 36 et plus],MATCH(RationEtéPoneys&amp;$FN129,Règles_poneys[Ration]&amp;Règles_poneys[Aliment],0)),0),0)*TotalJeuneJumentPoney_12_24_mois*SUM(NbreJoursNourrirPoneys))</f>
        <v>0</v>
      </c>
      <c r="FR129" s="1285">
        <f t="array" ref="FR129">IF(OR(ChoixRationComplèteEtéPoneys=OUI,ChoixRationComplèteEtéPoneys="",AND(ChoixPoneysPréHiver=OUI,ChoixPoneysPréEté=OUI)),0,IFERROR(IF(OR(AND(INDEX(Règles_poneys[Specificite],MATCH(RationEtéPoneys&amp;$FN129,Règles_poneys[Ration]&amp;Règles_poneys[Aliment],0))="s1",IF($FN129=Spécificité1Poneys,1)),
AND(INDEX(Règles_poneys[Specificite],MATCH(RationEtéPoneys&amp;$FN129,Règles_poneys[Ration]&amp;Règles_poneys[Aliment],0))="s2",IF($FN129=Spécificité2Poneys,1)),
INDEX(Règles_poneys[Specificite],MATCH(RationEtéPoneys&amp;$FN129,Règles_poneys[Ration]&amp;Règles_poneys[Aliment],0))="c"),
INDEX(Règles_poneys[Valeur 36 et plus],MATCH(RationEtéPoneys&amp;$FN129,Règles_poneys[Ration]&amp;Règles_poneys[Aliment],0)),0),0)*TotalPoulichePoney_0_12_mois*SUM(NbreJoursNourrirPoneys))</f>
        <v>0</v>
      </c>
      <c r="FS129" s="1285">
        <f t="shared" si="30"/>
        <v>0</v>
      </c>
      <c r="FT129" s="1345"/>
      <c r="FU129" s="1345"/>
      <c r="FV129" s="1345"/>
      <c r="FW129" s="1336"/>
      <c r="FX129" s="1336"/>
      <c r="FY129" s="1336"/>
      <c r="FZ129" s="1336"/>
      <c r="GA129" s="1336"/>
      <c r="GB129" s="1336"/>
      <c r="GC129" s="1321"/>
      <c r="GD129" s="1321"/>
      <c r="GE129" s="1321"/>
      <c r="GF129" s="1321"/>
      <c r="GG129" s="1321" t="s">
        <v>1349</v>
      </c>
      <c r="GH129" s="1321" t="s">
        <v>1349</v>
      </c>
      <c r="GI129" s="1321" t="s">
        <v>1349</v>
      </c>
      <c r="GJ129" s="1321" t="s">
        <v>1349</v>
      </c>
      <c r="GK129" s="1321" t="s">
        <v>1349</v>
      </c>
      <c r="GL129" s="1321" t="s">
        <v>1349</v>
      </c>
      <c r="GM129" s="1321" t="s">
        <v>1349</v>
      </c>
      <c r="GN129" s="1321" t="s">
        <v>1349</v>
      </c>
      <c r="GO129" s="1321" t="s">
        <v>1349</v>
      </c>
      <c r="GP129" s="1321" t="s">
        <v>1349</v>
      </c>
      <c r="GQ129" s="1321" t="s">
        <v>1349</v>
      </c>
      <c r="GR129" s="1321" t="s">
        <v>1349</v>
      </c>
      <c r="GS129" s="1321" t="s">
        <v>1349</v>
      </c>
      <c r="GT129" s="1321" t="s">
        <v>1349</v>
      </c>
      <c r="GU129" s="1321" t="s">
        <v>1349</v>
      </c>
      <c r="GV129" s="1321" t="s">
        <v>1349</v>
      </c>
      <c r="GW129" s="1321"/>
      <c r="GX129" s="1321"/>
      <c r="GY129" s="1321"/>
      <c r="GZ129" s="1321"/>
      <c r="HA129" s="1321"/>
      <c r="HB129" s="1321"/>
      <c r="HC129" s="1321"/>
      <c r="HD129" s="1321"/>
      <c r="HE129" s="1321"/>
      <c r="HF129" s="1321"/>
      <c r="HG129" s="1321"/>
      <c r="HH129" s="1321"/>
      <c r="HI129" s="1321"/>
      <c r="HJ129" s="1321"/>
      <c r="HK129" s="1321"/>
      <c r="HL129" s="1321"/>
      <c r="HM129" s="1321"/>
      <c r="HN129" s="1082" t="s">
        <v>76</v>
      </c>
      <c r="HO129" s="1085" t="e">
        <f>IF(SUM((VLOOKUP(HN129,AlimentsRationBovinsMâles,9,FALSE)+VLOOKUP(HN129,AlimentsRationBovinsFemelles,9,FALSE)+VLOOKUP(HN129,BDD!BB$284:BJ$323,9,FALSE))/1000/SUM(NbreJoursNourrirBovins)*IF('semences, engrais et traitement'!I$16=OUI,42,84))&lt;0,0,SUM((VLOOKUP(HN129,AlimentsRationBovinsMâles,9,FALSE)+VLOOKUP(HN129,AlimentsRationBovinsFemelles,9,FALSE)+VLOOKUP(HN129,BDD!BB$284:BJ$323,9,FALSE))/1000/SUM(NbreJoursNourrirBovins)*IF('semences, engrais et traitement'!I$16=OUI,42,84)))</f>
        <v>#DIV/0!</v>
      </c>
      <c r="HP129" s="1085">
        <f t="shared" si="36"/>
        <v>0</v>
      </c>
      <c r="HQ129" s="1085" t="e">
        <f>IF(SUM(VLOOKUP(HN129,AlimentsRationPorcinsMâles[],7,FALSE)+VLOOKUP(HN129,AlimentsRationPorcinsFemelles[],7,FALSE))/1000/SUM(NbreJoursNourrirAutres)*84&lt;0,0,SUM(VLOOKUP(HN129,AlimentsRationPorcinsMâles[],7,FALSE)+VLOOKUP(HN129,AlimentsRationPorcinsFemelles[],7,FALSE)/1000/SUM(NbreJoursNourrirAutres)*84))</f>
        <v>#DIV/0!</v>
      </c>
      <c r="HR129" s="1085" t="e">
        <f>IF(SUM(VLOOKUP(HN129,AlimentsRationCaprinsMâles,6,FALSE)+VLOOKUP(HN129,AlimentsRationCaprinsFemelles,6,FALSE))/1000/SUM(NbreJoursNourrirCaprins)*IF('semences, engrais et traitement'!I$17=OUI,42,84)&lt;0,0,SUM(VLOOKUP(HN129,AlimentsRationCaprinsMâles,6,FALSE)+VLOOKUP(HN129,AlimentsRationCaprinsFemelles,6,FALSE))/1000/SUM(NbreJoursNourrirCaprins)*IF('semences, engrais et traitement'!I$17=OUI,42,84))</f>
        <v>#DIV/0!</v>
      </c>
      <c r="HS129" s="1085" t="e">
        <f>IF(SUM(VLOOKUP(HN129,AlimentsRationVolaillesMâles[],5,FALSE)+VLOOKUP(HN129,AlimentsRationVolaillesFemelles[],5,FALSE))/1000/SUM(NbreJoursNourrirAutres)*84&lt;0,0,SUM(VLOOKUP(HN129,AlimentsRationVolaillesMâles[],5,FALSE)+VLOOKUP(HN129,AlimentsRationVolaillesFemelles[],5,FALSE)/1000/SUM(NbreJoursNourrirAutres)*84))</f>
        <v>#DIV/0!</v>
      </c>
      <c r="HT129" s="1085" t="e">
        <f>IF(SUM(VLOOKUP(HN129,AlimentsRationPintadesMâles[],5,FALSE)+VLOOKUP(HN129,AlimentsRationPintadesFemelles[],5,FALSE))/1000/SUM(NbreJoursNourrirAutres)*84&lt;0,0,SUM(VLOOKUP(HN129,AlimentsRationPintadesMâles[],5,FALSE)+VLOOKUP(HN129,AlimentsRationPintadesFemelles[],5,FALSE)/1000/SUM(NbreJoursNourrirAutres)*84))</f>
        <v>#DIV/0!</v>
      </c>
      <c r="HU129" s="1085" t="e">
        <f>IF(SUM(VLOOKUP(HN129,AlimentsRationLapinsMâles[],5,FALSE)+VLOOKUP(HN129,AlimentsRationLapinsFemelles[],5,FALSE))/1000/SUM(NbreJoursNourrirAutres)*84&lt;0,0,SUM(VLOOKUP(HN129,AlimentsRationLapinsMâles[],5,FALSE)+VLOOKUP(HN129,AlimentsRationLapinsFemelles[],5,FALSE)/1000/SUM(NbreJoursNourrirAutres)*84))</f>
        <v>#DIV/0!</v>
      </c>
      <c r="HV129" s="1085" t="e">
        <f>IF(SUM(VLOOKUP(HN129,AlimentsRationOvinsMâles,6,FALSE)+VLOOKUP(HN129,AlimentsRationOvinsFemelles,6,FALSE))/1000/SUM(NbreJoursNourrirOvins)*IF('semences, engrais et traitement'!I$18=OUI,42,84)&lt;0,0,SUM(VLOOKUP(HN129,AlimentsRationOvinsMâles,6,FALSE)+VLOOKUP(HN129,AlimentsRationOvinsFemelles,6,FALSE))/1000/SUM(NbreJoursNourrirOvins)*IF('semences, engrais et traitement'!I$18=OUI,42,84))</f>
        <v>#DIV/0!</v>
      </c>
      <c r="HW129" s="1085" t="e">
        <f>IF(SUM(VLOOKUP(HN129,AlimentsRationOiesMâles[],5,FALSE)+VLOOKUP(HN129,AlimentsRationOiesFemelles[],5,FALSE))/1000/SUM(NbreJoursNourrirAutres)*84&lt;0,0,SUM(VLOOKUP(HN129,AlimentsRationOiesMâles[],5,FALSE)+VLOOKUP(HN129,AlimentsRationOiesFemelles[],5,FALSE)/1000/SUM(NbreJoursNourrirAutres)*84))</f>
        <v>#DIV/0!</v>
      </c>
      <c r="HX129" s="1085" t="e">
        <f t="shared" si="48"/>
        <v>#DIV/0!</v>
      </c>
      <c r="HY129" s="1085" t="e">
        <f>IF(SUM(VLOOKUP(HN129,AlimentsRationEcurieChevauxMâlesSelle,6,FALSE)+VLOOKUP(HN129,AlimentsRationEcurieChevauxFemellesSelle,6,FALSE))/1000/SUM(NbreJoursNourrirChevauxSelle)*IF('semences, engrais et traitement'!M$16=OUI,56,84)&lt;0,0,SUM(VLOOKUP(HN129,AlimentsRationEcurieChevauxMâlesSelle,6,FALSE)+VLOOKUP(HN129,AlimentsRationEcurieChevauxFemellesSelle,6,FALSE))/1000/SUM(NbreJoursNourrirChevauxSelle)*IF('semences, engrais et traitement'!M$16=OUI,56,84))</f>
        <v>#DIV/0!</v>
      </c>
      <c r="HZ129" s="1085" t="e">
        <f>IF(SUM(VLOOKUP(HN129,AlimentsRationEcurieChevauxMâlesTrait,6,FALSE)+VLOOKUP(HN129,AlimentsRationEcurieChevauxFemellesTrait,6,FALSE))/1000/SUM(NbreJoursNourrirChevauxTrait)*IF('semences, engrais et traitement'!M$17=OUI,56,84)&lt;0,0,SUM(VLOOKUP(HN129,AlimentsRationEcurieChevauxMâlesTrait,6,FALSE)+VLOOKUP(HN129,AlimentsRationEcurieChevauxFemellesTrait,6,FALSE))/1000/SUM(NbreJoursNourrirChevauxTrait)*IF('semences, engrais et traitement'!M$17=OUI,56,84))</f>
        <v>#DIV/0!</v>
      </c>
      <c r="IA129" s="1085" t="e">
        <f>IF(SUM(VLOOKUP(HN129,AlimentsRationEcuriePoneysMâles,6,FALSE)+VLOOKUP(HN129,AlimentsRationEcuriePoneysFemelles,6,FALSE))/1000/SUM(NbreJoursNourrirPoneys)*IF('semences, engrais et traitement'!M$18=OUI,56,84)&lt;0,0,SUM(VLOOKUP(HN129,AlimentsRationEcuriePoneysMâles,6,FALSE)+VLOOKUP(HN129,AlimentsRationEcuriePoneysFemelles,6,FALSE))/1000/SUM(NbreJoursNourrirPoneys)*IF('semences, engrais et traitement'!M$18=OUI,56,84))</f>
        <v>#DIV/0!</v>
      </c>
      <c r="IB129" s="1099" t="e">
        <f t="shared" si="38"/>
        <v>#DIV/0!</v>
      </c>
      <c r="IC129" s="1321"/>
      <c r="ID129" s="1321"/>
      <c r="IE129" s="1321"/>
      <c r="IF129" s="1321"/>
      <c r="IG129" s="1321"/>
      <c r="IH129" s="1321"/>
      <c r="II129" s="1321"/>
      <c r="IJ129" s="1321"/>
      <c r="IK129" s="1321"/>
      <c r="IL129" s="1321"/>
      <c r="IM129" s="1321"/>
      <c r="IN129" s="1368"/>
    </row>
    <row r="130" spans="1:248" ht="12.75" customHeight="1" x14ac:dyDescent="0.2">
      <c r="A130" s="1307" t="s">
        <v>345</v>
      </c>
      <c r="B130" s="1241">
        <v>0.7</v>
      </c>
      <c r="C130" s="1321"/>
      <c r="D130" s="1321"/>
      <c r="E130" s="1321"/>
      <c r="F130" s="1143" t="s">
        <v>865</v>
      </c>
      <c r="G130" s="1143">
        <v>0.33</v>
      </c>
      <c r="H130" s="1321"/>
      <c r="I130" s="1076" t="s">
        <v>1046</v>
      </c>
      <c r="J130" s="1081">
        <f>IF(gains!F$4=BDD!O$127,10,IF(gains!F$4=BDD!P$127,20,IF(gains!F$4=BDD!Q$127,30,0)))</f>
        <v>10</v>
      </c>
      <c r="K130" s="1081">
        <f>IF(gains!$G$7=K$127,1,0)</f>
        <v>0</v>
      </c>
      <c r="L130" s="1081">
        <f>IF(gains!$G$7=L$127,2,0)</f>
        <v>0</v>
      </c>
      <c r="M130" s="1081">
        <f>IF(gains!$G$7=M$127,3,0)</f>
        <v>0</v>
      </c>
      <c r="N130" s="1081">
        <f>IF(gains!$G$7=N$127,4,0)</f>
        <v>4</v>
      </c>
      <c r="O130" s="1081">
        <f>IF(AND(J130=10,SUM(K130:N130)=1),gains!$F$38,IF(AND(J130=10,SUM(K130:N130)=2),gains!$F$38*2,IF(AND(J130=10,SUM(K130:N130)=3),gains!$F$38*3,IF(AND(J130=10,SUM(K130:N130)=4),gains!$F$38*4,0))))</f>
        <v>56000</v>
      </c>
      <c r="P130" s="1081">
        <f>IF(AND(J130=20,SUM(K130:N130)=1),gains!$F$38*7,IF(AND(J130=20,SUM(K130:N130)=2),gains!$F$38*7*2,IF(AND(J130=20,SUM(K130:N130)=3),gains!$F$38*7*3,IF(AND(J130=20,SUM(K130:N130)=4),gains!$F$38*7*4,0))))</f>
        <v>0</v>
      </c>
      <c r="Q130" s="1081">
        <f>IF(AND(J130=30,SUM(K130:N130)=1),gains!$F$38*7*12,IF(AND(J130=30,SUM(K130:N130)=2),gains!$F$38*7*12*2,IF(AND(J130=30,SUM(K130:N130)=3),gains!$F$38*7*12*3,IF(AND(J130=30,SUM(K130:N130)=4),gains!$F$38*7*12*4,0))))</f>
        <v>0</v>
      </c>
      <c r="R130" s="1081">
        <f>(SUM(BI194+BI236)/1000*PrixAvoine+(BI195+BI237)/1000*PrixBetterave+(BI196+BI238)/1000*PrixBlé+(BI197+BI239)/1000*PrixBouchonsLuzerne+(BI199+BI241)/1000*PrixCanola+(BI200+BI242)/1000*PrixColza+(BI201+BI243)*1.07+(BI202+BI244)*1.12+(BI203+BI245)*1.13+(BI204+BI246)/1000*PrixEnsilageHerbe+(BI205+BI247)*IF(PrixEau="",0,PrixEau)+(BI207+BI249)/1000*PrixFeverole+(BI208+BI250)/1000*PrixFoin+(BI211+BI253)/1000*PrixMaïsEnsilé+(BI212+BI254)/1000*PrixMaïsGrain+(BI213+BI255)*1.38+(BI214+BI256)/1000*PrixOrge+(BI215+BI257)/1000*PrixPaille+(BI216+BI258)/1000*PrixPois+(BI219+BI261)*PrixRationBovins+(BI220+BI262)/1000*PrixSeigle+(BI221+BI263)/1000*PrixSoja+(BI222+BI264)/1000*PrixSorghoEnsilé+(BI223+BI265)/1000*PrixTournesol+(BI224+BI266)/1000*PrixTourteauColza+(BI225+BI267)/1000*PrixTourteauTournesol+(BI226+BI268)/1000*PrixTriticale)</f>
        <v>0</v>
      </c>
      <c r="S130" s="1081">
        <f>(SUM(CB106+CB144)/1000*PrixAvoine+(CB107+CB145)/1000*PrixBetterave+(CB108+CB146)/1000*PrixBlé+(CB109+CB147)/1000*PrixBouchonsLuzerne+(CB111+CB149)/1000*PrixCanola+(CB112+CB150)/1000*PrixColza+(CB113+CB151)*1.07+(CB114+CB152)*1.12+(CB115+CB153)*1.13+(CB116+CB154)/1000*PrixEnsilageHerbe+(CB117+CB155)*IF(PrixEau="",0,PrixEau)+(CB119+CB157)/1000*PrixFeverole+(CB120+CB158)/1000*PrixFoin+(CB123+CB161)/1000*PrixMaïsEnsilé+(CB124+CB162)/1000*PrixMaïsGrain+(CB125+CB163)*1.38+(CB126+CB164)/1000*PrixOrge+(CB127+CB165)/1000*PrixPaille+(CB128+CB166)/1000*PrixPois+SUM((Ration_complète_caprins[[Valeur 0-3 (M)]:[Valeur 0-3 (F)]]))/1000*PrixRationCaprins+(CB132+CB170)/1000*PrixSeigle+(CB133+CB171)/1000*PrixSoja+(CB134+CB172)/1000*PrixSorghoEnsilé+(CB135+CB173)/1000*PrixTournesol+(CB136+CB174)/1000*PrixTourteauColza+(CB137+CB175)/1000*PrixTourteauTournesol+(CB138+CB176)/1000*PrixTriticale)</f>
        <v>0</v>
      </c>
      <c r="T130" s="1081">
        <f>(SUM(CV57+CV99)/1000*PrixAvoine+(CV58+CV100)/1000*PrixBetterave+(CV59+CV101)/1000*PrixBlé+(CV60+CV102)/1000*PrixBouchonsLuzerne+(CV62+CV104)/1000*PrixCanola+(CV63+CV105)/1000*PrixColza+(CV64+CV106)*1.07+(CV65+CV107)*1.12+(CV66+CV108)*1.13+(CV67+CV109)/1000*PrixEnsilageHerbe+(CV68+CV110)*IF(PrixEau="",0,PrixEau)+(CV70+CV112)/1000*PrixFeverole+(CV71+CV113)/1000*PrixFoin+(CV74+CV116)/1000*PrixMaïsEnsilé+(CV75+CV117)/1000*PrixMaïsGrain+(CV76+CV118)*1.38+(CV77+CV119)/1000*PrixOrge+(CV78+CV120)/1000*PrixPaille+(CV79+CV121)/1000*PrixPois+(CV82+CV124)*PrixRationLapins+(CV83+CV125)/1000*PrixSeigle+(CV84+CV126)/1000*PrixSoja+(CV85+CV127)/1000*PrixSorghoEnsilé+(CV86+CV128)/1000*PrixTournesol+(CV87+CV129)/1000*PrixTourteauColza+(CV88+AlimentsRationLapinsFemelles[[#This Row],[Valeur 0-1]])/1000*PrixTourteauTournesol+(CV89+CV131)/1000*PrixTriticale)</f>
        <v>0</v>
      </c>
      <c r="U130" s="1081">
        <f>(SUM(DC57+DC99)/1000*PrixAvoine+(DC58+DC100)/1000*PrixBetterave+(DC59+DC101)/1000*PrixBlé+(DC60+DC102)/1000*PrixBouchonsLuzerne+(DC62+DC104)/1000*PrixCanola+(DC63+DC105)/1000*PrixColza+(DC64+DC106)*1.07+(DC65+DC107)*1.12+(DC66+DC108)*1.13+(DC67+DC109)/1000*PrixEnsilageHerbe+(DC68+DC110)*IF(PrixEau="",0,PrixEau)+(DC70+DC112)/1000*PrixFeverole+(DC71+DC113)/1000*PrixFoin+(DC74+DC116)/1000*PrixMaïsEnsilé+(DC75+DC117)/1000*PrixMaïsGrain+(DC76+DC118)*1.38+(DC77+DC119)/1000*PrixOrge+(DC78+DC120)/1000*PrixPaille+(DC79+DC121)/1000*PrixPois+(DC82+DC124)*PrixRationVolailles+(DC83+DC125)/1000*PrixSeigle+(DC84+DC126)/1000*PrixSoja+(DC85+DC127)/1000*PrixSorghoEnsilé+(DC86+DC128)/1000*PrixTournesol+(DC87+DC129)/1000*PrixTourteauColza+(DC88+AlimentsRationVolaillesFemelles[[#This Row],[Valeur 0-1]])/1000*PrixTourteauTournesol+(DC89+DC131)/1000*PrixTriticale)</f>
        <v>0</v>
      </c>
      <c r="V130" s="1081">
        <f>(SUM(DR150+DR192)/1000*PrixAvoine+(DR151+DR193)/1000*PrixBetterave+(DR152+DR194)/1000*PrixBlé+(DR153+DR195)/1000*PrixBouchonsLuzerne+(DR155+DR197)/1000*PrixCanola+(DR156+DR198)/1000*PrixColza+(DR157+DR199)*1.07+(DR158+DR200)*1.12+(DR159+DR201)*1.13+(DR160+DR202)/1000*PrixEnsilageHerbe+(DR161+DR203)*IF(PrixEau="",0,PrixEau)+(DR163+DR205)/1000*PrixFeverole+(DR164+DR206)/1000*PrixFoin+(DR167+DR209)/1000*PrixMaïsEnsilé+(DR168+DR210)/1000*PrixMaïsGrain+(DR169+DR211)*1.38+(DR170+DR212)/1000*PrixOrge+(DR171+DR213)/1000*PrixPaille+(DR172+DR214)/1000*PrixPois+(DR175+DR217)*PrixRationOvins+(DR176+DR218)/1000*PrixSeigle+(DR177+DR219)/1000*PrixSoja+(DR178+DR220)/1000*PrixSorghoEnsilé+(DR179+DR221)/1000*PrixTournesol+(DR180+DR222)/1000*PrixTourteauColza+(DR181+DR223)/1000*PrixTourteauTournesol+(DR182+DR224)/1000*PrixTriticale)</f>
        <v>0</v>
      </c>
      <c r="W130" s="1081">
        <f>(SUM(EJ53+EJ95)/1000*PrixAvoine+(EJ54+EJ96)/1000*PrixBetterave+(EJ55+EJ97)/1000*PrixBlé+(EJ56+EJ98)/1000*PrixBouchonsLuzerne+(EJ58+EJ100)/1000*PrixCanola+(EJ59+EJ101)/1000*PrixColza+(EJ60+EJ102)*1.07+(EJ61+EJ103)*1.12+(EJ62+EJ104)*1.13+(EJ63+EJ105)/1000*PrixEnsilageHerbe+(EJ64+EJ106)*IF(PrixEau="",0,PrixEau)+(EJ66+EJ108)/1000*PrixFeverole+(EJ67+EJ109)/1000*PrixFoin+(EJ70+EJ112)/1000*PrixMaïsEnsilé+(EJ71+EJ113)/1000*PrixMaïsGrain+(EJ72+EJ114)*1.38+(EJ73+EJ115)/1000*PrixOrge+(EJ74+EJ116)/1000*PrixPaille+(EJ75+EJ117)/1000*PrixPois+(EJ78+EJ120)*PrixRationOies+(EJ79+EJ121)/1000*PrixSeigle+(EJ80+EJ122)/1000*PrixSoja+(EJ81+EJ123)/1000*PrixSorghoEnsilé+(EJ82+EJ124)/1000*PrixTournesol+(EJ83+EJ125)/1000*PrixTourteauColza+(EJ84+EJ126)/1000*PrixTourteauTournesol+(EJ85+EJ127)/1000*PrixTriticale)</f>
        <v>0</v>
      </c>
      <c r="X130" s="1081">
        <f>(SUM(EQ52+EQ94)/1000*PrixAvoine+(EQ53+EQ95)/1000*PrixBetterave+(EQ54+EQ96)/1000*PrixBlé+(EQ55+EQ97)/1000*PrixBouchonsLuzerne+(EQ57+EQ99)/1000*PrixCanola+(EQ58+EQ100)/1000*PrixColza+(EQ59+EQ101)*1.07+(EQ60+EQ102)*1.12+(EQ61+EQ103)*1.13+(EQ62+EQ104)/1000*PrixEnsilageHerbe+(EQ63+EQ105)*IF(PrixEau="",0,PrixEau)+(EQ65+EQ107)/1000*PrixFeverole+(EQ66+EQ108)/1000*PrixFoin+(EQ69+EQ111)/1000*PrixMaïsEnsilé+(EQ70+EQ112)/1000*PrixMaïsGrain+(EQ71+EQ113)*1.38+(EQ72+EQ114)/1000*PrixOrge+(EQ73+EQ115)/1000*PrixPaille+(EQ74+EQ116)/1000*PrixPois+(EQ77+EQ119)*PrixRationCanards+(EQ78+EQ120)/1000*PrixSeigle+(EQ79+EQ121)/1000*PrixSoja+(EQ80+EQ122)/1000*PrixSorghoEnsilé+(EQ81+EQ123)/1000*PrixTournesol+(EQ82+EQ124)/1000*PrixTourteauColza+(EQ83+EQ125)/1000*PrixTourteauTournesol+(EQ84+EQ126)/1000*PrixTriticale)</f>
        <v>0</v>
      </c>
      <c r="Y130" s="1321"/>
      <c r="Z130" s="1321"/>
      <c r="AA130" s="1321"/>
      <c r="AB130" s="1321"/>
      <c r="AC130" s="1321"/>
      <c r="AD130" s="1321"/>
      <c r="AE130" s="1321"/>
      <c r="AF130" s="1321"/>
      <c r="AG130" s="1321"/>
      <c r="AH130" s="1321"/>
      <c r="AI130" s="1321"/>
      <c r="AJ130" s="1321"/>
      <c r="AK130" s="1321"/>
      <c r="AL130" s="1321"/>
      <c r="AM130" s="1321"/>
      <c r="AN130" s="1321"/>
      <c r="AO130" s="1321"/>
      <c r="AP130" s="1321"/>
      <c r="AQ130" s="1321"/>
      <c r="AR130" s="1321"/>
      <c r="AS130" s="1321"/>
      <c r="AT130" s="1321"/>
      <c r="AU130" s="1321"/>
      <c r="AV130" s="1321"/>
      <c r="AW130" s="1321"/>
      <c r="AX130" s="1321"/>
      <c r="AY130" s="1321"/>
      <c r="AZ130" s="1321"/>
      <c r="BA130" s="1321"/>
      <c r="BB130" s="1236" t="s">
        <v>731</v>
      </c>
      <c r="BC130" s="1190" t="s">
        <v>1271</v>
      </c>
      <c r="BD130" s="1190" t="s">
        <v>1252</v>
      </c>
      <c r="BE130" s="1237">
        <v>1</v>
      </c>
      <c r="BF130" s="1237">
        <v>0.8</v>
      </c>
      <c r="BG130" s="1237">
        <v>0.6</v>
      </c>
      <c r="BH130" s="1237">
        <v>0.4</v>
      </c>
      <c r="BI130" s="1237">
        <v>0.4</v>
      </c>
      <c r="BJ130" s="1237">
        <v>0.4</v>
      </c>
      <c r="BK130" s="1238">
        <v>0</v>
      </c>
      <c r="BL130" s="1348"/>
      <c r="BM130" s="1076" t="str">
        <f t="shared" si="47"/>
        <v>Lentille</v>
      </c>
      <c r="BN130" s="1267">
        <f t="array" ref="BN130">SUM((IF(QualitéAlimentsBisonneauxMâles_0_3_mois=BONNE,VLOOKUP("Lentille",AlimentsRationHivernaleBisonsMâles,8,FALSE),0)+(IF(QualitéAlimentsBisonneauxFemelles_0_3_mois=BONNE,VLOOKUP("Lentille",AlimentsRationHivernaleBisonsFemelles,8,FALSE),0)+(IF(QualitéAlimentsBisonneauxMâles_3_6_mois=BONNE,VLOOKUP("Lentille",AlimentsRationHivernaleBisonsMâles,7,FALSE),0)+(IF(QualitéAlimentsBisonneauxFemelles_3_6_mois=BONNE,VLOOKUP("Lentille",AlimentsRationHivernaleBisonsFemelles,7,FALSE),0)+(IF(QualitéAlimentsBisonneauxMâles_6_12_mois=BONNE,VLOOKUP("Lentille",AlimentsRationHivernaleBisonsMâles,6,FALSE),0)+(IF(QualitéAlimentsBisonneauxFemelles_6_12_mois=BONNE,VLOOKUP("Lentille",AlimentsRationHivernaleBisonsFemelles,6,FALSE),0)+(IF(QualitéAlimentsJeunesBisons_12_18_mois=BONNE,VLOOKUP("Lentille",AlimentsRationHivernaleBisonsMâles,5,FALSE),0)+(IF(QualitéAlimentsJeunesBisonnes_12_18_mois=BONNE,VLOOKUP("Lentille",AlimentsRationHivernaleBisonsFemelles,5,FALSE),0)+(IF(QualitéAlimentsJeunesBisons_18_24_mois=BONNE,VLOOKUP("Lentille",AlimentsRationHivernaleBisonsMâles,4,FALSE),0)+(IF(QualitéAlimentsJeunesBisonnes_18_24_mois=BONNE,VLOOKUP("Lentille",AlimentsRationHivernaleBisonsFemelles,4,FALSE),0)+(IF(QualitéAlimentsJeunesBisons_24_36_mois=BONNE,VLOOKUP("Lentille",AlimentsRationHivernaleBisonsMâles,3,FALSE),0)+(IF(QualitéAlimentsJeunesBisonnes_24_36_mois=BONNE,VLOOKUP("Lentille",AlimentsRationHivernaleBisonsFemelles,3,FALSE),0)+(IF(QualitéAlimentsBisons=BONNE,VLOOKUP("Lentille",AlimentsRationHivernaleBisonsMâles,2,FALSE),0)+(IF(QualitéAlimentsBisonnes=BONNE,VLOOKUP("Lentille",AlimentsRationHivernaleBisonsFemelles,2,FALSE),0))))))))))))))))</f>
        <v>0</v>
      </c>
      <c r="BO130" s="1267">
        <f t="array" ref="BO130">SUM((IF(QualitéAlimentsBisonneauxMâles_0_3_mois=MOYENNE,VLOOKUP("Lentille",AlimentsRationHivernaleBisonsMâles,8,FALSE),0)+(IF(QualitéAlimentsBisonneauxFemelles_0_3_mois=MOYENNE,VLOOKUP("Lentille",AlimentsRationHivernaleBisonsFemelles,8,FALSE),0)+(IF(QualitéAlimentsBisonneauxMâles_3_6_mois=MOYENNE,VLOOKUP("Lentille",AlimentsRationHivernaleBisonsMâles,7,FALSE),0)+(IF(QualitéAlimentsBisonneauxFemelles_3_6_mois=MOYENNE,VLOOKUP("Lentille",AlimentsRationHivernaleBisonsFemelles,7,FALSE),0)+(IF(QualitéAlimentsBisonneauxMâles_6_12_mois=MOYENNE,VLOOKUP("Lentille",AlimentsRationHivernaleBisonsMâles,6,FALSE),0)+(IF(QualitéAlimentsBisonneauxFemelles_6_12_mois=MOYENNE,VLOOKUP("Lentille",AlimentsRationHivernaleBisonsFemelles,6,FALSE),0)+(IF(QualitéAlimentsJeunesBisons_12_18_mois=MOYENNE,VLOOKUP("Lentille",AlimentsRationHivernaleBisonsMâles,5,FALSE),0)+(IF(QualitéAlimentsJeunesBisonnes_12_18_mois=MOYENNE,VLOOKUP("Lentille",AlimentsRationHivernaleBisonsFemelles,5,FALSE),0)+(IF(QualitéAlimentsJeunesBisons_18_24_mois=MOYENNE,VLOOKUP("Lentille",AlimentsRationHivernaleBisonsMâles,4,FALSE),0)+(IF(QualitéAlimentsJeunesBisonnes_18_24_mois=MOYENNE,VLOOKUP("Lentille",AlimentsRationHivernaleBisonsFemelles,4,FALSE),0)+(IF(QualitéAlimentsJeunesBisons_24_36_mois=MOYENNE,VLOOKUP("Lentille",AlimentsRationHivernaleBisonsMâles,3,FALSE),0)+(IF(QualitéAlimentsJeunesBisonnes_24_36_mois=MOYENNE,VLOOKUP("Lentille",AlimentsRationHivernaleBisonsFemelles,3,FALSE),0)+(IF(QualitéAlimentsBisons=MOYENNE,VLOOKUP("Lentille",AlimentsRationHivernaleBisonsMâles,2,FALSE),0)+(IF(QualitéAlimentsBisonnes=MOYENNE,VLOOKUP("Lentille",AlimentsRationHivernaleBisonsFemelles,2,FALSE),0))))))))))))))))</f>
        <v>0</v>
      </c>
      <c r="BP130" s="1267">
        <f t="array" ref="BP130">SUM((IF(QualitéAlimentsBisonneauxMâles_0_3_mois=MAUVAISE,VLOOKUP("Lentille",AlimentsRationHivernaleBisonsMâles,8,FALSE),0)+(IF(QualitéAlimentsBisonneauxFemelles_0_3_mois=MAUVAISE,VLOOKUP("Lentille",AlimentsRationHivernaleBisonsFemelles,8,FALSE),0)+(IF(QualitéAlimentsBisonneauxMâles_3_6_mois=MAUVAISE,VLOOKUP("Lentille",AlimentsRationHivernaleBisonsMâles,7,FALSE),0)+(IF(QualitéAlimentsBisonneauxFemelles_3_6_mois=MAUVAISE,VLOOKUP("Lentille",AlimentsRationHivernaleBisonsFemelles,7,FALSE),0)+(IF(QualitéAlimentsBisonneauxMâles_6_12_mois=MAUVAISE,VLOOKUP("Lentille",AlimentsRationHivernaleBisonsMâles,6,FALSE),0)+(IF(QualitéAlimentsBisonneauxFemelles_6_12_mois=MAUVAISE,VLOOKUP("Lentille",AlimentsRationHivernaleBisonsFemelles,6,FALSE),0)+(IF(QualitéAlimentsJeunesBisons_12_18_mois=MAUVAISE,VLOOKUP("Lentille",AlimentsRationHivernaleBisonsMâles,5,FALSE),0)+(IF(QualitéAlimentsJeunesBisonnes_12_18_mois=MAUVAISE,VLOOKUP("Lentille",AlimentsRationHivernaleBisonsFemelles,5,FALSE),0)+(IF(QualitéAlimentsJeunesBisons_18_24_mois=MAUVAISE,VLOOKUP("Lentille",AlimentsRationHivernaleBisonsMâles,4,FALSE),0)+(IF(QualitéAlimentsJeunesBisonnes_18_24_mois=MAUVAISE,VLOOKUP("Lentille",AlimentsRationHivernaleBisonsFemelles,4,FALSE),0)+(IF(QualitéAlimentsJeunesBisons_24_36_mois=MAUVAISE,VLOOKUP("Lentille",AlimentsRationHivernaleBisonsMâles,3,FALSE),0)+(IF(QualitéAlimentsJeunesBisonnes_24_36_mois=MAUVAISE,VLOOKUP("Lentille",AlimentsRationHivernaleBisonsFemelles,3,FALSE),0)+(IF(QualitéAlimentsBisons=MAUVAISE,VLOOKUP("Lentille",AlimentsRationHivernaleBisonsMâles,2,FALSE),0)+(IF(QualitéAlimentsBisonnes=MAUVAISE,VLOOKUP("Lentille",AlimentsRationHivernaleBisonsFemelles,2,FALSE),0))))))))))))))))</f>
        <v>0</v>
      </c>
      <c r="BQ130" s="1346"/>
      <c r="BR130" s="1346"/>
      <c r="BS130" s="1346"/>
      <c r="BT130" s="1346"/>
      <c r="BU130" s="1346"/>
      <c r="BV130" s="1345"/>
      <c r="BW130" s="1345"/>
      <c r="BX130" s="1076" t="s">
        <v>1272</v>
      </c>
      <c r="BY130" s="1076">
        <f t="array" ref="BY130">IF(ChoixRationComplèteCaprins=OUI,0,IFERROR(IF(OR(AND(INDEX(Règles_caprins[Specificite],MATCH(ChoixRationCaprins&amp;$BX130,Règles_caprins[Ration]&amp;Règles_caprins[Aliment],0))="s1",IF($BX130=Spécificité1Caprins,1)),
INDEX(Règles_caprins[Specificite],MATCH(ChoixRationCaprins&amp;$BX130,Règles_caprins[Ration]&amp;Règles_caprins[Aliment],0))="c"),
INDEX(Règles_caprins[Valeur 12 et plus],MATCH(ChoixRationCaprins&amp;$BX130,Règles_caprins[Ration]&amp;Règles_caprins[Aliment],0)),0),0)*TotalBoucs*SUM(NbreJoursNourrirCaprins))</f>
        <v>0</v>
      </c>
      <c r="BZ130" s="1076">
        <f t="array" ref="BZ130">IF(ChoixRationComplèteCaprins=OUI,0,IFERROR(IF(OR(AND(INDEX(Règles_caprins[Specificite],MATCH(ChoixRationCaprins&amp;$BX130,Règles_caprins[Ration]&amp;Règles_caprins[Aliment],0))="s1",IF($BX130=Spécificité1Caprins,1)),
INDEX(Règles_caprins[Specificite],MATCH(ChoixRationCaprins&amp;$BX130,Règles_caprins[Ration]&amp;Règles_caprins[Aliment],0))="c"),
INDEX(Règles_caprins[Valeur 6-12],MATCH(ChoixRationCaprins&amp;$BX130,Règles_caprins[Ration]&amp;Règles_caprins[Aliment],0)),0),0)*jeune_bouc_6_12_mois*SUM(NbreJoursNourrirCaprins))</f>
        <v>0</v>
      </c>
      <c r="CA130" s="1076">
        <f t="array" ref="CA130">IF(ChoixRationComplèteCaprins=OUI,0,IFERROR(IF(OR(AND(INDEX(Règles_caprins[Specificite],MATCH(ChoixRationCaprins&amp;$BX130,Règles_caprins[Ration]&amp;Règles_caprins[Aliment],0))="s1",IF($BX130=Spécificité1Caprins,1)),
INDEX(Règles_caprins[Specificite],MATCH(ChoixRationCaprins&amp;$BX130,Règles_caprins[Ration]&amp;Règles_caprins[Aliment],0))="c"),
INDEX(Règles_caprins[Valeur 3-6],MATCH(ChoixRationCaprins&amp;$BX130,Règles_caprins[Ration]&amp;Règles_caprins[Aliment],0)),0),0)*chevreau_3_6_mois*SUM(NbreJoursNourrirCaprins))</f>
        <v>0</v>
      </c>
      <c r="CB130" s="1076">
        <f t="array" ref="CB130">IF(ChoixRationComplèteCaprins=OUI,0,IFERROR(IF(OR(AND(INDEX(Règles_caprins[Specificite],MATCH(ChoixRationCaprins&amp;$BX130,Règles_caprins[Ration]&amp;Règles_caprins[Aliment],0))="s1",IF($BX130=Spécificité1Caprins,1)),
INDEX(Règles_caprins[Specificite],MATCH(ChoixRationCaprins&amp;$BX130,Règles_caprins[Ration]&amp;Règles_caprins[Aliment],0))="c"),
INDEX(Règles_caprins[Valeur 0-3],MATCH(ChoixRationCaprins&amp;$BX130,Règles_caprins[Ration]&amp;Règles_caprins[Aliment],0)),0),0)*chevreau_0_3_mois*SUM(NbreJoursNourrirCaprins))</f>
        <v>0</v>
      </c>
      <c r="CC130" s="1076">
        <f t="shared" si="45"/>
        <v>0</v>
      </c>
      <c r="CD130" s="1345"/>
      <c r="CE130" s="1345"/>
      <c r="CF130" s="1345"/>
      <c r="CG130" s="1345"/>
      <c r="CH130" s="1321"/>
      <c r="CI130" s="1321"/>
      <c r="CJ130" s="808" t="s">
        <v>779</v>
      </c>
      <c r="CK130" s="803">
        <f>CK17*TotalVerrats*SUM(NbreJoursNourrirAutres)</f>
        <v>0</v>
      </c>
      <c r="CL130" s="1321"/>
      <c r="CM130" s="808" t="s">
        <v>779</v>
      </c>
      <c r="CN130" s="803">
        <f>CN17*TotalVerrats*SUM(Z76:Z100)</f>
        <v>0</v>
      </c>
      <c r="CO130" s="1321"/>
      <c r="CP130" s="1321"/>
      <c r="CQ130" s="1321"/>
      <c r="CR130" s="1321"/>
      <c r="CS130" s="808" t="str">
        <f t="shared" si="40"/>
        <v>Tourteau de tournesol</v>
      </c>
      <c r="CT130" s="817">
        <f t="array" ref="CT130">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30" s="817">
        <f t="array" ref="CU130">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30" s="817">
        <f t="array" ref="CV130">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30" s="818">
        <f>SUM(AlimentsRationLapinsFemelles[[#This Row],[Valeur 3 et plus]:[Valeur 0-1]])</f>
        <v>0</v>
      </c>
      <c r="CX130" s="1321"/>
      <c r="CY130" s="1321"/>
      <c r="CZ130" s="808" t="str">
        <f t="shared" si="41"/>
        <v>Tourteau de tournesol</v>
      </c>
      <c r="DA130" s="817">
        <f t="array" ref="DA130">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30" s="817">
        <f t="array" ref="DB130">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30" s="817">
        <f t="array" ref="DC130">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30" s="818">
        <f>SUM(AlimentsRationVolaillesFemelles[[#This Row],[Valeur 6 et plus]:[Valeur 0-1]])</f>
        <v>0</v>
      </c>
      <c r="DE130" s="1321"/>
      <c r="DF130" s="1321"/>
      <c r="DG130" s="1336" t="s">
        <v>1278</v>
      </c>
      <c r="DH130" s="1341"/>
      <c r="DI130" s="1341"/>
      <c r="DJ130" s="1341"/>
      <c r="DK130" s="1336"/>
      <c r="DL130" s="1321"/>
      <c r="DM130" s="1321"/>
      <c r="DN130" s="1176" t="s">
        <v>765</v>
      </c>
      <c r="DO130" s="1177" t="s">
        <v>728</v>
      </c>
      <c r="DP130" s="1177" t="s">
        <v>1252</v>
      </c>
      <c r="DQ130" s="1181">
        <v>6</v>
      </c>
      <c r="DR130" s="1181">
        <v>4</v>
      </c>
      <c r="DS130" s="1181">
        <v>2</v>
      </c>
      <c r="DT130" s="1243">
        <v>0</v>
      </c>
      <c r="DU130" s="1346"/>
      <c r="DV130" s="1321"/>
      <c r="DW130" s="1321"/>
      <c r="DX130" s="1321"/>
      <c r="DY130" s="1321"/>
      <c r="DZ130" s="1321"/>
      <c r="EA130" s="1321"/>
      <c r="EB130" s="1321"/>
      <c r="EC130" s="1321"/>
      <c r="ED130" s="1345"/>
      <c r="EE130" s="1345"/>
      <c r="EF130" s="1321"/>
      <c r="EG130" s="808">
        <f t="shared" si="31"/>
        <v>0</v>
      </c>
      <c r="EH130" s="817">
        <f t="array" ref="EH13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30" s="817">
        <f t="array" ref="EI13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30" s="817">
        <f t="array" ref="EJ130">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30" s="818">
        <f>SUM(AlimentsRationOiesFemelles[[#This Row],[Valeur 6 et plus]:[Valeur 0-3]])</f>
        <v>0</v>
      </c>
      <c r="EL130" s="1345"/>
      <c r="EM130" s="1321"/>
      <c r="EN130" s="823">
        <f t="shared" si="29"/>
        <v>0</v>
      </c>
      <c r="EO130" s="828">
        <f t="array" ref="EO13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30" s="828">
        <f t="array" ref="EP13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30" s="828">
        <f t="array" ref="EQ130">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30" s="829">
        <f>SUM(Ration_canards_Femelles[[#This Row],[Valeur 6 et plus]:[Valeur 0-3]])</f>
        <v>0</v>
      </c>
      <c r="ES130" s="1345"/>
      <c r="ET130" s="1321"/>
      <c r="EU130" s="1082" t="str">
        <f t="shared" si="44"/>
        <v>Sorgho ensilé</v>
      </c>
      <c r="EV130" s="1282">
        <f t="array" ref="EV130">IF(OR(ChoixRationComplèteEtéChevauxSelle=OUI,ChoixRationComplèteEtéChevauxSelle="",AND(ChoixChevauxSellePréHiver=OUI,ChoixChevauxSellePréEté=OUI)),0,IFERROR(IF(OR(AND(INDEX(Règles_chevaux_selle[Specificite],MATCH(RationEtéChevauxSelle&amp;$EU130,Règles_chevaux_selle[Ration]&amp;Règles_chevaux_selle[Aliment],0))="s1",IF($EU130=Spécificité1ChevauxSelle,1)),
AND(INDEX(Règles_chevaux_selle[Specificite],MATCH(RationEtéChevauxSelle&amp;$EU130,Règles_chevaux_selle[Ration]&amp;Règles_chevaux_selle[Aliment],0))="s2",IF($EU130=Spécificité2ChevauxSelle,1)),
INDEX(Règles_chevaux_selle[Specificite],MATCH(RationEtéChevauxSelle&amp;$EU130,Règles_chevaux_selle[Ration]&amp;Règles_chevaux_selle[Aliment],0))="c"),
INDEX(Règles_chevaux_selle[Valeur 36 et plus],MATCH(RationEtéChevauxSelle&amp;$EU130,Règles_chevaux_selle[Ration]&amp;Règles_chevaux_selle[Aliment],0)),0),0)*TotalJumentSelle*SUM(NbreJoursNourrirChevauxSelle))</f>
        <v>0</v>
      </c>
      <c r="EW130" s="1282">
        <f t="array" ref="EW130">IF(OR(ChoixRationComplèteEtéChevauxSelle=OUI,ChoixRationComplèteEtéChevauxSelle="",AND(ChoixChevauxSellePréHiver=OUI,ChoixChevauxSellePréEté=OUI)),0,IFERROR(IF(OR(AND(INDEX(Règles_chevaux_selle[Specificite],MATCH(RationEtéChevauxSelle&amp;$EU130,Règles_chevaux_selle[Ration]&amp;Règles_chevaux_selle[Aliment],0))="s1",IF($EU130=Spécificité1ChevauxSelle,1)),
AND(INDEX(Règles_chevaux_selle[Specificite],MATCH(RationEtéChevauxSelle&amp;$EU130,Règles_chevaux_selle[Ration]&amp;Règles_chevaux_selle[Aliment],0))="s2",IF($EU130=Spécificité2ChevauxSelle,1)),
INDEX(Règles_chevaux_selle[Specificite],MATCH(RationEtéChevauxSelle&amp;$EU130,Règles_chevaux_selle[Ration]&amp;Règles_chevaux_selle[Aliment],0))="c"),
INDEX(Règles_chevaux_selle[Valeur 24-36],MATCH(RationEtéChevauxSelle&amp;$EU130,Règles_chevaux_selle[Ration]&amp;Règles_chevaux_selle[Aliment],0)),0),0)*TotalJeuneJumentSelle_24_36_mois*SUM(NbreJoursNourrirChevauxSelle))</f>
        <v>0</v>
      </c>
      <c r="EX130" s="1282">
        <f t="array" ref="EX130">IF(OR(ChoixRationComplèteEtéChevauxSelle=OUI,ChoixRationComplèteEtéChevauxSelle="",AND(ChoixChevauxSellePréHiver=OUI,ChoixChevauxSellePréEté=OUI)),0,IFERROR(IF(OR(AND(INDEX(Règles_chevaux_selle[Specificite],MATCH(RationEtéChevauxSelle&amp;$EU130,Règles_chevaux_selle[Ration]&amp;Règles_chevaux_selle[Aliment],0))="s1",IF($EU130=Spécificité1ChevauxSelle,1)),
AND(INDEX(Règles_chevaux_selle[Specificite],MATCH(RationEtéChevauxSelle&amp;$EU130,Règles_chevaux_selle[Ration]&amp;Règles_chevaux_selle[Aliment],0))="s2",IF($EU130=Spécificité2ChevauxSelle,1)),
INDEX(Règles_chevaux_selle[Specificite],MATCH(RationEtéChevauxSelle&amp;$EU130,Règles_chevaux_selle[Ration]&amp;Règles_chevaux_selle[Aliment],0))="c"),
INDEX(Règles_chevaux_selle[Valeur 12-24],MATCH(RationEtéChevauxSelle&amp;$EU130,Règles_chevaux_selle[Ration]&amp;Règles_chevaux_selle[Aliment],0)),0),0)*TotalJeuneJumentSelle_12_24_mois*SUM(NbreJoursNourrirChevauxSelle))</f>
        <v>0</v>
      </c>
      <c r="EY130" s="1285">
        <f t="array" ref="EY130">IF(OR(ChoixRationComplèteEtéChevauxSelle=OUI,ChoixRationComplèteEtéChevauxSelle="",AND(ChoixChevauxSellePréHiver=OUI,ChoixChevauxSellePréEté=OUI)),0,IFERROR(IF(OR(AND(INDEX(Règles_chevaux_selle[Specificite],MATCH(RationEtéChevauxSelle&amp;$EU130,Règles_chevaux_selle[Ration]&amp;Règles_chevaux_selle[Aliment],0))="s1",IF($EU130=Spécificité1ChevauxSelle,1)),
AND(INDEX(Règles_chevaux_selle[Specificite],MATCH(RationEtéChevauxSelle&amp;$EU130,Règles_chevaux_selle[Ration]&amp;Règles_chevaux_selle[Aliment],0))="s2",IF($EU130=Spécificité2ChevauxSelle,1)),
INDEX(Règles_chevaux_selle[Specificite],MATCH(RationEtéChevauxSelle&amp;$EU130,Règles_chevaux_selle[Ration]&amp;Règles_chevaux_selle[Aliment],0))="c"),
INDEX(Règles_chevaux_selle[Valeur 0-12],MATCH(RationEtéChevauxSelle&amp;$EU130,Règles_chevaux_selle[Ration]&amp;Règles_chevaux_selle[Aliment],0)),0),0)*TotalPoulicheSelle_0_12_mois*SUM(NbreJoursNourrirChevauxSelle))</f>
        <v>0</v>
      </c>
      <c r="EZ130" s="1285">
        <f t="shared" si="43"/>
        <v>0</v>
      </c>
      <c r="FA130" s="1345"/>
      <c r="FB130" s="1345"/>
      <c r="FC130" s="1321"/>
      <c r="FD130" s="1082">
        <f t="shared" si="34"/>
        <v>0</v>
      </c>
      <c r="FE130" s="1282">
        <f t="array" ref="FE130">IF(OR(ChoixRationComplèteEtéChevauxTrait=OUI,ChoixRationComplèteEtéChevauxTrait="",AND(ChoixChevauxTraitPréHiver=OUI,ChoixChevauxTraitPréEté=OUI)),0,IFERROR(IF(OR(AND(INDEX(Règles_chevaux_trait[Specificite],MATCH(RationEtéChevauxTrait&amp;$FD130,Règles_chevaux_trait[Ration]&amp;Règles_chevaux_trait[Aliment],0))="s1",IF($FD130=Spécificité1ChevauxTrait,1)),
AND(INDEX(Règles_chevaux_trait[Specificite],MATCH(RationEtéChevauxTrait&amp;$FD130,Règles_chevaux_trait[Ration]&amp;Règles_chevaux_trait[Aliment],0))="s2",IF($FD130=Spécificité2ChevauxTrait,1)),
INDEX(Règles_chevaux_trait[Specificite],MATCH(RationEtéChevauxTrait&amp;$FD130,Règles_chevaux_trait[Ration]&amp;Règles_chevaux_trait[Aliment],0))="c"),
INDEX(Règles_chevaux_trait[Valeur 36 et plus],MATCH(RationEtéChevauxTrait&amp;$FD130,Règles_chevaux_trait[Ration]&amp;Règles_chevaux_trait[Aliment],0)),0),0)*TotalJumentTrait*SUM(NbreJoursNourrirChevauxTrait))</f>
        <v>0</v>
      </c>
      <c r="FF130" s="1282">
        <f t="array" ref="FF130">IF(OR(ChoixRationComplèteEtéChevauxTrait=OUI,ChoixRationComplèteEtéChevauxTrait="",AND(ChoixChevauxTraitPréHiver=OUI,ChoixChevauxTraitPréEté=OUI)),0,IFERROR(IF(OR(AND(INDEX(Règles_chevaux_trait[Specificite],MATCH(RationEtéChevauxTrait&amp;$FD130,Règles_chevaux_trait[Ration]&amp;Règles_chevaux_trait[Aliment],0))="s1",IF($FD130=Spécificité1ChevauxTrait,1)),
AND(INDEX(Règles_chevaux_trait[Specificite],MATCH(RationEtéChevauxTrait&amp;$FD130,Règles_chevaux_trait[Ration]&amp;Règles_chevaux_trait[Aliment],0))="s2",IF($FD130=Spécificité2ChevauxTrait,1)),
INDEX(Règles_chevaux_trait[Specificite],MATCH(RationEtéChevauxTrait&amp;$FD130,Règles_chevaux_trait[Ration]&amp;Règles_chevaux_trait[Aliment],0))="c"),
INDEX(Règles_chevaux_trait[Valeur 24-36],MATCH(RationEtéChevauxTrait&amp;$FD130,Règles_chevaux_trait[Ration]&amp;Règles_chevaux_trait[Aliment],0)),0),0)*TotalJeuneJumentTrait_24_36_mois*SUM(NbreJoursNourrirChevauxTrait))</f>
        <v>0</v>
      </c>
      <c r="FG130" s="1282">
        <f t="array" ref="FG130">IF(OR(ChoixRationComplèteEtéChevauxTrait=OUI,ChoixRationComplèteEtéChevauxTrait="",AND(ChoixChevauxTraitPréHiver=OUI,ChoixChevauxTraitPréEté=OUI)),0,IFERROR(IF(OR(AND(INDEX(Règles_chevaux_trait[Specificite],MATCH(RationEtéChevauxTrait&amp;$FD130,Règles_chevaux_trait[Ration]&amp;Règles_chevaux_trait[Aliment],0))="s1",IF($FD130=Spécificité1ChevauxTrait,1)),
AND(INDEX(Règles_chevaux_trait[Specificite],MATCH(RationEtéChevauxTrait&amp;$FD130,Règles_chevaux_trait[Ration]&amp;Règles_chevaux_trait[Aliment],0))="s2",IF($FD130=Spécificité2ChevauxTrait,1)),
INDEX(Règles_chevaux_trait[Specificite],MATCH(RationEtéChevauxTrait&amp;$FD130,Règles_chevaux_trait[Ration]&amp;Règles_chevaux_trait[Aliment],0))="c"),
INDEX(Règles_chevaux_trait[Valeur 12-24],MATCH(RationEtéChevauxTrait&amp;$FD130,Règles_chevaux_trait[Ration]&amp;Règles_chevaux_trait[Aliment],0)),0),0)*TotalJeuneJumentTrait_12_24_mois*SUM(NbreJoursNourrirChevauxTrait))</f>
        <v>0</v>
      </c>
      <c r="FH130" s="1285">
        <f t="array" ref="FH130">IF(OR(ChoixRationComplèteEtéChevauxTrait=OUI,ChoixRationComplèteEtéChevauxTrait="",AND(ChoixChevauxTraitPréHiver=OUI,ChoixChevauxTraitPréEté=OUI)),0,IFERROR(IF(OR(AND(INDEX(Règles_chevaux_trait[Specificite],MATCH(RationEtéChevauxTrait&amp;$FD130,Règles_chevaux_trait[Ration]&amp;Règles_chevaux_trait[Aliment],0))="s1",IF($FD130=Spécificité1ChevauxTrait,1)),
AND(INDEX(Règles_chevaux_trait[Specificite],MATCH(RationEtéChevauxTrait&amp;$FD130,Règles_chevaux_trait[Ration]&amp;Règles_chevaux_trait[Aliment],0))="s2",IF($FD130=Spécificité2ChevauxTrait,1)),
INDEX(Règles_chevaux_trait[Specificite],MATCH(RationEtéChevauxTrait&amp;$FD130,Règles_chevaux_trait[Ration]&amp;Règles_chevaux_trait[Aliment],0))="c"),
INDEX(Règles_chevaux_trait[Valeur 0-12],MATCH(RationEtéChevauxTrait&amp;$FD130,Règles_chevaux_trait[Ration]&amp;Règles_chevaux_trait[Aliment],0)),0),0)*TotalPoulicheTrait_0_12_mois*SUM(NbreJoursNourrirChevauxTrait))</f>
        <v>0</v>
      </c>
      <c r="FI130" s="1285">
        <f t="shared" si="32"/>
        <v>0</v>
      </c>
      <c r="FJ130" s="1345"/>
      <c r="FK130" s="1345"/>
      <c r="FL130" s="1345"/>
      <c r="FM130" s="1321"/>
      <c r="FN130" s="1083">
        <f t="shared" si="33"/>
        <v>0</v>
      </c>
      <c r="FO130" s="1283">
        <f t="array" ref="FO130">IF(OR(ChoixRationComplèteEtéPoneys=OUI,ChoixRationComplèteEtéPoneys="",AND(ChoixPoneysPréHiver=OUI,ChoixPoneysPréEté=OUI)),0,IFERROR(IF(OR(AND(INDEX(Règles_poneys[Specificite],MATCH(RationEtéPoneys&amp;$FN130,Règles_poneys[Ration]&amp;Règles_poneys[Aliment],0))="s1",IF($FN130=Spécificité1Poneys,1)),
AND(INDEX(Règles_poneys[Specificite],MATCH(RationEtéPoneys&amp;$FN130,Règles_poneys[Ration]&amp;Règles_poneys[Aliment],0))="s2",IF($FN130=Spécificité2Poneys,1)),
INDEX(Règles_poneys[Specificite],MATCH(RationEtéPoneys&amp;$FN130,Règles_poneys[Ration]&amp;Règles_poneys[Aliment],0))="c"),
INDEX(Règles_poneys[Valeur 36 et plus],MATCH(RationEtéPoneys&amp;$FN130,Règles_poneys[Ration]&amp;Règles_poneys[Aliment],0)),0),0)*TotalJumentPoney*SUM(NbreJoursNourrirPoneys))</f>
        <v>0</v>
      </c>
      <c r="FP130" s="1283">
        <f t="array" ref="FP130">IF(OR(ChoixRationComplèteEtéPoneys=OUI,ChoixRationComplèteEtéPoneys="",AND(ChoixPoneysPréHiver=OUI,ChoixPoneysPréEté=OUI)),0,IFERROR(IF(OR(AND(INDEX(Règles_poneys[Specificite],MATCH(RationEtéPoneys&amp;$FN130,Règles_poneys[Ration]&amp;Règles_poneys[Aliment],0))="s1",IF($FN130=Spécificité1Poneys,1)),
AND(INDEX(Règles_poneys[Specificite],MATCH(RationEtéPoneys&amp;$FN130,Règles_poneys[Ration]&amp;Règles_poneys[Aliment],0))="s2",IF($FN130=Spécificité2Poneys,1)),
INDEX(Règles_poneys[Specificite],MATCH(RationEtéPoneys&amp;$FN130,Règles_poneys[Ration]&amp;Règles_poneys[Aliment],0))="c"),
INDEX(Règles_poneys[Valeur 36 et plus],MATCH(RationEtéPoneys&amp;$FN130,Règles_poneys[Ration]&amp;Règles_poneys[Aliment],0)),0),0)*TotalJeuneJumentPoney_24_36_mois*SUM(NbreJoursNourrirPoneys))</f>
        <v>0</v>
      </c>
      <c r="FQ130" s="1283">
        <f t="array" ref="FQ130">IF(OR(ChoixRationComplèteEtéPoneys=OUI,ChoixRationComplèteEtéPoneys="",AND(ChoixPoneysPréHiver=OUI,ChoixPoneysPréEté=OUI)),0,IFERROR(IF(OR(AND(INDEX(Règles_poneys[Specificite],MATCH(RationEtéPoneys&amp;$FN130,Règles_poneys[Ration]&amp;Règles_poneys[Aliment],0))="s1",IF($FN130=Spécificité1Poneys,1)),
AND(INDEX(Règles_poneys[Specificite],MATCH(RationEtéPoneys&amp;$FN130,Règles_poneys[Ration]&amp;Règles_poneys[Aliment],0))="s2",IF($FN130=Spécificité2Poneys,1)),
INDEX(Règles_poneys[Specificite],MATCH(RationEtéPoneys&amp;$FN130,Règles_poneys[Ration]&amp;Règles_poneys[Aliment],0))="c"),
INDEX(Règles_poneys[Valeur 36 et plus],MATCH(RationEtéPoneys&amp;$FN130,Règles_poneys[Ration]&amp;Règles_poneys[Aliment],0)),0),0)*TotalJeuneJumentPoney_12_24_mois*SUM(NbreJoursNourrirPoneys))</f>
        <v>0</v>
      </c>
      <c r="FR130" s="1286">
        <f t="array" ref="FR130">IF(OR(ChoixRationComplèteEtéPoneys=OUI,ChoixRationComplèteEtéPoneys="",AND(ChoixPoneysPréHiver=OUI,ChoixPoneysPréEté=OUI)),0,IFERROR(IF(OR(AND(INDEX(Règles_poneys[Specificite],MATCH(RationEtéPoneys&amp;$FN130,Règles_poneys[Ration]&amp;Règles_poneys[Aliment],0))="s1",IF($FN130=Spécificité1Poneys,1)),
AND(INDEX(Règles_poneys[Specificite],MATCH(RationEtéPoneys&amp;$FN130,Règles_poneys[Ration]&amp;Règles_poneys[Aliment],0))="s2",IF($FN130=Spécificité2Poneys,1)),
INDEX(Règles_poneys[Specificite],MATCH(RationEtéPoneys&amp;$FN130,Règles_poneys[Ration]&amp;Règles_poneys[Aliment],0))="c"),
INDEX(Règles_poneys[Valeur 36 et plus],MATCH(RationEtéPoneys&amp;$FN130,Règles_poneys[Ration]&amp;Règles_poneys[Aliment],0)),0),0)*TotalPoulichePoney_0_12_mois*SUM(NbreJoursNourrirPoneys))</f>
        <v>0</v>
      </c>
      <c r="FS130" s="1286">
        <f t="shared" si="30"/>
        <v>0</v>
      </c>
      <c r="FT130" s="1345"/>
      <c r="FU130" s="1345"/>
      <c r="FV130" s="1345"/>
      <c r="FW130" s="1336" t="s">
        <v>1310</v>
      </c>
      <c r="FX130" s="1341"/>
      <c r="FY130" s="1341"/>
      <c r="FZ130" s="1341"/>
      <c r="GA130" s="1336"/>
      <c r="GB130" s="1336"/>
      <c r="GC130" s="1321"/>
      <c r="GD130" s="1321"/>
      <c r="GE130" s="1321"/>
      <c r="GF130" s="1321"/>
      <c r="GG130" s="1321" t="s">
        <v>1349</v>
      </c>
      <c r="GH130" s="1321" t="s">
        <v>1349</v>
      </c>
      <c r="GI130" s="1321" t="s">
        <v>1349</v>
      </c>
      <c r="GJ130" s="1321" t="s">
        <v>1349</v>
      </c>
      <c r="GK130" s="1321" t="s">
        <v>1349</v>
      </c>
      <c r="GL130" s="1321" t="s">
        <v>1349</v>
      </c>
      <c r="GM130" s="1321" t="s">
        <v>1349</v>
      </c>
      <c r="GN130" s="1321" t="s">
        <v>1349</v>
      </c>
      <c r="GO130" s="1321" t="s">
        <v>1349</v>
      </c>
      <c r="GP130" s="1321" t="s">
        <v>1349</v>
      </c>
      <c r="GQ130" s="1321" t="s">
        <v>1349</v>
      </c>
      <c r="GR130" s="1321" t="s">
        <v>1349</v>
      </c>
      <c r="GS130" s="1321" t="s">
        <v>1349</v>
      </c>
      <c r="GT130" s="1321" t="s">
        <v>1349</v>
      </c>
      <c r="GU130" s="1321" t="s">
        <v>1349</v>
      </c>
      <c r="GV130" s="1321" t="s">
        <v>1349</v>
      </c>
      <c r="GW130" s="1321"/>
      <c r="GX130" s="1321"/>
      <c r="GY130" s="1321"/>
      <c r="GZ130" s="1321"/>
      <c r="HA130" s="1321"/>
      <c r="HB130" s="1321"/>
      <c r="HC130" s="1321"/>
      <c r="HD130" s="1321"/>
      <c r="HE130" s="1321"/>
      <c r="HF130" s="1321"/>
      <c r="HG130" s="1321"/>
      <c r="HH130" s="1321"/>
      <c r="HI130" s="1321"/>
      <c r="HJ130" s="1321"/>
      <c r="HK130" s="1321"/>
      <c r="HL130" s="1321"/>
      <c r="HM130" s="1321"/>
      <c r="HN130" s="1321"/>
      <c r="HO130" s="1321"/>
      <c r="HP130" s="1321"/>
      <c r="HQ130" s="1321"/>
      <c r="HR130" s="1321"/>
      <c r="HS130" s="1321"/>
      <c r="HT130" s="1321"/>
      <c r="HU130" s="1321"/>
      <c r="HV130" s="1321"/>
      <c r="HW130" s="1321"/>
      <c r="HX130" s="1321"/>
      <c r="HY130" s="1321"/>
      <c r="HZ130" s="1321"/>
      <c r="IA130" s="1321"/>
      <c r="IB130" s="1321"/>
      <c r="IC130" s="1321"/>
      <c r="ID130" s="1321"/>
      <c r="IE130" s="1321"/>
      <c r="IF130" s="1321"/>
      <c r="IG130" s="1321"/>
      <c r="IH130" s="1321"/>
      <c r="II130" s="1321"/>
      <c r="IJ130" s="1321"/>
      <c r="IK130" s="1321"/>
      <c r="IL130" s="1321"/>
      <c r="IM130" s="1321"/>
      <c r="IN130" s="1368"/>
    </row>
    <row r="131" spans="1:248" ht="12.75" customHeight="1" x14ac:dyDescent="0.2">
      <c r="A131" s="1307" t="s">
        <v>346</v>
      </c>
      <c r="B131" s="1209">
        <v>0.88336999999999999</v>
      </c>
      <c r="C131" s="1321"/>
      <c r="D131" s="1321"/>
      <c r="E131" s="1321"/>
      <c r="F131" s="1149" t="s">
        <v>866</v>
      </c>
      <c r="G131" s="1149">
        <v>0.21</v>
      </c>
      <c r="H131" s="1321"/>
      <c r="I131" s="1075" t="s">
        <v>1047</v>
      </c>
      <c r="J131" s="1080">
        <f>IF(gains!F$4=BDD!O$127,10,IF(gains!F$4=BDD!P$127,20,IF(gains!F$4=BDD!Q$127,30,0)))</f>
        <v>10</v>
      </c>
      <c r="K131" s="1080">
        <f>IF(gains!$G$7=K$127,1,0)</f>
        <v>0</v>
      </c>
      <c r="L131" s="1080">
        <f>IF(gains!$G$7=L$127,2,0)</f>
        <v>0</v>
      </c>
      <c r="M131" s="1080">
        <f>IF(gains!$G$7=M$127,3,0)</f>
        <v>0</v>
      </c>
      <c r="N131" s="1080">
        <f>IF(gains!$G$7=N$127,4,0)</f>
        <v>4</v>
      </c>
      <c r="O131" s="1080">
        <f>IF(AND(J131=10,SUM(K131:N131)=1),gains!$F$38,IF(AND(J131=10,SUM(K131:N131)=2),gains!$F$38*2,IF(AND(J131=10,SUM(K131:N131)=3),gains!$F$38*3,IF(AND(J131=10,SUM(K131:N131)=4),gains!$F$38*4,0))))</f>
        <v>56000</v>
      </c>
      <c r="P131" s="1080">
        <f>IF(AND(J131=20,SUM(K131:N131)=1),gains!$F$38*7,IF(AND(J131=20,SUM(K131:N131)=2),gains!$F$38*7*2,IF(AND(J131=20,SUM(K131:N131)=3),gains!$F$38*7*3,IF(AND(J131=20,SUM(K131:N131)=4),gains!$F$38*7*4,0))))</f>
        <v>0</v>
      </c>
      <c r="Q131" s="1080">
        <f>IF(AND(J131=30,SUM(K131:N131)=1),gains!$F$38*7*12,IF(AND(J131=30,SUM(K131:N131)=2),gains!$F$38*7*12*2,IF(AND(J131=30,SUM(K131:N131)=3),gains!$F$38*7*12*3,IF(AND(J131=30,SUM(K131:N131)=4),gains!$F$38*7*12*4,0))))</f>
        <v>0</v>
      </c>
      <c r="R131" s="1080">
        <f>(SUM(BH194+BH236)/1000*PrixAvoine+(BH195+BH237)/1000*PrixBetterave+(BH196+BH238)/1000*PrixBlé+(BH197+BH239)/1000*PrixBouchonsLuzerne+(BH199+BH241)/1000*PrixCanola+(BH200+BH242)/1000*PrixColza+(BH201+BH243)*1.07+(BH202+BH244)*1.12+(BH203+BH245)*1.13+(BH204+BH246)/1000*PrixEnsilageHerbe+(BH205+BH247)*IF(PrixEau="",0,PrixEau)+(BH207+BH249)/1000*PrixFeverole+(BH208+BH250)/1000*PrixFoin+(BH211+BH253)/1000*PrixMaïsEnsilé+(BH212+BH254)/1000*PrixMaïsGrain+(BH213+BH255)*1.38+(BH214+BH256)/1000*PrixOrge+(BH215+BH257)/1000*PrixPaille+(BH216+BH258)/1000*PrixPois+(BH219+BH261)*PrixRationBovins+(BH220+BH262)/1000*PrixSeigle+(BH221+BH263)/1000*PrixSoja+(BH222+BH264)/1000*PrixSorghoEnsilé+(BH223+BH265)/1000*PrixTournesol+(BH224+BH266)/1000*PrixTourteauColza+(BH225+BH267)/1000*PrixTourteauTournesol+(BH226+BH268)/1000*PrixTriticale)</f>
        <v>0</v>
      </c>
      <c r="S131" s="1080">
        <f>(SUM(CA106+CA144)/1000*PrixAvoine+(CA107+CA145)/1000*PrixBetterave+(CA108+CA146)/1000*PrixBlé+(CA109+CA147)/1000*PrixBouchonsLuzerne+(CA111+CA149)/1000*PrixCanola+(CA112+CA150)/1000*PrixColza+(CA113+CA151)*1.07+(CA114+CA152)*1.12+(CA115+CA153)*1.13+(CA116+CA154)/1000*PrixEnsilageHerbe+(CA117+CA155)*IF(PrixEau="",0,PrixEau)+(CA119+CA157)/1000*PrixFeverole+(CA120+CA158)/1000*PrixFoin+(CA123+CA161)/1000*PrixMaïsEnsilé+(CA124+CA162)/1000*PrixMaïsGrain+(CA125+CA163)*1.38+(CA126+CA164)/1000*PrixOrge+(CA127+CA165)/1000*PrixPaille+(CA128+CA166)/1000*PrixPois+SUM((Ration_complète_caprins[[Valeur 3-6 (M)]:[Valeur 3-6 (F)]]))/1000*PrixRationCaprins+(CA132+CA170)/1000*PrixSeigle+(CA133+CA171)/1000*PrixSoja+(CA134+CA172)/1000*PrixSorghoEnsilé+(CA135+CA173)/1000*PrixTournesol+(CA136+CA174)/1000*PrixTourteauColza+(CA137+CA175)/1000*PrixTourteauTournesol+(CA138+CA176)/1000*PrixTriticale)</f>
        <v>0</v>
      </c>
      <c r="T131" s="1080">
        <f>(SUM(CU57+CU99)/1000*PrixAvoine+(CU58+CU100)/1000*PrixBetterave+(CU59+CU101)/1000*PrixBlé+(CU60+CU102)/1000*PrixBouchonsLuzerne+(CU62+CU104)/1000*PrixCanola+(CU63+CU105)/1000*PrixColza+(CU64+CU106)*1.07+(CU65+CU107)*1.12+(CU66+CU108)*1.13+(CU67+CU109)/1000*PrixEnsilageHerbe+(CU68+CU110)*IF(PrixEau="",0,PrixEau)+(CU70+CU112)/1000*PrixFeverole+(CU71+CU113)/1000*PrixFoin+(CU74+CU116)/1000*PrixMaïsEnsilé+(CU75+CU117)/1000*PrixMaïsGrain+(CU76+CU118)*1.38+(CU77+CU119)/1000*PrixOrge+(CU78+CU120)/1000*PrixPaille+(CU79+CU121)/1000*PrixPois+(CU82+CU124)*PrixRationLapins+(CU83+CU125)/1000*PrixSeigle+(CU84+CU126)/1000*PrixSoja+(CU85+CU127)/1000*PrixSorghoEnsilé+(CU86+CU128)/1000*PrixTournesol+(CU87+CU129)/1000*PrixTourteauColza+(CU88+AlimentsRationLapinsFemelles[[#This Row],[Valeur 0-1]])/1000*PrixTourteauTournesol+(CU89+CU131)/1000*PrixTriticale)</f>
        <v>0</v>
      </c>
      <c r="U131" s="1080">
        <f>(SUM(DB57+DB99)/1000*PrixAvoine+(DB58+DB100)/1000*PrixBetterave+(DB59+DB101)/1000*PrixBlé+(DB60+DB102)/1000*PrixBouchonsLuzerne+(DB62+DB104)/1000*PrixCanola+(DB63+DB105)/1000*PrixColza+(DB64+DB106)*1.07+(DB65+DB107)*1.12+(DB66+DB108)*1.13+(DB67+DB109)/1000*PrixEnsilageHerbe+(DB68+DB110)*IF(PrixEau="",0,PrixEau)+(DB70+DB112)/1000*PrixFeverole+(DB71+DB113)/1000*PrixFoin+(DB74+DB116)/1000*PrixMaïsEnsilé+(DB75+DB117)/1000*PrixMaïsGrain+(DB76+DB118)*1.38+(DB77+DB119)/1000*PrixOrge+(DB78+DB120)/1000*PrixPaille+(DB79+DB121)/1000*PrixPois+(DB82+DB124)*PrixRationVolailles+(DB83+DB125)/1000*PrixSeigle+(DB84+DB126)/1000*PrixSoja+(DB85+DB127)/1000*PrixSorghoEnsilé+(DB86+DB128)/1000*PrixTournesol+(DB87+DB129)/1000*PrixTourteauColza+(DB88+AlimentsRationVolaillesFemelles[[#This Row],[Valeur 0-1]])/1000*PrixTourteauTournesol+(DB89+DB131)/1000*PrixTriticale)</f>
        <v>0</v>
      </c>
      <c r="V131" s="1080">
        <f>(SUM(DQ150+DQ192)/1000*PrixAvoine+(DQ151+DQ193)/1000*PrixBetterave+(DQ152+DQ194)/1000*PrixBlé+(DQ153+DQ195)/1000*PrixBouchonsLuzerne+(DQ155+DQ197)/1000*PrixCanola+(DQ156+DQ198)/1000*PrixColza+(DQ157+DQ199)*1.07+(DQ158+DQ200)*1.12+(DQ159+DQ201)*1.13+(DQ160+DQ202)/1000*PrixEnsilageHerbe+(DQ161+DQ203)*IF(PrixEau="",0,PrixEau)+(DQ163+DQ205)/1000*PrixFeverole+(DQ164+DQ206)/1000*PrixFoin+(DQ167+DQ209)/1000*PrixMaïsEnsilé+(DQ168+DQ210)/1000*PrixMaïsGrain+(DQ169+DQ211)*1.38+(DQ170+DQ212)/1000*PrixOrge+(DQ171+DQ213)/1000*PrixPaille+(DQ172+DQ214)/1000*PrixPois+(DQ175+DQ217)*PrixRationOvins+(DQ176+DQ218)/1000*PrixSeigle+(DQ177+DQ219)/1000*PrixSoja+(DQ178+DQ220)/1000*PrixSorghoEnsilé+(DQ179+DQ221)/1000*PrixTournesol+(DQ180+DQ222)/1000*PrixTourteauColza+(DQ181+DQ223)/1000*PrixTourteauTournesol+(DQ182+DQ224)/1000*PrixTriticale)</f>
        <v>0</v>
      </c>
      <c r="W131" s="1080">
        <f>(SUM(EI53+EI95)/1000*PrixAvoine+(EI54+EI96)/1000*PrixBetterave+(EI55+EI97)/1000*PrixBlé+(EI56+EI98)/1000*PrixBouchonsLuzerne+(EI58+EI100)/1000*PrixCanola+(EI59+EI101)/1000*PrixColza+(EI60+EI102)*1.07+(EI61+EI103)*1.12+(EI62+EI104)*1.13+(EI63+EI105)/1000*PrixEnsilageHerbe+(EI64+EI106)*IF(PrixEau="",0,PrixEau)+(EI66+EI108)/1000*PrixFeverole+(EI67+EI109)/1000*PrixFoin+(EI70+EI112)/1000*PrixMaïsEnsilé+(EI71+EI113)/1000*PrixMaïsGrain+(EI72+EI114)*1.38+(EI73+EI115)/1000*PrixOrge+(EI74+EI116)/1000*PrixPaille+(EI75+EI117)/1000*PrixPois+(EI78+EI120)*PrixRationOies+(EI79+EI121)/1000*PrixSeigle+(EI80+EI122)/1000*PrixSoja+(EI81+EI123)/1000*PrixSorghoEnsilé+(EI82+EI124)/1000*PrixTournesol+(EI83+EI125)/1000*PrixTourteauColza+(EI84+EI126)/1000*PrixTourteauTournesol+(EI85+EI127)/1000*PrixTriticale)</f>
        <v>0</v>
      </c>
      <c r="X131" s="1080">
        <f>(SUM(EP52+EP94)/1000*PrixAvoine+(EP53+EP95)/1000*PrixBetterave+(EP54+EP96)/1000*PrixBlé+(EP55+EP97)/1000*PrixBouchonsLuzerne+(EP57+EP99)/1000*PrixCanola+(EP58+EP100)/1000*PrixColza+(EP59+EP101)*1.07+(EP60+EP102)*1.12+(EP61+EP103)*1.13+(EP62+EP104)/1000*PrixEnsilageHerbe+(EP63+EP105)*IF(PrixEau="",0,PrixEau)+(EP65+EP107)/1000*PrixFeverole+(EP66+EP108)/1000*PrixFoin+(EP69+EP111)/1000*PrixMaïsEnsilé+(EP70+EP112)/1000*PrixMaïsGrain+(EP71+EP113)*1.38+(EP72+EP114)/1000*PrixOrge+(EP73+EP115)/1000*PrixPaille+(EP74+EP116)/1000*PrixPois+(EP77+EP119)*PrixRationCanards+(EP78+EP120)/1000*PrixSeigle+(EP79+EP121)/1000*PrixSoja+(EP80+EP122)/1000*PrixSorghoEnsilé+(EP81+EP123)/1000*PrixTournesol+(EP82+EP124)/1000*PrixTourteauColza+(EP83+EP125)/1000*PrixTourteauTournesol+(EP84+EP126)/1000*PrixTriticale)</f>
        <v>0</v>
      </c>
      <c r="Y131" s="1321"/>
      <c r="Z131" s="1321"/>
      <c r="AA131" s="1321"/>
      <c r="AB131" s="1321"/>
      <c r="AC131" s="1321"/>
      <c r="AD131" s="1321"/>
      <c r="AE131" s="1321"/>
      <c r="AF131" s="1321"/>
      <c r="AG131" s="1321"/>
      <c r="AH131" s="1321"/>
      <c r="AI131" s="1321"/>
      <c r="AJ131" s="1321"/>
      <c r="AK131" s="1321"/>
      <c r="AL131" s="1321"/>
      <c r="AM131" s="1321"/>
      <c r="AN131" s="1321"/>
      <c r="AO131" s="1321"/>
      <c r="AP131" s="1321"/>
      <c r="AQ131" s="1321"/>
      <c r="AR131" s="1321"/>
      <c r="AS131" s="1321"/>
      <c r="AT131" s="1321"/>
      <c r="AU131" s="1321"/>
      <c r="AV131" s="1321"/>
      <c r="AW131" s="1321"/>
      <c r="AX131" s="1321"/>
      <c r="AY131" s="1321"/>
      <c r="AZ131" s="1321"/>
      <c r="BA131" s="1321"/>
      <c r="BB131" s="1236" t="s">
        <v>731</v>
      </c>
      <c r="BC131" s="1190" t="s">
        <v>1718</v>
      </c>
      <c r="BD131" s="1190" t="s">
        <v>1252</v>
      </c>
      <c r="BE131" s="1237">
        <v>0</v>
      </c>
      <c r="BF131" s="1237">
        <v>0</v>
      </c>
      <c r="BG131" s="1237">
        <v>0</v>
      </c>
      <c r="BH131" s="1237">
        <v>0</v>
      </c>
      <c r="BI131" s="1237">
        <v>0</v>
      </c>
      <c r="BJ131" s="1237">
        <v>0</v>
      </c>
      <c r="BK131" s="1238">
        <v>8</v>
      </c>
      <c r="BL131" s="1348"/>
      <c r="BM131" s="1075" t="str">
        <f t="shared" si="47"/>
        <v>Maïs ensilé</v>
      </c>
      <c r="BN131" s="1269">
        <f t="array" ref="BN131">SUM((IF(QualitéAlimentsBisonneauxMâles_0_3_mois=BONNE,VLOOKUP("Maïs ensilé",AlimentsRationHivernaleBisonsMâles,8,FALSE),0)+(IF(QualitéAlimentsBisonneauxFemelles_0_3_mois=BONNE,VLOOKUP("Maïs ensilé",AlimentsRationHivernaleBisonsFemelles,8,FALSE),0)+(IF(QualitéAlimentsBisonneauxMâles_3_6_mois=BONNE,VLOOKUP("Maïs ensilé",AlimentsRationHivernaleBisonsMâles,7,FALSE),0)+(IF(QualitéAlimentsBisonneauxFemelles_3_6_mois=BONNE,VLOOKUP("Maïs ensilé",AlimentsRationHivernaleBisonsFemelles,7,FALSE),0)+(IF(QualitéAlimentsBisonneauxMâles_6_12_mois=BONNE,VLOOKUP("Maïs ensilé",AlimentsRationHivernaleBisonsMâles,6,FALSE),0)+(IF(QualitéAlimentsBisonneauxFemelles_6_12_mois=BONNE,VLOOKUP("Maïs ensilé",AlimentsRationHivernaleBisonsFemelles,6,FALSE),0)+(IF(QualitéAlimentsJeunesBisons_12_18_mois=BONNE,VLOOKUP("Maïs ensilé",AlimentsRationHivernaleBisonsMâles,5,FALSE),0)+(IF(QualitéAlimentsJeunesBisonnes_12_18_mois=BONNE,VLOOKUP("Maïs ensilé",AlimentsRationHivernaleBisonsFemelles,5,FALSE),0)+(IF(QualitéAlimentsJeunesBisons_18_24_mois=BONNE,VLOOKUP("Maïs ensilé",AlimentsRationHivernaleBisonsMâles,4,FALSE),0)+(IF(QualitéAlimentsJeunesBisonnes_18_24_mois=BONNE,VLOOKUP("Maïs ensilé",AlimentsRationHivernaleBisonsFemelles,4,FALSE),0)+(IF(QualitéAlimentsJeunesBisons_24_36_mois=BONNE,VLOOKUP("Maïs ensilé",AlimentsRationHivernaleBisonsMâles,3,FALSE),0)+(IF(QualitéAlimentsJeunesBisonnes_24_36_mois=BONNE,VLOOKUP("Maïs ensilé",AlimentsRationHivernaleBisonsFemelles,3,FALSE),0)+(IF(QualitéAlimentsBisons=BONNE,VLOOKUP("Maïs ensilé",AlimentsRationHivernaleBisonsMâles,2,FALSE),0)+(IF(QualitéAlimentsBisonnes=BONNE,VLOOKUP("Maïs ensilé",AlimentsRationHivernaleBisonsFemelles,2,FALSE),0))))))))))))))))</f>
        <v>0</v>
      </c>
      <c r="BO131" s="1269">
        <f t="array" ref="BO131">SUM((IF(QualitéAlimentsBisonneauxMâles_0_3_mois=MOYENNE,VLOOKUP("Maïs ensilé",AlimentsRationHivernaleBisonsMâles,8,FALSE),0)+(IF(QualitéAlimentsBisonneauxFemelles_0_3_mois=MOYENNE,VLOOKUP("Maïs ensilé",AlimentsRationHivernaleBisonsFemelles,8,FALSE),0)+(IF(QualitéAlimentsBisonneauxMâles_3_6_mois=MOYENNE,VLOOKUP("Maïs ensilé",AlimentsRationHivernaleBisonsMâles,7,FALSE),0)+(IF(QualitéAlimentsBisonneauxFemelles_3_6_mois=MOYENNE,VLOOKUP("Maïs ensilé",AlimentsRationHivernaleBisonsFemelles,7,FALSE),0)+(IF(QualitéAlimentsBisonneauxMâles_6_12_mois=MOYENNE,VLOOKUP("Maïs ensilé",AlimentsRationHivernaleBisonsMâles,6,FALSE),0)+(IF(QualitéAlimentsBisonneauxFemelles_6_12_mois=MOYENNE,VLOOKUP("Maïs ensilé",AlimentsRationHivernaleBisonsFemelles,6,FALSE),0)+(IF(QualitéAlimentsJeunesBisons_12_18_mois=MOYENNE,VLOOKUP("Maïs ensilé",AlimentsRationHivernaleBisonsMâles,5,FALSE),0)+(IF(QualitéAlimentsJeunesBisonnes_12_18_mois=MOYENNE,VLOOKUP("Maïs ensilé",AlimentsRationHivernaleBisonsFemelles,5,FALSE),0)+(IF(QualitéAlimentsJeunesBisons_18_24_mois=MOYENNE,VLOOKUP("Maïs ensilé",AlimentsRationHivernaleBisonsMâles,4,FALSE),0)+(IF(QualitéAlimentsJeunesBisonnes_18_24_mois=MOYENNE,VLOOKUP("Maïs ensilé",AlimentsRationHivernaleBisonsFemelles,4,FALSE),0)+(IF(QualitéAlimentsJeunesBisons_24_36_mois=MOYENNE,VLOOKUP("Maïs ensilé",AlimentsRationHivernaleBisonsMâles,3,FALSE),0)+(IF(QualitéAlimentsJeunesBisonnes_24_36_mois=MOYENNE,VLOOKUP("Maïs ensilé",AlimentsRationHivernaleBisonsFemelles,3,FALSE),0)+(IF(QualitéAlimentsBisons=MOYENNE,VLOOKUP("Maïs ensilé",AlimentsRationHivernaleBisonsMâles,2,FALSE),0)+(IF(QualitéAlimentsBisonnes=MOYENNE,VLOOKUP("Maïs ensilé",AlimentsRationHivernaleBisonsFemelles,2,FALSE),0))))))))))))))))</f>
        <v>0</v>
      </c>
      <c r="BP131" s="1269">
        <f t="array" ref="BP131">SUM((IF(QualitéAlimentsBisonneauxMâles_0_3_mois=MAUVAISE,VLOOKUP("Maïs ensilé",AlimentsRationHivernaleBisonsMâles,8,FALSE),0)+(IF(QualitéAlimentsBisonneauxFemelles_0_3_mois=MAUVAISE,VLOOKUP("Maïs ensilé",AlimentsRationHivernaleBisonsFemelles,8,FALSE),0)+(IF(QualitéAlimentsBisonneauxMâles_3_6_mois=MAUVAISE,VLOOKUP("Maïs ensilé",AlimentsRationHivernaleBisonsMâles,7,FALSE),0)+(IF(QualitéAlimentsBisonneauxFemelles_3_6_mois=MAUVAISE,VLOOKUP("Maïs ensilé",AlimentsRationHivernaleBisonsFemelles,7,FALSE),0)+(IF(QualitéAlimentsBisonneauxMâles_6_12_mois=MAUVAISE,VLOOKUP("Maïs ensilé",AlimentsRationHivernaleBisonsMâles,6,FALSE),0)+(IF(QualitéAlimentsBisonneauxFemelles_6_12_mois=MAUVAISE,VLOOKUP("Maïs ensilé",AlimentsRationHivernaleBisonsFemelles,6,FALSE),0)+(IF(QualitéAlimentsJeunesBisons_12_18_mois=MAUVAISE,VLOOKUP("Maïs ensilé",AlimentsRationHivernaleBisonsMâles,5,FALSE),0)+(IF(QualitéAlimentsJeunesBisonnes_12_18_mois=MAUVAISE,VLOOKUP("Maïs ensilé",AlimentsRationHivernaleBisonsFemelles,5,FALSE),0)+(IF(QualitéAlimentsJeunesBisons_18_24_mois=MAUVAISE,VLOOKUP("Maïs ensilé",AlimentsRationHivernaleBisonsMâles,4,FALSE),0)+(IF(QualitéAlimentsJeunesBisonnes_18_24_mois=MAUVAISE,VLOOKUP("Maïs ensilé",AlimentsRationHivernaleBisonsFemelles,4,FALSE),0)+(IF(QualitéAlimentsJeunesBisons_24_36_mois=MAUVAISE,VLOOKUP("Maïs ensilé",AlimentsRationHivernaleBisonsMâles,3,FALSE),0)+(IF(QualitéAlimentsJeunesBisonnes_24_36_mois=MAUVAISE,VLOOKUP("Maïs ensilé",AlimentsRationHivernaleBisonsFemelles,3,FALSE),0)+(IF(QualitéAlimentsBisons=MAUVAISE,VLOOKUP("Maïs ensilé",AlimentsRationHivernaleBisonsMâles,2,FALSE),0)+(IF(QualitéAlimentsBisonnes=MAUVAISE,VLOOKUP("Maïs ensilé",AlimentsRationHivernaleBisonsFemelles,2,FALSE),0))))))))))))))))</f>
        <v>0</v>
      </c>
      <c r="BQ131" s="1346"/>
      <c r="BR131" s="1346"/>
      <c r="BS131" s="1346"/>
      <c r="BT131" s="1346"/>
      <c r="BU131" s="1346"/>
      <c r="BV131" s="1345"/>
      <c r="BW131" s="1345"/>
      <c r="BX131" s="1075" t="s">
        <v>723</v>
      </c>
      <c r="BY131" s="1075">
        <f t="array" ref="BY131">IF(ChoixRationComplèteCaprins=OUI,0,IFERROR(IF(OR(AND(INDEX(Règles_caprins[Specificite],MATCH(ChoixRationCaprins&amp;$BX131,Règles_caprins[Ration]&amp;Règles_caprins[Aliment],0))="s1",IF($BX131=Spécificité1Caprins,1)),
INDEX(Règles_caprins[Specificite],MATCH(ChoixRationCaprins&amp;$BX131,Règles_caprins[Ration]&amp;Règles_caprins[Aliment],0))="c"),
INDEX(Règles_caprins[Valeur 12 et plus],MATCH(ChoixRationCaprins&amp;$BX131,Règles_caprins[Ration]&amp;Règles_caprins[Aliment],0)),0),0)*TotalBoucs*SUM(NbreJoursNourrirCaprins))</f>
        <v>0</v>
      </c>
      <c r="BZ131" s="1075">
        <f t="array" ref="BZ131">IF(ChoixRationComplèteCaprins=OUI,0,IFERROR(IF(OR(AND(INDEX(Règles_caprins[Specificite],MATCH(ChoixRationCaprins&amp;$BX131,Règles_caprins[Ration]&amp;Règles_caprins[Aliment],0))="s1",IF($BX131=Spécificité1Caprins,1)),
INDEX(Règles_caprins[Specificite],MATCH(ChoixRationCaprins&amp;$BX131,Règles_caprins[Ration]&amp;Règles_caprins[Aliment],0))="c"),
INDEX(Règles_caprins[Valeur 6-12],MATCH(ChoixRationCaprins&amp;$BX131,Règles_caprins[Ration]&amp;Règles_caprins[Aliment],0)),0),0)*jeune_bouc_6_12_mois*SUM(NbreJoursNourrirCaprins))</f>
        <v>0</v>
      </c>
      <c r="CA131" s="1075">
        <f t="array" ref="CA131">IF(ChoixRationComplèteCaprins=OUI,0,IFERROR(IF(OR(AND(INDEX(Règles_caprins[Specificite],MATCH(ChoixRationCaprins&amp;$BX131,Règles_caprins[Ration]&amp;Règles_caprins[Aliment],0))="s1",IF($BX131=Spécificité1Caprins,1)),
INDEX(Règles_caprins[Specificite],MATCH(ChoixRationCaprins&amp;$BX131,Règles_caprins[Ration]&amp;Règles_caprins[Aliment],0))="c"),
INDEX(Règles_caprins[Valeur 3-6],MATCH(ChoixRationCaprins&amp;$BX131,Règles_caprins[Ration]&amp;Règles_caprins[Aliment],0)),0),0)*chevreau_3_6_mois*SUM(NbreJoursNourrirCaprins))</f>
        <v>0</v>
      </c>
      <c r="CB131" s="1075">
        <f t="array" ref="CB131">IF(ChoixRationComplèteCaprins=OUI,0,IFERROR(IF(OR(AND(INDEX(Règles_caprins[Specificite],MATCH(ChoixRationCaprins&amp;$BX131,Règles_caprins[Ration]&amp;Règles_caprins[Aliment],0))="s1",IF($BX131=Spécificité1Caprins,1)),
INDEX(Règles_caprins[Specificite],MATCH(ChoixRationCaprins&amp;$BX131,Règles_caprins[Ration]&amp;Règles_caprins[Aliment],0))="c"),
INDEX(Règles_caprins[Valeur 0-3],MATCH(ChoixRationCaprins&amp;$BX131,Règles_caprins[Ration]&amp;Règles_caprins[Aliment],0)),0),0)*chevreau_0_3_mois*SUM(NbreJoursNourrirCaprins))</f>
        <v>0</v>
      </c>
      <c r="CC131" s="1075">
        <f t="shared" si="45"/>
        <v>0</v>
      </c>
      <c r="CD131" s="1345"/>
      <c r="CE131" s="1345"/>
      <c r="CF131" s="1345"/>
      <c r="CG131" s="1345"/>
      <c r="CH131" s="1321"/>
      <c r="CI131" s="1321"/>
      <c r="CJ131" s="808" t="s">
        <v>780</v>
      </c>
      <c r="CK131" s="803">
        <f>CK18*TotalTruies*SUM(NbreJoursNourrirAutres)</f>
        <v>0</v>
      </c>
      <c r="CL131" s="1321"/>
      <c r="CM131" s="808" t="s">
        <v>780</v>
      </c>
      <c r="CN131" s="803">
        <f>CN18*TotalTruies*SUM(Z76:Z100)</f>
        <v>0</v>
      </c>
      <c r="CO131" s="1321"/>
      <c r="CP131" s="1321"/>
      <c r="CQ131" s="1321"/>
      <c r="CR131" s="1321"/>
      <c r="CS131" s="808" t="str">
        <f t="shared" si="40"/>
        <v>Triticale</v>
      </c>
      <c r="CT131" s="817">
        <f t="array" ref="CT13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31" s="817">
        <f t="array" ref="CU13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31" s="817">
        <f t="array" ref="CV131">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31" s="818">
        <f>SUM(AlimentsRationLapinsFemelles[[#This Row],[Valeur 3 et plus]:[Valeur 0-1]])</f>
        <v>0</v>
      </c>
      <c r="CX131" s="1321"/>
      <c r="CY131" s="1321"/>
      <c r="CZ131" s="808" t="str">
        <f t="shared" si="41"/>
        <v>Triticale</v>
      </c>
      <c r="DA131" s="817">
        <f t="array" ref="DA13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31" s="817">
        <f t="array" ref="DB13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31" s="817">
        <f t="array" ref="DC131">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31" s="818">
        <f>SUM(AlimentsRationVolaillesFemelles[[#This Row],[Valeur 6 et plus]:[Valeur 0-1]])</f>
        <v>0</v>
      </c>
      <c r="DE131" s="1321"/>
      <c r="DF131" s="1321"/>
      <c r="DG131" s="789" t="s">
        <v>1276</v>
      </c>
      <c r="DH131" s="790" t="s">
        <v>1295</v>
      </c>
      <c r="DI131" s="790" t="s">
        <v>1296</v>
      </c>
      <c r="DJ131" s="790" t="s">
        <v>1284</v>
      </c>
      <c r="DK131" s="791" t="s">
        <v>1269</v>
      </c>
      <c r="DL131" s="1321"/>
      <c r="DM131" s="1321"/>
      <c r="DN131" s="1176" t="s">
        <v>765</v>
      </c>
      <c r="DO131" s="1177" t="s">
        <v>672</v>
      </c>
      <c r="DP131" s="1177" t="s">
        <v>1253</v>
      </c>
      <c r="DQ131" s="1181">
        <v>1.6</v>
      </c>
      <c r="DR131" s="1181">
        <v>1.4</v>
      </c>
      <c r="DS131" s="1181">
        <v>1.2</v>
      </c>
      <c r="DT131" s="1243">
        <v>1</v>
      </c>
      <c r="DU131" s="1346"/>
      <c r="DV131" s="1321"/>
      <c r="DW131" s="1321"/>
      <c r="DX131" s="1321"/>
      <c r="DY131" s="1321"/>
      <c r="DZ131" s="1321"/>
      <c r="EA131" s="1321"/>
      <c r="EB131" s="1321"/>
      <c r="EC131" s="1321"/>
      <c r="ED131" s="1345"/>
      <c r="EE131" s="1345"/>
      <c r="EF131" s="1321"/>
      <c r="EG131" s="808">
        <f t="shared" si="31"/>
        <v>0</v>
      </c>
      <c r="EH131" s="817">
        <f t="array" ref="EH13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31" s="817">
        <f t="array" ref="EI13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31" s="817">
        <f t="array" ref="EJ131">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31" s="818">
        <f>SUM(AlimentsRationOiesFemelles[[#This Row],[Valeur 6 et plus]:[Valeur 0-3]])</f>
        <v>0</v>
      </c>
      <c r="EL131" s="1345"/>
      <c r="EM131" s="1321"/>
      <c r="EN131" s="823">
        <f t="shared" si="29"/>
        <v>0</v>
      </c>
      <c r="EO131" s="828">
        <f t="array" ref="EO13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31" s="828">
        <f t="array" ref="EP13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31" s="828">
        <f t="array" ref="EQ131">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31" s="829">
        <f>SUM(Ration_canards_Femelles[[#This Row],[Valeur 6 et plus]:[Valeur 0-3]])</f>
        <v>0</v>
      </c>
      <c r="ES131" s="1345"/>
      <c r="ET131" s="1321"/>
      <c r="EU131" s="1083" t="str">
        <f t="shared" si="44"/>
        <v>Tournesol</v>
      </c>
      <c r="EV131" s="1283">
        <f t="array" ref="EV131">IF(OR(ChoixRationComplèteEtéChevauxSelle=OUI,ChoixRationComplèteEtéChevauxSelle="",AND(ChoixChevauxSellePréHiver=OUI,ChoixChevauxSellePréEté=OUI)),0,IFERROR(IF(OR(AND(INDEX(Règles_chevaux_selle[Specificite],MATCH(RationEtéChevauxSelle&amp;$EU131,Règles_chevaux_selle[Ration]&amp;Règles_chevaux_selle[Aliment],0))="s1",IF($EU131=Spécificité1ChevauxSelle,1)),
AND(INDEX(Règles_chevaux_selle[Specificite],MATCH(RationEtéChevauxSelle&amp;$EU131,Règles_chevaux_selle[Ration]&amp;Règles_chevaux_selle[Aliment],0))="s2",IF($EU131=Spécificité2ChevauxSelle,1)),
INDEX(Règles_chevaux_selle[Specificite],MATCH(RationEtéChevauxSelle&amp;$EU131,Règles_chevaux_selle[Ration]&amp;Règles_chevaux_selle[Aliment],0))="c"),
INDEX(Règles_chevaux_selle[Valeur 36 et plus],MATCH(RationEtéChevauxSelle&amp;$EU131,Règles_chevaux_selle[Ration]&amp;Règles_chevaux_selle[Aliment],0)),0),0)*TotalJumentSelle*SUM(NbreJoursNourrirChevauxSelle))</f>
        <v>0</v>
      </c>
      <c r="EW131" s="1283">
        <f t="array" ref="EW131">IF(OR(ChoixRationComplèteEtéChevauxSelle=OUI,ChoixRationComplèteEtéChevauxSelle="",AND(ChoixChevauxSellePréHiver=OUI,ChoixChevauxSellePréEté=OUI)),0,IFERROR(IF(OR(AND(INDEX(Règles_chevaux_selle[Specificite],MATCH(RationEtéChevauxSelle&amp;$EU131,Règles_chevaux_selle[Ration]&amp;Règles_chevaux_selle[Aliment],0))="s1",IF($EU131=Spécificité1ChevauxSelle,1)),
AND(INDEX(Règles_chevaux_selle[Specificite],MATCH(RationEtéChevauxSelle&amp;$EU131,Règles_chevaux_selle[Ration]&amp;Règles_chevaux_selle[Aliment],0))="s2",IF($EU131=Spécificité2ChevauxSelle,1)),
INDEX(Règles_chevaux_selle[Specificite],MATCH(RationEtéChevauxSelle&amp;$EU131,Règles_chevaux_selle[Ration]&amp;Règles_chevaux_selle[Aliment],0))="c"),
INDEX(Règles_chevaux_selle[Valeur 24-36],MATCH(RationEtéChevauxSelle&amp;$EU131,Règles_chevaux_selle[Ration]&amp;Règles_chevaux_selle[Aliment],0)),0),0)*TotalJeuneJumentSelle_24_36_mois*SUM(NbreJoursNourrirChevauxSelle))</f>
        <v>0</v>
      </c>
      <c r="EX131" s="1283">
        <f t="array" ref="EX131">IF(OR(ChoixRationComplèteEtéChevauxSelle=OUI,ChoixRationComplèteEtéChevauxSelle="",AND(ChoixChevauxSellePréHiver=OUI,ChoixChevauxSellePréEté=OUI)),0,IFERROR(IF(OR(AND(INDEX(Règles_chevaux_selle[Specificite],MATCH(RationEtéChevauxSelle&amp;$EU131,Règles_chevaux_selle[Ration]&amp;Règles_chevaux_selle[Aliment],0))="s1",IF($EU131=Spécificité1ChevauxSelle,1)),
AND(INDEX(Règles_chevaux_selle[Specificite],MATCH(RationEtéChevauxSelle&amp;$EU131,Règles_chevaux_selle[Ration]&amp;Règles_chevaux_selle[Aliment],0))="s2",IF($EU131=Spécificité2ChevauxSelle,1)),
INDEX(Règles_chevaux_selle[Specificite],MATCH(RationEtéChevauxSelle&amp;$EU131,Règles_chevaux_selle[Ration]&amp;Règles_chevaux_selle[Aliment],0))="c"),
INDEX(Règles_chevaux_selle[Valeur 12-24],MATCH(RationEtéChevauxSelle&amp;$EU131,Règles_chevaux_selle[Ration]&amp;Règles_chevaux_selle[Aliment],0)),0),0)*TotalJeuneJumentSelle_12_24_mois*SUM(NbreJoursNourrirChevauxSelle))</f>
        <v>0</v>
      </c>
      <c r="EY131" s="1286">
        <f t="array" ref="EY131">IF(OR(ChoixRationComplèteEtéChevauxSelle=OUI,ChoixRationComplèteEtéChevauxSelle="",AND(ChoixChevauxSellePréHiver=OUI,ChoixChevauxSellePréEté=OUI)),0,IFERROR(IF(OR(AND(INDEX(Règles_chevaux_selle[Specificite],MATCH(RationEtéChevauxSelle&amp;$EU131,Règles_chevaux_selle[Ration]&amp;Règles_chevaux_selle[Aliment],0))="s1",IF($EU131=Spécificité1ChevauxSelle,1)),
AND(INDEX(Règles_chevaux_selle[Specificite],MATCH(RationEtéChevauxSelle&amp;$EU131,Règles_chevaux_selle[Ration]&amp;Règles_chevaux_selle[Aliment],0))="s2",IF($EU131=Spécificité2ChevauxSelle,1)),
INDEX(Règles_chevaux_selle[Specificite],MATCH(RationEtéChevauxSelle&amp;$EU131,Règles_chevaux_selle[Ration]&amp;Règles_chevaux_selle[Aliment],0))="c"),
INDEX(Règles_chevaux_selle[Valeur 0-12],MATCH(RationEtéChevauxSelle&amp;$EU131,Règles_chevaux_selle[Ration]&amp;Règles_chevaux_selle[Aliment],0)),0),0)*TotalPoulicheSelle_0_12_mois*SUM(NbreJoursNourrirChevauxSelle))</f>
        <v>0</v>
      </c>
      <c r="EZ131" s="1286">
        <f t="shared" si="43"/>
        <v>0</v>
      </c>
      <c r="FA131" s="1345"/>
      <c r="FB131" s="1345"/>
      <c r="FC131" s="1321"/>
      <c r="FD131" s="1083">
        <f t="shared" si="34"/>
        <v>0</v>
      </c>
      <c r="FE131" s="1283">
        <f t="array" ref="FE131">IF(OR(ChoixRationComplèteEtéChevauxTrait=OUI,ChoixRationComplèteEtéChevauxTrait="",AND(ChoixChevauxTraitPréHiver=OUI,ChoixChevauxTraitPréEté=OUI)),0,IFERROR(IF(OR(AND(INDEX(Règles_chevaux_trait[Specificite],MATCH(RationEtéChevauxTrait&amp;$FD131,Règles_chevaux_trait[Ration]&amp;Règles_chevaux_trait[Aliment],0))="s1",IF($FD131=Spécificité1ChevauxTrait,1)),
AND(INDEX(Règles_chevaux_trait[Specificite],MATCH(RationEtéChevauxTrait&amp;$FD131,Règles_chevaux_trait[Ration]&amp;Règles_chevaux_trait[Aliment],0))="s2",IF($FD131=Spécificité2ChevauxTrait,1)),
INDEX(Règles_chevaux_trait[Specificite],MATCH(RationEtéChevauxTrait&amp;$FD131,Règles_chevaux_trait[Ration]&amp;Règles_chevaux_trait[Aliment],0))="c"),
INDEX(Règles_chevaux_trait[Valeur 36 et plus],MATCH(RationEtéChevauxTrait&amp;$FD131,Règles_chevaux_trait[Ration]&amp;Règles_chevaux_trait[Aliment],0)),0),0)*TotalJumentTrait*SUM(NbreJoursNourrirChevauxTrait))</f>
        <v>0</v>
      </c>
      <c r="FF131" s="1283">
        <f t="array" ref="FF131">IF(OR(ChoixRationComplèteEtéChevauxTrait=OUI,ChoixRationComplèteEtéChevauxTrait="",AND(ChoixChevauxTraitPréHiver=OUI,ChoixChevauxTraitPréEté=OUI)),0,IFERROR(IF(OR(AND(INDEX(Règles_chevaux_trait[Specificite],MATCH(RationEtéChevauxTrait&amp;$FD131,Règles_chevaux_trait[Ration]&amp;Règles_chevaux_trait[Aliment],0))="s1",IF($FD131=Spécificité1ChevauxTrait,1)),
AND(INDEX(Règles_chevaux_trait[Specificite],MATCH(RationEtéChevauxTrait&amp;$FD131,Règles_chevaux_trait[Ration]&amp;Règles_chevaux_trait[Aliment],0))="s2",IF($FD131=Spécificité2ChevauxTrait,1)),
INDEX(Règles_chevaux_trait[Specificite],MATCH(RationEtéChevauxTrait&amp;$FD131,Règles_chevaux_trait[Ration]&amp;Règles_chevaux_trait[Aliment],0))="c"),
INDEX(Règles_chevaux_trait[Valeur 24-36],MATCH(RationEtéChevauxTrait&amp;$FD131,Règles_chevaux_trait[Ration]&amp;Règles_chevaux_trait[Aliment],0)),0),0)*TotalJeuneJumentTrait_24_36_mois*SUM(NbreJoursNourrirChevauxTrait))</f>
        <v>0</v>
      </c>
      <c r="FG131" s="1283">
        <f t="array" ref="FG131">IF(OR(ChoixRationComplèteEtéChevauxTrait=OUI,ChoixRationComplèteEtéChevauxTrait="",AND(ChoixChevauxTraitPréHiver=OUI,ChoixChevauxTraitPréEté=OUI)),0,IFERROR(IF(OR(AND(INDEX(Règles_chevaux_trait[Specificite],MATCH(RationEtéChevauxTrait&amp;$FD131,Règles_chevaux_trait[Ration]&amp;Règles_chevaux_trait[Aliment],0))="s1",IF($FD131=Spécificité1ChevauxTrait,1)),
AND(INDEX(Règles_chevaux_trait[Specificite],MATCH(RationEtéChevauxTrait&amp;$FD131,Règles_chevaux_trait[Ration]&amp;Règles_chevaux_trait[Aliment],0))="s2",IF($FD131=Spécificité2ChevauxTrait,1)),
INDEX(Règles_chevaux_trait[Specificite],MATCH(RationEtéChevauxTrait&amp;$FD131,Règles_chevaux_trait[Ration]&amp;Règles_chevaux_trait[Aliment],0))="c"),
INDEX(Règles_chevaux_trait[Valeur 12-24],MATCH(RationEtéChevauxTrait&amp;$FD131,Règles_chevaux_trait[Ration]&amp;Règles_chevaux_trait[Aliment],0)),0),0)*TotalJeuneJumentTrait_12_24_mois*SUM(NbreJoursNourrirChevauxTrait))</f>
        <v>0</v>
      </c>
      <c r="FH131" s="1286">
        <f t="array" ref="FH131">IF(OR(ChoixRationComplèteEtéChevauxTrait=OUI,ChoixRationComplèteEtéChevauxTrait="",AND(ChoixChevauxTraitPréHiver=OUI,ChoixChevauxTraitPréEté=OUI)),0,IFERROR(IF(OR(AND(INDEX(Règles_chevaux_trait[Specificite],MATCH(RationEtéChevauxTrait&amp;$FD131,Règles_chevaux_trait[Ration]&amp;Règles_chevaux_trait[Aliment],0))="s1",IF($FD131=Spécificité1ChevauxTrait,1)),
AND(INDEX(Règles_chevaux_trait[Specificite],MATCH(RationEtéChevauxTrait&amp;$FD131,Règles_chevaux_trait[Ration]&amp;Règles_chevaux_trait[Aliment],0))="s2",IF($FD131=Spécificité2ChevauxTrait,1)),
INDEX(Règles_chevaux_trait[Specificite],MATCH(RationEtéChevauxTrait&amp;$FD131,Règles_chevaux_trait[Ration]&amp;Règles_chevaux_trait[Aliment],0))="c"),
INDEX(Règles_chevaux_trait[Valeur 0-12],MATCH(RationEtéChevauxTrait&amp;$FD131,Règles_chevaux_trait[Ration]&amp;Règles_chevaux_trait[Aliment],0)),0),0)*TotalPoulicheTrait_0_12_mois*SUM(NbreJoursNourrirChevauxTrait))</f>
        <v>0</v>
      </c>
      <c r="FI131" s="1286">
        <f t="shared" si="32"/>
        <v>0</v>
      </c>
      <c r="FJ131" s="1345"/>
      <c r="FK131" s="1345"/>
      <c r="FL131" s="1345"/>
      <c r="FM131" s="1321"/>
      <c r="FN131" s="1082">
        <f t="shared" si="33"/>
        <v>0</v>
      </c>
      <c r="FO131" s="1282">
        <f t="array" ref="FO131">IF(OR(ChoixRationComplèteEtéPoneys=OUI,ChoixRationComplèteEtéPoneys="",AND(ChoixPoneysPréHiver=OUI,ChoixPoneysPréEté=OUI)),0,IFERROR(IF(OR(AND(INDEX(Règles_poneys[Specificite],MATCH(RationEtéPoneys&amp;$FN131,Règles_poneys[Ration]&amp;Règles_poneys[Aliment],0))="s1",IF($FN131=Spécificité1Poneys,1)),
AND(INDEX(Règles_poneys[Specificite],MATCH(RationEtéPoneys&amp;$FN131,Règles_poneys[Ration]&amp;Règles_poneys[Aliment],0))="s2",IF($FN131=Spécificité2Poneys,1)),
INDEX(Règles_poneys[Specificite],MATCH(RationEtéPoneys&amp;$FN131,Règles_poneys[Ration]&amp;Règles_poneys[Aliment],0))="c"),
INDEX(Règles_poneys[Valeur 36 et plus],MATCH(RationEtéPoneys&amp;$FN131,Règles_poneys[Ration]&amp;Règles_poneys[Aliment],0)),0),0)*TotalJumentPoney*SUM(NbreJoursNourrirPoneys))</f>
        <v>0</v>
      </c>
      <c r="FP131" s="1282">
        <f t="array" ref="FP131">IF(OR(ChoixRationComplèteEtéPoneys=OUI,ChoixRationComplèteEtéPoneys="",AND(ChoixPoneysPréHiver=OUI,ChoixPoneysPréEté=OUI)),0,IFERROR(IF(OR(AND(INDEX(Règles_poneys[Specificite],MATCH(RationEtéPoneys&amp;$FN131,Règles_poneys[Ration]&amp;Règles_poneys[Aliment],0))="s1",IF($FN131=Spécificité1Poneys,1)),
AND(INDEX(Règles_poneys[Specificite],MATCH(RationEtéPoneys&amp;$FN131,Règles_poneys[Ration]&amp;Règles_poneys[Aliment],0))="s2",IF($FN131=Spécificité2Poneys,1)),
INDEX(Règles_poneys[Specificite],MATCH(RationEtéPoneys&amp;$FN131,Règles_poneys[Ration]&amp;Règles_poneys[Aliment],0))="c"),
INDEX(Règles_poneys[Valeur 36 et plus],MATCH(RationEtéPoneys&amp;$FN131,Règles_poneys[Ration]&amp;Règles_poneys[Aliment],0)),0),0)*TotalJeuneJumentPoney_24_36_mois*SUM(NbreJoursNourrirPoneys))</f>
        <v>0</v>
      </c>
      <c r="FQ131" s="1282">
        <f t="array" ref="FQ131">IF(OR(ChoixRationComplèteEtéPoneys=OUI,ChoixRationComplèteEtéPoneys="",AND(ChoixPoneysPréHiver=OUI,ChoixPoneysPréEté=OUI)),0,IFERROR(IF(OR(AND(INDEX(Règles_poneys[Specificite],MATCH(RationEtéPoneys&amp;$FN131,Règles_poneys[Ration]&amp;Règles_poneys[Aliment],0))="s1",IF($FN131=Spécificité1Poneys,1)),
AND(INDEX(Règles_poneys[Specificite],MATCH(RationEtéPoneys&amp;$FN131,Règles_poneys[Ration]&amp;Règles_poneys[Aliment],0))="s2",IF($FN131=Spécificité2Poneys,1)),
INDEX(Règles_poneys[Specificite],MATCH(RationEtéPoneys&amp;$FN131,Règles_poneys[Ration]&amp;Règles_poneys[Aliment],0))="c"),
INDEX(Règles_poneys[Valeur 36 et plus],MATCH(RationEtéPoneys&amp;$FN131,Règles_poneys[Ration]&amp;Règles_poneys[Aliment],0)),0),0)*TotalJeuneJumentPoney_12_24_mois*SUM(NbreJoursNourrirPoneys))</f>
        <v>0</v>
      </c>
      <c r="FR131" s="1285">
        <f t="array" ref="FR131">IF(OR(ChoixRationComplèteEtéPoneys=OUI,ChoixRationComplèteEtéPoneys="",AND(ChoixPoneysPréHiver=OUI,ChoixPoneysPréEté=OUI)),0,IFERROR(IF(OR(AND(INDEX(Règles_poneys[Specificite],MATCH(RationEtéPoneys&amp;$FN131,Règles_poneys[Ration]&amp;Règles_poneys[Aliment],0))="s1",IF($FN131=Spécificité1Poneys,1)),
AND(INDEX(Règles_poneys[Specificite],MATCH(RationEtéPoneys&amp;$FN131,Règles_poneys[Ration]&amp;Règles_poneys[Aliment],0))="s2",IF($FN131=Spécificité2Poneys,1)),
INDEX(Règles_poneys[Specificite],MATCH(RationEtéPoneys&amp;$FN131,Règles_poneys[Ration]&amp;Règles_poneys[Aliment],0))="c"),
INDEX(Règles_poneys[Valeur 36 et plus],MATCH(RationEtéPoneys&amp;$FN131,Règles_poneys[Ration]&amp;Règles_poneys[Aliment],0)),0),0)*TotalPoulichePoney_0_12_mois*SUM(NbreJoursNourrirPoneys))</f>
        <v>0</v>
      </c>
      <c r="FS131" s="1285">
        <f t="shared" si="30"/>
        <v>0</v>
      </c>
      <c r="FT131" s="1345"/>
      <c r="FU131" s="1345"/>
      <c r="FV131" s="1345"/>
      <c r="FW131" s="789" t="s">
        <v>1276</v>
      </c>
      <c r="FX131" s="833" t="s">
        <v>1290</v>
      </c>
      <c r="FY131" s="790" t="s">
        <v>1312</v>
      </c>
      <c r="FZ131" s="790" t="s">
        <v>1311</v>
      </c>
      <c r="GA131" s="790" t="s">
        <v>1284</v>
      </c>
      <c r="GB131" s="791" t="s">
        <v>1269</v>
      </c>
      <c r="GC131" s="1321"/>
      <c r="GD131" s="1321"/>
      <c r="GE131" s="1321"/>
      <c r="GF131" s="1321"/>
      <c r="GG131" s="1321" t="s">
        <v>1349</v>
      </c>
      <c r="GH131" s="1321" t="s">
        <v>1349</v>
      </c>
      <c r="GI131" s="1321" t="s">
        <v>1349</v>
      </c>
      <c r="GJ131" s="1321" t="s">
        <v>1349</v>
      </c>
      <c r="GK131" s="1321" t="s">
        <v>1349</v>
      </c>
      <c r="GL131" s="1321" t="s">
        <v>1349</v>
      </c>
      <c r="GM131" s="1321" t="s">
        <v>1349</v>
      </c>
      <c r="GN131" s="1321" t="s">
        <v>1349</v>
      </c>
      <c r="GO131" s="1321" t="s">
        <v>1349</v>
      </c>
      <c r="GP131" s="1321" t="s">
        <v>1349</v>
      </c>
      <c r="GQ131" s="1321" t="s">
        <v>1349</v>
      </c>
      <c r="GR131" s="1321" t="s">
        <v>1349</v>
      </c>
      <c r="GS131" s="1321" t="s">
        <v>1349</v>
      </c>
      <c r="GT131" s="1321" t="s">
        <v>1349</v>
      </c>
      <c r="GU131" s="1321" t="s">
        <v>1349</v>
      </c>
      <c r="GV131" s="1321" t="s">
        <v>1349</v>
      </c>
      <c r="GW131" s="1321"/>
      <c r="GX131" s="1321"/>
      <c r="GY131" s="1321"/>
      <c r="GZ131" s="1321"/>
      <c r="HA131" s="1321"/>
      <c r="HB131" s="1321"/>
      <c r="HC131" s="1321"/>
      <c r="HD131" s="1321"/>
      <c r="HE131" s="1321"/>
      <c r="HF131" s="1321"/>
      <c r="HG131" s="1321"/>
      <c r="HH131" s="1321"/>
      <c r="HI131" s="1321"/>
      <c r="HJ131" s="1321"/>
      <c r="HK131" s="1321"/>
      <c r="HL131" s="1321"/>
      <c r="HM131" s="1321"/>
      <c r="HN131" s="1321"/>
      <c r="HO131" s="1321"/>
      <c r="HP131" s="1321"/>
      <c r="HQ131" s="1321"/>
      <c r="HR131" s="1321"/>
      <c r="HS131" s="1321"/>
      <c r="HT131" s="1321"/>
      <c r="HU131" s="1321"/>
      <c r="HV131" s="1321"/>
      <c r="HW131" s="1321"/>
      <c r="HX131" s="1321"/>
      <c r="HY131" s="1321"/>
      <c r="HZ131" s="1321"/>
      <c r="IA131" s="1321"/>
      <c r="IB131" s="1321"/>
      <c r="IC131" s="1321"/>
      <c r="ID131" s="1321"/>
      <c r="IE131" s="1321"/>
      <c r="IF131" s="1321"/>
      <c r="IG131" s="1321"/>
      <c r="IH131" s="1321"/>
      <c r="II131" s="1321"/>
      <c r="IJ131" s="1321"/>
      <c r="IK131" s="1321"/>
      <c r="IL131" s="1321"/>
      <c r="IM131" s="1321"/>
      <c r="IN131" s="1368"/>
    </row>
    <row r="132" spans="1:248" ht="12.75" customHeight="1" x14ac:dyDescent="0.2">
      <c r="A132" s="1307" t="s">
        <v>347</v>
      </c>
      <c r="B132" s="1209">
        <v>0.88336999999999999</v>
      </c>
      <c r="C132" s="1321"/>
      <c r="D132" s="1321"/>
      <c r="E132" s="1321"/>
      <c r="F132" s="1143" t="s">
        <v>1755</v>
      </c>
      <c r="G132" s="1143">
        <v>1</v>
      </c>
      <c r="H132" s="1321"/>
      <c r="I132" s="1076" t="s">
        <v>1048</v>
      </c>
      <c r="J132" s="1081">
        <f>IF(gains!F$4=BDD!O$127,10,IF(gains!F$4=BDD!P$127,20,IF(gains!F$4=BDD!Q$127,30,0)))</f>
        <v>10</v>
      </c>
      <c r="K132" s="1081">
        <f>IF(gains!$G$7=K$127,1,0)</f>
        <v>0</v>
      </c>
      <c r="L132" s="1081">
        <f>IF(gains!$G$7=L$127,2,0)</f>
        <v>0</v>
      </c>
      <c r="M132" s="1081">
        <f>IF(gains!$G$7=M$127,3,0)</f>
        <v>0</v>
      </c>
      <c r="N132" s="1081">
        <f>IF(gains!$G$7=N$127,4,0)</f>
        <v>4</v>
      </c>
      <c r="O132" s="1081">
        <f>IF(AND(J132=10,SUM(K132:N132)=1),gains!$F$38,IF(AND(J132=10,SUM(K132:N132)=2),gains!$F$38*2,IF(AND(J132=10,SUM(K132:N132)=3),gains!$F$38*3,IF(AND(J132=10,SUM(K132:N132)=4),gains!$F$38*4,0))))</f>
        <v>56000</v>
      </c>
      <c r="P132" s="1081">
        <f>IF(AND(J132=20,SUM(K132:N132)=1),gains!$F$38*7,IF(AND(J132=20,SUM(K132:N132)=2),gains!$F$38*7*2,IF(AND(J132=20,SUM(K132:N132)=3),gains!$F$38*7*3,IF(AND(J132=20,SUM(K132:N132)=4),gains!$F$38*7*4,0))))</f>
        <v>0</v>
      </c>
      <c r="Q132" s="1081">
        <f>IF(AND(J132=30,SUM(K132:N132)=1),gains!$F$38*7*12,IF(AND(J132=30,SUM(K132:N132)=2),gains!$F$38*7*12*2,IF(AND(J132=30,SUM(K132:N132)=3),gains!$F$38*7*12*3,IF(AND(J132=30,SUM(K132:N132)=4),gains!$F$38*7*12*4,0))))</f>
        <v>0</v>
      </c>
      <c r="R132" s="1081">
        <f>(SUM(BG194+BG236)/1000*PrixAvoine+(BG195+BG237)/1000*PrixBetterave+(BG196+BG238)/1000*PrixBlé+(BG197+BG239)/1000*PrixBouchonsLuzerne+(BG199+BG241)/1000*PrixCanola+(BG200+BG242)/1000*PrixColza+(BG201+BG243)*1.07+(BG202+BG244)*1.12+(BG203+BG245)*1.13+(BG204+BG246)/1000*PrixEnsilageHerbe+(BG205+BG247)*IF(PrixEau="",0,PrixEau)+(BG207+BG249)/1000*PrixFeverole+(BG208+BG250)/1000*PrixFoin+(BG211+BG253)/1000*PrixMaïsEnsilé+(BG212+BG254)/1000*PrixMaïsGrain+(BG213+BG255)*1.38+(BG214+BG256)/1000*PrixOrge+(BG215+BG257)/1000*PrixPaille+(BG216+BG258)/1000*PrixPois+(BG219+BG261)*PrixRationBovins+(BG220+BG262)/1000*PrixSeigle+(BG221+BG263)/1000*PrixSoja+(BG222+BG264)/1000*PrixSorghoEnsilé+(BG223+BG265)/1000*PrixTournesol+(BG224+BG266)/1000*PrixTourteauColza+(BG225+BG267)/1000*PrixTourteauTournesol+(BG226+BG268)/1000*PrixTriticale)</f>
        <v>0</v>
      </c>
      <c r="S132" s="1081">
        <f>(SUM(BZ106+BZ144)/1000*PrixAvoine+(BZ107+BZ145)/1000*PrixBetterave+(BZ108+BZ146)/1000*PrixBlé+(BZ109+BZ147)/1000*PrixBouchonsLuzerne+(BZ111+BZ149)/1000*PrixCanola+(BZ112+BZ150)/1000*PrixColza+(BZ113+BZ151)*1.07+(BZ114+BZ152)*1.12+(BZ115+BZ153)*1.13+(BZ116+BZ154)/1000*PrixEnsilageHerbe+(BZ117+BZ155)*IF(PrixEau="",0,PrixEau)+(BZ119+BZ157)/1000*PrixFeverole+(BZ120+BZ158)/1000*PrixFoin+(BZ123+BZ161)/1000*PrixMaïsEnsilé+(BZ124+BZ162)/1000*PrixMaïsGrain+(BZ125+BZ163)*1.38+(BZ126+BZ164)/1000*PrixOrge+(BZ127+BZ165)/1000*PrixPaille+(BZ128+BZ166)/1000*PrixPois+SUM((Ration_complète_caprins[[Valeur 6-12 (M)]:[Valeur 6-12 (F)]]))/1000*PrixRationCaprins+(BZ132+BZ170)/1000*PrixSeigle+(BZ133+BZ171)/1000*PrixSoja+(BZ134+BZ172)/1000*PrixSorghoEnsilé+(BZ135+BZ173)/1000*PrixTournesol+(BZ136+BZ174)/1000*PrixTourteauColza+(BZ137+BZ175)/1000*PrixTourteauTournesol+(BZ138+BZ176)/1000*PrixTriticale)</f>
        <v>0</v>
      </c>
      <c r="T132" s="1081">
        <f>(SUM(CT57+CT99)/1000*PrixAvoine+(CT58+CT100)/1000*PrixBetterave+(CT59+CT101)/1000*PrixBlé+(CT60+CT102)/1000*PrixBouchonsLuzerne+(CT62+CT104)/1000*PrixCanola+(CT63+CT105)/1000*PrixColza+(CT64+CT106)*1.07+(CT65+CT107)*1.12+(CT66+CT108)*1.13+(CT67+CT109)/1000*PrixEnsilageHerbe+(CT68+CT110)*IF(PrixEau="",0,PrixEau)+(CT70+CT112)/1000*PrixFeverole+(CT71+CT113)/1000*PrixFoin+(CT74+CT116)/1000*PrixMaïsEnsilé+(CT75+CT117)/1000*PrixMaïsGrain+(CT76+CT118)*1.38+(CT77+CT119)/1000*PrixOrge+(CT78+CT120)/1000*PrixPaille+(CT79+CT121)/1000*PrixPois+(CT82+CT124)*PrixRationLapins+(CT83+CT125)/1000*PrixSeigle+(CT84+CT126)/1000*PrixSoja+(CT85+CT127)/1000*PrixSorghoEnsilé+(CT86+CT128)/1000*PrixTournesol+(CT87+CT129)/1000*PrixTourteauColza+(CT88+AlimentsRationLapinsFemelles[[#This Row],[Valeur 0-1]])/1000*PrixTourteauTournesol+(CT89+CT131)/1000*PrixTriticale)</f>
        <v>0</v>
      </c>
      <c r="U132" s="1081">
        <f>(SUM(DA57+DA99)/1000*PrixAvoine+(DA58+DA100)/1000*PrixBetterave+(DA59+DA101)/1000*PrixBlé+(DA60+DA102)/1000*PrixBouchonsLuzerne+(DA62+DA104)/1000*PrixCanola+(DA63+DA105)/1000*PrixColza+(DA64+DA106)*1.07+(DA65+DA107)*1.12+(DA66+DA108)*1.13+(DA67+DA109)/1000*PrixEnsilageHerbe+(DA68+DA110)*IF(PrixEau="",0,PrixEau)+(DA70+DA112)/1000*PrixFeverole+(DA71+DA113)/1000*PrixFoin+(DA74+DA116)/1000*PrixMaïsEnsilé+(DA75+DA117)/1000*PrixMaïsGrain+(DA76+DA118)*1.38+(DA77+DA119)/1000*PrixOrge+(DA78+DA120)/1000*PrixPaille+(DA79+DA121)/1000*PrixPois+(DA82+DA124)*PrixRationVolailles+(DA83+DA125)/1000*PrixSeigle+(DA84+DA126)/1000*PrixSoja+(DA85+DA127)/1000*PrixSorghoEnsilé+(DA86+DA128)/1000*PrixTournesol+(DA87+DA129)/1000*PrixTourteauColza+(DA88+AlimentsRationVolaillesFemelles[[#This Row],[Valeur 0-1]])/1000*PrixTourteauTournesol+(DA89+DA131)/1000*PrixTriticale)</f>
        <v>0</v>
      </c>
      <c r="V132" s="1081">
        <f>(SUM(DP150+DP192)/1000*PrixAvoine+(DP151+DP193)/1000*PrixBetterave+(DP152+DP194)/1000*PrixBlé+(DP153+DP195)/1000*PrixBouchonsLuzerne+(DP155+DP197)/1000*PrixCanola+(DP156+DP198)/1000*PrixColza+(DP157+DP199)*1.07+(DP158+DP200)*1.12+(DP159+DP201)*1.13+(DP160+DP202)/1000*PrixEnsilageHerbe+(DP161+DP203)*IF(PrixEau="",0,PrixEau)+(DP163+DP205)/1000*PrixFeverole+(DP164+DP206)/1000*PrixFoin+(DP167+DP209)/1000*PrixMaïsEnsilé+(DP168+DP210)/1000*PrixMaïsGrain+(DP169+DP211)*1.38+(DP170+DP212)/1000*PrixOrge+(DP171+DP213)/1000*PrixPaille+(DP172+DP214)/1000*PrixPois+(DP175+DP217)*PrixRationOvins+(DP176+DP218)/1000*PrixSeigle+(DP177+DP219)/1000*PrixSoja+(DP178+DP220)/1000*PrixSorghoEnsilé+(DP179+DP221)/1000*PrixTournesol+(DP180+DP222)/1000*PrixTourteauColza+(DP181+DP223)/1000*PrixTourteauTournesol+(DP182+DP224)/1000*PrixTriticale)</f>
        <v>0</v>
      </c>
      <c r="W132" s="1081">
        <f>(SUM(EH53+EH95)/1000*PrixAvoine+(EH54+EH96)/1000*PrixBetterave+(EH55+EH97)/1000*PrixBlé+(EH56+EH98)/1000*PrixBouchonsLuzerne+(EH58+EH100)/1000*PrixCanola+(EH59+EH101)/1000*PrixColza+(EH60+EH102)*1.07+(EH61+EH103)*1.12+(EH62+EH104)*1.13+(EH63+EH105)/1000*PrixEnsilageHerbe+(EH64+EH106)*IF(PrixEau="",0,PrixEau)+(EH66+EH108)/1000*PrixFeverole+(EH67+EH109)/1000*PrixFoin+(EH70+EH112)/1000*PrixMaïsEnsilé+(EH71+EH113)/1000*PrixMaïsGrain+(EH72+EH114)*1.38+(EH73+EH115)/1000*PrixOrge+(EH74+EH116)/1000*PrixPaille+(EH75+EH117)/1000*PrixPois+(EH78+EH120)*PrixRationOies+(EH79+EH121)/1000*PrixSeigle+(EH80+EH122)/1000*PrixSoja+(EH81+EH123)/1000*PrixSorghoEnsilé+(EH82+EH124)/1000*PrixTournesol+(EH83+EH125)/1000*PrixTourteauColza+(EH84+EH126)/1000*PrixTourteauTournesol+(EH85+EH127)/1000*PrixTriticale)</f>
        <v>0</v>
      </c>
      <c r="X132" s="1081">
        <f>(SUM(EO52+EO94)/1000*PrixAvoine+(EO53+EO95)/1000*PrixBetterave+(EO54+EO96)/1000*PrixBlé+(EO55+EO97)/1000*PrixBouchonsLuzerne+(EO57+EO99)/1000*PrixCanola+(EO58+EO100)/1000*PrixColza+(EO59+EO101)*1.07+(EO60+EO102)*1.12+(EO61+EO103)*1.13+(EO62+EO104)/1000*PrixEnsilageHerbe+(EO63+EO105)*IF(PrixEau="",0,PrixEau)+(EO65+EO107)/1000*PrixFeverole+(EO66+EO108)/1000*PrixFoin+(EO69+EO111)/1000*PrixMaïsEnsilé+(EO70+EO112)/1000*PrixMaïsGrain+(EO71+EO113)*1.38+(EO72+EO114)/1000*PrixOrge+(EO73+EO115)/1000*PrixPaille+(EO74+EO116)/1000*PrixPois+(EO77+EO119)*PrixRationCanards+(EO78+EO120)/1000*PrixSeigle+(EO79+EO121)/1000*PrixSoja+(EO80+EO122)/1000*PrixSorghoEnsilé+(EO81+EO123)/1000*PrixTournesol+(EO82+EO124)/1000*PrixTourteauColza+(EO83+EO125)/1000*PrixTourteauTournesol+(EO84+EO126)/1000*PrixTriticale)</f>
        <v>0</v>
      </c>
      <c r="Y132" s="1321"/>
      <c r="Z132" s="1321"/>
      <c r="AA132" s="1321"/>
      <c r="AB132" s="1321"/>
      <c r="AC132" s="1321"/>
      <c r="AD132" s="1321"/>
      <c r="AE132" s="1321"/>
      <c r="AF132" s="1321"/>
      <c r="AG132" s="1321"/>
      <c r="AH132" s="1321"/>
      <c r="AI132" s="1321"/>
      <c r="AJ132" s="1321"/>
      <c r="AK132" s="1321"/>
      <c r="AL132" s="1321"/>
      <c r="AM132" s="1321"/>
      <c r="AN132" s="1321"/>
      <c r="AO132" s="1321"/>
      <c r="AP132" s="1321"/>
      <c r="AQ132" s="1321"/>
      <c r="AR132" s="1321"/>
      <c r="AS132" s="1321"/>
      <c r="AT132" s="1321"/>
      <c r="AU132" s="1321"/>
      <c r="AV132" s="1321"/>
      <c r="AW132" s="1321"/>
      <c r="AX132" s="1321"/>
      <c r="AY132" s="1321"/>
      <c r="AZ132" s="1321"/>
      <c r="BA132" s="1321"/>
      <c r="BB132" s="1236" t="s">
        <v>731</v>
      </c>
      <c r="BC132" s="1190" t="s">
        <v>733</v>
      </c>
      <c r="BD132" s="1190" t="s">
        <v>1252</v>
      </c>
      <c r="BE132" s="1237">
        <v>200</v>
      </c>
      <c r="BF132" s="1237">
        <v>100</v>
      </c>
      <c r="BG132" s="1237">
        <v>80</v>
      </c>
      <c r="BH132" s="1237">
        <v>60</v>
      </c>
      <c r="BI132" s="1237">
        <v>40</v>
      </c>
      <c r="BJ132" s="1237">
        <v>28</v>
      </c>
      <c r="BK132" s="1238">
        <v>12</v>
      </c>
      <c r="BL132" s="1348"/>
      <c r="BM132" s="1076" t="str">
        <f t="shared" si="47"/>
        <v>Maïs grain</v>
      </c>
      <c r="BN132" s="1267">
        <f t="array" ref="BN132">SUM((IF(QualitéAlimentsBisonneauxMâles_0_3_mois=BONNE,VLOOKUP("Maïs grain",AlimentsRationHivernaleBisonsMâles,8,FALSE),0)+(IF(QualitéAlimentsBisonneauxFemelles_0_3_mois=BONNE,VLOOKUP("Maïs grain",AlimentsRationHivernaleBisonsFemelles,8,FALSE),0)+(IF(QualitéAlimentsBisonneauxMâles_3_6_mois=BONNE,VLOOKUP("Maïs grain",AlimentsRationHivernaleBisonsMâles,7,FALSE),0)+(IF(QualitéAlimentsBisonneauxFemelles_3_6_mois=BONNE,VLOOKUP("Maïs grain",AlimentsRationHivernaleBisonsFemelles,7,FALSE),0)+(IF(QualitéAlimentsBisonneauxMâles_6_12_mois=BONNE,VLOOKUP("Maïs grain",AlimentsRationHivernaleBisonsMâles,6,FALSE),0)+(IF(QualitéAlimentsBisonneauxFemelles_6_12_mois=BONNE,VLOOKUP("Maïs grain",AlimentsRationHivernaleBisonsFemelles,6,FALSE),0)+(IF(QualitéAlimentsJeunesBisons_12_18_mois=BONNE,VLOOKUP("Maïs grain",AlimentsRationHivernaleBisonsMâles,5,FALSE),0)+(IF(QualitéAlimentsJeunesBisonnes_12_18_mois=BONNE,VLOOKUP("Maïs grain",AlimentsRationHivernaleBisonsFemelles,5,FALSE),0)+(IF(QualitéAlimentsJeunesBisons_18_24_mois=BONNE,VLOOKUP("Maïs grain",AlimentsRationHivernaleBisonsMâles,4,FALSE),0)+(IF(QualitéAlimentsJeunesBisonnes_18_24_mois=BONNE,VLOOKUP("Maïs grain",AlimentsRationHivernaleBisonsFemelles,4,FALSE),0)+(IF(QualitéAlimentsJeunesBisons_24_36_mois=BONNE,VLOOKUP("Maïs grain",AlimentsRationHivernaleBisonsMâles,3,FALSE),0)+(IF(QualitéAlimentsJeunesBisonnes_24_36_mois=BONNE,VLOOKUP("Maïs grain",AlimentsRationHivernaleBisonsFemelles,3,FALSE),0)+(IF(QualitéAlimentsBisons=BONNE,VLOOKUP("Maïs grain",AlimentsRationHivernaleBisonsMâles,2,FALSE),0)+(IF(QualitéAlimentsBisonnes=BONNE,VLOOKUP("Maïs grain",AlimentsRationHivernaleBisonsFemelles,2,FALSE),0))))))))))))))))</f>
        <v>0</v>
      </c>
      <c r="BO132" s="1267">
        <f t="array" ref="BO132">SUM((IF(QualitéAlimentsBisonneauxMâles_0_3_mois=MOYENNE,VLOOKUP("Maïs grain",AlimentsRationHivernaleBisonsMâles,8,FALSE),0)+(IF(QualitéAlimentsBisonneauxFemelles_0_3_mois=MOYENNE,VLOOKUP("Maïs grain",AlimentsRationHivernaleBisonsFemelles,8,FALSE),0)+(IF(QualitéAlimentsBisonneauxMâles_3_6_mois=MOYENNE,VLOOKUP("Maïs grain",AlimentsRationHivernaleBisonsMâles,7,FALSE),0)+(IF(QualitéAlimentsBisonneauxFemelles_3_6_mois=MOYENNE,VLOOKUP("Maïs grain",AlimentsRationHivernaleBisonsFemelles,7,FALSE),0)+(IF(QualitéAlimentsBisonneauxMâles_6_12_mois=MOYENNE,VLOOKUP("Maïs grain",AlimentsRationHivernaleBisonsMâles,6,FALSE),0)+(IF(QualitéAlimentsBisonneauxFemelles_6_12_mois=MOYENNE,VLOOKUP("Maïs grain",AlimentsRationHivernaleBisonsFemelles,6,FALSE),0)+(IF(QualitéAlimentsJeunesBisons_12_18_mois=MOYENNE,VLOOKUP("Maïs grain",AlimentsRationHivernaleBisonsMâles,5,FALSE),0)+(IF(QualitéAlimentsJeunesBisonnes_12_18_mois=MOYENNE,VLOOKUP("Maïs grain",AlimentsRationHivernaleBisonsFemelles,5,FALSE),0)+(IF(QualitéAlimentsJeunesBisons_18_24_mois=MOYENNE,VLOOKUP("Maïs grain",AlimentsRationHivernaleBisonsMâles,4,FALSE),0)+(IF(QualitéAlimentsJeunesBisonnes_18_24_mois=MOYENNE,VLOOKUP("Maïs grain",AlimentsRationHivernaleBisonsFemelles,4,FALSE),0)+(IF(QualitéAlimentsJeunesBisons_24_36_mois=MOYENNE,VLOOKUP("Maïs grain",AlimentsRationHivernaleBisonsMâles,3,FALSE),0)+(IF(QualitéAlimentsJeunesBisonnes_24_36_mois=MOYENNE,VLOOKUP("Maïs grain",AlimentsRationHivernaleBisonsFemelles,3,FALSE),0)+(IF(QualitéAlimentsBisons=MOYENNE,VLOOKUP("Maïs grain",AlimentsRationHivernaleBisonsMâles,2,FALSE),0)+(IF(QualitéAlimentsBisonnes=MOYENNE,VLOOKUP("Maïs grain",AlimentsRationHivernaleBisonsFemelles,2,FALSE),0))))))))))))))))</f>
        <v>0</v>
      </c>
      <c r="BP132" s="1267">
        <f t="array" ref="BP132">SUM((IF(QualitéAlimentsBisonneauxMâles_0_3_mois=MAUVAISE,VLOOKUP("Maïs grain",AlimentsRationHivernaleBisonsMâles,8,FALSE),0)+(IF(QualitéAlimentsBisonneauxFemelles_0_3_mois=MAUVAISE,VLOOKUP("Maïs grain",AlimentsRationHivernaleBisonsFemelles,8,FALSE),0)+(IF(QualitéAlimentsBisonneauxMâles_3_6_mois=MAUVAISE,VLOOKUP("Maïs grain",AlimentsRationHivernaleBisonsMâles,7,FALSE),0)+(IF(QualitéAlimentsBisonneauxFemelles_3_6_mois=MAUVAISE,VLOOKUP("Maïs grain",AlimentsRationHivernaleBisonsFemelles,7,FALSE),0)+(IF(QualitéAlimentsBisonneauxMâles_6_12_mois=MAUVAISE,VLOOKUP("Maïs grain",AlimentsRationHivernaleBisonsMâles,6,FALSE),0)+(IF(QualitéAlimentsBisonneauxFemelles_6_12_mois=MAUVAISE,VLOOKUP("Maïs grain",AlimentsRationHivernaleBisonsFemelles,6,FALSE),0)+(IF(QualitéAlimentsJeunesBisons_12_18_mois=MAUVAISE,VLOOKUP("Maïs grain",AlimentsRationHivernaleBisonsMâles,5,FALSE),0)+(IF(QualitéAlimentsJeunesBisonnes_12_18_mois=MAUVAISE,VLOOKUP("Maïs grain",AlimentsRationHivernaleBisonsFemelles,5,FALSE),0)+(IF(QualitéAlimentsJeunesBisons_18_24_mois=MAUVAISE,VLOOKUP("Maïs grain",AlimentsRationHivernaleBisonsMâles,4,FALSE),0)+(IF(QualitéAlimentsJeunesBisonnes_18_24_mois=MAUVAISE,VLOOKUP("Maïs grain",AlimentsRationHivernaleBisonsFemelles,4,FALSE),0)+(IF(QualitéAlimentsJeunesBisons_24_36_mois=MAUVAISE,VLOOKUP("Maïs grain",AlimentsRationHivernaleBisonsMâles,3,FALSE),0)+(IF(QualitéAlimentsJeunesBisonnes_24_36_mois=MAUVAISE,VLOOKUP("Maïs grain",AlimentsRationHivernaleBisonsFemelles,3,FALSE),0)+(IF(QualitéAlimentsBisons=MAUVAISE,VLOOKUP("Maïs grain",AlimentsRationHivernaleBisonsMâles,2,FALSE),0)+(IF(QualitéAlimentsBisonnes=MAUVAISE,VLOOKUP("Maïs grain",AlimentsRationHivernaleBisonsFemelles,2,FALSE),0))))))))))))))))</f>
        <v>0</v>
      </c>
      <c r="BQ132" s="1346"/>
      <c r="BR132" s="1346"/>
      <c r="BS132" s="1346"/>
      <c r="BT132" s="1346"/>
      <c r="BU132" s="1346"/>
      <c r="BV132" s="1345"/>
      <c r="BW132" s="1345"/>
      <c r="BX132" s="1076" t="s">
        <v>500</v>
      </c>
      <c r="BY132" s="1076">
        <f t="array" ref="BY132">IF(ChoixRationComplèteCaprins=OUI,0,IFERROR(IF(OR(AND(INDEX(Règles_caprins[Specificite],MATCH(ChoixRationCaprins&amp;$BX132,Règles_caprins[Ration]&amp;Règles_caprins[Aliment],0))="s1",IF($BX132=Spécificité1Caprins,1)),
INDEX(Règles_caprins[Specificite],MATCH(ChoixRationCaprins&amp;$BX132,Règles_caprins[Ration]&amp;Règles_caprins[Aliment],0))="c"),
INDEX(Règles_caprins[Valeur 12 et plus],MATCH(ChoixRationCaprins&amp;$BX132,Règles_caprins[Ration]&amp;Règles_caprins[Aliment],0)),0),0)*TotalBoucs*SUM(NbreJoursNourrirCaprins))</f>
        <v>0</v>
      </c>
      <c r="BZ132" s="1076">
        <f t="array" ref="BZ132">IF(ChoixRationComplèteCaprins=OUI,0,IFERROR(IF(OR(AND(INDEX(Règles_caprins[Specificite],MATCH(ChoixRationCaprins&amp;$BX132,Règles_caprins[Ration]&amp;Règles_caprins[Aliment],0))="s1",IF($BX132=Spécificité1Caprins,1)),
INDEX(Règles_caprins[Specificite],MATCH(ChoixRationCaprins&amp;$BX132,Règles_caprins[Ration]&amp;Règles_caprins[Aliment],0))="c"),
INDEX(Règles_caprins[Valeur 6-12],MATCH(ChoixRationCaprins&amp;$BX132,Règles_caprins[Ration]&amp;Règles_caprins[Aliment],0)),0),0)*jeune_bouc_6_12_mois*SUM(NbreJoursNourrirCaprins))</f>
        <v>0</v>
      </c>
      <c r="CA132" s="1076">
        <f t="array" ref="CA132">IF(ChoixRationComplèteCaprins=OUI,0,IFERROR(IF(OR(AND(INDEX(Règles_caprins[Specificite],MATCH(ChoixRationCaprins&amp;$BX132,Règles_caprins[Ration]&amp;Règles_caprins[Aliment],0))="s1",IF($BX132=Spécificité1Caprins,1)),
INDEX(Règles_caprins[Specificite],MATCH(ChoixRationCaprins&amp;$BX132,Règles_caprins[Ration]&amp;Règles_caprins[Aliment],0))="c"),
INDEX(Règles_caprins[Valeur 3-6],MATCH(ChoixRationCaprins&amp;$BX132,Règles_caprins[Ration]&amp;Règles_caprins[Aliment],0)),0),0)*chevreau_3_6_mois*SUM(NbreJoursNourrirCaprins))</f>
        <v>0</v>
      </c>
      <c r="CB132" s="1076">
        <f t="array" ref="CB132">IF(ChoixRationComplèteCaprins=OUI,0,IFERROR(IF(OR(AND(INDEX(Règles_caprins[Specificite],MATCH(ChoixRationCaprins&amp;$BX132,Règles_caprins[Ration]&amp;Règles_caprins[Aliment],0))="s1",IF($BX132=Spécificité1Caprins,1)),
INDEX(Règles_caprins[Specificite],MATCH(ChoixRationCaprins&amp;$BX132,Règles_caprins[Ration]&amp;Règles_caprins[Aliment],0))="c"),
INDEX(Règles_caprins[Valeur 0-3],MATCH(ChoixRationCaprins&amp;$BX132,Règles_caprins[Ration]&amp;Règles_caprins[Aliment],0)),0),0)*chevreau_0_3_mois*SUM(NbreJoursNourrirCaprins))</f>
        <v>0</v>
      </c>
      <c r="CC132" s="1076">
        <f t="shared" si="45"/>
        <v>0</v>
      </c>
      <c r="CD132" s="1345"/>
      <c r="CE132" s="1345"/>
      <c r="CF132" s="1345"/>
      <c r="CG132" s="1345"/>
      <c r="CH132" s="1321"/>
      <c r="CI132" s="1321"/>
      <c r="CJ132" s="808" t="s">
        <v>781</v>
      </c>
      <c r="CK132" s="803">
        <f>CK19*SUM(TotalJeunesPorcins)*SUM(NbreJoursNourrirAutres)</f>
        <v>0</v>
      </c>
      <c r="CL132" s="1321"/>
      <c r="CM132" s="808" t="s">
        <v>781</v>
      </c>
      <c r="CN132" s="803">
        <f>CN19*SUM(TotalJeunesPorcins)*SUM(Z76:Z100)</f>
        <v>0</v>
      </c>
      <c r="CO132" s="1321"/>
      <c r="CP132" s="1321"/>
      <c r="CQ132" s="1321"/>
      <c r="CR132" s="1321"/>
      <c r="CS132" s="808">
        <f t="shared" si="40"/>
        <v>0</v>
      </c>
      <c r="CT132" s="817">
        <f t="array" ref="CT13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32" s="817">
        <f t="array" ref="CU13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32" s="817">
        <f t="array" ref="CV132">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32" s="818">
        <f>SUM(AlimentsRationLapinsFemelles[[#This Row],[Valeur 3 et plus]:[Valeur 0-1]])</f>
        <v>0</v>
      </c>
      <c r="CX132" s="1321"/>
      <c r="CY132" s="1321"/>
      <c r="CZ132" s="808">
        <f t="shared" si="41"/>
        <v>0</v>
      </c>
      <c r="DA132" s="817">
        <f t="array" ref="DA13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32" s="817">
        <f t="array" ref="DB13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32" s="817">
        <f t="array" ref="DC132">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32" s="818">
        <f>SUM(AlimentsRationVolaillesFemelles[[#This Row],[Valeur 6 et plus]:[Valeur 0-1]])</f>
        <v>0</v>
      </c>
      <c r="DE132" s="1321"/>
      <c r="DF132" s="1321"/>
      <c r="DG132" s="792" t="s">
        <v>723</v>
      </c>
      <c r="DH132" s="793">
        <f t="array" ref="DH132">IF(ChoixRationComplètePintades=NON,0,IFERROR(IF(OR(AND(INDEX(Règles_pintades[Specificite],MATCH(ChoixRationPintades&amp;Ration_complète_pintades[aliment],Règles_pintades[Ration]&amp;Règles_pintades[Aliment],0))="s1",IF(Ration_complète_pintades[aliment]=Spécificité1Pintades,1)),
AND(INDEX(Règles_pintades[Specificite],MATCH(ChoixRationPintades&amp;Ration_complète_pintades[aliment],Règles_pintades[Ration]&amp;Règles_pintades[Aliment],0))="s2",IF(Ration_complète_pintades[aliment]=Spécificité2Pintades,1)),
INDEX(Règles_pintades[Specificite],MATCH(ChoixRationPintades&amp;Ration_complète_pintades[aliment],Règles_pintades[Ration]&amp;Règles_pintades[Aliment],0))="c",INDEX(Règles_pintades[Specificite],MATCH(ChoixRationPintades&amp;Ration_complète_pintades[aliment],Règles_pintades[Ration]&amp;Règles_pintades[Aliment],0))="complet"),
INDEX(Règles_pintades[Valeur 6 et plus],MATCH(ChoixRationPintades&amp;Ration_complète_pintades[aliment],Règles_pintades[Ration]&amp;Règles_pintades[Aliment],0)),0),0)*SUM(TotalPintadesAdultes)*SUM(Z76:Z100))</f>
        <v>0</v>
      </c>
      <c r="DI132" s="793">
        <f t="array" ref="DI132">IF(ChoixRationComplètePintades=NON,0,IFERROR(IF(OR(AND(INDEX(Règles_pintades[Specificite],MATCH(ChoixRationPintades&amp;Ration_complète_pintades[aliment],Règles_pintades[Ration]&amp;Règles_pintades[Aliment],0))="s1",IF(Ration_complète_pintades[aliment]=Spécificité1Pintades,1)),
AND(INDEX(Règles_pintades[Specificite],MATCH(ChoixRationPintades&amp;Ration_complète_pintades[aliment],Règles_pintades[Ration]&amp;Règles_pintades[Aliment],0))="s2",IF(Ration_complète_pintades[aliment]=Spécificité2Pintades,1)),
INDEX(Règles_pintades[Specificite],MATCH(ChoixRationPintades&amp;Ration_complète_pintades[aliment],Règles_pintades[Ration]&amp;Règles_pintades[Aliment],0))="c",INDEX(Règles_pintades[Specificite],MATCH(ChoixRationPintades&amp;Ration_complète_pintades[aliment],Règles_pintades[Ration]&amp;Règles_pintades[Aliment],0))="complet"),
INDEX(Règles_pintades[Valeur 1-6],MATCH(ChoixRationPintades&amp;Ration_complète_pintades[aliment],Règles_pintades[Ration]&amp;Règles_pintades[Aliment],0)),0),0)*SUM(TotalPintadesAdultes)*SUM(Z76:Z100))</f>
        <v>0</v>
      </c>
      <c r="DJ132" s="793">
        <f t="array" ref="DJ132">IF(ChoixRationComplètePintades=NON,0,IFERROR(IF(OR(AND(INDEX(Règles_pintades[Specificite],MATCH(ChoixRationPintades&amp;Ration_complète_pintades[aliment],Règles_pintades[Ration]&amp;Règles_pintades[Aliment],0))="s1",IF(Ration_complète_pintades[aliment]=Spécificité1Pintades,1)),
AND(INDEX(Règles_pintades[Specificite],MATCH(ChoixRationPintades&amp;Ration_complète_pintades[aliment],Règles_pintades[Ration]&amp;Règles_pintades[Aliment],0))="s2",IF(Ration_complète_pintades[aliment]=Spécificité2Pintades,1)),
INDEX(Règles_pintades[Specificite],MATCH(ChoixRationPintades&amp;Ration_complète_pintades[aliment],Règles_pintades[Ration]&amp;Règles_pintades[Aliment],0))="c",INDEX(Règles_pintades[Specificite],MATCH(ChoixRationPintades&amp;Ration_complète_pintades[aliment],Règles_pintades[Ration]&amp;Règles_pintades[Aliment],0))="complet"),
INDEX(Règles_pintades[Valeur 0-1],MATCH(ChoixRationPintades&amp;Ration_complète_pintades[aliment],Règles_pintades[Ration]&amp;Règles_pintades[Aliment],0)),0),0)*SUM(TotalPintadesAdultes)*SUM(Z76:Z100))</f>
        <v>0</v>
      </c>
      <c r="DK132" s="820">
        <f>SUM(Ration_complète_pintades[[Valeur 6 et plus]:[Valeur 0-1]])</f>
        <v>0</v>
      </c>
      <c r="DL132" s="1321"/>
      <c r="DM132" s="1321"/>
      <c r="DN132" s="1176" t="s">
        <v>765</v>
      </c>
      <c r="DO132" s="1177" t="s">
        <v>285</v>
      </c>
      <c r="DP132" s="1177" t="s">
        <v>1253</v>
      </c>
      <c r="DQ132" s="1181">
        <v>1.6</v>
      </c>
      <c r="DR132" s="1181">
        <v>1.4</v>
      </c>
      <c r="DS132" s="1181">
        <v>1.2</v>
      </c>
      <c r="DT132" s="1243">
        <v>1</v>
      </c>
      <c r="DU132" s="1346"/>
      <c r="DV132" s="1321"/>
      <c r="DW132" s="1321"/>
      <c r="DX132" s="1321"/>
      <c r="DY132" s="1321"/>
      <c r="DZ132" s="1321"/>
      <c r="EA132" s="1321"/>
      <c r="EB132" s="1321"/>
      <c r="EC132" s="1321"/>
      <c r="ED132" s="1345"/>
      <c r="EE132" s="1345"/>
      <c r="EF132" s="1321"/>
      <c r="EG132" s="808">
        <f t="shared" si="31"/>
        <v>0</v>
      </c>
      <c r="EH132" s="817">
        <f t="array" ref="EH13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32" s="817">
        <f t="array" ref="EI13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32" s="817">
        <f t="array" ref="EJ132">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32" s="818">
        <f>SUM(AlimentsRationOiesFemelles[[#This Row],[Valeur 6 et plus]:[Valeur 0-3]])</f>
        <v>0</v>
      </c>
      <c r="EL132" s="1345"/>
      <c r="EM132" s="1321"/>
      <c r="EN132" s="809">
        <f t="shared" si="29"/>
        <v>0</v>
      </c>
      <c r="EO132" s="830">
        <f t="array" ref="EO13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6 et plus],MATCH(ChoixRationCanards&amp;Ration_canards_Femelles[[#This Row],[aliment]],Règles_canards[Ration]&amp;Règles_canards[Aliment],0)),0),0)*TotalCanes*SUM(NbreJoursNourrirAutres))</f>
        <v>0</v>
      </c>
      <c r="EP132" s="830">
        <f t="array" ref="EP13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3-6],MATCH(ChoixRationCanards&amp;Ration_canards_Femelles[[#This Row],[aliment]],Règles_canards[Ration]&amp;Règles_canards[Aliment],0)),0),0)*jeune_cane_3_6_mois*SUM(NbreJoursNourrirAutres))</f>
        <v>0</v>
      </c>
      <c r="EQ132" s="830">
        <f t="array" ref="EQ132">IF(ChoixRationComplèteCanards=OUI,0,IFERROR(IF(OR(AND(INDEX(Règles_canards[Specificite],MATCH(ChoixRationCanards&amp;Ration_canards_Femelles[[#This Row],[aliment]],Règles_canards[Ration]&amp;Règles_canards[Aliment],0))="s1",IF(Ration_canards_Femelles[[#This Row],[aliment]]=Spécificité1Canards,1)),
AND(INDEX(Règles_canards[Specificite],MATCH(ChoixRationCanards&amp;Ration_canards_Femelles[[#This Row],[aliment]],Règles_canards[Ration]&amp;Règles_canards[Aliment],0))="s2",IF(Ration_canards_Femelles[[#This Row],[aliment]]=Spécificité2Canards,1)),
INDEX(Règles_canards[Specificite],MATCH(ChoixRationCanards&amp;Ration_canards_Femelles[[#This Row],[aliment]],Règles_canards[Ration]&amp;Règles_canards[Aliment],0))="c"),
INDEX(Règles_canards[Valeur 0-3],MATCH(ChoixRationCanards&amp;Ration_canards_Femelles[[#This Row],[aliment]],Règles_canards[Ration]&amp;Règles_canards[Aliment],0)),0),0)*caneton_femelle_0_3_mois*SUM(NbreJoursNourrirAutres))</f>
        <v>0</v>
      </c>
      <c r="ER132" s="831">
        <f>SUM(Ration_canards_Femelles[[#This Row],[Valeur 6 et plus]:[Valeur 0-3]])</f>
        <v>0</v>
      </c>
      <c r="ES132" s="1345"/>
      <c r="ET132" s="1321"/>
      <c r="EU132" s="1082" t="str">
        <f t="shared" si="44"/>
        <v>Tourteau de colza</v>
      </c>
      <c r="EV132" s="1282">
        <f t="array" ref="EV132">IF(OR(ChoixRationComplèteEtéChevauxSelle=OUI,ChoixRationComplèteEtéChevauxSelle="",AND(ChoixChevauxSellePréHiver=OUI,ChoixChevauxSellePréEté=OUI)),0,IFERROR(IF(OR(AND(INDEX(Règles_chevaux_selle[Specificite],MATCH(RationEtéChevauxSelle&amp;$EU132,Règles_chevaux_selle[Ration]&amp;Règles_chevaux_selle[Aliment],0))="s1",IF($EU132=Spécificité1ChevauxSelle,1)),
AND(INDEX(Règles_chevaux_selle[Specificite],MATCH(RationEtéChevauxSelle&amp;$EU132,Règles_chevaux_selle[Ration]&amp;Règles_chevaux_selle[Aliment],0))="s2",IF($EU132=Spécificité2ChevauxSelle,1)),
INDEX(Règles_chevaux_selle[Specificite],MATCH(RationEtéChevauxSelle&amp;$EU132,Règles_chevaux_selle[Ration]&amp;Règles_chevaux_selle[Aliment],0))="c"),
INDEX(Règles_chevaux_selle[Valeur 36 et plus],MATCH(RationEtéChevauxSelle&amp;$EU132,Règles_chevaux_selle[Ration]&amp;Règles_chevaux_selle[Aliment],0)),0),0)*TotalJumentSelle*SUM(NbreJoursNourrirChevauxSelle))</f>
        <v>0</v>
      </c>
      <c r="EW132" s="1282">
        <f t="array" ref="EW132">IF(OR(ChoixRationComplèteEtéChevauxSelle=OUI,ChoixRationComplèteEtéChevauxSelle="",AND(ChoixChevauxSellePréHiver=OUI,ChoixChevauxSellePréEté=OUI)),0,IFERROR(IF(OR(AND(INDEX(Règles_chevaux_selle[Specificite],MATCH(RationEtéChevauxSelle&amp;$EU132,Règles_chevaux_selle[Ration]&amp;Règles_chevaux_selle[Aliment],0))="s1",IF($EU132=Spécificité1ChevauxSelle,1)),
AND(INDEX(Règles_chevaux_selle[Specificite],MATCH(RationEtéChevauxSelle&amp;$EU132,Règles_chevaux_selle[Ration]&amp;Règles_chevaux_selle[Aliment],0))="s2",IF($EU132=Spécificité2ChevauxSelle,1)),
INDEX(Règles_chevaux_selle[Specificite],MATCH(RationEtéChevauxSelle&amp;$EU132,Règles_chevaux_selle[Ration]&amp;Règles_chevaux_selle[Aliment],0))="c"),
INDEX(Règles_chevaux_selle[Valeur 24-36],MATCH(RationEtéChevauxSelle&amp;$EU132,Règles_chevaux_selle[Ration]&amp;Règles_chevaux_selle[Aliment],0)),0),0)*TotalJeuneJumentSelle_24_36_mois*SUM(NbreJoursNourrirChevauxSelle))</f>
        <v>0</v>
      </c>
      <c r="EX132" s="1282">
        <f t="array" ref="EX132">IF(OR(ChoixRationComplèteEtéChevauxSelle=OUI,ChoixRationComplèteEtéChevauxSelle="",AND(ChoixChevauxSellePréHiver=OUI,ChoixChevauxSellePréEté=OUI)),0,IFERROR(IF(OR(AND(INDEX(Règles_chevaux_selle[Specificite],MATCH(RationEtéChevauxSelle&amp;$EU132,Règles_chevaux_selle[Ration]&amp;Règles_chevaux_selle[Aliment],0))="s1",IF($EU132=Spécificité1ChevauxSelle,1)),
AND(INDEX(Règles_chevaux_selle[Specificite],MATCH(RationEtéChevauxSelle&amp;$EU132,Règles_chevaux_selle[Ration]&amp;Règles_chevaux_selle[Aliment],0))="s2",IF($EU132=Spécificité2ChevauxSelle,1)),
INDEX(Règles_chevaux_selle[Specificite],MATCH(RationEtéChevauxSelle&amp;$EU132,Règles_chevaux_selle[Ration]&amp;Règles_chevaux_selle[Aliment],0))="c"),
INDEX(Règles_chevaux_selle[Valeur 12-24],MATCH(RationEtéChevauxSelle&amp;$EU132,Règles_chevaux_selle[Ration]&amp;Règles_chevaux_selle[Aliment],0)),0),0)*TotalJeuneJumentSelle_12_24_mois*SUM(NbreJoursNourrirChevauxSelle))</f>
        <v>0</v>
      </c>
      <c r="EY132" s="1285">
        <f t="array" ref="EY132">IF(OR(ChoixRationComplèteEtéChevauxSelle=OUI,ChoixRationComplèteEtéChevauxSelle="",AND(ChoixChevauxSellePréHiver=OUI,ChoixChevauxSellePréEté=OUI)),0,IFERROR(IF(OR(AND(INDEX(Règles_chevaux_selle[Specificite],MATCH(RationEtéChevauxSelle&amp;$EU132,Règles_chevaux_selle[Ration]&amp;Règles_chevaux_selle[Aliment],0))="s1",IF($EU132=Spécificité1ChevauxSelle,1)),
AND(INDEX(Règles_chevaux_selle[Specificite],MATCH(RationEtéChevauxSelle&amp;$EU132,Règles_chevaux_selle[Ration]&amp;Règles_chevaux_selle[Aliment],0))="s2",IF($EU132=Spécificité2ChevauxSelle,1)),
INDEX(Règles_chevaux_selle[Specificite],MATCH(RationEtéChevauxSelle&amp;$EU132,Règles_chevaux_selle[Ration]&amp;Règles_chevaux_selle[Aliment],0))="c"),
INDEX(Règles_chevaux_selle[Valeur 0-12],MATCH(RationEtéChevauxSelle&amp;$EU132,Règles_chevaux_selle[Ration]&amp;Règles_chevaux_selle[Aliment],0)),0),0)*TotalPoulicheSelle_0_12_mois*SUM(NbreJoursNourrirChevauxSelle))</f>
        <v>0</v>
      </c>
      <c r="EZ132" s="1285">
        <f t="shared" si="43"/>
        <v>0</v>
      </c>
      <c r="FA132" s="1345"/>
      <c r="FB132" s="1345"/>
      <c r="FC132" s="1321"/>
      <c r="FD132" s="1082">
        <f t="shared" si="34"/>
        <v>0</v>
      </c>
      <c r="FE132" s="1282">
        <f t="array" ref="FE132">IF(OR(ChoixRationComplèteEtéChevauxTrait=OUI,ChoixRationComplèteEtéChevauxTrait="",AND(ChoixChevauxTraitPréHiver=OUI,ChoixChevauxTraitPréEté=OUI)),0,IFERROR(IF(OR(AND(INDEX(Règles_chevaux_trait[Specificite],MATCH(RationEtéChevauxTrait&amp;$FD132,Règles_chevaux_trait[Ration]&amp;Règles_chevaux_trait[Aliment],0))="s1",IF($FD132=Spécificité1ChevauxTrait,1)),
AND(INDEX(Règles_chevaux_trait[Specificite],MATCH(RationEtéChevauxTrait&amp;$FD132,Règles_chevaux_trait[Ration]&amp;Règles_chevaux_trait[Aliment],0))="s2",IF($FD132=Spécificité2ChevauxTrait,1)),
INDEX(Règles_chevaux_trait[Specificite],MATCH(RationEtéChevauxTrait&amp;$FD132,Règles_chevaux_trait[Ration]&amp;Règles_chevaux_trait[Aliment],0))="c"),
INDEX(Règles_chevaux_trait[Valeur 36 et plus],MATCH(RationEtéChevauxTrait&amp;$FD132,Règles_chevaux_trait[Ration]&amp;Règles_chevaux_trait[Aliment],0)),0),0)*TotalJumentTrait*SUM(NbreJoursNourrirChevauxTrait))</f>
        <v>0</v>
      </c>
      <c r="FF132" s="1282">
        <f t="array" ref="FF132">IF(OR(ChoixRationComplèteEtéChevauxTrait=OUI,ChoixRationComplèteEtéChevauxTrait="",AND(ChoixChevauxTraitPréHiver=OUI,ChoixChevauxTraitPréEté=OUI)),0,IFERROR(IF(OR(AND(INDEX(Règles_chevaux_trait[Specificite],MATCH(RationEtéChevauxTrait&amp;$FD132,Règles_chevaux_trait[Ration]&amp;Règles_chevaux_trait[Aliment],0))="s1",IF($FD132=Spécificité1ChevauxTrait,1)),
AND(INDEX(Règles_chevaux_trait[Specificite],MATCH(RationEtéChevauxTrait&amp;$FD132,Règles_chevaux_trait[Ration]&amp;Règles_chevaux_trait[Aliment],0))="s2",IF($FD132=Spécificité2ChevauxTrait,1)),
INDEX(Règles_chevaux_trait[Specificite],MATCH(RationEtéChevauxTrait&amp;$FD132,Règles_chevaux_trait[Ration]&amp;Règles_chevaux_trait[Aliment],0))="c"),
INDEX(Règles_chevaux_trait[Valeur 24-36],MATCH(RationEtéChevauxTrait&amp;$FD132,Règles_chevaux_trait[Ration]&amp;Règles_chevaux_trait[Aliment],0)),0),0)*TotalJeuneJumentTrait_24_36_mois*SUM(NbreJoursNourrirChevauxTrait))</f>
        <v>0</v>
      </c>
      <c r="FG132" s="1282">
        <f t="array" ref="FG132">IF(OR(ChoixRationComplèteEtéChevauxTrait=OUI,ChoixRationComplèteEtéChevauxTrait="",AND(ChoixChevauxTraitPréHiver=OUI,ChoixChevauxTraitPréEté=OUI)),0,IFERROR(IF(OR(AND(INDEX(Règles_chevaux_trait[Specificite],MATCH(RationEtéChevauxTrait&amp;$FD132,Règles_chevaux_trait[Ration]&amp;Règles_chevaux_trait[Aliment],0))="s1",IF($FD132=Spécificité1ChevauxTrait,1)),
AND(INDEX(Règles_chevaux_trait[Specificite],MATCH(RationEtéChevauxTrait&amp;$FD132,Règles_chevaux_trait[Ration]&amp;Règles_chevaux_trait[Aliment],0))="s2",IF($FD132=Spécificité2ChevauxTrait,1)),
INDEX(Règles_chevaux_trait[Specificite],MATCH(RationEtéChevauxTrait&amp;$FD132,Règles_chevaux_trait[Ration]&amp;Règles_chevaux_trait[Aliment],0))="c"),
INDEX(Règles_chevaux_trait[Valeur 12-24],MATCH(RationEtéChevauxTrait&amp;$FD132,Règles_chevaux_trait[Ration]&amp;Règles_chevaux_trait[Aliment],0)),0),0)*TotalJeuneJumentTrait_12_24_mois*SUM(NbreJoursNourrirChevauxTrait))</f>
        <v>0</v>
      </c>
      <c r="FH132" s="1285">
        <f t="array" ref="FH132">IF(OR(ChoixRationComplèteEtéChevauxTrait=OUI,ChoixRationComplèteEtéChevauxTrait="",AND(ChoixChevauxTraitPréHiver=OUI,ChoixChevauxTraitPréEté=OUI)),0,IFERROR(IF(OR(AND(INDEX(Règles_chevaux_trait[Specificite],MATCH(RationEtéChevauxTrait&amp;$FD132,Règles_chevaux_trait[Ration]&amp;Règles_chevaux_trait[Aliment],0))="s1",IF($FD132=Spécificité1ChevauxTrait,1)),
AND(INDEX(Règles_chevaux_trait[Specificite],MATCH(RationEtéChevauxTrait&amp;$FD132,Règles_chevaux_trait[Ration]&amp;Règles_chevaux_trait[Aliment],0))="s2",IF($FD132=Spécificité2ChevauxTrait,1)),
INDEX(Règles_chevaux_trait[Specificite],MATCH(RationEtéChevauxTrait&amp;$FD132,Règles_chevaux_trait[Ration]&amp;Règles_chevaux_trait[Aliment],0))="c"),
INDEX(Règles_chevaux_trait[Valeur 0-12],MATCH(RationEtéChevauxTrait&amp;$FD132,Règles_chevaux_trait[Ration]&amp;Règles_chevaux_trait[Aliment],0)),0),0)*TotalPoulicheTrait_0_12_mois*SUM(NbreJoursNourrirChevauxTrait))</f>
        <v>0</v>
      </c>
      <c r="FI132" s="1285">
        <f t="shared" si="32"/>
        <v>0</v>
      </c>
      <c r="FJ132" s="1345"/>
      <c r="FK132" s="1345"/>
      <c r="FL132" s="1345"/>
      <c r="FM132" s="1321"/>
      <c r="FN132" s="1083">
        <f t="shared" si="33"/>
        <v>0</v>
      </c>
      <c r="FO132" s="1283">
        <f t="array" ref="FO132">IF(OR(ChoixRationComplèteEtéPoneys=OUI,ChoixRationComplèteEtéPoneys="",AND(ChoixPoneysPréHiver=OUI,ChoixPoneysPréEté=OUI)),0,IFERROR(IF(OR(AND(INDEX(Règles_poneys[Specificite],MATCH(RationEtéPoneys&amp;$FN132,Règles_poneys[Ration]&amp;Règles_poneys[Aliment],0))="s1",IF($FN132=Spécificité1Poneys,1)),
AND(INDEX(Règles_poneys[Specificite],MATCH(RationEtéPoneys&amp;$FN132,Règles_poneys[Ration]&amp;Règles_poneys[Aliment],0))="s2",IF($FN132=Spécificité2Poneys,1)),
INDEX(Règles_poneys[Specificite],MATCH(RationEtéPoneys&amp;$FN132,Règles_poneys[Ration]&amp;Règles_poneys[Aliment],0))="c"),
INDEX(Règles_poneys[Valeur 36 et plus],MATCH(RationEtéPoneys&amp;$FN132,Règles_poneys[Ration]&amp;Règles_poneys[Aliment],0)),0),0)*TotalJumentPoney*SUM(NbreJoursNourrirPoneys))</f>
        <v>0</v>
      </c>
      <c r="FP132" s="1283">
        <f t="array" ref="FP132">IF(OR(ChoixRationComplèteEtéPoneys=OUI,ChoixRationComplèteEtéPoneys="",AND(ChoixPoneysPréHiver=OUI,ChoixPoneysPréEté=OUI)),0,IFERROR(IF(OR(AND(INDEX(Règles_poneys[Specificite],MATCH(RationEtéPoneys&amp;$FN132,Règles_poneys[Ration]&amp;Règles_poneys[Aliment],0))="s1",IF($FN132=Spécificité1Poneys,1)),
AND(INDEX(Règles_poneys[Specificite],MATCH(RationEtéPoneys&amp;$FN132,Règles_poneys[Ration]&amp;Règles_poneys[Aliment],0))="s2",IF($FN132=Spécificité2Poneys,1)),
INDEX(Règles_poneys[Specificite],MATCH(RationEtéPoneys&amp;$FN132,Règles_poneys[Ration]&amp;Règles_poneys[Aliment],0))="c"),
INDEX(Règles_poneys[Valeur 36 et plus],MATCH(RationEtéPoneys&amp;$FN132,Règles_poneys[Ration]&amp;Règles_poneys[Aliment],0)),0),0)*TotalJeuneJumentPoney_24_36_mois*SUM(NbreJoursNourrirPoneys))</f>
        <v>0</v>
      </c>
      <c r="FQ132" s="1283">
        <f t="array" ref="FQ132">IF(OR(ChoixRationComplèteEtéPoneys=OUI,ChoixRationComplèteEtéPoneys="",AND(ChoixPoneysPréHiver=OUI,ChoixPoneysPréEté=OUI)),0,IFERROR(IF(OR(AND(INDEX(Règles_poneys[Specificite],MATCH(RationEtéPoneys&amp;$FN132,Règles_poneys[Ration]&amp;Règles_poneys[Aliment],0))="s1",IF($FN132=Spécificité1Poneys,1)),
AND(INDEX(Règles_poneys[Specificite],MATCH(RationEtéPoneys&amp;$FN132,Règles_poneys[Ration]&amp;Règles_poneys[Aliment],0))="s2",IF($FN132=Spécificité2Poneys,1)),
INDEX(Règles_poneys[Specificite],MATCH(RationEtéPoneys&amp;$FN132,Règles_poneys[Ration]&amp;Règles_poneys[Aliment],0))="c"),
INDEX(Règles_poneys[Valeur 36 et plus],MATCH(RationEtéPoneys&amp;$FN132,Règles_poneys[Ration]&amp;Règles_poneys[Aliment],0)),0),0)*TotalJeuneJumentPoney_12_24_mois*SUM(NbreJoursNourrirPoneys))</f>
        <v>0</v>
      </c>
      <c r="FR132" s="1286">
        <f t="array" ref="FR132">IF(OR(ChoixRationComplèteEtéPoneys=OUI,ChoixRationComplèteEtéPoneys="",AND(ChoixPoneysPréHiver=OUI,ChoixPoneysPréEté=OUI)),0,IFERROR(IF(OR(AND(INDEX(Règles_poneys[Specificite],MATCH(RationEtéPoneys&amp;$FN132,Règles_poneys[Ration]&amp;Règles_poneys[Aliment],0))="s1",IF($FN132=Spécificité1Poneys,1)),
AND(INDEX(Règles_poneys[Specificite],MATCH(RationEtéPoneys&amp;$FN132,Règles_poneys[Ration]&amp;Règles_poneys[Aliment],0))="s2",IF($FN132=Spécificité2Poneys,1)),
INDEX(Règles_poneys[Specificite],MATCH(RationEtéPoneys&amp;$FN132,Règles_poneys[Ration]&amp;Règles_poneys[Aliment],0))="c"),
INDEX(Règles_poneys[Valeur 36 et plus],MATCH(RationEtéPoneys&amp;$FN132,Règles_poneys[Ration]&amp;Règles_poneys[Aliment],0)),0),0)*TotalPoulichePoney_0_12_mois*SUM(NbreJoursNourrirPoneys))</f>
        <v>0</v>
      </c>
      <c r="FS132" s="1286">
        <f t="shared" si="30"/>
        <v>0</v>
      </c>
      <c r="FT132" s="1345"/>
      <c r="FU132" s="1345"/>
      <c r="FV132" s="1345"/>
      <c r="FW132" s="809" t="s">
        <v>723</v>
      </c>
      <c r="FX132" s="830">
        <f t="array" ref="FX132">IF(ChoixRationComplèteFoieGrasCanards=NON,0,IFERROR(IF(OR(AND(INDEX(Règles_gavage[Specificite],MATCH(ChoixRationFoieGrasCanards&amp;Ration_complète_gavage_canards[aliment],Règles_gavage[Ration]&amp;Règles_gavage[Aliment],0))="s1",IF(Ration_complète_gavage_canards[aliment]=ChoixSpécificité1FoieGrasCanards,1)),
AND(INDEX(Règles_gavage[Specificite],MATCH(ChoixRationFoieGrasCanards&amp;Ration_complète_gavage_canards[aliment],Règles_gavage[Ration]&amp;Règles_gavage[Aliment],0))="s2",IF(Ration_complète_gavage_canards[aliment]=ChoixSpécificité2FoieGrasCanards,1)),
INDEX(Règles_gavage[Specificite],MATCH(ChoixRationFoieGrasCanards&amp;Ration_complète_gavage_canards[aliment],Règles_gavage[Ration]&amp;Règles_gavage[Aliment],0))="c",INDEX(Règles_gavage[Specificite],MATCH(ChoixRationFoieGrasCanards&amp;Ration_complète_gavage_canards[aliment],Règles_gavage[Ration]&amp;Règles_gavage[Aliment],0))="complet"),
INDEX(Règles_gavage[Valeur 6 et plus],MATCH(ChoixRationFoieGrasCanards&amp;Ration_complète_gavage_canards[aliment],Règles_gavage[Ration]&amp;Règles_gavage[Aliment],0)),0),0)*TotalJeunesCanards_3moisEtPlus*DuréePhaseGavageCanards)</f>
        <v>0</v>
      </c>
      <c r="FY132" s="830">
        <f t="array" ref="FY132">IF(ChoixRationComplèteFoieGrasCanards=NON,0,IFERROR(IF(OR(AND(INDEX(Règles_gavage[Specificite],MATCH(ChoixRationFoieGrasCanards&amp;Ration_complète_gavage_canards[aliment],Règles_gavage[Ration]&amp;Règles_gavage[Aliment],0))="s1",IF(Ration_complète_gavage_canards[aliment]=ChoixSpécificité1FoieGrasCanards,1)),
AND(INDEX(Règles_gavage[Specificite],MATCH(ChoixRationFoieGrasCanards&amp;Ration_complète_gavage_canards[aliment],Règles_gavage[Ration]&amp;Règles_gavage[Aliment],0))="s2",IF(Ration_complète_gavage_canards[aliment]=ChoixSpécificité2FoieGrasCanards,1)),
INDEX(Règles_gavage[Specificite],MATCH(ChoixRationFoieGrasCanards&amp;Ration_complète_gavage_canards[aliment],Règles_gavage[Ration]&amp;Règles_gavage[Aliment],0))="c",INDEX(Règles_gavage[Specificite],MATCH(ChoixRationFoieGrasCanards&amp;Ration_complète_gavage_canards[aliment],Règles_gavage[Ration]&amp;Règles_gavage[Aliment],0))="complet"),
INDEX(Règles_gavage[Valeur 2-3],MATCH(ChoixRationFoieGrasCanards&amp;Ration_complète_gavage_canards[aliment],Règles_gavage[Ration]&amp;Règles_gavage[Aliment],0)),0),0)*FoieGrasCanetons_2_3mois*DuréePhaseElevage2_3)</f>
        <v>0</v>
      </c>
      <c r="FZ132" s="830">
        <f t="array" ref="FZ132">IF(ChoixRationComplèteFoieGrasCanards=NON,0,IFERROR(IF(OR(AND(INDEX(Règles_gavage[Specificite],MATCH(ChoixRationFoieGrasCanards&amp;Ration_complète_gavage_canards[aliment],Règles_gavage[Ration]&amp;Règles_gavage[Aliment],0))="s1",IF(Ration_complète_gavage_canards[aliment]=ChoixSpécificité1FoieGrasCanards,1)),
AND(INDEX(Règles_gavage[Specificite],MATCH(ChoixRationFoieGrasCanards&amp;Ration_complète_gavage_canards[aliment],Règles_gavage[Ration]&amp;Règles_gavage[Aliment],0))="s2",IF(Ration_complète_gavage_canards[aliment]=ChoixSpécificité2FoieGrasCanards,1)),
INDEX(Règles_gavage[Specificite],MATCH(ChoixRationFoieGrasCanards&amp;Ration_complète_gavage_canards[aliment],Règles_gavage[Ration]&amp;Règles_gavage[Aliment],0))="c",INDEX(Règles_gavage[Specificite],MATCH(ChoixRationFoieGrasCanards&amp;Ration_complète_gavage_canards[aliment],Règles_gavage[Ration]&amp;Règles_gavage[Aliment],0))="complet"),
INDEX(Règles_gavage[Valeur 1-2],MATCH(ChoixRationFoieGrasCanards&amp;Ration_complète_gavage_canards[aliment],Règles_gavage[Ration]&amp;Règles_gavage[Aliment],0)),0),0)*FoieGrasCanetons_1_2mois*DuréePhaseElevage1_2)</f>
        <v>0</v>
      </c>
      <c r="GA132" s="830">
        <f t="array" ref="GA132">IF(ChoixRationComplèteFoieGrasCanards=NON,0,IFERROR(IF(OR(AND(INDEX(Règles_gavage[Specificite],MATCH(ChoixRationFoieGrasCanards&amp;Ration_complète_gavage_canards[aliment],Règles_gavage[Ration]&amp;Règles_gavage[Aliment],0))="s1",IF(Ration_complète_gavage_canards[aliment]=ChoixSpécificité1FoieGrasCanards,1)),
AND(INDEX(Règles_gavage[Specificite],MATCH(ChoixRationFoieGrasCanards&amp;Ration_complète_gavage_canards[aliment],Règles_gavage[Ration]&amp;Règles_gavage[Aliment],0))="s2",IF(Ration_complète_gavage_canards[aliment]=ChoixSpécificité2FoieGrasCanards,1)),
INDEX(Règles_gavage[Specificite],MATCH(ChoixRationFoieGrasCanards&amp;Ration_complète_gavage_canards[aliment],Règles_gavage[Ration]&amp;Règles_gavage[Aliment],0))="c",INDEX(Règles_gavage[Specificite],MATCH(ChoixRationFoieGrasCanards&amp;Ration_complète_gavage_canards[aliment],Règles_gavage[Ration]&amp;Règles_gavage[Aliment],0))="complet"),
INDEX(Règles_gavage[Valeur 0-1],MATCH(ChoixRationFoieGrasCanards&amp;Ration_complète_gavage_canards[aliment],Règles_gavage[Ration]&amp;Règles_gavage[Aliment],0)),0),0)*FoieGrasCanetons_0_1mois*DuréePhaseElevage0_1)</f>
        <v>0</v>
      </c>
      <c r="GB132" s="832">
        <f>SUM(Ration_complète_gavage_canards[[Valeur 3 et plus]:[Valeur 0-1]])</f>
        <v>0</v>
      </c>
      <c r="GC132" s="1321"/>
      <c r="GD132" s="1321"/>
      <c r="GE132" s="1321"/>
      <c r="GF132" s="1321"/>
      <c r="GG132" s="1321" t="s">
        <v>1349</v>
      </c>
      <c r="GH132" s="1321" t="s">
        <v>1349</v>
      </c>
      <c r="GI132" s="1321" t="s">
        <v>1349</v>
      </c>
      <c r="GJ132" s="1321" t="s">
        <v>1349</v>
      </c>
      <c r="GK132" s="1321" t="s">
        <v>1349</v>
      </c>
      <c r="GL132" s="1321" t="s">
        <v>1349</v>
      </c>
      <c r="GM132" s="1321" t="s">
        <v>1349</v>
      </c>
      <c r="GN132" s="1321" t="s">
        <v>1349</v>
      </c>
      <c r="GO132" s="1321" t="s">
        <v>1349</v>
      </c>
      <c r="GP132" s="1321" t="s">
        <v>1349</v>
      </c>
      <c r="GQ132" s="1321" t="s">
        <v>1349</v>
      </c>
      <c r="GR132" s="1321" t="s">
        <v>1349</v>
      </c>
      <c r="GS132" s="1321" t="s">
        <v>1349</v>
      </c>
      <c r="GT132" s="1321" t="s">
        <v>1349</v>
      </c>
      <c r="GU132" s="1321" t="s">
        <v>1349</v>
      </c>
      <c r="GV132" s="1321" t="s">
        <v>1349</v>
      </c>
      <c r="GW132" s="1321"/>
      <c r="GX132" s="1321"/>
      <c r="GY132" s="1321"/>
      <c r="GZ132" s="1321"/>
      <c r="HA132" s="1321"/>
      <c r="HB132" s="1321"/>
      <c r="HC132" s="1321"/>
      <c r="HD132" s="1321"/>
      <c r="HE132" s="1321"/>
      <c r="HF132" s="1321"/>
      <c r="HG132" s="1321"/>
      <c r="HH132" s="1321"/>
      <c r="HI132" s="1321"/>
      <c r="HJ132" s="1321"/>
      <c r="HK132" s="1321"/>
      <c r="HL132" s="1321"/>
      <c r="HM132" s="1321"/>
      <c r="HN132" s="1321"/>
      <c r="HO132" s="1321"/>
      <c r="HP132" s="1321"/>
      <c r="HQ132" s="1321"/>
      <c r="HR132" s="1321"/>
      <c r="HS132" s="1321"/>
      <c r="HT132" s="1321"/>
      <c r="HU132" s="1321"/>
      <c r="HV132" s="1321"/>
      <c r="HW132" s="1321"/>
      <c r="HX132" s="1321"/>
      <c r="HY132" s="1321"/>
      <c r="HZ132" s="1321"/>
      <c r="IA132" s="1321"/>
      <c r="IB132" s="1321"/>
      <c r="IC132" s="1321"/>
      <c r="ID132" s="1321"/>
      <c r="IE132" s="1321"/>
      <c r="IF132" s="1321"/>
      <c r="IG132" s="1321"/>
      <c r="IH132" s="1321"/>
      <c r="II132" s="1321"/>
      <c r="IJ132" s="1321"/>
      <c r="IK132" s="1321"/>
      <c r="IL132" s="1321"/>
      <c r="IM132" s="1321"/>
      <c r="IN132" s="1368"/>
    </row>
    <row r="133" spans="1:248" ht="12.75" customHeight="1" x14ac:dyDescent="0.2">
      <c r="A133" s="1307" t="s">
        <v>348</v>
      </c>
      <c r="B133" s="1209">
        <v>1</v>
      </c>
      <c r="C133" s="1321"/>
      <c r="D133" s="1321"/>
      <c r="E133" s="1321"/>
      <c r="F133" s="1149" t="s">
        <v>1756</v>
      </c>
      <c r="G133" s="1149">
        <v>1</v>
      </c>
      <c r="H133" s="1321"/>
      <c r="I133" s="1075" t="s">
        <v>1049</v>
      </c>
      <c r="J133" s="1080">
        <f>IF(gains!F$4=BDD!O$127,10,IF(gains!F$4=BDD!P$127,20,IF(gains!F$4=BDD!Q$127,30,0)))</f>
        <v>10</v>
      </c>
      <c r="K133" s="1080">
        <f>IF(gains!$G$7=K$127,1,0)</f>
        <v>0</v>
      </c>
      <c r="L133" s="1080">
        <f>IF(gains!$G$7=L$127,2,0)</f>
        <v>0</v>
      </c>
      <c r="M133" s="1080">
        <f>IF(gains!$G$7=M$127,3,0)</f>
        <v>0</v>
      </c>
      <c r="N133" s="1080">
        <f>IF(gains!$G$7=N$127,4,0)</f>
        <v>4</v>
      </c>
      <c r="O133" s="1080">
        <f>IF(AND(J133=10,SUM(K133:N133)=1),gains!$F$38,IF(AND(J133=10,SUM(K133:N133)=2),gains!$F$38*2,IF(AND(J133=10,SUM(K133:N133)=3),gains!$F$38*3,IF(AND(J133=10,SUM(K133:N133)=4),gains!$F$38*4,0))))</f>
        <v>56000</v>
      </c>
      <c r="P133" s="1080">
        <f>IF(AND(J133=20,SUM(K133:N133)=1),gains!$F$38*7,IF(AND(J133=20,SUM(K133:N133)=2),gains!$F$38*7*2,IF(AND(J133=20,SUM(K133:N133)=3),gains!$F$38*7*3,IF(AND(J133=20,SUM(K133:N133)=4),gains!$F$38*7*4,0))))</f>
        <v>0</v>
      </c>
      <c r="Q133" s="1080">
        <f>IF(AND(J133=30,SUM(K133:N133)=1),gains!$F$38*7*12,IF(AND(J133=30,SUM(K133:N133)=2),gains!$F$38*7*12*2,IF(AND(J133=30,SUM(K133:N133)=3),gains!$F$38*7*12*3,IF(AND(J133=30,SUM(K133:N133)=4),gains!$F$38*7*12*4,0))))</f>
        <v>0</v>
      </c>
      <c r="R133" s="1080">
        <f>(SUM(BF194+BF236)/1000*PrixAvoine+(BF195+BF237)/1000*PrixBetterave+(BF196+BF238)/1000*PrixBlé+(BF197+BF239)/1000*PrixBouchonsLuzerne+(BF199+BF241)/1000*PrixCanola+(BF200+BF242)/1000*PrixColza+(BF201+BF243)*1.07+(BF202+BF244)*1.12+(BF203+BF245)*1.13+(BF204+BF246)/1000*PrixEnsilageHerbe+(BF205+BF247)*IF(PrixEau="",0,PrixEau)+(BF207+BF249)/1000*PrixFeverole+(BF208+BF250)/1000*PrixFoin+(BF211+BF253)/1000*PrixMaïsEnsilé+(BF212+BF254)/1000*PrixMaïsGrain+(BF213+BF255)*1.38+(BF214+BF256)/1000*PrixOrge+(BF215+BF257)/1000*PrixPaille+(BF216+BF258)/1000*PrixPois+(BF219+BF261)*PrixRationBovins+(BF220+BF262)/1000*PrixSeigle+(BF221+BF263)/1000*PrixSoja+(BF222+BF264)/1000*PrixSorghoEnsilé+(BF223+BF265)/1000*PrixTournesol+(BF224+BF266)/1000*PrixTourteauColza+(BF225+BF267)/1000*PrixTourteauTournesol+(BF226+BF268)/1000*PrixTriticale)</f>
        <v>0</v>
      </c>
      <c r="S133" s="1080">
        <f>(SUM(BY106+BY144)/1000*PrixAvoine+(BY107+BY145)/1000*PrixBetterave+(BY108+BY146)/1000*PrixBlé+(BY109+BY147)/1000*PrixBouchonsLuzerne+(BY111+BY149)/1000*PrixCanola+(BY112+BY150)/1000*PrixColza+(BY113+BY151)*1.07+(BY114+BY152)*1.12+(BY115+BY153)*1.13+(BY116+BY154)/1000*PrixEnsilageHerbe+(BY117+BY155)*IF(PrixEau="",0,PrixEau)+(BY119+BY157)/1000*PrixFeverole+(BY120+BY158)/1000*PrixFoin+(BY123+BY161)/1000*PrixMaïsEnsilé+(BY124+BY162)/1000*PrixMaïsGrain+(BY125+BY163)*1.38+(BY126+BY164)/1000*PrixOrge+(BY127+BY165)/1000*PrixPaille+(BY128+BY166)/1000*PrixPois+SUM((Ration_complète_caprins[[Valeur 12 et plus (M)]:[Valeur 12 et plus (F)]]))/1000*PrixRationCaprins+(BY132+BY170)/1000*PrixSeigle+(BY133+BY171)/1000*PrixSoja+(BY134+BY172)/1000*PrixSorghoEnsilé+(BY135+BY173)/1000*PrixTournesol+(BY136+BY174)/1000*PrixTourteauColza+(BY137+BY175)/1000*PrixTourteauTournesol+(BY138+BY176)/1000*PrixTriticale)</f>
        <v>0</v>
      </c>
      <c r="T133" s="1080"/>
      <c r="U133" s="1080"/>
      <c r="V133" s="1080">
        <f>(SUM(DO150+DO192)/1000*PrixAvoine+(DO151+DO193)/1000*PrixBetterave+(DO152+DO194)/1000*PrixBlé+(DO153+DO195)/1000*PrixBouchonsLuzerne+(DO155+DO197)/1000*PrixCanola+(DO156+DO198)/1000*PrixColza+(DO157+DO199)*1.07+(DO158+DO200)*1.12+(DO159+DO201)*1.13+(DO160+DO202)/1000*PrixEnsilageHerbe+(DO161+DO203)*IF(PrixEau="",0,PrixEau)+(DO163+DO205)/1000*PrixFeverole+(DO164+DO206)/1000*PrixFoin+(DO167+DO209)/1000*PrixMaïsEnsilé+(DO168+DO210)/1000*PrixMaïsGrain+(DO169+DO211)*1.38+(DO170+DO212)/1000*PrixOrge+(DO171+DO213)/1000*PrixPaille+(DO172+DO214)/1000*PrixPois+(DO175+DO217)*PrixRationOvins+(DO176+DO218)/1000*PrixSeigle+(DO177+DO219)/1000*PrixSoja+(DO178+DO220)/1000*PrixSorghoEnsilé+(DO179+DO221)/1000*PrixTournesol+(DO180+DO222)/1000*PrixTourteauColza+(DO181+DO223)/1000*PrixTourteauTournesol+(DO182+DO224)/1000*PrixTriticale)</f>
        <v>0</v>
      </c>
      <c r="W133" s="1080"/>
      <c r="X133" s="1080"/>
      <c r="Y133" s="1321"/>
      <c r="Z133" s="1321"/>
      <c r="AA133" s="1321"/>
      <c r="AB133" s="1321"/>
      <c r="AC133" s="1321"/>
      <c r="AD133" s="1321"/>
      <c r="AE133" s="1321"/>
      <c r="AF133" s="1321"/>
      <c r="AG133" s="1321"/>
      <c r="AH133" s="1321"/>
      <c r="AI133" s="1321"/>
      <c r="AJ133" s="1321"/>
      <c r="AK133" s="1321"/>
      <c r="AL133" s="1321"/>
      <c r="AM133" s="1321"/>
      <c r="AN133" s="1321"/>
      <c r="AO133" s="1321"/>
      <c r="AP133" s="1321"/>
      <c r="AQ133" s="1321"/>
      <c r="AR133" s="1321"/>
      <c r="AS133" s="1321"/>
      <c r="AT133" s="1321"/>
      <c r="AU133" s="1321"/>
      <c r="AV133" s="1321"/>
      <c r="AW133" s="1321"/>
      <c r="AX133" s="1321"/>
      <c r="AY133" s="1321"/>
      <c r="AZ133" s="1321"/>
      <c r="BA133" s="1321"/>
      <c r="BB133" s="1236" t="s">
        <v>732</v>
      </c>
      <c r="BC133" s="1190" t="s">
        <v>723</v>
      </c>
      <c r="BD133" s="1190" t="s">
        <v>1277</v>
      </c>
      <c r="BE133" s="1237">
        <v>137</v>
      </c>
      <c r="BF133" s="1237">
        <v>117</v>
      </c>
      <c r="BG133" s="1237">
        <v>91</v>
      </c>
      <c r="BH133" s="1237">
        <v>69</v>
      </c>
      <c r="BI133" s="1237">
        <v>47</v>
      </c>
      <c r="BJ133" s="1237">
        <v>23</v>
      </c>
      <c r="BK133" s="1238">
        <v>0</v>
      </c>
      <c r="BL133" s="1348"/>
      <c r="BM133" s="1075" t="str">
        <f t="shared" si="47"/>
        <v>Minéraux + vitamines</v>
      </c>
      <c r="BN133" s="1269">
        <f t="array" ref="BN133">SUM((IF(QualitéAlimentsBisonneauxMâles_0_3_mois=BONNE,VLOOKUP("Minéraux + vitamines",AlimentsRationHivernaleBisonsMâles,8,FALSE),0)+(IF(QualitéAlimentsBisonneauxFemelles_0_3_mois=BONNE,VLOOKUP("Minéraux + vitamines",AlimentsRationHivernaleBisonsFemelles,8,FALSE),0)+(IF(QualitéAlimentsBisonneauxMâles_3_6_mois=BONNE,VLOOKUP("Minéraux + vitamines",AlimentsRationHivernaleBisonsMâles,7,FALSE),0)+(IF(QualitéAlimentsBisonneauxFemelles_3_6_mois=BONNE,VLOOKUP("Minéraux + vitamines",AlimentsRationHivernaleBisonsFemelles,7,FALSE),0)+(IF(QualitéAlimentsBisonneauxMâles_6_12_mois=BONNE,VLOOKUP("Minéraux + vitamines",AlimentsRationHivernaleBisonsMâles,6,FALSE),0)+(IF(QualitéAlimentsBisonneauxFemelles_6_12_mois=BONNE,VLOOKUP("Minéraux + vitamines",AlimentsRationHivernaleBisonsFemelles,6,FALSE),0)+(IF(QualitéAlimentsJeunesBisons_12_18_mois=BONNE,VLOOKUP("Minéraux + vitamines",AlimentsRationHivernaleBisonsMâles,5,FALSE),0)+(IF(QualitéAlimentsJeunesBisonnes_12_18_mois=BONNE,VLOOKUP("Minéraux + vitamines",AlimentsRationHivernaleBisonsFemelles,5,FALSE),0)+(IF(QualitéAlimentsJeunesBisons_18_24_mois=BONNE,VLOOKUP("Minéraux + vitamines",AlimentsRationHivernaleBisonsMâles,4,FALSE),0)+(IF(QualitéAlimentsJeunesBisonnes_18_24_mois=BONNE,VLOOKUP("Minéraux + vitamines",AlimentsRationHivernaleBisonsFemelles,4,FALSE),0)+(IF(QualitéAlimentsJeunesBisons_24_36_mois=BONNE,VLOOKUP("Minéraux + vitamines",AlimentsRationHivernaleBisonsMâles,3,FALSE),0)+(IF(QualitéAlimentsJeunesBisonnes_24_36_mois=BONNE,VLOOKUP("Minéraux + vitamines",AlimentsRationHivernaleBisonsFemelles,3,FALSE),0)+(IF(QualitéAlimentsBisons=BONNE,VLOOKUP("Minéraux + vitamines",AlimentsRationHivernaleBisonsMâles,2,FALSE),0)+(IF(QualitéAlimentsBisonnes=BONNE,VLOOKUP("Minéraux + vitamines",AlimentsRationHivernaleBisonsFemelles,2,FALSE),0))))))))))))))))</f>
        <v>0</v>
      </c>
      <c r="BO133" s="1269">
        <f t="array" ref="BO133">SUM((IF(QualitéAlimentsBisonneauxMâles_0_3_mois=MOYENNE,VLOOKUP("Minéraux + vitamines",AlimentsRationHivernaleBisonsMâles,8,FALSE),0)+(IF(QualitéAlimentsBisonneauxFemelles_0_3_mois=MOYENNE,VLOOKUP("Minéraux + vitamines",AlimentsRationHivernaleBisonsFemelles,8,FALSE),0)+(IF(QualitéAlimentsBisonneauxMâles_3_6_mois=MOYENNE,VLOOKUP("Minéraux + vitamines",AlimentsRationHivernaleBisonsMâles,7,FALSE),0)+(IF(QualitéAlimentsBisonneauxFemelles_3_6_mois=MOYENNE,VLOOKUP("Minéraux + vitamines",AlimentsRationHivernaleBisonsFemelles,7,FALSE),0)+(IF(QualitéAlimentsBisonneauxMâles_6_12_mois=MOYENNE,VLOOKUP("Minéraux + vitamines",AlimentsRationHivernaleBisonsMâles,6,FALSE),0)+(IF(QualitéAlimentsBisonneauxFemelles_6_12_mois=MOYENNE,VLOOKUP("Minéraux + vitamines",AlimentsRationHivernaleBisonsFemelles,6,FALSE),0)+(IF(QualitéAlimentsJeunesBisons_12_18_mois=MOYENNE,VLOOKUP("Minéraux + vitamines",AlimentsRationHivernaleBisonsMâles,5,FALSE),0)+(IF(QualitéAlimentsJeunesBisonnes_12_18_mois=MOYENNE,VLOOKUP("Minéraux + vitamines",AlimentsRationHivernaleBisonsFemelles,5,FALSE),0)+(IF(QualitéAlimentsJeunesBisons_18_24_mois=MOYENNE,VLOOKUP("Minéraux + vitamines",AlimentsRationHivernaleBisonsMâles,4,FALSE),0)+(IF(QualitéAlimentsJeunesBisonnes_18_24_mois=MOYENNE,VLOOKUP("Minéraux + vitamines",AlimentsRationHivernaleBisonsFemelles,4,FALSE),0)+(IF(QualitéAlimentsJeunesBisons_24_36_mois=MOYENNE,VLOOKUP("Minéraux + vitamines",AlimentsRationHivernaleBisonsMâles,3,FALSE),0)+(IF(QualitéAlimentsJeunesBisonnes_24_36_mois=MOYENNE,VLOOKUP("Minéraux + vitamines",AlimentsRationHivernaleBisonsFemelles,3,FALSE),0)+(IF(QualitéAlimentsBisons=MOYENNE,VLOOKUP("Minéraux + vitamines",AlimentsRationHivernaleBisonsMâles,2,FALSE),0)+(IF(QualitéAlimentsBisonnes=MOYENNE,VLOOKUP("Minéraux + vitamines",AlimentsRationHivernaleBisonsFemelles,2,FALSE),0))))))))))))))))</f>
        <v>0</v>
      </c>
      <c r="BP133" s="1269">
        <f t="array" ref="BP133">SUM((IF(QualitéAlimentsBisonneauxMâles_0_3_mois=MAUVAISE,VLOOKUP("Minéraux + vitamines",AlimentsRationHivernaleBisonsMâles,8,FALSE),0)+(IF(QualitéAlimentsBisonneauxFemelles_0_3_mois=MAUVAISE,VLOOKUP("Minéraux + vitamines",AlimentsRationHivernaleBisonsFemelles,8,FALSE),0)+(IF(QualitéAlimentsBisonneauxMâles_3_6_mois=MAUVAISE,VLOOKUP("Minéraux + vitamines",AlimentsRationHivernaleBisonsMâles,7,FALSE),0)+(IF(QualitéAlimentsBisonneauxFemelles_3_6_mois=MAUVAISE,VLOOKUP("Minéraux + vitamines",AlimentsRationHivernaleBisonsFemelles,7,FALSE),0)+(IF(QualitéAlimentsBisonneauxMâles_6_12_mois=MAUVAISE,VLOOKUP("Minéraux + vitamines",AlimentsRationHivernaleBisonsMâles,6,FALSE),0)+(IF(QualitéAlimentsBisonneauxFemelles_6_12_mois=MAUVAISE,VLOOKUP("Minéraux + vitamines",AlimentsRationHivernaleBisonsFemelles,6,FALSE),0)+(IF(QualitéAlimentsJeunesBisons_12_18_mois=MAUVAISE,VLOOKUP("Minéraux + vitamines",AlimentsRationHivernaleBisonsMâles,5,FALSE),0)+(IF(QualitéAlimentsJeunesBisonnes_12_18_mois=MAUVAISE,VLOOKUP("Minéraux + vitamines",AlimentsRationHivernaleBisonsFemelles,5,FALSE),0)+(IF(QualitéAlimentsJeunesBisons_18_24_mois=MAUVAISE,VLOOKUP("Minéraux + vitamines",AlimentsRationHivernaleBisonsMâles,4,FALSE),0)+(IF(QualitéAlimentsJeunesBisonnes_18_24_mois=MAUVAISE,VLOOKUP("Minéraux + vitamines",AlimentsRationHivernaleBisonsFemelles,4,FALSE),0)+(IF(QualitéAlimentsJeunesBisons_24_36_mois=MAUVAISE,VLOOKUP("Minéraux + vitamines",AlimentsRationHivernaleBisonsMâles,3,FALSE),0)+(IF(QualitéAlimentsJeunesBisonnes_24_36_mois=MAUVAISE,VLOOKUP("Minéraux + vitamines",AlimentsRationHivernaleBisonsFemelles,3,FALSE),0)+(IF(QualitéAlimentsBisons=MAUVAISE,VLOOKUP("Minéraux + vitamines",AlimentsRationHivernaleBisonsMâles,2,FALSE),0)+(IF(QualitéAlimentsBisonnes=MAUVAISE,VLOOKUP("Minéraux + vitamines",AlimentsRationHivernaleBisonsFemelles,2,FALSE),0))))))))))))))))</f>
        <v>0</v>
      </c>
      <c r="BQ133" s="1346"/>
      <c r="BR133" s="1346"/>
      <c r="BS133" s="1346"/>
      <c r="BT133" s="1346"/>
      <c r="BU133" s="1346"/>
      <c r="BV133" s="1345"/>
      <c r="BW133" s="1345"/>
      <c r="BX133" s="1075" t="s">
        <v>63</v>
      </c>
      <c r="BY133" s="1075">
        <f t="array" ref="BY133">IF(ChoixRationComplèteCaprins=OUI,0,IFERROR(IF(OR(AND(INDEX(Règles_caprins[Specificite],MATCH(ChoixRationCaprins&amp;$BX133,Règles_caprins[Ration]&amp;Règles_caprins[Aliment],0))="s1",IF($BX133=Spécificité1Caprins,1)),
INDEX(Règles_caprins[Specificite],MATCH(ChoixRationCaprins&amp;$BX133,Règles_caprins[Ration]&amp;Règles_caprins[Aliment],0))="c"),
INDEX(Règles_caprins[Valeur 12 et plus],MATCH(ChoixRationCaprins&amp;$BX133,Règles_caprins[Ration]&amp;Règles_caprins[Aliment],0)),0),0)*TotalBoucs*SUM(NbreJoursNourrirCaprins))</f>
        <v>0</v>
      </c>
      <c r="BZ133" s="1075">
        <f t="array" ref="BZ133">IF(ChoixRationComplèteCaprins=OUI,0,IFERROR(IF(OR(AND(INDEX(Règles_caprins[Specificite],MATCH(ChoixRationCaprins&amp;$BX133,Règles_caprins[Ration]&amp;Règles_caprins[Aliment],0))="s1",IF($BX133=Spécificité1Caprins,1)),
INDEX(Règles_caprins[Specificite],MATCH(ChoixRationCaprins&amp;$BX133,Règles_caprins[Ration]&amp;Règles_caprins[Aliment],0))="c"),
INDEX(Règles_caprins[Valeur 6-12],MATCH(ChoixRationCaprins&amp;$BX133,Règles_caprins[Ration]&amp;Règles_caprins[Aliment],0)),0),0)*jeune_bouc_6_12_mois*SUM(NbreJoursNourrirCaprins))</f>
        <v>0</v>
      </c>
      <c r="CA133" s="1075">
        <f t="array" ref="CA133">IF(ChoixRationComplèteCaprins=OUI,0,IFERROR(IF(OR(AND(INDEX(Règles_caprins[Specificite],MATCH(ChoixRationCaprins&amp;$BX133,Règles_caprins[Ration]&amp;Règles_caprins[Aliment],0))="s1",IF($BX133=Spécificité1Caprins,1)),
INDEX(Règles_caprins[Specificite],MATCH(ChoixRationCaprins&amp;$BX133,Règles_caprins[Ration]&amp;Règles_caprins[Aliment],0))="c"),
INDEX(Règles_caprins[Valeur 3-6],MATCH(ChoixRationCaprins&amp;$BX133,Règles_caprins[Ration]&amp;Règles_caprins[Aliment],0)),0),0)*chevreau_3_6_mois*SUM(NbreJoursNourrirCaprins))</f>
        <v>0</v>
      </c>
      <c r="CB133" s="1075">
        <f t="array" ref="CB133">IF(ChoixRationComplèteCaprins=OUI,0,IFERROR(IF(OR(AND(INDEX(Règles_caprins[Specificite],MATCH(ChoixRationCaprins&amp;$BX133,Règles_caprins[Ration]&amp;Règles_caprins[Aliment],0))="s1",IF($BX133=Spécificité1Caprins,1)),
INDEX(Règles_caprins[Specificite],MATCH(ChoixRationCaprins&amp;$BX133,Règles_caprins[Ration]&amp;Règles_caprins[Aliment],0))="c"),
INDEX(Règles_caprins[Valeur 0-3],MATCH(ChoixRationCaprins&amp;$BX133,Règles_caprins[Ration]&amp;Règles_caprins[Aliment],0)),0),0)*chevreau_0_3_mois*SUM(NbreJoursNourrirCaprins))</f>
        <v>0</v>
      </c>
      <c r="CC133" s="1075">
        <f t="shared" si="45"/>
        <v>0</v>
      </c>
      <c r="CD133" s="1345"/>
      <c r="CE133" s="1345"/>
      <c r="CF133" s="1345"/>
      <c r="CG133" s="1345"/>
      <c r="CH133" s="1321"/>
      <c r="CI133" s="1321"/>
      <c r="CJ133" s="808" t="s">
        <v>782</v>
      </c>
      <c r="CK133" s="803"/>
      <c r="CL133" s="1321"/>
      <c r="CM133" s="808" t="s">
        <v>782</v>
      </c>
      <c r="CN133" s="803"/>
      <c r="CO133" s="1362"/>
      <c r="CP133" s="1321"/>
      <c r="CQ133" s="1321"/>
      <c r="CR133" s="1321"/>
      <c r="CS133" s="808">
        <f t="shared" si="40"/>
        <v>0</v>
      </c>
      <c r="CT133" s="817">
        <f t="array" ref="CT13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33" s="817">
        <f t="array" ref="CU13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33" s="817">
        <f t="array" ref="CV133">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33" s="818">
        <f>SUM(AlimentsRationLapinsFemelles[[#This Row],[Valeur 3 et plus]:[Valeur 0-1]])</f>
        <v>0</v>
      </c>
      <c r="CX133" s="1321"/>
      <c r="CY133" s="1321"/>
      <c r="CZ133" s="808">
        <f t="shared" si="41"/>
        <v>0</v>
      </c>
      <c r="DA133" s="817">
        <f t="array" ref="DA13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33" s="817">
        <f t="array" ref="DB13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33" s="817">
        <f t="array" ref="DC133">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33" s="818">
        <f>SUM(AlimentsRationVolaillesFemelles[[#This Row],[Valeur 6 et plus]:[Valeur 0-1]])</f>
        <v>0</v>
      </c>
      <c r="DE133" s="1321"/>
      <c r="DF133" s="1321"/>
      <c r="DG133" s="1321"/>
      <c r="DH133" s="1321"/>
      <c r="DI133" s="1321"/>
      <c r="DJ133" s="1321"/>
      <c r="DK133" s="1321"/>
      <c r="DL133" s="1321"/>
      <c r="DM133" s="1321"/>
      <c r="DN133" s="1176" t="s">
        <v>765</v>
      </c>
      <c r="DO133" s="1177" t="s">
        <v>76</v>
      </c>
      <c r="DP133" s="1177" t="s">
        <v>1253</v>
      </c>
      <c r="DQ133" s="1181">
        <v>1.6</v>
      </c>
      <c r="DR133" s="1181">
        <v>1.4</v>
      </c>
      <c r="DS133" s="1181">
        <v>1.2</v>
      </c>
      <c r="DT133" s="1243">
        <v>1</v>
      </c>
      <c r="DU133" s="1346"/>
      <c r="DV133" s="1321"/>
      <c r="DW133" s="1321"/>
      <c r="DX133" s="1321"/>
      <c r="DY133" s="1321"/>
      <c r="DZ133" s="1321"/>
      <c r="EA133" s="1321"/>
      <c r="EB133" s="1321"/>
      <c r="EC133" s="1321"/>
      <c r="ED133" s="1345"/>
      <c r="EE133" s="1345"/>
      <c r="EF133" s="1321"/>
      <c r="EG133" s="792">
        <f t="shared" si="31"/>
        <v>0</v>
      </c>
      <c r="EH133" s="793">
        <f t="array" ref="EH13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6 et plus],MATCH(ChoixRationOies&amp;AlimentsRationOiesFemelles[[#This Row],[aliment]],Règles_oies[Ration]&amp;Règles_oies[Aliment],0)),0),0)*oie*SUM(NbreJoursNourrirAutres))</f>
        <v>0</v>
      </c>
      <c r="EI133" s="793">
        <f t="array" ref="EI13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3-6],MATCH(ChoixRationOies&amp;AlimentsRationOiesFemelles[[#This Row],[aliment]],Règles_oies[Ration]&amp;Règles_oies[Aliment],0)),0),0)*jeune_oie_3_6_mois*SUM(NbreJoursNourrirAutres))</f>
        <v>0</v>
      </c>
      <c r="EJ133" s="793">
        <f t="array" ref="EJ133">IF(ChoixRationComplèteOies=OUI,0,IFERROR(IF(OR(AND(INDEX(Règles_oies[Specificite],MATCH(ChoixRationOies&amp;AlimentsRationOiesFemelles[[#This Row],[aliment]],Règles_oies[Ration]&amp;Règles_oies[Aliment],0))="s1",IF(AlimentsRationOiesFemelles[[#This Row],[aliment]]=Spécificité1Oies,1)),
AND(INDEX(Règles_oies[Specificite],MATCH(ChoixRationOies&amp;AlimentsRationOiesFemelles[[#This Row],[aliment]],Règles_oies[Ration]&amp;Règles_oies[Aliment],0))="s2",IF(AlimentsRationOiesFemelles[[#This Row],[aliment]]=Spécificité2Oies,1)),
INDEX(Règles_oies[Specificite],MATCH(ChoixRationOies&amp;AlimentsRationOiesFemelles[[#This Row],[aliment]],Règles_oies[Ration]&amp;Règles_oies[Aliment],0))="c"),
INDEX(Règles_oies[Valeur 0-3],MATCH(ChoixRationOies&amp;AlimentsRationOiesFemelles[[#This Row],[aliment]],Règles_oies[Ration]&amp;Règles_oies[Aliment],0)),0),0)*oison_femelle_0_3_mois*SUM(NbreJoursNourrirAutres))</f>
        <v>0</v>
      </c>
      <c r="EK133" s="819">
        <f>SUM(AlimentsRationOiesFemelles[[#This Row],[Valeur 6 et plus]:[Valeur 0-3]])</f>
        <v>0</v>
      </c>
      <c r="EL133" s="1345"/>
      <c r="EM133" s="1321"/>
      <c r="EN133" s="1336"/>
      <c r="EO133" s="1336"/>
      <c r="EP133" s="1336"/>
      <c r="EQ133" s="1336"/>
      <c r="ER133" s="1336"/>
      <c r="ES133" s="1345"/>
      <c r="ET133" s="1321"/>
      <c r="EU133" s="1083" t="str">
        <f t="shared" si="44"/>
        <v>Tourteau de tournesol</v>
      </c>
      <c r="EV133" s="1283">
        <f t="array" ref="EV133">IF(OR(ChoixRationComplèteEtéChevauxSelle=OUI,ChoixRationComplèteEtéChevauxSelle="",AND(ChoixChevauxSellePréHiver=OUI,ChoixChevauxSellePréEté=OUI)),0,IFERROR(IF(OR(AND(INDEX(Règles_chevaux_selle[Specificite],MATCH(RationEtéChevauxSelle&amp;$EU133,Règles_chevaux_selle[Ration]&amp;Règles_chevaux_selle[Aliment],0))="s1",IF($EU133=Spécificité1ChevauxSelle,1)),
AND(INDEX(Règles_chevaux_selle[Specificite],MATCH(RationEtéChevauxSelle&amp;$EU133,Règles_chevaux_selle[Ration]&amp;Règles_chevaux_selle[Aliment],0))="s2",IF($EU133=Spécificité2ChevauxSelle,1)),
INDEX(Règles_chevaux_selle[Specificite],MATCH(RationEtéChevauxSelle&amp;$EU133,Règles_chevaux_selle[Ration]&amp;Règles_chevaux_selle[Aliment],0))="c"),
INDEX(Règles_chevaux_selle[Valeur 36 et plus],MATCH(RationEtéChevauxSelle&amp;$EU133,Règles_chevaux_selle[Ration]&amp;Règles_chevaux_selle[Aliment],0)),0),0)*TotalJumentSelle*SUM(NbreJoursNourrirChevauxSelle))</f>
        <v>0</v>
      </c>
      <c r="EW133" s="1283">
        <f t="array" ref="EW133">IF(OR(ChoixRationComplèteEtéChevauxSelle=OUI,ChoixRationComplèteEtéChevauxSelle="",AND(ChoixChevauxSellePréHiver=OUI,ChoixChevauxSellePréEté=OUI)),0,IFERROR(IF(OR(AND(INDEX(Règles_chevaux_selle[Specificite],MATCH(RationEtéChevauxSelle&amp;$EU133,Règles_chevaux_selle[Ration]&amp;Règles_chevaux_selle[Aliment],0))="s1",IF($EU133=Spécificité1ChevauxSelle,1)),
AND(INDEX(Règles_chevaux_selle[Specificite],MATCH(RationEtéChevauxSelle&amp;$EU133,Règles_chevaux_selle[Ration]&amp;Règles_chevaux_selle[Aliment],0))="s2",IF($EU133=Spécificité2ChevauxSelle,1)),
INDEX(Règles_chevaux_selle[Specificite],MATCH(RationEtéChevauxSelle&amp;$EU133,Règles_chevaux_selle[Ration]&amp;Règles_chevaux_selle[Aliment],0))="c"),
INDEX(Règles_chevaux_selle[Valeur 24-36],MATCH(RationEtéChevauxSelle&amp;$EU133,Règles_chevaux_selle[Ration]&amp;Règles_chevaux_selle[Aliment],0)),0),0)*TotalJeuneJumentSelle_24_36_mois*SUM(NbreJoursNourrirChevauxSelle))</f>
        <v>0</v>
      </c>
      <c r="EX133" s="1283">
        <f t="array" ref="EX133">IF(OR(ChoixRationComplèteEtéChevauxSelle=OUI,ChoixRationComplèteEtéChevauxSelle="",AND(ChoixChevauxSellePréHiver=OUI,ChoixChevauxSellePréEté=OUI)),0,IFERROR(IF(OR(AND(INDEX(Règles_chevaux_selle[Specificite],MATCH(RationEtéChevauxSelle&amp;$EU133,Règles_chevaux_selle[Ration]&amp;Règles_chevaux_selle[Aliment],0))="s1",IF($EU133=Spécificité1ChevauxSelle,1)),
AND(INDEX(Règles_chevaux_selle[Specificite],MATCH(RationEtéChevauxSelle&amp;$EU133,Règles_chevaux_selle[Ration]&amp;Règles_chevaux_selle[Aliment],0))="s2",IF($EU133=Spécificité2ChevauxSelle,1)),
INDEX(Règles_chevaux_selle[Specificite],MATCH(RationEtéChevauxSelle&amp;$EU133,Règles_chevaux_selle[Ration]&amp;Règles_chevaux_selle[Aliment],0))="c"),
INDEX(Règles_chevaux_selle[Valeur 12-24],MATCH(RationEtéChevauxSelle&amp;$EU133,Règles_chevaux_selle[Ration]&amp;Règles_chevaux_selle[Aliment],0)),0),0)*TotalJeuneJumentSelle_12_24_mois*SUM(NbreJoursNourrirChevauxSelle))</f>
        <v>0</v>
      </c>
      <c r="EY133" s="1286">
        <f t="array" ref="EY133">IF(OR(ChoixRationComplèteEtéChevauxSelle=OUI,ChoixRationComplèteEtéChevauxSelle="",AND(ChoixChevauxSellePréHiver=OUI,ChoixChevauxSellePréEté=OUI)),0,IFERROR(IF(OR(AND(INDEX(Règles_chevaux_selle[Specificite],MATCH(RationEtéChevauxSelle&amp;$EU133,Règles_chevaux_selle[Ration]&amp;Règles_chevaux_selle[Aliment],0))="s1",IF($EU133=Spécificité1ChevauxSelle,1)),
AND(INDEX(Règles_chevaux_selle[Specificite],MATCH(RationEtéChevauxSelle&amp;$EU133,Règles_chevaux_selle[Ration]&amp;Règles_chevaux_selle[Aliment],0))="s2",IF($EU133=Spécificité2ChevauxSelle,1)),
INDEX(Règles_chevaux_selle[Specificite],MATCH(RationEtéChevauxSelle&amp;$EU133,Règles_chevaux_selle[Ration]&amp;Règles_chevaux_selle[Aliment],0))="c"),
INDEX(Règles_chevaux_selle[Valeur 0-12],MATCH(RationEtéChevauxSelle&amp;$EU133,Règles_chevaux_selle[Ration]&amp;Règles_chevaux_selle[Aliment],0)),0),0)*TotalPoulicheSelle_0_12_mois*SUM(NbreJoursNourrirChevauxSelle))</f>
        <v>0</v>
      </c>
      <c r="EZ133" s="1286">
        <f t="shared" si="43"/>
        <v>0</v>
      </c>
      <c r="FA133" s="1345"/>
      <c r="FB133" s="1345"/>
      <c r="FC133" s="1321"/>
      <c r="FD133" s="1083">
        <f t="shared" si="34"/>
        <v>0</v>
      </c>
      <c r="FE133" s="1283">
        <f t="array" ref="FE133">IF(OR(ChoixRationComplèteEtéChevauxTrait=OUI,ChoixRationComplèteEtéChevauxTrait="",AND(ChoixChevauxTraitPréHiver=OUI,ChoixChevauxTraitPréEté=OUI)),0,IFERROR(IF(OR(AND(INDEX(Règles_chevaux_trait[Specificite],MATCH(RationEtéChevauxTrait&amp;$FD133,Règles_chevaux_trait[Ration]&amp;Règles_chevaux_trait[Aliment],0))="s1",IF($FD133=Spécificité1ChevauxTrait,1)),
AND(INDEX(Règles_chevaux_trait[Specificite],MATCH(RationEtéChevauxTrait&amp;$FD133,Règles_chevaux_trait[Ration]&amp;Règles_chevaux_trait[Aliment],0))="s2",IF($FD133=Spécificité2ChevauxTrait,1)),
INDEX(Règles_chevaux_trait[Specificite],MATCH(RationEtéChevauxTrait&amp;$FD133,Règles_chevaux_trait[Ration]&amp;Règles_chevaux_trait[Aliment],0))="c"),
INDEX(Règles_chevaux_trait[Valeur 36 et plus],MATCH(RationEtéChevauxTrait&amp;$FD133,Règles_chevaux_trait[Ration]&amp;Règles_chevaux_trait[Aliment],0)),0),0)*TotalJumentTrait*SUM(NbreJoursNourrirChevauxTrait))</f>
        <v>0</v>
      </c>
      <c r="FF133" s="1283">
        <f t="array" ref="FF133">IF(OR(ChoixRationComplèteEtéChevauxTrait=OUI,ChoixRationComplèteEtéChevauxTrait="",AND(ChoixChevauxTraitPréHiver=OUI,ChoixChevauxTraitPréEté=OUI)),0,IFERROR(IF(OR(AND(INDEX(Règles_chevaux_trait[Specificite],MATCH(RationEtéChevauxTrait&amp;$FD133,Règles_chevaux_trait[Ration]&amp;Règles_chevaux_trait[Aliment],0))="s1",IF($FD133=Spécificité1ChevauxTrait,1)),
AND(INDEX(Règles_chevaux_trait[Specificite],MATCH(RationEtéChevauxTrait&amp;$FD133,Règles_chevaux_trait[Ration]&amp;Règles_chevaux_trait[Aliment],0))="s2",IF($FD133=Spécificité2ChevauxTrait,1)),
INDEX(Règles_chevaux_trait[Specificite],MATCH(RationEtéChevauxTrait&amp;$FD133,Règles_chevaux_trait[Ration]&amp;Règles_chevaux_trait[Aliment],0))="c"),
INDEX(Règles_chevaux_trait[Valeur 24-36],MATCH(RationEtéChevauxTrait&amp;$FD133,Règles_chevaux_trait[Ration]&amp;Règles_chevaux_trait[Aliment],0)),0),0)*TotalJeuneJumentTrait_24_36_mois*SUM(NbreJoursNourrirChevauxTrait))</f>
        <v>0</v>
      </c>
      <c r="FG133" s="1283">
        <f t="array" ref="FG133">IF(OR(ChoixRationComplèteEtéChevauxTrait=OUI,ChoixRationComplèteEtéChevauxTrait="",AND(ChoixChevauxTraitPréHiver=OUI,ChoixChevauxTraitPréEté=OUI)),0,IFERROR(IF(OR(AND(INDEX(Règles_chevaux_trait[Specificite],MATCH(RationEtéChevauxTrait&amp;$FD133,Règles_chevaux_trait[Ration]&amp;Règles_chevaux_trait[Aliment],0))="s1",IF($FD133=Spécificité1ChevauxTrait,1)),
AND(INDEX(Règles_chevaux_trait[Specificite],MATCH(RationEtéChevauxTrait&amp;$FD133,Règles_chevaux_trait[Ration]&amp;Règles_chevaux_trait[Aliment],0))="s2",IF($FD133=Spécificité2ChevauxTrait,1)),
INDEX(Règles_chevaux_trait[Specificite],MATCH(RationEtéChevauxTrait&amp;$FD133,Règles_chevaux_trait[Ration]&amp;Règles_chevaux_trait[Aliment],0))="c"),
INDEX(Règles_chevaux_trait[Valeur 12-24],MATCH(RationEtéChevauxTrait&amp;$FD133,Règles_chevaux_trait[Ration]&amp;Règles_chevaux_trait[Aliment],0)),0),0)*TotalJeuneJumentTrait_12_24_mois*SUM(NbreJoursNourrirChevauxTrait))</f>
        <v>0</v>
      </c>
      <c r="FH133" s="1286">
        <f t="array" ref="FH133">IF(OR(ChoixRationComplèteEtéChevauxTrait=OUI,ChoixRationComplèteEtéChevauxTrait="",AND(ChoixChevauxTraitPréHiver=OUI,ChoixChevauxTraitPréEté=OUI)),0,IFERROR(IF(OR(AND(INDEX(Règles_chevaux_trait[Specificite],MATCH(RationEtéChevauxTrait&amp;$FD133,Règles_chevaux_trait[Ration]&amp;Règles_chevaux_trait[Aliment],0))="s1",IF($FD133=Spécificité1ChevauxTrait,1)),
AND(INDEX(Règles_chevaux_trait[Specificite],MATCH(RationEtéChevauxTrait&amp;$FD133,Règles_chevaux_trait[Ration]&amp;Règles_chevaux_trait[Aliment],0))="s2",IF($FD133=Spécificité2ChevauxTrait,1)),
INDEX(Règles_chevaux_trait[Specificite],MATCH(RationEtéChevauxTrait&amp;$FD133,Règles_chevaux_trait[Ration]&amp;Règles_chevaux_trait[Aliment],0))="c"),
INDEX(Règles_chevaux_trait[Valeur 0-12],MATCH(RationEtéChevauxTrait&amp;$FD133,Règles_chevaux_trait[Ration]&amp;Règles_chevaux_trait[Aliment],0)),0),0)*TotalPoulicheTrait_0_12_mois*SUM(NbreJoursNourrirChevauxTrait))</f>
        <v>0</v>
      </c>
      <c r="FI133" s="1286">
        <f t="shared" si="32"/>
        <v>0</v>
      </c>
      <c r="FJ133" s="1345"/>
      <c r="FK133" s="1345"/>
      <c r="FL133" s="1345"/>
      <c r="FM133" s="1321"/>
      <c r="FN133" s="1082">
        <f t="shared" si="33"/>
        <v>0</v>
      </c>
      <c r="FO133" s="1282">
        <f t="array" ref="FO133">IF(OR(ChoixRationComplèteEtéPoneys=OUI,ChoixRationComplèteEtéPoneys="",AND(ChoixPoneysPréHiver=OUI,ChoixPoneysPréEté=OUI)),0,IFERROR(IF(OR(AND(INDEX(Règles_poneys[Specificite],MATCH(RationEtéPoneys&amp;$FN133,Règles_poneys[Ration]&amp;Règles_poneys[Aliment],0))="s1",IF($FN133=Spécificité1Poneys,1)),
AND(INDEX(Règles_poneys[Specificite],MATCH(RationEtéPoneys&amp;$FN133,Règles_poneys[Ration]&amp;Règles_poneys[Aliment],0))="s2",IF($FN133=Spécificité2Poneys,1)),
INDEX(Règles_poneys[Specificite],MATCH(RationEtéPoneys&amp;$FN133,Règles_poneys[Ration]&amp;Règles_poneys[Aliment],0))="c"),
INDEX(Règles_poneys[Valeur 36 et plus],MATCH(RationEtéPoneys&amp;$FN133,Règles_poneys[Ration]&amp;Règles_poneys[Aliment],0)),0),0)*TotalJumentPoney*SUM(NbreJoursNourrirPoneys))</f>
        <v>0</v>
      </c>
      <c r="FP133" s="1282">
        <f t="array" ref="FP133">IF(OR(ChoixRationComplèteEtéPoneys=OUI,ChoixRationComplèteEtéPoneys="",AND(ChoixPoneysPréHiver=OUI,ChoixPoneysPréEté=OUI)),0,IFERROR(IF(OR(AND(INDEX(Règles_poneys[Specificite],MATCH(RationEtéPoneys&amp;$FN133,Règles_poneys[Ration]&amp;Règles_poneys[Aliment],0))="s1",IF($FN133=Spécificité1Poneys,1)),
AND(INDEX(Règles_poneys[Specificite],MATCH(RationEtéPoneys&amp;$FN133,Règles_poneys[Ration]&amp;Règles_poneys[Aliment],0))="s2",IF($FN133=Spécificité2Poneys,1)),
INDEX(Règles_poneys[Specificite],MATCH(RationEtéPoneys&amp;$FN133,Règles_poneys[Ration]&amp;Règles_poneys[Aliment],0))="c"),
INDEX(Règles_poneys[Valeur 36 et plus],MATCH(RationEtéPoneys&amp;$FN133,Règles_poneys[Ration]&amp;Règles_poneys[Aliment],0)),0),0)*TotalJeuneJumentPoney_24_36_mois*SUM(NbreJoursNourrirPoneys))</f>
        <v>0</v>
      </c>
      <c r="FQ133" s="1282">
        <f t="array" ref="FQ133">IF(OR(ChoixRationComplèteEtéPoneys=OUI,ChoixRationComplèteEtéPoneys="",AND(ChoixPoneysPréHiver=OUI,ChoixPoneysPréEté=OUI)),0,IFERROR(IF(OR(AND(INDEX(Règles_poneys[Specificite],MATCH(RationEtéPoneys&amp;$FN133,Règles_poneys[Ration]&amp;Règles_poneys[Aliment],0))="s1",IF($FN133=Spécificité1Poneys,1)),
AND(INDEX(Règles_poneys[Specificite],MATCH(RationEtéPoneys&amp;$FN133,Règles_poneys[Ration]&amp;Règles_poneys[Aliment],0))="s2",IF($FN133=Spécificité2Poneys,1)),
INDEX(Règles_poneys[Specificite],MATCH(RationEtéPoneys&amp;$FN133,Règles_poneys[Ration]&amp;Règles_poneys[Aliment],0))="c"),
INDEX(Règles_poneys[Valeur 36 et plus],MATCH(RationEtéPoneys&amp;$FN133,Règles_poneys[Ration]&amp;Règles_poneys[Aliment],0)),0),0)*TotalJeuneJumentPoney_12_24_mois*SUM(NbreJoursNourrirPoneys))</f>
        <v>0</v>
      </c>
      <c r="FR133" s="1285">
        <f t="array" ref="FR133">IF(OR(ChoixRationComplèteEtéPoneys=OUI,ChoixRationComplèteEtéPoneys="",AND(ChoixPoneysPréHiver=OUI,ChoixPoneysPréEté=OUI)),0,IFERROR(IF(OR(AND(INDEX(Règles_poneys[Specificite],MATCH(RationEtéPoneys&amp;$FN133,Règles_poneys[Ration]&amp;Règles_poneys[Aliment],0))="s1",IF($FN133=Spécificité1Poneys,1)),
AND(INDEX(Règles_poneys[Specificite],MATCH(RationEtéPoneys&amp;$FN133,Règles_poneys[Ration]&amp;Règles_poneys[Aliment],0))="s2",IF($FN133=Spécificité2Poneys,1)),
INDEX(Règles_poneys[Specificite],MATCH(RationEtéPoneys&amp;$FN133,Règles_poneys[Ration]&amp;Règles_poneys[Aliment],0))="c"),
INDEX(Règles_poneys[Valeur 36 et plus],MATCH(RationEtéPoneys&amp;$FN133,Règles_poneys[Ration]&amp;Règles_poneys[Aliment],0)),0),0)*TotalPoulichePoney_0_12_mois*SUM(NbreJoursNourrirPoneys))</f>
        <v>0</v>
      </c>
      <c r="FS133" s="1285">
        <f t="shared" si="30"/>
        <v>0</v>
      </c>
      <c r="FT133" s="1345"/>
      <c r="FU133" s="1345"/>
      <c r="FV133" s="1345"/>
      <c r="FW133" s="1321"/>
      <c r="FX133" s="1366"/>
      <c r="FY133" s="1366"/>
      <c r="FZ133" s="1366"/>
      <c r="GA133" s="1366"/>
      <c r="GB133" s="1321"/>
      <c r="GC133" s="1321"/>
      <c r="GD133" s="1321"/>
      <c r="GE133" s="1321"/>
      <c r="GF133" s="1321"/>
      <c r="GG133" s="1321" t="s">
        <v>1349</v>
      </c>
      <c r="GH133" s="1321" t="s">
        <v>1349</v>
      </c>
      <c r="GI133" s="1321" t="s">
        <v>1349</v>
      </c>
      <c r="GJ133" s="1321" t="s">
        <v>1349</v>
      </c>
      <c r="GK133" s="1321" t="s">
        <v>1349</v>
      </c>
      <c r="GL133" s="1321" t="s">
        <v>1349</v>
      </c>
      <c r="GM133" s="1321" t="s">
        <v>1349</v>
      </c>
      <c r="GN133" s="1321" t="s">
        <v>1349</v>
      </c>
      <c r="GO133" s="1321" t="s">
        <v>1349</v>
      </c>
      <c r="GP133" s="1321" t="s">
        <v>1349</v>
      </c>
      <c r="GQ133" s="1321" t="s">
        <v>1349</v>
      </c>
      <c r="GR133" s="1321" t="s">
        <v>1349</v>
      </c>
      <c r="GS133" s="1321" t="s">
        <v>1349</v>
      </c>
      <c r="GT133" s="1321" t="s">
        <v>1349</v>
      </c>
      <c r="GU133" s="1321" t="s">
        <v>1349</v>
      </c>
      <c r="GV133" s="1321" t="s">
        <v>1349</v>
      </c>
      <c r="GW133" s="1321"/>
      <c r="GX133" s="1321"/>
      <c r="GY133" s="1321"/>
      <c r="GZ133" s="1321"/>
      <c r="HA133" s="1321"/>
      <c r="HB133" s="1321"/>
      <c r="HC133" s="1321"/>
      <c r="HD133" s="1321"/>
      <c r="HE133" s="1321"/>
      <c r="HF133" s="1321"/>
      <c r="HG133" s="1321"/>
      <c r="HH133" s="1321"/>
      <c r="HI133" s="1321"/>
      <c r="HJ133" s="1321"/>
      <c r="HK133" s="1321"/>
      <c r="HL133" s="1321"/>
      <c r="HM133" s="1321"/>
      <c r="HN133" s="1321"/>
      <c r="HO133" s="1321"/>
      <c r="HP133" s="1321"/>
      <c r="HQ133" s="1321"/>
      <c r="HR133" s="1321"/>
      <c r="HS133" s="1321"/>
      <c r="HT133" s="1321"/>
      <c r="HU133" s="1321"/>
      <c r="HV133" s="1321"/>
      <c r="HW133" s="1321"/>
      <c r="HX133" s="1321"/>
      <c r="HY133" s="1321"/>
      <c r="HZ133" s="1321"/>
      <c r="IA133" s="1321"/>
      <c r="IB133" s="1321"/>
      <c r="IC133" s="1321"/>
      <c r="ID133" s="1321"/>
      <c r="IE133" s="1321"/>
      <c r="IF133" s="1321"/>
      <c r="IG133" s="1321"/>
      <c r="IH133" s="1321"/>
      <c r="II133" s="1321"/>
      <c r="IJ133" s="1321"/>
      <c r="IK133" s="1321"/>
      <c r="IL133" s="1321"/>
      <c r="IM133" s="1321"/>
      <c r="IN133" s="1368"/>
    </row>
    <row r="134" spans="1:248" ht="12.75" customHeight="1" x14ac:dyDescent="0.2">
      <c r="A134" s="1307" t="s">
        <v>349</v>
      </c>
      <c r="B134" s="1209">
        <v>0.7</v>
      </c>
      <c r="C134" s="1321"/>
      <c r="D134" s="1321"/>
      <c r="E134" s="1321"/>
      <c r="F134" s="1143" t="s">
        <v>1757</v>
      </c>
      <c r="G134" s="1143">
        <v>1</v>
      </c>
      <c r="H134" s="1321"/>
      <c r="I134" s="1076" t="s">
        <v>1050</v>
      </c>
      <c r="J134" s="1081">
        <f>IF(gains!F$4=BDD!O$127,10,IF(gains!F$4=BDD!P$127,20,IF(gains!F$4=BDD!Q$127,30,0)))</f>
        <v>10</v>
      </c>
      <c r="K134" s="1081">
        <f>IF(gains!$G$7=K$127,1,0)</f>
        <v>0</v>
      </c>
      <c r="L134" s="1081">
        <f>IF(gains!$G$7=L$127,2,0)</f>
        <v>0</v>
      </c>
      <c r="M134" s="1081">
        <f>IF(gains!$G$7=M$127,3,0)</f>
        <v>0</v>
      </c>
      <c r="N134" s="1081">
        <f>IF(gains!$G$7=N$127,4,0)</f>
        <v>4</v>
      </c>
      <c r="O134" s="1081">
        <f>IF(AND(J134=10,SUM(K134:N134)=1),gains!$F$38,IF(AND(J134=10,SUM(K134:N134)=2),gains!$F$38*2,IF(AND(J134=10,SUM(K134:N134)=3),gains!$F$38*3,IF(AND(J134=10,SUM(K134:N134)=4),gains!$F$38*4,0))))</f>
        <v>56000</v>
      </c>
      <c r="P134" s="1081">
        <f>IF(AND(J134=20,SUM(K134:N134)=1),gains!$F$38*7,IF(AND(J134=20,SUM(K134:N134)=2),gains!$F$38*7*2,IF(AND(J134=20,SUM(K134:N134)=3),gains!$F$38*7*3,IF(AND(J134=20,SUM(K134:N134)=4),gains!$F$38*7*4,0))))</f>
        <v>0</v>
      </c>
      <c r="Q134" s="1081">
        <f>IF(AND(J134=30,SUM(K134:N134)=1),gains!$F$38*7*12,IF(AND(J134=30,SUM(K134:N134)=2),gains!$F$38*7*12*2,IF(AND(J134=30,SUM(K134:N134)=3),gains!$F$38*7*12*3,IF(AND(J134=30,SUM(K134:N134)=4),gains!$F$38*7*12*4,0))))</f>
        <v>0</v>
      </c>
      <c r="R134" s="1081">
        <f>(SUM(BE194+BE236)/1000*PrixAvoine+(BE195+BE237)/1000*PrixBetterave+(BE196+BE238)/1000*PrixBlé+(BE197+BE239)/1000*PrixBouchonsLuzerne+(BE199+BE241)/1000*PrixCanola+(BE200+BE242)/1000*PrixColza+(BE201+BE243)*1.07+(BE202+BE244)*1.12+(BE203+BE245)*1.13+(BE204+BE246)/1000*PrixEnsilageHerbe+(BE205+BE247)*IF(PrixEau="",0,PrixEau)+(BE207+BE249)/1000*PrixFeverole+(BE208+BE250)/1000*PrixFoin+(BE211+BE253)/1000*PrixMaïsEnsilé+(BE212+BE254)/1000*PrixMaïsGrain+(BE213+BE255)*1.38+(BE214+BE256)/1000*PrixOrge+(BE215+BE257)/1000*PrixPaille+(BE216+BE258)/1000*PrixPois+(BE219+BE261)*PrixRationBovins+(BE220+BE262)/1000*PrixSeigle+(BE221+BE263)/1000*PrixSoja+(BE222+BE264)/1000*PrixSorghoEnsilé+(BE223+BE265)/1000*PrixTournesol+(BE224+BE266)/1000*PrixTourteauColza+(BE225+BE267)/1000*PrixTourteauTournesol+(BE226+BE268)/1000*PrixTriticale)</f>
        <v>0</v>
      </c>
      <c r="S134" s="1081"/>
      <c r="T134" s="1081"/>
      <c r="U134" s="1081"/>
      <c r="V134" s="1081"/>
      <c r="W134" s="1081"/>
      <c r="X134" s="1081"/>
      <c r="Y134" s="1321"/>
      <c r="Z134" s="1321"/>
      <c r="AA134" s="1321"/>
      <c r="AB134" s="1321"/>
      <c r="AC134" s="1321"/>
      <c r="AD134" s="1321"/>
      <c r="AE134" s="1321"/>
      <c r="AF134" s="1321"/>
      <c r="AG134" s="1321"/>
      <c r="AH134" s="1321"/>
      <c r="AI134" s="1321"/>
      <c r="AJ134" s="1321"/>
      <c r="AK134" s="1321"/>
      <c r="AL134" s="1321"/>
      <c r="AM134" s="1321"/>
      <c r="AN134" s="1321"/>
      <c r="AO134" s="1321"/>
      <c r="AP134" s="1321"/>
      <c r="AQ134" s="1321"/>
      <c r="AR134" s="1321"/>
      <c r="AS134" s="1321"/>
      <c r="AT134" s="1321"/>
      <c r="AU134" s="1321"/>
      <c r="AV134" s="1321"/>
      <c r="AW134" s="1321"/>
      <c r="AX134" s="1321"/>
      <c r="AY134" s="1321"/>
      <c r="AZ134" s="1321"/>
      <c r="BA134" s="1321"/>
      <c r="BB134" s="1236" t="s">
        <v>732</v>
      </c>
      <c r="BC134" s="1190" t="s">
        <v>725</v>
      </c>
      <c r="BD134" s="1190" t="s">
        <v>1252</v>
      </c>
      <c r="BE134" s="1237">
        <v>28</v>
      </c>
      <c r="BF134" s="1237">
        <v>24</v>
      </c>
      <c r="BG134" s="1237">
        <v>20</v>
      </c>
      <c r="BH134" s="1237">
        <v>16</v>
      </c>
      <c r="BI134" s="1237">
        <v>8</v>
      </c>
      <c r="BJ134" s="1237">
        <v>4</v>
      </c>
      <c r="BK134" s="1238">
        <v>0</v>
      </c>
      <c r="BL134" s="1348"/>
      <c r="BM134" s="1076" t="str">
        <f t="shared" si="47"/>
        <v>Orge</v>
      </c>
      <c r="BN134" s="1267">
        <f t="array" ref="BN134">SUM((IF(QualitéAlimentsBisonneauxMâles_0_3_mois=BONNE,VLOOKUP("Orge",AlimentsRationHivernaleBisonsMâles,8,FALSE),0)+(IF(QualitéAlimentsBisonneauxFemelles_0_3_mois=BONNE,VLOOKUP("Orge",AlimentsRationHivernaleBisonsFemelles,8,FALSE),0)+(IF(QualitéAlimentsBisonneauxMâles_3_6_mois=BONNE,VLOOKUP("Orge",AlimentsRationHivernaleBisonsMâles,7,FALSE),0)+(IF(QualitéAlimentsBisonneauxFemelles_3_6_mois=BONNE,VLOOKUP("Orge",AlimentsRationHivernaleBisonsFemelles,7,FALSE),0)+(IF(QualitéAlimentsBisonneauxMâles_6_12_mois=BONNE,VLOOKUP("Orge",AlimentsRationHivernaleBisonsMâles,6,FALSE),0)+(IF(QualitéAlimentsBisonneauxFemelles_6_12_mois=BONNE,VLOOKUP("Orge",AlimentsRationHivernaleBisonsFemelles,6,FALSE),0)+(IF(QualitéAlimentsJeunesBisons_12_18_mois=BONNE,VLOOKUP("Orge",AlimentsRationHivernaleBisonsMâles,5,FALSE),0)+(IF(QualitéAlimentsJeunesBisonnes_12_18_mois=BONNE,VLOOKUP("Orge",AlimentsRationHivernaleBisonsFemelles,5,FALSE),0)+(IF(QualitéAlimentsJeunesBisons_18_24_mois=BONNE,VLOOKUP("Orge",AlimentsRationHivernaleBisonsMâles,4,FALSE),0)+(IF(QualitéAlimentsJeunesBisonnes_18_24_mois=BONNE,VLOOKUP("Orge",AlimentsRationHivernaleBisonsFemelles,4,FALSE),0)+(IF(QualitéAlimentsJeunesBisons_24_36_mois=BONNE,VLOOKUP("Orge",AlimentsRationHivernaleBisonsMâles,3,FALSE),0)+(IF(QualitéAlimentsJeunesBisonnes_24_36_mois=BONNE,VLOOKUP("Orge",AlimentsRationHivernaleBisonsFemelles,3,FALSE),0)+(IF(QualitéAlimentsBisons=BONNE,VLOOKUP("Orge",AlimentsRationHivernaleBisonsMâles,2,FALSE),0)+(IF(QualitéAlimentsBisonnes=BONNE,VLOOKUP("Orge",AlimentsRationHivernaleBisonsFemelles,2,FALSE),0))))))))))))))))</f>
        <v>0</v>
      </c>
      <c r="BO134" s="1267">
        <f t="array" ref="BO134">SUM((IF(QualitéAlimentsBisonneauxMâles_0_3_mois=MOYENNE,VLOOKUP("Orge",AlimentsRationHivernaleBisonsMâles,8,FALSE),0)+(IF(QualitéAlimentsBisonneauxFemelles_0_3_mois=MOYENNE,VLOOKUP("Orge",AlimentsRationHivernaleBisonsFemelles,8,FALSE),0)+(IF(QualitéAlimentsBisonneauxMâles_3_6_mois=MOYENNE,VLOOKUP("Orge",AlimentsRationHivernaleBisonsMâles,7,FALSE),0)+(IF(QualitéAlimentsBisonneauxFemelles_3_6_mois=MOYENNE,VLOOKUP("Orge",AlimentsRationHivernaleBisonsFemelles,7,FALSE),0)+(IF(QualitéAlimentsBisonneauxMâles_6_12_mois=MOYENNE,VLOOKUP("Orge",AlimentsRationHivernaleBisonsMâles,6,FALSE),0)+(IF(QualitéAlimentsBisonneauxFemelles_6_12_mois=MOYENNE,VLOOKUP("Orge",AlimentsRationHivernaleBisonsFemelles,6,FALSE),0)+(IF(QualitéAlimentsJeunesBisons_12_18_mois=MOYENNE,VLOOKUP("Orge",AlimentsRationHivernaleBisonsMâles,5,FALSE),0)+(IF(QualitéAlimentsJeunesBisonnes_12_18_mois=MOYENNE,VLOOKUP("Orge",AlimentsRationHivernaleBisonsFemelles,5,FALSE),0)+(IF(QualitéAlimentsJeunesBisons_18_24_mois=MOYENNE,VLOOKUP("Orge",AlimentsRationHivernaleBisonsMâles,4,FALSE),0)+(IF(QualitéAlimentsJeunesBisonnes_18_24_mois=MOYENNE,VLOOKUP("Orge",AlimentsRationHivernaleBisonsFemelles,4,FALSE),0)+(IF(QualitéAlimentsJeunesBisons_24_36_mois=MOYENNE,VLOOKUP("Orge",AlimentsRationHivernaleBisonsMâles,3,FALSE),0)+(IF(QualitéAlimentsJeunesBisonnes_24_36_mois=MOYENNE,VLOOKUP("Orge",AlimentsRationHivernaleBisonsFemelles,3,FALSE),0)+(IF(QualitéAlimentsBisons=MOYENNE,VLOOKUP("Orge",AlimentsRationHivernaleBisonsMâles,2,FALSE),0)+(IF(QualitéAlimentsBisonnes=MOYENNE,VLOOKUP("Orge",AlimentsRationHivernaleBisonsFemelles,2,FALSE),0))))))))))))))))</f>
        <v>0</v>
      </c>
      <c r="BP134" s="1267">
        <f t="array" ref="BP134">SUM((IF(QualitéAlimentsBisonneauxMâles_0_3_mois=MAUVAISE,VLOOKUP("Orge",AlimentsRationHivernaleBisonsMâles,8,FALSE),0)+(IF(QualitéAlimentsBisonneauxFemelles_0_3_mois=MAUVAISE,VLOOKUP("Orge",AlimentsRationHivernaleBisonsFemelles,8,FALSE),0)+(IF(QualitéAlimentsBisonneauxMâles_3_6_mois=MAUVAISE,VLOOKUP("Orge",AlimentsRationHivernaleBisonsMâles,7,FALSE),0)+(IF(QualitéAlimentsBisonneauxFemelles_3_6_mois=MAUVAISE,VLOOKUP("Orge",AlimentsRationHivernaleBisonsFemelles,7,FALSE),0)+(IF(QualitéAlimentsBisonneauxMâles_6_12_mois=MAUVAISE,VLOOKUP("Orge",AlimentsRationHivernaleBisonsMâles,6,FALSE),0)+(IF(QualitéAlimentsBisonneauxFemelles_6_12_mois=MAUVAISE,VLOOKUP("Orge",AlimentsRationHivernaleBisonsFemelles,6,FALSE),0)+(IF(QualitéAlimentsJeunesBisons_12_18_mois=MAUVAISE,VLOOKUP("Orge",AlimentsRationHivernaleBisonsMâles,5,FALSE),0)+(IF(QualitéAlimentsJeunesBisonnes_12_18_mois=MAUVAISE,VLOOKUP("Orge",AlimentsRationHivernaleBisonsFemelles,5,FALSE),0)+(IF(QualitéAlimentsJeunesBisons_18_24_mois=MAUVAISE,VLOOKUP("Orge",AlimentsRationHivernaleBisonsMâles,4,FALSE),0)+(IF(QualitéAlimentsJeunesBisonnes_18_24_mois=MAUVAISE,VLOOKUP("Orge",AlimentsRationHivernaleBisonsFemelles,4,FALSE),0)+(IF(QualitéAlimentsJeunesBisons_24_36_mois=MAUVAISE,VLOOKUP("Orge",AlimentsRationHivernaleBisonsMâles,3,FALSE),0)+(IF(QualitéAlimentsJeunesBisonnes_24_36_mois=MAUVAISE,VLOOKUP("Orge",AlimentsRationHivernaleBisonsFemelles,3,FALSE),0)+(IF(QualitéAlimentsBisons=MAUVAISE,VLOOKUP("Orge",AlimentsRationHivernaleBisonsMâles,2,FALSE),0)+(IF(QualitéAlimentsBisonnes=MAUVAISE,VLOOKUP("Orge",AlimentsRationHivernaleBisonsFemelles,2,FALSE),0))))))))))))))))</f>
        <v>0</v>
      </c>
      <c r="BQ134" s="1346"/>
      <c r="BR134" s="1346"/>
      <c r="BS134" s="1346"/>
      <c r="BT134" s="1346"/>
      <c r="BU134" s="1346"/>
      <c r="BV134" s="1345"/>
      <c r="BW134" s="1345"/>
      <c r="BX134" s="1076" t="s">
        <v>671</v>
      </c>
      <c r="BY134" s="1076">
        <f t="array" ref="BY134">IF(ChoixRationComplèteCaprins=OUI,0,IFERROR(IF(OR(AND(INDEX(Règles_caprins[Specificite],MATCH(ChoixRationCaprins&amp;$BX134,Règles_caprins[Ration]&amp;Règles_caprins[Aliment],0))="s1",IF($BX134=Spécificité1Caprins,1)),
INDEX(Règles_caprins[Specificite],MATCH(ChoixRationCaprins&amp;$BX134,Règles_caprins[Ration]&amp;Règles_caprins[Aliment],0))="c"),
INDEX(Règles_caprins[Valeur 12 et plus],MATCH(ChoixRationCaprins&amp;$BX134,Règles_caprins[Ration]&amp;Règles_caprins[Aliment],0)),0),0)*TotalBoucs*SUM(NbreJoursNourrirCaprins))</f>
        <v>0</v>
      </c>
      <c r="BZ134" s="1076">
        <f t="array" ref="BZ134">IF(ChoixRationComplèteCaprins=OUI,0,IFERROR(IF(OR(AND(INDEX(Règles_caprins[Specificite],MATCH(ChoixRationCaprins&amp;$BX134,Règles_caprins[Ration]&amp;Règles_caprins[Aliment],0))="s1",IF($BX134=Spécificité1Caprins,1)),
INDEX(Règles_caprins[Specificite],MATCH(ChoixRationCaprins&amp;$BX134,Règles_caprins[Ration]&amp;Règles_caprins[Aliment],0))="c"),
INDEX(Règles_caprins[Valeur 6-12],MATCH(ChoixRationCaprins&amp;$BX134,Règles_caprins[Ration]&amp;Règles_caprins[Aliment],0)),0),0)*jeune_bouc_6_12_mois*SUM(NbreJoursNourrirCaprins))</f>
        <v>0</v>
      </c>
      <c r="CA134" s="1076">
        <f t="array" ref="CA134">IF(ChoixRationComplèteCaprins=OUI,0,IFERROR(IF(OR(AND(INDEX(Règles_caprins[Specificite],MATCH(ChoixRationCaprins&amp;$BX134,Règles_caprins[Ration]&amp;Règles_caprins[Aliment],0))="s1",IF($BX134=Spécificité1Caprins,1)),
INDEX(Règles_caprins[Specificite],MATCH(ChoixRationCaprins&amp;$BX134,Règles_caprins[Ration]&amp;Règles_caprins[Aliment],0))="c"),
INDEX(Règles_caprins[Valeur 3-6],MATCH(ChoixRationCaprins&amp;$BX134,Règles_caprins[Ration]&amp;Règles_caprins[Aliment],0)),0),0)*chevreau_3_6_mois*SUM(NbreJoursNourrirCaprins))</f>
        <v>0</v>
      </c>
      <c r="CB134" s="1076">
        <f t="array" ref="CB134">IF(ChoixRationComplèteCaprins=OUI,0,IFERROR(IF(OR(AND(INDEX(Règles_caprins[Specificite],MATCH(ChoixRationCaprins&amp;$BX134,Règles_caprins[Ration]&amp;Règles_caprins[Aliment],0))="s1",IF($BX134=Spécificité1Caprins,1)),
INDEX(Règles_caprins[Specificite],MATCH(ChoixRationCaprins&amp;$BX134,Règles_caprins[Ration]&amp;Règles_caprins[Aliment],0))="c"),
INDEX(Règles_caprins[Valeur 0-3],MATCH(ChoixRationCaprins&amp;$BX134,Règles_caprins[Ration]&amp;Règles_caprins[Aliment],0)),0),0)*chevreau_0_3_mois*SUM(NbreJoursNourrirCaprins))</f>
        <v>0</v>
      </c>
      <c r="CC134" s="1076">
        <f t="shared" si="45"/>
        <v>0</v>
      </c>
      <c r="CD134" s="1345"/>
      <c r="CE134" s="1345"/>
      <c r="CF134" s="1345"/>
      <c r="CG134" s="1345"/>
      <c r="CH134" s="1321"/>
      <c r="CI134" s="1321"/>
      <c r="CJ134" s="808" t="s">
        <v>783</v>
      </c>
      <c r="CK134" s="803">
        <f>CK21*SUM(TotalPorcelets)*SUM(NbreJoursNourrirAutres)</f>
        <v>0</v>
      </c>
      <c r="CL134" s="1321"/>
      <c r="CM134" s="808" t="s">
        <v>783</v>
      </c>
      <c r="CN134" s="803">
        <f>CN21*SUM(TotalPorcelets)*SUM(Z76:Z100)</f>
        <v>0</v>
      </c>
      <c r="CO134" s="1320"/>
      <c r="CP134" s="1345"/>
      <c r="CQ134" s="1321"/>
      <c r="CR134" s="1321"/>
      <c r="CS134" s="808">
        <f t="shared" si="40"/>
        <v>0</v>
      </c>
      <c r="CT134" s="817">
        <f t="array" ref="CT13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34" s="817">
        <f t="array" ref="CU13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34" s="817">
        <f t="array" ref="CV134">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34" s="818">
        <f>SUM(AlimentsRationLapinsFemelles[[#This Row],[Valeur 3 et plus]:[Valeur 0-1]])</f>
        <v>0</v>
      </c>
      <c r="CX134" s="1321"/>
      <c r="CY134" s="1321"/>
      <c r="CZ134" s="808">
        <f t="shared" si="41"/>
        <v>0</v>
      </c>
      <c r="DA134" s="817">
        <f t="array" ref="DA13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34" s="817">
        <f t="array" ref="DB13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34" s="817">
        <f t="array" ref="DC134">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34" s="818">
        <f>SUM(AlimentsRationVolaillesFemelles[[#This Row],[Valeur 6 et plus]:[Valeur 0-1]])</f>
        <v>0</v>
      </c>
      <c r="DE134" s="1321"/>
      <c r="DF134" s="1321"/>
      <c r="DG134" s="1321"/>
      <c r="DH134" s="1321"/>
      <c r="DI134" s="1321"/>
      <c r="DJ134" s="1321"/>
      <c r="DK134" s="1321"/>
      <c r="DL134" s="1321"/>
      <c r="DM134" s="1321"/>
      <c r="DN134" s="1176" t="s">
        <v>765</v>
      </c>
      <c r="DO134" s="1177" t="s">
        <v>1273</v>
      </c>
      <c r="DP134" s="1177" t="s">
        <v>1298</v>
      </c>
      <c r="DQ134" s="1181">
        <v>1.2</v>
      </c>
      <c r="DR134" s="1181">
        <v>0.8</v>
      </c>
      <c r="DS134" s="1181">
        <v>0.6</v>
      </c>
      <c r="DT134" s="1243">
        <v>0.4</v>
      </c>
      <c r="DU134" s="1346"/>
      <c r="DV134" s="1321"/>
      <c r="DW134" s="1321"/>
      <c r="DX134" s="1321"/>
      <c r="DY134" s="1321"/>
      <c r="DZ134" s="1321"/>
      <c r="EA134" s="1321"/>
      <c r="EB134" s="1321"/>
      <c r="EC134" s="1321"/>
      <c r="ED134" s="1345"/>
      <c r="EE134" s="1345"/>
      <c r="EF134" s="1321"/>
      <c r="EG134" s="1336"/>
      <c r="EH134" s="1336"/>
      <c r="EI134" s="1336"/>
      <c r="EJ134" s="1336"/>
      <c r="EK134" s="1336"/>
      <c r="EL134" s="1345"/>
      <c r="EM134" s="1321"/>
      <c r="EN134" s="1336" t="s">
        <v>1278</v>
      </c>
      <c r="EO134" s="1341"/>
      <c r="EP134" s="1341"/>
      <c r="EQ134" s="1341"/>
      <c r="ER134" s="1336"/>
      <c r="ES134" s="1345"/>
      <c r="ET134" s="1321"/>
      <c r="EU134" s="1082" t="str">
        <f t="shared" si="44"/>
        <v>Triticale</v>
      </c>
      <c r="EV134" s="1282">
        <f t="array" ref="EV134">IF(OR(ChoixRationComplèteEtéChevauxSelle=OUI,ChoixRationComplèteEtéChevauxSelle="",AND(ChoixChevauxSellePréHiver=OUI,ChoixChevauxSellePréEté=OUI)),0,IFERROR(IF(OR(AND(INDEX(Règles_chevaux_selle[Specificite],MATCH(RationEtéChevauxSelle&amp;$EU134,Règles_chevaux_selle[Ration]&amp;Règles_chevaux_selle[Aliment],0))="s1",IF($EU134=Spécificité1ChevauxSelle,1)),
AND(INDEX(Règles_chevaux_selle[Specificite],MATCH(RationEtéChevauxSelle&amp;$EU134,Règles_chevaux_selle[Ration]&amp;Règles_chevaux_selle[Aliment],0))="s2",IF($EU134=Spécificité2ChevauxSelle,1)),
INDEX(Règles_chevaux_selle[Specificite],MATCH(RationEtéChevauxSelle&amp;$EU134,Règles_chevaux_selle[Ration]&amp;Règles_chevaux_selle[Aliment],0))="c"),
INDEX(Règles_chevaux_selle[Valeur 36 et plus],MATCH(RationEtéChevauxSelle&amp;$EU134,Règles_chevaux_selle[Ration]&amp;Règles_chevaux_selle[Aliment],0)),0),0)*TotalJumentSelle*SUM(NbreJoursNourrirChevauxSelle))</f>
        <v>0</v>
      </c>
      <c r="EW134" s="1282">
        <f t="array" ref="EW134">IF(OR(ChoixRationComplèteEtéChevauxSelle=OUI,ChoixRationComplèteEtéChevauxSelle="",AND(ChoixChevauxSellePréHiver=OUI,ChoixChevauxSellePréEté=OUI)),0,IFERROR(IF(OR(AND(INDEX(Règles_chevaux_selle[Specificite],MATCH(RationEtéChevauxSelle&amp;$EU134,Règles_chevaux_selle[Ration]&amp;Règles_chevaux_selle[Aliment],0))="s1",IF($EU134=Spécificité1ChevauxSelle,1)),
AND(INDEX(Règles_chevaux_selle[Specificite],MATCH(RationEtéChevauxSelle&amp;$EU134,Règles_chevaux_selle[Ration]&amp;Règles_chevaux_selle[Aliment],0))="s2",IF($EU134=Spécificité2ChevauxSelle,1)),
INDEX(Règles_chevaux_selle[Specificite],MATCH(RationEtéChevauxSelle&amp;$EU134,Règles_chevaux_selle[Ration]&amp;Règles_chevaux_selle[Aliment],0))="c"),
INDEX(Règles_chevaux_selle[Valeur 24-36],MATCH(RationEtéChevauxSelle&amp;$EU134,Règles_chevaux_selle[Ration]&amp;Règles_chevaux_selle[Aliment],0)),0),0)*TotalJeuneJumentSelle_24_36_mois*SUM(NbreJoursNourrirChevauxSelle))</f>
        <v>0</v>
      </c>
      <c r="EX134" s="1282">
        <f t="array" ref="EX134">IF(OR(ChoixRationComplèteEtéChevauxSelle=OUI,ChoixRationComplèteEtéChevauxSelle="",AND(ChoixChevauxSellePréHiver=OUI,ChoixChevauxSellePréEté=OUI)),0,IFERROR(IF(OR(AND(INDEX(Règles_chevaux_selle[Specificite],MATCH(RationEtéChevauxSelle&amp;$EU134,Règles_chevaux_selle[Ration]&amp;Règles_chevaux_selle[Aliment],0))="s1",IF($EU134=Spécificité1ChevauxSelle,1)),
AND(INDEX(Règles_chevaux_selle[Specificite],MATCH(RationEtéChevauxSelle&amp;$EU134,Règles_chevaux_selle[Ration]&amp;Règles_chevaux_selle[Aliment],0))="s2",IF($EU134=Spécificité2ChevauxSelle,1)),
INDEX(Règles_chevaux_selle[Specificite],MATCH(RationEtéChevauxSelle&amp;$EU134,Règles_chevaux_selle[Ration]&amp;Règles_chevaux_selle[Aliment],0))="c"),
INDEX(Règles_chevaux_selle[Valeur 12-24],MATCH(RationEtéChevauxSelle&amp;$EU134,Règles_chevaux_selle[Ration]&amp;Règles_chevaux_selle[Aliment],0)),0),0)*TotalJeuneJumentSelle_12_24_mois*SUM(NbreJoursNourrirChevauxSelle))</f>
        <v>0</v>
      </c>
      <c r="EY134" s="1285">
        <f t="array" ref="EY134">IF(OR(ChoixRationComplèteEtéChevauxSelle=OUI,ChoixRationComplèteEtéChevauxSelle="",AND(ChoixChevauxSellePréHiver=OUI,ChoixChevauxSellePréEté=OUI)),0,IFERROR(IF(OR(AND(INDEX(Règles_chevaux_selle[Specificite],MATCH(RationEtéChevauxSelle&amp;$EU134,Règles_chevaux_selle[Ration]&amp;Règles_chevaux_selle[Aliment],0))="s1",IF($EU134=Spécificité1ChevauxSelle,1)),
AND(INDEX(Règles_chevaux_selle[Specificite],MATCH(RationEtéChevauxSelle&amp;$EU134,Règles_chevaux_selle[Ration]&amp;Règles_chevaux_selle[Aliment],0))="s2",IF($EU134=Spécificité2ChevauxSelle,1)),
INDEX(Règles_chevaux_selle[Specificite],MATCH(RationEtéChevauxSelle&amp;$EU134,Règles_chevaux_selle[Ration]&amp;Règles_chevaux_selle[Aliment],0))="c"),
INDEX(Règles_chevaux_selle[Valeur 0-12],MATCH(RationEtéChevauxSelle&amp;$EU134,Règles_chevaux_selle[Ration]&amp;Règles_chevaux_selle[Aliment],0)),0),0)*TotalPoulicheSelle_0_12_mois*SUM(NbreJoursNourrirChevauxSelle))</f>
        <v>0</v>
      </c>
      <c r="EZ134" s="1285">
        <f t="shared" si="43"/>
        <v>0</v>
      </c>
      <c r="FA134" s="1345"/>
      <c r="FB134" s="1345"/>
      <c r="FC134" s="1321"/>
      <c r="FD134" s="1082">
        <f t="shared" si="34"/>
        <v>0</v>
      </c>
      <c r="FE134" s="1282">
        <f t="array" ref="FE134">IF(OR(ChoixRationComplèteEtéChevauxTrait=OUI,ChoixRationComplèteEtéChevauxTrait="",AND(ChoixChevauxTraitPréHiver=OUI,ChoixChevauxTraitPréEté=OUI)),0,IFERROR(IF(OR(AND(INDEX(Règles_chevaux_trait[Specificite],MATCH(RationEtéChevauxTrait&amp;$FD134,Règles_chevaux_trait[Ration]&amp;Règles_chevaux_trait[Aliment],0))="s1",IF($FD134=Spécificité1ChevauxTrait,1)),
AND(INDEX(Règles_chevaux_trait[Specificite],MATCH(RationEtéChevauxTrait&amp;$FD134,Règles_chevaux_trait[Ration]&amp;Règles_chevaux_trait[Aliment],0))="s2",IF($FD134=Spécificité2ChevauxTrait,1)),
INDEX(Règles_chevaux_trait[Specificite],MATCH(RationEtéChevauxTrait&amp;$FD134,Règles_chevaux_trait[Ration]&amp;Règles_chevaux_trait[Aliment],0))="c"),
INDEX(Règles_chevaux_trait[Valeur 36 et plus],MATCH(RationEtéChevauxTrait&amp;$FD134,Règles_chevaux_trait[Ration]&amp;Règles_chevaux_trait[Aliment],0)),0),0)*TotalJumentTrait*SUM(NbreJoursNourrirChevauxTrait))</f>
        <v>0</v>
      </c>
      <c r="FF134" s="1282">
        <f t="array" ref="FF134">IF(OR(ChoixRationComplèteEtéChevauxTrait=OUI,ChoixRationComplèteEtéChevauxTrait="",AND(ChoixChevauxTraitPréHiver=OUI,ChoixChevauxTraitPréEté=OUI)),0,IFERROR(IF(OR(AND(INDEX(Règles_chevaux_trait[Specificite],MATCH(RationEtéChevauxTrait&amp;$FD134,Règles_chevaux_trait[Ration]&amp;Règles_chevaux_trait[Aliment],0))="s1",IF($FD134=Spécificité1ChevauxTrait,1)),
AND(INDEX(Règles_chevaux_trait[Specificite],MATCH(RationEtéChevauxTrait&amp;$FD134,Règles_chevaux_trait[Ration]&amp;Règles_chevaux_trait[Aliment],0))="s2",IF($FD134=Spécificité2ChevauxTrait,1)),
INDEX(Règles_chevaux_trait[Specificite],MATCH(RationEtéChevauxTrait&amp;$FD134,Règles_chevaux_trait[Ration]&amp;Règles_chevaux_trait[Aliment],0))="c"),
INDEX(Règles_chevaux_trait[Valeur 24-36],MATCH(RationEtéChevauxTrait&amp;$FD134,Règles_chevaux_trait[Ration]&amp;Règles_chevaux_trait[Aliment],0)),0),0)*TotalJeuneJumentTrait_24_36_mois*SUM(NbreJoursNourrirChevauxTrait))</f>
        <v>0</v>
      </c>
      <c r="FG134" s="1282">
        <f t="array" ref="FG134">IF(OR(ChoixRationComplèteEtéChevauxTrait=OUI,ChoixRationComplèteEtéChevauxTrait="",AND(ChoixChevauxTraitPréHiver=OUI,ChoixChevauxTraitPréEté=OUI)),0,IFERROR(IF(OR(AND(INDEX(Règles_chevaux_trait[Specificite],MATCH(RationEtéChevauxTrait&amp;$FD134,Règles_chevaux_trait[Ration]&amp;Règles_chevaux_trait[Aliment],0))="s1",IF($FD134=Spécificité1ChevauxTrait,1)),
AND(INDEX(Règles_chevaux_trait[Specificite],MATCH(RationEtéChevauxTrait&amp;$FD134,Règles_chevaux_trait[Ration]&amp;Règles_chevaux_trait[Aliment],0))="s2",IF($FD134=Spécificité2ChevauxTrait,1)),
INDEX(Règles_chevaux_trait[Specificite],MATCH(RationEtéChevauxTrait&amp;$FD134,Règles_chevaux_trait[Ration]&amp;Règles_chevaux_trait[Aliment],0))="c"),
INDEX(Règles_chevaux_trait[Valeur 12-24],MATCH(RationEtéChevauxTrait&amp;$FD134,Règles_chevaux_trait[Ration]&amp;Règles_chevaux_trait[Aliment],0)),0),0)*TotalJeuneJumentTrait_12_24_mois*SUM(NbreJoursNourrirChevauxTrait))</f>
        <v>0</v>
      </c>
      <c r="FH134" s="1285">
        <f t="array" ref="FH134">IF(OR(ChoixRationComplèteEtéChevauxTrait=OUI,ChoixRationComplèteEtéChevauxTrait="",AND(ChoixChevauxTraitPréHiver=OUI,ChoixChevauxTraitPréEté=OUI)),0,IFERROR(IF(OR(AND(INDEX(Règles_chevaux_trait[Specificite],MATCH(RationEtéChevauxTrait&amp;$FD134,Règles_chevaux_trait[Ration]&amp;Règles_chevaux_trait[Aliment],0))="s1",IF($FD134=Spécificité1ChevauxTrait,1)),
AND(INDEX(Règles_chevaux_trait[Specificite],MATCH(RationEtéChevauxTrait&amp;$FD134,Règles_chevaux_trait[Ration]&amp;Règles_chevaux_trait[Aliment],0))="s2",IF($FD134=Spécificité2ChevauxTrait,1)),
INDEX(Règles_chevaux_trait[Specificite],MATCH(RationEtéChevauxTrait&amp;$FD134,Règles_chevaux_trait[Ration]&amp;Règles_chevaux_trait[Aliment],0))="c"),
INDEX(Règles_chevaux_trait[Valeur 0-12],MATCH(RationEtéChevauxTrait&amp;$FD134,Règles_chevaux_trait[Ration]&amp;Règles_chevaux_trait[Aliment],0)),0),0)*TotalPoulicheTrait_0_12_mois*SUM(NbreJoursNourrirChevauxTrait))</f>
        <v>0</v>
      </c>
      <c r="FI134" s="1285">
        <f t="shared" si="32"/>
        <v>0</v>
      </c>
      <c r="FJ134" s="1345"/>
      <c r="FK134" s="1345"/>
      <c r="FL134" s="1345"/>
      <c r="FM134" s="1321"/>
      <c r="FN134" s="1336"/>
      <c r="FO134" s="1336"/>
      <c r="FP134" s="1336"/>
      <c r="FQ134" s="1336"/>
      <c r="FR134" s="1336"/>
      <c r="FS134" s="1336"/>
      <c r="FT134" s="1345"/>
      <c r="FU134" s="1345"/>
      <c r="FV134" s="1345"/>
      <c r="FW134" s="1336" t="s">
        <v>1749</v>
      </c>
      <c r="FX134" s="1336"/>
      <c r="FY134" s="1336"/>
      <c r="FZ134" s="1336"/>
      <c r="GA134" s="1366"/>
      <c r="GB134" s="1321"/>
      <c r="GC134" s="1321"/>
      <c r="GD134" s="1321"/>
      <c r="GE134" s="1321"/>
      <c r="GF134" s="1321"/>
      <c r="GG134" s="1321" t="s">
        <v>1349</v>
      </c>
      <c r="GH134" s="1321" t="s">
        <v>1349</v>
      </c>
      <c r="GI134" s="1321" t="s">
        <v>1349</v>
      </c>
      <c r="GJ134" s="1321" t="s">
        <v>1349</v>
      </c>
      <c r="GK134" s="1321" t="s">
        <v>1349</v>
      </c>
      <c r="GL134" s="1321" t="s">
        <v>1349</v>
      </c>
      <c r="GM134" s="1321" t="s">
        <v>1349</v>
      </c>
      <c r="GN134" s="1321" t="s">
        <v>1349</v>
      </c>
      <c r="GO134" s="1321" t="s">
        <v>1349</v>
      </c>
      <c r="GP134" s="1321" t="s">
        <v>1349</v>
      </c>
      <c r="GQ134" s="1321" t="s">
        <v>1349</v>
      </c>
      <c r="GR134" s="1321" t="s">
        <v>1349</v>
      </c>
      <c r="GS134" s="1321" t="s">
        <v>1349</v>
      </c>
      <c r="GT134" s="1321" t="s">
        <v>1349</v>
      </c>
      <c r="GU134" s="1321" t="s">
        <v>1349</v>
      </c>
      <c r="GV134" s="1321" t="s">
        <v>1349</v>
      </c>
      <c r="GW134" s="1321"/>
      <c r="GX134" s="1321"/>
      <c r="GY134" s="1321"/>
      <c r="GZ134" s="1321"/>
      <c r="HA134" s="1321"/>
      <c r="HB134" s="1321"/>
      <c r="HC134" s="1321"/>
      <c r="HD134" s="1321"/>
      <c r="HE134" s="1321"/>
      <c r="HF134" s="1321"/>
      <c r="HG134" s="1321"/>
      <c r="HH134" s="1321"/>
      <c r="HI134" s="1321"/>
      <c r="HJ134" s="1321"/>
      <c r="HK134" s="1321"/>
      <c r="HL134" s="1321"/>
      <c r="HM134" s="1321"/>
      <c r="HN134" s="1321"/>
      <c r="HO134" s="1321"/>
      <c r="HP134" s="1321"/>
      <c r="HQ134" s="1321"/>
      <c r="HR134" s="1321"/>
      <c r="HS134" s="1321"/>
      <c r="HT134" s="1321"/>
      <c r="HU134" s="1321"/>
      <c r="HV134" s="1321"/>
      <c r="HW134" s="1321"/>
      <c r="HX134" s="1321"/>
      <c r="HY134" s="1321"/>
      <c r="HZ134" s="1321"/>
      <c r="IA134" s="1321"/>
      <c r="IB134" s="1321"/>
      <c r="IC134" s="1321"/>
      <c r="ID134" s="1321"/>
      <c r="IE134" s="1321"/>
      <c r="IF134" s="1321"/>
      <c r="IG134" s="1321"/>
      <c r="IH134" s="1321"/>
      <c r="II134" s="1321"/>
      <c r="IJ134" s="1321"/>
      <c r="IK134" s="1321"/>
      <c r="IL134" s="1321"/>
      <c r="IM134" s="1321"/>
      <c r="IN134" s="1368"/>
    </row>
    <row r="135" spans="1:248" ht="12.75" customHeight="1" x14ac:dyDescent="0.2">
      <c r="A135" s="1307" t="s">
        <v>342</v>
      </c>
      <c r="B135" s="1209">
        <v>0.88336999999999999</v>
      </c>
      <c r="C135" s="1321"/>
      <c r="D135" s="1321"/>
      <c r="E135" s="1321"/>
      <c r="F135" s="1149" t="s">
        <v>16</v>
      </c>
      <c r="G135" s="1149">
        <v>1</v>
      </c>
      <c r="H135" s="1321"/>
      <c r="I135" s="1075" t="s">
        <v>1051</v>
      </c>
      <c r="J135" s="1080">
        <f>IF(gains!F$4=BDD!O$127,10,IF(gains!F$4=BDD!P$127,20,IF(gains!F$4=BDD!Q$127,30,0)))</f>
        <v>10</v>
      </c>
      <c r="K135" s="1080">
        <f>IF(gains!$G$7=K$127,1,0)</f>
        <v>0</v>
      </c>
      <c r="L135" s="1080">
        <f>IF(gains!$G$7=L$127,2,0)</f>
        <v>0</v>
      </c>
      <c r="M135" s="1080">
        <f>IF(gains!$G$7=M$127,3,0)</f>
        <v>0</v>
      </c>
      <c r="N135" s="1080">
        <f>IF(gains!$G$7=N$127,4,0)</f>
        <v>4</v>
      </c>
      <c r="O135" s="1080">
        <f>IF(AND(J135=10,SUM(K135:N135)=1),gains!$F$38,IF(AND(J135=10,SUM(K135:N135)=2),gains!$F$38*2,IF(AND(J135=10,SUM(K135:N135)=3),gains!$F$38*3,IF(AND(J135=10,SUM(K135:N135)=4),gains!$F$38*4,0))))</f>
        <v>56000</v>
      </c>
      <c r="P135" s="1080">
        <f>IF(AND(J135=20,SUM(K135:N135)=1),gains!$F$38*7,IF(AND(J135=20,SUM(K135:N135)=2),gains!$F$38*7*2,IF(AND(J135=20,SUM(K135:N135)=3),gains!$F$38*7*3,IF(AND(J135=20,SUM(K135:N135)=4),gains!$F$38*7*4,0))))</f>
        <v>0</v>
      </c>
      <c r="Q135" s="1080">
        <f>IF(AND(J135=30,SUM(K135:N135)=1),gains!$F$38*7*12,IF(AND(J135=30,SUM(K135:N135)=2),gains!$F$38*7*12*2,IF(AND(J135=30,SUM(K135:N135)=3),gains!$F$38*7*12*3,IF(AND(J135=30,SUM(K135:N135)=4),gains!$F$38*7*12*4,0))))</f>
        <v>0</v>
      </c>
      <c r="R135" s="1080">
        <f>(SUM(BD194+BD236)/1000*PrixAvoine+(BD195+BD237)/1000*PrixBetterave+(BD196+BD238)/1000*PrixBlé+(BD197+BD239)/1000*PrixBouchonsLuzerne+(BD199+BD241)/1000*PrixCanola+(BD200+BD242)/1000*PrixColza+(BD201+BD243)*1.07+(BD202+BD244)*1.12+(BD203+BD245)*1.13+(BD204+BD246)/1000*PrixEnsilageHerbe+(BD205+BD247)*IF(PrixEau="",0,PrixEau)+(BD207+BD249)/1000*PrixFeverole+(BD208+BD250)/1000*PrixFoin+(BD211+BD253)/1000*PrixMaïsEnsilé+(BD212+BD254)/1000*PrixMaïsGrain+(BD213+BD255)*1.38+(BD214+BD256)/1000*PrixOrge+(BD215+BD257)/1000*PrixPaille+(BD216+BD258)/1000*PrixPois+(BD219+BD261)*PrixRationBovins+(BD220+BD262)/1000*PrixSeigle+(BD221+BD263)/1000*PrixSoja+(BD222+BD264)/1000*PrixSorghoEnsilé+(BD223+BD265)/1000*PrixTournesol+(BD224+BD266)/1000*PrixTourteauColza+(BD225+BD267)/1000*PrixTourteauTournesol+(BD226+BD268)/1000*PrixTriticale)</f>
        <v>0</v>
      </c>
      <c r="S135" s="1080"/>
      <c r="T135" s="1080"/>
      <c r="U135" s="1080"/>
      <c r="V135" s="1080"/>
      <c r="W135" s="1080"/>
      <c r="X135" s="1080"/>
      <c r="Y135" s="1321"/>
      <c r="Z135" s="1321"/>
      <c r="AA135" s="1321"/>
      <c r="AB135" s="1321"/>
      <c r="AC135" s="1321"/>
      <c r="AD135" s="1321"/>
      <c r="AE135" s="1321"/>
      <c r="AF135" s="1321"/>
      <c r="AG135" s="1321"/>
      <c r="AH135" s="1321"/>
      <c r="AI135" s="1321"/>
      <c r="AJ135" s="1321"/>
      <c r="AK135" s="1321"/>
      <c r="AL135" s="1321"/>
      <c r="AM135" s="1321"/>
      <c r="AN135" s="1321"/>
      <c r="AO135" s="1321"/>
      <c r="AP135" s="1321"/>
      <c r="AQ135" s="1321"/>
      <c r="AR135" s="1321"/>
      <c r="AS135" s="1321"/>
      <c r="AT135" s="1321"/>
      <c r="AU135" s="1321"/>
      <c r="AV135" s="1321"/>
      <c r="AW135" s="1321"/>
      <c r="AX135" s="1321"/>
      <c r="AY135" s="1321"/>
      <c r="AZ135" s="1321"/>
      <c r="BA135" s="1321"/>
      <c r="BB135" s="1236" t="s">
        <v>732</v>
      </c>
      <c r="BC135" s="1190" t="s">
        <v>340</v>
      </c>
      <c r="BD135" s="1190" t="s">
        <v>1252</v>
      </c>
      <c r="BE135" s="1237">
        <v>48</v>
      </c>
      <c r="BF135" s="1237">
        <v>40</v>
      </c>
      <c r="BG135" s="1237">
        <v>30</v>
      </c>
      <c r="BH135" s="1237">
        <v>22</v>
      </c>
      <c r="BI135" s="1237">
        <v>14</v>
      </c>
      <c r="BJ135" s="1237">
        <v>6</v>
      </c>
      <c r="BK135" s="1238">
        <v>0</v>
      </c>
      <c r="BL135" s="1348"/>
      <c r="BM135" s="1075" t="str">
        <f t="shared" si="47"/>
        <v>Paille</v>
      </c>
      <c r="BN135" s="1269">
        <f t="array" ref="BN135">SUM((IF(QualitéAlimentsBisonneauxMâles_0_3_mois=BONNE,VLOOKUP("Paille",AlimentsRationHivernaleBisonsMâles,8,FALSE),0)+(IF(QualitéAlimentsBisonneauxFemelles_0_3_mois=BONNE,VLOOKUP("Paille",AlimentsRationHivernaleBisonsFemelles,8,FALSE),0)+(IF(QualitéAlimentsBisonneauxMâles_3_6_mois=BONNE,VLOOKUP("Paille",AlimentsRationHivernaleBisonsMâles,7,FALSE),0)+(IF(QualitéAlimentsBisonneauxFemelles_3_6_mois=BONNE,VLOOKUP("Paille",AlimentsRationHivernaleBisonsFemelles,7,FALSE),0)+(IF(QualitéAlimentsBisonneauxMâles_6_12_mois=BONNE,VLOOKUP("Paille",AlimentsRationHivernaleBisonsMâles,6,FALSE),0)+(IF(QualitéAlimentsBisonneauxFemelles_6_12_mois=BONNE,VLOOKUP("Paille",AlimentsRationHivernaleBisonsFemelles,6,FALSE),0)+(IF(QualitéAlimentsJeunesBisons_12_18_mois=BONNE,VLOOKUP("Paille",AlimentsRationHivernaleBisonsMâles,5,FALSE),0)+(IF(QualitéAlimentsJeunesBisonnes_12_18_mois=BONNE,VLOOKUP("Paille",AlimentsRationHivernaleBisonsFemelles,5,FALSE),0)+(IF(QualitéAlimentsJeunesBisons_18_24_mois=BONNE,VLOOKUP("Paille",AlimentsRationHivernaleBisonsMâles,4,FALSE),0)+(IF(QualitéAlimentsJeunesBisonnes_18_24_mois=BONNE,VLOOKUP("Paille",AlimentsRationHivernaleBisonsFemelles,4,FALSE),0)+(IF(QualitéAlimentsJeunesBisons_24_36_mois=BONNE,VLOOKUP("Paille",AlimentsRationHivernaleBisonsMâles,3,FALSE),0)+(IF(QualitéAlimentsJeunesBisonnes_24_36_mois=BONNE,VLOOKUP("Paille",AlimentsRationHivernaleBisonsFemelles,3,FALSE),0)+(IF(QualitéAlimentsBisons=BONNE,VLOOKUP("Paille",AlimentsRationHivernaleBisonsMâles,2,FALSE),0)+(IF(QualitéAlimentsBisonnes=BONNE,VLOOKUP("Paille",AlimentsRationHivernaleBisonsFemelles,2,FALSE),0))))))))))))))))</f>
        <v>0</v>
      </c>
      <c r="BO135" s="1269">
        <f t="array" ref="BO135">SUM((IF(QualitéAlimentsBisonneauxMâles_0_3_mois=MOYENNE,VLOOKUP("Paille",AlimentsRationHivernaleBisonsMâles,8,FALSE),0)+(IF(QualitéAlimentsBisonneauxFemelles_0_3_mois=MOYENNE,VLOOKUP("Paille",AlimentsRationHivernaleBisonsFemelles,8,FALSE),0)+(IF(QualitéAlimentsBisonneauxMâles_3_6_mois=MOYENNE,VLOOKUP("Paille",AlimentsRationHivernaleBisonsMâles,7,FALSE),0)+(IF(QualitéAlimentsBisonneauxFemelles_3_6_mois=MOYENNE,VLOOKUP("Paille",AlimentsRationHivernaleBisonsFemelles,7,FALSE),0)+(IF(QualitéAlimentsBisonneauxMâles_6_12_mois=MOYENNE,VLOOKUP("Paille",AlimentsRationHivernaleBisonsMâles,6,FALSE),0)+(IF(QualitéAlimentsBisonneauxFemelles_6_12_mois=MOYENNE,VLOOKUP("Paille",AlimentsRationHivernaleBisonsFemelles,6,FALSE),0)+(IF(QualitéAlimentsJeunesBisons_12_18_mois=MOYENNE,VLOOKUP("Paille",AlimentsRationHivernaleBisonsMâles,5,FALSE),0)+(IF(QualitéAlimentsJeunesBisonnes_12_18_mois=MOYENNE,VLOOKUP("Paille",AlimentsRationHivernaleBisonsFemelles,5,FALSE),0)+(IF(QualitéAlimentsJeunesBisons_18_24_mois=MOYENNE,VLOOKUP("Paille",AlimentsRationHivernaleBisonsMâles,4,FALSE),0)+(IF(QualitéAlimentsJeunesBisonnes_18_24_mois=MOYENNE,VLOOKUP("Paille",AlimentsRationHivernaleBisonsFemelles,4,FALSE),0)+(IF(QualitéAlimentsJeunesBisons_24_36_mois=MOYENNE,VLOOKUP("Paille",AlimentsRationHivernaleBisonsMâles,3,FALSE),0)+(IF(QualitéAlimentsJeunesBisonnes_24_36_mois=MOYENNE,VLOOKUP("Paille",AlimentsRationHivernaleBisonsFemelles,3,FALSE),0)+(IF(QualitéAlimentsBisons=MOYENNE,VLOOKUP("Paille",AlimentsRationHivernaleBisonsMâles,2,FALSE),0)+(IF(QualitéAlimentsBisonnes=MOYENNE,VLOOKUP("Paille",AlimentsRationHivernaleBisonsFemelles,2,FALSE),0))))))))))))))))</f>
        <v>0</v>
      </c>
      <c r="BP135" s="1269">
        <f t="array" ref="BP135">SUM((IF(QualitéAlimentsBisonneauxMâles_0_3_mois=MAUVAISE,VLOOKUP("Paille",AlimentsRationHivernaleBisonsMâles,8,FALSE),0)+(IF(QualitéAlimentsBisonneauxFemelles_0_3_mois=MAUVAISE,VLOOKUP("Paille",AlimentsRationHivernaleBisonsFemelles,8,FALSE),0)+(IF(QualitéAlimentsBisonneauxMâles_3_6_mois=MAUVAISE,VLOOKUP("Paille",AlimentsRationHivernaleBisonsMâles,7,FALSE),0)+(IF(QualitéAlimentsBisonneauxFemelles_3_6_mois=MAUVAISE,VLOOKUP("Paille",AlimentsRationHivernaleBisonsFemelles,7,FALSE),0)+(IF(QualitéAlimentsBisonneauxMâles_6_12_mois=MAUVAISE,VLOOKUP("Paille",AlimentsRationHivernaleBisonsMâles,6,FALSE),0)+(IF(QualitéAlimentsBisonneauxFemelles_6_12_mois=MAUVAISE,VLOOKUP("Paille",AlimentsRationHivernaleBisonsFemelles,6,FALSE),0)+(IF(QualitéAlimentsJeunesBisons_12_18_mois=MAUVAISE,VLOOKUP("Paille",AlimentsRationHivernaleBisonsMâles,5,FALSE),0)+(IF(QualitéAlimentsJeunesBisonnes_12_18_mois=MAUVAISE,VLOOKUP("Paille",AlimentsRationHivernaleBisonsFemelles,5,FALSE),0)+(IF(QualitéAlimentsJeunesBisons_18_24_mois=MAUVAISE,VLOOKUP("Paille",AlimentsRationHivernaleBisonsMâles,4,FALSE),0)+(IF(QualitéAlimentsJeunesBisonnes_18_24_mois=MAUVAISE,VLOOKUP("Paille",AlimentsRationHivernaleBisonsFemelles,4,FALSE),0)+(IF(QualitéAlimentsJeunesBisons_24_36_mois=MAUVAISE,VLOOKUP("Paille",AlimentsRationHivernaleBisonsMâles,3,FALSE),0)+(IF(QualitéAlimentsJeunesBisonnes_24_36_mois=MAUVAISE,VLOOKUP("Paille",AlimentsRationHivernaleBisonsFemelles,3,FALSE),0)+(IF(QualitéAlimentsBisons=MAUVAISE,VLOOKUP("Paille",AlimentsRationHivernaleBisonsMâles,2,FALSE),0)+(IF(QualitéAlimentsBisonnes=MAUVAISE,VLOOKUP("Paille",AlimentsRationHivernaleBisonsFemelles,2,FALSE),0))))))))))))))))</f>
        <v>0</v>
      </c>
      <c r="BQ135" s="1346"/>
      <c r="BR135" s="1346"/>
      <c r="BS135" s="1346"/>
      <c r="BT135" s="1346"/>
      <c r="BU135" s="1346"/>
      <c r="BV135" s="1345"/>
      <c r="BW135" s="1345"/>
      <c r="BX135" s="1075" t="s">
        <v>296</v>
      </c>
      <c r="BY135" s="1075">
        <f t="array" ref="BY135">IF(ChoixRationComplèteCaprins=OUI,0,IFERROR(IF(OR(AND(INDEX(Règles_caprins[Specificite],MATCH(ChoixRationCaprins&amp;$BX135,Règles_caprins[Ration]&amp;Règles_caprins[Aliment],0))="s1",IF($BX135=Spécificité1Caprins,1)),
INDEX(Règles_caprins[Specificite],MATCH(ChoixRationCaprins&amp;$BX135,Règles_caprins[Ration]&amp;Règles_caprins[Aliment],0))="c"),
INDEX(Règles_caprins[Valeur 12 et plus],MATCH(ChoixRationCaprins&amp;$BX135,Règles_caprins[Ration]&amp;Règles_caprins[Aliment],0)),0),0)*TotalBoucs*SUM(NbreJoursNourrirCaprins))</f>
        <v>0</v>
      </c>
      <c r="BZ135" s="1075">
        <f t="array" ref="BZ135">IF(ChoixRationComplèteCaprins=OUI,0,IFERROR(IF(OR(AND(INDEX(Règles_caprins[Specificite],MATCH(ChoixRationCaprins&amp;$BX135,Règles_caprins[Ration]&amp;Règles_caprins[Aliment],0))="s1",IF($BX135=Spécificité1Caprins,1)),
INDEX(Règles_caprins[Specificite],MATCH(ChoixRationCaprins&amp;$BX135,Règles_caprins[Ration]&amp;Règles_caprins[Aliment],0))="c"),
INDEX(Règles_caprins[Valeur 6-12],MATCH(ChoixRationCaprins&amp;$BX135,Règles_caprins[Ration]&amp;Règles_caprins[Aliment],0)),0),0)*jeune_bouc_6_12_mois*SUM(NbreJoursNourrirCaprins))</f>
        <v>0</v>
      </c>
      <c r="CA135" s="1075">
        <f t="array" ref="CA135">IF(ChoixRationComplèteCaprins=OUI,0,IFERROR(IF(OR(AND(INDEX(Règles_caprins[Specificite],MATCH(ChoixRationCaprins&amp;$BX135,Règles_caprins[Ration]&amp;Règles_caprins[Aliment],0))="s1",IF($BX135=Spécificité1Caprins,1)),
INDEX(Règles_caprins[Specificite],MATCH(ChoixRationCaprins&amp;$BX135,Règles_caprins[Ration]&amp;Règles_caprins[Aliment],0))="c"),
INDEX(Règles_caprins[Valeur 3-6],MATCH(ChoixRationCaprins&amp;$BX135,Règles_caprins[Ration]&amp;Règles_caprins[Aliment],0)),0),0)*chevreau_3_6_mois*SUM(NbreJoursNourrirCaprins))</f>
        <v>0</v>
      </c>
      <c r="CB135" s="1075">
        <f t="array" ref="CB135">IF(ChoixRationComplèteCaprins=OUI,0,IFERROR(IF(OR(AND(INDEX(Règles_caprins[Specificite],MATCH(ChoixRationCaprins&amp;$BX135,Règles_caprins[Ration]&amp;Règles_caprins[Aliment],0))="s1",IF($BX135=Spécificité1Caprins,1)),
INDEX(Règles_caprins[Specificite],MATCH(ChoixRationCaprins&amp;$BX135,Règles_caprins[Ration]&amp;Règles_caprins[Aliment],0))="c"),
INDEX(Règles_caprins[Valeur 0-3],MATCH(ChoixRationCaprins&amp;$BX135,Règles_caprins[Ration]&amp;Règles_caprins[Aliment],0)),0),0)*chevreau_0_3_mois*SUM(NbreJoursNourrirCaprins))</f>
        <v>0</v>
      </c>
      <c r="CC135" s="1075">
        <f t="shared" si="45"/>
        <v>0</v>
      </c>
      <c r="CD135" s="1345"/>
      <c r="CE135" s="1345"/>
      <c r="CF135" s="1345"/>
      <c r="CG135" s="1345"/>
      <c r="CH135" s="1321"/>
      <c r="CI135" s="1321"/>
      <c r="CJ135" s="809" t="s">
        <v>1369</v>
      </c>
      <c r="CK135" s="810">
        <f>IF(AND(ChoixPaillagePorcins=OUI,OR(ChoixElevagePorcins=ElevagePorcinsLitière,ChoixElevagePorcins=ElevagePorcinsPleinAir)),SUBTOTAL(109,LitièrePorcins[litière]),0)</f>
        <v>0</v>
      </c>
      <c r="CL135" s="1321"/>
      <c r="CM135" s="809" t="s">
        <v>1369</v>
      </c>
      <c r="CN135" s="810">
        <f>SUBTOTAL(109,LisierPorcins[lisier])</f>
        <v>0</v>
      </c>
      <c r="CO135" s="1321"/>
      <c r="CP135" s="1345"/>
      <c r="CQ135" s="1321"/>
      <c r="CR135" s="1321"/>
      <c r="CS135" s="808">
        <f t="shared" si="40"/>
        <v>0</v>
      </c>
      <c r="CT135" s="817">
        <f t="array" ref="CT13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35" s="817">
        <f t="array" ref="CU13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35" s="817">
        <f t="array" ref="CV135">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35" s="818">
        <f>SUM(AlimentsRationLapinsFemelles[[#This Row],[Valeur 3 et plus]:[Valeur 0-1]])</f>
        <v>0</v>
      </c>
      <c r="CX135" s="1321"/>
      <c r="CY135" s="1321"/>
      <c r="CZ135" s="808">
        <f t="shared" si="41"/>
        <v>0</v>
      </c>
      <c r="DA135" s="817">
        <f t="array" ref="DA13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35" s="817">
        <f t="array" ref="DB13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35" s="817">
        <f t="array" ref="DC135">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35" s="818">
        <f>SUM(AlimentsRationVolaillesFemelles[[#This Row],[Valeur 6 et plus]:[Valeur 0-1]])</f>
        <v>0</v>
      </c>
      <c r="DE135" s="1321"/>
      <c r="DF135" s="1321"/>
      <c r="DG135" s="1336" t="s">
        <v>1478</v>
      </c>
      <c r="DH135" s="1336"/>
      <c r="DI135" s="1321"/>
      <c r="DJ135" s="1321"/>
      <c r="DK135" s="1321"/>
      <c r="DL135" s="1321"/>
      <c r="DM135" s="1321"/>
      <c r="DN135" s="1176" t="s">
        <v>765</v>
      </c>
      <c r="DO135" s="1177" t="s">
        <v>715</v>
      </c>
      <c r="DP135" s="1177" t="s">
        <v>1252</v>
      </c>
      <c r="DQ135" s="1181">
        <v>1.2</v>
      </c>
      <c r="DR135" s="1181">
        <v>0.8</v>
      </c>
      <c r="DS135" s="1181">
        <v>0.6</v>
      </c>
      <c r="DT135" s="1243">
        <v>0.4</v>
      </c>
      <c r="DU135" s="1346"/>
      <c r="DV135" s="1321"/>
      <c r="DW135" s="1321"/>
      <c r="DX135" s="1321"/>
      <c r="DY135" s="1321"/>
      <c r="DZ135" s="1321"/>
      <c r="EA135" s="1321"/>
      <c r="EB135" s="1321"/>
      <c r="EC135" s="1321"/>
      <c r="ED135" s="1345"/>
      <c r="EE135" s="1345"/>
      <c r="EF135" s="1321"/>
      <c r="EG135" s="1336" t="s">
        <v>1278</v>
      </c>
      <c r="EH135" s="1341"/>
      <c r="EI135" s="1341"/>
      <c r="EJ135" s="1341"/>
      <c r="EK135" s="1336"/>
      <c r="EL135" s="1345"/>
      <c r="EM135" s="1321"/>
      <c r="EN135" s="789" t="s">
        <v>1276</v>
      </c>
      <c r="EO135" s="790" t="s">
        <v>1295</v>
      </c>
      <c r="EP135" s="790" t="s">
        <v>1256</v>
      </c>
      <c r="EQ135" s="790" t="s">
        <v>1255</v>
      </c>
      <c r="ER135" s="791" t="s">
        <v>1269</v>
      </c>
      <c r="ES135" s="1345"/>
      <c r="ET135" s="1321"/>
      <c r="EU135" s="1083">
        <f t="shared" si="44"/>
        <v>0</v>
      </c>
      <c r="EV135" s="1283">
        <f t="array" ref="EV135">IF(OR(ChoixRationComplèteEtéChevauxSelle=OUI,ChoixRationComplèteEtéChevauxSelle="",AND(ChoixChevauxSellePréHiver=OUI,ChoixChevauxSellePréEté=OUI)),0,IFERROR(IF(OR(AND(INDEX(Règles_chevaux_selle[Specificite],MATCH(RationEtéChevauxSelle&amp;$EU135,Règles_chevaux_selle[Ration]&amp;Règles_chevaux_selle[Aliment],0))="s1",IF($EU135=Spécificité1ChevauxSelle,1)),
AND(INDEX(Règles_chevaux_selle[Specificite],MATCH(RationEtéChevauxSelle&amp;$EU135,Règles_chevaux_selle[Ration]&amp;Règles_chevaux_selle[Aliment],0))="s2",IF($EU135=Spécificité2ChevauxSelle,1)),
INDEX(Règles_chevaux_selle[Specificite],MATCH(RationEtéChevauxSelle&amp;$EU135,Règles_chevaux_selle[Ration]&amp;Règles_chevaux_selle[Aliment],0))="c"),
INDEX(Règles_chevaux_selle[Valeur 36 et plus],MATCH(RationEtéChevauxSelle&amp;$EU135,Règles_chevaux_selle[Ration]&amp;Règles_chevaux_selle[Aliment],0)),0),0)*TotalJumentSelle*SUM(NbreJoursNourrirChevauxSelle))</f>
        <v>0</v>
      </c>
      <c r="EW135" s="1283">
        <f t="array" ref="EW135">IF(OR(ChoixRationComplèteEtéChevauxSelle=OUI,ChoixRationComplèteEtéChevauxSelle="",AND(ChoixChevauxSellePréHiver=OUI,ChoixChevauxSellePréEté=OUI)),0,IFERROR(IF(OR(AND(INDEX(Règles_chevaux_selle[Specificite],MATCH(RationEtéChevauxSelle&amp;$EU135,Règles_chevaux_selle[Ration]&amp;Règles_chevaux_selle[Aliment],0))="s1",IF($EU135=Spécificité1ChevauxSelle,1)),
AND(INDEX(Règles_chevaux_selle[Specificite],MATCH(RationEtéChevauxSelle&amp;$EU135,Règles_chevaux_selle[Ration]&amp;Règles_chevaux_selle[Aliment],0))="s2",IF($EU135=Spécificité2ChevauxSelle,1)),
INDEX(Règles_chevaux_selle[Specificite],MATCH(RationEtéChevauxSelle&amp;$EU135,Règles_chevaux_selle[Ration]&amp;Règles_chevaux_selle[Aliment],0))="c"),
INDEX(Règles_chevaux_selle[Valeur 24-36],MATCH(RationEtéChevauxSelle&amp;$EU135,Règles_chevaux_selle[Ration]&amp;Règles_chevaux_selle[Aliment],0)),0),0)*TotalJeuneJumentSelle_24_36_mois*SUM(NbreJoursNourrirChevauxSelle))</f>
        <v>0</v>
      </c>
      <c r="EX135" s="1283">
        <f t="array" ref="EX135">IF(OR(ChoixRationComplèteEtéChevauxSelle=OUI,ChoixRationComplèteEtéChevauxSelle="",AND(ChoixChevauxSellePréHiver=OUI,ChoixChevauxSellePréEté=OUI)),0,IFERROR(IF(OR(AND(INDEX(Règles_chevaux_selle[Specificite],MATCH(RationEtéChevauxSelle&amp;$EU135,Règles_chevaux_selle[Ration]&amp;Règles_chevaux_selle[Aliment],0))="s1",IF($EU135=Spécificité1ChevauxSelle,1)),
AND(INDEX(Règles_chevaux_selle[Specificite],MATCH(RationEtéChevauxSelle&amp;$EU135,Règles_chevaux_selle[Ration]&amp;Règles_chevaux_selle[Aliment],0))="s2",IF($EU135=Spécificité2ChevauxSelle,1)),
INDEX(Règles_chevaux_selle[Specificite],MATCH(RationEtéChevauxSelle&amp;$EU135,Règles_chevaux_selle[Ration]&amp;Règles_chevaux_selle[Aliment],0))="c"),
INDEX(Règles_chevaux_selle[Valeur 12-24],MATCH(RationEtéChevauxSelle&amp;$EU135,Règles_chevaux_selle[Ration]&amp;Règles_chevaux_selle[Aliment],0)),0),0)*TotalJeuneJumentSelle_12_24_mois*SUM(NbreJoursNourrirChevauxSelle))</f>
        <v>0</v>
      </c>
      <c r="EY135" s="1286">
        <f t="array" ref="EY135">IF(OR(ChoixRationComplèteEtéChevauxSelle=OUI,ChoixRationComplèteEtéChevauxSelle="",AND(ChoixChevauxSellePréHiver=OUI,ChoixChevauxSellePréEté=OUI)),0,IFERROR(IF(OR(AND(INDEX(Règles_chevaux_selle[Specificite],MATCH(RationEtéChevauxSelle&amp;$EU135,Règles_chevaux_selle[Ration]&amp;Règles_chevaux_selle[Aliment],0))="s1",IF($EU135=Spécificité1ChevauxSelle,1)),
AND(INDEX(Règles_chevaux_selle[Specificite],MATCH(RationEtéChevauxSelle&amp;$EU135,Règles_chevaux_selle[Ration]&amp;Règles_chevaux_selle[Aliment],0))="s2",IF($EU135=Spécificité2ChevauxSelle,1)),
INDEX(Règles_chevaux_selle[Specificite],MATCH(RationEtéChevauxSelle&amp;$EU135,Règles_chevaux_selle[Ration]&amp;Règles_chevaux_selle[Aliment],0))="c"),
INDEX(Règles_chevaux_selle[Valeur 0-12],MATCH(RationEtéChevauxSelle&amp;$EU135,Règles_chevaux_selle[Ration]&amp;Règles_chevaux_selle[Aliment],0)),0),0)*TotalPoulicheSelle_0_12_mois*SUM(NbreJoursNourrirChevauxSelle))</f>
        <v>0</v>
      </c>
      <c r="EZ135" s="1286">
        <f t="shared" si="43"/>
        <v>0</v>
      </c>
      <c r="FA135" s="1345"/>
      <c r="FB135" s="1345"/>
      <c r="FC135" s="1321"/>
      <c r="FD135" s="1336"/>
      <c r="FE135" s="1336"/>
      <c r="FF135" s="1336"/>
      <c r="FG135" s="1336"/>
      <c r="FH135" s="1336"/>
      <c r="FI135" s="1336"/>
      <c r="FJ135" s="1345"/>
      <c r="FK135" s="1345"/>
      <c r="FL135" s="1345"/>
      <c r="FM135" s="1321"/>
      <c r="FN135" s="1336" t="s">
        <v>1278</v>
      </c>
      <c r="FO135" s="1341"/>
      <c r="FP135" s="1341"/>
      <c r="FQ135" s="1341"/>
      <c r="FR135" s="1336"/>
      <c r="FS135" s="1336"/>
      <c r="FT135" s="1345"/>
      <c r="FU135" s="1345"/>
      <c r="FV135" s="1345"/>
      <c r="FW135" s="1281" t="s">
        <v>1276</v>
      </c>
      <c r="FX135" s="1289" t="s">
        <v>1746</v>
      </c>
      <c r="FY135" s="1289" t="s">
        <v>1747</v>
      </c>
      <c r="FZ135" s="1289" t="s">
        <v>1748</v>
      </c>
      <c r="GA135" s="1345"/>
      <c r="GB135" s="1345"/>
      <c r="GC135" s="1321"/>
      <c r="GD135" s="1321"/>
      <c r="GE135" s="1321"/>
      <c r="GF135" s="1321"/>
      <c r="GG135" s="1321" t="s">
        <v>1349</v>
      </c>
      <c r="GH135" s="1321" t="s">
        <v>1349</v>
      </c>
      <c r="GI135" s="1321" t="s">
        <v>1349</v>
      </c>
      <c r="GJ135" s="1321" t="s">
        <v>1349</v>
      </c>
      <c r="GK135" s="1321" t="s">
        <v>1349</v>
      </c>
      <c r="GL135" s="1321" t="s">
        <v>1349</v>
      </c>
      <c r="GM135" s="1321" t="s">
        <v>1349</v>
      </c>
      <c r="GN135" s="1321" t="s">
        <v>1349</v>
      </c>
      <c r="GO135" s="1321" t="s">
        <v>1349</v>
      </c>
      <c r="GP135" s="1321" t="s">
        <v>1349</v>
      </c>
      <c r="GQ135" s="1321" t="s">
        <v>1349</v>
      </c>
      <c r="GR135" s="1321" t="s">
        <v>1349</v>
      </c>
      <c r="GS135" s="1321" t="s">
        <v>1349</v>
      </c>
      <c r="GT135" s="1321" t="s">
        <v>1349</v>
      </c>
      <c r="GU135" s="1321" t="s">
        <v>1349</v>
      </c>
      <c r="GV135" s="1321" t="s">
        <v>1349</v>
      </c>
      <c r="GW135" s="1321"/>
      <c r="GX135" s="1321"/>
      <c r="GY135" s="1321"/>
      <c r="GZ135" s="1321"/>
      <c r="HA135" s="1321"/>
      <c r="HB135" s="1321"/>
      <c r="HC135" s="1321"/>
      <c r="HD135" s="1321"/>
      <c r="HE135" s="1321"/>
      <c r="HF135" s="1321"/>
      <c r="HG135" s="1321"/>
      <c r="HH135" s="1321"/>
      <c r="HI135" s="1321"/>
      <c r="HJ135" s="1321"/>
      <c r="HK135" s="1321"/>
      <c r="HL135" s="1321"/>
      <c r="HM135" s="1321"/>
      <c r="HN135" s="1321"/>
      <c r="HO135" s="1321"/>
      <c r="HP135" s="1321"/>
      <c r="HQ135" s="1321"/>
      <c r="HR135" s="1321"/>
      <c r="HS135" s="1321"/>
      <c r="HT135" s="1321"/>
      <c r="HU135" s="1321"/>
      <c r="HV135" s="1321"/>
      <c r="HW135" s="1321"/>
      <c r="HX135" s="1321"/>
      <c r="HY135" s="1321"/>
      <c r="HZ135" s="1321"/>
      <c r="IA135" s="1321"/>
      <c r="IB135" s="1321"/>
      <c r="IC135" s="1321"/>
      <c r="ID135" s="1321"/>
      <c r="IE135" s="1321"/>
      <c r="IF135" s="1321"/>
      <c r="IG135" s="1321"/>
      <c r="IH135" s="1321"/>
      <c r="II135" s="1321"/>
      <c r="IJ135" s="1321"/>
      <c r="IK135" s="1321"/>
      <c r="IL135" s="1321"/>
      <c r="IM135" s="1321"/>
      <c r="IN135" s="1368"/>
    </row>
    <row r="136" spans="1:248" ht="12.75" customHeight="1" x14ac:dyDescent="0.2">
      <c r="A136" s="1307" t="s">
        <v>343</v>
      </c>
      <c r="B136" s="1209">
        <v>1</v>
      </c>
      <c r="C136" s="1321"/>
      <c r="D136" s="1321"/>
      <c r="E136" s="1321"/>
      <c r="F136" s="1143" t="s">
        <v>1758</v>
      </c>
      <c r="G136" s="1143">
        <v>1</v>
      </c>
      <c r="H136" s="1321"/>
      <c r="I136" s="1076" t="s">
        <v>1052</v>
      </c>
      <c r="J136" s="1081">
        <f>IF(gains!F$4=BDD!O$127,10,IF(gains!F$4=BDD!P$127,20,IF(gains!F$4=BDD!Q$127,30,0)))</f>
        <v>10</v>
      </c>
      <c r="K136" s="1081">
        <f>IF(gains!$G$7=K$127,1,0)</f>
        <v>0</v>
      </c>
      <c r="L136" s="1081">
        <f>IF(gains!$G$7=L$127,2,0)</f>
        <v>0</v>
      </c>
      <c r="M136" s="1081">
        <f>IF(gains!$G$7=M$127,3,0)</f>
        <v>0</v>
      </c>
      <c r="N136" s="1081">
        <f>IF(gains!$G$7=N$127,4,0)</f>
        <v>4</v>
      </c>
      <c r="O136" s="1081">
        <f>IF(AND(J136=10,SUM(K136:N136)=1),gains!$F$38,IF(AND(J136=10,SUM(K136:N136)=2),gains!$F$38*2,IF(AND(J136=10,SUM(K136:N136)=3),gains!$F$38*3,IF(AND(J136=10,SUM(K136:N136)=4),gains!$F$38*4,0))))</f>
        <v>56000</v>
      </c>
      <c r="P136" s="1081">
        <f>IF(AND(J136=20,SUM(K136:N136)=1),gains!$F$38*7,IF(AND(J136=20,SUM(K136:N136)=2),gains!$F$38*7*2,IF(AND(J136=20,SUM(K136:N136)=3),gains!$F$38*7*3,IF(AND(J136=20,SUM(K136:N136)=4),gains!$F$38*7*4,0))))</f>
        <v>0</v>
      </c>
      <c r="Q136" s="1081">
        <f>IF(AND(J136=30,SUM(K136:N136)=1),gains!$F$38*7*12,IF(AND(J136=30,SUM(K136:N136)=2),gains!$F$38*7*12*2,IF(AND(J136=30,SUM(K136:N136)=3),gains!$F$38*7*12*3,IF(AND(J136=30,SUM(K136:N136)=4),gains!$F$38*7*12*4,0))))</f>
        <v>0</v>
      </c>
      <c r="R136" s="1081">
        <f>(SUM(BC194+BC236)/1000*PrixAvoine+(BC195+BC237)/1000*PrixBetterave+(BC196+BC238)/1000*PrixBlé+(BC197+BC239)/1000*PrixBouchonsLuzerne+(BC199+BC241)/1000*PrixCanola+(BC200+BC242)/1000*PrixColza+(BC201+BC243)*1.07+(BC202+BC244)*1.12+(BC203+BC245)*1.13+(BC204+BC246)/1000*PrixEnsilageHerbe+(BC205+BC247)*IF(PrixEau="",0,PrixEau)+(BC207+BC249)/1000*PrixFeverole+(BC208+BC250)/1000*PrixFoin+(BC211+BC253)/1000*PrixMaïsEnsilé+(BC212+BC254)/1000*PrixMaïsGrain+(BC213+BC255)*1.38+(BC214+BC256)/1000*PrixOrge+(BC215+BC257)/1000*PrixPaille+(BC216+BC258)/1000*PrixPois+(BC219+BC261)*PrixRationBovins+(BC220+BC262)/1000*PrixSeigle+(BC221+BC263)/1000*PrixSoja+(BC222+BC264)/1000*PrixSorghoEnsilé+(BC223+BC265)/1000*PrixTournesol+(BC224+BC266)/1000*PrixTourteauColza+(BC225+BC267)/1000*PrixTourteauTournesol+(BC226+BC268)/1000*PrixTriticale)</f>
        <v>0</v>
      </c>
      <c r="S136" s="1081"/>
      <c r="T136" s="1081"/>
      <c r="U136" s="1081"/>
      <c r="V136" s="1081"/>
      <c r="W136" s="1081"/>
      <c r="X136" s="1081"/>
      <c r="Y136" s="1321"/>
      <c r="Z136" s="1321"/>
      <c r="AA136" s="1321"/>
      <c r="AB136" s="1321"/>
      <c r="AC136" s="1321"/>
      <c r="AD136" s="1321"/>
      <c r="AE136" s="1321"/>
      <c r="AF136" s="1321"/>
      <c r="AG136" s="1321"/>
      <c r="AH136" s="1321"/>
      <c r="AI136" s="1321"/>
      <c r="AJ136" s="1321"/>
      <c r="AK136" s="1321"/>
      <c r="AL136" s="1321"/>
      <c r="AM136" s="1321"/>
      <c r="AN136" s="1321"/>
      <c r="AO136" s="1321"/>
      <c r="AP136" s="1321"/>
      <c r="AQ136" s="1321"/>
      <c r="AR136" s="1321"/>
      <c r="AS136" s="1321"/>
      <c r="AT136" s="1321"/>
      <c r="AU136" s="1321"/>
      <c r="AV136" s="1321"/>
      <c r="AW136" s="1321"/>
      <c r="AX136" s="1321"/>
      <c r="AY136" s="1321"/>
      <c r="AZ136" s="1321"/>
      <c r="BA136" s="1321"/>
      <c r="BB136" s="1236" t="s">
        <v>732</v>
      </c>
      <c r="BC136" s="1190" t="s">
        <v>671</v>
      </c>
      <c r="BD136" s="1190" t="s">
        <v>1252</v>
      </c>
      <c r="BE136" s="1237">
        <v>48</v>
      </c>
      <c r="BF136" s="1237">
        <v>40</v>
      </c>
      <c r="BG136" s="1237">
        <v>30</v>
      </c>
      <c r="BH136" s="1237">
        <v>22</v>
      </c>
      <c r="BI136" s="1237">
        <v>14</v>
      </c>
      <c r="BJ136" s="1237">
        <v>6</v>
      </c>
      <c r="BK136" s="1238">
        <v>0</v>
      </c>
      <c r="BL136" s="1348"/>
      <c r="BM136" s="1076" t="str">
        <f t="shared" si="47"/>
        <v>Pois</v>
      </c>
      <c r="BN136" s="1267">
        <f t="array" ref="BN136">SUM((IF(QualitéAlimentsBisonneauxMâles_0_3_mois=BONNE,VLOOKUP("Pois",AlimentsRationHivernaleBisonsMâles,8,FALSE),0)+(IF(QualitéAlimentsBisonneauxFemelles_0_3_mois=BONNE,VLOOKUP("Pois",AlimentsRationHivernaleBisonsFemelles,8,FALSE),0)+(IF(QualitéAlimentsBisonneauxMâles_3_6_mois=BONNE,VLOOKUP("Pois",AlimentsRationHivernaleBisonsMâles,7,FALSE),0)+(IF(QualitéAlimentsBisonneauxFemelles_3_6_mois=BONNE,VLOOKUP("Pois",AlimentsRationHivernaleBisonsFemelles,7,FALSE),0)+(IF(QualitéAlimentsBisonneauxMâles_6_12_mois=BONNE,VLOOKUP("Pois",AlimentsRationHivernaleBisonsMâles,6,FALSE),0)+(IF(QualitéAlimentsBisonneauxFemelles_6_12_mois=BONNE,VLOOKUP("Pois",AlimentsRationHivernaleBisonsFemelles,6,FALSE),0)+(IF(QualitéAlimentsJeunesBisons_12_18_mois=BONNE,VLOOKUP("Pois",AlimentsRationHivernaleBisonsMâles,5,FALSE),0)+(IF(QualitéAlimentsJeunesBisonnes_12_18_mois=BONNE,VLOOKUP("Pois",AlimentsRationHivernaleBisonsFemelles,5,FALSE),0)+(IF(QualitéAlimentsJeunesBisons_18_24_mois=BONNE,VLOOKUP("Pois",AlimentsRationHivernaleBisonsMâles,4,FALSE),0)+(IF(QualitéAlimentsJeunesBisonnes_18_24_mois=BONNE,VLOOKUP("Pois",AlimentsRationHivernaleBisonsFemelles,4,FALSE),0)+(IF(QualitéAlimentsJeunesBisons_24_36_mois=BONNE,VLOOKUP("Pois",AlimentsRationHivernaleBisonsMâles,3,FALSE),0)+(IF(QualitéAlimentsJeunesBisonnes_24_36_mois=BONNE,VLOOKUP("Pois",AlimentsRationHivernaleBisonsFemelles,3,FALSE),0)+(IF(QualitéAlimentsBisons=BONNE,VLOOKUP("Pois",AlimentsRationHivernaleBisonsMâles,2,FALSE),0)+(IF(QualitéAlimentsBisonnes=BONNE,VLOOKUP("Pois",AlimentsRationHivernaleBisonsFemelles,2,FALSE),0))))))))))))))))</f>
        <v>0</v>
      </c>
      <c r="BO136" s="1267">
        <f t="array" ref="BO136">SUM((IF(QualitéAlimentsBisonneauxMâles_0_3_mois=MOYENNE,VLOOKUP("Pois",AlimentsRationHivernaleBisonsMâles,8,FALSE),0)+(IF(QualitéAlimentsBisonneauxFemelles_0_3_mois=MOYENNE,VLOOKUP("Pois",AlimentsRationHivernaleBisonsFemelles,8,FALSE),0)+(IF(QualitéAlimentsBisonneauxMâles_3_6_mois=MOYENNE,VLOOKUP("Pois",AlimentsRationHivernaleBisonsMâles,7,FALSE),0)+(IF(QualitéAlimentsBisonneauxFemelles_3_6_mois=MOYENNE,VLOOKUP("Pois",AlimentsRationHivernaleBisonsFemelles,7,FALSE),0)+(IF(QualitéAlimentsBisonneauxMâles_6_12_mois=MOYENNE,VLOOKUP("Pois",AlimentsRationHivernaleBisonsMâles,6,FALSE),0)+(IF(QualitéAlimentsBisonneauxFemelles_6_12_mois=MOYENNE,VLOOKUP("Pois",AlimentsRationHivernaleBisonsFemelles,6,FALSE),0)+(IF(QualitéAlimentsJeunesBisons_12_18_mois=MOYENNE,VLOOKUP("Pois",AlimentsRationHivernaleBisonsMâles,5,FALSE),0)+(IF(QualitéAlimentsJeunesBisonnes_12_18_mois=MOYENNE,VLOOKUP("Pois",AlimentsRationHivernaleBisonsFemelles,5,FALSE),0)+(IF(QualitéAlimentsJeunesBisons_18_24_mois=MOYENNE,VLOOKUP("Pois",AlimentsRationHivernaleBisonsMâles,4,FALSE),0)+(IF(QualitéAlimentsJeunesBisonnes_18_24_mois=MOYENNE,VLOOKUP("Pois",AlimentsRationHivernaleBisonsFemelles,4,FALSE),0)+(IF(QualitéAlimentsJeunesBisons_24_36_mois=MOYENNE,VLOOKUP("Pois",AlimentsRationHivernaleBisonsMâles,3,FALSE),0)+(IF(QualitéAlimentsJeunesBisonnes_24_36_mois=MOYENNE,VLOOKUP("Pois",AlimentsRationHivernaleBisonsFemelles,3,FALSE),0)+(IF(QualitéAlimentsBisons=MOYENNE,VLOOKUP("Pois",AlimentsRationHivernaleBisonsMâles,2,FALSE),0)+(IF(QualitéAlimentsBisonnes=MOYENNE,VLOOKUP("Pois",AlimentsRationHivernaleBisonsFemelles,2,FALSE),0))))))))))))))))</f>
        <v>0</v>
      </c>
      <c r="BP136" s="1267">
        <f t="array" ref="BP136">SUM((IF(QualitéAlimentsBisonneauxMâles_0_3_mois=MAUVAISE,VLOOKUP("Pois",AlimentsRationHivernaleBisonsMâles,8,FALSE),0)+(IF(QualitéAlimentsBisonneauxFemelles_0_3_mois=MAUVAISE,VLOOKUP("Pois",AlimentsRationHivernaleBisonsFemelles,8,FALSE),0)+(IF(QualitéAlimentsBisonneauxMâles_3_6_mois=MAUVAISE,VLOOKUP("Pois",AlimentsRationHivernaleBisonsMâles,7,FALSE),0)+(IF(QualitéAlimentsBisonneauxFemelles_3_6_mois=MAUVAISE,VLOOKUP("Pois",AlimentsRationHivernaleBisonsFemelles,7,FALSE),0)+(IF(QualitéAlimentsBisonneauxMâles_6_12_mois=MAUVAISE,VLOOKUP("Pois",AlimentsRationHivernaleBisonsMâles,6,FALSE),0)+(IF(QualitéAlimentsBisonneauxFemelles_6_12_mois=MAUVAISE,VLOOKUP("Pois",AlimentsRationHivernaleBisonsFemelles,6,FALSE),0)+(IF(QualitéAlimentsJeunesBisons_12_18_mois=MAUVAISE,VLOOKUP("Pois",AlimentsRationHivernaleBisonsMâles,5,FALSE),0)+(IF(QualitéAlimentsJeunesBisonnes_12_18_mois=MAUVAISE,VLOOKUP("Pois",AlimentsRationHivernaleBisonsFemelles,5,FALSE),0)+(IF(QualitéAlimentsJeunesBisons_18_24_mois=MAUVAISE,VLOOKUP("Pois",AlimentsRationHivernaleBisonsMâles,4,FALSE),0)+(IF(QualitéAlimentsJeunesBisonnes_18_24_mois=MAUVAISE,VLOOKUP("Pois",AlimentsRationHivernaleBisonsFemelles,4,FALSE),0)+(IF(QualitéAlimentsJeunesBisons_24_36_mois=MAUVAISE,VLOOKUP("Pois",AlimentsRationHivernaleBisonsMâles,3,FALSE),0)+(IF(QualitéAlimentsJeunesBisonnes_24_36_mois=MAUVAISE,VLOOKUP("Pois",AlimentsRationHivernaleBisonsFemelles,3,FALSE),0)+(IF(QualitéAlimentsBisons=MAUVAISE,VLOOKUP("Pois",AlimentsRationHivernaleBisonsMâles,2,FALSE),0)+(IF(QualitéAlimentsBisonnes=MAUVAISE,VLOOKUP("Pois",AlimentsRationHivernaleBisonsFemelles,2,FALSE),0))))))))))))))))</f>
        <v>0</v>
      </c>
      <c r="BQ136" s="1346"/>
      <c r="BR136" s="1346"/>
      <c r="BS136" s="1346"/>
      <c r="BT136" s="1346"/>
      <c r="BU136" s="1346"/>
      <c r="BV136" s="1345"/>
      <c r="BW136" s="1345"/>
      <c r="BX136" s="1076" t="s">
        <v>1273</v>
      </c>
      <c r="BY136" s="1076">
        <f t="array" ref="BY136">IF(ChoixRationComplèteCaprins=OUI,0,IFERROR(IF(OR(AND(INDEX(Règles_caprins[Specificite],MATCH(ChoixRationCaprins&amp;$BX136,Règles_caprins[Ration]&amp;Règles_caprins[Aliment],0))="s1",IF($BX136=Spécificité1Caprins,1)),
INDEX(Règles_caprins[Specificite],MATCH(ChoixRationCaprins&amp;$BX136,Règles_caprins[Ration]&amp;Règles_caprins[Aliment],0))="c"),
INDEX(Règles_caprins[Valeur 12 et plus],MATCH(ChoixRationCaprins&amp;$BX136,Règles_caprins[Ration]&amp;Règles_caprins[Aliment],0)),0),0)*TotalBoucs*SUM(NbreJoursNourrirCaprins))</f>
        <v>0</v>
      </c>
      <c r="BZ136" s="1076">
        <f t="array" ref="BZ136">IF(ChoixRationComplèteCaprins=OUI,0,IFERROR(IF(OR(AND(INDEX(Règles_caprins[Specificite],MATCH(ChoixRationCaprins&amp;$BX136,Règles_caprins[Ration]&amp;Règles_caprins[Aliment],0))="s1",IF($BX136=Spécificité1Caprins,1)),
INDEX(Règles_caprins[Specificite],MATCH(ChoixRationCaprins&amp;$BX136,Règles_caprins[Ration]&amp;Règles_caprins[Aliment],0))="c"),
INDEX(Règles_caprins[Valeur 6-12],MATCH(ChoixRationCaprins&amp;$BX136,Règles_caprins[Ration]&amp;Règles_caprins[Aliment],0)),0),0)*jeune_bouc_6_12_mois*SUM(NbreJoursNourrirCaprins))</f>
        <v>0</v>
      </c>
      <c r="CA136" s="1076">
        <f t="array" ref="CA136">IF(ChoixRationComplèteCaprins=OUI,0,IFERROR(IF(OR(AND(INDEX(Règles_caprins[Specificite],MATCH(ChoixRationCaprins&amp;$BX136,Règles_caprins[Ration]&amp;Règles_caprins[Aliment],0))="s1",IF($BX136=Spécificité1Caprins,1)),
INDEX(Règles_caprins[Specificite],MATCH(ChoixRationCaprins&amp;$BX136,Règles_caprins[Ration]&amp;Règles_caprins[Aliment],0))="c"),
INDEX(Règles_caprins[Valeur 3-6],MATCH(ChoixRationCaprins&amp;$BX136,Règles_caprins[Ration]&amp;Règles_caprins[Aliment],0)),0),0)*chevreau_3_6_mois*SUM(NbreJoursNourrirCaprins))</f>
        <v>0</v>
      </c>
      <c r="CB136" s="1076">
        <f t="array" ref="CB136">IF(ChoixRationComplèteCaprins=OUI,0,IFERROR(IF(OR(AND(INDEX(Règles_caprins[Specificite],MATCH(ChoixRationCaprins&amp;$BX136,Règles_caprins[Ration]&amp;Règles_caprins[Aliment],0))="s1",IF($BX136=Spécificité1Caprins,1)),
INDEX(Règles_caprins[Specificite],MATCH(ChoixRationCaprins&amp;$BX136,Règles_caprins[Ration]&amp;Règles_caprins[Aliment],0))="c"),
INDEX(Règles_caprins[Valeur 0-3],MATCH(ChoixRationCaprins&amp;$BX136,Règles_caprins[Ration]&amp;Règles_caprins[Aliment],0)),0),0)*chevreau_0_3_mois*SUM(NbreJoursNourrirCaprins))</f>
        <v>0</v>
      </c>
      <c r="CC136" s="1076">
        <f t="shared" si="45"/>
        <v>0</v>
      </c>
      <c r="CD136" s="1345"/>
      <c r="CE136" s="1345"/>
      <c r="CF136" s="1345"/>
      <c r="CG136" s="1345"/>
      <c r="CH136" s="1321"/>
      <c r="CI136" s="1321"/>
      <c r="CJ136" s="1321"/>
      <c r="CK136" s="1321"/>
      <c r="CL136" s="1321"/>
      <c r="CM136" s="1321"/>
      <c r="CN136" s="1321"/>
      <c r="CO136" s="1321"/>
      <c r="CP136" s="1345"/>
      <c r="CQ136" s="1321"/>
      <c r="CR136" s="1321"/>
      <c r="CS136" s="808">
        <f t="shared" si="40"/>
        <v>0</v>
      </c>
      <c r="CT136" s="817">
        <f t="array" ref="CT13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36" s="817">
        <f t="array" ref="CU13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36" s="817">
        <f t="array" ref="CV136">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36" s="818">
        <f>SUM(AlimentsRationLapinsFemelles[[#This Row],[Valeur 3 et plus]:[Valeur 0-1]])</f>
        <v>0</v>
      </c>
      <c r="CX136" s="1321"/>
      <c r="CY136" s="1321"/>
      <c r="CZ136" s="808">
        <f t="shared" si="41"/>
        <v>0</v>
      </c>
      <c r="DA136" s="817">
        <f t="array" ref="DA13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36" s="817">
        <f t="array" ref="DB13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36" s="817">
        <f t="array" ref="DC136">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36" s="818">
        <f>SUM(AlimentsRationVolaillesFemelles[[#This Row],[Valeur 6 et plus]:[Valeur 0-1]])</f>
        <v>0</v>
      </c>
      <c r="DE136" s="1321"/>
      <c r="DF136" s="1321"/>
      <c r="DG136" s="789" t="s">
        <v>1372</v>
      </c>
      <c r="DH136" s="791" t="s">
        <v>159</v>
      </c>
      <c r="DI136" s="1321"/>
      <c r="DJ136" s="1321"/>
      <c r="DK136" s="1321"/>
      <c r="DL136" s="1321"/>
      <c r="DM136" s="1321"/>
      <c r="DN136" s="1176" t="s">
        <v>765</v>
      </c>
      <c r="DO136" s="1177" t="s">
        <v>1271</v>
      </c>
      <c r="DP136" s="1177" t="s">
        <v>1252</v>
      </c>
      <c r="DQ136" s="1181">
        <v>0.14000000000000001</v>
      </c>
      <c r="DR136" s="1181">
        <v>0.08</v>
      </c>
      <c r="DS136" s="1181">
        <v>0.04</v>
      </c>
      <c r="DT136" s="1243">
        <v>0.04</v>
      </c>
      <c r="DU136" s="1346"/>
      <c r="DV136" s="1321"/>
      <c r="DW136" s="1321"/>
      <c r="DX136" s="1321"/>
      <c r="DY136" s="1321"/>
      <c r="DZ136" s="1321"/>
      <c r="EA136" s="1321"/>
      <c r="EB136" s="1321"/>
      <c r="EC136" s="1321"/>
      <c r="ED136" s="1345"/>
      <c r="EE136" s="1345"/>
      <c r="EF136" s="1321"/>
      <c r="EG136" s="789" t="s">
        <v>1276</v>
      </c>
      <c r="EH136" s="790" t="s">
        <v>1295</v>
      </c>
      <c r="EI136" s="790" t="s">
        <v>1256</v>
      </c>
      <c r="EJ136" s="790" t="s">
        <v>1255</v>
      </c>
      <c r="EK136" s="791" t="s">
        <v>1269</v>
      </c>
      <c r="EL136" s="1345"/>
      <c r="EM136" s="1321"/>
      <c r="EN136" s="809" t="s">
        <v>723</v>
      </c>
      <c r="EO136" s="830">
        <f t="array" ref="EO136">IF(ChoixRationComplèteCanards=NON,0,IFERROR(IF(OR(AND(INDEX(Règles_canards[Specificite],MATCH(ChoixRationCanards&amp;Ration_complète_canards[aliment],Règles_canards[Ration]&amp;Règles_canards[Aliment],0))="s1",IF(Ration_complète_canards[aliment]=Spécificité1Canards,1)),
AND(INDEX(Règles_canards[Specificite],MATCH(ChoixRationCanards&amp;Ration_complète_canards[aliment],Règles_canards[Ration]&amp;Règles_canards[Aliment],0))="s2",IF(Ration_complète_canards[aliment]=Spécificité2Canards,1)),
INDEX(Règles_canards[Specificite],MATCH(ChoixRationCanards&amp;Ration_complète_canards[aliment],Règles_canards[Ration]&amp;Règles_canards[Aliment],0))="c",INDEX(Règles_canards[Specificite],MATCH(ChoixRationCanards&amp;Ration_complète_canards[aliment],Règles_canards[Ration]&amp;Règles_canards[Aliment],0))="complet"),
INDEX(Règles_canards[Valeur 6 et plus],MATCH(ChoixRationCanards&amp;Ration_complète_canards[aliment],Règles_canards[Ration]&amp;Règles_canards[Aliment],0)),0),0)*SUM(TotalCanardsAdultes)*SUM(Z76:Z100))</f>
        <v>0</v>
      </c>
      <c r="EP136" s="830">
        <f t="array" ref="EP136">IF(ChoixRationComplèteCanards=NON,0,IFERROR(IF(OR(AND(INDEX(Règles_canards[Specificite],MATCH(ChoixRationCanards&amp;Ration_complète_canards[aliment],Règles_canards[Ration]&amp;Règles_canards[Aliment],0))="s1",IF(Ration_complète_canards[aliment]=Spécificité1Canards,1)),
AND(INDEX(Règles_canards[Specificite],MATCH(ChoixRationCanards&amp;Ration_complète_canards[aliment],Règles_canards[Ration]&amp;Règles_canards[Aliment],0))="s2",IF(Ration_complète_canards[aliment]=Spécificité2Canards,1)),
INDEX(Règles_canards[Specificite],MATCH(ChoixRationCanards&amp;Ration_complète_canards[aliment],Règles_canards[Ration]&amp;Règles_canards[Aliment],0))="c",INDEX(Règles_canards[Specificite],MATCH(ChoixRationCanards&amp;Ration_complète_canards[aliment],Règles_canards[Ration]&amp;Règles_canards[Aliment],0))="complet"),
INDEX(Règles_canards[Valeur 3-6],MATCH(ChoixRationCanards&amp;Ration_complète_canards[aliment],Règles_canards[Ration]&amp;Règles_canards[Aliment],0)),0),0)*SUM(TotalJeunesCanards)*SUM(Z76:Z100))</f>
        <v>0</v>
      </c>
      <c r="EQ136" s="830">
        <f t="array" ref="EQ136">IF(ChoixRationComplèteCanards=NON,0,IFERROR(IF(OR(AND(INDEX(Règles_canards[Specificite],MATCH(ChoixRationCanards&amp;Ration_complète_canards[aliment],Règles_canards[Ration]&amp;Règles_canards[Aliment],0))="s1",IF(Ration_complète_canards[aliment]=Spécificité1Canards,1)),
AND(INDEX(Règles_canards[Specificite],MATCH(ChoixRationCanards&amp;Ration_complète_canards[aliment],Règles_canards[Ration]&amp;Règles_canards[Aliment],0))="s2",IF(Ration_complète_canards[aliment]=Spécificité2Canards,1)),
INDEX(Règles_canards[Specificite],MATCH(ChoixRationCanards&amp;Ration_complète_canards[aliment],Règles_canards[Ration]&amp;Règles_canards[Aliment],0))="c",INDEX(Règles_canards[Specificite],MATCH(ChoixRationCanards&amp;Ration_complète_canards[aliment],Règles_canards[Ration]&amp;Règles_canards[Aliment],0))="complet"),
INDEX(Règles_canards[Valeur 0-3],MATCH(ChoixRationCanards&amp;Ration_complète_canards[aliment],Règles_canards[Ration]&amp;Règles_canards[Aliment],0)),0),0)*SUM(TotalCanetons)*SUM(Z76:Z100))</f>
        <v>0</v>
      </c>
      <c r="ER136" s="832">
        <f>SUM(Ration_complète_canards[[Valeur 6 et plus]:[Valeur 0-3]])</f>
        <v>0</v>
      </c>
      <c r="ES136" s="1345"/>
      <c r="ET136" s="1321"/>
      <c r="EU136" s="1082">
        <f t="shared" si="44"/>
        <v>0</v>
      </c>
      <c r="EV136" s="1282">
        <f t="array" ref="EV136">IF(OR(ChoixRationComplèteEtéChevauxSelle=OUI,ChoixRationComplèteEtéChevauxSelle="",AND(ChoixChevauxSellePréHiver=OUI,ChoixChevauxSellePréEté=OUI)),0,IFERROR(IF(OR(AND(INDEX(Règles_chevaux_selle[Specificite],MATCH(RationEtéChevauxSelle&amp;$EU136,Règles_chevaux_selle[Ration]&amp;Règles_chevaux_selle[Aliment],0))="s1",IF($EU136=Spécificité1ChevauxSelle,1)),
AND(INDEX(Règles_chevaux_selle[Specificite],MATCH(RationEtéChevauxSelle&amp;$EU136,Règles_chevaux_selle[Ration]&amp;Règles_chevaux_selle[Aliment],0))="s2",IF($EU136=Spécificité2ChevauxSelle,1)),
INDEX(Règles_chevaux_selle[Specificite],MATCH(RationEtéChevauxSelle&amp;$EU136,Règles_chevaux_selle[Ration]&amp;Règles_chevaux_selle[Aliment],0))="c"),
INDEX(Règles_chevaux_selle[Valeur 36 et plus],MATCH(RationEtéChevauxSelle&amp;$EU136,Règles_chevaux_selle[Ration]&amp;Règles_chevaux_selle[Aliment],0)),0),0)*TotalJumentSelle*SUM(NbreJoursNourrirChevauxSelle))</f>
        <v>0</v>
      </c>
      <c r="EW136" s="1282">
        <f t="array" ref="EW136">IF(OR(ChoixRationComplèteEtéChevauxSelle=OUI,ChoixRationComplèteEtéChevauxSelle="",AND(ChoixChevauxSellePréHiver=OUI,ChoixChevauxSellePréEté=OUI)),0,IFERROR(IF(OR(AND(INDEX(Règles_chevaux_selle[Specificite],MATCH(RationEtéChevauxSelle&amp;$EU136,Règles_chevaux_selle[Ration]&amp;Règles_chevaux_selle[Aliment],0))="s1",IF($EU136=Spécificité1ChevauxSelle,1)),
AND(INDEX(Règles_chevaux_selle[Specificite],MATCH(RationEtéChevauxSelle&amp;$EU136,Règles_chevaux_selle[Ration]&amp;Règles_chevaux_selle[Aliment],0))="s2",IF($EU136=Spécificité2ChevauxSelle,1)),
INDEX(Règles_chevaux_selle[Specificite],MATCH(RationEtéChevauxSelle&amp;$EU136,Règles_chevaux_selle[Ration]&amp;Règles_chevaux_selle[Aliment],0))="c"),
INDEX(Règles_chevaux_selle[Valeur 24-36],MATCH(RationEtéChevauxSelle&amp;$EU136,Règles_chevaux_selle[Ration]&amp;Règles_chevaux_selle[Aliment],0)),0),0)*TotalJeuneJumentSelle_24_36_mois*SUM(NbreJoursNourrirChevauxSelle))</f>
        <v>0</v>
      </c>
      <c r="EX136" s="1282">
        <f t="array" ref="EX136">IF(OR(ChoixRationComplèteEtéChevauxSelle=OUI,ChoixRationComplèteEtéChevauxSelle="",AND(ChoixChevauxSellePréHiver=OUI,ChoixChevauxSellePréEté=OUI)),0,IFERROR(IF(OR(AND(INDEX(Règles_chevaux_selle[Specificite],MATCH(RationEtéChevauxSelle&amp;$EU136,Règles_chevaux_selle[Ration]&amp;Règles_chevaux_selle[Aliment],0))="s1",IF($EU136=Spécificité1ChevauxSelle,1)),
AND(INDEX(Règles_chevaux_selle[Specificite],MATCH(RationEtéChevauxSelle&amp;$EU136,Règles_chevaux_selle[Ration]&amp;Règles_chevaux_selle[Aliment],0))="s2",IF($EU136=Spécificité2ChevauxSelle,1)),
INDEX(Règles_chevaux_selle[Specificite],MATCH(RationEtéChevauxSelle&amp;$EU136,Règles_chevaux_selle[Ration]&amp;Règles_chevaux_selle[Aliment],0))="c"),
INDEX(Règles_chevaux_selle[Valeur 12-24],MATCH(RationEtéChevauxSelle&amp;$EU136,Règles_chevaux_selle[Ration]&amp;Règles_chevaux_selle[Aliment],0)),0),0)*TotalJeuneJumentSelle_12_24_mois*SUM(NbreJoursNourrirChevauxSelle))</f>
        <v>0</v>
      </c>
      <c r="EY136" s="1285">
        <f t="array" ref="EY136">IF(OR(ChoixRationComplèteEtéChevauxSelle=OUI,ChoixRationComplèteEtéChevauxSelle="",AND(ChoixChevauxSellePréHiver=OUI,ChoixChevauxSellePréEté=OUI)),0,IFERROR(IF(OR(AND(INDEX(Règles_chevaux_selle[Specificite],MATCH(RationEtéChevauxSelle&amp;$EU136,Règles_chevaux_selle[Ration]&amp;Règles_chevaux_selle[Aliment],0))="s1",IF($EU136=Spécificité1ChevauxSelle,1)),
AND(INDEX(Règles_chevaux_selle[Specificite],MATCH(RationEtéChevauxSelle&amp;$EU136,Règles_chevaux_selle[Ration]&amp;Règles_chevaux_selle[Aliment],0))="s2",IF($EU136=Spécificité2ChevauxSelle,1)),
INDEX(Règles_chevaux_selle[Specificite],MATCH(RationEtéChevauxSelle&amp;$EU136,Règles_chevaux_selle[Ration]&amp;Règles_chevaux_selle[Aliment],0))="c"),
INDEX(Règles_chevaux_selle[Valeur 0-12],MATCH(RationEtéChevauxSelle&amp;$EU136,Règles_chevaux_selle[Ration]&amp;Règles_chevaux_selle[Aliment],0)),0),0)*TotalPoulicheSelle_0_12_mois*SUM(NbreJoursNourrirChevauxSelle))</f>
        <v>0</v>
      </c>
      <c r="EZ136" s="1285">
        <f t="shared" si="43"/>
        <v>0</v>
      </c>
      <c r="FA136" s="1345"/>
      <c r="FB136" s="1345"/>
      <c r="FC136" s="1321"/>
      <c r="FD136" s="1336" t="s">
        <v>1278</v>
      </c>
      <c r="FE136" s="1341"/>
      <c r="FF136" s="1341"/>
      <c r="FG136" s="1341"/>
      <c r="FH136" s="1336"/>
      <c r="FI136" s="1336"/>
      <c r="FJ136" s="1345"/>
      <c r="FK136" s="1345"/>
      <c r="FL136" s="1345"/>
      <c r="FM136" s="1321"/>
      <c r="FN136" s="789" t="s">
        <v>1276</v>
      </c>
      <c r="FO136" s="790" t="s">
        <v>1261</v>
      </c>
      <c r="FP136" s="790" t="s">
        <v>1260</v>
      </c>
      <c r="FQ136" s="790" t="s">
        <v>1304</v>
      </c>
      <c r="FR136" s="827" t="s">
        <v>1303</v>
      </c>
      <c r="FS136" s="791" t="s">
        <v>1269</v>
      </c>
      <c r="FT136" s="1345"/>
      <c r="FU136" s="1345"/>
      <c r="FV136" s="1345"/>
      <c r="FW136" s="1082" t="str">
        <f>FW43</f>
        <v>Avoine</v>
      </c>
      <c r="FX136" s="1282">
        <f t="array" ref="FX136">SUM((IF(QualitéAlimentsGavageOison_0_1_mois=BONNE,VLOOKUP("Avoine",AlimentsGavageOies[],5,FALSE),0)+(IF(QualitéAlimentsGavageCaneton_0_1_mois=BONNE,VLOOKUP("Avoine",AlimentsGavageCanards[],5,FALSE),0)+(IF(QualitéAlimentsGavageOison_1_2_mois=BONNE,VLOOKUP("Avoine",AlimentsGavageOies[],4,FALSE),0)+(IF(QualitéAlimentsGavageCaneton_1_2_mois=BONNE,VLOOKUP("Avoine",AlimentsGavageCanards[],4,FALSE),0)+(IF(QualitéAlimentsGavageOison_2_3_mois=BONNE,VLOOKUP("Avoine",AlimentsGavageOies[],3,FALSE),0)+(IF(QualitéAlimentsGavageCaneton_2_3_mois=BONNE,VLOOKUP("Avoine",AlimentsGavageCanards[],3,FALSE),0)+(IF(QualitéAlimentsGavageJeunesOies=BONNE,VLOOKUP("Avoine",AlimentsGavageOies[],2,FALSE),0)+(IF(QualitéAlimentsGavageJeuneCanard=BONNE,VLOOKUP("Avoine",AlimentsGavageCanards[],2,FALSE),0))))))))))</f>
        <v>0</v>
      </c>
      <c r="FY136" s="1282">
        <f t="array" ref="FY136">SUM((IF(QualitéAlimentsGavageOison_0_1_mois=MOYENNE,VLOOKUP("Avoine",AlimentsGavageOies[],5,FALSE),0)+(IF(QualitéAlimentsGavageCaneton_0_1_mois=MOYENNE,VLOOKUP("Avoine",AlimentsGavageCanards[],5,FALSE),0)+(IF(QualitéAlimentsGavageOison_1_2_mois=MOYENNE,VLOOKUP("Avoine",AlimentsGavageOies[],4,FALSE),0)+(IF(QualitéAlimentsGavageCaneton_1_2_mois=MOYENNE,VLOOKUP("Avoine",AlimentsGavageCanards[],4,FALSE),0)+(IF(QualitéAlimentsGavageOison_2_3_mois=MOYENNE,VLOOKUP("Avoine",AlimentsGavageOies[],3,FALSE),0)+(IF(QualitéAlimentsGavageCaneton_2_3_mois=MOYENNE,VLOOKUP("Avoine",AlimentsGavageCanards[],3,FALSE),0)+(IF(QualitéAlimentsGavageJeunesOies=MOYENNE,VLOOKUP("Avoine",AlimentsGavageOies[],2,FALSE),0)+(IF(QualitéAlimentsGavageJeuneCanard=MOYENNE,VLOOKUP("Avoine",AlimentsGavageCanards[],2,FALSE),0))))))))))</f>
        <v>0</v>
      </c>
      <c r="FZ136" s="1282">
        <f t="array" ref="FZ136">SUM((IF(QualitéAlimentsGavageOison_0_1_mois=MAUVAISE,VLOOKUP("Avoine",AlimentsGavageOies[],5,FALSE),0)+(IF(QualitéAlimentsGavageCaneton_0_1_mois=MAUVAISE,VLOOKUP("Avoine",AlimentsGavageCanards[],5,FALSE),0)+(IF(QualitéAlimentsGavageOison_1_2_mois=MAUVAISE,VLOOKUP("Avoine",AlimentsGavageOies[],4,FALSE),0)+(IF(QualitéAlimentsGavageCaneton_1_2_mois=MAUVAISE,VLOOKUP("Avoine",AlimentsGavageCanards[],4,FALSE),0)+(IF(QualitéAlimentsGavageOison_2_3_mois=MAUVAISE,VLOOKUP("Avoine",AlimentsGavageOies[],3,FALSE),0)+(IF(QualitéAlimentsGavageCaneton_2_3_mois=MAUVAISE,VLOOKUP("Avoine",AlimentsGavageCanards[],3,FALSE),0)+(IF(QualitéAlimentsGavageJeunesOies=MAUVAISE,VLOOKUP("Avoine",AlimentsGavageOies[],2,FALSE),0)+(IF(QualitéAlimentsGavageJeuneCanard=MAUVAISE,VLOOKUP("Avoine",AlimentsGavageCanards[],2,FALSE),0))))))))))</f>
        <v>0</v>
      </c>
      <c r="GA136" s="1345"/>
      <c r="GB136" s="1345"/>
      <c r="GC136" s="1321"/>
      <c r="GD136" s="1321"/>
      <c r="GE136" s="1321"/>
      <c r="GF136" s="1321"/>
      <c r="GG136" s="1321" t="s">
        <v>1349</v>
      </c>
      <c r="GH136" s="1321" t="s">
        <v>1349</v>
      </c>
      <c r="GI136" s="1321" t="s">
        <v>1349</v>
      </c>
      <c r="GJ136" s="1321" t="s">
        <v>1349</v>
      </c>
      <c r="GK136" s="1321" t="s">
        <v>1349</v>
      </c>
      <c r="GL136" s="1321" t="s">
        <v>1349</v>
      </c>
      <c r="GM136" s="1321" t="s">
        <v>1349</v>
      </c>
      <c r="GN136" s="1321" t="s">
        <v>1349</v>
      </c>
      <c r="GO136" s="1321" t="s">
        <v>1349</v>
      </c>
      <c r="GP136" s="1321" t="s">
        <v>1349</v>
      </c>
      <c r="GQ136" s="1321" t="s">
        <v>1349</v>
      </c>
      <c r="GR136" s="1321" t="s">
        <v>1349</v>
      </c>
      <c r="GS136" s="1321" t="s">
        <v>1349</v>
      </c>
      <c r="GT136" s="1321" t="s">
        <v>1349</v>
      </c>
      <c r="GU136" s="1321" t="s">
        <v>1349</v>
      </c>
      <c r="GV136" s="1321" t="s">
        <v>1349</v>
      </c>
      <c r="GW136" s="1321"/>
      <c r="GX136" s="1321"/>
      <c r="GY136" s="1321"/>
      <c r="GZ136" s="1321"/>
      <c r="HA136" s="1321"/>
      <c r="HB136" s="1321"/>
      <c r="HC136" s="1321"/>
      <c r="HD136" s="1321"/>
      <c r="HE136" s="1321"/>
      <c r="HF136" s="1321"/>
      <c r="HG136" s="1321"/>
      <c r="HH136" s="1321"/>
      <c r="HI136" s="1321"/>
      <c r="HJ136" s="1321"/>
      <c r="HK136" s="1321"/>
      <c r="HL136" s="1321"/>
      <c r="HM136" s="1321"/>
      <c r="HN136" s="1321"/>
      <c r="HO136" s="1321"/>
      <c r="HP136" s="1321"/>
      <c r="HQ136" s="1321"/>
      <c r="HR136" s="1321"/>
      <c r="HS136" s="1321"/>
      <c r="HT136" s="1321"/>
      <c r="HU136" s="1321"/>
      <c r="HV136" s="1321"/>
      <c r="HW136" s="1321"/>
      <c r="HX136" s="1321"/>
      <c r="HY136" s="1321"/>
      <c r="HZ136" s="1321"/>
      <c r="IA136" s="1321"/>
      <c r="IB136" s="1321"/>
      <c r="IC136" s="1321"/>
      <c r="ID136" s="1321"/>
      <c r="IE136" s="1321"/>
      <c r="IF136" s="1321"/>
      <c r="IG136" s="1321"/>
      <c r="IH136" s="1321"/>
      <c r="II136" s="1321"/>
      <c r="IJ136" s="1321"/>
      <c r="IK136" s="1321"/>
      <c r="IL136" s="1321"/>
      <c r="IM136" s="1321"/>
      <c r="IN136" s="1368"/>
    </row>
    <row r="137" spans="1:248" ht="12.75" customHeight="1" x14ac:dyDescent="0.2">
      <c r="A137" s="1307" t="s">
        <v>1342</v>
      </c>
      <c r="B137" s="1209">
        <v>0.88336999999999999</v>
      </c>
      <c r="C137" s="1321"/>
      <c r="D137" s="1321"/>
      <c r="E137" s="1321"/>
      <c r="F137" s="1149" t="s">
        <v>1759</v>
      </c>
      <c r="G137" s="1149">
        <v>1.5</v>
      </c>
      <c r="H137" s="1321"/>
      <c r="I137" s="1075" t="s">
        <v>1053</v>
      </c>
      <c r="J137" s="1080">
        <f>IF(gains!F$4=BDD!O$127,10,IF(gains!F$4=BDD!P$127,20,IF(gains!F$4=BDD!Q$127,30,0)))</f>
        <v>10</v>
      </c>
      <c r="K137" s="1080">
        <f>IF(gains!$G$7=K$127,1,0)</f>
        <v>0</v>
      </c>
      <c r="L137" s="1080">
        <f>IF(gains!$G$7=L$127,2,0)</f>
        <v>0</v>
      </c>
      <c r="M137" s="1080">
        <f>IF(gains!$G$7=M$127,3,0)</f>
        <v>0</v>
      </c>
      <c r="N137" s="1080">
        <f>IF(gains!$G$7=N$127,4,0)</f>
        <v>4</v>
      </c>
      <c r="O137" s="1080">
        <f>IF(AND(J137=10,SUM(K137:N137)=1),gains!$F$38,IF(AND(J137=10,SUM(K137:N137)=2),gains!$F$38*2,IF(AND(J137=10,SUM(K137:N137)=3),gains!$F$38*3,IF(AND(J137=10,SUM(K137:N137)=4),gains!$F$38*4,0))))</f>
        <v>56000</v>
      </c>
      <c r="P137" s="1080">
        <f>IF(AND(J137=20,SUM(K137:N137)=1),gains!$F$38*7,IF(AND(J137=20,SUM(K137:N137)=2),gains!$F$38*7*2,IF(AND(J137=20,SUM(K137:N137)=3),gains!$F$38*7*3,IF(AND(J137=20,SUM(K137:N137)=4),gains!$F$38*7*4,0))))</f>
        <v>0</v>
      </c>
      <c r="Q137" s="1080">
        <f>IF(AND(J137=30,SUM(K137:N137)=1),gains!$F$38*7*12,IF(AND(J137=30,SUM(K137:N137)=2),gains!$F$38*7*12*2,IF(AND(J137=30,SUM(K137:N137)=3),gains!$F$38*7*12*3,IF(AND(J137=30,SUM(K137:N137)=4),gains!$F$38*7*12*4,0))))</f>
        <v>0</v>
      </c>
      <c r="R137" s="1321"/>
      <c r="S137" s="1321"/>
      <c r="T137" s="1321"/>
      <c r="U137" s="1321"/>
      <c r="V137" s="1321"/>
      <c r="W137" s="1321"/>
      <c r="X137" s="1321"/>
      <c r="Y137" s="1321"/>
      <c r="Z137" s="1321"/>
      <c r="AA137" s="1321"/>
      <c r="AB137" s="1321"/>
      <c r="AC137" s="1321"/>
      <c r="AD137" s="1321"/>
      <c r="AE137" s="1321"/>
      <c r="AF137" s="1321"/>
      <c r="AG137" s="1321"/>
      <c r="AH137" s="1321"/>
      <c r="AI137" s="1321"/>
      <c r="AJ137" s="1321"/>
      <c r="AK137" s="1321"/>
      <c r="AL137" s="1321"/>
      <c r="AM137" s="1321"/>
      <c r="AN137" s="1321"/>
      <c r="AO137" s="1321"/>
      <c r="AP137" s="1321"/>
      <c r="AQ137" s="1321"/>
      <c r="AR137" s="1321"/>
      <c r="AS137" s="1321"/>
      <c r="AT137" s="1321"/>
      <c r="AU137" s="1321"/>
      <c r="AV137" s="1321"/>
      <c r="AW137" s="1321"/>
      <c r="AX137" s="1321"/>
      <c r="AY137" s="1321"/>
      <c r="AZ137" s="1321"/>
      <c r="BA137" s="1321"/>
      <c r="BB137" s="1236" t="s">
        <v>732</v>
      </c>
      <c r="BC137" s="1190" t="s">
        <v>672</v>
      </c>
      <c r="BD137" s="1190" t="s">
        <v>1253</v>
      </c>
      <c r="BE137" s="1237">
        <v>7.2</v>
      </c>
      <c r="BF137" s="1237">
        <v>6</v>
      </c>
      <c r="BG137" s="1237">
        <v>4</v>
      </c>
      <c r="BH137" s="1237">
        <v>2</v>
      </c>
      <c r="BI137" s="1237">
        <v>1.2</v>
      </c>
      <c r="BJ137" s="1237">
        <v>0.6</v>
      </c>
      <c r="BK137" s="1238">
        <v>0</v>
      </c>
      <c r="BL137" s="1348"/>
      <c r="BM137" s="1075" t="str">
        <f t="shared" si="47"/>
        <v>Pomme de terre</v>
      </c>
      <c r="BN137" s="1269">
        <f t="array" ref="BN137">SUM((IF(QualitéAlimentsBisonneauxMâles_0_3_mois=BONNE,VLOOKUP("Pomme de terre",AlimentsRationHivernaleBisonsMâles,8,FALSE),0)+(IF(QualitéAlimentsBisonneauxFemelles_0_3_mois=BONNE,VLOOKUP("Pomme de terre",AlimentsRationHivernaleBisonsFemelles,8,FALSE),0)+(IF(QualitéAlimentsBisonneauxMâles_3_6_mois=BONNE,VLOOKUP("Pomme de terre",AlimentsRationHivernaleBisonsMâles,7,FALSE),0)+(IF(QualitéAlimentsBisonneauxFemelles_3_6_mois=BONNE,VLOOKUP("Pomme de terre",AlimentsRationHivernaleBisonsFemelles,7,FALSE),0)+(IF(QualitéAlimentsBisonneauxMâles_6_12_mois=BONNE,VLOOKUP("Pomme de terre",AlimentsRationHivernaleBisonsMâles,6,FALSE),0)+(IF(QualitéAlimentsBisonneauxFemelles_6_12_mois=BONNE,VLOOKUP("Pomme de terre",AlimentsRationHivernaleBisonsFemelles,6,FALSE),0)+(IF(QualitéAlimentsJeunesBisons_12_18_mois=BONNE,VLOOKUP("Pomme de terre",AlimentsRationHivernaleBisonsMâles,5,FALSE),0)+(IF(QualitéAlimentsJeunesBisonnes_12_18_mois=BONNE,VLOOKUP("Pomme de terre",AlimentsRationHivernaleBisonsFemelles,5,FALSE),0)+(IF(QualitéAlimentsJeunesBisons_18_24_mois=BONNE,VLOOKUP("Pomme de terre",AlimentsRationHivernaleBisonsMâles,4,FALSE),0)+(IF(QualitéAlimentsJeunesBisonnes_18_24_mois=BONNE,VLOOKUP("Pomme de terre",AlimentsRationHivernaleBisonsFemelles,4,FALSE),0)+(IF(QualitéAlimentsJeunesBisons_24_36_mois=BONNE,VLOOKUP("Pomme de terre",AlimentsRationHivernaleBisonsMâles,3,FALSE),0)+(IF(QualitéAlimentsJeunesBisonnes_24_36_mois=BONNE,VLOOKUP("Pomme de terre",AlimentsRationHivernaleBisonsFemelles,3,FALSE),0)+(IF(QualitéAlimentsBisons=BONNE,VLOOKUP("Pomme de terre",AlimentsRationHivernaleBisonsMâles,2,FALSE),0)+(IF(QualitéAlimentsBisonnes=BONNE,VLOOKUP("Pomme de terre",AlimentsRationHivernaleBisonsFemelles,2,FALSE),0))))))))))))))))</f>
        <v>0</v>
      </c>
      <c r="BO137" s="1269">
        <f t="array" ref="BO137">SUM((IF(QualitéAlimentsBisonneauxMâles_0_3_mois=MOYENNE,VLOOKUP("Pomme de terre",AlimentsRationHivernaleBisonsMâles,8,FALSE),0)+(IF(QualitéAlimentsBisonneauxFemelles_0_3_mois=MOYENNE,VLOOKUP("Pomme de terre",AlimentsRationHivernaleBisonsFemelles,8,FALSE),0)+(IF(QualitéAlimentsBisonneauxMâles_3_6_mois=MOYENNE,VLOOKUP("Pomme de terre",AlimentsRationHivernaleBisonsMâles,7,FALSE),0)+(IF(QualitéAlimentsBisonneauxFemelles_3_6_mois=MOYENNE,VLOOKUP("Pomme de terre",AlimentsRationHivernaleBisonsFemelles,7,FALSE),0)+(IF(QualitéAlimentsBisonneauxMâles_6_12_mois=MOYENNE,VLOOKUP("Pomme de terre",AlimentsRationHivernaleBisonsMâles,6,FALSE),0)+(IF(QualitéAlimentsBisonneauxFemelles_6_12_mois=MOYENNE,VLOOKUP("Pomme de terre",AlimentsRationHivernaleBisonsFemelles,6,FALSE),0)+(IF(QualitéAlimentsJeunesBisons_12_18_mois=MOYENNE,VLOOKUP("Pomme de terre",AlimentsRationHivernaleBisonsMâles,5,FALSE),0)+(IF(QualitéAlimentsJeunesBisonnes_12_18_mois=MOYENNE,VLOOKUP("Pomme de terre",AlimentsRationHivernaleBisonsFemelles,5,FALSE),0)+(IF(QualitéAlimentsJeunesBisons_18_24_mois=MOYENNE,VLOOKUP("Pomme de terre",AlimentsRationHivernaleBisonsMâles,4,FALSE),0)+(IF(QualitéAlimentsJeunesBisonnes_18_24_mois=MOYENNE,VLOOKUP("Pomme de terre",AlimentsRationHivernaleBisonsFemelles,4,FALSE),0)+(IF(QualitéAlimentsJeunesBisons_24_36_mois=MOYENNE,VLOOKUP("Pomme de terre",AlimentsRationHivernaleBisonsMâles,3,FALSE),0)+(IF(QualitéAlimentsJeunesBisonnes_24_36_mois=MOYENNE,VLOOKUP("Pomme de terre",AlimentsRationHivernaleBisonsFemelles,3,FALSE),0)+(IF(QualitéAlimentsBisons=MOYENNE,VLOOKUP("Pomme de terre",AlimentsRationHivernaleBisonsMâles,2,FALSE),0)+(IF(QualitéAlimentsBisonnes=MOYENNE,VLOOKUP("Pomme de terre",AlimentsRationHivernaleBisonsFemelles,2,FALSE),0))))))))))))))))</f>
        <v>0</v>
      </c>
      <c r="BP137" s="1269">
        <f t="array" ref="BP137">SUM((IF(QualitéAlimentsBisonneauxMâles_0_3_mois=MAUVAISE,VLOOKUP("Pomme de terre",AlimentsRationHivernaleBisonsMâles,8,FALSE),0)+(IF(QualitéAlimentsBisonneauxFemelles_0_3_mois=MAUVAISE,VLOOKUP("Pomme de terre",AlimentsRationHivernaleBisonsFemelles,8,FALSE),0)+(IF(QualitéAlimentsBisonneauxMâles_3_6_mois=MAUVAISE,VLOOKUP("Pomme de terre",AlimentsRationHivernaleBisonsMâles,7,FALSE),0)+(IF(QualitéAlimentsBisonneauxFemelles_3_6_mois=MAUVAISE,VLOOKUP("Pomme de terre",AlimentsRationHivernaleBisonsFemelles,7,FALSE),0)+(IF(QualitéAlimentsBisonneauxMâles_6_12_mois=MAUVAISE,VLOOKUP("Pomme de terre",AlimentsRationHivernaleBisonsMâles,6,FALSE),0)+(IF(QualitéAlimentsBisonneauxFemelles_6_12_mois=MAUVAISE,VLOOKUP("Pomme de terre",AlimentsRationHivernaleBisonsFemelles,6,FALSE),0)+(IF(QualitéAlimentsJeunesBisons_12_18_mois=MAUVAISE,VLOOKUP("Pomme de terre",AlimentsRationHivernaleBisonsMâles,5,FALSE),0)+(IF(QualitéAlimentsJeunesBisonnes_12_18_mois=MAUVAISE,VLOOKUP("Pomme de terre",AlimentsRationHivernaleBisonsFemelles,5,FALSE),0)+(IF(QualitéAlimentsJeunesBisons_18_24_mois=MAUVAISE,VLOOKUP("Pomme de terre",AlimentsRationHivernaleBisonsMâles,4,FALSE),0)+(IF(QualitéAlimentsJeunesBisonnes_18_24_mois=MAUVAISE,VLOOKUP("Pomme de terre",AlimentsRationHivernaleBisonsFemelles,4,FALSE),0)+(IF(QualitéAlimentsJeunesBisons_24_36_mois=MAUVAISE,VLOOKUP("Pomme de terre",AlimentsRationHivernaleBisonsMâles,3,FALSE),0)+(IF(QualitéAlimentsJeunesBisonnes_24_36_mois=MAUVAISE,VLOOKUP("Pomme de terre",AlimentsRationHivernaleBisonsFemelles,3,FALSE),0)+(IF(QualitéAlimentsBisons=MAUVAISE,VLOOKUP("Pomme de terre",AlimentsRationHivernaleBisonsMâles,2,FALSE),0)+(IF(QualitéAlimentsBisonnes=MAUVAISE,VLOOKUP("Pomme de terre",AlimentsRationHivernaleBisonsFemelles,2,FALSE),0))))))))))))))))</f>
        <v>0</v>
      </c>
      <c r="BQ137" s="1346"/>
      <c r="BR137" s="1346"/>
      <c r="BS137" s="1346"/>
      <c r="BT137" s="1346"/>
      <c r="BU137" s="1346"/>
      <c r="BV137" s="1345"/>
      <c r="BW137" s="1345"/>
      <c r="BX137" s="1075" t="s">
        <v>1274</v>
      </c>
      <c r="BY137" s="1075">
        <f t="array" ref="BY137">IF(ChoixRationComplèteCaprins=OUI,0,IFERROR(IF(OR(AND(INDEX(Règles_caprins[Specificite],MATCH(ChoixRationCaprins&amp;$BX137,Règles_caprins[Ration]&amp;Règles_caprins[Aliment],0))="s1",IF($BX137=Spécificité1Caprins,1)),
INDEX(Règles_caprins[Specificite],MATCH(ChoixRationCaprins&amp;$BX137,Règles_caprins[Ration]&amp;Règles_caprins[Aliment],0))="c"),
INDEX(Règles_caprins[Valeur 12 et plus],MATCH(ChoixRationCaprins&amp;$BX137,Règles_caprins[Ration]&amp;Règles_caprins[Aliment],0)),0),0)*TotalBoucs*SUM(NbreJoursNourrirCaprins))</f>
        <v>0</v>
      </c>
      <c r="BZ137" s="1075">
        <f t="array" ref="BZ137">IF(ChoixRationComplèteCaprins=OUI,0,IFERROR(IF(OR(AND(INDEX(Règles_caprins[Specificite],MATCH(ChoixRationCaprins&amp;$BX137,Règles_caprins[Ration]&amp;Règles_caprins[Aliment],0))="s1",IF($BX137=Spécificité1Caprins,1)),
INDEX(Règles_caprins[Specificite],MATCH(ChoixRationCaprins&amp;$BX137,Règles_caprins[Ration]&amp;Règles_caprins[Aliment],0))="c"),
INDEX(Règles_caprins[Valeur 6-12],MATCH(ChoixRationCaprins&amp;$BX137,Règles_caprins[Ration]&amp;Règles_caprins[Aliment],0)),0),0)*jeune_bouc_6_12_mois*SUM(NbreJoursNourrirCaprins))</f>
        <v>0</v>
      </c>
      <c r="CA137" s="1075">
        <f t="array" ref="CA137">IF(ChoixRationComplèteCaprins=OUI,0,IFERROR(IF(OR(AND(INDEX(Règles_caprins[Specificite],MATCH(ChoixRationCaprins&amp;$BX137,Règles_caprins[Ration]&amp;Règles_caprins[Aliment],0))="s1",IF($BX137=Spécificité1Caprins,1)),
INDEX(Règles_caprins[Specificite],MATCH(ChoixRationCaprins&amp;$BX137,Règles_caprins[Ration]&amp;Règles_caprins[Aliment],0))="c"),
INDEX(Règles_caprins[Valeur 3-6],MATCH(ChoixRationCaprins&amp;$BX137,Règles_caprins[Ration]&amp;Règles_caprins[Aliment],0)),0),0)*chevreau_3_6_mois*SUM(NbreJoursNourrirCaprins))</f>
        <v>0</v>
      </c>
      <c r="CB137" s="1075">
        <f t="array" ref="CB137">IF(ChoixRationComplèteCaprins=OUI,0,IFERROR(IF(OR(AND(INDEX(Règles_caprins[Specificite],MATCH(ChoixRationCaprins&amp;$BX137,Règles_caprins[Ration]&amp;Règles_caprins[Aliment],0))="s1",IF($BX137=Spécificité1Caprins,1)),
INDEX(Règles_caprins[Specificite],MATCH(ChoixRationCaprins&amp;$BX137,Règles_caprins[Ration]&amp;Règles_caprins[Aliment],0))="c"),
INDEX(Règles_caprins[Valeur 0-3],MATCH(ChoixRationCaprins&amp;$BX137,Règles_caprins[Ration]&amp;Règles_caprins[Aliment],0)),0),0)*chevreau_0_3_mois*SUM(NbreJoursNourrirCaprins))</f>
        <v>0</v>
      </c>
      <c r="CC137" s="1075">
        <f t="shared" si="45"/>
        <v>0</v>
      </c>
      <c r="CD137" s="1345"/>
      <c r="CE137" s="1345"/>
      <c r="CF137" s="1345"/>
      <c r="CG137" s="1345"/>
      <c r="CH137" s="1321"/>
      <c r="CI137" s="1321"/>
      <c r="CJ137" s="1335" t="s">
        <v>1749</v>
      </c>
      <c r="CK137" s="1336"/>
      <c r="CL137" s="1336"/>
      <c r="CM137" s="1336"/>
      <c r="CN137" s="1321"/>
      <c r="CO137" s="1321"/>
      <c r="CP137" s="1345"/>
      <c r="CQ137" s="1321"/>
      <c r="CR137" s="1321"/>
      <c r="CS137" s="792">
        <f t="shared" si="40"/>
        <v>0</v>
      </c>
      <c r="CT137" s="793">
        <f t="array" ref="CT13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3 et plus],MATCH(ChoixRationLapins&amp;AlimentsRationLapinsFemelles[[#This Row],[aliment]],Règles_lapins[Ration]&amp;Règles_lapins[Aliment],0)),0),0)*TotalLapines*SUM(NbreJoursNourrirAutres))</f>
        <v>0</v>
      </c>
      <c r="CU137" s="793">
        <f t="array" ref="CU13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1-3],MATCH(ChoixRationLapins&amp;AlimentsRationLapinsFemelles[[#This Row],[aliment]],Règles_lapins[Ration]&amp;Règles_lapins[Aliment],0)),0),0)*TotalJeuneLapine_1_3_mois*SUM(NbreJoursNourrirAutres))</f>
        <v>0</v>
      </c>
      <c r="CV137" s="793">
        <f t="array" ref="CV137">IF(ChoixRationComplèteLapins=OUI,0,IFERROR(IF(OR(AND(INDEX(Règles_lapins[Specificite],MATCH(ChoixRationLapins&amp;AlimentsRationLapinsFemelles[[#This Row],[aliment]],Règles_lapins[Ration]&amp;Règles_lapins[Aliment],0))="s1",IF(AlimentsRationLapinsFemelles[[#This Row],[aliment]]=Spécificité1Lapins,1)),
AND(INDEX(Règles_lapins[Specificite],MATCH(ChoixRationLapins&amp;AlimentsRationLapinsFemelles[[#This Row],[aliment]],Règles_lapins[Ration]&amp;Règles_lapins[Aliment],0))="s2",IF(AlimentsRationLapinsFemelles[[#This Row],[aliment]]=Spécificité2Lapins,1)),
INDEX(Règles_lapins[Specificite],MATCH(ChoixRationLapins&amp;AlimentsRationLapinsFemelles[[#This Row],[aliment]],Règles_lapins[Ration]&amp;Règles_lapins[Aliment],0))="c"),
INDEX(Règles_lapins[Valeur 0-1],MATCH(ChoixRationLapins&amp;AlimentsRationLapinsFemelles[[#This Row],[aliment]],Règles_lapins[Ration]&amp;Règles_lapins[Aliment],0)),0),0)*TotalLapereauFemelle_0_1_mois*SUM(NbreJoursNourrirAutres))</f>
        <v>0</v>
      </c>
      <c r="CW137" s="819">
        <f>SUM(AlimentsRationLapinsFemelles[[#This Row],[Valeur 3 et plus]:[Valeur 0-1]])</f>
        <v>0</v>
      </c>
      <c r="CX137" s="1321"/>
      <c r="CY137" s="1321"/>
      <c r="CZ137" s="792">
        <f t="shared" si="41"/>
        <v>0</v>
      </c>
      <c r="DA137" s="793">
        <f t="array" ref="DA13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6 et plus],MATCH(ChoixRationVolailles&amp;AlimentsRationVolaillesFemelles[[#This Row],[aliment]],Règles_volailles[Ration]&amp;Règles_volailles[Aliment],0)),0),0)*TotalPoules*SUM(NbreJoursNourrirAutres))</f>
        <v>0</v>
      </c>
      <c r="DB137" s="793">
        <f t="array" ref="DB13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1-6],MATCH(ChoixRationVolailles&amp;AlimentsRationVolaillesFemelles[[#This Row],[aliment]],Règles_volailles[Ration]&amp;Règles_volailles[Aliment],0)),0),0)*JeunePoule_1_6_mois*SUM(NbreJoursNourrirAutres))</f>
        <v>0</v>
      </c>
      <c r="DC137" s="793">
        <f t="array" ref="DC137">IF(ChoixRationComplètePoules=OUI,0,IFERROR(IF(OR(AND(INDEX(Règles_volailles[Specificite],MATCH(ChoixRationVolailles&amp;AlimentsRationVolaillesFemelles[[#This Row],[aliment]],Règles_volailles[Ration]&amp;Règles_volailles[Aliment],0))="s1",IF(AlimentsRationVolaillesFemelles[[#This Row],[aliment]]=Spécificité1Volailles,1)),
AND(INDEX(Règles_volailles[Specificite],MATCH(ChoixRationVolailles&amp;AlimentsRationVolaillesFemelles[[#This Row],[aliment]],Règles_volailles[Ration]&amp;Règles_volailles[Aliment],0))="s2",IF(AlimentsRationVolaillesFemelles[[#This Row],[aliment]]=Spécificité2Volailles,1)),
INDEX(Règles_volailles[Specificite],MATCH(ChoixRationVolailles&amp;AlimentsRationVolaillesFemelles[[#This Row],[aliment]],Règles_volailles[Ration]&amp;Règles_volailles[Aliment],0))="c"),
INDEX(Règles_volailles[Valeur 0-1],MATCH(ChoixRationVolailles&amp;AlimentsRationVolaillesFemelles[[#This Row],[aliment]],Règles_volailles[Ration]&amp;Règles_volailles[Aliment],0)),0),0)*poussin_femelle_0_1_mois*SUM(NbreJoursNourrirAutres))</f>
        <v>0</v>
      </c>
      <c r="DD137" s="819">
        <f>SUM(AlimentsRationVolaillesFemelles[[#This Row],[Valeur 6 et plus]:[Valeur 0-1]])</f>
        <v>0</v>
      </c>
      <c r="DE137" s="1321"/>
      <c r="DF137" s="1321"/>
      <c r="DG137" s="808" t="s">
        <v>819</v>
      </c>
      <c r="DH137" s="803">
        <f>DH12*SUM(TotalPintadesAdultes)*SUM(NbreJoursNourrirAutres)</f>
        <v>0</v>
      </c>
      <c r="DI137" s="1321"/>
      <c r="DJ137" s="1321"/>
      <c r="DK137" s="1321"/>
      <c r="DL137" s="1321"/>
      <c r="DM137" s="1321"/>
      <c r="DN137" s="1176" t="s">
        <v>765</v>
      </c>
      <c r="DO137" s="1177" t="s">
        <v>733</v>
      </c>
      <c r="DP137" s="1177" t="s">
        <v>1252</v>
      </c>
      <c r="DQ137" s="1181">
        <v>20</v>
      </c>
      <c r="DR137" s="1181">
        <v>12</v>
      </c>
      <c r="DS137" s="1181">
        <v>8</v>
      </c>
      <c r="DT137" s="1243">
        <v>4</v>
      </c>
      <c r="DU137" s="1346"/>
      <c r="DV137" s="1321"/>
      <c r="DW137" s="1321"/>
      <c r="DX137" s="1321"/>
      <c r="DY137" s="1321"/>
      <c r="DZ137" s="1321"/>
      <c r="EA137" s="1321"/>
      <c r="EB137" s="1321"/>
      <c r="EC137" s="1321"/>
      <c r="ED137" s="1345"/>
      <c r="EE137" s="1345"/>
      <c r="EF137" s="1321"/>
      <c r="EG137" s="792" t="s">
        <v>723</v>
      </c>
      <c r="EH137" s="793">
        <f t="array" ref="EH137">IF(ChoixRationComplèteOies=NON,0,IFERROR(IF(OR(AND(INDEX(Règles_oies[Specificite],MATCH(ChoixRationOies&amp;Ration_complète_oies[aliment],Règles_oies[Ration]&amp;Règles_oies[Aliment],0))="s1",IF(Ration_complète_oies[aliment]=Spécificité1Oies,1)),
AND(INDEX(Règles_oies[Specificite],MATCH(ChoixRationOies&amp;Ration_complète_oies[aliment],Règles_oies[Ration]&amp;Règles_oies[Aliment],0))="s2",IF(Ration_complète_oies[aliment]=Spécificité2Oies,1)),
INDEX(Règles_oies[Specificite],MATCH(ChoixRationOies&amp;Ration_complète_oies[aliment],Règles_oies[Ration]&amp;Règles_oies[Aliment],0))="c",INDEX(Règles_oies[Specificite],MATCH(ChoixRationOies&amp;Ration_complète_oies[aliment],Règles_oies[Ration]&amp;Règles_oies[Aliment],0))="complet"),
INDEX(Règles_oies[Valeur 6 et plus],MATCH(ChoixRationOies&amp;Ration_complète_oies[aliment],Règles_oies[Ration]&amp;Règles_oies[Aliment],0)),0),0)*SUM(TotalOiesAdultes)*SUM(Z76:Z100))</f>
        <v>0</v>
      </c>
      <c r="EI137" s="793">
        <f t="array" ref="EI137">IF(ChoixRationComplèteOies=NON,0,IFERROR(IF(OR(AND(INDEX(Règles_oies[Specificite],MATCH(ChoixRationOies&amp;Ration_complète_oies[aliment],Règles_oies[Ration]&amp;Règles_oies[Aliment],0))="s1",IF(Ration_complète_oies[aliment]=Spécificité1Oies,1)),
AND(INDEX(Règles_oies[Specificite],MATCH(ChoixRationOies&amp;Ration_complète_oies[aliment],Règles_oies[Ration]&amp;Règles_oies[Aliment],0))="s2",IF(Ration_complète_oies[aliment]=Spécificité2Oies,1)),
INDEX(Règles_oies[Specificite],MATCH(ChoixRationOies&amp;Ration_complète_oies[aliment],Règles_oies[Ration]&amp;Règles_oies[Aliment],0))="c",INDEX(Règles_oies[Specificite],MATCH(ChoixRationOies&amp;Ration_complète_oies[aliment],Règles_oies[Ration]&amp;Règles_oies[Aliment],0))="complet"),
INDEX(Règles_oies[Valeur 3-6],MATCH(ChoixRationOies&amp;Ration_complète_oies[aliment],Règles_oies[Ration]&amp;Règles_oies[Aliment],0)),0),0)*SUM(TotalJeunesOies)*SUM(Z76:Z100))</f>
        <v>0</v>
      </c>
      <c r="EJ137" s="793">
        <f t="array" ref="EJ137">IF(ChoixRationComplèteOies=NON,0,IFERROR(IF(OR(AND(INDEX(Règles_oies[Specificite],MATCH(ChoixRationOies&amp;Ration_complète_oies[aliment],Règles_oies[Ration]&amp;Règles_oies[Aliment],0))="s1",IF(Ration_complète_oies[aliment]=Spécificité1Oies,1)),
AND(INDEX(Règles_oies[Specificite],MATCH(ChoixRationOies&amp;Ration_complète_oies[aliment],Règles_oies[Ration]&amp;Règles_oies[Aliment],0))="s2",IF(Ration_complète_oies[aliment]=Spécificité2Oies,1)),
INDEX(Règles_oies[Specificite],MATCH(ChoixRationOies&amp;Ration_complète_oies[aliment],Règles_oies[Ration]&amp;Règles_oies[Aliment],0))="c",INDEX(Règles_oies[Specificite],MATCH(ChoixRationOies&amp;Ration_complète_oies[aliment],Règles_oies[Ration]&amp;Règles_oies[Aliment],0))="complet"),
INDEX(Règles_oies[Valeur 0-3],MATCH(ChoixRationOies&amp;Ration_complète_oies[aliment],Règles_oies[Ration]&amp;Règles_oies[Aliment],0)),0),0)*SUM(TotalOisons)*SUM(Z76:Z100))</f>
        <v>0</v>
      </c>
      <c r="EK137" s="820">
        <f>SUM(Ration_complète_oies[[Valeur 6 et plus]:[Valeur 0-3]])</f>
        <v>0</v>
      </c>
      <c r="EL137" s="1345"/>
      <c r="EM137" s="1321"/>
      <c r="EN137" s="1321"/>
      <c r="EO137" s="1321"/>
      <c r="EP137" s="1321"/>
      <c r="EQ137" s="1321"/>
      <c r="ER137" s="1345"/>
      <c r="ES137" s="1345"/>
      <c r="ET137" s="1321"/>
      <c r="EU137" s="1083">
        <f t="shared" si="44"/>
        <v>0</v>
      </c>
      <c r="EV137" s="1283">
        <f t="array" ref="EV137">IF(OR(ChoixRationComplèteEtéChevauxSelle=OUI,ChoixRationComplèteEtéChevauxSelle="",AND(ChoixChevauxSellePréHiver=OUI,ChoixChevauxSellePréEté=OUI)),0,IFERROR(IF(OR(AND(INDEX(Règles_chevaux_selle[Specificite],MATCH(RationEtéChevauxSelle&amp;$EU137,Règles_chevaux_selle[Ration]&amp;Règles_chevaux_selle[Aliment],0))="s1",IF($EU137=Spécificité1ChevauxSelle,1)),
AND(INDEX(Règles_chevaux_selle[Specificite],MATCH(RationEtéChevauxSelle&amp;$EU137,Règles_chevaux_selle[Ration]&amp;Règles_chevaux_selle[Aliment],0))="s2",IF($EU137=Spécificité2ChevauxSelle,1)),
INDEX(Règles_chevaux_selle[Specificite],MATCH(RationEtéChevauxSelle&amp;$EU137,Règles_chevaux_selle[Ration]&amp;Règles_chevaux_selle[Aliment],0))="c"),
INDEX(Règles_chevaux_selle[Valeur 36 et plus],MATCH(RationEtéChevauxSelle&amp;$EU137,Règles_chevaux_selle[Ration]&amp;Règles_chevaux_selle[Aliment],0)),0),0)*TotalJumentSelle*SUM(NbreJoursNourrirChevauxSelle))</f>
        <v>0</v>
      </c>
      <c r="EW137" s="1283">
        <f t="array" ref="EW137">IF(OR(ChoixRationComplèteEtéChevauxSelle=OUI,ChoixRationComplèteEtéChevauxSelle="",AND(ChoixChevauxSellePréHiver=OUI,ChoixChevauxSellePréEté=OUI)),0,IFERROR(IF(OR(AND(INDEX(Règles_chevaux_selle[Specificite],MATCH(RationEtéChevauxSelle&amp;$EU137,Règles_chevaux_selle[Ration]&amp;Règles_chevaux_selle[Aliment],0))="s1",IF($EU137=Spécificité1ChevauxSelle,1)),
AND(INDEX(Règles_chevaux_selle[Specificite],MATCH(RationEtéChevauxSelle&amp;$EU137,Règles_chevaux_selle[Ration]&amp;Règles_chevaux_selle[Aliment],0))="s2",IF($EU137=Spécificité2ChevauxSelle,1)),
INDEX(Règles_chevaux_selle[Specificite],MATCH(RationEtéChevauxSelle&amp;$EU137,Règles_chevaux_selle[Ration]&amp;Règles_chevaux_selle[Aliment],0))="c"),
INDEX(Règles_chevaux_selle[Valeur 24-36],MATCH(RationEtéChevauxSelle&amp;$EU137,Règles_chevaux_selle[Ration]&amp;Règles_chevaux_selle[Aliment],0)),0),0)*TotalJeuneJumentSelle_24_36_mois*SUM(NbreJoursNourrirChevauxSelle))</f>
        <v>0</v>
      </c>
      <c r="EX137" s="1283">
        <f t="array" ref="EX137">IF(OR(ChoixRationComplèteEtéChevauxSelle=OUI,ChoixRationComplèteEtéChevauxSelle="",AND(ChoixChevauxSellePréHiver=OUI,ChoixChevauxSellePréEté=OUI)),0,IFERROR(IF(OR(AND(INDEX(Règles_chevaux_selle[Specificite],MATCH(RationEtéChevauxSelle&amp;$EU137,Règles_chevaux_selle[Ration]&amp;Règles_chevaux_selle[Aliment],0))="s1",IF($EU137=Spécificité1ChevauxSelle,1)),
AND(INDEX(Règles_chevaux_selle[Specificite],MATCH(RationEtéChevauxSelle&amp;$EU137,Règles_chevaux_selle[Ration]&amp;Règles_chevaux_selle[Aliment],0))="s2",IF($EU137=Spécificité2ChevauxSelle,1)),
INDEX(Règles_chevaux_selle[Specificite],MATCH(RationEtéChevauxSelle&amp;$EU137,Règles_chevaux_selle[Ration]&amp;Règles_chevaux_selle[Aliment],0))="c"),
INDEX(Règles_chevaux_selle[Valeur 12-24],MATCH(RationEtéChevauxSelle&amp;$EU137,Règles_chevaux_selle[Ration]&amp;Règles_chevaux_selle[Aliment],0)),0),0)*TotalJeuneJumentSelle_12_24_mois*SUM(NbreJoursNourrirChevauxSelle))</f>
        <v>0</v>
      </c>
      <c r="EY137" s="1286">
        <f t="array" ref="EY137">IF(OR(ChoixRationComplèteEtéChevauxSelle=OUI,ChoixRationComplèteEtéChevauxSelle="",AND(ChoixChevauxSellePréHiver=OUI,ChoixChevauxSellePréEté=OUI)),0,IFERROR(IF(OR(AND(INDEX(Règles_chevaux_selle[Specificite],MATCH(RationEtéChevauxSelle&amp;$EU137,Règles_chevaux_selle[Ration]&amp;Règles_chevaux_selle[Aliment],0))="s1",IF($EU137=Spécificité1ChevauxSelle,1)),
AND(INDEX(Règles_chevaux_selle[Specificite],MATCH(RationEtéChevauxSelle&amp;$EU137,Règles_chevaux_selle[Ration]&amp;Règles_chevaux_selle[Aliment],0))="s2",IF($EU137=Spécificité2ChevauxSelle,1)),
INDEX(Règles_chevaux_selle[Specificite],MATCH(RationEtéChevauxSelle&amp;$EU137,Règles_chevaux_selle[Ration]&amp;Règles_chevaux_selle[Aliment],0))="c"),
INDEX(Règles_chevaux_selle[Valeur 0-12],MATCH(RationEtéChevauxSelle&amp;$EU137,Règles_chevaux_selle[Ration]&amp;Règles_chevaux_selle[Aliment],0)),0),0)*TotalPoulicheSelle_0_12_mois*SUM(NbreJoursNourrirChevauxSelle))</f>
        <v>0</v>
      </c>
      <c r="EZ137" s="1286">
        <f t="shared" si="43"/>
        <v>0</v>
      </c>
      <c r="FA137" s="1345"/>
      <c r="FB137" s="1345"/>
      <c r="FC137" s="1321"/>
      <c r="FD137" s="789" t="s">
        <v>1276</v>
      </c>
      <c r="FE137" s="790" t="s">
        <v>1261</v>
      </c>
      <c r="FF137" s="790" t="s">
        <v>1260</v>
      </c>
      <c r="FG137" s="790" t="s">
        <v>1304</v>
      </c>
      <c r="FH137" s="827" t="s">
        <v>1303</v>
      </c>
      <c r="FI137" s="791" t="s">
        <v>1269</v>
      </c>
      <c r="FJ137" s="1345"/>
      <c r="FK137" s="1345"/>
      <c r="FL137" s="1345"/>
      <c r="FM137" s="1321"/>
      <c r="FN137" s="809" t="s">
        <v>723</v>
      </c>
      <c r="FO137" s="830">
        <f t="array" ref="FO137">IF(ChoixRationComplèteEtéPoneys=NON,0,IFERROR(IF(OR(AND(INDEX(Règles_poneys[Specificite],MATCH(RationHivernaleAuPréPoneys&amp;Ration_complète_poneys[aliment],Règles_poneys[Ration]&amp;Règles_poneys[Aliment],0))="s1",IF(Ration_complète_poneys[aliment]=Spécificité1Poneys,1)),
AND(INDEX(Règles_poneys[Specificite],MATCH(RationHivernaleAuPréPoneys&amp;Ration_complète_poneys[aliment],Règles_poneys[Ration]&amp;Règles_poneys[Aliment],0))="s2",IF(Ration_complète_poneys[aliment]=Spécificité2Poneys,1)),
INDEX(Règles_poneys[Specificite],MATCH(RationHivernaleAuPréPoneys&amp;Ration_complète_poneys[aliment],Règles_poneys[Ration]&amp;Règles_poneys[Aliment],0))="c",INDEX(Règles_poneys[Specificite],MATCH(RationHivernaleAuPréPoneys&amp;Ration_complète_poneys[aliment],Règles_poneys[Ration]&amp;Règles_poneys[Aliment],0))="complet"),
INDEX(Règles_poneys[Valeur 36 et plus],MATCH(RationHivernaleAuPréPoneys&amp;Ration_complète_poneys[aliment],Règles_poneys[Ration]&amp;Règles_poneys[Aliment],0)),0),0)*SUM(TotalPoneysAdultes)*SUM(AE76:AE100))</f>
        <v>0</v>
      </c>
      <c r="FP137" s="830">
        <f t="array" ref="FP137">IF(ChoixRationComplèteEtéPoneys=NON,0,IFERROR(IF(OR(AND(INDEX(Règles_poneys[Specificite],MATCH(RationHivernaleAuPréPoneys&amp;Ration_complète_poneys[aliment],Règles_poneys[Ration]&amp;Règles_poneys[Aliment],0))="s1",IF(Ration_complète_poneys[aliment]=Spécificité1Poneys,1)),
AND(INDEX(Règles_poneys[Specificite],MATCH(RationHivernaleAuPréPoneys&amp;Ration_complète_poneys[aliment],Règles_poneys[Ration]&amp;Règles_poneys[Aliment],0))="s2",IF(Ration_complète_poneys[aliment]=Spécificité2Poneys,1)),
INDEX(Règles_poneys[Specificite],MATCH(RationHivernaleAuPréPoneys&amp;Ration_complète_poneys[aliment],Règles_poneys[Ration]&amp;Règles_poneys[Aliment],0))="c",INDEX(Règles_poneys[Specificite],MATCH(RationHivernaleAuPréPoneys&amp;Ration_complète_poneys[aliment],Règles_poneys[Ration]&amp;Règles_poneys[Aliment],0))="complet"),
INDEX(Règles_poneys[Valeur 24-36],MATCH(RationHivernaleAuPréPoneys&amp;Ration_complète_poneys[aliment],Règles_poneys[Ration]&amp;Règles_poneys[Aliment],0)),0),0)*SUM(TotalPoneys_24_36mois)*SUM(AE76:AE100))</f>
        <v>0</v>
      </c>
      <c r="FQ137" s="830">
        <f t="array" ref="FQ137">IF(ChoixRationComplèteEtéPoneys=NON,0,IFERROR(IF(OR(AND(INDEX(Règles_poneys[Specificite],MATCH(RationHivernaleAuPréPoneys&amp;Ration_complète_poneys[aliment],Règles_poneys[Ration]&amp;Règles_poneys[Aliment],0))="s1",IF(Ration_complète_poneys[aliment]=Spécificité1Poneys,1)),
AND(INDEX(Règles_poneys[Specificite],MATCH(RationHivernaleAuPréPoneys&amp;Ration_complète_poneys[aliment],Règles_poneys[Ration]&amp;Règles_poneys[Aliment],0))="s2",IF(Ration_complète_poneys[aliment]=Spécificité2Poneys,1)),
INDEX(Règles_poneys[Specificite],MATCH(RationHivernaleAuPréPoneys&amp;Ration_complète_poneys[aliment],Règles_poneys[Ration]&amp;Règles_poneys[Aliment],0))="c",INDEX(Règles_poneys[Specificite],MATCH(RationHivernaleAuPréPoneys&amp;Ration_complète_poneys[aliment],Règles_poneys[Ration]&amp;Règles_poneys[Aliment],0))="complet"),
INDEX(Règles_poneys[Valeur 12-24],MATCH(RationHivernaleAuPréPoneys&amp;Ration_complète_poneys[aliment],Règles_poneys[Ration]&amp;Règles_poneys[Aliment],0)),0),0)*SUM(TotalPoneys_12_24mois)*SUM(AE76:AE100))</f>
        <v>0</v>
      </c>
      <c r="FR137" s="830">
        <f t="array" ref="FR137">IF(ChoixRationComplèteEtéPoneys=NON,0,IFERROR(IF(OR(AND(INDEX(Règles_poneys[Specificite],MATCH(RationHivernaleAuPréPoneys&amp;Ration_complète_poneys[aliment],Règles_poneys[Ration]&amp;Règles_poneys[Aliment],0))="s1",IF(Ration_complète_poneys[aliment]=Spécificité1Poneys,1)),
AND(INDEX(Règles_poneys[Specificite],MATCH(RationHivernaleAuPréPoneys&amp;Ration_complète_poneys[aliment],Règles_poneys[Ration]&amp;Règles_poneys[Aliment],0))="s2",IF(Ration_complète_poneys[aliment]=Spécificité2Poneys,1)),
INDEX(Règles_poneys[Specificite],MATCH(RationHivernaleAuPréPoneys&amp;Ration_complète_poneys[aliment],Règles_poneys[Ration]&amp;Règles_poneys[Aliment],0))="c",INDEX(Règles_poneys[Specificite],MATCH(RationHivernaleAuPréPoneys&amp;Ration_complète_poneys[aliment],Règles_poneys[Ration]&amp;Règles_poneys[Aliment],0))="complet"),
INDEX(Règles_poneys[Valeur 0-12],MATCH(RationHivernaleAuPréPoneys&amp;Ration_complète_poneys[aliment],Règles_poneys[Ration]&amp;Règles_poneys[Aliment],0)),0),0)*SUM(TotalPoulainsPoneys)*SUM(AE76:AE100))</f>
        <v>0</v>
      </c>
      <c r="FS137" s="832">
        <f>SUM(Ration_complète_poneys[[Valeur 36 et plus]:[Valeur 0-12]])</f>
        <v>0</v>
      </c>
      <c r="FT137" s="1345"/>
      <c r="FU137" s="1345"/>
      <c r="FV137" s="1345"/>
      <c r="FW137" s="1083" t="str">
        <f t="shared" ref="FW137:FW174" si="49">FW44</f>
        <v>Betterave</v>
      </c>
      <c r="FX137" s="1283">
        <f t="array" ref="FX137">SUM((IF(QualitéAlimentsGavageOison_0_1_mois=BONNE,VLOOKUP("Betterave",AlimentsGavageOies[],5,FALSE),0)+(IF(QualitéAlimentsGavageCaneton_0_1_mois=BONNE,VLOOKUP("Betterave",AlimentsGavageCanards[],5,FALSE),0)+(IF(QualitéAlimentsGavageOison_1_2_mois=BONNE,VLOOKUP("Betterave",AlimentsGavageOies[],4,FALSE),0)+(IF(QualitéAlimentsGavageCaneton_1_2_mois=BONNE,VLOOKUP("Betterave",AlimentsGavageCanards[],4,FALSE),0)+(IF(QualitéAlimentsGavageOison_2_3_mois=BONNE,VLOOKUP("Betterave",AlimentsGavageOies[],3,FALSE),0)+(IF(QualitéAlimentsGavageCaneton_2_3_mois=BONNE,VLOOKUP("Betterave",AlimentsGavageCanards[],3,FALSE),0)+(IF(QualitéAlimentsGavageJeunesOies=BONNE,VLOOKUP("Betterave",AlimentsGavageOies[],2,FALSE),0)+(IF(QualitéAlimentsGavageJeuneCanard=BONNE,VLOOKUP("Betterave",AlimentsGavageCanards[],2,FALSE),0))))))))))</f>
        <v>0</v>
      </c>
      <c r="FY137" s="1283">
        <f t="array" ref="FY137">SUM((IF(QualitéAlimentsGavageOison_0_1_mois=MOYENNE,VLOOKUP("Betterave",AlimentsGavageOies[],5,FALSE),0)+(IF(QualitéAlimentsGavageCaneton_0_1_mois=MOYENNE,VLOOKUP("Betterave",AlimentsGavageCanards[],5,FALSE),0)+(IF(QualitéAlimentsGavageOison_1_2_mois=MOYENNE,VLOOKUP("Betterave",AlimentsGavageOies[],4,FALSE),0)+(IF(QualitéAlimentsGavageCaneton_1_2_mois=MOYENNE,VLOOKUP("Betterave",AlimentsGavageCanards[],4,FALSE),0)+(IF(QualitéAlimentsGavageOison_2_3_mois=MOYENNE,VLOOKUP("Betterave",AlimentsGavageOies[],3,FALSE),0)+(IF(QualitéAlimentsGavageCaneton_2_3_mois=MOYENNE,VLOOKUP("Betterave",AlimentsGavageCanards[],3,FALSE),0)+(IF(QualitéAlimentsGavageJeunesOies=MOYENNE,VLOOKUP("Betterave",AlimentsGavageOies[],2,FALSE),0)+(IF(QualitéAlimentsGavageJeuneCanard=MOYENNE,VLOOKUP("Betterave",AlimentsGavageCanards[],2,FALSE),0))))))))))</f>
        <v>0</v>
      </c>
      <c r="FZ137" s="1283">
        <f t="array" ref="FZ137">SUM((IF(QualitéAlimentsGavageOison_0_1_mois=MAUVAISE,VLOOKUP("Betterave",AlimentsGavageOies[],5,FALSE),0)+(IF(QualitéAlimentsGavageCaneton_0_1_mois=MAUVAISE,VLOOKUP("Betterave",AlimentsGavageCanards[],5,FALSE),0)+(IF(QualitéAlimentsGavageOison_1_2_mois=MAUVAISE,VLOOKUP("Betterave",AlimentsGavageOies[],4,FALSE),0)+(IF(QualitéAlimentsGavageCaneton_1_2_mois=MAUVAISE,VLOOKUP("Betterave",AlimentsGavageCanards[],4,FALSE),0)+(IF(QualitéAlimentsGavageOison_2_3_mois=MAUVAISE,VLOOKUP("Betterave",AlimentsGavageOies[],3,FALSE),0)+(IF(QualitéAlimentsGavageCaneton_2_3_mois=MAUVAISE,VLOOKUP("Betterave",AlimentsGavageCanards[],3,FALSE),0)+(IF(QualitéAlimentsGavageJeunesOies=MAUVAISE,VLOOKUP("Betterave",AlimentsGavageOies[],2,FALSE),0)+(IF(QualitéAlimentsGavageJeuneCanard=MAUVAISE,VLOOKUP("Betterave",AlimentsGavageCanards[],2,FALSE),0))))))))))</f>
        <v>0</v>
      </c>
      <c r="GA137" s="1345"/>
      <c r="GB137" s="1345"/>
      <c r="GC137" s="1321"/>
      <c r="GD137" s="1321"/>
      <c r="GE137" s="1321"/>
      <c r="GF137" s="1321"/>
      <c r="GG137" s="1321" t="s">
        <v>1349</v>
      </c>
      <c r="GH137" s="1321" t="s">
        <v>1349</v>
      </c>
      <c r="GI137" s="1321" t="s">
        <v>1349</v>
      </c>
      <c r="GJ137" s="1321" t="s">
        <v>1349</v>
      </c>
      <c r="GK137" s="1321" t="s">
        <v>1349</v>
      </c>
      <c r="GL137" s="1321" t="s">
        <v>1349</v>
      </c>
      <c r="GM137" s="1321" t="s">
        <v>1349</v>
      </c>
      <c r="GN137" s="1321" t="s">
        <v>1349</v>
      </c>
      <c r="GO137" s="1321" t="s">
        <v>1349</v>
      </c>
      <c r="GP137" s="1321" t="s">
        <v>1349</v>
      </c>
      <c r="GQ137" s="1321" t="s">
        <v>1349</v>
      </c>
      <c r="GR137" s="1321" t="s">
        <v>1349</v>
      </c>
      <c r="GS137" s="1321" t="s">
        <v>1349</v>
      </c>
      <c r="GT137" s="1321" t="s">
        <v>1349</v>
      </c>
      <c r="GU137" s="1321" t="s">
        <v>1349</v>
      </c>
      <c r="GV137" s="1321" t="s">
        <v>1349</v>
      </c>
      <c r="GW137" s="1321"/>
      <c r="GX137" s="1321"/>
      <c r="GY137" s="1321"/>
      <c r="GZ137" s="1321"/>
      <c r="HA137" s="1321"/>
      <c r="HB137" s="1321"/>
      <c r="HC137" s="1321"/>
      <c r="HD137" s="1321"/>
      <c r="HE137" s="1321"/>
      <c r="HF137" s="1321"/>
      <c r="HG137" s="1321"/>
      <c r="HH137" s="1321"/>
      <c r="HI137" s="1321"/>
      <c r="HJ137" s="1321"/>
      <c r="HK137" s="1321"/>
      <c r="HL137" s="1321"/>
      <c r="HM137" s="1321"/>
      <c r="HN137" s="1321"/>
      <c r="HO137" s="1321"/>
      <c r="HP137" s="1321"/>
      <c r="HQ137" s="1321"/>
      <c r="HR137" s="1321"/>
      <c r="HS137" s="1321"/>
      <c r="HT137" s="1321"/>
      <c r="HU137" s="1321"/>
      <c r="HV137" s="1321"/>
      <c r="HW137" s="1321"/>
      <c r="HX137" s="1321"/>
      <c r="HY137" s="1321"/>
      <c r="HZ137" s="1321"/>
      <c r="IA137" s="1321"/>
      <c r="IB137" s="1321"/>
      <c r="IC137" s="1321"/>
      <c r="ID137" s="1321"/>
      <c r="IE137" s="1321"/>
      <c r="IF137" s="1321"/>
      <c r="IG137" s="1321"/>
      <c r="IH137" s="1321"/>
      <c r="II137" s="1321"/>
      <c r="IJ137" s="1321"/>
      <c r="IK137" s="1321"/>
      <c r="IL137" s="1321"/>
      <c r="IM137" s="1321"/>
      <c r="IN137" s="1368"/>
    </row>
    <row r="138" spans="1:248" ht="12.75" customHeight="1" x14ac:dyDescent="0.2">
      <c r="A138" s="1307" t="s">
        <v>233</v>
      </c>
      <c r="B138" s="1209">
        <v>15</v>
      </c>
      <c r="C138" s="1321"/>
      <c r="D138" s="1321"/>
      <c r="E138" s="1321"/>
      <c r="F138" s="1143" t="s">
        <v>1760</v>
      </c>
      <c r="G138" s="1143">
        <v>1.5</v>
      </c>
      <c r="H138" s="1321"/>
      <c r="I138" s="1336"/>
      <c r="J138" s="1336"/>
      <c r="K138" s="1336"/>
      <c r="L138" s="1336"/>
      <c r="M138" s="1336"/>
      <c r="N138" s="1336"/>
      <c r="O138" s="1336"/>
      <c r="P138" s="1336"/>
      <c r="Q138" s="1336"/>
      <c r="R138" s="1321"/>
      <c r="S138" s="1321"/>
      <c r="T138" s="1321"/>
      <c r="U138" s="1321"/>
      <c r="V138" s="1321"/>
      <c r="W138" s="1321"/>
      <c r="X138" s="1321"/>
      <c r="Y138" s="1321"/>
      <c r="Z138" s="1321"/>
      <c r="AA138" s="1321"/>
      <c r="AB138" s="1321"/>
      <c r="AC138" s="1321"/>
      <c r="AD138" s="1321"/>
      <c r="AE138" s="1321"/>
      <c r="AF138" s="1321"/>
      <c r="AG138" s="1321"/>
      <c r="AH138" s="1321"/>
      <c r="AI138" s="1321"/>
      <c r="AJ138" s="1321"/>
      <c r="AK138" s="1321"/>
      <c r="AL138" s="1321"/>
      <c r="AM138" s="1321"/>
      <c r="AN138" s="1321"/>
      <c r="AO138" s="1321"/>
      <c r="AP138" s="1321"/>
      <c r="AQ138" s="1321"/>
      <c r="AR138" s="1321"/>
      <c r="AS138" s="1321"/>
      <c r="AT138" s="1321"/>
      <c r="AU138" s="1321"/>
      <c r="AV138" s="1321"/>
      <c r="AW138" s="1321"/>
      <c r="AX138" s="1321"/>
      <c r="AY138" s="1321"/>
      <c r="AZ138" s="1321"/>
      <c r="BA138" s="1321"/>
      <c r="BB138" s="1236" t="s">
        <v>732</v>
      </c>
      <c r="BC138" s="1190" t="s">
        <v>285</v>
      </c>
      <c r="BD138" s="1190" t="s">
        <v>1253</v>
      </c>
      <c r="BE138" s="1237">
        <v>7.2</v>
      </c>
      <c r="BF138" s="1237">
        <v>6</v>
      </c>
      <c r="BG138" s="1237">
        <v>4</v>
      </c>
      <c r="BH138" s="1237">
        <v>2</v>
      </c>
      <c r="BI138" s="1237">
        <v>1.2</v>
      </c>
      <c r="BJ138" s="1237">
        <v>0.6</v>
      </c>
      <c r="BK138" s="1238">
        <v>0</v>
      </c>
      <c r="BL138" s="1348"/>
      <c r="BM138" s="1076" t="str">
        <f t="shared" si="47"/>
        <v>Pulpe déshydratée de betterave</v>
      </c>
      <c r="BN138" s="1267">
        <f t="array" ref="BN138">SUM((IF(QualitéAlimentsBisonneauxMâles_0_3_mois=BONNE,VLOOKUP("Pulpe déshydratée de betterave",AlimentsRationHivernaleBisonsMâles,8,FALSE),0)+(IF(QualitéAlimentsBisonneauxFemelles_0_3_mois=BONNE,VLOOKUP("Pulpe déshydratée de betterave",AlimentsRationHivernaleBisonsFemelles,8,FALSE),0)+(IF(QualitéAlimentsBisonneauxMâles_3_6_mois=BONNE,VLOOKUP("Pulpe déshydratée de betterave",AlimentsRationHivernaleBisonsMâles,7,FALSE),0)+(IF(QualitéAlimentsBisonneauxFemelles_3_6_mois=BONNE,VLOOKUP("Pulpe déshydratée de betterave",AlimentsRationHivernaleBisonsFemelles,7,FALSE),0)+(IF(QualitéAlimentsBisonneauxMâles_6_12_mois=BONNE,VLOOKUP("Pulpe déshydratée de betterave",AlimentsRationHivernaleBisonsMâles,6,FALSE),0)+(IF(QualitéAlimentsBisonneauxFemelles_6_12_mois=BONNE,VLOOKUP("Pulpe déshydratée de betterave",AlimentsRationHivernaleBisonsFemelles,6,FALSE),0)+(IF(QualitéAlimentsJeunesBisons_12_18_mois=BONNE,VLOOKUP("Pulpe déshydratée de betterave",AlimentsRationHivernaleBisonsMâles,5,FALSE),0)+(IF(QualitéAlimentsJeunesBisonnes_12_18_mois=BONNE,VLOOKUP("Pulpe déshydratée de betterave",AlimentsRationHivernaleBisonsFemelles,5,FALSE),0)+(IF(QualitéAlimentsJeunesBisons_18_24_mois=BONNE,VLOOKUP("Pulpe déshydratée de betterave",AlimentsRationHivernaleBisonsMâles,4,FALSE),0)+(IF(QualitéAlimentsJeunesBisonnes_18_24_mois=BONNE,VLOOKUP("Pulpe déshydratée de betterave",AlimentsRationHivernaleBisonsFemelles,4,FALSE),0)+(IF(QualitéAlimentsJeunesBisons_24_36_mois=BONNE,VLOOKUP("Pulpe déshydratée de betterave",AlimentsRationHivernaleBisonsMâles,3,FALSE),0)+(IF(QualitéAlimentsJeunesBisonnes_24_36_mois=BONNE,VLOOKUP("Pulpe déshydratée de betterave",AlimentsRationHivernaleBisonsFemelles,3,FALSE),0)+(IF(QualitéAlimentsBisons=BONNE,VLOOKUP("Pulpe déshydratée de betterave",AlimentsRationHivernaleBisonsMâles,2,FALSE),0)+(IF(QualitéAlimentsBisonnes=BONNE,VLOOKUP("Pulpe déshydratée de betterave",AlimentsRationHivernaleBisonsFemelles,2,FALSE),0))))))))))))))))</f>
        <v>0</v>
      </c>
      <c r="BO138" s="1267">
        <f t="array" ref="BO138">SUM((IF(QualitéAlimentsBisonneauxMâles_0_3_mois=MOYENNE,VLOOKUP("Pulpe déshydratée de betterave",AlimentsRationHivernaleBisonsMâles,8,FALSE),0)+(IF(QualitéAlimentsBisonneauxFemelles_0_3_mois=MOYENNE,VLOOKUP("Pulpe déshydratée de betterave",AlimentsRationHivernaleBisonsFemelles,8,FALSE),0)+(IF(QualitéAlimentsBisonneauxMâles_3_6_mois=MOYENNE,VLOOKUP("Pulpe déshydratée de betterave",AlimentsRationHivernaleBisonsMâles,7,FALSE),0)+(IF(QualitéAlimentsBisonneauxFemelles_3_6_mois=MOYENNE,VLOOKUP("Pulpe déshydratée de betterave",AlimentsRationHivernaleBisonsFemelles,7,FALSE),0)+(IF(QualitéAlimentsBisonneauxMâles_6_12_mois=MOYENNE,VLOOKUP("Pulpe déshydratée de betterave",AlimentsRationHivernaleBisonsMâles,6,FALSE),0)+(IF(QualitéAlimentsBisonneauxFemelles_6_12_mois=MOYENNE,VLOOKUP("Pulpe déshydratée de betterave",AlimentsRationHivernaleBisonsFemelles,6,FALSE),0)+(IF(QualitéAlimentsJeunesBisons_12_18_mois=MOYENNE,VLOOKUP("Pulpe déshydratée de betterave",AlimentsRationHivernaleBisonsMâles,5,FALSE),0)+(IF(QualitéAlimentsJeunesBisonnes_12_18_mois=MOYENNE,VLOOKUP("Pulpe déshydratée de betterave",AlimentsRationHivernaleBisonsFemelles,5,FALSE),0)+(IF(QualitéAlimentsJeunesBisons_18_24_mois=MOYENNE,VLOOKUP("Pulpe déshydratée de betterave",AlimentsRationHivernaleBisonsMâles,4,FALSE),0)+(IF(QualitéAlimentsJeunesBisonnes_18_24_mois=MOYENNE,VLOOKUP("Pulpe déshydratée de betterave",AlimentsRationHivernaleBisonsFemelles,4,FALSE),0)+(IF(QualitéAlimentsJeunesBisons_24_36_mois=MOYENNE,VLOOKUP("Pulpe déshydratée de betterave",AlimentsRationHivernaleBisonsMâles,3,FALSE),0)+(IF(QualitéAlimentsJeunesBisonnes_24_36_mois=MOYENNE,VLOOKUP("Pulpe déshydratée de betterave",AlimentsRationHivernaleBisonsFemelles,3,FALSE),0)+(IF(QualitéAlimentsBisons=MOYENNE,VLOOKUP("Pulpe déshydratée de betterave",AlimentsRationHivernaleBisonsMâles,2,FALSE),0)+(IF(QualitéAlimentsBisonnes=MOYENNE,VLOOKUP("Pulpe déshydratée de betterave",AlimentsRationHivernaleBisonsFemelles,2,FALSE),0))))))))))))))))</f>
        <v>0</v>
      </c>
      <c r="BP138" s="1267">
        <f t="array" ref="BP138">SUM((IF(QualitéAlimentsBisonneauxMâles_0_3_mois=MAUVAISE,VLOOKUP("Pulpe déshydratée de betterave",AlimentsRationHivernaleBisonsMâles,8,FALSE),0)+(IF(QualitéAlimentsBisonneauxFemelles_0_3_mois=MAUVAISE,VLOOKUP("Pulpe déshydratée de betterave",AlimentsRationHivernaleBisonsFemelles,8,FALSE),0)+(IF(QualitéAlimentsBisonneauxMâles_3_6_mois=MAUVAISE,VLOOKUP("Pulpe déshydratée de betterave",AlimentsRationHivernaleBisonsMâles,7,FALSE),0)+(IF(QualitéAlimentsBisonneauxFemelles_3_6_mois=MAUVAISE,VLOOKUP("Pulpe déshydratée de betterave",AlimentsRationHivernaleBisonsFemelles,7,FALSE),0)+(IF(QualitéAlimentsBisonneauxMâles_6_12_mois=MAUVAISE,VLOOKUP("Pulpe déshydratée de betterave",AlimentsRationHivernaleBisonsMâles,6,FALSE),0)+(IF(QualitéAlimentsBisonneauxFemelles_6_12_mois=MAUVAISE,VLOOKUP("Pulpe déshydratée de betterave",AlimentsRationHivernaleBisonsFemelles,6,FALSE),0)+(IF(QualitéAlimentsJeunesBisons_12_18_mois=MAUVAISE,VLOOKUP("Pulpe déshydratée de betterave",AlimentsRationHivernaleBisonsMâles,5,FALSE),0)+(IF(QualitéAlimentsJeunesBisonnes_12_18_mois=MAUVAISE,VLOOKUP("Pulpe déshydratée de betterave",AlimentsRationHivernaleBisonsFemelles,5,FALSE),0)+(IF(QualitéAlimentsJeunesBisons_18_24_mois=MAUVAISE,VLOOKUP("Pulpe déshydratée de betterave",AlimentsRationHivernaleBisonsMâles,4,FALSE),0)+(IF(QualitéAlimentsJeunesBisonnes_18_24_mois=MAUVAISE,VLOOKUP("Pulpe déshydratée de betterave",AlimentsRationHivernaleBisonsFemelles,4,FALSE),0)+(IF(QualitéAlimentsJeunesBisons_24_36_mois=MAUVAISE,VLOOKUP("Pulpe déshydratée de betterave",AlimentsRationHivernaleBisonsMâles,3,FALSE),0)+(IF(QualitéAlimentsJeunesBisonnes_24_36_mois=MAUVAISE,VLOOKUP("Pulpe déshydratée de betterave",AlimentsRationHivernaleBisonsFemelles,3,FALSE),0)+(IF(QualitéAlimentsBisons=MAUVAISE,VLOOKUP("Pulpe déshydratée de betterave",AlimentsRationHivernaleBisonsMâles,2,FALSE),0)+(IF(QualitéAlimentsBisonnes=MAUVAISE,VLOOKUP("Pulpe déshydratée de betterave",AlimentsRationHivernaleBisonsFemelles,2,FALSE),0))))))))))))))))</f>
        <v>0</v>
      </c>
      <c r="BQ138" s="1346"/>
      <c r="BR138" s="1346"/>
      <c r="BS138" s="1346"/>
      <c r="BT138" s="1346"/>
      <c r="BU138" s="1346"/>
      <c r="BV138" s="1345"/>
      <c r="BW138" s="1345"/>
      <c r="BX138" s="1076" t="s">
        <v>76</v>
      </c>
      <c r="BY138" s="1076">
        <f t="array" ref="BY138">IF(ChoixRationComplèteCaprins=OUI,0,IFERROR(IF(OR(AND(INDEX(Règles_caprins[Specificite],MATCH(ChoixRationCaprins&amp;$BX138,Règles_caprins[Ration]&amp;Règles_caprins[Aliment],0))="s1",IF($BX138=Spécificité1Caprins,1)),
INDEX(Règles_caprins[Specificite],MATCH(ChoixRationCaprins&amp;$BX138,Règles_caprins[Ration]&amp;Règles_caprins[Aliment],0))="c"),
INDEX(Règles_caprins[Valeur 12 et plus],MATCH(ChoixRationCaprins&amp;$BX138,Règles_caprins[Ration]&amp;Règles_caprins[Aliment],0)),0),0)*TotalBoucs*SUM(NbreJoursNourrirCaprins))</f>
        <v>0</v>
      </c>
      <c r="BZ138" s="1076">
        <f t="array" ref="BZ138">IF(ChoixRationComplèteCaprins=OUI,0,IFERROR(IF(OR(AND(INDEX(Règles_caprins[Specificite],MATCH(ChoixRationCaprins&amp;$BX138,Règles_caprins[Ration]&amp;Règles_caprins[Aliment],0))="s1",IF($BX138=Spécificité1Caprins,1)),
INDEX(Règles_caprins[Specificite],MATCH(ChoixRationCaprins&amp;$BX138,Règles_caprins[Ration]&amp;Règles_caprins[Aliment],0))="c"),
INDEX(Règles_caprins[Valeur 6-12],MATCH(ChoixRationCaprins&amp;$BX138,Règles_caprins[Ration]&amp;Règles_caprins[Aliment],0)),0),0)*jeune_bouc_6_12_mois*SUM(NbreJoursNourrirCaprins))</f>
        <v>0</v>
      </c>
      <c r="CA138" s="1076">
        <f t="array" ref="CA138">IF(ChoixRationComplèteCaprins=OUI,0,IFERROR(IF(OR(AND(INDEX(Règles_caprins[Specificite],MATCH(ChoixRationCaprins&amp;$BX138,Règles_caprins[Ration]&amp;Règles_caprins[Aliment],0))="s1",IF($BX138=Spécificité1Caprins,1)),
INDEX(Règles_caprins[Specificite],MATCH(ChoixRationCaprins&amp;$BX138,Règles_caprins[Ration]&amp;Règles_caprins[Aliment],0))="c"),
INDEX(Règles_caprins[Valeur 3-6],MATCH(ChoixRationCaprins&amp;$BX138,Règles_caprins[Ration]&amp;Règles_caprins[Aliment],0)),0),0)*chevreau_3_6_mois*SUM(NbreJoursNourrirCaprins))</f>
        <v>0</v>
      </c>
      <c r="CB138" s="1076">
        <f t="array" ref="CB138">IF(ChoixRationComplèteCaprins=OUI,0,IFERROR(IF(OR(AND(INDEX(Règles_caprins[Specificite],MATCH(ChoixRationCaprins&amp;$BX138,Règles_caprins[Ration]&amp;Règles_caprins[Aliment],0))="s1",IF($BX138=Spécificité1Caprins,1)),
INDEX(Règles_caprins[Specificite],MATCH(ChoixRationCaprins&amp;$BX138,Règles_caprins[Ration]&amp;Règles_caprins[Aliment],0))="c"),
INDEX(Règles_caprins[Valeur 0-3],MATCH(ChoixRationCaprins&amp;$BX138,Règles_caprins[Ration]&amp;Règles_caprins[Aliment],0)),0),0)*chevreau_0_3_mois*SUM(NbreJoursNourrirCaprins))</f>
        <v>0</v>
      </c>
      <c r="CC138" s="1076">
        <f t="shared" si="45"/>
        <v>0</v>
      </c>
      <c r="CD138" s="1345"/>
      <c r="CE138" s="1345"/>
      <c r="CF138" s="1345"/>
      <c r="CG138" s="1345"/>
      <c r="CH138" s="1321"/>
      <c r="CI138" s="1321"/>
      <c r="CJ138" s="1079" t="s">
        <v>1276</v>
      </c>
      <c r="CK138" s="1271" t="s">
        <v>1746</v>
      </c>
      <c r="CL138" s="1271" t="s">
        <v>1747</v>
      </c>
      <c r="CM138" s="1271" t="s">
        <v>1748</v>
      </c>
      <c r="CN138" s="1321"/>
      <c r="CO138" s="1321"/>
      <c r="CP138" s="1345"/>
      <c r="CQ138" s="1321"/>
      <c r="CR138" s="1321"/>
      <c r="CS138" s="1336"/>
      <c r="CT138" s="1341"/>
      <c r="CU138" s="1341"/>
      <c r="CV138" s="1341"/>
      <c r="CW138" s="1336"/>
      <c r="CX138" s="1321"/>
      <c r="CY138" s="1321"/>
      <c r="CZ138" s="1336"/>
      <c r="DA138" s="1336"/>
      <c r="DB138" s="1336"/>
      <c r="DC138" s="1336"/>
      <c r="DD138" s="1336"/>
      <c r="DE138" s="1321"/>
      <c r="DF138" s="1321"/>
      <c r="DG138" s="808" t="s">
        <v>820</v>
      </c>
      <c r="DH138" s="803">
        <f>DH13*SUM(TotalJeunesPintades)*SUM(NbreJoursNourrirAutres)</f>
        <v>0</v>
      </c>
      <c r="DI138" s="1321"/>
      <c r="DJ138" s="1321"/>
      <c r="DK138" s="1321"/>
      <c r="DL138" s="1321"/>
      <c r="DM138" s="1321"/>
      <c r="DN138" s="1176" t="s">
        <v>1134</v>
      </c>
      <c r="DO138" s="1177" t="s">
        <v>723</v>
      </c>
      <c r="DP138" s="1177" t="s">
        <v>1277</v>
      </c>
      <c r="DQ138" s="1177">
        <v>6.3</v>
      </c>
      <c r="DR138" s="1177">
        <v>5.04</v>
      </c>
      <c r="DS138" s="1177">
        <v>3.78</v>
      </c>
      <c r="DT138" s="1191">
        <v>3.15</v>
      </c>
      <c r="DU138" s="1346"/>
      <c r="DV138" s="1321"/>
      <c r="DW138" s="1321"/>
      <c r="DX138" s="1321"/>
      <c r="DY138" s="1321"/>
      <c r="DZ138" s="1321"/>
      <c r="EA138" s="1321"/>
      <c r="EB138" s="1321"/>
      <c r="EC138" s="1321"/>
      <c r="ED138" s="1345"/>
      <c r="EE138" s="1345"/>
      <c r="EF138" s="1321"/>
      <c r="EG138" s="1321"/>
      <c r="EH138" s="1321"/>
      <c r="EI138" s="1321"/>
      <c r="EJ138" s="1321"/>
      <c r="EK138" s="1345"/>
      <c r="EL138" s="1345"/>
      <c r="EM138" s="1321"/>
      <c r="EN138" s="1336" t="s">
        <v>1478</v>
      </c>
      <c r="EO138" s="1336"/>
      <c r="EP138" s="1321"/>
      <c r="EQ138" s="1321"/>
      <c r="ER138" s="1345"/>
      <c r="ES138" s="1345"/>
      <c r="ET138" s="1321"/>
      <c r="EU138" s="1082">
        <f t="shared" si="44"/>
        <v>0</v>
      </c>
      <c r="EV138" s="1282">
        <f t="array" ref="EV138">IF(OR(ChoixRationComplèteEtéChevauxSelle=OUI,ChoixRationComplèteEtéChevauxSelle="",AND(ChoixChevauxSellePréHiver=OUI,ChoixChevauxSellePréEté=OUI)),0,IFERROR(IF(OR(AND(INDEX(Règles_chevaux_selle[Specificite],MATCH(RationEtéChevauxSelle&amp;$EU138,Règles_chevaux_selle[Ration]&amp;Règles_chevaux_selle[Aliment],0))="s1",IF($EU138=Spécificité1ChevauxSelle,1)),
AND(INDEX(Règles_chevaux_selle[Specificite],MATCH(RationEtéChevauxSelle&amp;$EU138,Règles_chevaux_selle[Ration]&amp;Règles_chevaux_selle[Aliment],0))="s2",IF($EU138=Spécificité2ChevauxSelle,1)),
INDEX(Règles_chevaux_selle[Specificite],MATCH(RationEtéChevauxSelle&amp;$EU138,Règles_chevaux_selle[Ration]&amp;Règles_chevaux_selle[Aliment],0))="c"),
INDEX(Règles_chevaux_selle[Valeur 36 et plus],MATCH(RationEtéChevauxSelle&amp;$EU138,Règles_chevaux_selle[Ration]&amp;Règles_chevaux_selle[Aliment],0)),0),0)*TotalJumentSelle*SUM(NbreJoursNourrirChevauxSelle))</f>
        <v>0</v>
      </c>
      <c r="EW138" s="1282">
        <f t="array" ref="EW138">IF(OR(ChoixRationComplèteEtéChevauxSelle=OUI,ChoixRationComplèteEtéChevauxSelle="",AND(ChoixChevauxSellePréHiver=OUI,ChoixChevauxSellePréEté=OUI)),0,IFERROR(IF(OR(AND(INDEX(Règles_chevaux_selle[Specificite],MATCH(RationEtéChevauxSelle&amp;$EU138,Règles_chevaux_selle[Ration]&amp;Règles_chevaux_selle[Aliment],0))="s1",IF($EU138=Spécificité1ChevauxSelle,1)),
AND(INDEX(Règles_chevaux_selle[Specificite],MATCH(RationEtéChevauxSelle&amp;$EU138,Règles_chevaux_selle[Ration]&amp;Règles_chevaux_selle[Aliment],0))="s2",IF($EU138=Spécificité2ChevauxSelle,1)),
INDEX(Règles_chevaux_selle[Specificite],MATCH(RationEtéChevauxSelle&amp;$EU138,Règles_chevaux_selle[Ration]&amp;Règles_chevaux_selle[Aliment],0))="c"),
INDEX(Règles_chevaux_selle[Valeur 24-36],MATCH(RationEtéChevauxSelle&amp;$EU138,Règles_chevaux_selle[Ration]&amp;Règles_chevaux_selle[Aliment],0)),0),0)*TotalJeuneJumentSelle_24_36_mois*SUM(NbreJoursNourrirChevauxSelle))</f>
        <v>0</v>
      </c>
      <c r="EX138" s="1282">
        <f t="array" ref="EX138">IF(OR(ChoixRationComplèteEtéChevauxSelle=OUI,ChoixRationComplèteEtéChevauxSelle="",AND(ChoixChevauxSellePréHiver=OUI,ChoixChevauxSellePréEté=OUI)),0,IFERROR(IF(OR(AND(INDEX(Règles_chevaux_selle[Specificite],MATCH(RationEtéChevauxSelle&amp;$EU138,Règles_chevaux_selle[Ration]&amp;Règles_chevaux_selle[Aliment],0))="s1",IF($EU138=Spécificité1ChevauxSelle,1)),
AND(INDEX(Règles_chevaux_selle[Specificite],MATCH(RationEtéChevauxSelle&amp;$EU138,Règles_chevaux_selle[Ration]&amp;Règles_chevaux_selle[Aliment],0))="s2",IF($EU138=Spécificité2ChevauxSelle,1)),
INDEX(Règles_chevaux_selle[Specificite],MATCH(RationEtéChevauxSelle&amp;$EU138,Règles_chevaux_selle[Ration]&amp;Règles_chevaux_selle[Aliment],0))="c"),
INDEX(Règles_chevaux_selle[Valeur 12-24],MATCH(RationEtéChevauxSelle&amp;$EU138,Règles_chevaux_selle[Ration]&amp;Règles_chevaux_selle[Aliment],0)),0),0)*TotalJeuneJumentSelle_12_24_mois*SUM(NbreJoursNourrirChevauxSelle))</f>
        <v>0</v>
      </c>
      <c r="EY138" s="1285">
        <f t="array" ref="EY138">IF(OR(ChoixRationComplèteEtéChevauxSelle=OUI,ChoixRationComplèteEtéChevauxSelle="",AND(ChoixChevauxSellePréHiver=OUI,ChoixChevauxSellePréEté=OUI)),0,IFERROR(IF(OR(AND(INDEX(Règles_chevaux_selle[Specificite],MATCH(RationEtéChevauxSelle&amp;$EU138,Règles_chevaux_selle[Ration]&amp;Règles_chevaux_selle[Aliment],0))="s1",IF($EU138=Spécificité1ChevauxSelle,1)),
AND(INDEX(Règles_chevaux_selle[Specificite],MATCH(RationEtéChevauxSelle&amp;$EU138,Règles_chevaux_selle[Ration]&amp;Règles_chevaux_selle[Aliment],0))="s2",IF($EU138=Spécificité2ChevauxSelle,1)),
INDEX(Règles_chevaux_selle[Specificite],MATCH(RationEtéChevauxSelle&amp;$EU138,Règles_chevaux_selle[Ration]&amp;Règles_chevaux_selle[Aliment],0))="c"),
INDEX(Règles_chevaux_selle[Valeur 0-12],MATCH(RationEtéChevauxSelle&amp;$EU138,Règles_chevaux_selle[Ration]&amp;Règles_chevaux_selle[Aliment],0)),0),0)*TotalPoulicheSelle_0_12_mois*SUM(NbreJoursNourrirChevauxSelle))</f>
        <v>0</v>
      </c>
      <c r="EZ138" s="1285">
        <f t="shared" si="43"/>
        <v>0</v>
      </c>
      <c r="FA138" s="1345"/>
      <c r="FB138" s="1345"/>
      <c r="FC138" s="1321"/>
      <c r="FD138" s="809" t="s">
        <v>723</v>
      </c>
      <c r="FE138" s="830">
        <f t="array" ref="FE138">IF(ChoixRationComplèteEtéChevauxTrait=NON,0,IFERROR(IF(OR(AND(INDEX(Règles_chevaux_trait[Specificite],MATCH(RationEtéChevauxTrait&amp;Ration_complète_chevaux_trait[aliment],Règles_chevaux_trait[Ration]&amp;Règles_chevaux_trait[Aliment],0))="s1",IF(Ration_complète_chevaux_trait[aliment]=Spécificité1ChevauxTrait,1)),
AND(INDEX(Règles_chevaux_trait[Specificite],MATCH(RationEtéChevauxTrait&amp;Ration_complète_chevaux_trait[aliment],Règles_chevaux_trait[Ration]&amp;Règles_chevaux_trait[Aliment],0))="s2",IF(Ration_complète_chevaux_trait[aliment]=Spécificité2ChevauxTrait,1)),
INDEX(Règles_chevaux_trait[Specificite],MATCH(RationEtéChevauxTrait&amp;Ration_complète_chevaux_trait[aliment],Règles_chevaux_trait[Ration]&amp;Règles_chevaux_trait[Aliment],0))="c",INDEX(Règles_chevaux_trait[Specificite],MATCH(RationEtéChevauxTrait&amp;Ration_complète_chevaux_trait[aliment],Règles_chevaux_trait[Ration]&amp;Règles_chevaux_trait[Aliment],0))="complet"),
INDEX(Règles_chevaux_trait[Valeur 36 et plus],MATCH(RationEtéChevauxTrait&amp;Ration_complète_chevaux_trait[aliment],Règles_chevaux_trait[Ration]&amp;Règles_chevaux_trait[Aliment],0)),0),0)*SUM(TotalChevauxTraitAdultes)*SUM(AE76:AE100))</f>
        <v>0</v>
      </c>
      <c r="FF138" s="830">
        <f t="array" ref="FF138">IF(ChoixRationComplèteEtéChevauxTrait=NON,0,IFERROR(IF(OR(AND(INDEX(Règles_chevaux_trait[Specificite],MATCH(RationEtéChevauxTrait&amp;Ration_complète_chevaux_trait[aliment],Règles_chevaux_trait[Ration]&amp;Règles_chevaux_trait[Aliment],0))="s1",IF(Ration_complète_chevaux_trait[aliment]=Spécificité1ChevauxTrait,1)),
AND(INDEX(Règles_chevaux_trait[Specificite],MATCH(RationEtéChevauxTrait&amp;Ration_complète_chevaux_trait[aliment],Règles_chevaux_trait[Ration]&amp;Règles_chevaux_trait[Aliment],0))="s2",IF(Ration_complète_chevaux_trait[aliment]=Spécificité2ChevauxTrait,1)),
INDEX(Règles_chevaux_trait[Specificite],MATCH(RationEtéChevauxTrait&amp;Ration_complète_chevaux_trait[aliment],Règles_chevaux_trait[Ration]&amp;Règles_chevaux_trait[Aliment],0))="c",INDEX(Règles_chevaux_trait[Specificite],MATCH(RationEtéChevauxTrait&amp;Ration_complète_chevaux_trait[aliment],Règles_chevaux_trait[Ration]&amp;Règles_chevaux_trait[Aliment],0))="complet"),
INDEX(Règles_chevaux_trait[Valeur 24-36],MATCH(RationEtéChevauxTrait&amp;Ration_complète_chevaux_trait[aliment],Règles_chevaux_trait[Ration]&amp;Règles_chevaux_trait[Aliment],0)),0),0)*SUM(TotalChevauxTrait_24_36mois)*SUM(AE76:AE100))</f>
        <v>0</v>
      </c>
      <c r="FG138" s="830">
        <f t="array" ref="FG138">IF(ChoixRationComplèteEtéChevauxTrait=NON,0,IFERROR(IF(OR(AND(INDEX(Règles_chevaux_trait[Specificite],MATCH(RationEtéChevauxTrait&amp;Ration_complète_chevaux_trait[aliment],Règles_chevaux_trait[Ration]&amp;Règles_chevaux_trait[Aliment],0))="s1",IF(Ration_complète_chevaux_trait[aliment]=Spécificité1ChevauxTrait,1)),
AND(INDEX(Règles_chevaux_trait[Specificite],MATCH(RationEtéChevauxTrait&amp;Ration_complète_chevaux_trait[aliment],Règles_chevaux_trait[Ration]&amp;Règles_chevaux_trait[Aliment],0))="s2",IF(Ration_complète_chevaux_trait[aliment]=Spécificité2ChevauxTrait,1)),
INDEX(Règles_chevaux_trait[Specificite],MATCH(RationEtéChevauxTrait&amp;Ration_complète_chevaux_trait[aliment],Règles_chevaux_trait[Ration]&amp;Règles_chevaux_trait[Aliment],0))="c",INDEX(Règles_chevaux_trait[Specificite],MATCH(RationEtéChevauxTrait&amp;Ration_complète_chevaux_trait[aliment],Règles_chevaux_trait[Ration]&amp;Règles_chevaux_trait[Aliment],0))="complet"),
INDEX(Règles_chevaux_trait[Valeur 12-24],MATCH(RationEtéChevauxTrait&amp;Ration_complète_chevaux_trait[aliment],Règles_chevaux_trait[Ration]&amp;Règles_chevaux_trait[Aliment],0)),0),0)*SUM(TotalChevauxTrait_12_24mois)*SUM(AE76:AE100))</f>
        <v>0</v>
      </c>
      <c r="FH138" s="830">
        <f t="array" ref="FH138">IF(ChoixRationComplèteEtéChevauxTrait=NON,0,IFERROR(IF(OR(AND(INDEX(Règles_chevaux_trait[Specificite],MATCH(RationEtéChevauxTrait&amp;Ration_complète_chevaux_trait[aliment],Règles_chevaux_trait[Ration]&amp;Règles_chevaux_trait[Aliment],0))="s1",IF(Ration_complète_chevaux_trait[aliment]=Spécificité1ChevauxTrait,1)),
AND(INDEX(Règles_chevaux_trait[Specificite],MATCH(RationEtéChevauxTrait&amp;Ration_complète_chevaux_trait[aliment],Règles_chevaux_trait[Ration]&amp;Règles_chevaux_trait[Aliment],0))="s2",IF(Ration_complète_chevaux_trait[aliment]=Spécificité2ChevauxTrait,1)),
INDEX(Règles_chevaux_trait[Specificite],MATCH(RationEtéChevauxTrait&amp;Ration_complète_chevaux_trait[aliment],Règles_chevaux_trait[Ration]&amp;Règles_chevaux_trait[Aliment],0))="c",INDEX(Règles_chevaux_trait[Specificite],MATCH(RationEtéChevauxTrait&amp;Ration_complète_chevaux_trait[aliment],Règles_chevaux_trait[Ration]&amp;Règles_chevaux_trait[Aliment],0))="complet"),
INDEX(Règles_chevaux_trait[Valeur 0-12],MATCH(RationEtéChevauxTrait&amp;Ration_complète_chevaux_trait[aliment],Règles_chevaux_trait[Ration]&amp;Règles_chevaux_trait[Aliment],0)),0),0)*SUM(TotalPoulainsTrait)*SUM(AE76:AE100))</f>
        <v>0</v>
      </c>
      <c r="FI138" s="832">
        <f>SUM(Ration_complète_chevaux_trait[[Valeur 36 et plus]:[Valeur 0-12]])</f>
        <v>0</v>
      </c>
      <c r="FJ138" s="1345"/>
      <c r="FK138" s="1345"/>
      <c r="FL138" s="1345"/>
      <c r="FM138" s="1321"/>
      <c r="FN138" s="1359"/>
      <c r="FO138" s="1359"/>
      <c r="FP138" s="1359"/>
      <c r="FQ138" s="1359"/>
      <c r="FR138" s="1359"/>
      <c r="FS138" s="1359"/>
      <c r="FT138" s="1345"/>
      <c r="FU138" s="1345"/>
      <c r="FV138" s="1345"/>
      <c r="FW138" s="1082" t="str">
        <f t="shared" si="49"/>
        <v>Blé</v>
      </c>
      <c r="FX138" s="1282">
        <f t="array" ref="FX138">SUM((IF(QualitéAlimentsGavageOison_0_1_mois=BONNE,VLOOKUP("Blé",AlimentsGavageOies[],5,FALSE),0)+(IF(QualitéAlimentsGavageCaneton_0_1_mois=BONNE,VLOOKUP("Blé",AlimentsGavageCanards[],5,FALSE),0)+(IF(QualitéAlimentsGavageOison_1_2_mois=BONNE,VLOOKUP("Blé",AlimentsGavageOies[],4,FALSE),0)+(IF(QualitéAlimentsGavageCaneton_1_2_mois=BONNE,VLOOKUP("Blé",AlimentsGavageCanards[],4,FALSE),0)+(IF(QualitéAlimentsGavageOison_2_3_mois=BONNE,VLOOKUP("Blé",AlimentsGavageOies[],3,FALSE),0)+(IF(QualitéAlimentsGavageCaneton_2_3_mois=BONNE,VLOOKUP("Blé",AlimentsGavageCanards[],3,FALSE),0)+(IF(QualitéAlimentsGavageJeunesOies=BONNE,VLOOKUP("Blé",AlimentsGavageOies[],2,FALSE),0)+(IF(QualitéAlimentsGavageJeuneCanard=BONNE,VLOOKUP("Blé",AlimentsGavageCanards[],2,FALSE),0))))))))))</f>
        <v>0</v>
      </c>
      <c r="FY138" s="1282">
        <f t="array" ref="FY138">SUM((IF(QualitéAlimentsGavageOison_0_1_mois=MOYENNE,VLOOKUP("Blé",AlimentsGavageOies[],5,FALSE),0)+(IF(QualitéAlimentsGavageCaneton_0_1_mois=MOYENNE,VLOOKUP("Blé",AlimentsGavageCanards[],5,FALSE),0)+(IF(QualitéAlimentsGavageOison_1_2_mois=MOYENNE,VLOOKUP("Blé",AlimentsGavageOies[],4,FALSE),0)+(IF(QualitéAlimentsGavageCaneton_1_2_mois=MOYENNE,VLOOKUP("Blé",AlimentsGavageCanards[],4,FALSE),0)+(IF(QualitéAlimentsGavageOison_2_3_mois=MOYENNE,VLOOKUP("Blé",AlimentsGavageOies[],3,FALSE),0)+(IF(QualitéAlimentsGavageCaneton_2_3_mois=MOYENNE,VLOOKUP("Blé",AlimentsGavageCanards[],3,FALSE),0)+(IF(QualitéAlimentsGavageJeunesOies=MOYENNE,VLOOKUP("Blé",AlimentsGavageOies[],2,FALSE),0)+(IF(QualitéAlimentsGavageJeuneCanard=MOYENNE,VLOOKUP("Blé",AlimentsGavageCanards[],2,FALSE),0))))))))))</f>
        <v>0</v>
      </c>
      <c r="FZ138" s="1282">
        <f t="array" ref="FZ138">SUM((IF(QualitéAlimentsGavageOison_0_1_mois=MAUVAISE,VLOOKUP("Blé",AlimentsGavageOies[],5,FALSE),0)+(IF(QualitéAlimentsGavageCaneton_0_1_mois=MAUVAISE,VLOOKUP("Blé",AlimentsGavageCanards[],5,FALSE),0)+(IF(QualitéAlimentsGavageOison_1_2_mois=MAUVAISE,VLOOKUP("Blé",AlimentsGavageOies[],4,FALSE),0)+(IF(QualitéAlimentsGavageCaneton_1_2_mois=MAUVAISE,VLOOKUP("Blé",AlimentsGavageCanards[],4,FALSE),0)+(IF(QualitéAlimentsGavageOison_2_3_mois=MAUVAISE,VLOOKUP("Blé",AlimentsGavageOies[],3,FALSE),0)+(IF(QualitéAlimentsGavageCaneton_2_3_mois=MAUVAISE,VLOOKUP("Blé",AlimentsGavageCanards[],3,FALSE),0)+(IF(QualitéAlimentsGavageJeunesOies=MAUVAISE,VLOOKUP("Blé",AlimentsGavageOies[],2,FALSE),0)+(IF(QualitéAlimentsGavageJeuneCanard=MAUVAISE,VLOOKUP("Blé",AlimentsGavageCanards[],2,FALSE),0))))))))))</f>
        <v>0</v>
      </c>
      <c r="GA138" s="1345"/>
      <c r="GB138" s="1345"/>
      <c r="GC138" s="1321"/>
      <c r="GD138" s="1321"/>
      <c r="GE138" s="1321"/>
      <c r="GF138" s="1321"/>
      <c r="GG138" s="1321" t="s">
        <v>1349</v>
      </c>
      <c r="GH138" s="1321" t="s">
        <v>1349</v>
      </c>
      <c r="GI138" s="1321" t="s">
        <v>1349</v>
      </c>
      <c r="GJ138" s="1321" t="s">
        <v>1349</v>
      </c>
      <c r="GK138" s="1321" t="s">
        <v>1349</v>
      </c>
      <c r="GL138" s="1321" t="s">
        <v>1349</v>
      </c>
      <c r="GM138" s="1321" t="s">
        <v>1349</v>
      </c>
      <c r="GN138" s="1321" t="s">
        <v>1349</v>
      </c>
      <c r="GO138" s="1321" t="s">
        <v>1349</v>
      </c>
      <c r="GP138" s="1321" t="s">
        <v>1349</v>
      </c>
      <c r="GQ138" s="1321" t="s">
        <v>1349</v>
      </c>
      <c r="GR138" s="1321" t="s">
        <v>1349</v>
      </c>
      <c r="GS138" s="1321" t="s">
        <v>1349</v>
      </c>
      <c r="GT138" s="1321" t="s">
        <v>1349</v>
      </c>
      <c r="GU138" s="1321" t="s">
        <v>1349</v>
      </c>
      <c r="GV138" s="1321" t="s">
        <v>1349</v>
      </c>
      <c r="GW138" s="1321"/>
      <c r="GX138" s="1321"/>
      <c r="GY138" s="1321"/>
      <c r="GZ138" s="1321"/>
      <c r="HA138" s="1321"/>
      <c r="HB138" s="1321"/>
      <c r="HC138" s="1321"/>
      <c r="HD138" s="1321"/>
      <c r="HE138" s="1321"/>
      <c r="HF138" s="1321"/>
      <c r="HG138" s="1321"/>
      <c r="HH138" s="1321"/>
      <c r="HI138" s="1321"/>
      <c r="HJ138" s="1321"/>
      <c r="HK138" s="1321"/>
      <c r="HL138" s="1321"/>
      <c r="HM138" s="1321"/>
      <c r="HN138" s="1321"/>
      <c r="HO138" s="1321"/>
      <c r="HP138" s="1321"/>
      <c r="HQ138" s="1321"/>
      <c r="HR138" s="1321"/>
      <c r="HS138" s="1321"/>
      <c r="HT138" s="1321"/>
      <c r="HU138" s="1321"/>
      <c r="HV138" s="1321"/>
      <c r="HW138" s="1321"/>
      <c r="HX138" s="1321"/>
      <c r="HY138" s="1321"/>
      <c r="HZ138" s="1321"/>
      <c r="IA138" s="1321"/>
      <c r="IB138" s="1321"/>
      <c r="IC138" s="1321"/>
      <c r="ID138" s="1321"/>
      <c r="IE138" s="1321"/>
      <c r="IF138" s="1321"/>
      <c r="IG138" s="1321"/>
      <c r="IH138" s="1321"/>
      <c r="II138" s="1321"/>
      <c r="IJ138" s="1321"/>
      <c r="IK138" s="1321"/>
      <c r="IL138" s="1321"/>
      <c r="IM138" s="1321"/>
      <c r="IN138" s="1368"/>
    </row>
    <row r="139" spans="1:248" ht="12.75" customHeight="1" x14ac:dyDescent="0.2">
      <c r="A139" s="1307" t="s">
        <v>206</v>
      </c>
      <c r="B139" s="1209">
        <v>8</v>
      </c>
      <c r="C139" s="1321"/>
      <c r="D139" s="1321"/>
      <c r="E139" s="1321"/>
      <c r="F139" s="1149" t="s">
        <v>291</v>
      </c>
      <c r="G139" s="1149">
        <v>1</v>
      </c>
      <c r="H139" s="1321"/>
      <c r="I139" s="1077" t="s">
        <v>1876</v>
      </c>
      <c r="J139" s="1078" t="s">
        <v>1867</v>
      </c>
      <c r="K139" s="1078" t="str">
        <f>K127</f>
        <v>1 traite/jour</v>
      </c>
      <c r="L139" s="1078" t="str">
        <f>L127</f>
        <v>2 traites/jour</v>
      </c>
      <c r="M139" s="1078" t="str">
        <f>M127</f>
        <v>3 traites/jour</v>
      </c>
      <c r="N139" s="1078" t="str">
        <f>N127</f>
        <v>4 traites/jour</v>
      </c>
      <c r="O139" s="1078" t="s">
        <v>1852</v>
      </c>
      <c r="P139" s="1078" t="s">
        <v>1853</v>
      </c>
      <c r="Q139" s="1078" t="s">
        <v>1854</v>
      </c>
      <c r="R139" s="1321"/>
      <c r="S139" s="1321"/>
      <c r="T139" s="1321"/>
      <c r="U139" s="1321"/>
      <c r="V139" s="1321"/>
      <c r="W139" s="1321"/>
      <c r="X139" s="1321"/>
      <c r="Y139" s="1321"/>
      <c r="Z139" s="1321"/>
      <c r="AA139" s="1321"/>
      <c r="AB139" s="1321"/>
      <c r="AC139" s="1321"/>
      <c r="AD139" s="1321"/>
      <c r="AE139" s="1321"/>
      <c r="AF139" s="1321"/>
      <c r="AG139" s="1321"/>
      <c r="AH139" s="1321"/>
      <c r="AI139" s="1321"/>
      <c r="AJ139" s="1321"/>
      <c r="AK139" s="1321"/>
      <c r="AL139" s="1321"/>
      <c r="AM139" s="1321"/>
      <c r="AN139" s="1321"/>
      <c r="AO139" s="1321"/>
      <c r="AP139" s="1321"/>
      <c r="AQ139" s="1321"/>
      <c r="AR139" s="1321"/>
      <c r="AS139" s="1321"/>
      <c r="AT139" s="1321"/>
      <c r="AU139" s="1321"/>
      <c r="AV139" s="1321"/>
      <c r="AW139" s="1321"/>
      <c r="AX139" s="1321"/>
      <c r="AY139" s="1321"/>
      <c r="AZ139" s="1321"/>
      <c r="BA139" s="1321"/>
      <c r="BB139" s="1236" t="s">
        <v>732</v>
      </c>
      <c r="BC139" s="1190" t="s">
        <v>76</v>
      </c>
      <c r="BD139" s="1190" t="s">
        <v>1253</v>
      </c>
      <c r="BE139" s="1237">
        <v>7.2</v>
      </c>
      <c r="BF139" s="1237">
        <v>6</v>
      </c>
      <c r="BG139" s="1237">
        <v>4</v>
      </c>
      <c r="BH139" s="1237">
        <v>2</v>
      </c>
      <c r="BI139" s="1237">
        <v>1.2</v>
      </c>
      <c r="BJ139" s="1237">
        <v>0.6</v>
      </c>
      <c r="BK139" s="1238">
        <v>0</v>
      </c>
      <c r="BL139" s="1348"/>
      <c r="BM139" s="1075" t="str">
        <f t="shared" si="47"/>
        <v>Ration complète</v>
      </c>
      <c r="BN139" s="1269">
        <f>IF(ChoixRationComplèteBisons&lt;&gt;OUI,0,IF(QualitéRationComplèteBisons=BONNE,Ration_hivernale_complète_bisons[somme],0))</f>
        <v>0</v>
      </c>
      <c r="BO139" s="1269">
        <f>IF(ChoixRationComplèteBisons&lt;&gt;OUI,0,IF(QualitéRationComplèteBisons=MOYENNE,Ration_hivernale_complète_bisons[somme],0))</f>
        <v>0</v>
      </c>
      <c r="BP139" s="1269">
        <f>IF(ChoixRationComplèteBisons&lt;&gt;OUI,0,IF(QualitéRationComplèteBisons=MAUVAISE,Ration_hivernale_complète_bisons[somme],0))</f>
        <v>0</v>
      </c>
      <c r="BQ139" s="1346"/>
      <c r="BR139" s="1346"/>
      <c r="BS139" s="1346"/>
      <c r="BT139" s="1346"/>
      <c r="BU139" s="1346"/>
      <c r="BV139" s="1345"/>
      <c r="BW139" s="1345"/>
      <c r="BX139" s="1276"/>
      <c r="BY139" s="1075">
        <f t="array" ref="BY139">IF(ChoixRationComplèteCaprins=OUI,0,IFERROR(IF(OR(AND(INDEX(Règles_caprins[Specificite],MATCH(ChoixRationCaprins&amp;$BX139,Règles_caprins[Ration]&amp;Règles_caprins[Aliment],0))="s1",IF($BX139=Spécificité1Caprins,1)),
INDEX(Règles_caprins[Specificite],MATCH(ChoixRationCaprins&amp;$BX139,Règles_caprins[Ration]&amp;Règles_caprins[Aliment],0))="c"),
INDEX(Règles_caprins[Valeur 12 et plus],MATCH(ChoixRationCaprins&amp;$BX139,Règles_caprins[Ration]&amp;Règles_caprins[Aliment],0)),0),0)*TotalBoucs*SUM(NbreJoursNourrirCaprins))</f>
        <v>0</v>
      </c>
      <c r="BZ139" s="1075">
        <f t="array" ref="BZ139">IF(ChoixRationComplèteCaprins=OUI,0,IFERROR(IF(OR(AND(INDEX(Règles_caprins[Specificite],MATCH(ChoixRationCaprins&amp;$BX139,Règles_caprins[Ration]&amp;Règles_caprins[Aliment],0))="s1",IF($BX139=Spécificité1Caprins,1)),
INDEX(Règles_caprins[Specificite],MATCH(ChoixRationCaprins&amp;$BX139,Règles_caprins[Ration]&amp;Règles_caprins[Aliment],0))="c"),
INDEX(Règles_caprins[Valeur 6-12],MATCH(ChoixRationCaprins&amp;$BX139,Règles_caprins[Ration]&amp;Règles_caprins[Aliment],0)),0),0)*jeune_bouc_6_12_mois*SUM(NbreJoursNourrirCaprins))</f>
        <v>0</v>
      </c>
      <c r="CA139" s="1075">
        <f t="array" ref="CA139">IF(ChoixRationComplèteCaprins=OUI,0,IFERROR(IF(OR(AND(INDEX(Règles_caprins[Specificite],MATCH(ChoixRationCaprins&amp;$BX139,Règles_caprins[Ration]&amp;Règles_caprins[Aliment],0))="s1",IF($BX139=Spécificité1Caprins,1)),
INDEX(Règles_caprins[Specificite],MATCH(ChoixRationCaprins&amp;$BX139,Règles_caprins[Ration]&amp;Règles_caprins[Aliment],0))="c"),
INDEX(Règles_caprins[Valeur 3-6],MATCH(ChoixRationCaprins&amp;$BX139,Règles_caprins[Ration]&amp;Règles_caprins[Aliment],0)),0),0)*chevreau_3_6_mois*SUM(NbreJoursNourrirCaprins))</f>
        <v>0</v>
      </c>
      <c r="CB139" s="1075">
        <f t="array" ref="CB139">IF(ChoixRationComplèteCaprins=OUI,0,IFERROR(IF(OR(AND(INDEX(Règles_caprins[Specificite],MATCH(ChoixRationCaprins&amp;$BX139,Règles_caprins[Ration]&amp;Règles_caprins[Aliment],0))="s1",IF($BX139=Spécificité1Caprins,1)),
INDEX(Règles_caprins[Specificite],MATCH(ChoixRationCaprins&amp;$BX139,Règles_caprins[Ration]&amp;Règles_caprins[Aliment],0))="c"),
INDEX(Règles_caprins[Valeur 0-3],MATCH(ChoixRationCaprins&amp;$BX139,Règles_caprins[Ration]&amp;Règles_caprins[Aliment],0)),0),0)*chevreau_0_3_mois*SUM(NbreJoursNourrirCaprins))</f>
        <v>0</v>
      </c>
      <c r="CC139" s="1075">
        <f t="shared" si="45"/>
        <v>0</v>
      </c>
      <c r="CD139" s="1345"/>
      <c r="CE139" s="1345"/>
      <c r="CF139" s="1345"/>
      <c r="CG139" s="1345"/>
      <c r="CH139" s="1321"/>
      <c r="CI139" s="1321"/>
      <c r="CJ139" s="1076" t="str">
        <f>CJ50</f>
        <v>Avoine</v>
      </c>
      <c r="CK139" s="1267">
        <f t="array" ref="CK139">SUM((IF(QualitéAlimentsPorceletMâle_0_1_mois=BONNE,VLOOKUP("Avoine",AlimentsRationPorcinsMâles[],6,FALSE),0)+(IF(QualitéAlimentsPorceletFemelle_0_1_mois=BONNE,VLOOKUP("Avoine",AlimentsRationPorcinsFemelles[],6,FALSE),0)+(IF(QualitéAlimentsPorceletMâle_1_3_mois=BONNE,VLOOKUP("Avoine",AlimentsRationPorcinsMâles[],5,FALSE),0)+(IF(QualitéAlimentsPorceletFemelle_1_3_mois=BONNE,VLOOKUP("Avoine",AlimentsRationPorcinsFemelles[],5,FALSE),0)+(IF(QualitéAlimentsJeuneVerrat_3_6_mois=BONNE,VLOOKUP("Avoine",AlimentsRationPorcinsMâles[],4,FALSE),0)+(IF(QualitéAlimentsJeuneTruie_3_6_mois=BONNE,VLOOKUP("Avoine",AlimentsRationPorcinsFemelles[],4,FALSE),0)+(IF(QualitéAlimentsJeuneVerrat_6_12_mois=BONNE,VLOOKUP("Avoine",AlimentsRationPorcinsMâles[],3,FALSE),0)+(IF(QualitéAlimentsJeuneTruie_6_12_mois=BONNE,VLOOKUP("Avoine",AlimentsRationPorcinsFemelles[],3,FALSE),0)+(IF(QualitéAlimentsVerrat=BONNE,VLOOKUP("Avoine",AlimentsRationPorcinsMâles[],2,FALSE),0)+(IF(QualitéAlimentsTruie=BONNE,VLOOKUP("Avoine",AlimentsRationPorcinsFemelles[],2,FALSE),0))))))))))))</f>
        <v>0</v>
      </c>
      <c r="CL139" s="1267">
        <f t="array" ref="CL139">SUM((IF(QualitéAlimentsPorceletMâle_0_1_mois=MOYENNE,VLOOKUP("Avoine",AlimentsRationPorcinsMâles[],6,FALSE),0)+(IF(QualitéAlimentsPorceletFemelle_0_1_mois=MOYENNE,VLOOKUP("Avoine",AlimentsRationPorcinsFemelles[],6,FALSE),0)+(IF(QualitéAlimentsPorceletMâle_1_3_mois=MOYENNE,VLOOKUP("Avoine",AlimentsRationPorcinsMâles[],5,FALSE),0)+(IF(QualitéAlimentsPorceletFemelle_1_3_mois=MOYENNE,VLOOKUP("Avoine",AlimentsRationPorcinsFemelles[],5,FALSE),0)+(IF(QualitéAlimentsJeuneVerrat_3_6_mois=MOYENNE,VLOOKUP("Avoine",AlimentsRationPorcinsMâles[],4,FALSE),0)+(IF(QualitéAlimentsJeuneTruie_3_6_mois=MOYENNE,VLOOKUP("Avoine",AlimentsRationPorcinsFemelles[],4,FALSE),0)+(IF(QualitéAlimentsJeuneVerrat_6_12_mois=MOYENNE,VLOOKUP("Avoine",AlimentsRationPorcinsMâles[],3,FALSE),0)+(IF(QualitéAlimentsJeuneTruie_6_12_mois=MOYENNE,VLOOKUP("Avoine",AlimentsRationPorcinsFemelles[],3,FALSE),0)+(IF(QualitéAlimentsVerrat=MOYENNE,VLOOKUP("Avoine",AlimentsRationPorcinsMâles[],2,FALSE),0)+(IF(QualitéAlimentsTruie=MOYENNE,VLOOKUP("Avoine",AlimentsRationPorcinsFemelles[],2,FALSE),0))))))))))))</f>
        <v>0</v>
      </c>
      <c r="CM139" s="1267">
        <f t="array" ref="CM139">SUM((IF(QualitéAlimentsPorceletMâle_0_1_mois=MAUVAISE,VLOOKUP("Avoine",AlimentsRationPorcinsMâles[],6,FALSE),0)+(IF(QualitéAlimentsPorceletFemelle_0_1_mois=MAUVAISE,VLOOKUP("Avoine",AlimentsRationPorcinsFemelles[],6,FALSE),0)+(IF(QualitéAlimentsPorceletMâle_1_3_mois=MAUVAISE,VLOOKUP("Avoine",AlimentsRationPorcinsMâles[],5,FALSE),0)+(IF(QualitéAlimentsPorceletFemelle_1_3_mois=MAUVAISE,VLOOKUP("Avoine",AlimentsRationPorcinsFemelles[],5,FALSE),0)+(IF(QualitéAlimentsJeuneVerrat_3_6_mois=MAUVAISE,VLOOKUP("Avoine",AlimentsRationPorcinsMâles[],4,FALSE),0)+(IF(QualitéAlimentsJeuneTruie_3_6_mois=MAUVAISE,VLOOKUP("Avoine",AlimentsRationPorcinsFemelles[],4,FALSE),0)+(IF(QualitéAlimentsJeuneVerrat_6_12_mois=MAUVAISE,VLOOKUP("Avoine",AlimentsRationPorcinsMâles[],3,FALSE),0)+(IF(QualitéAlimentsJeuneTruie_6_12_mois=MAUVAISE,VLOOKUP("Avoine",AlimentsRationPorcinsFemelles[],3,FALSE),0)+(IF(QualitéAlimentsVerrat=MAUVAISE,VLOOKUP("Avoine",AlimentsRationPorcinsMâles[],2,FALSE),0)+(IF(QualitéAlimentsTruie=MAUVAISE,VLOOKUP("Avoine",AlimentsRationPorcinsFemelles[],2,FALSE),0))))))))))))</f>
        <v>0</v>
      </c>
      <c r="CN139" s="1321"/>
      <c r="CO139" s="1321"/>
      <c r="CP139" s="1345"/>
      <c r="CQ139" s="1321"/>
      <c r="CR139" s="1321"/>
      <c r="CS139" s="1336" t="s">
        <v>1278</v>
      </c>
      <c r="CT139" s="1341"/>
      <c r="CU139" s="1341"/>
      <c r="CV139" s="1341"/>
      <c r="CW139" s="1336"/>
      <c r="CX139" s="1321"/>
      <c r="CY139" s="1321"/>
      <c r="CZ139" s="1336" t="s">
        <v>1278</v>
      </c>
      <c r="DA139" s="1341"/>
      <c r="DB139" s="1341"/>
      <c r="DC139" s="1341"/>
      <c r="DD139" s="1336"/>
      <c r="DE139" s="1321"/>
      <c r="DF139" s="1321"/>
      <c r="DG139" s="808" t="s">
        <v>821</v>
      </c>
      <c r="DH139" s="803">
        <f>DH14*SUM(TotalPintadeaux)*SUM(NbreJoursNourrirAutres)</f>
        <v>0</v>
      </c>
      <c r="DI139" s="1321"/>
      <c r="DJ139" s="1321"/>
      <c r="DK139" s="1321"/>
      <c r="DL139" s="1321"/>
      <c r="DM139" s="1321"/>
      <c r="DN139" s="1176" t="s">
        <v>1134</v>
      </c>
      <c r="DO139" s="1177" t="s">
        <v>219</v>
      </c>
      <c r="DP139" s="1177" t="s">
        <v>1252</v>
      </c>
      <c r="DQ139" s="1177">
        <v>4</v>
      </c>
      <c r="DR139" s="1177">
        <v>3.2</v>
      </c>
      <c r="DS139" s="1177">
        <v>2.4</v>
      </c>
      <c r="DT139" s="1191">
        <v>2</v>
      </c>
      <c r="DU139" s="1346"/>
      <c r="DV139" s="1321"/>
      <c r="DW139" s="1321"/>
      <c r="DX139" s="1321"/>
      <c r="DY139" s="1321"/>
      <c r="DZ139" s="1321"/>
      <c r="EA139" s="1321"/>
      <c r="EB139" s="1321"/>
      <c r="EC139" s="1321"/>
      <c r="ED139" s="1345"/>
      <c r="EE139" s="1345"/>
      <c r="EF139" s="1321"/>
      <c r="EG139" s="1336" t="s">
        <v>1478</v>
      </c>
      <c r="EH139" s="1336"/>
      <c r="EI139" s="1321"/>
      <c r="EJ139" s="1321"/>
      <c r="EK139" s="1345"/>
      <c r="EL139" s="1345"/>
      <c r="EM139" s="1321"/>
      <c r="EN139" s="789" t="s">
        <v>1372</v>
      </c>
      <c r="EO139" s="791" t="s">
        <v>159</v>
      </c>
      <c r="EP139" s="1321"/>
      <c r="EQ139" s="1321"/>
      <c r="ER139" s="1345"/>
      <c r="ES139" s="1345"/>
      <c r="ET139" s="1321"/>
      <c r="EU139" s="1083">
        <f t="shared" si="44"/>
        <v>0</v>
      </c>
      <c r="EV139" s="1283">
        <f t="array" ref="EV139">IF(OR(ChoixRationComplèteEtéChevauxSelle=OUI,ChoixRationComplèteEtéChevauxSelle="",AND(ChoixChevauxSellePréHiver=OUI,ChoixChevauxSellePréEté=OUI)),0,IFERROR(IF(OR(AND(INDEX(Règles_chevaux_selle[Specificite],MATCH(RationEtéChevauxSelle&amp;$EU139,Règles_chevaux_selle[Ration]&amp;Règles_chevaux_selle[Aliment],0))="s1",IF($EU139=Spécificité1ChevauxSelle,1)),
AND(INDEX(Règles_chevaux_selle[Specificite],MATCH(RationEtéChevauxSelle&amp;$EU139,Règles_chevaux_selle[Ration]&amp;Règles_chevaux_selle[Aliment],0))="s2",IF($EU139=Spécificité2ChevauxSelle,1)),
INDEX(Règles_chevaux_selle[Specificite],MATCH(RationEtéChevauxSelle&amp;$EU139,Règles_chevaux_selle[Ration]&amp;Règles_chevaux_selle[Aliment],0))="c"),
INDEX(Règles_chevaux_selle[Valeur 36 et plus],MATCH(RationEtéChevauxSelle&amp;$EU139,Règles_chevaux_selle[Ration]&amp;Règles_chevaux_selle[Aliment],0)),0),0)*TotalJumentSelle*SUM(NbreJoursNourrirChevauxSelle))</f>
        <v>0</v>
      </c>
      <c r="EW139" s="1283">
        <f t="array" ref="EW139">IF(OR(ChoixRationComplèteEtéChevauxSelle=OUI,ChoixRationComplèteEtéChevauxSelle="",AND(ChoixChevauxSellePréHiver=OUI,ChoixChevauxSellePréEté=OUI)),0,IFERROR(IF(OR(AND(INDEX(Règles_chevaux_selle[Specificite],MATCH(RationEtéChevauxSelle&amp;$EU139,Règles_chevaux_selle[Ration]&amp;Règles_chevaux_selle[Aliment],0))="s1",IF($EU139=Spécificité1ChevauxSelle,1)),
AND(INDEX(Règles_chevaux_selle[Specificite],MATCH(RationEtéChevauxSelle&amp;$EU139,Règles_chevaux_selle[Ration]&amp;Règles_chevaux_selle[Aliment],0))="s2",IF($EU139=Spécificité2ChevauxSelle,1)),
INDEX(Règles_chevaux_selle[Specificite],MATCH(RationEtéChevauxSelle&amp;$EU139,Règles_chevaux_selle[Ration]&amp;Règles_chevaux_selle[Aliment],0))="c"),
INDEX(Règles_chevaux_selle[Valeur 24-36],MATCH(RationEtéChevauxSelle&amp;$EU139,Règles_chevaux_selle[Ration]&amp;Règles_chevaux_selle[Aliment],0)),0),0)*TotalJeuneJumentSelle_24_36_mois*SUM(NbreJoursNourrirChevauxSelle))</f>
        <v>0</v>
      </c>
      <c r="EX139" s="1283">
        <f t="array" ref="EX139">IF(OR(ChoixRationComplèteEtéChevauxSelle=OUI,ChoixRationComplèteEtéChevauxSelle="",AND(ChoixChevauxSellePréHiver=OUI,ChoixChevauxSellePréEté=OUI)),0,IFERROR(IF(OR(AND(INDEX(Règles_chevaux_selle[Specificite],MATCH(RationEtéChevauxSelle&amp;$EU139,Règles_chevaux_selle[Ration]&amp;Règles_chevaux_selle[Aliment],0))="s1",IF($EU139=Spécificité1ChevauxSelle,1)),
AND(INDEX(Règles_chevaux_selle[Specificite],MATCH(RationEtéChevauxSelle&amp;$EU139,Règles_chevaux_selle[Ration]&amp;Règles_chevaux_selle[Aliment],0))="s2",IF($EU139=Spécificité2ChevauxSelle,1)),
INDEX(Règles_chevaux_selle[Specificite],MATCH(RationEtéChevauxSelle&amp;$EU139,Règles_chevaux_selle[Ration]&amp;Règles_chevaux_selle[Aliment],0))="c"),
INDEX(Règles_chevaux_selle[Valeur 12-24],MATCH(RationEtéChevauxSelle&amp;$EU139,Règles_chevaux_selle[Ration]&amp;Règles_chevaux_selle[Aliment],0)),0),0)*TotalJeuneJumentSelle_12_24_mois*SUM(NbreJoursNourrirChevauxSelle))</f>
        <v>0</v>
      </c>
      <c r="EY139" s="1286">
        <f t="array" ref="EY139">IF(OR(ChoixRationComplèteEtéChevauxSelle=OUI,ChoixRationComplèteEtéChevauxSelle="",AND(ChoixChevauxSellePréHiver=OUI,ChoixChevauxSellePréEté=OUI)),0,IFERROR(IF(OR(AND(INDEX(Règles_chevaux_selle[Specificite],MATCH(RationEtéChevauxSelle&amp;$EU139,Règles_chevaux_selle[Ration]&amp;Règles_chevaux_selle[Aliment],0))="s1",IF($EU139=Spécificité1ChevauxSelle,1)),
AND(INDEX(Règles_chevaux_selle[Specificite],MATCH(RationEtéChevauxSelle&amp;$EU139,Règles_chevaux_selle[Ration]&amp;Règles_chevaux_selle[Aliment],0))="s2",IF($EU139=Spécificité2ChevauxSelle,1)),
INDEX(Règles_chevaux_selle[Specificite],MATCH(RationEtéChevauxSelle&amp;$EU139,Règles_chevaux_selle[Ration]&amp;Règles_chevaux_selle[Aliment],0))="c"),
INDEX(Règles_chevaux_selle[Valeur 0-12],MATCH(RationEtéChevauxSelle&amp;$EU139,Règles_chevaux_selle[Ration]&amp;Règles_chevaux_selle[Aliment],0)),0),0)*TotalPoulicheSelle_0_12_mois*SUM(NbreJoursNourrirChevauxSelle))</f>
        <v>0</v>
      </c>
      <c r="EZ139" s="1286">
        <f t="shared" si="43"/>
        <v>0</v>
      </c>
      <c r="FA139" s="1345"/>
      <c r="FB139" s="1345"/>
      <c r="FC139" s="1321"/>
      <c r="FD139" s="1336"/>
      <c r="FE139" s="1336"/>
      <c r="FF139" s="1336"/>
      <c r="FG139" s="1336"/>
      <c r="FH139" s="1336"/>
      <c r="FI139" s="1359"/>
      <c r="FJ139" s="1345"/>
      <c r="FK139" s="1345"/>
      <c r="FL139" s="1345"/>
      <c r="FM139" s="1321"/>
      <c r="FN139" s="1336" t="s">
        <v>1489</v>
      </c>
      <c r="FO139" s="1336"/>
      <c r="FP139" s="1336"/>
      <c r="FQ139" s="1336"/>
      <c r="FR139" s="1336"/>
      <c r="FS139" s="1336"/>
      <c r="FT139" s="1345"/>
      <c r="FU139" s="1345"/>
      <c r="FV139" s="1345"/>
      <c r="FW139" s="1083" t="str">
        <f t="shared" si="49"/>
        <v>Bouchons luzerne</v>
      </c>
      <c r="FX139" s="1283">
        <f t="array" ref="FX139">SUM((IF(QualitéAlimentsGavageOison_0_1_mois=BONNE,VLOOKUP("Bouchons luzerne",AlimentsGavageOies[],5,FALSE),0)+(IF(QualitéAlimentsGavageCaneton_0_1_mois=BONNE,VLOOKUP("Bouchons luzerne",AlimentsGavageCanards[],5,FALSE),0)+(IF(QualitéAlimentsGavageOison_1_2_mois=BONNE,VLOOKUP("Bouchons luzerne",AlimentsGavageOies[],4,FALSE),0)+(IF(QualitéAlimentsGavageCaneton_1_2_mois=BONNE,VLOOKUP("Bouchons luzerne",AlimentsGavageCanards[],4,FALSE),0)+(IF(QualitéAlimentsGavageOison_2_3_mois=BONNE,VLOOKUP("Bouchons luzerne",AlimentsGavageOies[],3,FALSE),0)+(IF(QualitéAlimentsGavageCaneton_2_3_mois=BONNE,VLOOKUP("Bouchons luzerne",AlimentsGavageCanards[],3,FALSE),0)+(IF(QualitéAlimentsGavageJeunesOies=BONNE,VLOOKUP("Bouchons luzerne",AlimentsGavageOies[],2,FALSE),0)+(IF(QualitéAlimentsGavageJeuneCanard=BONNE,VLOOKUP("Bouchons luzerne",AlimentsGavageCanards[],2,FALSE),0))))))))))</f>
        <v>0</v>
      </c>
      <c r="FY139" s="1283">
        <f t="array" ref="FY139">SUM((IF(QualitéAlimentsGavageOison_0_1_mois=MOYENNE,VLOOKUP("Bouchons luzerne",AlimentsGavageOies[],5,FALSE),0)+(IF(QualitéAlimentsGavageCaneton_0_1_mois=MOYENNE,VLOOKUP("Bouchons luzerne",AlimentsGavageCanards[],5,FALSE),0)+(IF(QualitéAlimentsGavageOison_1_2_mois=MOYENNE,VLOOKUP("Bouchons luzerne",AlimentsGavageOies[],4,FALSE),0)+(IF(QualitéAlimentsGavageCaneton_1_2_mois=MOYENNE,VLOOKUP("Bouchons luzerne",AlimentsGavageCanards[],4,FALSE),0)+(IF(QualitéAlimentsGavageOison_2_3_mois=MOYENNE,VLOOKUP("Bouchons luzerne",AlimentsGavageOies[],3,FALSE),0)+(IF(QualitéAlimentsGavageCaneton_2_3_mois=MOYENNE,VLOOKUP("Bouchons luzerne",AlimentsGavageCanards[],3,FALSE),0)+(IF(QualitéAlimentsGavageJeunesOies=MOYENNE,VLOOKUP("Bouchons luzerne",AlimentsGavageOies[],2,FALSE),0)+(IF(QualitéAlimentsGavageJeuneCanard=MOYENNE,VLOOKUP("Bouchons luzerne",AlimentsGavageCanards[],2,FALSE),0))))))))))</f>
        <v>0</v>
      </c>
      <c r="FZ139" s="1283">
        <f t="array" ref="FZ139">SUM((IF(QualitéAlimentsGavageOison_0_1_mois=MAUVAISE,VLOOKUP("Bouchons luzerne",AlimentsGavageOies[],5,FALSE),0)+(IF(QualitéAlimentsGavageCaneton_0_1_mois=MAUVAISE,VLOOKUP("Bouchons luzerne",AlimentsGavageCanards[],5,FALSE),0)+(IF(QualitéAlimentsGavageOison_1_2_mois=MAUVAISE,VLOOKUP("Bouchons luzerne",AlimentsGavageOies[],4,FALSE),0)+(IF(QualitéAlimentsGavageCaneton_1_2_mois=MAUVAISE,VLOOKUP("Bouchons luzerne",AlimentsGavageCanards[],4,FALSE),0)+(IF(QualitéAlimentsGavageOison_2_3_mois=MAUVAISE,VLOOKUP("Bouchons luzerne",AlimentsGavageOies[],3,FALSE),0)+(IF(QualitéAlimentsGavageCaneton_2_3_mois=MAUVAISE,VLOOKUP("Bouchons luzerne",AlimentsGavageCanards[],3,FALSE),0)+(IF(QualitéAlimentsGavageJeunesOies=MAUVAISE,VLOOKUP("Bouchons luzerne",AlimentsGavageOies[],2,FALSE),0)+(IF(QualitéAlimentsGavageJeuneCanard=MAUVAISE,VLOOKUP("Bouchons luzerne",AlimentsGavageCanards[],2,FALSE),0))))))))))</f>
        <v>0</v>
      </c>
      <c r="GA139" s="1345"/>
      <c r="GB139" s="1345"/>
      <c r="GC139" s="1321"/>
      <c r="GD139" s="1321"/>
      <c r="GE139" s="1321"/>
      <c r="GF139" s="1321"/>
      <c r="GG139" s="1321" t="s">
        <v>1349</v>
      </c>
      <c r="GH139" s="1321" t="s">
        <v>1349</v>
      </c>
      <c r="GI139" s="1321" t="s">
        <v>1349</v>
      </c>
      <c r="GJ139" s="1321" t="s">
        <v>1349</v>
      </c>
      <c r="GK139" s="1321" t="s">
        <v>1349</v>
      </c>
      <c r="GL139" s="1321" t="s">
        <v>1349</v>
      </c>
      <c r="GM139" s="1321" t="s">
        <v>1349</v>
      </c>
      <c r="GN139" s="1321" t="s">
        <v>1349</v>
      </c>
      <c r="GO139" s="1321" t="s">
        <v>1349</v>
      </c>
      <c r="GP139" s="1321" t="s">
        <v>1349</v>
      </c>
      <c r="GQ139" s="1321" t="s">
        <v>1349</v>
      </c>
      <c r="GR139" s="1321" t="s">
        <v>1349</v>
      </c>
      <c r="GS139" s="1321" t="s">
        <v>1349</v>
      </c>
      <c r="GT139" s="1321" t="s">
        <v>1349</v>
      </c>
      <c r="GU139" s="1321" t="s">
        <v>1349</v>
      </c>
      <c r="GV139" s="1321" t="s">
        <v>1349</v>
      </c>
      <c r="GW139" s="1321"/>
      <c r="GX139" s="1321"/>
      <c r="GY139" s="1321"/>
      <c r="GZ139" s="1321"/>
      <c r="HA139" s="1321"/>
      <c r="HB139" s="1321"/>
      <c r="HC139" s="1321"/>
      <c r="HD139" s="1321"/>
      <c r="HE139" s="1321"/>
      <c r="HF139" s="1321"/>
      <c r="HG139" s="1321"/>
      <c r="HH139" s="1321"/>
      <c r="HI139" s="1321"/>
      <c r="HJ139" s="1321"/>
      <c r="HK139" s="1321"/>
      <c r="HL139" s="1321"/>
      <c r="HM139" s="1321"/>
      <c r="HN139" s="1321"/>
      <c r="HO139" s="1321"/>
      <c r="HP139" s="1321"/>
      <c r="HQ139" s="1321"/>
      <c r="HR139" s="1321"/>
      <c r="HS139" s="1321"/>
      <c r="HT139" s="1321"/>
      <c r="HU139" s="1321"/>
      <c r="HV139" s="1321"/>
      <c r="HW139" s="1321"/>
      <c r="HX139" s="1321"/>
      <c r="HY139" s="1321"/>
      <c r="HZ139" s="1321"/>
      <c r="IA139" s="1321"/>
      <c r="IB139" s="1321"/>
      <c r="IC139" s="1321"/>
      <c r="ID139" s="1321"/>
      <c r="IE139" s="1321"/>
      <c r="IF139" s="1321"/>
      <c r="IG139" s="1321"/>
      <c r="IH139" s="1321"/>
      <c r="II139" s="1321"/>
      <c r="IJ139" s="1321"/>
      <c r="IK139" s="1321"/>
      <c r="IL139" s="1321"/>
      <c r="IM139" s="1321"/>
      <c r="IN139" s="1368"/>
    </row>
    <row r="140" spans="1:248" ht="12.75" customHeight="1" x14ac:dyDescent="0.2">
      <c r="A140" s="1307" t="s">
        <v>327</v>
      </c>
      <c r="B140" s="1209">
        <v>6</v>
      </c>
      <c r="C140" s="1321"/>
      <c r="D140" s="1321"/>
      <c r="E140" s="1321"/>
      <c r="F140" s="1143" t="s">
        <v>31</v>
      </c>
      <c r="G140" s="1143">
        <v>1</v>
      </c>
      <c r="H140" s="1321"/>
      <c r="I140" s="1076" t="str">
        <f t="shared" ref="I140:I149" si="50">I128</f>
        <v>0-9,99</v>
      </c>
      <c r="J140" s="1081">
        <f>IF(gains!F$4=BDD!O$127,10,IF(gains!F$4=BDD!P$127,20,IF(gains!F$4=BDD!Q$127,30,0)))</f>
        <v>10</v>
      </c>
      <c r="K140" s="1081">
        <f>IF(gains!$G$8=K$127,1,0)</f>
        <v>0</v>
      </c>
      <c r="L140" s="1081">
        <f>IF(gains!$G$8=L$127,2,0)</f>
        <v>0</v>
      </c>
      <c r="M140" s="1081">
        <f>IF(gains!$G$8=M$127,3,0)</f>
        <v>0</v>
      </c>
      <c r="N140" s="1081">
        <f>IF(gains!$G$8=N$127,4,0)</f>
        <v>0</v>
      </c>
      <c r="O140" s="1081">
        <f>IF(AND(J140=10,SUM(K140:N140)=1),gains!$F$39,IF(AND(J140=10,SUM(K140:N140)=2),gains!$F$39*2,IF(AND(J140=10,SUM(K140:N140)=3),gains!$F$39*3,IF(AND(J140=10,SUM(K140:N140)=4),gains!$F$39*4,0))))</f>
        <v>0</v>
      </c>
      <c r="P140" s="1081">
        <f>IF(AND(J140=20,SUM(K140:N140)=1),gains!$F$39*7,IF(AND(J140=20,SUM(K140:N140)=2),gains!$F$39*7*2,IF(AND(J140=20,SUM(K140:N140)=3),gains!$F$39*7*3,IF(AND(J140=20,SUM(K140:N140)=4),gains!$F$39*7*4,0))))</f>
        <v>0</v>
      </c>
      <c r="Q140" s="1081">
        <f>IF(AND(J140=30,SUM(K140:N140)=1),gains!$F$39*7*12,IF(AND(J140=30,SUM(K140:N140)=2),gains!$F$39*7*12*2,IF(AND(J140=30,SUM(K140:N140)=3),gains!$F$39*7*12*3,IF(AND(J140=30,SUM(K140:N140)=4),gains!$F$39*7*12*4,0))))</f>
        <v>0</v>
      </c>
      <c r="R140" s="1321"/>
      <c r="S140" s="1321"/>
      <c r="T140" s="1321"/>
      <c r="U140" s="1321"/>
      <c r="V140" s="1321"/>
      <c r="W140" s="1321"/>
      <c r="X140" s="1321"/>
      <c r="Y140" s="1321"/>
      <c r="Z140" s="1321"/>
      <c r="AA140" s="1321"/>
      <c r="AB140" s="1321"/>
      <c r="AC140" s="1321"/>
      <c r="AD140" s="1321"/>
      <c r="AE140" s="1321"/>
      <c r="AF140" s="1321"/>
      <c r="AG140" s="1321"/>
      <c r="AH140" s="1321"/>
      <c r="AI140" s="1321"/>
      <c r="AJ140" s="1321"/>
      <c r="AK140" s="1321"/>
      <c r="AL140" s="1321"/>
      <c r="AM140" s="1321"/>
      <c r="AN140" s="1321"/>
      <c r="AO140" s="1321"/>
      <c r="AP140" s="1321"/>
      <c r="AQ140" s="1321"/>
      <c r="AR140" s="1321"/>
      <c r="AS140" s="1321"/>
      <c r="AT140" s="1321"/>
      <c r="AU140" s="1321"/>
      <c r="AV140" s="1321"/>
      <c r="AW140" s="1321"/>
      <c r="AX140" s="1321"/>
      <c r="AY140" s="1321"/>
      <c r="AZ140" s="1321"/>
      <c r="BA140" s="1321"/>
      <c r="BB140" s="1236" t="s">
        <v>732</v>
      </c>
      <c r="BC140" s="1190" t="s">
        <v>1273</v>
      </c>
      <c r="BD140" s="1190" t="s">
        <v>1254</v>
      </c>
      <c r="BE140" s="1237">
        <v>4.8</v>
      </c>
      <c r="BF140" s="1237">
        <v>4</v>
      </c>
      <c r="BG140" s="1237">
        <v>4</v>
      </c>
      <c r="BH140" s="1237">
        <v>4</v>
      </c>
      <c r="BI140" s="1237">
        <v>2</v>
      </c>
      <c r="BJ140" s="1237">
        <v>1.2</v>
      </c>
      <c r="BK140" s="1238">
        <v>0</v>
      </c>
      <c r="BL140" s="1348"/>
      <c r="BM140" s="1076" t="str">
        <f t="shared" si="47"/>
        <v>Seigle</v>
      </c>
      <c r="BN140" s="1267">
        <f t="array" ref="BN140">SUM((IF(QualitéAlimentsBisonneauxMâles_0_3_mois=BONNE,VLOOKUP("Seigle",AlimentsRationHivernaleBisonsMâles,8,FALSE),0)+(IF(QualitéAlimentsBisonneauxFemelles_0_3_mois=BONNE,VLOOKUP("Seigle",AlimentsRationHivernaleBisonsFemelles,8,FALSE),0)+(IF(QualitéAlimentsBisonneauxMâles_3_6_mois=BONNE,VLOOKUP("Seigle",AlimentsRationHivernaleBisonsMâles,7,FALSE),0)+(IF(QualitéAlimentsBisonneauxFemelles_3_6_mois=BONNE,VLOOKUP("Seigle",AlimentsRationHivernaleBisonsFemelles,7,FALSE),0)+(IF(QualitéAlimentsBisonneauxMâles_6_12_mois=BONNE,VLOOKUP("Seigle",AlimentsRationHivernaleBisonsMâles,6,FALSE),0)+(IF(QualitéAlimentsBisonneauxFemelles_6_12_mois=BONNE,VLOOKUP("Seigle",AlimentsRationHivernaleBisonsFemelles,6,FALSE),0)+(IF(QualitéAlimentsJeunesBisons_12_18_mois=BONNE,VLOOKUP("Seigle",AlimentsRationHivernaleBisonsMâles,5,FALSE),0)+(IF(QualitéAlimentsJeunesBisonnes_12_18_mois=BONNE,VLOOKUP("Seigle",AlimentsRationHivernaleBisonsFemelles,5,FALSE),0)+(IF(QualitéAlimentsJeunesBisons_18_24_mois=BONNE,VLOOKUP("Seigle",AlimentsRationHivernaleBisonsMâles,4,FALSE),0)+(IF(QualitéAlimentsJeunesBisonnes_18_24_mois=BONNE,VLOOKUP("Seigle",AlimentsRationHivernaleBisonsFemelles,4,FALSE),0)+(IF(QualitéAlimentsJeunesBisons_24_36_mois=BONNE,VLOOKUP("Seigle",AlimentsRationHivernaleBisonsMâles,3,FALSE),0)+(IF(QualitéAlimentsJeunesBisonnes_24_36_mois=BONNE,VLOOKUP("Seigle",AlimentsRationHivernaleBisonsFemelles,3,FALSE),0)+(IF(QualitéAlimentsBisons=BONNE,VLOOKUP("Seigle",AlimentsRationHivernaleBisonsMâles,2,FALSE),0)+(IF(QualitéAlimentsBisonnes=BONNE,VLOOKUP("Seigle",AlimentsRationHivernaleBisonsFemelles,2,FALSE),0))))))))))))))))</f>
        <v>0</v>
      </c>
      <c r="BO140" s="1267">
        <f t="array" ref="BO140">SUM((IF(QualitéAlimentsBisonneauxMâles_0_3_mois=MOYENNE,VLOOKUP("Seigle",AlimentsRationHivernaleBisonsMâles,8,FALSE),0)+(IF(QualitéAlimentsBisonneauxFemelles_0_3_mois=MOYENNE,VLOOKUP("Seigle",AlimentsRationHivernaleBisonsFemelles,8,FALSE),0)+(IF(QualitéAlimentsBisonneauxMâles_3_6_mois=MOYENNE,VLOOKUP("Seigle",AlimentsRationHivernaleBisonsMâles,7,FALSE),0)+(IF(QualitéAlimentsBisonneauxFemelles_3_6_mois=MOYENNE,VLOOKUP("Seigle",AlimentsRationHivernaleBisonsFemelles,7,FALSE),0)+(IF(QualitéAlimentsBisonneauxMâles_6_12_mois=MOYENNE,VLOOKUP("Seigle",AlimentsRationHivernaleBisonsMâles,6,FALSE),0)+(IF(QualitéAlimentsBisonneauxFemelles_6_12_mois=MOYENNE,VLOOKUP("Seigle",AlimentsRationHivernaleBisonsFemelles,6,FALSE),0)+(IF(QualitéAlimentsJeunesBisons_12_18_mois=MOYENNE,VLOOKUP("Seigle",AlimentsRationHivernaleBisonsMâles,5,FALSE),0)+(IF(QualitéAlimentsJeunesBisonnes_12_18_mois=MOYENNE,VLOOKUP("Seigle",AlimentsRationHivernaleBisonsFemelles,5,FALSE),0)+(IF(QualitéAlimentsJeunesBisons_18_24_mois=MOYENNE,VLOOKUP("Seigle",AlimentsRationHivernaleBisonsMâles,4,FALSE),0)+(IF(QualitéAlimentsJeunesBisonnes_18_24_mois=MOYENNE,VLOOKUP("Seigle",AlimentsRationHivernaleBisonsFemelles,4,FALSE),0)+(IF(QualitéAlimentsJeunesBisons_24_36_mois=MOYENNE,VLOOKUP("Seigle",AlimentsRationHivernaleBisonsMâles,3,FALSE),0)+(IF(QualitéAlimentsJeunesBisonnes_24_36_mois=MOYENNE,VLOOKUP("Seigle",AlimentsRationHivernaleBisonsFemelles,3,FALSE),0)+(IF(QualitéAlimentsBisons=MOYENNE,VLOOKUP("Seigle",AlimentsRationHivernaleBisonsMâles,2,FALSE),0)+(IF(QualitéAlimentsBisonnes=MOYENNE,VLOOKUP("Seigle",AlimentsRationHivernaleBisonsFemelles,2,FALSE),0))))))))))))))))</f>
        <v>0</v>
      </c>
      <c r="BP140" s="1267">
        <f t="array" ref="BP140">SUM((IF(QualitéAlimentsBisonneauxMâles_0_3_mois=MAUVAISE,VLOOKUP("Seigle",AlimentsRationHivernaleBisonsMâles,8,FALSE),0)+(IF(QualitéAlimentsBisonneauxFemelles_0_3_mois=MAUVAISE,VLOOKUP("Seigle",AlimentsRationHivernaleBisonsFemelles,8,FALSE),0)+(IF(QualitéAlimentsBisonneauxMâles_3_6_mois=MAUVAISE,VLOOKUP("Seigle",AlimentsRationHivernaleBisonsMâles,7,FALSE),0)+(IF(QualitéAlimentsBisonneauxFemelles_3_6_mois=MAUVAISE,VLOOKUP("Seigle",AlimentsRationHivernaleBisonsFemelles,7,FALSE),0)+(IF(QualitéAlimentsBisonneauxMâles_6_12_mois=MAUVAISE,VLOOKUP("Seigle",AlimentsRationHivernaleBisonsMâles,6,FALSE),0)+(IF(QualitéAlimentsBisonneauxFemelles_6_12_mois=MAUVAISE,VLOOKUP("Seigle",AlimentsRationHivernaleBisonsFemelles,6,FALSE),0)+(IF(QualitéAlimentsJeunesBisons_12_18_mois=MAUVAISE,VLOOKUP("Seigle",AlimentsRationHivernaleBisonsMâles,5,FALSE),0)+(IF(QualitéAlimentsJeunesBisonnes_12_18_mois=MAUVAISE,VLOOKUP("Seigle",AlimentsRationHivernaleBisonsFemelles,5,FALSE),0)+(IF(QualitéAlimentsJeunesBisons_18_24_mois=MAUVAISE,VLOOKUP("Seigle",AlimentsRationHivernaleBisonsMâles,4,FALSE),0)+(IF(QualitéAlimentsJeunesBisonnes_18_24_mois=MAUVAISE,VLOOKUP("Seigle",AlimentsRationHivernaleBisonsFemelles,4,FALSE),0)+(IF(QualitéAlimentsJeunesBisons_24_36_mois=MAUVAISE,VLOOKUP("Seigle",AlimentsRationHivernaleBisonsMâles,3,FALSE),0)+(IF(QualitéAlimentsJeunesBisonnes_24_36_mois=MAUVAISE,VLOOKUP("Seigle",AlimentsRationHivernaleBisonsFemelles,3,FALSE),0)+(IF(QualitéAlimentsBisons=MAUVAISE,VLOOKUP("Seigle",AlimentsRationHivernaleBisonsMâles,2,FALSE),0)+(IF(QualitéAlimentsBisonnes=MAUVAISE,VLOOKUP("Seigle",AlimentsRationHivernaleBisonsFemelles,2,FALSE),0))))))))))))))))</f>
        <v>0</v>
      </c>
      <c r="BQ140" s="1346"/>
      <c r="BR140" s="1346"/>
      <c r="BS140" s="1346"/>
      <c r="BT140" s="1346"/>
      <c r="BU140" s="1346"/>
      <c r="BV140" s="1345"/>
      <c r="BW140" s="1345"/>
      <c r="BX140" s="1360"/>
      <c r="BY140" s="1361">
        <f t="array" ref="BY140">IF(ChoixRationComplèteCaprins=OUI,0,IFERROR(IF(OR(AND(INDEX(Règles_caprins[Specificite],MATCH(ChoixRationCaprins&amp;$BX140,Règles_caprins[Ration]&amp;Règles_caprins[Aliment],0))="s1",IF($BX140=Spécificité1Caprins,1)),
INDEX(Règles_caprins[Specificite],MATCH(ChoixRationCaprins&amp;$BX140,Règles_caprins[Ration]&amp;Règles_caprins[Aliment],0))="c"),
INDEX(Règles_caprins[Valeur 12 et plus],MATCH(ChoixRationCaprins&amp;$BX140,Règles_caprins[Ration]&amp;Règles_caprins[Aliment],0)),0),0)*TotalBoucs*NbreJoursNourrirCaprins)</f>
        <v>0</v>
      </c>
      <c r="BZ140" s="1361">
        <f t="array" ref="BZ140">IF(ChoixRationComplèteCaprins=OUI,0,IFERROR(IF(OR(AND(INDEX(Règles_caprins[Specificite],MATCH(ChoixRationCaprins&amp;$BX140,Règles_caprins[Ration]&amp;Règles_caprins[Aliment],0))="s1",IF($BX140=Spécificité1Caprins,1)),
INDEX(Règles_caprins[Specificite],MATCH(ChoixRationCaprins&amp;$BX140,Règles_caprins[Ration]&amp;Règles_caprins[Aliment],0))="c"),
INDEX(Règles_caprins[Valeur 6-12],MATCH(ChoixRationCaprins&amp;$BX140,Règles_caprins[Ration]&amp;Règles_caprins[Aliment],0)),0),0)*jeune_bouc_6_12_mois*NbreJoursNourrirCaprins)</f>
        <v>0</v>
      </c>
      <c r="CA140" s="1361">
        <f t="array" ref="CA140">IF(ChoixRationComplèteCaprins=OUI,0,IFERROR(IF(OR(AND(INDEX(Règles_caprins[Specificite],MATCH(ChoixRationCaprins&amp;$BX140,Règles_caprins[Ration]&amp;Règles_caprins[Aliment],0))="s1",IF($BX140=Spécificité1Caprins,1)),
INDEX(Règles_caprins[Specificite],MATCH(ChoixRationCaprins&amp;$BX140,Règles_caprins[Ration]&amp;Règles_caprins[Aliment],0))="c"),
INDEX(Règles_caprins[Valeur 3-6],MATCH(ChoixRationCaprins&amp;$BX140,Règles_caprins[Ration]&amp;Règles_caprins[Aliment],0)),0),0)*chevreau_3_6_mois*NbreJoursNourrirCaprins)</f>
        <v>0</v>
      </c>
      <c r="CB140" s="1361">
        <f t="array" ref="CB140">IF(ChoixRationComplèteCaprins=OUI,0,IFERROR(IF(OR(AND(INDEX(Règles_caprins[Specificite],MATCH(ChoixRationCaprins&amp;$BX140,Règles_caprins[Ration]&amp;Règles_caprins[Aliment],0))="s1",IF($BX140=Spécificité1Caprins,1)),
INDEX(Règles_caprins[Specificite],MATCH(ChoixRationCaprins&amp;$BX140,Règles_caprins[Ration]&amp;Règles_caprins[Aliment],0))="c"),
INDEX(Règles_caprins[Valeur 0-3],MATCH(ChoixRationCaprins&amp;$BX140,Règles_caprins[Ration]&amp;Règles_caprins[Aliment],0)),0),0)*chevreau_0_3_mois*NbreJoursNourrirCaprins)</f>
        <v>0</v>
      </c>
      <c r="CC140" s="1082">
        <f t="shared" si="45"/>
        <v>0</v>
      </c>
      <c r="CD140" s="1345"/>
      <c r="CE140" s="1345"/>
      <c r="CF140" s="1345"/>
      <c r="CG140" s="1345"/>
      <c r="CH140" s="1321"/>
      <c r="CI140" s="1321"/>
      <c r="CJ140" s="1075" t="str">
        <f t="shared" ref="CJ140:CJ174" si="51">CJ51</f>
        <v>Betterave</v>
      </c>
      <c r="CK140" s="1269">
        <f t="array" ref="CK140">SUM((IF(QualitéAlimentsPorceletMâle_0_1_mois=BONNE,VLOOKUP("Betterave",AlimentsRationPorcinsMâles[],6,FALSE),0)+(IF(QualitéAlimentsPorceletFemelle_0_1_mois=BONNE,VLOOKUP("Betterave",AlimentsRationPorcinsFemelles[],6,FALSE),0)+(IF(QualitéAlimentsPorceletMâle_1_3_mois=BONNE,VLOOKUP("Betterave",AlimentsRationPorcinsMâles[],5,FALSE),0)+(IF(QualitéAlimentsPorceletFemelle_1_3_mois=BONNE,VLOOKUP("Betterave",AlimentsRationPorcinsFemelles[],5,FALSE),0)+(IF(QualitéAlimentsJeuneVerrat_3_6_mois=BONNE,VLOOKUP("Betterave",AlimentsRationPorcinsMâles[],4,FALSE),0)+(IF(QualitéAlimentsJeuneTruie_3_6_mois=BONNE,VLOOKUP("Betterave",AlimentsRationPorcinsFemelles[],4,FALSE),0)+(IF(QualitéAlimentsJeuneVerrat_6_12_mois=BONNE,VLOOKUP("Betterave",AlimentsRationPorcinsMâles[],3,FALSE),0)+(IF(QualitéAlimentsJeuneTruie_6_12_mois=BONNE,VLOOKUP("Betterave",AlimentsRationPorcinsFemelles[],3,FALSE),0)+(IF(QualitéAlimentsVerrat=BONNE,VLOOKUP("Betterave",AlimentsRationPorcinsMâles[],2,FALSE),0)+(IF(QualitéAlimentsTruie=BONNE,VLOOKUP("Betterave",AlimentsRationPorcinsFemelles[],2,FALSE),0))))))))))))</f>
        <v>0</v>
      </c>
      <c r="CL140" s="1269">
        <f t="array" ref="CL140">SUM((IF(QualitéAlimentsPorceletMâle_0_1_mois=MOYENNE,VLOOKUP("Betterave",AlimentsRationPorcinsMâles[],6,FALSE),0)+(IF(QualitéAlimentsPorceletFemelle_0_1_mois=MOYENNE,VLOOKUP("Betterave",AlimentsRationPorcinsFemelles[],6,FALSE),0)+(IF(QualitéAlimentsPorceletMâle_1_3_mois=MOYENNE,VLOOKUP("Betterave",AlimentsRationPorcinsMâles[],5,FALSE),0)+(IF(QualitéAlimentsPorceletFemelle_1_3_mois=MOYENNE,VLOOKUP("Betterave",AlimentsRationPorcinsFemelles[],5,FALSE),0)+(IF(QualitéAlimentsJeuneVerrat_3_6_mois=MOYENNE,VLOOKUP("Betterave",AlimentsRationPorcinsMâles[],4,FALSE),0)+(IF(QualitéAlimentsJeuneTruie_3_6_mois=MOYENNE,VLOOKUP("Betterave",AlimentsRationPorcinsFemelles[],4,FALSE),0)+(IF(QualitéAlimentsJeuneVerrat_6_12_mois=MOYENNE,VLOOKUP("Betterave",AlimentsRationPorcinsMâles[],3,FALSE),0)+(IF(QualitéAlimentsJeuneTruie_6_12_mois=MOYENNE,VLOOKUP("Betterave",AlimentsRationPorcinsFemelles[],3,FALSE),0)+(IF(QualitéAlimentsVerrat=MOYENNE,VLOOKUP("Betterave",AlimentsRationPorcinsMâles[],2,FALSE),0)+(IF(QualitéAlimentsTruie=MOYENNE,VLOOKUP("Betterave",AlimentsRationPorcinsFemelles[],2,FALSE),0))))))))))))</f>
        <v>0</v>
      </c>
      <c r="CM140" s="1269">
        <f t="array" ref="CM140">SUM((IF(QualitéAlimentsPorceletMâle_0_1_mois=MAUVAISE,VLOOKUP("Betterave",AlimentsRationPorcinsMâles[],6,FALSE),0)+(IF(QualitéAlimentsPorceletFemelle_0_1_mois=MAUVAISE,VLOOKUP("Betterave",AlimentsRationPorcinsFemelles[],6,FALSE),0)+(IF(QualitéAlimentsPorceletMâle_1_3_mois=MAUVAISE,VLOOKUP("Betterave",AlimentsRationPorcinsMâles[],5,FALSE),0)+(IF(QualitéAlimentsPorceletFemelle_1_3_mois=MAUVAISE,VLOOKUP("Betterave",AlimentsRationPorcinsFemelles[],5,FALSE),0)+(IF(QualitéAlimentsJeuneVerrat_3_6_mois=MAUVAISE,VLOOKUP("Betterave",AlimentsRationPorcinsMâles[],4,FALSE),0)+(IF(QualitéAlimentsJeuneTruie_3_6_mois=MAUVAISE,VLOOKUP("Betterave",AlimentsRationPorcinsFemelles[],4,FALSE),0)+(IF(QualitéAlimentsJeuneVerrat_6_12_mois=MAUVAISE,VLOOKUP("Betterave",AlimentsRationPorcinsMâles[],3,FALSE),0)+(IF(QualitéAlimentsJeuneTruie_6_12_mois=MAUVAISE,VLOOKUP("Betterave",AlimentsRationPorcinsFemelles[],3,FALSE),0)+(IF(QualitéAlimentsVerrat=MAUVAISE,VLOOKUP("Betterave",AlimentsRationPorcinsMâles[],2,FALSE),0)+(IF(QualitéAlimentsTruie=MAUVAISE,VLOOKUP("Betterave",AlimentsRationPorcinsFemelles[],2,FALSE),0))))))))))))</f>
        <v>0</v>
      </c>
      <c r="CN140" s="1321"/>
      <c r="CO140" s="1321"/>
      <c r="CP140" s="1345"/>
      <c r="CQ140" s="1321"/>
      <c r="CR140" s="1321"/>
      <c r="CS140" s="789" t="s">
        <v>1276</v>
      </c>
      <c r="CT140" s="790" t="s">
        <v>1290</v>
      </c>
      <c r="CU140" s="790" t="s">
        <v>1283</v>
      </c>
      <c r="CV140" s="790" t="s">
        <v>1284</v>
      </c>
      <c r="CW140" s="791" t="s">
        <v>1269</v>
      </c>
      <c r="CX140" s="1321"/>
      <c r="CY140" s="1321"/>
      <c r="CZ140" s="789" t="s">
        <v>1276</v>
      </c>
      <c r="DA140" s="790" t="s">
        <v>1295</v>
      </c>
      <c r="DB140" s="790" t="s">
        <v>1296</v>
      </c>
      <c r="DC140" s="790" t="s">
        <v>1284</v>
      </c>
      <c r="DD140" s="791" t="s">
        <v>1269</v>
      </c>
      <c r="DE140" s="1321"/>
      <c r="DF140" s="1321"/>
      <c r="DG140" s="809" t="s">
        <v>1369</v>
      </c>
      <c r="DH140" s="810">
        <f>IF(ChoixPaillagePintades=OUI,SUBTOTAL(109,LitièrePintades[litière]),0)</f>
        <v>0</v>
      </c>
      <c r="DI140" s="1321"/>
      <c r="DJ140" s="1321"/>
      <c r="DK140" s="1321"/>
      <c r="DL140" s="1321"/>
      <c r="DM140" s="1321"/>
      <c r="DN140" s="1176" t="s">
        <v>1134</v>
      </c>
      <c r="DO140" s="1177" t="s">
        <v>672</v>
      </c>
      <c r="DP140" s="1177" t="s">
        <v>1253</v>
      </c>
      <c r="DQ140" s="1177">
        <v>1.6</v>
      </c>
      <c r="DR140" s="1177">
        <v>1.28</v>
      </c>
      <c r="DS140" s="1177">
        <v>0.96</v>
      </c>
      <c r="DT140" s="1191">
        <v>0.8</v>
      </c>
      <c r="DU140" s="1346"/>
      <c r="DV140" s="1321"/>
      <c r="DW140" s="1321"/>
      <c r="DX140" s="1321"/>
      <c r="DY140" s="1321"/>
      <c r="DZ140" s="1321"/>
      <c r="EA140" s="1321"/>
      <c r="EB140" s="1321"/>
      <c r="EC140" s="1321"/>
      <c r="ED140" s="1345"/>
      <c r="EE140" s="1345"/>
      <c r="EF140" s="1321"/>
      <c r="EG140" s="789" t="s">
        <v>1372</v>
      </c>
      <c r="EH140" s="791" t="s">
        <v>159</v>
      </c>
      <c r="EI140" s="1321"/>
      <c r="EJ140" s="1321"/>
      <c r="EK140" s="1345"/>
      <c r="EL140" s="1345"/>
      <c r="EM140" s="1321"/>
      <c r="EN140" s="823" t="s">
        <v>1352</v>
      </c>
      <c r="EO140" s="825">
        <f>EO23*TotalCanardsMalesAdultes*SUM(NbreJoursNourrirAutres)</f>
        <v>0</v>
      </c>
      <c r="EP140" s="1321"/>
      <c r="EQ140" s="1321"/>
      <c r="ER140" s="1345"/>
      <c r="ES140" s="1345"/>
      <c r="ET140" s="1321"/>
      <c r="EU140" s="1082">
        <f t="shared" si="44"/>
        <v>0</v>
      </c>
      <c r="EV140" s="1282">
        <f t="array" ref="EV140">IF(OR(ChoixRationComplèteEtéChevauxSelle=OUI,ChoixRationComplèteEtéChevauxSelle="",AND(ChoixChevauxSellePréHiver=OUI,ChoixChevauxSellePréEté=OUI)),0,IFERROR(IF(OR(AND(INDEX(Règles_chevaux_selle[Specificite],MATCH(RationEtéChevauxSelle&amp;$EU140,Règles_chevaux_selle[Ration]&amp;Règles_chevaux_selle[Aliment],0))="s1",IF($EU140=Spécificité1ChevauxSelle,1)),
AND(INDEX(Règles_chevaux_selle[Specificite],MATCH(RationEtéChevauxSelle&amp;$EU140,Règles_chevaux_selle[Ration]&amp;Règles_chevaux_selle[Aliment],0))="s2",IF($EU140=Spécificité2ChevauxSelle,1)),
INDEX(Règles_chevaux_selle[Specificite],MATCH(RationEtéChevauxSelle&amp;$EU140,Règles_chevaux_selle[Ration]&amp;Règles_chevaux_selle[Aliment],0))="c"),
INDEX(Règles_chevaux_selle[Valeur 36 et plus],MATCH(RationEtéChevauxSelle&amp;$EU140,Règles_chevaux_selle[Ration]&amp;Règles_chevaux_selle[Aliment],0)),0),0)*TotalJumentSelle*SUM(NbreJoursNourrirChevauxSelle))</f>
        <v>0</v>
      </c>
      <c r="EW140" s="1282">
        <f t="array" ref="EW140">IF(OR(ChoixRationComplèteEtéChevauxSelle=OUI,ChoixRationComplèteEtéChevauxSelle="",AND(ChoixChevauxSellePréHiver=OUI,ChoixChevauxSellePréEté=OUI)),0,IFERROR(IF(OR(AND(INDEX(Règles_chevaux_selle[Specificite],MATCH(RationEtéChevauxSelle&amp;$EU140,Règles_chevaux_selle[Ration]&amp;Règles_chevaux_selle[Aliment],0))="s1",IF($EU140=Spécificité1ChevauxSelle,1)),
AND(INDEX(Règles_chevaux_selle[Specificite],MATCH(RationEtéChevauxSelle&amp;$EU140,Règles_chevaux_selle[Ration]&amp;Règles_chevaux_selle[Aliment],0))="s2",IF($EU140=Spécificité2ChevauxSelle,1)),
INDEX(Règles_chevaux_selle[Specificite],MATCH(RationEtéChevauxSelle&amp;$EU140,Règles_chevaux_selle[Ration]&amp;Règles_chevaux_selle[Aliment],0))="c"),
INDEX(Règles_chevaux_selle[Valeur 24-36],MATCH(RationEtéChevauxSelle&amp;$EU140,Règles_chevaux_selle[Ration]&amp;Règles_chevaux_selle[Aliment],0)),0),0)*TotalJeuneJumentSelle_24_36_mois*SUM(NbreJoursNourrirChevauxSelle))</f>
        <v>0</v>
      </c>
      <c r="EX140" s="1282">
        <f t="array" ref="EX140">IF(OR(ChoixRationComplèteEtéChevauxSelle=OUI,ChoixRationComplèteEtéChevauxSelle="",AND(ChoixChevauxSellePréHiver=OUI,ChoixChevauxSellePréEté=OUI)),0,IFERROR(IF(OR(AND(INDEX(Règles_chevaux_selle[Specificite],MATCH(RationEtéChevauxSelle&amp;$EU140,Règles_chevaux_selle[Ration]&amp;Règles_chevaux_selle[Aliment],0))="s1",IF($EU140=Spécificité1ChevauxSelle,1)),
AND(INDEX(Règles_chevaux_selle[Specificite],MATCH(RationEtéChevauxSelle&amp;$EU140,Règles_chevaux_selle[Ration]&amp;Règles_chevaux_selle[Aliment],0))="s2",IF($EU140=Spécificité2ChevauxSelle,1)),
INDEX(Règles_chevaux_selle[Specificite],MATCH(RationEtéChevauxSelle&amp;$EU140,Règles_chevaux_selle[Ration]&amp;Règles_chevaux_selle[Aliment],0))="c"),
INDEX(Règles_chevaux_selle[Valeur 12-24],MATCH(RationEtéChevauxSelle&amp;$EU140,Règles_chevaux_selle[Ration]&amp;Règles_chevaux_selle[Aliment],0)),0),0)*TotalJeuneJumentSelle_12_24_mois*SUM(NbreJoursNourrirChevauxSelle))</f>
        <v>0</v>
      </c>
      <c r="EY140" s="1285">
        <f t="array" ref="EY140">IF(OR(ChoixRationComplèteEtéChevauxSelle=OUI,ChoixRationComplèteEtéChevauxSelle="",AND(ChoixChevauxSellePréHiver=OUI,ChoixChevauxSellePréEté=OUI)),0,IFERROR(IF(OR(AND(INDEX(Règles_chevaux_selle[Specificite],MATCH(RationEtéChevauxSelle&amp;$EU140,Règles_chevaux_selle[Ration]&amp;Règles_chevaux_selle[Aliment],0))="s1",IF($EU140=Spécificité1ChevauxSelle,1)),
AND(INDEX(Règles_chevaux_selle[Specificite],MATCH(RationEtéChevauxSelle&amp;$EU140,Règles_chevaux_selle[Ration]&amp;Règles_chevaux_selle[Aliment],0))="s2",IF($EU140=Spécificité2ChevauxSelle,1)),
INDEX(Règles_chevaux_selle[Specificite],MATCH(RationEtéChevauxSelle&amp;$EU140,Règles_chevaux_selle[Ration]&amp;Règles_chevaux_selle[Aliment],0))="c"),
INDEX(Règles_chevaux_selle[Valeur 0-12],MATCH(RationEtéChevauxSelle&amp;$EU140,Règles_chevaux_selle[Ration]&amp;Règles_chevaux_selle[Aliment],0)),0),0)*TotalPoulicheSelle_0_12_mois*SUM(NbreJoursNourrirChevauxSelle))</f>
        <v>0</v>
      </c>
      <c r="EZ140" s="1285">
        <f t="shared" si="43"/>
        <v>0</v>
      </c>
      <c r="FA140" s="1345"/>
      <c r="FB140" s="1345"/>
      <c r="FC140" s="1321"/>
      <c r="FD140" s="1336" t="s">
        <v>1489</v>
      </c>
      <c r="FE140" s="1336"/>
      <c r="FF140" s="1336"/>
      <c r="FG140" s="1336"/>
      <c r="FH140" s="1336"/>
      <c r="FI140" s="1336"/>
      <c r="FJ140" s="1345"/>
      <c r="FK140" s="1345"/>
      <c r="FL140" s="1345"/>
      <c r="FM140" s="1321"/>
      <c r="FN140" s="1281" t="s">
        <v>1276</v>
      </c>
      <c r="FO140" s="1281" t="s">
        <v>1261</v>
      </c>
      <c r="FP140" s="1281" t="s">
        <v>1260</v>
      </c>
      <c r="FQ140" s="1281" t="s">
        <v>1304</v>
      </c>
      <c r="FR140" s="1284" t="s">
        <v>1303</v>
      </c>
      <c r="FS140" s="1281" t="s">
        <v>1269</v>
      </c>
      <c r="FT140" s="1345"/>
      <c r="FU140" s="1345"/>
      <c r="FV140" s="1345"/>
      <c r="FW140" s="1082" t="str">
        <f t="shared" si="49"/>
        <v>Chanvre</v>
      </c>
      <c r="FX140" s="1282">
        <f t="array" ref="FX140">SUM((IF(QualitéAlimentsGavageOison_0_1_mois=BONNE,VLOOKUP("Chanvre",AlimentsGavageOies[],5,FALSE),0)+(IF(QualitéAlimentsGavageCaneton_0_1_mois=BONNE,VLOOKUP("Chanvre",AlimentsGavageCanards[],5,FALSE),0)+(IF(QualitéAlimentsGavageOison_1_2_mois=BONNE,VLOOKUP("Chanvre",AlimentsGavageOies[],4,FALSE),0)+(IF(QualitéAlimentsGavageCaneton_1_2_mois=BONNE,VLOOKUP("Chanvre",AlimentsGavageCanards[],4,FALSE),0)+(IF(QualitéAlimentsGavageOison_2_3_mois=BONNE,VLOOKUP("Chanvre",AlimentsGavageOies[],3,FALSE),0)+(IF(QualitéAlimentsGavageCaneton_2_3_mois=BONNE,VLOOKUP("Chanvre",AlimentsGavageCanards[],3,FALSE),0)+(IF(QualitéAlimentsGavageJeunesOies=BONNE,VLOOKUP("Chanvre",AlimentsGavageOies[],2,FALSE),0)+(IF(QualitéAlimentsGavageJeuneCanard=BONNE,VLOOKUP("Chanvre",AlimentsGavageCanards[],2,FALSE),0))))))))))</f>
        <v>0</v>
      </c>
      <c r="FY140" s="1282">
        <f t="array" ref="FY140">SUM((IF(QualitéAlimentsGavageOison_0_1_mois=MOYENNE,VLOOKUP("Chanvre",AlimentsGavageOies[],5,FALSE),0)+(IF(QualitéAlimentsGavageCaneton_0_1_mois=MOYENNE,VLOOKUP("Chanvre",AlimentsGavageCanards[],5,FALSE),0)+(IF(QualitéAlimentsGavageOison_1_2_mois=MOYENNE,VLOOKUP("Chanvre",AlimentsGavageOies[],4,FALSE),0)+(IF(QualitéAlimentsGavageCaneton_1_2_mois=MOYENNE,VLOOKUP("Chanvre",AlimentsGavageCanards[],4,FALSE),0)+(IF(QualitéAlimentsGavageOison_2_3_mois=MOYENNE,VLOOKUP("Chanvre",AlimentsGavageOies[],3,FALSE),0)+(IF(QualitéAlimentsGavageCaneton_2_3_mois=MOYENNE,VLOOKUP("Chanvre",AlimentsGavageCanards[],3,FALSE),0)+(IF(QualitéAlimentsGavageJeunesOies=MOYENNE,VLOOKUP("Chanvre",AlimentsGavageOies[],2,FALSE),0)+(IF(QualitéAlimentsGavageJeuneCanard=MOYENNE,VLOOKUP("Chanvre",AlimentsGavageCanards[],2,FALSE),0))))))))))</f>
        <v>0</v>
      </c>
      <c r="FZ140" s="1282">
        <f t="array" ref="FZ140">SUM((IF(QualitéAlimentsGavageOison_0_1_mois=MAUVAISE,VLOOKUP("Chanvre",AlimentsGavageOies[],5,FALSE),0)+(IF(QualitéAlimentsGavageCaneton_0_1_mois=MAUVAISE,VLOOKUP("Chanvre",AlimentsGavageCanards[],5,FALSE),0)+(IF(QualitéAlimentsGavageOison_1_2_mois=MAUVAISE,VLOOKUP("Chanvre",AlimentsGavageOies[],4,FALSE),0)+(IF(QualitéAlimentsGavageCaneton_1_2_mois=MAUVAISE,VLOOKUP("Chanvre",AlimentsGavageCanards[],4,FALSE),0)+(IF(QualitéAlimentsGavageOison_2_3_mois=MAUVAISE,VLOOKUP("Chanvre",AlimentsGavageOies[],3,FALSE),0)+(IF(QualitéAlimentsGavageCaneton_2_3_mois=MAUVAISE,VLOOKUP("Chanvre",AlimentsGavageCanards[],3,FALSE),0)+(IF(QualitéAlimentsGavageJeunesOies=MAUVAISE,VLOOKUP("Chanvre",AlimentsGavageOies[],2,FALSE),0)+(IF(QualitéAlimentsGavageJeuneCanard=MAUVAISE,VLOOKUP("Chanvre",AlimentsGavageCanards[],2,FALSE),0))))))))))</f>
        <v>0</v>
      </c>
      <c r="GA140" s="1345"/>
      <c r="GB140" s="1345"/>
      <c r="GC140" s="1321"/>
      <c r="GD140" s="1321"/>
      <c r="GE140" s="1321"/>
      <c r="GF140" s="1321"/>
      <c r="GG140" s="1321" t="s">
        <v>1349</v>
      </c>
      <c r="GH140" s="1321" t="s">
        <v>1349</v>
      </c>
      <c r="GI140" s="1321" t="s">
        <v>1349</v>
      </c>
      <c r="GJ140" s="1321" t="s">
        <v>1349</v>
      </c>
      <c r="GK140" s="1321" t="s">
        <v>1349</v>
      </c>
      <c r="GL140" s="1321" t="s">
        <v>1349</v>
      </c>
      <c r="GM140" s="1321" t="s">
        <v>1349</v>
      </c>
      <c r="GN140" s="1321" t="s">
        <v>1349</v>
      </c>
      <c r="GO140" s="1321" t="s">
        <v>1349</v>
      </c>
      <c r="GP140" s="1321" t="s">
        <v>1349</v>
      </c>
      <c r="GQ140" s="1321" t="s">
        <v>1349</v>
      </c>
      <c r="GR140" s="1321" t="s">
        <v>1349</v>
      </c>
      <c r="GS140" s="1321" t="s">
        <v>1349</v>
      </c>
      <c r="GT140" s="1321" t="s">
        <v>1349</v>
      </c>
      <c r="GU140" s="1321" t="s">
        <v>1349</v>
      </c>
      <c r="GV140" s="1321" t="s">
        <v>1349</v>
      </c>
      <c r="GW140" s="1321"/>
      <c r="GX140" s="1321"/>
      <c r="GY140" s="1321"/>
      <c r="GZ140" s="1321"/>
      <c r="HA140" s="1321"/>
      <c r="HB140" s="1321"/>
      <c r="HC140" s="1321"/>
      <c r="HD140" s="1321"/>
      <c r="HE140" s="1321"/>
      <c r="HF140" s="1321"/>
      <c r="HG140" s="1321"/>
      <c r="HH140" s="1321"/>
      <c r="HI140" s="1321"/>
      <c r="HJ140" s="1321"/>
      <c r="HK140" s="1321"/>
      <c r="HL140" s="1321"/>
      <c r="HM140" s="1321"/>
      <c r="HN140" s="1321"/>
      <c r="HO140" s="1321"/>
      <c r="HP140" s="1321"/>
      <c r="HQ140" s="1321"/>
      <c r="HR140" s="1321"/>
      <c r="HS140" s="1321"/>
      <c r="HT140" s="1321"/>
      <c r="HU140" s="1321"/>
      <c r="HV140" s="1321"/>
      <c r="HW140" s="1321"/>
      <c r="HX140" s="1321"/>
      <c r="HY140" s="1321"/>
      <c r="HZ140" s="1321"/>
      <c r="IA140" s="1321"/>
      <c r="IB140" s="1321"/>
      <c r="IC140" s="1321"/>
      <c r="ID140" s="1321"/>
      <c r="IE140" s="1321"/>
      <c r="IF140" s="1321"/>
      <c r="IG140" s="1321"/>
      <c r="IH140" s="1321"/>
      <c r="II140" s="1321"/>
      <c r="IJ140" s="1321"/>
      <c r="IK140" s="1321"/>
      <c r="IL140" s="1321"/>
      <c r="IM140" s="1321"/>
      <c r="IN140" s="1368"/>
    </row>
    <row r="141" spans="1:248" ht="12.75" customHeight="1" x14ac:dyDescent="0.2">
      <c r="A141" s="1307" t="s">
        <v>328</v>
      </c>
      <c r="B141" s="1209">
        <v>4</v>
      </c>
      <c r="C141" s="1321"/>
      <c r="D141" s="1321"/>
      <c r="E141" s="1321"/>
      <c r="F141" s="1149" t="s">
        <v>292</v>
      </c>
      <c r="G141" s="1149">
        <v>1</v>
      </c>
      <c r="H141" s="1321"/>
      <c r="I141" s="1075" t="str">
        <f t="shared" si="50"/>
        <v>10-19,99</v>
      </c>
      <c r="J141" s="1080">
        <f>IF(gains!F$4=BDD!O$127,10,IF(gains!F$4=BDD!P$127,20,IF(gains!F$4=BDD!Q$127,30,0)))</f>
        <v>10</v>
      </c>
      <c r="K141" s="1080">
        <f>IF(gains!$G$8=K$127,1,0)</f>
        <v>0</v>
      </c>
      <c r="L141" s="1080">
        <f>IF(gains!$G$8=L$127,2,0)</f>
        <v>0</v>
      </c>
      <c r="M141" s="1080">
        <f>IF(gains!$G$8=M$127,3,0)</f>
        <v>0</v>
      </c>
      <c r="N141" s="1080">
        <f>IF(gains!$G$8=N$127,4,0)</f>
        <v>0</v>
      </c>
      <c r="O141" s="1080">
        <f>IF(AND(J141=10,SUM(K141:N141)=1),gains!$F$39,IF(AND(J141=10,SUM(K141:N141)=2),gains!$F$39*2,IF(AND(J141=10,SUM(K141:N141)=3),gains!$F$39*3,IF(AND(J141=10,SUM(K141:N141)=4),gains!$F$39*4,0))))</f>
        <v>0</v>
      </c>
      <c r="P141" s="1080">
        <f>IF(AND(J141=20,SUM(K141:N141)=1),gains!$F$39*7,IF(AND(J141=20,SUM(K141:N141)=2),gains!$F$39*7*2,IF(AND(J141=20,SUM(K141:N141)=3),gains!$F$39*7*3,IF(AND(J141=20,SUM(K141:N141)=4),gains!$F$39*7*4,0))))</f>
        <v>0</v>
      </c>
      <c r="Q141" s="1080">
        <f>IF(AND(J141=30,SUM(K141:N141)=1),gains!$F$39*7*12,IF(AND(J141=30,SUM(K141:N141)=2),gains!$F$39*7*12*2,IF(AND(J141=30,SUM(K141:N141)=3),gains!$F$39*7*12*3,IF(AND(J141=30,SUM(K141:N141)=4),gains!$F$39*7*12*4,0))))</f>
        <v>0</v>
      </c>
      <c r="R141" s="1321"/>
      <c r="S141" s="1321"/>
      <c r="T141" s="1321"/>
      <c r="U141" s="1321"/>
      <c r="V141" s="1321"/>
      <c r="W141" s="1321"/>
      <c r="X141" s="1321"/>
      <c r="Y141" s="1321"/>
      <c r="Z141" s="1321"/>
      <c r="AA141" s="1321"/>
      <c r="AB141" s="1321"/>
      <c r="AC141" s="1321"/>
      <c r="AD141" s="1321"/>
      <c r="AE141" s="1321"/>
      <c r="AF141" s="1321"/>
      <c r="AG141" s="1321"/>
      <c r="AH141" s="1321"/>
      <c r="AI141" s="1321"/>
      <c r="AJ141" s="1321"/>
      <c r="AK141" s="1321"/>
      <c r="AL141" s="1321"/>
      <c r="AM141" s="1321"/>
      <c r="AN141" s="1321"/>
      <c r="AO141" s="1321"/>
      <c r="AP141" s="1321"/>
      <c r="AQ141" s="1321"/>
      <c r="AR141" s="1321"/>
      <c r="AS141" s="1321"/>
      <c r="AT141" s="1321"/>
      <c r="AU141" s="1321"/>
      <c r="AV141" s="1321"/>
      <c r="AW141" s="1321"/>
      <c r="AX141" s="1321"/>
      <c r="AY141" s="1321"/>
      <c r="AZ141" s="1321"/>
      <c r="BA141" s="1321"/>
      <c r="BB141" s="1236" t="s">
        <v>732</v>
      </c>
      <c r="BC141" s="1190" t="s">
        <v>715</v>
      </c>
      <c r="BD141" s="1190" t="s">
        <v>1254</v>
      </c>
      <c r="BE141" s="1237">
        <v>4.8</v>
      </c>
      <c r="BF141" s="1237">
        <v>4</v>
      </c>
      <c r="BG141" s="1237">
        <v>4</v>
      </c>
      <c r="BH141" s="1237">
        <v>4</v>
      </c>
      <c r="BI141" s="1237">
        <v>2</v>
      </c>
      <c r="BJ141" s="1237">
        <v>1.2</v>
      </c>
      <c r="BK141" s="1238">
        <v>0</v>
      </c>
      <c r="BL141" s="1348"/>
      <c r="BM141" s="1075" t="str">
        <f t="shared" si="47"/>
        <v>Soja</v>
      </c>
      <c r="BN141" s="1269">
        <f t="array" ref="BN141">SUM((IF(QualitéAlimentsBisonneauxMâles_0_3_mois=BONNE,VLOOKUP("Soja",AlimentsRationHivernaleBisonsMâles,8,FALSE),0)+(IF(QualitéAlimentsBisonneauxFemelles_0_3_mois=BONNE,VLOOKUP("Soja",AlimentsRationHivernaleBisonsFemelles,8,FALSE),0)+(IF(QualitéAlimentsBisonneauxMâles_3_6_mois=BONNE,VLOOKUP("Soja",AlimentsRationHivernaleBisonsMâles,7,FALSE),0)+(IF(QualitéAlimentsBisonneauxFemelles_3_6_mois=BONNE,VLOOKUP("Soja",AlimentsRationHivernaleBisonsFemelles,7,FALSE),0)+(IF(QualitéAlimentsBisonneauxMâles_6_12_mois=BONNE,VLOOKUP("Soja",AlimentsRationHivernaleBisonsMâles,6,FALSE),0)+(IF(QualitéAlimentsBisonneauxFemelles_6_12_mois=BONNE,VLOOKUP("Soja",AlimentsRationHivernaleBisonsFemelles,6,FALSE),0)+(IF(QualitéAlimentsJeunesBisons_12_18_mois=BONNE,VLOOKUP("Soja",AlimentsRationHivernaleBisonsMâles,5,FALSE),0)+(IF(QualitéAlimentsJeunesBisonnes_12_18_mois=BONNE,VLOOKUP("Soja",AlimentsRationHivernaleBisonsFemelles,5,FALSE),0)+(IF(QualitéAlimentsJeunesBisons_18_24_mois=BONNE,VLOOKUP("Soja",AlimentsRationHivernaleBisonsMâles,4,FALSE),0)+(IF(QualitéAlimentsJeunesBisonnes_18_24_mois=BONNE,VLOOKUP("Soja",AlimentsRationHivernaleBisonsFemelles,4,FALSE),0)+(IF(QualitéAlimentsJeunesBisons_24_36_mois=BONNE,VLOOKUP("Soja",AlimentsRationHivernaleBisonsMâles,3,FALSE),0)+(IF(QualitéAlimentsJeunesBisonnes_24_36_mois=BONNE,VLOOKUP("Soja",AlimentsRationHivernaleBisonsFemelles,3,FALSE),0)+(IF(QualitéAlimentsBisons=BONNE,VLOOKUP("Soja",AlimentsRationHivernaleBisonsMâles,2,FALSE),0)+(IF(QualitéAlimentsBisonnes=BONNE,VLOOKUP("Soja",AlimentsRationHivernaleBisonsFemelles,2,FALSE),0))))))))))))))))</f>
        <v>0</v>
      </c>
      <c r="BO141" s="1269">
        <f t="array" ref="BO141">SUM((IF(QualitéAlimentsBisonneauxMâles_0_3_mois=MOYENNE,VLOOKUP("Soja",AlimentsRationHivernaleBisonsMâles,8,FALSE),0)+(IF(QualitéAlimentsBisonneauxFemelles_0_3_mois=MOYENNE,VLOOKUP("Soja",AlimentsRationHivernaleBisonsFemelles,8,FALSE),0)+(IF(QualitéAlimentsBisonneauxMâles_3_6_mois=MOYENNE,VLOOKUP("Soja",AlimentsRationHivernaleBisonsMâles,7,FALSE),0)+(IF(QualitéAlimentsBisonneauxFemelles_3_6_mois=MOYENNE,VLOOKUP("Soja",AlimentsRationHivernaleBisonsFemelles,7,FALSE),0)+(IF(QualitéAlimentsBisonneauxMâles_6_12_mois=MOYENNE,VLOOKUP("Soja",AlimentsRationHivernaleBisonsMâles,6,FALSE),0)+(IF(QualitéAlimentsBisonneauxFemelles_6_12_mois=MOYENNE,VLOOKUP("Soja",AlimentsRationHivernaleBisonsFemelles,6,FALSE),0)+(IF(QualitéAlimentsJeunesBisons_12_18_mois=MOYENNE,VLOOKUP("Soja",AlimentsRationHivernaleBisonsMâles,5,FALSE),0)+(IF(QualitéAlimentsJeunesBisonnes_12_18_mois=MOYENNE,VLOOKUP("Soja",AlimentsRationHivernaleBisonsFemelles,5,FALSE),0)+(IF(QualitéAlimentsJeunesBisons_18_24_mois=MOYENNE,VLOOKUP("Soja",AlimentsRationHivernaleBisonsMâles,4,FALSE),0)+(IF(QualitéAlimentsJeunesBisonnes_18_24_mois=MOYENNE,VLOOKUP("Soja",AlimentsRationHivernaleBisonsFemelles,4,FALSE),0)+(IF(QualitéAlimentsJeunesBisons_24_36_mois=MOYENNE,VLOOKUP("Soja",AlimentsRationHivernaleBisonsMâles,3,FALSE),0)+(IF(QualitéAlimentsJeunesBisonnes_24_36_mois=MOYENNE,VLOOKUP("Soja",AlimentsRationHivernaleBisonsFemelles,3,FALSE),0)+(IF(QualitéAlimentsBisons=MOYENNE,VLOOKUP("Soja",AlimentsRationHivernaleBisonsMâles,2,FALSE),0)+(IF(QualitéAlimentsBisonnes=MOYENNE,VLOOKUP("Soja",AlimentsRationHivernaleBisonsFemelles,2,FALSE),0))))))))))))))))</f>
        <v>0</v>
      </c>
      <c r="BP141" s="1269">
        <f t="array" ref="BP141">SUM((IF(QualitéAlimentsBisonneauxMâles_0_3_mois=MAUVAISE,VLOOKUP("Soja",AlimentsRationHivernaleBisonsMâles,8,FALSE),0)+(IF(QualitéAlimentsBisonneauxFemelles_0_3_mois=MAUVAISE,VLOOKUP("Soja",AlimentsRationHivernaleBisonsFemelles,8,FALSE),0)+(IF(QualitéAlimentsBisonneauxMâles_3_6_mois=MAUVAISE,VLOOKUP("Soja",AlimentsRationHivernaleBisonsMâles,7,FALSE),0)+(IF(QualitéAlimentsBisonneauxFemelles_3_6_mois=MAUVAISE,VLOOKUP("Soja",AlimentsRationHivernaleBisonsFemelles,7,FALSE),0)+(IF(QualitéAlimentsBisonneauxMâles_6_12_mois=MAUVAISE,VLOOKUP("Soja",AlimentsRationHivernaleBisonsMâles,6,FALSE),0)+(IF(QualitéAlimentsBisonneauxFemelles_6_12_mois=MAUVAISE,VLOOKUP("Soja",AlimentsRationHivernaleBisonsFemelles,6,FALSE),0)+(IF(QualitéAlimentsJeunesBisons_12_18_mois=MAUVAISE,VLOOKUP("Soja",AlimentsRationHivernaleBisonsMâles,5,FALSE),0)+(IF(QualitéAlimentsJeunesBisonnes_12_18_mois=MAUVAISE,VLOOKUP("Soja",AlimentsRationHivernaleBisonsFemelles,5,FALSE),0)+(IF(QualitéAlimentsJeunesBisons_18_24_mois=MAUVAISE,VLOOKUP("Soja",AlimentsRationHivernaleBisonsMâles,4,FALSE),0)+(IF(QualitéAlimentsJeunesBisonnes_18_24_mois=MAUVAISE,VLOOKUP("Soja",AlimentsRationHivernaleBisonsFemelles,4,FALSE),0)+(IF(QualitéAlimentsJeunesBisons_24_36_mois=MAUVAISE,VLOOKUP("Soja",AlimentsRationHivernaleBisonsMâles,3,FALSE),0)+(IF(QualitéAlimentsJeunesBisonnes_24_36_mois=MAUVAISE,VLOOKUP("Soja",AlimentsRationHivernaleBisonsFemelles,3,FALSE),0)+(IF(QualitéAlimentsBisons=MAUVAISE,VLOOKUP("Soja",AlimentsRationHivernaleBisonsMâles,2,FALSE),0)+(IF(QualitéAlimentsBisonnes=MAUVAISE,VLOOKUP("Soja",AlimentsRationHivernaleBisonsFemelles,2,FALSE),0))))))))))))))))</f>
        <v>0</v>
      </c>
      <c r="BQ141" s="1346"/>
      <c r="BR141" s="1346"/>
      <c r="BS141" s="1346"/>
      <c r="BT141" s="1346"/>
      <c r="BU141" s="1346"/>
      <c r="BV141" s="1345"/>
      <c r="BW141" s="1345"/>
      <c r="BX141" s="1336"/>
      <c r="BY141" s="1336"/>
      <c r="BZ141" s="1336"/>
      <c r="CA141" s="1336"/>
      <c r="CB141" s="1359"/>
      <c r="CC141" s="1359"/>
      <c r="CD141" s="1345"/>
      <c r="CE141" s="1345"/>
      <c r="CF141" s="1345"/>
      <c r="CG141" s="1345"/>
      <c r="CH141" s="1345"/>
      <c r="CI141" s="1321"/>
      <c r="CJ141" s="1076" t="str">
        <f t="shared" si="51"/>
        <v>Blé</v>
      </c>
      <c r="CK141" s="1267">
        <f t="array" ref="CK141">SUM((IF(QualitéAlimentsPorceletMâle_0_1_mois=BONNE,VLOOKUP("Blé",AlimentsRationPorcinsMâles[],6,FALSE),0)+(IF(QualitéAlimentsPorceletFemelle_0_1_mois=BONNE,VLOOKUP("Blé",AlimentsRationPorcinsFemelles[],6,FALSE),0)+(IF(QualitéAlimentsPorceletMâle_1_3_mois=BONNE,VLOOKUP("Blé",AlimentsRationPorcinsMâles[],5,FALSE),0)+(IF(QualitéAlimentsPorceletFemelle_1_3_mois=BONNE,VLOOKUP("Blé",AlimentsRationPorcinsFemelles[],5,FALSE),0)+(IF(QualitéAlimentsJeuneVerrat_3_6_mois=BONNE,VLOOKUP("Blé",AlimentsRationPorcinsMâles[],4,FALSE),0)+(IF(QualitéAlimentsJeuneTruie_3_6_mois=BONNE,VLOOKUP("Blé",AlimentsRationPorcinsFemelles[],4,FALSE),0)+(IF(QualitéAlimentsJeuneVerrat_6_12_mois=BONNE,VLOOKUP("Blé",AlimentsRationPorcinsMâles[],3,FALSE),0)+(IF(QualitéAlimentsJeuneTruie_6_12_mois=BONNE,VLOOKUP("Blé",AlimentsRationPorcinsFemelles[],3,FALSE),0)+(IF(QualitéAlimentsVerrat=BONNE,VLOOKUP("Blé",AlimentsRationPorcinsMâles[],2,FALSE),0)+(IF(QualitéAlimentsTruie=BONNE,VLOOKUP("Blé",AlimentsRationPorcinsFemelles[],2,FALSE),0))))))))))))</f>
        <v>0</v>
      </c>
      <c r="CL141" s="1267">
        <f t="array" ref="CL141">SUM((IF(QualitéAlimentsPorceletMâle_0_1_mois=MOYENNE,VLOOKUP("Blé",AlimentsRationPorcinsMâles[],6,FALSE),0)+(IF(QualitéAlimentsPorceletFemelle_0_1_mois=MOYENNE,VLOOKUP("Blé",AlimentsRationPorcinsFemelles[],6,FALSE),0)+(IF(QualitéAlimentsPorceletMâle_1_3_mois=MOYENNE,VLOOKUP("Blé",AlimentsRationPorcinsMâles[],5,FALSE),0)+(IF(QualitéAlimentsPorceletFemelle_1_3_mois=MOYENNE,VLOOKUP("Blé",AlimentsRationPorcinsFemelles[],5,FALSE),0)+(IF(QualitéAlimentsJeuneVerrat_3_6_mois=MOYENNE,VLOOKUP("Blé",AlimentsRationPorcinsMâles[],4,FALSE),0)+(IF(QualitéAlimentsJeuneTruie_3_6_mois=MOYENNE,VLOOKUP("Blé",AlimentsRationPorcinsFemelles[],4,FALSE),0)+(IF(QualitéAlimentsJeuneVerrat_6_12_mois=MOYENNE,VLOOKUP("Blé",AlimentsRationPorcinsMâles[],3,FALSE),0)+(IF(QualitéAlimentsJeuneTruie_6_12_mois=MOYENNE,VLOOKUP("Blé",AlimentsRationPorcinsFemelles[],3,FALSE),0)+(IF(QualitéAlimentsVerrat=MOYENNE,VLOOKUP("Blé",AlimentsRationPorcinsMâles[],2,FALSE),0)+(IF(QualitéAlimentsTruie=MOYENNE,VLOOKUP("Blé",AlimentsRationPorcinsFemelles[],2,FALSE),0))))))))))))</f>
        <v>0</v>
      </c>
      <c r="CM141" s="1267">
        <f t="array" ref="CM141">SUM((IF(QualitéAlimentsPorceletMâle_0_1_mois=MAUVAISE,VLOOKUP("Blé",AlimentsRationPorcinsMâles[],6,FALSE),0)+(IF(QualitéAlimentsPorceletFemelle_0_1_mois=MAUVAISE,VLOOKUP("Blé",AlimentsRationPorcinsFemelles[],6,FALSE),0)+(IF(QualitéAlimentsPorceletMâle_1_3_mois=MAUVAISE,VLOOKUP("Blé",AlimentsRationPorcinsMâles[],5,FALSE),0)+(IF(QualitéAlimentsPorceletFemelle_1_3_mois=MAUVAISE,VLOOKUP("Blé",AlimentsRationPorcinsFemelles[],5,FALSE),0)+(IF(QualitéAlimentsJeuneVerrat_3_6_mois=MAUVAISE,VLOOKUP("Blé",AlimentsRationPorcinsMâles[],4,FALSE),0)+(IF(QualitéAlimentsJeuneTruie_3_6_mois=MAUVAISE,VLOOKUP("Blé",AlimentsRationPorcinsFemelles[],4,FALSE),0)+(IF(QualitéAlimentsJeuneVerrat_6_12_mois=MAUVAISE,VLOOKUP("Blé",AlimentsRationPorcinsMâles[],3,FALSE),0)+(IF(QualitéAlimentsJeuneTruie_6_12_mois=MAUVAISE,VLOOKUP("Blé",AlimentsRationPorcinsFemelles[],3,FALSE),0)+(IF(QualitéAlimentsVerrat=MAUVAISE,VLOOKUP("Blé",AlimentsRationPorcinsMâles[],2,FALSE),0)+(IF(QualitéAlimentsTruie=MAUVAISE,VLOOKUP("Blé",AlimentsRationPorcinsFemelles[],2,FALSE),0))))))))))))</f>
        <v>0</v>
      </c>
      <c r="CN141" s="1320"/>
      <c r="CO141" s="1321"/>
      <c r="CP141" s="1345"/>
      <c r="CQ141" s="1321"/>
      <c r="CR141" s="1321"/>
      <c r="CS141" s="792" t="s">
        <v>723</v>
      </c>
      <c r="CT141" s="793">
        <f t="array" ref="CT141">IF(ChoixRationComplèteLapins=NON,0,IFERROR(IF(OR(AND(INDEX(Règles_lapins[Specificite],MATCH(ChoixRationLapins&amp;Ration_complète_lapins[aliment],Règles_lapins[Ration]&amp;Règles_lapins[Aliment],0))="s1",IF(Ration_complète_lapins[aliment]=Spécificité1Lapins,1)),
AND(INDEX(Règles_lapins[Specificite],MATCH(ChoixRationLapins&amp;Ration_complète_lapins[aliment],Règles_lapins[Ration]&amp;Règles_lapins[Aliment],0))="s2",IF(Ration_complète_lapins[aliment]=Spécificité2Lapins,1)),
INDEX(Règles_lapins[Specificite],MATCH(ChoixRationLapins&amp;Ration_complète_lapins[aliment],Règles_lapins[Ration]&amp;Règles_lapins[Aliment],0))="c",INDEX(Règles_lapins[Specificite],MATCH(ChoixRationLapins&amp;Ration_complète_lapins[aliment],Règles_lapins[Ration]&amp;Règles_lapins[Aliment],0))="complet"),
INDEX(Règles_lapins[Valeur 3 et plus],MATCH(ChoixRationLapins&amp;Ration_complète_lapins[aliment],Règles_lapins[Ration]&amp;Règles_lapins[Aliment],0)),0),0)*SUM(TotalLapinsAdultes)*SUM(Z76:Z100))</f>
        <v>0</v>
      </c>
      <c r="CU141" s="793">
        <f t="array" ref="CU141">IF(ChoixRationComplèteLapins=NON,0,IFERROR(IF(OR(AND(INDEX(Règles_lapins[Specificite],MATCH(ChoixRationLapins&amp;Ration_complète_lapins[aliment],Règles_lapins[Ration]&amp;Règles_lapins[Aliment],0))="s1",IF(Ration_complète_lapins[aliment]=Spécificité1Lapins,1)),
AND(INDEX(Règles_lapins[Specificite],MATCH(ChoixRationLapins&amp;Ration_complète_lapins[aliment],Règles_lapins[Ration]&amp;Règles_lapins[Aliment],0))="s2",IF(Ration_complète_lapins[aliment]=Spécificité2Lapins,1)),
INDEX(Règles_lapins[Specificite],MATCH(ChoixRationLapins&amp;Ration_complète_lapins[aliment],Règles_lapins[Ration]&amp;Règles_lapins[Aliment],0))="c",INDEX(Règles_lapins[Specificite],MATCH(ChoixRationLapins&amp;Ration_complète_lapins[aliment],Règles_lapins[Ration]&amp;Règles_lapins[Aliment],0))="complet"),
INDEX(Règles_lapins[Valeur 1-3],MATCH(ChoixRationLapins&amp;Ration_complète_lapins[aliment],Règles_lapins[Ration]&amp;Règles_lapins[Aliment],0)),0),0)*SUM(TotalJeunesLapins)*SUM(Z76:Z100))</f>
        <v>0</v>
      </c>
      <c r="CV141" s="793">
        <f t="array" ref="CV141">IF(ChoixRationComplèteLapins=NON,0,IFERROR(IF(OR(AND(INDEX(Règles_lapins[Specificite],MATCH(ChoixRationLapins&amp;Ration_complète_lapins[aliment],Règles_lapins[Ration]&amp;Règles_lapins[Aliment],0))="s1",IF(Ration_complète_lapins[aliment]=Spécificité1Lapins,1)),
AND(INDEX(Règles_lapins[Specificite],MATCH(ChoixRationLapins&amp;Ration_complète_lapins[aliment],Règles_lapins[Ration]&amp;Règles_lapins[Aliment],0))="s2",IF(Ration_complète_lapins[aliment]=Spécificité2Lapins,1)),
INDEX(Règles_lapins[Specificite],MATCH(ChoixRationLapins&amp;Ration_complète_lapins[aliment],Règles_lapins[Ration]&amp;Règles_lapins[Aliment],0))="c",INDEX(Règles_lapins[Specificite],MATCH(ChoixRationLapins&amp;Ration_complète_lapins[aliment],Règles_lapins[Ration]&amp;Règles_lapins[Aliment],0))="complet"),
INDEX(Règles_lapins[Valeur 0-1],MATCH(ChoixRationLapins&amp;Ration_complète_lapins[aliment],Règles_lapins[Ration]&amp;Règles_lapins[Aliment],0)),0),0)*SUM(TotalLapereaux)*SUM(Z76:Z100))</f>
        <v>0</v>
      </c>
      <c r="CW141" s="820">
        <f>SUM(Ration_complète_lapins[[Valeur 3 et plus]:[Valeur 0-1]])</f>
        <v>0</v>
      </c>
      <c r="CX141" s="1321"/>
      <c r="CY141" s="1321"/>
      <c r="CZ141" s="792" t="s">
        <v>723</v>
      </c>
      <c r="DA141" s="793">
        <f t="array" ref="DA141">IF(ChoixRationComplètePoules=NON,0,IFERROR(IF(OR(AND(INDEX(Règles_volailles[Specificite],MATCH(ChoixRationVolailles&amp;Ration_complète_volailles[aliment],Règles_volailles[Ration]&amp;Règles_volailles[Aliment],0))="s1",IF(Ration_complète_volailles[aliment]=Spécificité1Volailles,1)),
AND(INDEX(Règles_volailles[Specificite],MATCH(ChoixRationVolailles&amp;Ration_complète_volailles[aliment],Règles_volailles[Ration]&amp;Règles_volailles[Aliment],0))="s2",IF(Ration_complète_volailles[aliment]=Spécificité2Volailles,1)),
INDEX(Règles_volailles[Specificite],MATCH(ChoixRationVolailles&amp;Ration_complète_volailles[aliment],Règles_volailles[Ration]&amp;Règles_volailles[Aliment],0))="c",INDEX(Règles_volailles[Specificite],MATCH(ChoixRationVolailles&amp;Ration_complète_volailles[aliment],Règles_volailles[Ration]&amp;Règles_volailles[Aliment],0))="complet"),
INDEX(Règles_volailles[Valeur 6 et plus],MATCH(ChoixRationVolailles&amp;Ration_complète_volailles[aliment],Règles_volailles[Ration]&amp;Règles_volailles[Aliment],0)),0),0)*SUM(TotalVolailleAdulte)*SUM(Z76:Z100))</f>
        <v>0</v>
      </c>
      <c r="DB141" s="793">
        <f t="array" ref="DB141">IF(ChoixRationComplètePoules=NON,0,IFERROR(IF(OR(AND(INDEX(Règles_volailles[Specificite],MATCH(ChoixRationVolailles&amp;Ration_complète_volailles[aliment],Règles_volailles[Ration]&amp;Règles_volailles[Aliment],0))="s1",IF(Ration_complète_volailles[aliment]=Spécificité1Volailles,1)),
AND(INDEX(Règles_volailles[Specificite],MATCH(ChoixRationVolailles&amp;Ration_complète_volailles[aliment],Règles_volailles[Ration]&amp;Règles_volailles[Aliment],0))="s2",IF(Ration_complète_volailles[aliment]=Spécificité2Volailles,1)),
INDEX(Règles_volailles[Specificite],MATCH(ChoixRationVolailles&amp;Ration_complète_volailles[aliment],Règles_volailles[Ration]&amp;Règles_volailles[Aliment],0))="c",INDEX(Règles_volailles[Specificite],MATCH(ChoixRationVolailles&amp;Ration_complète_volailles[aliment],Règles_volailles[Ration]&amp;Règles_volailles[Aliment],0))="complet"),
INDEX(Règles_volailles[Valeur 1-6],MATCH(ChoixRationVolailles&amp;Ration_complète_volailles[aliment],Règles_volailles[Ration]&amp;Règles_volailles[Aliment],0)),0),0)*SUM(TotalJeuneVolaille)*SUM(Z76:Z100))</f>
        <v>0</v>
      </c>
      <c r="DC141" s="793">
        <f t="array" ref="DC141">IF(ChoixRationComplètePoules=NON,0,IFERROR(IF(OR(AND(INDEX(Règles_volailles[Specificite],MATCH(ChoixRationVolailles&amp;Ration_complète_volailles[aliment],Règles_volailles[Ration]&amp;Règles_volailles[Aliment],0))="s1",IF(Ration_complète_volailles[aliment]=Spécificité1Volailles,1)),
AND(INDEX(Règles_volailles[Specificite],MATCH(ChoixRationVolailles&amp;Ration_complète_volailles[aliment],Règles_volailles[Ration]&amp;Règles_volailles[Aliment],0))="s2",IF(Ration_complète_volailles[aliment]=Spécificité2Volailles,1)),
INDEX(Règles_volailles[Specificite],MATCH(ChoixRationVolailles&amp;Ration_complète_volailles[aliment],Règles_volailles[Ration]&amp;Règles_volailles[Aliment],0))="c",INDEX(Règles_volailles[Specificite],MATCH(ChoixRationVolailles&amp;Ration_complète_volailles[aliment],Règles_volailles[Ration]&amp;Règles_volailles[Aliment],0))="complet"),
INDEX(Règles_volailles[Valeur 0-1],MATCH(ChoixRationVolailles&amp;Ration_complète_volailles[aliment],Règles_volailles[Ration]&amp;Règles_volailles[Aliment],0)),0),0)*SUM(TotalPoussins)*SUM(Z76:Z100))</f>
        <v>0</v>
      </c>
      <c r="DD141" s="820">
        <f>SUM(Ration_complète_volailles[[Valeur 6 et plus]:[Valeur 0-1]])</f>
        <v>0</v>
      </c>
      <c r="DE141" s="1321"/>
      <c r="DF141" s="1321"/>
      <c r="DG141" s="1321"/>
      <c r="DH141" s="1321"/>
      <c r="DI141" s="1321"/>
      <c r="DJ141" s="1321"/>
      <c r="DK141" s="1321"/>
      <c r="DL141" s="1321"/>
      <c r="DM141" s="1321"/>
      <c r="DN141" s="1176" t="s">
        <v>1134</v>
      </c>
      <c r="DO141" s="1177" t="s">
        <v>285</v>
      </c>
      <c r="DP141" s="1177" t="s">
        <v>1253</v>
      </c>
      <c r="DQ141" s="1177">
        <v>1.6</v>
      </c>
      <c r="DR141" s="1177">
        <v>1.28</v>
      </c>
      <c r="DS141" s="1177">
        <v>0.96</v>
      </c>
      <c r="DT141" s="1191">
        <v>0.8</v>
      </c>
      <c r="DU141" s="1346"/>
      <c r="DV141" s="1321"/>
      <c r="DW141" s="1321"/>
      <c r="DX141" s="1321"/>
      <c r="DY141" s="1321"/>
      <c r="DZ141" s="1321"/>
      <c r="EA141" s="1321"/>
      <c r="EB141" s="1321"/>
      <c r="EC141" s="1321"/>
      <c r="ED141" s="1345"/>
      <c r="EE141" s="1345"/>
      <c r="EF141" s="1321"/>
      <c r="EG141" s="808" t="s">
        <v>897</v>
      </c>
      <c r="EH141" s="803">
        <f>EH24*TotalJars*SUM(NbreJoursNourrirAutres)</f>
        <v>0</v>
      </c>
      <c r="EI141" s="1321"/>
      <c r="EJ141" s="1321"/>
      <c r="EK141" s="1345"/>
      <c r="EL141" s="1345"/>
      <c r="EM141" s="1321"/>
      <c r="EN141" s="823" t="s">
        <v>1353</v>
      </c>
      <c r="EO141" s="825">
        <f>EO24*TotalCanes*SUM(NbreJoursNourrirAutres)</f>
        <v>0</v>
      </c>
      <c r="EP141" s="1321"/>
      <c r="EQ141" s="1321"/>
      <c r="ER141" s="1345"/>
      <c r="ES141" s="1345"/>
      <c r="ET141" s="1321"/>
      <c r="EU141" s="1336"/>
      <c r="EV141" s="1336"/>
      <c r="EW141" s="1336"/>
      <c r="EX141" s="1336"/>
      <c r="EY141" s="1336"/>
      <c r="EZ141" s="1336"/>
      <c r="FA141" s="1345"/>
      <c r="FB141" s="1345"/>
      <c r="FC141" s="1321"/>
      <c r="FD141" s="1281" t="s">
        <v>1276</v>
      </c>
      <c r="FE141" s="1281" t="s">
        <v>1261</v>
      </c>
      <c r="FF141" s="1281" t="s">
        <v>1260</v>
      </c>
      <c r="FG141" s="1281" t="s">
        <v>1304</v>
      </c>
      <c r="FH141" s="1284" t="s">
        <v>1303</v>
      </c>
      <c r="FI141" s="1281" t="s">
        <v>1269</v>
      </c>
      <c r="FJ141" s="1345"/>
      <c r="FK141" s="1345"/>
      <c r="FL141" s="1345"/>
      <c r="FM141" s="1321"/>
      <c r="FN141" s="1082" t="str">
        <f>FN53</f>
        <v>Avoine</v>
      </c>
      <c r="FO141" s="1282">
        <f t="array" ref="FO141">IF(OR(ChoixRationHivernaleComplètePoneys=OUI,ChoixRationHivernaleComplètePoneys="",ChoixPoneysPréHiver=NON),0,IFERROR(IF(OR(AND(INDEX(Règles_poneys[Specificite],MATCH(RationHivernaleAuPréPoneys&amp;$FN141,Règles_poneys[Ration]&amp;Règles_poneys[Aliment],0))="s1",IF($FN141=Spécificité1Poneys,1)),
AND(INDEX(Règles_poneys[Specificite],MATCH(RationHivernaleAuPréPoneys&amp;$FN141,Règles_poneys[Ration]&amp;Règles_poneys[Aliment],0))="s2",IF($FN141=Spécificité2Poneys,1)),
INDEX(Règles_poneys[Specificite],MATCH(RationHivernaleAuPréPoneys&amp;$FN141,Règles_poneys[Ration]&amp;Règles_poneys[Aliment],0))="c"),
INDEX(Règles_poneys[Valeur 36 et plus],MATCH(RationHivernaleAuPréPoneys&amp;$FN141,Règles_poneys[Ration]&amp;Règles_poneys[Aliment],0)),0),0)*SUM(TotalPoneysAdultes)*21)</f>
        <v>0</v>
      </c>
      <c r="FP141" s="1282">
        <f t="array" ref="FP141">IF(OR(ChoixRationHivernaleComplètePoneys=OUI,ChoixRationHivernaleComplètePoneys="",ChoixPoneysPréHiver=NON),0,IFERROR(IF(OR(AND(INDEX(Règles_poneys[Specificite],MATCH(RationHivernaleAuPréPoneys&amp;$FN141,Règles_poneys[Ration]&amp;Règles_poneys[Aliment],0))="s1",IF($FN141=Spécificité1Poneys,1)),
AND(INDEX(Règles_poneys[Specificite],MATCH(RationHivernaleAuPréPoneys&amp;$FN141,Règles_poneys[Ration]&amp;Règles_poneys[Aliment],0))="s2",IF($FN141=Spécificité2Poneys,1)),
INDEX(Règles_poneys[Specificite],MATCH(RationHivernaleAuPréPoneys&amp;$FN141,Règles_poneys[Ration]&amp;Règles_poneys[Aliment],0))="c"),
INDEX(Règles_poneys[Valeur 24-36],MATCH(RationHivernaleAuPréPoneys&amp;$FN141,Règles_poneys[Ration]&amp;Règles_poneys[Aliment],0)),0),0)*SUM(TotalPoneys_24_36mois)*21)</f>
        <v>0</v>
      </c>
      <c r="FQ141" s="1282">
        <f t="array" ref="FQ141">IF(OR(ChoixRationHivernaleComplètePoneys=OUI,ChoixRationHivernaleComplètePoneys="",ChoixPoneysPréHiver=NON),0,IFERROR(IF(OR(AND(INDEX(Règles_poneys[Specificite],MATCH(RationHivernaleAuPréPoneys&amp;$FN141,Règles_poneys[Ration]&amp;Règles_poneys[Aliment],0))="s1",IF($FN141=Spécificité1Poneys,1)),
AND(INDEX(Règles_poneys[Specificite],MATCH(RationHivernaleAuPréPoneys&amp;$FN141,Règles_poneys[Ration]&amp;Règles_poneys[Aliment],0))="s2",IF($FN141=Spécificité2Poneys,1)),
INDEX(Règles_poneys[Specificite],MATCH(RationHivernaleAuPréPoneys&amp;$FN141,Règles_poneys[Ration]&amp;Règles_poneys[Aliment],0))="c"),
INDEX(Règles_poneys[Valeur 12-24],MATCH(RationHivernaleAuPréPoneys&amp;$FN141,Règles_poneys[Ration]&amp;Règles_poneys[Aliment],0)),0),0)*SUM(TotalPoneys_12_24mois)*21)</f>
        <v>0</v>
      </c>
      <c r="FR141" s="1282">
        <f t="array" ref="FR141">IF(OR(ChoixRationHivernaleComplètePoneys=OUI,ChoixRationHivernaleComplètePoneys="",ChoixPoneysPréHiver=NON),0,IFERROR(IF(OR(AND(INDEX(Règles_poneys[Specificite],MATCH(RationHivernaleAuPréPoneys&amp;$FN141,Règles_poneys[Ration]&amp;Règles_poneys[Aliment],0))="s1",IF($FN141=Spécificité1Poneys,1)),
AND(INDEX(Règles_poneys[Specificite],MATCH(RationHivernaleAuPréPoneys&amp;$FN141,Règles_poneys[Ration]&amp;Règles_poneys[Aliment],0))="s2",IF($FN141=Spécificité2Poneys,1)),
INDEX(Règles_poneys[Specificite],MATCH(RationHivernaleAuPréPoneys&amp;$FN141,Règles_poneys[Ration]&amp;Règles_poneys[Aliment],0))="c"),
INDEX(Règles_poneys[Valeur 0-12],MATCH(RationHivernaleAuPréPoneys&amp;$FN141,Règles_poneys[Ration]&amp;Règles_poneys[Aliment],0)),0),0)*SUM(TotalPoulainsPoneys)*21)</f>
        <v>0</v>
      </c>
      <c r="FS141" s="1285">
        <f t="shared" ref="FS141:FS179" si="52">SUM($FO141:$FQ141)</f>
        <v>0</v>
      </c>
      <c r="FT141" s="1345"/>
      <c r="FU141" s="1345"/>
      <c r="FV141" s="1345"/>
      <c r="FW141" s="1083" t="str">
        <f t="shared" si="49"/>
        <v>Canola</v>
      </c>
      <c r="FX141" s="1283">
        <f t="array" ref="FX141">SUM((IF(QualitéAlimentsGavageOison_0_1_mois=BONNE,VLOOKUP("Canola",AlimentsGavageOies[],5,FALSE),0)+(IF(QualitéAlimentsGavageCaneton_0_1_mois=BONNE,VLOOKUP("Canola",AlimentsGavageCanards[],5,FALSE),0)+(IF(QualitéAlimentsGavageOison_1_2_mois=BONNE,VLOOKUP("Canola",AlimentsGavageOies[],4,FALSE),0)+(IF(QualitéAlimentsGavageCaneton_1_2_mois=BONNE,VLOOKUP("Canola",AlimentsGavageCanards[],4,FALSE),0)+(IF(QualitéAlimentsGavageOison_2_3_mois=BONNE,VLOOKUP("Canola",AlimentsGavageOies[],3,FALSE),0)+(IF(QualitéAlimentsGavageCaneton_2_3_mois=BONNE,VLOOKUP("Canola",AlimentsGavageCanards[],3,FALSE),0)+(IF(QualitéAlimentsGavageJeunesOies=BONNE,VLOOKUP("Canola",AlimentsGavageOies[],2,FALSE),0)+(IF(QualitéAlimentsGavageJeuneCanard=BONNE,VLOOKUP("Canola",AlimentsGavageCanards[],2,FALSE),0))))))))))</f>
        <v>0</v>
      </c>
      <c r="FY141" s="1283">
        <f t="array" ref="FY141">SUM((IF(QualitéAlimentsGavageOison_0_1_mois=MOYENNE,VLOOKUP("Canola",AlimentsGavageOies[],5,FALSE),0)+(IF(QualitéAlimentsGavageCaneton_0_1_mois=MOYENNE,VLOOKUP("Canola",AlimentsGavageCanards[],5,FALSE),0)+(IF(QualitéAlimentsGavageOison_1_2_mois=MOYENNE,VLOOKUP("Canola",AlimentsGavageOies[],4,FALSE),0)+(IF(QualitéAlimentsGavageCaneton_1_2_mois=MOYENNE,VLOOKUP("Canola",AlimentsGavageCanards[],4,FALSE),0)+(IF(QualitéAlimentsGavageOison_2_3_mois=MOYENNE,VLOOKUP("Canola",AlimentsGavageOies[],3,FALSE),0)+(IF(QualitéAlimentsGavageCaneton_2_3_mois=MOYENNE,VLOOKUP("Canola",AlimentsGavageCanards[],3,FALSE),0)+(IF(QualitéAlimentsGavageJeunesOies=MOYENNE,VLOOKUP("Canola",AlimentsGavageOies[],2,FALSE),0)+(IF(QualitéAlimentsGavageJeuneCanard=MOYENNE,VLOOKUP("Canola",AlimentsGavageCanards[],2,FALSE),0))))))))))</f>
        <v>0</v>
      </c>
      <c r="FZ141" s="1283">
        <f t="array" ref="FZ141">SUM((IF(QualitéAlimentsGavageOison_0_1_mois=MAUVAISE,VLOOKUP("Canola",AlimentsGavageOies[],5,FALSE),0)+(IF(QualitéAlimentsGavageCaneton_0_1_mois=MAUVAISE,VLOOKUP("Canola",AlimentsGavageCanards[],5,FALSE),0)+(IF(QualitéAlimentsGavageOison_1_2_mois=MAUVAISE,VLOOKUP("Canola",AlimentsGavageOies[],4,FALSE),0)+(IF(QualitéAlimentsGavageCaneton_1_2_mois=MAUVAISE,VLOOKUP("Canola",AlimentsGavageCanards[],4,FALSE),0)+(IF(QualitéAlimentsGavageOison_2_3_mois=MAUVAISE,VLOOKUP("Canola",AlimentsGavageOies[],3,FALSE),0)+(IF(QualitéAlimentsGavageCaneton_2_3_mois=MAUVAISE,VLOOKUP("Canola",AlimentsGavageCanards[],3,FALSE),0)+(IF(QualitéAlimentsGavageJeunesOies=MAUVAISE,VLOOKUP("Canola",AlimentsGavageOies[],2,FALSE),0)+(IF(QualitéAlimentsGavageJeuneCanard=MAUVAISE,VLOOKUP("Canola",AlimentsGavageCanards[],2,FALSE),0))))))))))</f>
        <v>0</v>
      </c>
      <c r="GA141" s="1345"/>
      <c r="GB141" s="1345"/>
      <c r="GC141" s="1321"/>
      <c r="GD141" s="1321"/>
      <c r="GE141" s="1321"/>
      <c r="GF141" s="1321"/>
      <c r="GG141" s="1321" t="s">
        <v>1349</v>
      </c>
      <c r="GH141" s="1321" t="s">
        <v>1349</v>
      </c>
      <c r="GI141" s="1321" t="s">
        <v>1349</v>
      </c>
      <c r="GJ141" s="1321" t="s">
        <v>1349</v>
      </c>
      <c r="GK141" s="1321" t="s">
        <v>1349</v>
      </c>
      <c r="GL141" s="1321" t="s">
        <v>1349</v>
      </c>
      <c r="GM141" s="1321" t="s">
        <v>1349</v>
      </c>
      <c r="GN141" s="1321" t="s">
        <v>1349</v>
      </c>
      <c r="GO141" s="1321" t="s">
        <v>1349</v>
      </c>
      <c r="GP141" s="1321" t="s">
        <v>1349</v>
      </c>
      <c r="GQ141" s="1321" t="s">
        <v>1349</v>
      </c>
      <c r="GR141" s="1321" t="s">
        <v>1349</v>
      </c>
      <c r="GS141" s="1321" t="s">
        <v>1349</v>
      </c>
      <c r="GT141" s="1321" t="s">
        <v>1349</v>
      </c>
      <c r="GU141" s="1321" t="s">
        <v>1349</v>
      </c>
      <c r="GV141" s="1321" t="s">
        <v>1349</v>
      </c>
      <c r="GW141" s="1321"/>
      <c r="GX141" s="1321"/>
      <c r="GY141" s="1321"/>
      <c r="GZ141" s="1321"/>
      <c r="HA141" s="1321"/>
      <c r="HB141" s="1321"/>
      <c r="HC141" s="1321"/>
      <c r="HD141" s="1321"/>
      <c r="HE141" s="1321"/>
      <c r="HF141" s="1321"/>
      <c r="HG141" s="1321"/>
      <c r="HH141" s="1321"/>
      <c r="HI141" s="1321"/>
      <c r="HJ141" s="1321"/>
      <c r="HK141" s="1321"/>
      <c r="HL141" s="1321"/>
      <c r="HM141" s="1321"/>
      <c r="HN141" s="1321"/>
      <c r="HO141" s="1321"/>
      <c r="HP141" s="1321"/>
      <c r="HQ141" s="1321"/>
      <c r="HR141" s="1321"/>
      <c r="HS141" s="1321"/>
      <c r="HT141" s="1321"/>
      <c r="HU141" s="1321"/>
      <c r="HV141" s="1321"/>
      <c r="HW141" s="1321"/>
      <c r="HX141" s="1321"/>
      <c r="HY141" s="1321"/>
      <c r="HZ141" s="1321"/>
      <c r="IA141" s="1321"/>
      <c r="IB141" s="1321"/>
      <c r="IC141" s="1321"/>
      <c r="ID141" s="1321"/>
      <c r="IE141" s="1321"/>
      <c r="IF141" s="1321"/>
      <c r="IG141" s="1321"/>
      <c r="IH141" s="1321"/>
      <c r="II141" s="1321"/>
      <c r="IJ141" s="1321"/>
      <c r="IK141" s="1321"/>
      <c r="IL141" s="1321"/>
      <c r="IM141" s="1321"/>
      <c r="IN141" s="1368"/>
    </row>
    <row r="142" spans="1:248" ht="12.75" customHeight="1" x14ac:dyDescent="0.2">
      <c r="A142" s="1307" t="s">
        <v>196</v>
      </c>
      <c r="B142" s="1290">
        <v>20</v>
      </c>
      <c r="C142" s="1321"/>
      <c r="D142" s="1321"/>
      <c r="E142" s="1321"/>
      <c r="F142" s="1143" t="s">
        <v>15</v>
      </c>
      <c r="G142" s="1143">
        <v>1</v>
      </c>
      <c r="H142" s="1321"/>
      <c r="I142" s="1076" t="str">
        <f t="shared" si="50"/>
        <v>20-29,99</v>
      </c>
      <c r="J142" s="1081">
        <f>IF(gains!F$4=BDD!O$127,10,IF(gains!F$4=BDD!P$127,20,IF(gains!F$4=BDD!Q$127,30,0)))</f>
        <v>10</v>
      </c>
      <c r="K142" s="1081">
        <f>IF(gains!$G$8=K$127,1,0)</f>
        <v>0</v>
      </c>
      <c r="L142" s="1081">
        <f>IF(gains!$G$8=L$127,2,0)</f>
        <v>0</v>
      </c>
      <c r="M142" s="1081">
        <f>IF(gains!$G$8=M$127,3,0)</f>
        <v>0</v>
      </c>
      <c r="N142" s="1081">
        <f>IF(gains!$G$8=N$127,4,0)</f>
        <v>0</v>
      </c>
      <c r="O142" s="1081">
        <f>IF(AND(J142=10,SUM(K142:N142)=1),gains!$F$39,IF(AND(J142=10,SUM(K142:N142)=2),gains!$F$39*2,IF(AND(J142=10,SUM(K142:N142)=3),gains!$F$39*3,IF(AND(J142=10,SUM(K142:N142)=4),gains!$F$39*4,0))))</f>
        <v>0</v>
      </c>
      <c r="P142" s="1081">
        <f>IF(AND(J142=20,SUM(K142:N142)=1),gains!$F$39*7,IF(AND(J142=20,SUM(K142:N142)=2),gains!$F$39*7*2,IF(AND(J142=20,SUM(K142:N142)=3),gains!$F$39*7*3,IF(AND(J142=20,SUM(K142:N142)=4),gains!$F$39*7*4,0))))</f>
        <v>0</v>
      </c>
      <c r="Q142" s="1081">
        <f>IF(AND(J142=30,SUM(K142:N142)=1),gains!$F$39*7*12,IF(AND(J142=30,SUM(K142:N142)=2),gains!$F$39*7*12*2,IF(AND(J142=30,SUM(K142:N142)=3),gains!$F$39*7*12*3,IF(AND(J142=30,SUM(K142:N142)=4),gains!$F$39*7*12*4,0))))</f>
        <v>0</v>
      </c>
      <c r="R142" s="1321"/>
      <c r="S142" s="1321"/>
      <c r="T142" s="1321"/>
      <c r="U142" s="1321"/>
      <c r="V142" s="1321"/>
      <c r="W142" s="1321"/>
      <c r="X142" s="1321"/>
      <c r="Y142" s="1321"/>
      <c r="Z142" s="1321"/>
      <c r="AA142" s="1321"/>
      <c r="AB142" s="1321"/>
      <c r="AC142" s="1321"/>
      <c r="AD142" s="1321"/>
      <c r="AE142" s="1321"/>
      <c r="AF142" s="1321"/>
      <c r="AG142" s="1321"/>
      <c r="AH142" s="1321"/>
      <c r="AI142" s="1321"/>
      <c r="AJ142" s="1321"/>
      <c r="AK142" s="1321"/>
      <c r="AL142" s="1321"/>
      <c r="AM142" s="1321"/>
      <c r="AN142" s="1321"/>
      <c r="AO142" s="1321"/>
      <c r="AP142" s="1321"/>
      <c r="AQ142" s="1321"/>
      <c r="AR142" s="1321"/>
      <c r="AS142" s="1321"/>
      <c r="AT142" s="1321"/>
      <c r="AU142" s="1321"/>
      <c r="AV142" s="1321"/>
      <c r="AW142" s="1321"/>
      <c r="AX142" s="1321"/>
      <c r="AY142" s="1321"/>
      <c r="AZ142" s="1321"/>
      <c r="BA142" s="1321"/>
      <c r="BB142" s="1236" t="s">
        <v>732</v>
      </c>
      <c r="BC142" s="1190" t="s">
        <v>63</v>
      </c>
      <c r="BD142" s="1190" t="s">
        <v>1254</v>
      </c>
      <c r="BE142" s="1237">
        <v>4.8</v>
      </c>
      <c r="BF142" s="1237">
        <v>4</v>
      </c>
      <c r="BG142" s="1237">
        <v>4</v>
      </c>
      <c r="BH142" s="1237">
        <v>4</v>
      </c>
      <c r="BI142" s="1237">
        <v>2</v>
      </c>
      <c r="BJ142" s="1237">
        <v>1.2</v>
      </c>
      <c r="BK142" s="1238">
        <v>0</v>
      </c>
      <c r="BL142" s="1348"/>
      <c r="BM142" s="1076" t="str">
        <f t="shared" si="47"/>
        <v>Sorgho ensilé</v>
      </c>
      <c r="BN142" s="1267">
        <f t="array" ref="BN142">SUM((IF(QualitéAlimentsBisonneauxMâles_0_3_mois=BONNE,VLOOKUP("Sorgho ensilé",AlimentsRationHivernaleBisonsMâles,8,FALSE),0)+(IF(QualitéAlimentsBisonneauxFemelles_0_3_mois=BONNE,VLOOKUP("Sorgho ensilé",AlimentsRationHivernaleBisonsFemelles,8,FALSE),0)+(IF(QualitéAlimentsBisonneauxMâles_3_6_mois=BONNE,VLOOKUP("Sorgho ensilé",AlimentsRationHivernaleBisonsMâles,7,FALSE),0)+(IF(QualitéAlimentsBisonneauxFemelles_3_6_mois=BONNE,VLOOKUP("Sorgho ensilé",AlimentsRationHivernaleBisonsFemelles,7,FALSE),0)+(IF(QualitéAlimentsBisonneauxMâles_6_12_mois=BONNE,VLOOKUP("Sorgho ensilé",AlimentsRationHivernaleBisonsMâles,6,FALSE),0)+(IF(QualitéAlimentsBisonneauxFemelles_6_12_mois=BONNE,VLOOKUP("Sorgho ensilé",AlimentsRationHivernaleBisonsFemelles,6,FALSE),0)+(IF(QualitéAlimentsJeunesBisons_12_18_mois=BONNE,VLOOKUP("Sorgho ensilé",AlimentsRationHivernaleBisonsMâles,5,FALSE),0)+(IF(QualitéAlimentsJeunesBisonnes_12_18_mois=BONNE,VLOOKUP("Sorgho ensilé",AlimentsRationHivernaleBisonsFemelles,5,FALSE),0)+(IF(QualitéAlimentsJeunesBisons_18_24_mois=BONNE,VLOOKUP("Sorgho ensilé",AlimentsRationHivernaleBisonsMâles,4,FALSE),0)+(IF(QualitéAlimentsJeunesBisonnes_18_24_mois=BONNE,VLOOKUP("Sorgho ensilé",AlimentsRationHivernaleBisonsFemelles,4,FALSE),0)+(IF(QualitéAlimentsJeunesBisons_24_36_mois=BONNE,VLOOKUP("Sorgho ensilé",AlimentsRationHivernaleBisonsMâles,3,FALSE),0)+(IF(QualitéAlimentsJeunesBisonnes_24_36_mois=BONNE,VLOOKUP("Sorgho ensilé",AlimentsRationHivernaleBisonsFemelles,3,FALSE),0)+(IF(QualitéAlimentsBisons=BONNE,VLOOKUP("Sorgho ensilé",AlimentsRationHivernaleBisonsMâles,2,FALSE),0)+(IF(QualitéAlimentsBisonnes=BONNE,VLOOKUP("Sorgho ensilé",AlimentsRationHivernaleBisonsFemelles,2,FALSE),0))))))))))))))))</f>
        <v>0</v>
      </c>
      <c r="BO142" s="1267">
        <f t="array" ref="BO142">SUM((IF(QualitéAlimentsBisonneauxMâles_0_3_mois=MOYENNE,VLOOKUP("Sorgho ensilé",AlimentsRationHivernaleBisonsMâles,8,FALSE),0)+(IF(QualitéAlimentsBisonneauxFemelles_0_3_mois=MOYENNE,VLOOKUP("Sorgho ensilé",AlimentsRationHivernaleBisonsFemelles,8,FALSE),0)+(IF(QualitéAlimentsBisonneauxMâles_3_6_mois=MOYENNE,VLOOKUP("Sorgho ensilé",AlimentsRationHivernaleBisonsMâles,7,FALSE),0)+(IF(QualitéAlimentsBisonneauxFemelles_3_6_mois=MOYENNE,VLOOKUP("Sorgho ensilé",AlimentsRationHivernaleBisonsFemelles,7,FALSE),0)+(IF(QualitéAlimentsBisonneauxMâles_6_12_mois=MOYENNE,VLOOKUP("Sorgho ensilé",AlimentsRationHivernaleBisonsMâles,6,FALSE),0)+(IF(QualitéAlimentsBisonneauxFemelles_6_12_mois=MOYENNE,VLOOKUP("Sorgho ensilé",AlimentsRationHivernaleBisonsFemelles,6,FALSE),0)+(IF(QualitéAlimentsJeunesBisons_12_18_mois=MOYENNE,VLOOKUP("Sorgho ensilé",AlimentsRationHivernaleBisonsMâles,5,FALSE),0)+(IF(QualitéAlimentsJeunesBisonnes_12_18_mois=MOYENNE,VLOOKUP("Sorgho ensilé",AlimentsRationHivernaleBisonsFemelles,5,FALSE),0)+(IF(QualitéAlimentsJeunesBisons_18_24_mois=MOYENNE,VLOOKUP("Sorgho ensilé",AlimentsRationHivernaleBisonsMâles,4,FALSE),0)+(IF(QualitéAlimentsJeunesBisonnes_18_24_mois=MOYENNE,VLOOKUP("Sorgho ensilé",AlimentsRationHivernaleBisonsFemelles,4,FALSE),0)+(IF(QualitéAlimentsJeunesBisons_24_36_mois=MOYENNE,VLOOKUP("Sorgho ensilé",AlimentsRationHivernaleBisonsMâles,3,FALSE),0)+(IF(QualitéAlimentsJeunesBisonnes_24_36_mois=MOYENNE,VLOOKUP("Sorgho ensilé",AlimentsRationHivernaleBisonsFemelles,3,FALSE),0)+(IF(QualitéAlimentsBisons=MOYENNE,VLOOKUP("Sorgho ensilé",AlimentsRationHivernaleBisonsMâles,2,FALSE),0)+(IF(QualitéAlimentsBisonnes=MOYENNE,VLOOKUP("Sorgho ensilé",AlimentsRationHivernaleBisonsFemelles,2,FALSE),0))))))))))))))))</f>
        <v>0</v>
      </c>
      <c r="BP142" s="1267">
        <f t="array" ref="BP142">SUM((IF(QualitéAlimentsBisonneauxMâles_0_3_mois=MAUVAISE,VLOOKUP("Sorgho ensilé",AlimentsRationHivernaleBisonsMâles,8,FALSE),0)+(IF(QualitéAlimentsBisonneauxFemelles_0_3_mois=MAUVAISE,VLOOKUP("Sorgho ensilé",AlimentsRationHivernaleBisonsFemelles,8,FALSE),0)+(IF(QualitéAlimentsBisonneauxMâles_3_6_mois=MAUVAISE,VLOOKUP("Sorgho ensilé",AlimentsRationHivernaleBisonsMâles,7,FALSE),0)+(IF(QualitéAlimentsBisonneauxFemelles_3_6_mois=MAUVAISE,VLOOKUP("Sorgho ensilé",AlimentsRationHivernaleBisonsFemelles,7,FALSE),0)+(IF(QualitéAlimentsBisonneauxMâles_6_12_mois=MAUVAISE,VLOOKUP("Sorgho ensilé",AlimentsRationHivernaleBisonsMâles,6,FALSE),0)+(IF(QualitéAlimentsBisonneauxFemelles_6_12_mois=MAUVAISE,VLOOKUP("Sorgho ensilé",AlimentsRationHivernaleBisonsFemelles,6,FALSE),0)+(IF(QualitéAlimentsJeunesBisons_12_18_mois=MAUVAISE,VLOOKUP("Sorgho ensilé",AlimentsRationHivernaleBisonsMâles,5,FALSE),0)+(IF(QualitéAlimentsJeunesBisonnes_12_18_mois=MAUVAISE,VLOOKUP("Sorgho ensilé",AlimentsRationHivernaleBisonsFemelles,5,FALSE),0)+(IF(QualitéAlimentsJeunesBisons_18_24_mois=MAUVAISE,VLOOKUP("Sorgho ensilé",AlimentsRationHivernaleBisonsMâles,4,FALSE),0)+(IF(QualitéAlimentsJeunesBisonnes_18_24_mois=MAUVAISE,VLOOKUP("Sorgho ensilé",AlimentsRationHivernaleBisonsFemelles,4,FALSE),0)+(IF(QualitéAlimentsJeunesBisons_24_36_mois=MAUVAISE,VLOOKUP("Sorgho ensilé",AlimentsRationHivernaleBisonsMâles,3,FALSE),0)+(IF(QualitéAlimentsJeunesBisonnes_24_36_mois=MAUVAISE,VLOOKUP("Sorgho ensilé",AlimentsRationHivernaleBisonsFemelles,3,FALSE),0)+(IF(QualitéAlimentsBisons=MAUVAISE,VLOOKUP("Sorgho ensilé",AlimentsRationHivernaleBisonsMâles,2,FALSE),0)+(IF(QualitéAlimentsBisonnes=MAUVAISE,VLOOKUP("Sorgho ensilé",AlimentsRationHivernaleBisonsFemelles,2,FALSE),0))))))))))))))))</f>
        <v>0</v>
      </c>
      <c r="BQ142" s="1346"/>
      <c r="BR142" s="1346"/>
      <c r="BS142" s="1346"/>
      <c r="BT142" s="1346"/>
      <c r="BU142" s="1346"/>
      <c r="BV142" s="1345"/>
      <c r="BW142" s="1345"/>
      <c r="BX142" s="1349" t="s">
        <v>1707</v>
      </c>
      <c r="BY142" s="1336" t="str">
        <f>IF(animaux!D89="","",animaux!D89)</f>
        <v/>
      </c>
      <c r="BZ142" s="1336" t="str">
        <f>IF(animaux!D87="","",animaux!D87)</f>
        <v/>
      </c>
      <c r="CA142" s="1336" t="str">
        <f>IF(animaux!D85="","",animaux!D85)</f>
        <v/>
      </c>
      <c r="CB142" s="1359" t="str">
        <f>IF(animaux!D83="","",animaux!D83)</f>
        <v/>
      </c>
      <c r="CC142" s="1359"/>
      <c r="CD142" s="1345"/>
      <c r="CE142" s="1345"/>
      <c r="CF142" s="1345"/>
      <c r="CG142" s="1345"/>
      <c r="CH142" s="1345"/>
      <c r="CI142" s="1321"/>
      <c r="CJ142" s="1075" t="str">
        <f t="shared" si="51"/>
        <v>Bouchons luzerne</v>
      </c>
      <c r="CK142" s="1269">
        <f t="array" ref="CK142">SUM((IF(QualitéAlimentsPorceletMâle_0_1_mois=BONNE,VLOOKUP("Bouchons luzerne",AlimentsRationPorcinsMâles[],6,FALSE),0)+(IF(QualitéAlimentsPorceletFemelle_0_1_mois=BONNE,VLOOKUP("Bouchons luzerne",AlimentsRationPorcinsFemelles[],6,FALSE),0)+(IF(QualitéAlimentsPorceletMâle_1_3_mois=BONNE,VLOOKUP("Bouchons luzerne",AlimentsRationPorcinsMâles[],5,FALSE),0)+(IF(QualitéAlimentsPorceletFemelle_1_3_mois=BONNE,VLOOKUP("Bouchons luzerne",AlimentsRationPorcinsFemelles[],5,FALSE),0)+(IF(QualitéAlimentsJeuneVerrat_3_6_mois=BONNE,VLOOKUP("Bouchons luzerne",AlimentsRationPorcinsMâles[],4,FALSE),0)+(IF(QualitéAlimentsJeuneTruie_3_6_mois=BONNE,VLOOKUP("Bouchons luzerne",AlimentsRationPorcinsFemelles[],4,FALSE),0)+(IF(QualitéAlimentsJeuneVerrat_6_12_mois=BONNE,VLOOKUP("Bouchons luzerne",AlimentsRationPorcinsMâles[],3,FALSE),0)+(IF(QualitéAlimentsJeuneTruie_6_12_mois=BONNE,VLOOKUP("Bouchons luzerne",AlimentsRationPorcinsFemelles[],3,FALSE),0)+(IF(QualitéAlimentsVerrat=BONNE,VLOOKUP("Bouchons luzerne",AlimentsRationPorcinsMâles[],2,FALSE),0)+(IF(QualitéAlimentsTruie=BONNE,VLOOKUP("Bouchons luzerne",AlimentsRationPorcinsFemelles[],2,FALSE),0))))))))))))</f>
        <v>0</v>
      </c>
      <c r="CL142" s="1269">
        <f t="array" ref="CL142">SUM((IF(QualitéAlimentsPorceletMâle_0_1_mois=MOYENNE,VLOOKUP("Bouchons luzerne",AlimentsRationPorcinsMâles[],6,FALSE),0)+(IF(QualitéAlimentsPorceletFemelle_0_1_mois=MOYENNE,VLOOKUP("Bouchons luzerne",AlimentsRationPorcinsFemelles[],6,FALSE),0)+(IF(QualitéAlimentsPorceletMâle_1_3_mois=MOYENNE,VLOOKUP("Bouchons luzerne",AlimentsRationPorcinsMâles[],5,FALSE),0)+(IF(QualitéAlimentsPorceletFemelle_1_3_mois=MOYENNE,VLOOKUP("Bouchons luzerne",AlimentsRationPorcinsFemelles[],5,FALSE),0)+(IF(QualitéAlimentsJeuneVerrat_3_6_mois=MOYENNE,VLOOKUP("Bouchons luzerne",AlimentsRationPorcinsMâles[],4,FALSE),0)+(IF(QualitéAlimentsJeuneTruie_3_6_mois=MOYENNE,VLOOKUP("Bouchons luzerne",AlimentsRationPorcinsFemelles[],4,FALSE),0)+(IF(QualitéAlimentsJeuneVerrat_6_12_mois=MOYENNE,VLOOKUP("Bouchons luzerne",AlimentsRationPorcinsMâles[],3,FALSE),0)+(IF(QualitéAlimentsJeuneTruie_6_12_mois=MOYENNE,VLOOKUP("Bouchons luzerne",AlimentsRationPorcinsFemelles[],3,FALSE),0)+(IF(QualitéAlimentsVerrat=MOYENNE,VLOOKUP("Bouchons luzerne",AlimentsRationPorcinsMâles[],2,FALSE),0)+(IF(QualitéAlimentsTruie=MOYENNE,VLOOKUP("Bouchons luzerne",AlimentsRationPorcinsFemelles[],2,FALSE),0))))))))))))</f>
        <v>0</v>
      </c>
      <c r="CM142" s="1269">
        <f t="array" ref="CM142">SUM((IF(QualitéAlimentsPorceletMâle_0_1_mois=MAUVAISE,VLOOKUP("Bouchons luzerne",AlimentsRationPorcinsMâles[],6,FALSE),0)+(IF(QualitéAlimentsPorceletFemelle_0_1_mois=MAUVAISE,VLOOKUP("Bouchons luzerne",AlimentsRationPorcinsFemelles[],6,FALSE),0)+(IF(QualitéAlimentsPorceletMâle_1_3_mois=MAUVAISE,VLOOKUP("Bouchons luzerne",AlimentsRationPorcinsMâles[],5,FALSE),0)+(IF(QualitéAlimentsPorceletFemelle_1_3_mois=MAUVAISE,VLOOKUP("Bouchons luzerne",AlimentsRationPorcinsFemelles[],5,FALSE),0)+(IF(QualitéAlimentsJeuneVerrat_3_6_mois=MAUVAISE,VLOOKUP("Bouchons luzerne",AlimentsRationPorcinsMâles[],4,FALSE),0)+(IF(QualitéAlimentsJeuneTruie_3_6_mois=MAUVAISE,VLOOKUP("Bouchons luzerne",AlimentsRationPorcinsFemelles[],4,FALSE),0)+(IF(QualitéAlimentsJeuneVerrat_6_12_mois=MAUVAISE,VLOOKUP("Bouchons luzerne",AlimentsRationPorcinsMâles[],3,FALSE),0)+(IF(QualitéAlimentsJeuneTruie_6_12_mois=MAUVAISE,VLOOKUP("Bouchons luzerne",AlimentsRationPorcinsFemelles[],3,FALSE),0)+(IF(QualitéAlimentsVerrat=MAUVAISE,VLOOKUP("Bouchons luzerne",AlimentsRationPorcinsMâles[],2,FALSE),0)+(IF(QualitéAlimentsTruie=MAUVAISE,VLOOKUP("Bouchons luzerne",AlimentsRationPorcinsFemelles[],2,FALSE),0))))))))))))</f>
        <v>0</v>
      </c>
      <c r="CN142" s="1321"/>
      <c r="CO142" s="1321"/>
      <c r="CP142" s="1345"/>
      <c r="CQ142" s="1321"/>
      <c r="CR142" s="1321"/>
      <c r="CS142" s="1321"/>
      <c r="CT142" s="1321"/>
      <c r="CU142" s="1321"/>
      <c r="CV142" s="1321"/>
      <c r="CW142" s="1321"/>
      <c r="CX142" s="1321"/>
      <c r="CY142" s="1321"/>
      <c r="CZ142" s="1321"/>
      <c r="DA142" s="1321"/>
      <c r="DB142" s="1321"/>
      <c r="DC142" s="1321"/>
      <c r="DD142" s="1321"/>
      <c r="DE142" s="1321"/>
      <c r="DF142" s="1321"/>
      <c r="DG142" s="1336" t="s">
        <v>1749</v>
      </c>
      <c r="DH142" s="1336"/>
      <c r="DI142" s="1336"/>
      <c r="DJ142" s="1336"/>
      <c r="DK142" s="1321"/>
      <c r="DL142" s="1321"/>
      <c r="DM142" s="1321"/>
      <c r="DN142" s="1176" t="s">
        <v>1134</v>
      </c>
      <c r="DO142" s="1177" t="s">
        <v>76</v>
      </c>
      <c r="DP142" s="1177" t="s">
        <v>1253</v>
      </c>
      <c r="DQ142" s="1177">
        <v>1.6</v>
      </c>
      <c r="DR142" s="1177">
        <v>1.28</v>
      </c>
      <c r="DS142" s="1177">
        <v>0.96</v>
      </c>
      <c r="DT142" s="1191">
        <v>0.8</v>
      </c>
      <c r="DU142" s="1346"/>
      <c r="DV142" s="1321"/>
      <c r="DW142" s="1321"/>
      <c r="DX142" s="1321"/>
      <c r="DY142" s="1321"/>
      <c r="DZ142" s="1321"/>
      <c r="EA142" s="1321"/>
      <c r="EB142" s="1321"/>
      <c r="EC142" s="1321"/>
      <c r="ED142" s="1345"/>
      <c r="EE142" s="1345"/>
      <c r="EF142" s="1321"/>
      <c r="EG142" s="808" t="s">
        <v>898</v>
      </c>
      <c r="EH142" s="803">
        <f>EH25*TotalOiesFemellesAdultes*SUM(NbreJoursNourrirAutres)</f>
        <v>0</v>
      </c>
      <c r="EI142" s="1321"/>
      <c r="EJ142" s="1321"/>
      <c r="EK142" s="1345"/>
      <c r="EL142" s="1345"/>
      <c r="EM142" s="1321"/>
      <c r="EN142" s="823" t="s">
        <v>1354</v>
      </c>
      <c r="EO142" s="825">
        <f>EO25*SUM(TotalJeunesCanards)*SUM(NbreJoursNourrirAutres)</f>
        <v>0</v>
      </c>
      <c r="EP142" s="1321"/>
      <c r="EQ142" s="1321"/>
      <c r="ER142" s="1345"/>
      <c r="ES142" s="1345"/>
      <c r="ET142" s="1321"/>
      <c r="EU142" s="1336" t="s">
        <v>1490</v>
      </c>
      <c r="EV142" s="1341"/>
      <c r="EW142" s="1341"/>
      <c r="EX142" s="1341"/>
      <c r="EY142" s="1336"/>
      <c r="EZ142" s="1336"/>
      <c r="FA142" s="1345"/>
      <c r="FB142" s="1345"/>
      <c r="FC142" s="1321"/>
      <c r="FD142" s="1082" t="str">
        <f>FD54</f>
        <v>Avoine</v>
      </c>
      <c r="FE142" s="1282">
        <f t="array" ref="FE142">IF(OR(ChoixRationHivernaleComplèteChevauxTrait=OUI,ChoixRationHivernaleComplèteChevauxTrait="",ChoixChevauxTraitPréHiver=NON),0,IFERROR(IF(OR(AND(INDEX(Règles_chevaux_trait[Specificite],MATCH(RationHivernaleAuPréChevauxTrait&amp;$FD142,Règles_chevaux_trait[Ration]&amp;Règles_chevaux_trait[Aliment],0))="s1",IF($FD142=Spécificité1ChevauxTrait,1)),
AND(INDEX(Règles_chevaux_trait[Specificite],MATCH(RationHivernaleAuPréChevauxTrait&amp;$FD142,Règles_chevaux_trait[Ration]&amp;Règles_chevaux_trait[Aliment],0))="s2",IF($FD142=Spécificité2ChevauxTrait,1)),
INDEX(Règles_chevaux_trait[Specificite],MATCH(RationHivernaleAuPréChevauxTrait&amp;$FD142,Règles_chevaux_trait[Ration]&amp;Règles_chevaux_trait[Aliment],0))="c"),
INDEX(Règles_chevaux_trait[Valeur 36 et plus],MATCH(RationHivernaleAuPréChevauxTrait&amp;$FD142,Règles_chevaux_trait[Ration]&amp;Règles_chevaux_trait[Aliment],0)),0),0)*SUM(TotalChevauxTraitAdultes)*21)</f>
        <v>0</v>
      </c>
      <c r="FF142" s="1282">
        <f t="array" ref="FF142">IF(OR(ChoixRationHivernaleComplèteChevauxTrait=OUI,ChoixRationHivernaleComplèteChevauxTrait="",ChoixChevauxTraitPréHiver=NON),0,IFERROR(IF(OR(AND(INDEX(Règles_chevaux_trait[Specificite],MATCH(RationHivernaleAuPréChevauxTrait&amp;$FD142,Règles_chevaux_trait[Ration]&amp;Règles_chevaux_trait[Aliment],0))="s1",IF($FD142=Spécificité1ChevauxTrait,1)),
AND(INDEX(Règles_chevaux_trait[Specificite],MATCH(RationHivernaleAuPréChevauxTrait&amp;$FD142,Règles_chevaux_trait[Ration]&amp;Règles_chevaux_trait[Aliment],0))="s2",IF($FD142=Spécificité2ChevauxTrait,1)),
INDEX(Règles_chevaux_trait[Specificite],MATCH(RationHivernaleAuPréChevauxTrait&amp;$FD142,Règles_chevaux_trait[Ration]&amp;Règles_chevaux_trait[Aliment],0))="c"),
INDEX(Règles_chevaux_trait[Valeur 24-36],MATCH(RationHivernaleAuPréChevauxTrait&amp;$FD142,Règles_chevaux_trait[Ration]&amp;Règles_chevaux_trait[Aliment],0)),0),0)*SUM(TotalChevauxTrait_24_36mois)*21)</f>
        <v>0</v>
      </c>
      <c r="FG142" s="1282">
        <f t="array" ref="FG142">IF(OR(ChoixRationHivernaleComplèteChevauxTrait=OUI,ChoixRationHivernaleComplèteChevauxTrait="",ChoixChevauxTraitPréHiver=NON),0,IFERROR(IF(OR(AND(INDEX(Règles_chevaux_trait[Specificite],MATCH(RationHivernaleAuPréChevauxTrait&amp;$FD142,Règles_chevaux_trait[Ration]&amp;Règles_chevaux_trait[Aliment],0))="s1",IF($FD142=Spécificité1ChevauxTrait,1)),
AND(INDEX(Règles_chevaux_trait[Specificite],MATCH(RationHivernaleAuPréChevauxTrait&amp;$FD142,Règles_chevaux_trait[Ration]&amp;Règles_chevaux_trait[Aliment],0))="s2",IF($FD142=Spécificité2ChevauxTrait,1)),
INDEX(Règles_chevaux_trait[Specificite],MATCH(RationHivernaleAuPréChevauxTrait&amp;$FD142,Règles_chevaux_trait[Ration]&amp;Règles_chevaux_trait[Aliment],0))="c"),
INDEX(Règles_chevaux_trait[Valeur 12-24],MATCH(RationHivernaleAuPréChevauxTrait&amp;$FD142,Règles_chevaux_trait[Ration]&amp;Règles_chevaux_trait[Aliment],0)),0),0)*SUM(TotalChevauxTrait_12_24mois)*21)</f>
        <v>0</v>
      </c>
      <c r="FH142" s="1282">
        <f t="array" ref="FH142">IF(OR(ChoixRationHivernaleComplèteChevauxTrait=OUI,ChoixRationHivernaleComplèteChevauxTrait="",ChoixChevauxTraitPréHiver=NON),0,IFERROR(IF(OR(AND(INDEX(Règles_chevaux_trait[Specificite],MATCH(RationHivernaleAuPréChevauxTrait&amp;$FD142,Règles_chevaux_trait[Ration]&amp;Règles_chevaux_trait[Aliment],0))="s1",IF($FD142=Spécificité1ChevauxTrait,1)),
AND(INDEX(Règles_chevaux_trait[Specificite],MATCH(RationHivernaleAuPréChevauxTrait&amp;$FD142,Règles_chevaux_trait[Ration]&amp;Règles_chevaux_trait[Aliment],0))="s2",IF($FD142=Spécificité2ChevauxTrait,1)),
INDEX(Règles_chevaux_trait[Specificite],MATCH(RationHivernaleAuPréChevauxTrait&amp;$FD142,Règles_chevaux_trait[Ration]&amp;Règles_chevaux_trait[Aliment],0))="c"),
INDEX(Règles_chevaux_trait[Valeur 0-12],MATCH(RationHivernaleAuPréChevauxTrait&amp;$FD142,Règles_chevaux_trait[Ration]&amp;Règles_chevaux_trait[Aliment],0)),0),0)*SUM(TotalPoulainsTrait)*21)</f>
        <v>0</v>
      </c>
      <c r="FI142" s="1285">
        <f t="shared" ref="FI142:FI180" si="53">SUM($FE142:$FH142)</f>
        <v>0</v>
      </c>
      <c r="FJ142" s="1345"/>
      <c r="FK142" s="1345"/>
      <c r="FL142" s="1345"/>
      <c r="FM142" s="1321"/>
      <c r="FN142" s="1083" t="str">
        <f t="shared" ref="FN142:FN179" si="54">FN54</f>
        <v>Betterave</v>
      </c>
      <c r="FO142" s="1283">
        <f t="array" ref="FO142">IF(OR(ChoixRationHivernaleComplètePoneys=OUI,ChoixRationHivernaleComplètePoneys="",ChoixPoneysPréHiver=NON),0,IFERROR(IF(OR(AND(INDEX(Règles_poneys[Specificite],MATCH(RationHivernaleAuPréPoneys&amp;$FN142,Règles_poneys[Ration]&amp;Règles_poneys[Aliment],0))="s1",IF($FN142=Spécificité1Poneys,1)),
AND(INDEX(Règles_poneys[Specificite],MATCH(RationHivernaleAuPréPoneys&amp;$FN142,Règles_poneys[Ration]&amp;Règles_poneys[Aliment],0))="s2",IF($FN142=Spécificité2Poneys,1)),
INDEX(Règles_poneys[Specificite],MATCH(RationHivernaleAuPréPoneys&amp;$FN142,Règles_poneys[Ration]&amp;Règles_poneys[Aliment],0))="c"),
INDEX(Règles_poneys[Valeur 36 et plus],MATCH(RationHivernaleAuPréPoneys&amp;$FN142,Règles_poneys[Ration]&amp;Règles_poneys[Aliment],0)),0),0)*SUM(TotalPoneysAdultes)*21)</f>
        <v>0</v>
      </c>
      <c r="FP142" s="1283">
        <f t="array" ref="FP142">IF(OR(ChoixRationHivernaleComplètePoneys=OUI,ChoixRationHivernaleComplètePoneys="",ChoixPoneysPréHiver=NON),0,IFERROR(IF(OR(AND(INDEX(Règles_poneys[Specificite],MATCH(RationHivernaleAuPréPoneys&amp;$FN142,Règles_poneys[Ration]&amp;Règles_poneys[Aliment],0))="s1",IF($FN142=Spécificité1Poneys,1)),
AND(INDEX(Règles_poneys[Specificite],MATCH(RationHivernaleAuPréPoneys&amp;$FN142,Règles_poneys[Ration]&amp;Règles_poneys[Aliment],0))="s2",IF($FN142=Spécificité2Poneys,1)),
INDEX(Règles_poneys[Specificite],MATCH(RationHivernaleAuPréPoneys&amp;$FN142,Règles_poneys[Ration]&amp;Règles_poneys[Aliment],0))="c"),
INDEX(Règles_poneys[Valeur 24-36],MATCH(RationHivernaleAuPréPoneys&amp;$FN142,Règles_poneys[Ration]&amp;Règles_poneys[Aliment],0)),0),0)*SUM(TotalPoneys_24_36mois)*21)</f>
        <v>0</v>
      </c>
      <c r="FQ142" s="1283">
        <f t="array" ref="FQ142">IF(OR(ChoixRationHivernaleComplètePoneys=OUI,ChoixRationHivernaleComplètePoneys="",ChoixPoneysPréHiver=NON),0,IFERROR(IF(OR(AND(INDEX(Règles_poneys[Specificite],MATCH(RationHivernaleAuPréPoneys&amp;$FN142,Règles_poneys[Ration]&amp;Règles_poneys[Aliment],0))="s1",IF($FN142=Spécificité1Poneys,1)),
AND(INDEX(Règles_poneys[Specificite],MATCH(RationHivernaleAuPréPoneys&amp;$FN142,Règles_poneys[Ration]&amp;Règles_poneys[Aliment],0))="s2",IF($FN142=Spécificité2Poneys,1)),
INDEX(Règles_poneys[Specificite],MATCH(RationHivernaleAuPréPoneys&amp;$FN142,Règles_poneys[Ration]&amp;Règles_poneys[Aliment],0))="c"),
INDEX(Règles_poneys[Valeur 12-24],MATCH(RationHivernaleAuPréPoneys&amp;$FN142,Règles_poneys[Ration]&amp;Règles_poneys[Aliment],0)),0),0)*SUM(TotalPoneys_12_24mois)*21)</f>
        <v>0</v>
      </c>
      <c r="FR142" s="1286">
        <f t="array" ref="FR142">IF(OR(ChoixRationHivernaleComplètePoneys=OUI,ChoixRationHivernaleComplètePoneys="",ChoixPoneysPréHiver=NON),0,IFERROR(IF(OR(AND(INDEX(Règles_poneys[Specificite],MATCH(RationHivernaleAuPréPoneys&amp;$FN142,Règles_poneys[Ration]&amp;Règles_poneys[Aliment],0))="s1",IF($FN142=Spécificité1Poneys,1)),
AND(INDEX(Règles_poneys[Specificite],MATCH(RationHivernaleAuPréPoneys&amp;$FN142,Règles_poneys[Ration]&amp;Règles_poneys[Aliment],0))="s2",IF($FN142=Spécificité2Poneys,1)),
INDEX(Règles_poneys[Specificite],MATCH(RationHivernaleAuPréPoneys&amp;$FN142,Règles_poneys[Ration]&amp;Règles_poneys[Aliment],0))="c"),
INDEX(Règles_poneys[Valeur 0-12],MATCH(RationHivernaleAuPréPoneys&amp;$FN142,Règles_poneys[Ration]&amp;Règles_poneys[Aliment],0)),0),0)*SUM(TotalPoulainsPoneys)*21)</f>
        <v>0</v>
      </c>
      <c r="FS142" s="1286">
        <f t="shared" si="52"/>
        <v>0</v>
      </c>
      <c r="FT142" s="1345"/>
      <c r="FU142" s="1345"/>
      <c r="FV142" s="1345"/>
      <c r="FW142" s="1082" t="str">
        <f t="shared" si="49"/>
        <v>Colza</v>
      </c>
      <c r="FX142" s="1282">
        <f t="array" ref="FX142">SUM((IF(QualitéAlimentsGavageOison_0_1_mois=BONNE,VLOOKUP("Colza",AlimentsGavageOies[],5,FALSE),0)+(IF(QualitéAlimentsGavageCaneton_0_1_mois=BONNE,VLOOKUP("Colza",AlimentsGavageCanards[],5,FALSE),0)+(IF(QualitéAlimentsGavageOison_1_2_mois=BONNE,VLOOKUP("Colza",AlimentsGavageOies[],4,FALSE),0)+(IF(QualitéAlimentsGavageCaneton_1_2_mois=BONNE,VLOOKUP("Colza",AlimentsGavageCanards[],4,FALSE),0)+(IF(QualitéAlimentsGavageOison_2_3_mois=BONNE,VLOOKUP("Colza",AlimentsGavageOies[],3,FALSE),0)+(IF(QualitéAlimentsGavageCaneton_2_3_mois=BONNE,VLOOKUP("Colza",AlimentsGavageCanards[],3,FALSE),0)+(IF(QualitéAlimentsGavageJeunesOies=BONNE,VLOOKUP("Colza",AlimentsGavageOies[],2,FALSE),0)+(IF(QualitéAlimentsGavageJeuneCanard=BONNE,VLOOKUP("Colza",AlimentsGavageCanards[],2,FALSE),0))))))))))</f>
        <v>0</v>
      </c>
      <c r="FY142" s="1282">
        <f t="array" ref="FY142">SUM((IF(QualitéAlimentsGavageOison_0_1_mois=MOYENNE,VLOOKUP("Colza",AlimentsGavageOies[],5,FALSE),0)+(IF(QualitéAlimentsGavageCaneton_0_1_mois=MOYENNE,VLOOKUP("Colza",AlimentsGavageCanards[],5,FALSE),0)+(IF(QualitéAlimentsGavageOison_1_2_mois=MOYENNE,VLOOKUP("Colza",AlimentsGavageOies[],4,FALSE),0)+(IF(QualitéAlimentsGavageCaneton_1_2_mois=MOYENNE,VLOOKUP("Colza",AlimentsGavageCanards[],4,FALSE),0)+(IF(QualitéAlimentsGavageOison_2_3_mois=MOYENNE,VLOOKUP("Colza",AlimentsGavageOies[],3,FALSE),0)+(IF(QualitéAlimentsGavageCaneton_2_3_mois=MOYENNE,VLOOKUP("Colza",AlimentsGavageCanards[],3,FALSE),0)+(IF(QualitéAlimentsGavageJeunesOies=MOYENNE,VLOOKUP("Colza",AlimentsGavageOies[],2,FALSE),0)+(IF(QualitéAlimentsGavageJeuneCanard=MOYENNE,VLOOKUP("Colza",AlimentsGavageCanards[],2,FALSE),0))))))))))</f>
        <v>0</v>
      </c>
      <c r="FZ142" s="1282">
        <f t="array" ref="FZ142">SUM((IF(QualitéAlimentsGavageOison_0_1_mois=MAUVAISE,VLOOKUP("Colza",AlimentsGavageOies[],5,FALSE),0)+(IF(QualitéAlimentsGavageCaneton_0_1_mois=MAUVAISE,VLOOKUP("Colza",AlimentsGavageCanards[],5,FALSE),0)+(IF(QualitéAlimentsGavageOison_1_2_mois=MAUVAISE,VLOOKUP("Colza",AlimentsGavageOies[],4,FALSE),0)+(IF(QualitéAlimentsGavageCaneton_1_2_mois=MAUVAISE,VLOOKUP("Colza",AlimentsGavageCanards[],4,FALSE),0)+(IF(QualitéAlimentsGavageOison_2_3_mois=MAUVAISE,VLOOKUP("Colza",AlimentsGavageOies[],3,FALSE),0)+(IF(QualitéAlimentsGavageCaneton_2_3_mois=MAUVAISE,VLOOKUP("Colza",AlimentsGavageCanards[],3,FALSE),0)+(IF(QualitéAlimentsGavageJeunesOies=MAUVAISE,VLOOKUP("Colza",AlimentsGavageOies[],2,FALSE),0)+(IF(QualitéAlimentsGavageJeuneCanard=MAUVAISE,VLOOKUP("Colza",AlimentsGavageCanards[],2,FALSE),0))))))))))</f>
        <v>0</v>
      </c>
      <c r="GA142" s="1345"/>
      <c r="GB142" s="1345"/>
      <c r="GC142" s="1321"/>
      <c r="GD142" s="1321"/>
      <c r="GE142" s="1321"/>
      <c r="GF142" s="1321"/>
      <c r="GG142" s="1321" t="s">
        <v>1349</v>
      </c>
      <c r="GH142" s="1321" t="s">
        <v>1349</v>
      </c>
      <c r="GI142" s="1321" t="s">
        <v>1349</v>
      </c>
      <c r="GJ142" s="1321" t="s">
        <v>1349</v>
      </c>
      <c r="GK142" s="1321" t="s">
        <v>1349</v>
      </c>
      <c r="GL142" s="1321" t="s">
        <v>1349</v>
      </c>
      <c r="GM142" s="1321" t="s">
        <v>1349</v>
      </c>
      <c r="GN142" s="1321" t="s">
        <v>1349</v>
      </c>
      <c r="GO142" s="1321" t="s">
        <v>1349</v>
      </c>
      <c r="GP142" s="1321" t="s">
        <v>1349</v>
      </c>
      <c r="GQ142" s="1321" t="s">
        <v>1349</v>
      </c>
      <c r="GR142" s="1321" t="s">
        <v>1349</v>
      </c>
      <c r="GS142" s="1321" t="s">
        <v>1349</v>
      </c>
      <c r="GT142" s="1321" t="s">
        <v>1349</v>
      </c>
      <c r="GU142" s="1321" t="s">
        <v>1349</v>
      </c>
      <c r="GV142" s="1321" t="s">
        <v>1349</v>
      </c>
      <c r="GW142" s="1321"/>
      <c r="GX142" s="1321"/>
      <c r="GY142" s="1321"/>
      <c r="GZ142" s="1321"/>
      <c r="HA142" s="1321"/>
      <c r="HB142" s="1321"/>
      <c r="HC142" s="1321"/>
      <c r="HD142" s="1321"/>
      <c r="HE142" s="1321"/>
      <c r="HF142" s="1321"/>
      <c r="HG142" s="1321"/>
      <c r="HH142" s="1321"/>
      <c r="HI142" s="1321"/>
      <c r="HJ142" s="1321"/>
      <c r="HK142" s="1321"/>
      <c r="HL142" s="1321"/>
      <c r="HM142" s="1321"/>
      <c r="HN142" s="1321"/>
      <c r="HO142" s="1321"/>
      <c r="HP142" s="1321"/>
      <c r="HQ142" s="1321"/>
      <c r="HR142" s="1321"/>
      <c r="HS142" s="1321"/>
      <c r="HT142" s="1321"/>
      <c r="HU142" s="1321"/>
      <c r="HV142" s="1321"/>
      <c r="HW142" s="1321"/>
      <c r="HX142" s="1321"/>
      <c r="HY142" s="1321"/>
      <c r="HZ142" s="1321"/>
      <c r="IA142" s="1321"/>
      <c r="IB142" s="1321"/>
      <c r="IC142" s="1321"/>
      <c r="ID142" s="1321"/>
      <c r="IE142" s="1321"/>
      <c r="IF142" s="1321"/>
      <c r="IG142" s="1321"/>
      <c r="IH142" s="1321"/>
      <c r="II142" s="1321"/>
      <c r="IJ142" s="1321"/>
      <c r="IK142" s="1321"/>
      <c r="IL142" s="1321"/>
      <c r="IM142" s="1321"/>
      <c r="IN142" s="1368"/>
    </row>
    <row r="143" spans="1:248" ht="12.75" customHeight="1" x14ac:dyDescent="0.2">
      <c r="A143" s="1307" t="s">
        <v>197</v>
      </c>
      <c r="B143" s="1209">
        <v>10</v>
      </c>
      <c r="C143" s="1321"/>
      <c r="D143" s="1321"/>
      <c r="E143" s="1321"/>
      <c r="F143" s="1149" t="s">
        <v>1761</v>
      </c>
      <c r="G143" s="1149">
        <v>4</v>
      </c>
      <c r="H143" s="1321"/>
      <c r="I143" s="1075" t="str">
        <f t="shared" si="50"/>
        <v>30-39,99</v>
      </c>
      <c r="J143" s="1080">
        <f>IF(gains!F$4=BDD!O$127,10,IF(gains!F$4=BDD!P$127,20,IF(gains!F$4=BDD!Q$127,30,0)))</f>
        <v>10</v>
      </c>
      <c r="K143" s="1080">
        <f>IF(gains!$G$8=K$127,1,0)</f>
        <v>0</v>
      </c>
      <c r="L143" s="1080">
        <f>IF(gains!$G$8=L$127,2,0)</f>
        <v>0</v>
      </c>
      <c r="M143" s="1080">
        <f>IF(gains!$G$8=M$127,3,0)</f>
        <v>0</v>
      </c>
      <c r="N143" s="1080">
        <f>IF(gains!$G$8=N$127,4,0)</f>
        <v>0</v>
      </c>
      <c r="O143" s="1080">
        <f>IF(AND(J143=10,SUM(K143:N143)=1),gains!$F$39,IF(AND(J143=10,SUM(K143:N143)=2),gains!$F$39*2,IF(AND(J143=10,SUM(K143:N143)=3),gains!$F$39*3,IF(AND(J143=10,SUM(K143:N143)=4),gains!$F$39*4,0))))</f>
        <v>0</v>
      </c>
      <c r="P143" s="1080">
        <f>IF(AND(J143=20,SUM(K143:N143)=1),gains!$F$39*7,IF(AND(J143=20,SUM(K143:N143)=2),gains!$F$39*7*2,IF(AND(J143=20,SUM(K143:N143)=3),gains!$F$39*7*3,IF(AND(J143=20,SUM(K143:N143)=4),gains!$F$39*7*4,0))))</f>
        <v>0</v>
      </c>
      <c r="Q143" s="1080">
        <f>IF(AND(J143=30,SUM(K143:N143)=1),gains!$F$39*7*12,IF(AND(J143=30,SUM(K143:N143)=2),gains!$F$39*7*12*2,IF(AND(J143=30,SUM(K143:N143)=3),gains!$F$39*7*12*3,IF(AND(J143=30,SUM(K143:N143)=4),gains!$F$39*7*12*4,0))))</f>
        <v>0</v>
      </c>
      <c r="R143" s="1321"/>
      <c r="S143" s="1321"/>
      <c r="T143" s="1321"/>
      <c r="U143" s="1321"/>
      <c r="V143" s="1321"/>
      <c r="W143" s="1321"/>
      <c r="X143" s="1321"/>
      <c r="Y143" s="1321"/>
      <c r="Z143" s="1321"/>
      <c r="AA143" s="1321"/>
      <c r="AB143" s="1321"/>
      <c r="AC143" s="1321"/>
      <c r="AD143" s="1321"/>
      <c r="AE143" s="1321"/>
      <c r="AF143" s="1321"/>
      <c r="AG143" s="1321"/>
      <c r="AH143" s="1321"/>
      <c r="AI143" s="1321"/>
      <c r="AJ143" s="1321"/>
      <c r="AK143" s="1321"/>
      <c r="AL143" s="1321"/>
      <c r="AM143" s="1321"/>
      <c r="AN143" s="1321"/>
      <c r="AO143" s="1321"/>
      <c r="AP143" s="1321"/>
      <c r="AQ143" s="1321"/>
      <c r="AR143" s="1321"/>
      <c r="AS143" s="1321"/>
      <c r="AT143" s="1321"/>
      <c r="AU143" s="1321"/>
      <c r="AV143" s="1321"/>
      <c r="AW143" s="1321"/>
      <c r="AX143" s="1321"/>
      <c r="AY143" s="1321"/>
      <c r="AZ143" s="1321"/>
      <c r="BA143" s="1321"/>
      <c r="BB143" s="1236" t="s">
        <v>732</v>
      </c>
      <c r="BC143" s="1190" t="s">
        <v>1271</v>
      </c>
      <c r="BD143" s="1190" t="s">
        <v>1252</v>
      </c>
      <c r="BE143" s="1237">
        <v>1</v>
      </c>
      <c r="BF143" s="1237">
        <v>0.8</v>
      </c>
      <c r="BG143" s="1237">
        <v>0.6</v>
      </c>
      <c r="BH143" s="1237">
        <v>0.4</v>
      </c>
      <c r="BI143" s="1237">
        <v>0.4</v>
      </c>
      <c r="BJ143" s="1237">
        <v>0.4</v>
      </c>
      <c r="BK143" s="1238">
        <v>0</v>
      </c>
      <c r="BL143" s="1348"/>
      <c r="BM143" s="1075" t="str">
        <f t="shared" si="47"/>
        <v>Tournesol</v>
      </c>
      <c r="BN143" s="1269">
        <f t="array" ref="BN143">SUM((IF(QualitéAlimentsBisonneauxMâles_0_3_mois=BONNE,VLOOKUP("Tournesol",AlimentsRationHivernaleBisonsMâles,8,FALSE),0)+(IF(QualitéAlimentsBisonneauxFemelles_0_3_mois=BONNE,VLOOKUP("Tournesol",AlimentsRationHivernaleBisonsFemelles,8,FALSE),0)+(IF(QualitéAlimentsBisonneauxMâles_3_6_mois=BONNE,VLOOKUP("Tournesol",AlimentsRationHivernaleBisonsMâles,7,FALSE),0)+(IF(QualitéAlimentsBisonneauxFemelles_3_6_mois=BONNE,VLOOKUP("Tournesol",AlimentsRationHivernaleBisonsFemelles,7,FALSE),0)+(IF(QualitéAlimentsBisonneauxMâles_6_12_mois=BONNE,VLOOKUP("Tournesol",AlimentsRationHivernaleBisonsMâles,6,FALSE),0)+(IF(QualitéAlimentsBisonneauxFemelles_6_12_mois=BONNE,VLOOKUP("Tournesol",AlimentsRationHivernaleBisonsFemelles,6,FALSE),0)+(IF(QualitéAlimentsJeunesBisons_12_18_mois=BONNE,VLOOKUP("Tournesol",AlimentsRationHivernaleBisonsMâles,5,FALSE),0)+(IF(QualitéAlimentsJeunesBisonnes_12_18_mois=BONNE,VLOOKUP("Tournesol",AlimentsRationHivernaleBisonsFemelles,5,FALSE),0)+(IF(QualitéAlimentsJeunesBisons_18_24_mois=BONNE,VLOOKUP("Tournesol",AlimentsRationHivernaleBisonsMâles,4,FALSE),0)+(IF(QualitéAlimentsJeunesBisonnes_18_24_mois=BONNE,VLOOKUP("Tournesol",AlimentsRationHivernaleBisonsFemelles,4,FALSE),0)+(IF(QualitéAlimentsJeunesBisons_24_36_mois=BONNE,VLOOKUP("Tournesol",AlimentsRationHivernaleBisonsMâles,3,FALSE),0)+(IF(QualitéAlimentsJeunesBisonnes_24_36_mois=BONNE,VLOOKUP("Tournesol",AlimentsRationHivernaleBisonsFemelles,3,FALSE),0)+(IF(QualitéAlimentsBisons=BONNE,VLOOKUP("Tournesol",AlimentsRationHivernaleBisonsMâles,2,FALSE),0)+(IF(QualitéAlimentsBisonnes=BONNE,VLOOKUP("Tournesol",AlimentsRationHivernaleBisonsFemelles,2,FALSE),0))))))))))))))))</f>
        <v>0</v>
      </c>
      <c r="BO143" s="1269">
        <f t="array" ref="BO143">SUM((IF(QualitéAlimentsBisonneauxMâles_0_3_mois=MOYENNE,VLOOKUP("Tournesol",AlimentsRationHivernaleBisonsMâles,8,FALSE),0)+(IF(QualitéAlimentsBisonneauxFemelles_0_3_mois=MOYENNE,VLOOKUP("Tournesol",AlimentsRationHivernaleBisonsFemelles,8,FALSE),0)+(IF(QualitéAlimentsBisonneauxMâles_3_6_mois=MOYENNE,VLOOKUP("Tournesol",AlimentsRationHivernaleBisonsMâles,7,FALSE),0)+(IF(QualitéAlimentsBisonneauxFemelles_3_6_mois=MOYENNE,VLOOKUP("Tournesol",AlimentsRationHivernaleBisonsFemelles,7,FALSE),0)+(IF(QualitéAlimentsBisonneauxMâles_6_12_mois=MOYENNE,VLOOKUP("Tournesol",AlimentsRationHivernaleBisonsMâles,6,FALSE),0)+(IF(QualitéAlimentsBisonneauxFemelles_6_12_mois=MOYENNE,VLOOKUP("Tournesol",AlimentsRationHivernaleBisonsFemelles,6,FALSE),0)+(IF(QualitéAlimentsJeunesBisons_12_18_mois=MOYENNE,VLOOKUP("Tournesol",AlimentsRationHivernaleBisonsMâles,5,FALSE),0)+(IF(QualitéAlimentsJeunesBisonnes_12_18_mois=MOYENNE,VLOOKUP("Tournesol",AlimentsRationHivernaleBisonsFemelles,5,FALSE),0)+(IF(QualitéAlimentsJeunesBisons_18_24_mois=MOYENNE,VLOOKUP("Tournesol",AlimentsRationHivernaleBisonsMâles,4,FALSE),0)+(IF(QualitéAlimentsJeunesBisonnes_18_24_mois=MOYENNE,VLOOKUP("Tournesol",AlimentsRationHivernaleBisonsFemelles,4,FALSE),0)+(IF(QualitéAlimentsJeunesBisons_24_36_mois=MOYENNE,VLOOKUP("Tournesol",AlimentsRationHivernaleBisonsMâles,3,FALSE),0)+(IF(QualitéAlimentsJeunesBisonnes_24_36_mois=MOYENNE,VLOOKUP("Tournesol",AlimentsRationHivernaleBisonsFemelles,3,FALSE),0)+(IF(QualitéAlimentsBisons=MOYENNE,VLOOKUP("Tournesol",AlimentsRationHivernaleBisonsMâles,2,FALSE),0)+(IF(QualitéAlimentsBisonnes=MOYENNE,VLOOKUP("Tournesol",AlimentsRationHivernaleBisonsFemelles,2,FALSE),0))))))))))))))))</f>
        <v>0</v>
      </c>
      <c r="BP143" s="1269">
        <f t="array" ref="BP143">SUM((IF(QualitéAlimentsBisonneauxMâles_0_3_mois=MAUVAISE,VLOOKUP("Tournesol",AlimentsRationHivernaleBisonsMâles,8,FALSE),0)+(IF(QualitéAlimentsBisonneauxFemelles_0_3_mois=MAUVAISE,VLOOKUP("Tournesol",AlimentsRationHivernaleBisonsFemelles,8,FALSE),0)+(IF(QualitéAlimentsBisonneauxMâles_3_6_mois=MAUVAISE,VLOOKUP("Tournesol",AlimentsRationHivernaleBisonsMâles,7,FALSE),0)+(IF(QualitéAlimentsBisonneauxFemelles_3_6_mois=MAUVAISE,VLOOKUP("Tournesol",AlimentsRationHivernaleBisonsFemelles,7,FALSE),0)+(IF(QualitéAlimentsBisonneauxMâles_6_12_mois=MAUVAISE,VLOOKUP("Tournesol",AlimentsRationHivernaleBisonsMâles,6,FALSE),0)+(IF(QualitéAlimentsBisonneauxFemelles_6_12_mois=MAUVAISE,VLOOKUP("Tournesol",AlimentsRationHivernaleBisonsFemelles,6,FALSE),0)+(IF(QualitéAlimentsJeunesBisons_12_18_mois=MAUVAISE,VLOOKUP("Tournesol",AlimentsRationHivernaleBisonsMâles,5,FALSE),0)+(IF(QualitéAlimentsJeunesBisonnes_12_18_mois=MAUVAISE,VLOOKUP("Tournesol",AlimentsRationHivernaleBisonsFemelles,5,FALSE),0)+(IF(QualitéAlimentsJeunesBisons_18_24_mois=MAUVAISE,VLOOKUP("Tournesol",AlimentsRationHivernaleBisonsMâles,4,FALSE),0)+(IF(QualitéAlimentsJeunesBisonnes_18_24_mois=MAUVAISE,VLOOKUP("Tournesol",AlimentsRationHivernaleBisonsFemelles,4,FALSE),0)+(IF(QualitéAlimentsJeunesBisons_24_36_mois=MAUVAISE,VLOOKUP("Tournesol",AlimentsRationHivernaleBisonsMâles,3,FALSE),0)+(IF(QualitéAlimentsJeunesBisonnes_24_36_mois=MAUVAISE,VLOOKUP("Tournesol",AlimentsRationHivernaleBisonsFemelles,3,FALSE),0)+(IF(QualitéAlimentsBisons=MAUVAISE,VLOOKUP("Tournesol",AlimentsRationHivernaleBisonsMâles,2,FALSE),0)+(IF(QualitéAlimentsBisonnes=MAUVAISE,VLOOKUP("Tournesol",AlimentsRationHivernaleBisonsFemelles,2,FALSE),0))))))))))))))))</f>
        <v>0</v>
      </c>
      <c r="BQ143" s="1346"/>
      <c r="BR143" s="1346"/>
      <c r="BS143" s="1346"/>
      <c r="BT143" s="1346"/>
      <c r="BU143" s="1346"/>
      <c r="BV143" s="1345"/>
      <c r="BW143" s="1345"/>
      <c r="BX143" s="1272" t="s">
        <v>1276</v>
      </c>
      <c r="BY143" s="1079" t="s">
        <v>1280</v>
      </c>
      <c r="BZ143" s="1079" t="s">
        <v>1257</v>
      </c>
      <c r="CA143" s="1079" t="s">
        <v>1256</v>
      </c>
      <c r="CB143" s="1079" t="s">
        <v>1255</v>
      </c>
      <c r="CC143" s="1079" t="s">
        <v>1269</v>
      </c>
      <c r="CD143" s="1345"/>
      <c r="CE143" s="1345"/>
      <c r="CF143" s="1345"/>
      <c r="CG143" s="1345"/>
      <c r="CH143" s="1345"/>
      <c r="CI143" s="1321"/>
      <c r="CJ143" s="1076" t="str">
        <f t="shared" si="51"/>
        <v>Chanvre</v>
      </c>
      <c r="CK143" s="1267">
        <f t="array" ref="CK143">SUM((IF(QualitéAlimentsPorceletMâle_0_1_mois=BONNE,VLOOKUP("Chanvre",AlimentsRationPorcinsMâles[],6,FALSE),0)+(IF(QualitéAlimentsPorceletFemelle_0_1_mois=BONNE,VLOOKUP("Chanvre",AlimentsRationPorcinsFemelles[],6,FALSE),0)+(IF(QualitéAlimentsPorceletMâle_1_3_mois=BONNE,VLOOKUP("Chanvre",AlimentsRationPorcinsMâles[],5,FALSE),0)+(IF(QualitéAlimentsPorceletFemelle_1_3_mois=BONNE,VLOOKUP("Chanvre",AlimentsRationPorcinsFemelles[],5,FALSE),0)+(IF(QualitéAlimentsJeuneVerrat_3_6_mois=BONNE,VLOOKUP("Chanvre",AlimentsRationPorcinsMâles[],4,FALSE),0)+(IF(QualitéAlimentsJeuneTruie_3_6_mois=BONNE,VLOOKUP("Chanvre",AlimentsRationPorcinsFemelles[],4,FALSE),0)+(IF(QualitéAlimentsJeuneVerrat_6_12_mois=BONNE,VLOOKUP("Chanvre",AlimentsRationPorcinsMâles[],3,FALSE),0)+(IF(QualitéAlimentsJeuneTruie_6_12_mois=BONNE,VLOOKUP("Chanvre",AlimentsRationPorcinsFemelles[],3,FALSE),0)+(IF(QualitéAlimentsVerrat=BONNE,VLOOKUP("Chanvre",AlimentsRationPorcinsMâles[],2,FALSE),0)+(IF(QualitéAlimentsTruie=BONNE,VLOOKUP("Chanvre",AlimentsRationPorcinsFemelles[],2,FALSE),0))))))))))))</f>
        <v>0</v>
      </c>
      <c r="CL143" s="1267">
        <f t="array" ref="CL143">SUM((IF(QualitéAlimentsPorceletMâle_0_1_mois=MOYENNE,VLOOKUP("Chanvre",AlimentsRationPorcinsMâles[],6,FALSE),0)+(IF(QualitéAlimentsPorceletFemelle_0_1_mois=MOYENNE,VLOOKUP("Chanvre",AlimentsRationPorcinsFemelles[],6,FALSE),0)+(IF(QualitéAlimentsPorceletMâle_1_3_mois=MOYENNE,VLOOKUP("Chanvre",AlimentsRationPorcinsMâles[],5,FALSE),0)+(IF(QualitéAlimentsPorceletFemelle_1_3_mois=MOYENNE,VLOOKUP("Chanvre",AlimentsRationPorcinsFemelles[],5,FALSE),0)+(IF(QualitéAlimentsJeuneVerrat_3_6_mois=MOYENNE,VLOOKUP("Chanvre",AlimentsRationPorcinsMâles[],4,FALSE),0)+(IF(QualitéAlimentsJeuneTruie_3_6_mois=MOYENNE,VLOOKUP("Chanvre",AlimentsRationPorcinsFemelles[],4,FALSE),0)+(IF(QualitéAlimentsJeuneVerrat_6_12_mois=MOYENNE,VLOOKUP("Chanvre",AlimentsRationPorcinsMâles[],3,FALSE),0)+(IF(QualitéAlimentsJeuneTruie_6_12_mois=MOYENNE,VLOOKUP("Chanvre",AlimentsRationPorcinsFemelles[],3,FALSE),0)+(IF(QualitéAlimentsVerrat=MOYENNE,VLOOKUP("Chanvre",AlimentsRationPorcinsMâles[],2,FALSE),0)+(IF(QualitéAlimentsTruie=MOYENNE,VLOOKUP("Chanvre",AlimentsRationPorcinsFemelles[],2,FALSE),0))))))))))))</f>
        <v>0</v>
      </c>
      <c r="CM143" s="1267">
        <f t="array" ref="CM143">SUM((IF(QualitéAlimentsPorceletMâle_0_1_mois=MAUVAISE,VLOOKUP("Chanvre",AlimentsRationPorcinsMâles[],6,FALSE),0)+(IF(QualitéAlimentsPorceletFemelle_0_1_mois=MAUVAISE,VLOOKUP("Chanvre",AlimentsRationPorcinsFemelles[],6,FALSE),0)+(IF(QualitéAlimentsPorceletMâle_1_3_mois=MAUVAISE,VLOOKUP("Chanvre",AlimentsRationPorcinsMâles[],5,FALSE),0)+(IF(QualitéAlimentsPorceletFemelle_1_3_mois=MAUVAISE,VLOOKUP("Chanvre",AlimentsRationPorcinsFemelles[],5,FALSE),0)+(IF(QualitéAlimentsJeuneVerrat_3_6_mois=MAUVAISE,VLOOKUP("Chanvre",AlimentsRationPorcinsMâles[],4,FALSE),0)+(IF(QualitéAlimentsJeuneTruie_3_6_mois=MAUVAISE,VLOOKUP("Chanvre",AlimentsRationPorcinsFemelles[],4,FALSE),0)+(IF(QualitéAlimentsJeuneVerrat_6_12_mois=MAUVAISE,VLOOKUP("Chanvre",AlimentsRationPorcinsMâles[],3,FALSE),0)+(IF(QualitéAlimentsJeuneTruie_6_12_mois=MAUVAISE,VLOOKUP("Chanvre",AlimentsRationPorcinsFemelles[],3,FALSE),0)+(IF(QualitéAlimentsVerrat=MAUVAISE,VLOOKUP("Chanvre",AlimentsRationPorcinsMâles[],2,FALSE),0)+(IF(QualitéAlimentsTruie=MAUVAISE,VLOOKUP("Chanvre",AlimentsRationPorcinsFemelles[],2,FALSE),0))))))))))))</f>
        <v>0</v>
      </c>
      <c r="CN143" s="1321"/>
      <c r="CO143" s="1321"/>
      <c r="CP143" s="1345"/>
      <c r="CQ143" s="1321"/>
      <c r="CR143" s="1321"/>
      <c r="CS143" s="1321"/>
      <c r="CT143" s="1321"/>
      <c r="CU143" s="1321"/>
      <c r="CV143" s="1321"/>
      <c r="CW143" s="1321"/>
      <c r="CX143" s="1321"/>
      <c r="CY143" s="1321"/>
      <c r="CZ143" s="1336" t="s">
        <v>1478</v>
      </c>
      <c r="DA143" s="1336"/>
      <c r="DB143" s="1321"/>
      <c r="DC143" s="1321"/>
      <c r="DD143" s="1321"/>
      <c r="DE143" s="1321"/>
      <c r="DF143" s="1321"/>
      <c r="DG143" s="1079" t="s">
        <v>1276</v>
      </c>
      <c r="DH143" s="1271" t="s">
        <v>1746</v>
      </c>
      <c r="DI143" s="1271" t="s">
        <v>1747</v>
      </c>
      <c r="DJ143" s="1271" t="s">
        <v>1748</v>
      </c>
      <c r="DK143" s="1321"/>
      <c r="DL143" s="1321"/>
      <c r="DM143" s="1321"/>
      <c r="DN143" s="1176" t="s">
        <v>1134</v>
      </c>
      <c r="DO143" s="1177" t="s">
        <v>1273</v>
      </c>
      <c r="DP143" s="1177" t="s">
        <v>1252</v>
      </c>
      <c r="DQ143" s="1177">
        <v>0.6</v>
      </c>
      <c r="DR143" s="1177">
        <v>0.48</v>
      </c>
      <c r="DS143" s="1177">
        <v>0.36</v>
      </c>
      <c r="DT143" s="1191">
        <v>0.3</v>
      </c>
      <c r="DU143" s="1346"/>
      <c r="DV143" s="1321"/>
      <c r="DW143" s="1321"/>
      <c r="DX143" s="1321"/>
      <c r="DY143" s="1321"/>
      <c r="DZ143" s="1321"/>
      <c r="EA143" s="1321"/>
      <c r="EB143" s="1321"/>
      <c r="EC143" s="1321"/>
      <c r="ED143" s="1345"/>
      <c r="EE143" s="1345"/>
      <c r="EF143" s="1321"/>
      <c r="EG143" s="808" t="s">
        <v>899</v>
      </c>
      <c r="EH143" s="803">
        <f>EH26*SUM(TotalJeunesOies)*SUM(NbreJoursNourrirAutres)</f>
        <v>0</v>
      </c>
      <c r="EI143" s="1321"/>
      <c r="EJ143" s="1321"/>
      <c r="EK143" s="1345"/>
      <c r="EL143" s="1345"/>
      <c r="EM143" s="1321"/>
      <c r="EN143" s="823" t="s">
        <v>1355</v>
      </c>
      <c r="EO143" s="825"/>
      <c r="EP143" s="1321"/>
      <c r="EQ143" s="1321"/>
      <c r="ER143" s="1345"/>
      <c r="ES143" s="1345"/>
      <c r="ET143" s="1321"/>
      <c r="EU143" s="789" t="s">
        <v>1276</v>
      </c>
      <c r="EV143" s="790" t="s">
        <v>1261</v>
      </c>
      <c r="EW143" s="790" t="s">
        <v>1260</v>
      </c>
      <c r="EX143" s="790" t="s">
        <v>1304</v>
      </c>
      <c r="EY143" s="827" t="s">
        <v>1303</v>
      </c>
      <c r="EZ143" s="791" t="s">
        <v>1269</v>
      </c>
      <c r="FA143" s="1345"/>
      <c r="FB143" s="1345"/>
      <c r="FC143" s="1321"/>
      <c r="FD143" s="1083" t="str">
        <f t="shared" ref="FD143:FD180" si="55">FD55</f>
        <v>Betterave</v>
      </c>
      <c r="FE143" s="1283">
        <f t="array" ref="FE143">IF(OR(ChoixRationHivernaleComplèteChevauxTrait=OUI,ChoixRationHivernaleComplèteChevauxTrait="",ChoixChevauxTraitPréHiver=NON),0,IFERROR(IF(OR(AND(INDEX(Règles_chevaux_trait[Specificite],MATCH(RationHivernaleAuPréChevauxTrait&amp;$FD143,Règles_chevaux_trait[Ration]&amp;Règles_chevaux_trait[Aliment],0))="s1",IF($FD143=Spécificité1ChevauxTrait,1)),
AND(INDEX(Règles_chevaux_trait[Specificite],MATCH(RationHivernaleAuPréChevauxTrait&amp;$FD143,Règles_chevaux_trait[Ration]&amp;Règles_chevaux_trait[Aliment],0))="s2",IF($FD143=Spécificité2ChevauxTrait,1)),
INDEX(Règles_chevaux_trait[Specificite],MATCH(RationHivernaleAuPréChevauxTrait&amp;$FD143,Règles_chevaux_trait[Ration]&amp;Règles_chevaux_trait[Aliment],0))="c"),
INDEX(Règles_chevaux_trait[Valeur 36 et plus],MATCH(RationHivernaleAuPréChevauxTrait&amp;$FD143,Règles_chevaux_trait[Ration]&amp;Règles_chevaux_trait[Aliment],0)),0),0)*SUM(TotalChevauxTraitAdultes)*21)</f>
        <v>0</v>
      </c>
      <c r="FF143" s="1283">
        <f t="array" ref="FF143">IF(OR(ChoixRationHivernaleComplèteChevauxTrait=OUI,ChoixRationHivernaleComplèteChevauxTrait="",ChoixChevauxTraitPréHiver=NON),0,IFERROR(IF(OR(AND(INDEX(Règles_chevaux_trait[Specificite],MATCH(RationHivernaleAuPréChevauxTrait&amp;$FD143,Règles_chevaux_trait[Ration]&amp;Règles_chevaux_trait[Aliment],0))="s1",IF($FD143=Spécificité1ChevauxTrait,1)),
AND(INDEX(Règles_chevaux_trait[Specificite],MATCH(RationHivernaleAuPréChevauxTrait&amp;$FD143,Règles_chevaux_trait[Ration]&amp;Règles_chevaux_trait[Aliment],0))="s2",IF($FD143=Spécificité2ChevauxTrait,1)),
INDEX(Règles_chevaux_trait[Specificite],MATCH(RationHivernaleAuPréChevauxTrait&amp;$FD143,Règles_chevaux_trait[Ration]&amp;Règles_chevaux_trait[Aliment],0))="c"),
INDEX(Règles_chevaux_trait[Valeur 24-36],MATCH(RationHivernaleAuPréChevauxTrait&amp;$FD143,Règles_chevaux_trait[Ration]&amp;Règles_chevaux_trait[Aliment],0)),0),0)*SUM(TotalChevauxTrait_24_36mois)*21)</f>
        <v>0</v>
      </c>
      <c r="FG143" s="1283">
        <f t="array" ref="FG143">IF(OR(ChoixRationHivernaleComplèteChevauxTrait=OUI,ChoixRationHivernaleComplèteChevauxTrait="",ChoixChevauxTraitPréHiver=NON),0,IFERROR(IF(OR(AND(INDEX(Règles_chevaux_trait[Specificite],MATCH(RationHivernaleAuPréChevauxTrait&amp;$FD143,Règles_chevaux_trait[Ration]&amp;Règles_chevaux_trait[Aliment],0))="s1",IF($FD143=Spécificité1ChevauxTrait,1)),
AND(INDEX(Règles_chevaux_trait[Specificite],MATCH(RationHivernaleAuPréChevauxTrait&amp;$FD143,Règles_chevaux_trait[Ration]&amp;Règles_chevaux_trait[Aliment],0))="s2",IF($FD143=Spécificité2ChevauxTrait,1)),
INDEX(Règles_chevaux_trait[Specificite],MATCH(RationHivernaleAuPréChevauxTrait&amp;$FD143,Règles_chevaux_trait[Ration]&amp;Règles_chevaux_trait[Aliment],0))="c"),
INDEX(Règles_chevaux_trait[Valeur 12-24],MATCH(RationHivernaleAuPréChevauxTrait&amp;$FD143,Règles_chevaux_trait[Ration]&amp;Règles_chevaux_trait[Aliment],0)),0),0)*SUM(TotalChevauxTrait_12_24mois)*21)</f>
        <v>0</v>
      </c>
      <c r="FH143" s="1286">
        <f t="array" ref="FH143">IF(OR(ChoixRationHivernaleComplèteChevauxTrait=OUI,ChoixRationHivernaleComplèteChevauxTrait="",ChoixChevauxTraitPréHiver=NON),0,IFERROR(IF(OR(AND(INDEX(Règles_chevaux_trait[Specificite],MATCH(RationHivernaleAuPréChevauxTrait&amp;$FD143,Règles_chevaux_trait[Ration]&amp;Règles_chevaux_trait[Aliment],0))="s1",IF($FD143=Spécificité1ChevauxTrait,1)),
AND(INDEX(Règles_chevaux_trait[Specificite],MATCH(RationHivernaleAuPréChevauxTrait&amp;$FD143,Règles_chevaux_trait[Ration]&amp;Règles_chevaux_trait[Aliment],0))="s2",IF($FD143=Spécificité2ChevauxTrait,1)),
INDEX(Règles_chevaux_trait[Specificite],MATCH(RationHivernaleAuPréChevauxTrait&amp;$FD143,Règles_chevaux_trait[Ration]&amp;Règles_chevaux_trait[Aliment],0))="c"),
INDEX(Règles_chevaux_trait[Valeur 0-12],MATCH(RationHivernaleAuPréChevauxTrait&amp;$FD143,Règles_chevaux_trait[Ration]&amp;Règles_chevaux_trait[Aliment],0)),0),0)*SUM(TotalPoulainsTrait)*21)</f>
        <v>0</v>
      </c>
      <c r="FI143" s="1286">
        <f t="shared" si="53"/>
        <v>0</v>
      </c>
      <c r="FJ143" s="1345"/>
      <c r="FK143" s="1345"/>
      <c r="FL143" s="1345"/>
      <c r="FM143" s="1321"/>
      <c r="FN143" s="1082" t="str">
        <f t="shared" si="54"/>
        <v>Blé</v>
      </c>
      <c r="FO143" s="1282">
        <f t="array" ref="FO143">IF(OR(ChoixRationHivernaleComplètePoneys=OUI,ChoixRationHivernaleComplètePoneys="",ChoixPoneysPréHiver=NON),0,IFERROR(IF(OR(AND(INDEX(Règles_poneys[Specificite],MATCH(RationHivernaleAuPréPoneys&amp;$FN143,Règles_poneys[Ration]&amp;Règles_poneys[Aliment],0))="s1",IF($FN143=Spécificité1Poneys,1)),
AND(INDEX(Règles_poneys[Specificite],MATCH(RationHivernaleAuPréPoneys&amp;$FN143,Règles_poneys[Ration]&amp;Règles_poneys[Aliment],0))="s2",IF($FN143=Spécificité2Poneys,1)),
INDEX(Règles_poneys[Specificite],MATCH(RationHivernaleAuPréPoneys&amp;$FN143,Règles_poneys[Ration]&amp;Règles_poneys[Aliment],0))="c"),
INDEX(Règles_poneys[Valeur 36 et plus],MATCH(RationHivernaleAuPréPoneys&amp;$FN143,Règles_poneys[Ration]&amp;Règles_poneys[Aliment],0)),0),0)*SUM(TotalPoneysAdultes)*21)</f>
        <v>0</v>
      </c>
      <c r="FP143" s="1282">
        <f t="array" ref="FP143">IF(OR(ChoixRationHivernaleComplètePoneys=OUI,ChoixRationHivernaleComplètePoneys="",ChoixPoneysPréHiver=NON),0,IFERROR(IF(OR(AND(INDEX(Règles_poneys[Specificite],MATCH(RationHivernaleAuPréPoneys&amp;$FN143,Règles_poneys[Ration]&amp;Règles_poneys[Aliment],0))="s1",IF($FN143=Spécificité1Poneys,1)),
AND(INDEX(Règles_poneys[Specificite],MATCH(RationHivernaleAuPréPoneys&amp;$FN143,Règles_poneys[Ration]&amp;Règles_poneys[Aliment],0))="s2",IF($FN143=Spécificité2Poneys,1)),
INDEX(Règles_poneys[Specificite],MATCH(RationHivernaleAuPréPoneys&amp;$FN143,Règles_poneys[Ration]&amp;Règles_poneys[Aliment],0))="c"),
INDEX(Règles_poneys[Valeur 24-36],MATCH(RationHivernaleAuPréPoneys&amp;$FN143,Règles_poneys[Ration]&amp;Règles_poneys[Aliment],0)),0),0)*SUM(TotalPoneys_24_36mois)*21)</f>
        <v>0</v>
      </c>
      <c r="FQ143" s="1282">
        <f t="array" ref="FQ143">IF(OR(ChoixRationHivernaleComplètePoneys=OUI,ChoixRationHivernaleComplètePoneys="",ChoixPoneysPréHiver=NON),0,IFERROR(IF(OR(AND(INDEX(Règles_poneys[Specificite],MATCH(RationHivernaleAuPréPoneys&amp;$FN143,Règles_poneys[Ration]&amp;Règles_poneys[Aliment],0))="s1",IF($FN143=Spécificité1Poneys,1)),
AND(INDEX(Règles_poneys[Specificite],MATCH(RationHivernaleAuPréPoneys&amp;$FN143,Règles_poneys[Ration]&amp;Règles_poneys[Aliment],0))="s2",IF($FN143=Spécificité2Poneys,1)),
INDEX(Règles_poneys[Specificite],MATCH(RationHivernaleAuPréPoneys&amp;$FN143,Règles_poneys[Ration]&amp;Règles_poneys[Aliment],0))="c"),
INDEX(Règles_poneys[Valeur 12-24],MATCH(RationHivernaleAuPréPoneys&amp;$FN143,Règles_poneys[Ration]&amp;Règles_poneys[Aliment],0)),0),0)*SUM(TotalPoneys_12_24mois)*21)</f>
        <v>0</v>
      </c>
      <c r="FR143" s="1285">
        <f t="array" ref="FR143">IF(OR(ChoixRationHivernaleComplètePoneys=OUI,ChoixRationHivernaleComplètePoneys="",ChoixPoneysPréHiver=NON),0,IFERROR(IF(OR(AND(INDEX(Règles_poneys[Specificite],MATCH(RationHivernaleAuPréPoneys&amp;$FN143,Règles_poneys[Ration]&amp;Règles_poneys[Aliment],0))="s1",IF($FN143=Spécificité1Poneys,1)),
AND(INDEX(Règles_poneys[Specificite],MATCH(RationHivernaleAuPréPoneys&amp;$FN143,Règles_poneys[Ration]&amp;Règles_poneys[Aliment],0))="s2",IF($FN143=Spécificité2Poneys,1)),
INDEX(Règles_poneys[Specificite],MATCH(RationHivernaleAuPréPoneys&amp;$FN143,Règles_poneys[Ration]&amp;Règles_poneys[Aliment],0))="c"),
INDEX(Règles_poneys[Valeur 0-12],MATCH(RationHivernaleAuPréPoneys&amp;$FN143,Règles_poneys[Ration]&amp;Règles_poneys[Aliment],0)),0),0)*SUM(TotalPoulainsPoneys)*21)</f>
        <v>0</v>
      </c>
      <c r="FS143" s="1285">
        <f t="shared" si="52"/>
        <v>0</v>
      </c>
      <c r="FT143" s="1345"/>
      <c r="FU143" s="1345"/>
      <c r="FV143" s="1345"/>
      <c r="FW143" s="1083" t="str">
        <f t="shared" si="49"/>
        <v>concentré jeunes bovins</v>
      </c>
      <c r="FX143" s="1283">
        <f t="array" ref="FX143">SUM((IF(QualitéAlimentsGavageOison_0_1_mois=BONNE,VLOOKUP("Concentré jeunes bovins",AlimentsGavageOies[],5,FALSE),0)+(IF(QualitéAlimentsGavageCaneton_0_1_mois=BONNE,VLOOKUP("Concentré jeunes bovins",AlimentsGavageCanards[],5,FALSE),0)+(IF(QualitéAlimentsGavageOison_1_2_mois=BONNE,VLOOKUP("Concentré jeunes bovins",AlimentsGavageOies[],4,FALSE),0)+(IF(QualitéAlimentsGavageCaneton_1_2_mois=BONNE,VLOOKUP("Concentré jeunes bovins",AlimentsGavageCanards[],4,FALSE),0)+(IF(QualitéAlimentsGavageOison_2_3_mois=BONNE,VLOOKUP("Concentré jeunes bovins",AlimentsGavageOies[],3,FALSE),0)+(IF(QualitéAlimentsGavageCaneton_2_3_mois=BONNE,VLOOKUP("Concentré jeunes bovins",AlimentsGavageCanards[],3,FALSE),0)+(IF(QualitéAlimentsGavageJeunesOies=BONNE,VLOOKUP("Concentré jeunes bovins",AlimentsGavageOies[],2,FALSE),0)+(IF(QualitéAlimentsGavageJeuneCanard=BONNE,VLOOKUP("Concentré jeunes bovins",AlimentsGavageCanards[],2,FALSE),0))))))))))</f>
        <v>0</v>
      </c>
      <c r="FY143" s="1283">
        <f t="array" ref="FY143">SUM((IF(QualitéAlimentsGavageOison_0_1_mois=MOYENNE,VLOOKUP("Concentré jeunes bovins",AlimentsGavageOies[],5,FALSE),0)+(IF(QualitéAlimentsGavageCaneton_0_1_mois=MOYENNE,VLOOKUP("Concentré jeunes bovins",AlimentsGavageCanards[],5,FALSE),0)+(IF(QualitéAlimentsGavageOison_1_2_mois=MOYENNE,VLOOKUP("Concentré jeunes bovins",AlimentsGavageOies[],4,FALSE),0)+(IF(QualitéAlimentsGavageCaneton_1_2_mois=MOYENNE,VLOOKUP("Concentré jeunes bovins",AlimentsGavageCanards[],4,FALSE),0)+(IF(QualitéAlimentsGavageOison_2_3_mois=MOYENNE,VLOOKUP("Concentré jeunes bovins",AlimentsGavageOies[],3,FALSE),0)+(IF(QualitéAlimentsGavageCaneton_2_3_mois=MOYENNE,VLOOKUP("Concentré jeunes bovins",AlimentsGavageCanards[],3,FALSE),0)+(IF(QualitéAlimentsGavageJeunesOies=MOYENNE,VLOOKUP("Concentré jeunes bovins",AlimentsGavageOies[],2,FALSE),0)+(IF(QualitéAlimentsGavageJeuneCanard=MOYENNE,VLOOKUP("Concentré jeunes bovins",AlimentsGavageCanards[],2,FALSE),0))))))))))</f>
        <v>0</v>
      </c>
      <c r="FZ143" s="1283">
        <f t="array" ref="FZ143">SUM((IF(QualitéAlimentsGavageOison_0_1_mois=MAUVAISE,VLOOKUP("Concentré jeunes bovins",AlimentsGavageOies[],5,FALSE),0)+(IF(QualitéAlimentsGavageCaneton_0_1_mois=MAUVAISE,VLOOKUP("Concentré jeunes bovins",AlimentsGavageCanards[],5,FALSE),0)+(IF(QualitéAlimentsGavageOison_1_2_mois=MAUVAISE,VLOOKUP("Concentré jeunes bovins",AlimentsGavageOies[],4,FALSE),0)+(IF(QualitéAlimentsGavageCaneton_1_2_mois=MAUVAISE,VLOOKUP("Concentré jeunes bovins",AlimentsGavageCanards[],4,FALSE),0)+(IF(QualitéAlimentsGavageOison_2_3_mois=MAUVAISE,VLOOKUP("Concentré jeunes bovins",AlimentsGavageOies[],3,FALSE),0)+(IF(QualitéAlimentsGavageCaneton_2_3_mois=MAUVAISE,VLOOKUP("Concentré jeunes bovins",AlimentsGavageCanards[],3,FALSE),0)+(IF(QualitéAlimentsGavageJeunesOies=MAUVAISE,VLOOKUP("Concentré jeunes bovins",AlimentsGavageOies[],2,FALSE),0)+(IF(QualitéAlimentsGavageJeuneCanard=MAUVAISE,VLOOKUP("Concentré jeunes bovins",AlimentsGavageCanards[],2,FALSE),0))))))))))</f>
        <v>0</v>
      </c>
      <c r="GA143" s="1345"/>
      <c r="GB143" s="1345"/>
      <c r="GC143" s="1321"/>
      <c r="GD143" s="1321"/>
      <c r="GE143" s="1321"/>
      <c r="GF143" s="1321"/>
      <c r="GG143" s="1321" t="s">
        <v>1349</v>
      </c>
      <c r="GH143" s="1321" t="s">
        <v>1349</v>
      </c>
      <c r="GI143" s="1321" t="s">
        <v>1349</v>
      </c>
      <c r="GJ143" s="1321" t="s">
        <v>1349</v>
      </c>
      <c r="GK143" s="1321" t="s">
        <v>1349</v>
      </c>
      <c r="GL143" s="1321" t="s">
        <v>1349</v>
      </c>
      <c r="GM143" s="1321" t="s">
        <v>1349</v>
      </c>
      <c r="GN143" s="1321" t="s">
        <v>1349</v>
      </c>
      <c r="GO143" s="1321" t="s">
        <v>1349</v>
      </c>
      <c r="GP143" s="1321" t="s">
        <v>1349</v>
      </c>
      <c r="GQ143" s="1321" t="s">
        <v>1349</v>
      </c>
      <c r="GR143" s="1321" t="s">
        <v>1349</v>
      </c>
      <c r="GS143" s="1321" t="s">
        <v>1349</v>
      </c>
      <c r="GT143" s="1321" t="s">
        <v>1349</v>
      </c>
      <c r="GU143" s="1321" t="s">
        <v>1349</v>
      </c>
      <c r="GV143" s="1321" t="s">
        <v>1349</v>
      </c>
      <c r="GW143" s="1321"/>
      <c r="GX143" s="1321"/>
      <c r="GY143" s="1321"/>
      <c r="GZ143" s="1321"/>
      <c r="HA143" s="1321"/>
      <c r="HB143" s="1321"/>
      <c r="HC143" s="1321"/>
      <c r="HD143" s="1321"/>
      <c r="HE143" s="1321"/>
      <c r="HF143" s="1321"/>
      <c r="HG143" s="1321"/>
      <c r="HH143" s="1321"/>
      <c r="HI143" s="1321"/>
      <c r="HJ143" s="1321"/>
      <c r="HK143" s="1321"/>
      <c r="HL143" s="1321"/>
      <c r="HM143" s="1321"/>
      <c r="HN143" s="1321"/>
      <c r="HO143" s="1321"/>
      <c r="HP143" s="1321"/>
      <c r="HQ143" s="1321"/>
      <c r="HR143" s="1321"/>
      <c r="HS143" s="1321"/>
      <c r="HT143" s="1321"/>
      <c r="HU143" s="1321"/>
      <c r="HV143" s="1321"/>
      <c r="HW143" s="1321"/>
      <c r="HX143" s="1321"/>
      <c r="HY143" s="1321"/>
      <c r="HZ143" s="1321"/>
      <c r="IA143" s="1321"/>
      <c r="IB143" s="1321"/>
      <c r="IC143" s="1321"/>
      <c r="ID143" s="1321"/>
      <c r="IE143" s="1321"/>
      <c r="IF143" s="1321"/>
      <c r="IG143" s="1321"/>
      <c r="IH143" s="1321"/>
      <c r="II143" s="1321"/>
      <c r="IJ143" s="1321"/>
      <c r="IK143" s="1321"/>
      <c r="IL143" s="1321"/>
      <c r="IM143" s="1321"/>
      <c r="IN143" s="1368"/>
    </row>
    <row r="144" spans="1:248" ht="12.75" customHeight="1" x14ac:dyDescent="0.2">
      <c r="A144" s="1307" t="s">
        <v>198</v>
      </c>
      <c r="B144" s="1209">
        <v>5</v>
      </c>
      <c r="C144" s="1321"/>
      <c r="D144" s="1321"/>
      <c r="E144" s="1321"/>
      <c r="F144" s="1143" t="s">
        <v>1373</v>
      </c>
      <c r="G144" s="1143">
        <v>4.0000000000000001E-3</v>
      </c>
      <c r="H144" s="1321"/>
      <c r="I144" s="1076" t="str">
        <f t="shared" si="50"/>
        <v>40-49,99</v>
      </c>
      <c r="J144" s="1081">
        <f>IF(gains!F$4=BDD!O$127,10,IF(gains!F$4=BDD!P$127,20,IF(gains!F$4=BDD!Q$127,30,0)))</f>
        <v>10</v>
      </c>
      <c r="K144" s="1081">
        <f>IF(gains!$G$8=K$127,1,0)</f>
        <v>0</v>
      </c>
      <c r="L144" s="1081">
        <f>IF(gains!$G$8=L$127,2,0)</f>
        <v>0</v>
      </c>
      <c r="M144" s="1081">
        <f>IF(gains!$G$8=M$127,3,0)</f>
        <v>0</v>
      </c>
      <c r="N144" s="1081">
        <f>IF(gains!$G$8=N$127,4,0)</f>
        <v>0</v>
      </c>
      <c r="O144" s="1081">
        <f>IF(AND(J144=10,SUM(K144:N144)=1),gains!$F$39,IF(AND(J144=10,SUM(K144:N144)=2),gains!$F$39*2,IF(AND(J144=10,SUM(K144:N144)=3),gains!$F$39*3,IF(AND(J144=10,SUM(K144:N144)=4),gains!$F$39*4,0))))</f>
        <v>0</v>
      </c>
      <c r="P144" s="1081">
        <f>IF(AND(J144=20,SUM(K144:N144)=1),gains!$F$39*7,IF(AND(J144=20,SUM(K144:N144)=2),gains!$F$39*7*2,IF(AND(J144=20,SUM(K144:N144)=3),gains!$F$39*7*3,IF(AND(J144=20,SUM(K144:N144)=4),gains!$F$39*7*4,0))))</f>
        <v>0</v>
      </c>
      <c r="Q144" s="1081">
        <f>IF(AND(J144=30,SUM(K144:N144)=1),gains!$F$39*7*12,IF(AND(J144=30,SUM(K144:N144)=2),gains!$F$39*7*12*2,IF(AND(J144=30,SUM(K144:N144)=3),gains!$F$39*7*12*3,IF(AND(J144=30,SUM(K144:N144)=4),gains!$F$39*7*12*4,0))))</f>
        <v>0</v>
      </c>
      <c r="R144" s="1321"/>
      <c r="S144" s="1321"/>
      <c r="T144" s="1321"/>
      <c r="U144" s="1321"/>
      <c r="V144" s="1321"/>
      <c r="W144" s="1321"/>
      <c r="X144" s="1321"/>
      <c r="Y144" s="1321"/>
      <c r="Z144" s="1321"/>
      <c r="AA144" s="1321"/>
      <c r="AB144" s="1321"/>
      <c r="AC144" s="1321"/>
      <c r="AD144" s="1321"/>
      <c r="AE144" s="1321"/>
      <c r="AF144" s="1321"/>
      <c r="AG144" s="1321"/>
      <c r="AH144" s="1321"/>
      <c r="AI144" s="1321"/>
      <c r="AJ144" s="1321"/>
      <c r="AK144" s="1321"/>
      <c r="AL144" s="1321"/>
      <c r="AM144" s="1321"/>
      <c r="AN144" s="1321"/>
      <c r="AO144" s="1321"/>
      <c r="AP144" s="1321"/>
      <c r="AQ144" s="1321"/>
      <c r="AR144" s="1321"/>
      <c r="AS144" s="1321"/>
      <c r="AT144" s="1321"/>
      <c r="AU144" s="1321"/>
      <c r="AV144" s="1321"/>
      <c r="AW144" s="1321"/>
      <c r="AX144" s="1321"/>
      <c r="AY144" s="1321"/>
      <c r="AZ144" s="1321"/>
      <c r="BA144" s="1321"/>
      <c r="BB144" s="1236" t="s">
        <v>732</v>
      </c>
      <c r="BC144" s="1190" t="s">
        <v>1718</v>
      </c>
      <c r="BD144" s="1190" t="s">
        <v>1252</v>
      </c>
      <c r="BE144" s="1237">
        <v>0</v>
      </c>
      <c r="BF144" s="1237">
        <v>0</v>
      </c>
      <c r="BG144" s="1237">
        <v>0</v>
      </c>
      <c r="BH144" s="1237">
        <v>0</v>
      </c>
      <c r="BI144" s="1237">
        <v>0</v>
      </c>
      <c r="BJ144" s="1237">
        <v>0</v>
      </c>
      <c r="BK144" s="1238">
        <v>8</v>
      </c>
      <c r="BL144" s="1348"/>
      <c r="BM144" s="1076" t="str">
        <f t="shared" si="47"/>
        <v>Tourteau de colza</v>
      </c>
      <c r="BN144" s="1267">
        <f t="array" ref="BN144">SUM((IF(QualitéAlimentsBisonneauxMâles_0_3_mois=BONNE,VLOOKUP("Tourteau de colza",AlimentsRationHivernaleBisonsMâles,8,FALSE),0)+(IF(QualitéAlimentsBisonneauxFemelles_0_3_mois=BONNE,VLOOKUP("Tourteau de colza",AlimentsRationHivernaleBisonsFemelles,8,FALSE),0)+(IF(QualitéAlimentsBisonneauxMâles_3_6_mois=BONNE,VLOOKUP("Tourteau de colza",AlimentsRationHivernaleBisonsMâles,7,FALSE),0)+(IF(QualitéAlimentsBisonneauxFemelles_3_6_mois=BONNE,VLOOKUP("Tourteau de colza",AlimentsRationHivernaleBisonsFemelles,7,FALSE),0)+(IF(QualitéAlimentsBisonneauxMâles_6_12_mois=BONNE,VLOOKUP("Tourteau de colza",AlimentsRationHivernaleBisonsMâles,6,FALSE),0)+(IF(QualitéAlimentsBisonneauxFemelles_6_12_mois=BONNE,VLOOKUP("Tourteau de colza",AlimentsRationHivernaleBisonsFemelles,6,FALSE),0)+(IF(QualitéAlimentsJeunesBisons_12_18_mois=BONNE,VLOOKUP("Tourteau de colza",AlimentsRationHivernaleBisonsMâles,5,FALSE),0)+(IF(QualitéAlimentsJeunesBisonnes_12_18_mois=BONNE,VLOOKUP("Tourteau de colza",AlimentsRationHivernaleBisonsFemelles,5,FALSE),0)+(IF(QualitéAlimentsJeunesBisons_18_24_mois=BONNE,VLOOKUP("Tourteau de colza",AlimentsRationHivernaleBisonsMâles,4,FALSE),0)+(IF(QualitéAlimentsJeunesBisonnes_18_24_mois=BONNE,VLOOKUP("Tourteau de colza",AlimentsRationHivernaleBisonsFemelles,4,FALSE),0)+(IF(QualitéAlimentsJeunesBisons_24_36_mois=BONNE,VLOOKUP("Tourteau de colza",AlimentsRationHivernaleBisonsMâles,3,FALSE),0)+(IF(QualitéAlimentsJeunesBisonnes_24_36_mois=BONNE,VLOOKUP("Tourteau de colza",AlimentsRationHivernaleBisonsFemelles,3,FALSE),0)+(IF(QualitéAlimentsBisons=BONNE,VLOOKUP("Tourteau de colza",AlimentsRationHivernaleBisonsMâles,2,FALSE),0)+(IF(QualitéAlimentsBisonnes=BONNE,VLOOKUP("Tourteau de colza",AlimentsRationHivernaleBisonsFemelles,2,FALSE),0))))))))))))))))</f>
        <v>0</v>
      </c>
      <c r="BO144" s="1267">
        <f t="array" ref="BO144">SUM((IF(QualitéAlimentsBisonneauxMâles_0_3_mois=MOYENNE,VLOOKUP("Tourteau de colza",AlimentsRationHivernaleBisonsMâles,8,FALSE),0)+(IF(QualitéAlimentsBisonneauxFemelles_0_3_mois=MOYENNE,VLOOKUP("Tourteau de colza",AlimentsRationHivernaleBisonsFemelles,8,FALSE),0)+(IF(QualitéAlimentsBisonneauxMâles_3_6_mois=MOYENNE,VLOOKUP("Tourteau de colza",AlimentsRationHivernaleBisonsMâles,7,FALSE),0)+(IF(QualitéAlimentsBisonneauxFemelles_3_6_mois=MOYENNE,VLOOKUP("Tourteau de colza",AlimentsRationHivernaleBisonsFemelles,7,FALSE),0)+(IF(QualitéAlimentsBisonneauxMâles_6_12_mois=MOYENNE,VLOOKUP("Tourteau de colza",AlimentsRationHivernaleBisonsMâles,6,FALSE),0)+(IF(QualitéAlimentsBisonneauxFemelles_6_12_mois=MOYENNE,VLOOKUP("Tourteau de colza",AlimentsRationHivernaleBisonsFemelles,6,FALSE),0)+(IF(QualitéAlimentsJeunesBisons_12_18_mois=MOYENNE,VLOOKUP("Tourteau de colza",AlimentsRationHivernaleBisonsMâles,5,FALSE),0)+(IF(QualitéAlimentsJeunesBisonnes_12_18_mois=MOYENNE,VLOOKUP("Tourteau de colza",AlimentsRationHivernaleBisonsFemelles,5,FALSE),0)+(IF(QualitéAlimentsJeunesBisons_18_24_mois=MOYENNE,VLOOKUP("Tourteau de colza",AlimentsRationHivernaleBisonsMâles,4,FALSE),0)+(IF(QualitéAlimentsJeunesBisonnes_18_24_mois=MOYENNE,VLOOKUP("Tourteau de colza",AlimentsRationHivernaleBisonsFemelles,4,FALSE),0)+(IF(QualitéAlimentsJeunesBisons_24_36_mois=MOYENNE,VLOOKUP("Tourteau de colza",AlimentsRationHivernaleBisonsMâles,3,FALSE),0)+(IF(QualitéAlimentsJeunesBisonnes_24_36_mois=MOYENNE,VLOOKUP("Tourteau de colza",AlimentsRationHivernaleBisonsFemelles,3,FALSE),0)+(IF(QualitéAlimentsBisons=MOYENNE,VLOOKUP("Tourteau de colza",AlimentsRationHivernaleBisonsMâles,2,FALSE),0)+(IF(QualitéAlimentsBisonnes=MOYENNE,VLOOKUP("Tourteau de colza",AlimentsRationHivernaleBisonsFemelles,2,FALSE),0))))))))))))))))</f>
        <v>0</v>
      </c>
      <c r="BP144" s="1267">
        <f t="array" ref="BP144">SUM((IF(QualitéAlimentsBisonneauxMâles_0_3_mois=MAUVAISE,VLOOKUP("Tourteau de colza",AlimentsRationHivernaleBisonsMâles,8,FALSE),0)+(IF(QualitéAlimentsBisonneauxFemelles_0_3_mois=MAUVAISE,VLOOKUP("Tourteau de colza",AlimentsRationHivernaleBisonsFemelles,8,FALSE),0)+(IF(QualitéAlimentsBisonneauxMâles_3_6_mois=MAUVAISE,VLOOKUP("Tourteau de colza",AlimentsRationHivernaleBisonsMâles,7,FALSE),0)+(IF(QualitéAlimentsBisonneauxFemelles_3_6_mois=MAUVAISE,VLOOKUP("Tourteau de colza",AlimentsRationHivernaleBisonsFemelles,7,FALSE),0)+(IF(QualitéAlimentsBisonneauxMâles_6_12_mois=MAUVAISE,VLOOKUP("Tourteau de colza",AlimentsRationHivernaleBisonsMâles,6,FALSE),0)+(IF(QualitéAlimentsBisonneauxFemelles_6_12_mois=MAUVAISE,VLOOKUP("Tourteau de colza",AlimentsRationHivernaleBisonsFemelles,6,FALSE),0)+(IF(QualitéAlimentsJeunesBisons_12_18_mois=MAUVAISE,VLOOKUP("Tourteau de colza",AlimentsRationHivernaleBisonsMâles,5,FALSE),0)+(IF(QualitéAlimentsJeunesBisonnes_12_18_mois=MAUVAISE,VLOOKUP("Tourteau de colza",AlimentsRationHivernaleBisonsFemelles,5,FALSE),0)+(IF(QualitéAlimentsJeunesBisons_18_24_mois=MAUVAISE,VLOOKUP("Tourteau de colza",AlimentsRationHivernaleBisonsMâles,4,FALSE),0)+(IF(QualitéAlimentsJeunesBisonnes_18_24_mois=MAUVAISE,VLOOKUP("Tourteau de colza",AlimentsRationHivernaleBisonsFemelles,4,FALSE),0)+(IF(QualitéAlimentsJeunesBisons_24_36_mois=MAUVAISE,VLOOKUP("Tourteau de colza",AlimentsRationHivernaleBisonsMâles,3,FALSE),0)+(IF(QualitéAlimentsJeunesBisonnes_24_36_mois=MAUVAISE,VLOOKUP("Tourteau de colza",AlimentsRationHivernaleBisonsFemelles,3,FALSE),0)+(IF(QualitéAlimentsBisons=MAUVAISE,VLOOKUP("Tourteau de colza",AlimentsRationHivernaleBisonsMâles,2,FALSE),0)+(IF(QualitéAlimentsBisonnes=MAUVAISE,VLOOKUP("Tourteau de colza",AlimentsRationHivernaleBisonsFemelles,2,FALSE),0))))))))))))))))</f>
        <v>0</v>
      </c>
      <c r="BQ144" s="1346"/>
      <c r="BR144" s="1346"/>
      <c r="BS144" s="1346"/>
      <c r="BT144" s="1346"/>
      <c r="BU144" s="1346"/>
      <c r="BV144" s="1345"/>
      <c r="BW144" s="1345"/>
      <c r="BX144" s="1076" t="str">
        <f>BX106</f>
        <v>Avoine</v>
      </c>
      <c r="BY144" s="1076">
        <f t="array" ref="BY144">IF(ChoixRationComplèteCaprins=OUI,0,IFERROR(IF(OR(AND(INDEX(Règles_caprins[Specificite],MATCH(ChoixRationCaprins&amp;$BX144,Règles_caprins[Ration]&amp;Règles_caprins[Aliment],0))="s1",IF($BX144=Spécificité1Caprins,1)),
INDEX(Règles_caprins[Specificite],MATCH(ChoixRationCaprins&amp;$BX144,Règles_caprins[Ration]&amp;Règles_caprins[Aliment],0))="c"),
INDEX(Règles_caprins[Valeur 12 et plus],MATCH(ChoixRationCaprins&amp;$BX144,Règles_caprins[Ration]&amp;Règles_caprins[Aliment],0)),0),0)*TotalChèvres*SUM(NbreJoursNourrirCaprins))</f>
        <v>0</v>
      </c>
      <c r="BZ144" s="1076">
        <f t="array" ref="BZ144">IF(ChoixRationComplèteCaprins=OUI,0,IFERROR(IF(OR(AND(INDEX(Règles_caprins[Specificite],MATCH(ChoixRationCaprins&amp;$BX144,Règles_caprins[Ration]&amp;Règles_caprins[Aliment],0))="s1",IF($BX144=Spécificité1Caprins,1)),
INDEX(Règles_caprins[Specificite],MATCH(ChoixRationCaprins&amp;$BX144,Règles_caprins[Ration]&amp;Règles_caprins[Aliment],0))="c"),
INDEX(Règles_caprins[Valeur 6-12],MATCH(ChoixRationCaprins&amp;$BX144,Règles_caprins[Ration]&amp;Règles_caprins[Aliment],0)),0),0)*jeune_chèvre_6_12_mois*SUM(NbreJoursNourrirCaprins))</f>
        <v>0</v>
      </c>
      <c r="CA144" s="1076">
        <f t="array" ref="CA144">IF(ChoixRationComplèteCaprins=OUI,0,IFERROR(IF(OR(AND(INDEX(Règles_caprins[Specificite],MATCH(ChoixRationCaprins&amp;$BX144,Règles_caprins[Ration]&amp;Règles_caprins[Aliment],0))="s1",IF($BX144=Spécificité1Caprins,1)),
INDEX(Règles_caprins[Specificite],MATCH(ChoixRationCaprins&amp;$BX144,Règles_caprins[Ration]&amp;Règles_caprins[Aliment],0))="c"),
INDEX(Règles_caprins[Valeur 3-6],MATCH(ChoixRationCaprins&amp;$BX144,Règles_caprins[Ration]&amp;Règles_caprins[Aliment],0)),0),0)*chevrette_3_6_mois*SUM(NbreJoursNourrirCaprins))</f>
        <v>0</v>
      </c>
      <c r="CB144" s="1076">
        <f t="array" ref="CB144">IF(ChoixRationComplèteCaprins=OUI,0,IFERROR(IF(OR(AND(INDEX(Règles_caprins[Specificite],MATCH(ChoixRationCaprins&amp;$BX144,Règles_caprins[Ration]&amp;Règles_caprins[Aliment],0))="s1",IF($BX144=Spécificité1Caprins,1)),
INDEX(Règles_caprins[Specificite],MATCH(ChoixRationCaprins&amp;$BX144,Règles_caprins[Ration]&amp;Règles_caprins[Aliment],0))="c"),
INDEX(Règles_caprins[Valeur 0-3],MATCH(ChoixRationCaprins&amp;$BX144,Règles_caprins[Ration]&amp;Règles_caprins[Aliment],0)),0),0)*chevrette_0_3_mois*SUM(NbreJoursNourrirCaprins))</f>
        <v>0</v>
      </c>
      <c r="CC144" s="1076">
        <f t="shared" ref="CC144:CC178" si="56">SUM($BY144:$CB144)</f>
        <v>0</v>
      </c>
      <c r="CD144" s="1345"/>
      <c r="CE144" s="1345"/>
      <c r="CF144" s="1345"/>
      <c r="CG144" s="1345"/>
      <c r="CH144" s="1345"/>
      <c r="CI144" s="1321"/>
      <c r="CJ144" s="1075" t="str">
        <f t="shared" si="51"/>
        <v>Canola</v>
      </c>
      <c r="CK144" s="1269">
        <f t="array" ref="CK144">SUM((IF(QualitéAlimentsPorceletMâle_0_1_mois=BONNE,VLOOKUP("Canola",AlimentsRationPorcinsMâles[],6,FALSE),0)+(IF(QualitéAlimentsPorceletFemelle_0_1_mois=BONNE,VLOOKUP("Canola",AlimentsRationPorcinsFemelles[],6,FALSE),0)+(IF(QualitéAlimentsPorceletMâle_1_3_mois=BONNE,VLOOKUP("Canola",AlimentsRationPorcinsMâles[],5,FALSE),0)+(IF(QualitéAlimentsPorceletFemelle_1_3_mois=BONNE,VLOOKUP("Canola",AlimentsRationPorcinsFemelles[],5,FALSE),0)+(IF(QualitéAlimentsJeuneVerrat_3_6_mois=BONNE,VLOOKUP("Canola",AlimentsRationPorcinsMâles[],4,FALSE),0)+(IF(QualitéAlimentsJeuneTruie_3_6_mois=BONNE,VLOOKUP("Canola",AlimentsRationPorcinsFemelles[],4,FALSE),0)+(IF(QualitéAlimentsJeuneVerrat_6_12_mois=BONNE,VLOOKUP("Canola",AlimentsRationPorcinsMâles[],3,FALSE),0)+(IF(QualitéAlimentsJeuneTruie_6_12_mois=BONNE,VLOOKUP("Canola",AlimentsRationPorcinsFemelles[],3,FALSE),0)+(IF(QualitéAlimentsVerrat=BONNE,VLOOKUP("Canola",AlimentsRationPorcinsMâles[],2,FALSE),0)+(IF(QualitéAlimentsTruie=BONNE,VLOOKUP("Canola",AlimentsRationPorcinsFemelles[],2,FALSE),0))))))))))))</f>
        <v>0</v>
      </c>
      <c r="CL144" s="1269">
        <f t="array" ref="CL144">SUM((IF(QualitéAlimentsPorceletMâle_0_1_mois=MOYENNE,VLOOKUP("Canola",AlimentsRationPorcinsMâles[],6,FALSE),0)+(IF(QualitéAlimentsPorceletFemelle_0_1_mois=MOYENNE,VLOOKUP("Canola",AlimentsRationPorcinsFemelles[],6,FALSE),0)+(IF(QualitéAlimentsPorceletMâle_1_3_mois=MOYENNE,VLOOKUP("Canola",AlimentsRationPorcinsMâles[],5,FALSE),0)+(IF(QualitéAlimentsPorceletFemelle_1_3_mois=MOYENNE,VLOOKUP("Canola",AlimentsRationPorcinsFemelles[],5,FALSE),0)+(IF(QualitéAlimentsJeuneVerrat_3_6_mois=MOYENNE,VLOOKUP("Canola",AlimentsRationPorcinsMâles[],4,FALSE),0)+(IF(QualitéAlimentsJeuneTruie_3_6_mois=MOYENNE,VLOOKUP("Canola",AlimentsRationPorcinsFemelles[],4,FALSE),0)+(IF(QualitéAlimentsJeuneVerrat_6_12_mois=MOYENNE,VLOOKUP("Canola",AlimentsRationPorcinsMâles[],3,FALSE),0)+(IF(QualitéAlimentsJeuneTruie_6_12_mois=MOYENNE,VLOOKUP("Canola",AlimentsRationPorcinsFemelles[],3,FALSE),0)+(IF(QualitéAlimentsVerrat=MOYENNE,VLOOKUP("Canola",AlimentsRationPorcinsMâles[],2,FALSE),0)+(IF(QualitéAlimentsTruie=MOYENNE,VLOOKUP("Canola",AlimentsRationPorcinsFemelles[],2,FALSE),0))))))))))))</f>
        <v>0</v>
      </c>
      <c r="CM144" s="1269">
        <f t="array" ref="CM144">SUM((IF(QualitéAlimentsPorceletMâle_0_1_mois=MAUVAISE,VLOOKUP("Canola",AlimentsRationPorcinsMâles[],6,FALSE),0)+(IF(QualitéAlimentsPorceletFemelle_0_1_mois=MAUVAISE,VLOOKUP("Canola",AlimentsRationPorcinsFemelles[],6,FALSE),0)+(IF(QualitéAlimentsPorceletMâle_1_3_mois=MAUVAISE,VLOOKUP("Canola",AlimentsRationPorcinsMâles[],5,FALSE),0)+(IF(QualitéAlimentsPorceletFemelle_1_3_mois=MAUVAISE,VLOOKUP("Canola",AlimentsRationPorcinsFemelles[],5,FALSE),0)+(IF(QualitéAlimentsJeuneVerrat_3_6_mois=MAUVAISE,VLOOKUP("Canola",AlimentsRationPorcinsMâles[],4,FALSE),0)+(IF(QualitéAlimentsJeuneTruie_3_6_mois=MAUVAISE,VLOOKUP("Canola",AlimentsRationPorcinsFemelles[],4,FALSE),0)+(IF(QualitéAlimentsJeuneVerrat_6_12_mois=MAUVAISE,VLOOKUP("Canola",AlimentsRationPorcinsMâles[],3,FALSE),0)+(IF(QualitéAlimentsJeuneTruie_6_12_mois=MAUVAISE,VLOOKUP("Canola",AlimentsRationPorcinsFemelles[],3,FALSE),0)+(IF(QualitéAlimentsVerrat=MAUVAISE,VLOOKUP("Canola",AlimentsRationPorcinsMâles[],2,FALSE),0)+(IF(QualitéAlimentsTruie=MAUVAISE,VLOOKUP("Canola",AlimentsRationPorcinsFemelles[],2,FALSE),0))))))))))))</f>
        <v>0</v>
      </c>
      <c r="CN144" s="1321"/>
      <c r="CO144" s="1321"/>
      <c r="CP144" s="1345"/>
      <c r="CQ144" s="1321"/>
      <c r="CR144" s="1321"/>
      <c r="CS144" s="1336" t="s">
        <v>1478</v>
      </c>
      <c r="CT144" s="1336"/>
      <c r="CU144" s="1321"/>
      <c r="CV144" s="1321"/>
      <c r="CW144" s="1321"/>
      <c r="CX144" s="1321"/>
      <c r="CY144" s="1321"/>
      <c r="CZ144" s="789" t="s">
        <v>1372</v>
      </c>
      <c r="DA144" s="791" t="s">
        <v>159</v>
      </c>
      <c r="DB144" s="1321"/>
      <c r="DC144" s="1321"/>
      <c r="DD144" s="1321"/>
      <c r="DE144" s="1321"/>
      <c r="DF144" s="1321"/>
      <c r="DG144" s="1076" t="str">
        <f>DG48</f>
        <v>Avoine</v>
      </c>
      <c r="DH144" s="1267">
        <f t="array" ref="DH144">SUM((IF(QualitéAlimentsPintadeauMâle_0_1_mois=BONNE,VLOOKUP("Avoine",AlimentsRationPintadesMâles[],4,FALSE),0)+(IF(QualitéAlimentsPintadeauFemelle_0_1_mois=BONNE,VLOOKUP("Avoine",AlimentsRationPintadesFemelles[],4,FALSE),0)+(IF(QualitéAlimentsJeunePintadeMâle=BONNE,VLOOKUP("Avoine",AlimentsRationPintadesMâles[],3,FALSE),0)+(IF(QualitéAlimentsJeunePintadeFemelle=BONNE,VLOOKUP("Avoine",AlimentsRationPintadesFemelles[],3,FALSE),0)+(IF(QualitéAlimentsPintadeMâle=BONNE,VLOOKUP("Avoine",AlimentsRationPintadesMâles[],2,FALSE),0)+(IF(QualitéAlimentsPintadeFemelle=BONNE,VLOOKUP("Avoine",AlimentsRationPintadesFemelles[],2,FALSE),0))))))))</f>
        <v>0</v>
      </c>
      <c r="DI144" s="1267">
        <f t="array" ref="DI144">SUM((IF(QualitéAlimentsPintadeauMâle_0_1_mois=MOYENNE,VLOOKUP("Avoine",AlimentsRationPintadesMâles[],4,FALSE),0)+(IF(QualitéAlimentsPintadeauFemelle_0_1_mois=MOYENNE,VLOOKUP("Avoine",AlimentsRationPintadesFemelles[],4,FALSE),0)+(IF(QualitéAlimentsJeunePintadeMâle=MOYENNE,VLOOKUP("Avoine",AlimentsRationPintadesMâles[],3,FALSE),0)+(IF(QualitéAlimentsJeunePintadeFemelle=MOYENNE,VLOOKUP("Avoine",AlimentsRationPintadesFemelles[],3,FALSE),0)+(IF(QualitéAlimentsPintadeMâle=MOYENNE,VLOOKUP("Avoine",AlimentsRationPintadesMâles[],2,FALSE),0)+(IF(QualitéAlimentsPintadeFemelle=MOYENNE,VLOOKUP("Avoine",AlimentsRationPintadesFemelles[],2,FALSE),0))))))))</f>
        <v>0</v>
      </c>
      <c r="DJ144" s="1267">
        <f t="array" ref="DJ144">SUM((IF(QualitéAlimentsPintadeauMâle_0_1_mois=MAUVAISE,VLOOKUP("Avoine",AlimentsRationPintadesMâles[],4,FALSE),0)+(IF(QualitéAlimentsPintadeauFemelle_0_1_mois=MAUVAISE,VLOOKUP("Avoine",AlimentsRationPintadesFemelles[],4,FALSE),0)+(IF(QualitéAlimentsJeunePintadeMâle=MAUVAISE,VLOOKUP("Avoine",AlimentsRationPintadesMâles[],3,FALSE),0)+(IF(QualitéAlimentsJeunePintadeFemelle=MAUVAISE,VLOOKUP("Avoine",AlimentsRationPintadesFemelles[],3,FALSE),0)+(IF(QualitéAlimentsPintadeMâle=MAUVAISE,VLOOKUP("Avoine",AlimentsRationPintadesMâles[],2,FALSE),0)+(IF(QualitéAlimentsPintadeFemelle=MAUVAISE,VLOOKUP("Avoine",AlimentsRationPintadesFemelles[],2,FALSE),0))))))))</f>
        <v>0</v>
      </c>
      <c r="DK144" s="1321"/>
      <c r="DL144" s="1321"/>
      <c r="DM144" s="1321"/>
      <c r="DN144" s="1176" t="s">
        <v>1134</v>
      </c>
      <c r="DO144" s="1177" t="s">
        <v>715</v>
      </c>
      <c r="DP144" s="1177" t="s">
        <v>1252</v>
      </c>
      <c r="DQ144" s="1177">
        <v>0.6</v>
      </c>
      <c r="DR144" s="1177">
        <v>0.48</v>
      </c>
      <c r="DS144" s="1177">
        <v>0.36</v>
      </c>
      <c r="DT144" s="1191">
        <v>0.3</v>
      </c>
      <c r="DU144" s="1346"/>
      <c r="DV144" s="1321"/>
      <c r="DW144" s="1321"/>
      <c r="DX144" s="1321"/>
      <c r="DY144" s="1321"/>
      <c r="DZ144" s="1321"/>
      <c r="EA144" s="1321"/>
      <c r="EB144" s="1321"/>
      <c r="EC144" s="1321"/>
      <c r="ED144" s="1345"/>
      <c r="EE144" s="1345"/>
      <c r="EF144" s="1321"/>
      <c r="EG144" s="808" t="s">
        <v>900</v>
      </c>
      <c r="EH144" s="803"/>
      <c r="EI144" s="1321"/>
      <c r="EJ144" s="1321"/>
      <c r="EK144" s="1345"/>
      <c r="EL144" s="1345"/>
      <c r="EM144" s="1321"/>
      <c r="EN144" s="823" t="s">
        <v>1356</v>
      </c>
      <c r="EO144" s="825">
        <f>EO27*SUM(TotalCanetons)*SUM(NbreJoursNourrirAutres)</f>
        <v>0</v>
      </c>
      <c r="EP144" s="1321"/>
      <c r="EQ144" s="1321"/>
      <c r="ER144" s="1345"/>
      <c r="ES144" s="1345"/>
      <c r="ET144" s="1321"/>
      <c r="EU144" s="809" t="s">
        <v>723</v>
      </c>
      <c r="EV144" s="830">
        <f t="array" ref="EV144">IF(ChoixRationComplèteEtéChevauxSelle=NON,0,IFERROR(IF(OR(AND(INDEX(Règles_chevaux_selle[Specificite],MATCH(RationEtéChevauxSelle&amp;Ration_complète_chevaux_selle[aliment],Règles_chevaux_selle[Ration]&amp;Règles_chevaux_selle[Aliment],0))="s1",IF(Ration_complète_chevaux_selle[aliment]=Spécificité1ChevauxSelle,1)),
AND(INDEX(Règles_chevaux_selle[Specificite],MATCH(RationEtéChevauxSelle&amp;Ration_complète_chevaux_selle[aliment],Règles_chevaux_selle[Ration]&amp;Règles_chevaux_selle[Aliment],0))="s2",IF(Ration_complète_chevaux_selle[aliment]=Spécificité2ChevauxSelle,1)),
INDEX(Règles_chevaux_selle[Specificite],MATCH(RationEtéChevauxSelle&amp;Ration_complète_chevaux_selle[aliment],Règles_chevaux_selle[Ration]&amp;Règles_chevaux_selle[Aliment],0))="c",INDEX(Règles_chevaux_selle[Specificite],MATCH(RationEtéChevauxSelle&amp;Ration_complète_chevaux_selle[aliment],Règles_chevaux_selle[Ration]&amp;Règles_chevaux_selle[Aliment],0))="complet"),
INDEX(Règles_chevaux_selle[Valeur 36 et plus],MATCH(RationEtéChevauxSelle&amp;Ration_complète_chevaux_selle[aliment],Règles_chevaux_selle[Ration]&amp;Règles_chevaux_selle[Aliment],0)),0),0)*SUM(TotalChevauxSelleAdultes)*SUM(AE76:AE100))</f>
        <v>0</v>
      </c>
      <c r="EW144" s="830">
        <f t="array" ref="EW144">IF(ChoixRationComplèteEtéChevauxSelle=NON,0,IFERROR(IF(OR(AND(INDEX(Règles_chevaux_selle[Specificite],MATCH(RationEtéChevauxSelle&amp;Ration_complète_chevaux_selle[aliment],Règles_chevaux_selle[Ration]&amp;Règles_chevaux_selle[Aliment],0))="s1",IF(Ration_complète_chevaux_selle[aliment]=Spécificité1ChevauxSelle,1)),
AND(INDEX(Règles_chevaux_selle[Specificite],MATCH(RationEtéChevauxSelle&amp;Ration_complète_chevaux_selle[aliment],Règles_chevaux_selle[Ration]&amp;Règles_chevaux_selle[Aliment],0))="s2",IF(Ration_complète_chevaux_selle[aliment]=Spécificité2ChevauxSelle,1)),
INDEX(Règles_chevaux_selle[Specificite],MATCH(RationEtéChevauxSelle&amp;Ration_complète_chevaux_selle[aliment],Règles_chevaux_selle[Ration]&amp;Règles_chevaux_selle[Aliment],0))="c",INDEX(Règles_chevaux_selle[Specificite],MATCH(RationEtéChevauxSelle&amp;Ration_complète_chevaux_selle[aliment],Règles_chevaux_selle[Ration]&amp;Règles_chevaux_selle[Aliment],0))="complet"),
INDEX(Règles_chevaux_selle[Valeur 24-36],MATCH(RationEtéChevauxSelle&amp;Ration_complète_chevaux_selle[aliment],Règles_chevaux_selle[Ration]&amp;Règles_chevaux_selle[Aliment],0)),0),0)*SUM(TotalChevauxSelle_24_36mois)*SUM(AE76:AE100))</f>
        <v>0</v>
      </c>
      <c r="EX144" s="830">
        <f t="array" ref="EX144">IF(ChoixRationComplèteEtéChevauxSelle=NON,0,IFERROR(IF(OR(AND(INDEX(Règles_chevaux_selle[Specificite],MATCH(RationEtéChevauxSelle&amp;Ration_complète_chevaux_selle[aliment],Règles_chevaux_selle[Ration]&amp;Règles_chevaux_selle[Aliment],0))="s1",IF(Ration_complète_chevaux_selle[aliment]=Spécificité1ChevauxSelle,1)),
AND(INDEX(Règles_chevaux_selle[Specificite],MATCH(RationEtéChevauxSelle&amp;Ration_complète_chevaux_selle[aliment],Règles_chevaux_selle[Ration]&amp;Règles_chevaux_selle[Aliment],0))="s2",IF(Ration_complète_chevaux_selle[aliment]=Spécificité2ChevauxSelle,1)),
INDEX(Règles_chevaux_selle[Specificite],MATCH(RationEtéChevauxSelle&amp;Ration_complète_chevaux_selle[aliment],Règles_chevaux_selle[Ration]&amp;Règles_chevaux_selle[Aliment],0))="c",INDEX(Règles_chevaux_selle[Specificite],MATCH(RationEtéChevauxSelle&amp;Ration_complète_chevaux_selle[aliment],Règles_chevaux_selle[Ration]&amp;Règles_chevaux_selle[Aliment],0))="complet"),
INDEX(Règles_chevaux_selle[Valeur 12-24],MATCH(RationEtéChevauxSelle&amp;Ration_complète_chevaux_selle[aliment],Règles_chevaux_selle[Ration]&amp;Règles_chevaux_selle[Aliment],0)),0),0)*SUM(TotalChevauxSelle_12_24mois)*SUM(AE76:AE100))</f>
        <v>0</v>
      </c>
      <c r="EY144" s="830">
        <f t="array" ref="EY144">IF(ChoixRationComplèteEtéChevauxSelle=NON,0,IFERROR(IF(OR(AND(INDEX(Règles_chevaux_selle[Specificite],MATCH(RationEtéChevauxSelle&amp;Ration_complète_chevaux_selle[aliment],Règles_chevaux_selle[Ration]&amp;Règles_chevaux_selle[Aliment],0))="s1",IF(Ration_complète_chevaux_selle[aliment]=Spécificité1ChevauxSelle,1)),
AND(INDEX(Règles_chevaux_selle[Specificite],MATCH(RationEtéChevauxSelle&amp;Ration_complète_chevaux_selle[aliment],Règles_chevaux_selle[Ration]&amp;Règles_chevaux_selle[Aliment],0))="s2",IF(Ration_complète_chevaux_selle[aliment]=Spécificité2ChevauxSelle,1)),
INDEX(Règles_chevaux_selle[Specificite],MATCH(RationEtéChevauxSelle&amp;Ration_complète_chevaux_selle[aliment],Règles_chevaux_selle[Ration]&amp;Règles_chevaux_selle[Aliment],0))="c",INDEX(Règles_chevaux_selle[Specificite],MATCH(RationEtéChevauxSelle&amp;Ration_complète_chevaux_selle[aliment],Règles_chevaux_selle[Ration]&amp;Règles_chevaux_selle[Aliment],0))="complet"),
INDEX(Règles_chevaux_selle[Valeur 0-12],MATCH(RationEtéChevauxSelle&amp;Ration_complète_chevaux_selle[aliment],Règles_chevaux_selle[Ration]&amp;Règles_chevaux_selle[Aliment],0)),0),0)*SUM(TotalPoulainsSelle)*SUM(AE76:AE100))</f>
        <v>0</v>
      </c>
      <c r="EZ144" s="832">
        <f>SUM(Ration_complète_chevaux_selle[[Valeur 36 et plus]:[Valeur 0-12]])</f>
        <v>0</v>
      </c>
      <c r="FA144" s="1345"/>
      <c r="FB144" s="1345"/>
      <c r="FC144" s="1321"/>
      <c r="FD144" s="1082" t="str">
        <f t="shared" si="55"/>
        <v>Blé</v>
      </c>
      <c r="FE144" s="1282">
        <f t="array" ref="FE144">IF(OR(ChoixRationHivernaleComplèteChevauxTrait=OUI,ChoixRationHivernaleComplèteChevauxTrait="",ChoixChevauxTraitPréHiver=NON),0,IFERROR(IF(OR(AND(INDEX(Règles_chevaux_trait[Specificite],MATCH(RationHivernaleAuPréChevauxTrait&amp;$FD144,Règles_chevaux_trait[Ration]&amp;Règles_chevaux_trait[Aliment],0))="s1",IF($FD144=Spécificité1ChevauxTrait,1)),
AND(INDEX(Règles_chevaux_trait[Specificite],MATCH(RationHivernaleAuPréChevauxTrait&amp;$FD144,Règles_chevaux_trait[Ration]&amp;Règles_chevaux_trait[Aliment],0))="s2",IF($FD144=Spécificité2ChevauxTrait,1)),
INDEX(Règles_chevaux_trait[Specificite],MATCH(RationHivernaleAuPréChevauxTrait&amp;$FD144,Règles_chevaux_trait[Ration]&amp;Règles_chevaux_trait[Aliment],0))="c"),
INDEX(Règles_chevaux_trait[Valeur 36 et plus],MATCH(RationHivernaleAuPréChevauxTrait&amp;$FD144,Règles_chevaux_trait[Ration]&amp;Règles_chevaux_trait[Aliment],0)),0),0)*SUM(TotalChevauxTraitAdultes)*21)</f>
        <v>0</v>
      </c>
      <c r="FF144" s="1282">
        <f t="array" ref="FF144">IF(OR(ChoixRationHivernaleComplèteChevauxTrait=OUI,ChoixRationHivernaleComplèteChevauxTrait="",ChoixChevauxTraitPréHiver=NON),0,IFERROR(IF(OR(AND(INDEX(Règles_chevaux_trait[Specificite],MATCH(RationHivernaleAuPréChevauxTrait&amp;$FD144,Règles_chevaux_trait[Ration]&amp;Règles_chevaux_trait[Aliment],0))="s1",IF($FD144=Spécificité1ChevauxTrait,1)),
AND(INDEX(Règles_chevaux_trait[Specificite],MATCH(RationHivernaleAuPréChevauxTrait&amp;$FD144,Règles_chevaux_trait[Ration]&amp;Règles_chevaux_trait[Aliment],0))="s2",IF($FD144=Spécificité2ChevauxTrait,1)),
INDEX(Règles_chevaux_trait[Specificite],MATCH(RationHivernaleAuPréChevauxTrait&amp;$FD144,Règles_chevaux_trait[Ration]&amp;Règles_chevaux_trait[Aliment],0))="c"),
INDEX(Règles_chevaux_trait[Valeur 24-36],MATCH(RationHivernaleAuPréChevauxTrait&amp;$FD144,Règles_chevaux_trait[Ration]&amp;Règles_chevaux_trait[Aliment],0)),0),0)*SUM(TotalChevauxTrait_24_36mois)*21)</f>
        <v>0</v>
      </c>
      <c r="FG144" s="1282">
        <f t="array" ref="FG144">IF(OR(ChoixRationHivernaleComplèteChevauxTrait=OUI,ChoixRationHivernaleComplèteChevauxTrait="",ChoixChevauxTraitPréHiver=NON),0,IFERROR(IF(OR(AND(INDEX(Règles_chevaux_trait[Specificite],MATCH(RationHivernaleAuPréChevauxTrait&amp;$FD144,Règles_chevaux_trait[Ration]&amp;Règles_chevaux_trait[Aliment],0))="s1",IF($FD144=Spécificité1ChevauxTrait,1)),
AND(INDEX(Règles_chevaux_trait[Specificite],MATCH(RationHivernaleAuPréChevauxTrait&amp;$FD144,Règles_chevaux_trait[Ration]&amp;Règles_chevaux_trait[Aliment],0))="s2",IF($FD144=Spécificité2ChevauxTrait,1)),
INDEX(Règles_chevaux_trait[Specificite],MATCH(RationHivernaleAuPréChevauxTrait&amp;$FD144,Règles_chevaux_trait[Ration]&amp;Règles_chevaux_trait[Aliment],0))="c"),
INDEX(Règles_chevaux_trait[Valeur 12-24],MATCH(RationHivernaleAuPréChevauxTrait&amp;$FD144,Règles_chevaux_trait[Ration]&amp;Règles_chevaux_trait[Aliment],0)),0),0)*SUM(TotalChevauxTrait_12_24mois)*21)</f>
        <v>0</v>
      </c>
      <c r="FH144" s="1285">
        <f t="array" ref="FH144">IF(OR(ChoixRationHivernaleComplèteChevauxTrait=OUI,ChoixRationHivernaleComplèteChevauxTrait="",ChoixChevauxTraitPréHiver=NON),0,IFERROR(IF(OR(AND(INDEX(Règles_chevaux_trait[Specificite],MATCH(RationHivernaleAuPréChevauxTrait&amp;$FD144,Règles_chevaux_trait[Ration]&amp;Règles_chevaux_trait[Aliment],0))="s1",IF($FD144=Spécificité1ChevauxTrait,1)),
AND(INDEX(Règles_chevaux_trait[Specificite],MATCH(RationHivernaleAuPréChevauxTrait&amp;$FD144,Règles_chevaux_trait[Ration]&amp;Règles_chevaux_trait[Aliment],0))="s2",IF($FD144=Spécificité2ChevauxTrait,1)),
INDEX(Règles_chevaux_trait[Specificite],MATCH(RationHivernaleAuPréChevauxTrait&amp;$FD144,Règles_chevaux_trait[Ration]&amp;Règles_chevaux_trait[Aliment],0))="c"),
INDEX(Règles_chevaux_trait[Valeur 0-12],MATCH(RationHivernaleAuPréChevauxTrait&amp;$FD144,Règles_chevaux_trait[Ration]&amp;Règles_chevaux_trait[Aliment],0)),0),0)*SUM(TotalPoulainsTrait)*21)</f>
        <v>0</v>
      </c>
      <c r="FI144" s="1285">
        <f t="shared" si="53"/>
        <v>0</v>
      </c>
      <c r="FJ144" s="1345"/>
      <c r="FK144" s="1345"/>
      <c r="FL144" s="1345"/>
      <c r="FM144" s="1321"/>
      <c r="FN144" s="1083" t="str">
        <f t="shared" si="54"/>
        <v>Bouchons luzerne</v>
      </c>
      <c r="FO144" s="1283">
        <f t="array" ref="FO144">IF(OR(ChoixRationHivernaleComplètePoneys=OUI,ChoixRationHivernaleComplètePoneys="",ChoixPoneysPréHiver=NON),0,IFERROR(IF(OR(AND(INDEX(Règles_poneys[Specificite],MATCH(RationHivernaleAuPréPoneys&amp;$FN144,Règles_poneys[Ration]&amp;Règles_poneys[Aliment],0))="s1",IF($FN144=Spécificité1Poneys,1)),
AND(INDEX(Règles_poneys[Specificite],MATCH(RationHivernaleAuPréPoneys&amp;$FN144,Règles_poneys[Ration]&amp;Règles_poneys[Aliment],0))="s2",IF($FN144=Spécificité2Poneys,1)),
INDEX(Règles_poneys[Specificite],MATCH(RationHivernaleAuPréPoneys&amp;$FN144,Règles_poneys[Ration]&amp;Règles_poneys[Aliment],0))="c"),
INDEX(Règles_poneys[Valeur 36 et plus],MATCH(RationHivernaleAuPréPoneys&amp;$FN144,Règles_poneys[Ration]&amp;Règles_poneys[Aliment],0)),0),0)*SUM(TotalPoneysAdultes)*21)</f>
        <v>0</v>
      </c>
      <c r="FP144" s="1283">
        <f t="array" ref="FP144">IF(OR(ChoixRationHivernaleComplètePoneys=OUI,ChoixRationHivernaleComplètePoneys="",ChoixPoneysPréHiver=NON),0,IFERROR(IF(OR(AND(INDEX(Règles_poneys[Specificite],MATCH(RationHivernaleAuPréPoneys&amp;$FN144,Règles_poneys[Ration]&amp;Règles_poneys[Aliment],0))="s1",IF($FN144=Spécificité1Poneys,1)),
AND(INDEX(Règles_poneys[Specificite],MATCH(RationHivernaleAuPréPoneys&amp;$FN144,Règles_poneys[Ration]&amp;Règles_poneys[Aliment],0))="s2",IF($FN144=Spécificité2Poneys,1)),
INDEX(Règles_poneys[Specificite],MATCH(RationHivernaleAuPréPoneys&amp;$FN144,Règles_poneys[Ration]&amp;Règles_poneys[Aliment],0))="c"),
INDEX(Règles_poneys[Valeur 24-36],MATCH(RationHivernaleAuPréPoneys&amp;$FN144,Règles_poneys[Ration]&amp;Règles_poneys[Aliment],0)),0),0)*SUM(TotalPoneys_24_36mois)*21)</f>
        <v>0</v>
      </c>
      <c r="FQ144" s="1283">
        <f t="array" ref="FQ144">IF(OR(ChoixRationHivernaleComplètePoneys=OUI,ChoixRationHivernaleComplètePoneys="",ChoixPoneysPréHiver=NON),0,IFERROR(IF(OR(AND(INDEX(Règles_poneys[Specificite],MATCH(RationHivernaleAuPréPoneys&amp;$FN144,Règles_poneys[Ration]&amp;Règles_poneys[Aliment],0))="s1",IF($FN144=Spécificité1Poneys,1)),
AND(INDEX(Règles_poneys[Specificite],MATCH(RationHivernaleAuPréPoneys&amp;$FN144,Règles_poneys[Ration]&amp;Règles_poneys[Aliment],0))="s2",IF($FN144=Spécificité2Poneys,1)),
INDEX(Règles_poneys[Specificite],MATCH(RationHivernaleAuPréPoneys&amp;$FN144,Règles_poneys[Ration]&amp;Règles_poneys[Aliment],0))="c"),
INDEX(Règles_poneys[Valeur 12-24],MATCH(RationHivernaleAuPréPoneys&amp;$FN144,Règles_poneys[Ration]&amp;Règles_poneys[Aliment],0)),0),0)*SUM(TotalPoneys_12_24mois)*21)</f>
        <v>0</v>
      </c>
      <c r="FR144" s="1286">
        <f t="array" ref="FR144">IF(OR(ChoixRationHivernaleComplètePoneys=OUI,ChoixRationHivernaleComplètePoneys="",ChoixPoneysPréHiver=NON),0,IFERROR(IF(OR(AND(INDEX(Règles_poneys[Specificite],MATCH(RationHivernaleAuPréPoneys&amp;$FN144,Règles_poneys[Ration]&amp;Règles_poneys[Aliment],0))="s1",IF($FN144=Spécificité1Poneys,1)),
AND(INDEX(Règles_poneys[Specificite],MATCH(RationHivernaleAuPréPoneys&amp;$FN144,Règles_poneys[Ration]&amp;Règles_poneys[Aliment],0))="s2",IF($FN144=Spécificité2Poneys,1)),
INDEX(Règles_poneys[Specificite],MATCH(RationHivernaleAuPréPoneys&amp;$FN144,Règles_poneys[Ration]&amp;Règles_poneys[Aliment],0))="c"),
INDEX(Règles_poneys[Valeur 0-12],MATCH(RationHivernaleAuPréPoneys&amp;$FN144,Règles_poneys[Ration]&amp;Règles_poneys[Aliment],0)),0),0)*SUM(TotalPoulainsPoneys)*21)</f>
        <v>0</v>
      </c>
      <c r="FS144" s="1286">
        <f t="shared" si="52"/>
        <v>0</v>
      </c>
      <c r="FT144" s="1345"/>
      <c r="FU144" s="1345"/>
      <c r="FV144" s="1345"/>
      <c r="FW144" s="1082" t="str">
        <f t="shared" si="49"/>
        <v>concentré jeunes lapins</v>
      </c>
      <c r="FX144" s="1282">
        <f t="array" ref="FX144">SUM((IF(QualitéAlimentsGavageOison_0_1_mois=BONNE,VLOOKUP("Concentré jeunes lapins",AlimentsGavageOies[],5,FALSE),0)+(IF(QualitéAlimentsGavageCaneton_0_1_mois=BONNE,VLOOKUP("Concentré jeunes lapins",AlimentsGavageCanards[],5,FALSE),0)+(IF(QualitéAlimentsGavageOison_1_2_mois=BONNE,VLOOKUP("Concentré jeunes lapins",AlimentsGavageOies[],4,FALSE),0)+(IF(QualitéAlimentsGavageCaneton_1_2_mois=BONNE,VLOOKUP("Concentré jeunes lapins",AlimentsGavageCanards[],4,FALSE),0)+(IF(QualitéAlimentsGavageOison_2_3_mois=BONNE,VLOOKUP("Concentré jeunes lapins",AlimentsGavageOies[],3,FALSE),0)+(IF(QualitéAlimentsGavageCaneton_2_3_mois=BONNE,VLOOKUP("Concentré jeunes lapins",AlimentsGavageCanards[],3,FALSE),0)+(IF(QualitéAlimentsGavageJeunesOies=BONNE,VLOOKUP("Concentré jeunes lapins",AlimentsGavageOies[],2,FALSE),0)+(IF(QualitéAlimentsGavageJeuneCanard=BONNE,VLOOKUP("Concentré jeunes lapins",AlimentsGavageCanards[],2,FALSE),0))))))))))</f>
        <v>0</v>
      </c>
      <c r="FY144" s="1282">
        <f t="array" ref="FY144">SUM((IF(QualitéAlimentsGavageOison_0_1_mois=MOYENNE,VLOOKUP("Concentré jeunes lapins",AlimentsGavageOies[],5,FALSE),0)+(IF(QualitéAlimentsGavageCaneton_0_1_mois=MOYENNE,VLOOKUP("Concentré jeunes lapins",AlimentsGavageCanards[],5,FALSE),0)+(IF(QualitéAlimentsGavageOison_1_2_mois=MOYENNE,VLOOKUP("Concentré jeunes lapins",AlimentsGavageOies[],4,FALSE),0)+(IF(QualitéAlimentsGavageCaneton_1_2_mois=MOYENNE,VLOOKUP("Concentré jeunes lapins",AlimentsGavageCanards[],4,FALSE),0)+(IF(QualitéAlimentsGavageOison_2_3_mois=MOYENNE,VLOOKUP("Concentré jeunes lapins",AlimentsGavageOies[],3,FALSE),0)+(IF(QualitéAlimentsGavageCaneton_2_3_mois=MOYENNE,VLOOKUP("Concentré jeunes lapins",AlimentsGavageCanards[],3,FALSE),0)+(IF(QualitéAlimentsGavageJeunesOies=MOYENNE,VLOOKUP("Concentré jeunes lapins",AlimentsGavageOies[],2,FALSE),0)+(IF(QualitéAlimentsGavageJeuneCanard=MOYENNE,VLOOKUP("Concentré jeunes lapins",AlimentsGavageCanards[],2,FALSE),0))))))))))</f>
        <v>0</v>
      </c>
      <c r="FZ144" s="1282">
        <f t="array" ref="FZ144">SUM((IF(QualitéAlimentsGavageOison_0_1_mois=MAUVAISE,VLOOKUP("Concentré jeunes lapins",AlimentsGavageOies[],5,FALSE),0)+(IF(QualitéAlimentsGavageCaneton_0_1_mois=MAUVAISE,VLOOKUP("Concentré jeunes lapins",AlimentsGavageCanards[],5,FALSE),0)+(IF(QualitéAlimentsGavageOison_1_2_mois=MAUVAISE,VLOOKUP("Concentré jeunes lapins",AlimentsGavageOies[],4,FALSE),0)+(IF(QualitéAlimentsGavageCaneton_1_2_mois=MAUVAISE,VLOOKUP("Concentré jeunes lapins",AlimentsGavageCanards[],4,FALSE),0)+(IF(QualitéAlimentsGavageOison_2_3_mois=MAUVAISE,VLOOKUP("Concentré jeunes lapins",AlimentsGavageOies[],3,FALSE),0)+(IF(QualitéAlimentsGavageCaneton_2_3_mois=MAUVAISE,VLOOKUP("Concentré jeunes lapins",AlimentsGavageCanards[],3,FALSE),0)+(IF(QualitéAlimentsGavageJeunesOies=MAUVAISE,VLOOKUP("Concentré jeunes lapins",AlimentsGavageOies[],2,FALSE),0)+(IF(QualitéAlimentsGavageJeuneCanard=MAUVAISE,VLOOKUP("Concentré jeunes lapins",AlimentsGavageCanards[],2,FALSE),0))))))))))</f>
        <v>0</v>
      </c>
      <c r="GA144" s="1345"/>
      <c r="GB144" s="1345"/>
      <c r="GC144" s="1321"/>
      <c r="GD144" s="1321"/>
      <c r="GE144" s="1321"/>
      <c r="GF144" s="1321"/>
      <c r="GG144" s="1321" t="s">
        <v>1349</v>
      </c>
      <c r="GH144" s="1321" t="s">
        <v>1349</v>
      </c>
      <c r="GI144" s="1321" t="s">
        <v>1349</v>
      </c>
      <c r="GJ144" s="1321" t="s">
        <v>1349</v>
      </c>
      <c r="GK144" s="1321" t="s">
        <v>1349</v>
      </c>
      <c r="GL144" s="1321" t="s">
        <v>1349</v>
      </c>
      <c r="GM144" s="1321" t="s">
        <v>1349</v>
      </c>
      <c r="GN144" s="1321" t="s">
        <v>1349</v>
      </c>
      <c r="GO144" s="1321" t="s">
        <v>1349</v>
      </c>
      <c r="GP144" s="1321" t="s">
        <v>1349</v>
      </c>
      <c r="GQ144" s="1321" t="s">
        <v>1349</v>
      </c>
      <c r="GR144" s="1321" t="s">
        <v>1349</v>
      </c>
      <c r="GS144" s="1321" t="s">
        <v>1349</v>
      </c>
      <c r="GT144" s="1321" t="s">
        <v>1349</v>
      </c>
      <c r="GU144" s="1321" t="s">
        <v>1349</v>
      </c>
      <c r="GV144" s="1321" t="s">
        <v>1349</v>
      </c>
      <c r="GW144" s="1321"/>
      <c r="GX144" s="1321"/>
      <c r="GY144" s="1321"/>
      <c r="GZ144" s="1321"/>
      <c r="HA144" s="1321"/>
      <c r="HB144" s="1321"/>
      <c r="HC144" s="1321"/>
      <c r="HD144" s="1321"/>
      <c r="HE144" s="1321"/>
      <c r="HF144" s="1321"/>
      <c r="HG144" s="1321"/>
      <c r="HH144" s="1321"/>
      <c r="HI144" s="1321"/>
      <c r="HJ144" s="1321"/>
      <c r="HK144" s="1321"/>
      <c r="HL144" s="1321"/>
      <c r="HM144" s="1321"/>
      <c r="HN144" s="1321"/>
      <c r="HO144" s="1321"/>
      <c r="HP144" s="1321"/>
      <c r="HQ144" s="1321"/>
      <c r="HR144" s="1321"/>
      <c r="HS144" s="1321"/>
      <c r="HT144" s="1321"/>
      <c r="HU144" s="1321"/>
      <c r="HV144" s="1321"/>
      <c r="HW144" s="1321"/>
      <c r="HX144" s="1321"/>
      <c r="HY144" s="1321"/>
      <c r="HZ144" s="1321"/>
      <c r="IA144" s="1321"/>
      <c r="IB144" s="1321"/>
      <c r="IC144" s="1321"/>
      <c r="ID144" s="1321"/>
      <c r="IE144" s="1321"/>
      <c r="IF144" s="1321"/>
      <c r="IG144" s="1321"/>
      <c r="IH144" s="1321"/>
      <c r="II144" s="1321"/>
      <c r="IJ144" s="1321"/>
      <c r="IK144" s="1321"/>
      <c r="IL144" s="1321"/>
      <c r="IM144" s="1321"/>
      <c r="IN144" s="1368"/>
    </row>
    <row r="145" spans="1:248" ht="12.75" customHeight="1" x14ac:dyDescent="0.2">
      <c r="A145" s="1307" t="s">
        <v>199</v>
      </c>
      <c r="B145" s="1209">
        <v>4</v>
      </c>
      <c r="C145" s="1321"/>
      <c r="D145" s="1321"/>
      <c r="E145" s="1321"/>
      <c r="F145" s="1149" t="s">
        <v>1762</v>
      </c>
      <c r="G145" s="1149">
        <v>9.5</v>
      </c>
      <c r="H145" s="1321"/>
      <c r="I145" s="1075" t="str">
        <f t="shared" si="50"/>
        <v>50-59,99</v>
      </c>
      <c r="J145" s="1080">
        <f>IF(gains!F$4=BDD!O$127,10,IF(gains!F$4=BDD!P$127,20,IF(gains!F$4=BDD!Q$127,30,0)))</f>
        <v>10</v>
      </c>
      <c r="K145" s="1080">
        <f>IF(gains!$G$8=K$127,1,0)</f>
        <v>0</v>
      </c>
      <c r="L145" s="1080">
        <f>IF(gains!$G$8=L$127,2,0)</f>
        <v>0</v>
      </c>
      <c r="M145" s="1080">
        <f>IF(gains!$G$8=M$127,3,0)</f>
        <v>0</v>
      </c>
      <c r="N145" s="1080">
        <f>IF(gains!$G$8=N$127,4,0)</f>
        <v>0</v>
      </c>
      <c r="O145" s="1080">
        <f>IF(AND(J145=10,SUM(K145:N145)=1),gains!$F$39,IF(AND(J145=10,SUM(K145:N145)=2),gains!$F$39*2,IF(AND(J145=10,SUM(K145:N145)=3),gains!$F$39*3,IF(AND(J145=10,SUM(K145:N145)=4),gains!$F$39*4,0))))</f>
        <v>0</v>
      </c>
      <c r="P145" s="1080">
        <f>IF(AND(J145=20,SUM(K145:N145)=1),gains!$F$39*7,IF(AND(J145=20,SUM(K145:N145)=2),gains!$F$39*7*2,IF(AND(J145=20,SUM(K145:N145)=3),gains!$F$39*7*3,IF(AND(J145=20,SUM(K145:N145)=4),gains!$F$39*7*4,0))))</f>
        <v>0</v>
      </c>
      <c r="Q145" s="1080">
        <f>IF(AND(J145=30,SUM(K145:N145)=1),gains!$F$39*7*12,IF(AND(J145=30,SUM(K145:N145)=2),gains!$F$39*7*12*2,IF(AND(J145=30,SUM(K145:N145)=3),gains!$F$39*7*12*3,IF(AND(J145=30,SUM(K145:N145)=4),gains!$F$39*7*12*4,0))))</f>
        <v>0</v>
      </c>
      <c r="R145" s="1321"/>
      <c r="S145" s="1321"/>
      <c r="T145" s="1321"/>
      <c r="U145" s="1321"/>
      <c r="V145" s="1321"/>
      <c r="W145" s="1321"/>
      <c r="X145" s="1321"/>
      <c r="Y145" s="1321"/>
      <c r="Z145" s="1321"/>
      <c r="AA145" s="1321"/>
      <c r="AB145" s="1321"/>
      <c r="AC145" s="1321"/>
      <c r="AD145" s="1321"/>
      <c r="AE145" s="1321"/>
      <c r="AF145" s="1321"/>
      <c r="AG145" s="1321"/>
      <c r="AH145" s="1321"/>
      <c r="AI145" s="1321"/>
      <c r="AJ145" s="1321"/>
      <c r="AK145" s="1321"/>
      <c r="AL145" s="1321"/>
      <c r="AM145" s="1321"/>
      <c r="AN145" s="1321"/>
      <c r="AO145" s="1321"/>
      <c r="AP145" s="1321"/>
      <c r="AQ145" s="1321"/>
      <c r="AR145" s="1321"/>
      <c r="AS145" s="1321"/>
      <c r="AT145" s="1321"/>
      <c r="AU145" s="1321"/>
      <c r="AV145" s="1321"/>
      <c r="AW145" s="1321"/>
      <c r="AX145" s="1321"/>
      <c r="AY145" s="1321"/>
      <c r="AZ145" s="1321"/>
      <c r="BA145" s="1321"/>
      <c r="BB145" s="1236" t="s">
        <v>732</v>
      </c>
      <c r="BC145" s="1190" t="s">
        <v>733</v>
      </c>
      <c r="BD145" s="1190" t="s">
        <v>1252</v>
      </c>
      <c r="BE145" s="1237">
        <v>200</v>
      </c>
      <c r="BF145" s="1237">
        <v>100</v>
      </c>
      <c r="BG145" s="1237">
        <v>80</v>
      </c>
      <c r="BH145" s="1237">
        <v>60</v>
      </c>
      <c r="BI145" s="1237">
        <v>40</v>
      </c>
      <c r="BJ145" s="1237">
        <v>28</v>
      </c>
      <c r="BK145" s="1238">
        <v>12</v>
      </c>
      <c r="BL145" s="1348"/>
      <c r="BM145" s="1075" t="str">
        <f t="shared" si="47"/>
        <v>Tourteau de tournesol</v>
      </c>
      <c r="BN145" s="1269">
        <f t="array" ref="BN145">SUM((IF(QualitéAlimentsBisonneauxMâles_0_3_mois=BONNE,VLOOKUP("Tourteau de tournesol",AlimentsRationHivernaleBisonsMâles,8,FALSE),0)+(IF(QualitéAlimentsBisonneauxFemelles_0_3_mois=BONNE,VLOOKUP("Tourteau de tournesol",AlimentsRationHivernaleBisonsFemelles,8,FALSE),0)+(IF(QualitéAlimentsBisonneauxMâles_3_6_mois=BONNE,VLOOKUP("Tourteau de tournesol",AlimentsRationHivernaleBisonsMâles,7,FALSE),0)+(IF(QualitéAlimentsBisonneauxFemelles_3_6_mois=BONNE,VLOOKUP("Tourteau de tournesol",AlimentsRationHivernaleBisonsFemelles,7,FALSE),0)+(IF(QualitéAlimentsBisonneauxMâles_6_12_mois=BONNE,VLOOKUP("Tourteau de tournesol",AlimentsRationHivernaleBisonsMâles,6,FALSE),0)+(IF(QualitéAlimentsBisonneauxFemelles_6_12_mois=BONNE,VLOOKUP("Tourteau de tournesol",AlimentsRationHivernaleBisonsFemelles,6,FALSE),0)+(IF(QualitéAlimentsJeunesBisons_12_18_mois=BONNE,VLOOKUP("Tourteau de tournesol",AlimentsRationHivernaleBisonsMâles,5,FALSE),0)+(IF(QualitéAlimentsJeunesBisonnes_12_18_mois=BONNE,VLOOKUP("Tourteau de tournesol",AlimentsRationHivernaleBisonsFemelles,5,FALSE),0)+(IF(QualitéAlimentsJeunesBisons_18_24_mois=BONNE,VLOOKUP("Tourteau de tournesol",AlimentsRationHivernaleBisonsMâles,4,FALSE),0)+(IF(QualitéAlimentsJeunesBisonnes_18_24_mois=BONNE,VLOOKUP("Tourteau de tournesol",AlimentsRationHivernaleBisonsFemelles,4,FALSE),0)+(IF(QualitéAlimentsJeunesBisons_24_36_mois=BONNE,VLOOKUP("Tourteau de tournesol",AlimentsRationHivernaleBisonsMâles,3,FALSE),0)+(IF(QualitéAlimentsJeunesBisonnes_24_36_mois=BONNE,VLOOKUP("Tourteau de tournesol",AlimentsRationHivernaleBisonsFemelles,3,FALSE),0)+(IF(QualitéAlimentsBisons=BONNE,VLOOKUP("Tourteau de tournesol",AlimentsRationHivernaleBisonsMâles,2,FALSE),0)+(IF(QualitéAlimentsBisonnes=BONNE,VLOOKUP("Tourteau de tournesol",AlimentsRationHivernaleBisonsFemelles,2,FALSE),0))))))))))))))))</f>
        <v>0</v>
      </c>
      <c r="BO145" s="1269">
        <f t="array" ref="BO145">SUM((IF(QualitéAlimentsBisonneauxMâles_0_3_mois=MOYENNE,VLOOKUP("Tourteau de tournesol",AlimentsRationHivernaleBisonsMâles,8,FALSE),0)+(IF(QualitéAlimentsBisonneauxFemelles_0_3_mois=MOYENNE,VLOOKUP("Tourteau de tournesol",AlimentsRationHivernaleBisonsFemelles,8,FALSE),0)+(IF(QualitéAlimentsBisonneauxMâles_3_6_mois=MOYENNE,VLOOKUP("Tourteau de tournesol",AlimentsRationHivernaleBisonsMâles,7,FALSE),0)+(IF(QualitéAlimentsBisonneauxFemelles_3_6_mois=MOYENNE,VLOOKUP("Tourteau de tournesol",AlimentsRationHivernaleBisonsFemelles,7,FALSE),0)+(IF(QualitéAlimentsBisonneauxMâles_6_12_mois=MOYENNE,VLOOKUP("Tourteau de tournesol",AlimentsRationHivernaleBisonsMâles,6,FALSE),0)+(IF(QualitéAlimentsBisonneauxFemelles_6_12_mois=MOYENNE,VLOOKUP("Tourteau de tournesol",AlimentsRationHivernaleBisonsFemelles,6,FALSE),0)+(IF(QualitéAlimentsJeunesBisons_12_18_mois=MOYENNE,VLOOKUP("Tourteau de tournesol",AlimentsRationHivernaleBisonsMâles,5,FALSE),0)+(IF(QualitéAlimentsJeunesBisonnes_12_18_mois=MOYENNE,VLOOKUP("Tourteau de tournesol",AlimentsRationHivernaleBisonsFemelles,5,FALSE),0)+(IF(QualitéAlimentsJeunesBisons_18_24_mois=MOYENNE,VLOOKUP("Tourteau de tournesol",AlimentsRationHivernaleBisonsMâles,4,FALSE),0)+(IF(QualitéAlimentsJeunesBisonnes_18_24_mois=MOYENNE,VLOOKUP("Tourteau de tournesol",AlimentsRationHivernaleBisonsFemelles,4,FALSE),0)+(IF(QualitéAlimentsJeunesBisons_24_36_mois=MOYENNE,VLOOKUP("Tourteau de tournesol",AlimentsRationHivernaleBisonsMâles,3,FALSE),0)+(IF(QualitéAlimentsJeunesBisonnes_24_36_mois=MOYENNE,VLOOKUP("Tourteau de tournesol",AlimentsRationHivernaleBisonsFemelles,3,FALSE),0)+(IF(QualitéAlimentsBisons=MOYENNE,VLOOKUP("Tourteau de tournesol",AlimentsRationHivernaleBisonsMâles,2,FALSE),0)+(IF(QualitéAlimentsBisonnes=MOYENNE,VLOOKUP("Tourteau de tournesol",AlimentsRationHivernaleBisonsFemelles,2,FALSE),0))))))))))))))))</f>
        <v>0</v>
      </c>
      <c r="BP145" s="1269">
        <f t="array" ref="BP145">SUM((IF(QualitéAlimentsBisonneauxMâles_0_3_mois=MAUVAISE,VLOOKUP("Tourteau de tournesol",AlimentsRationHivernaleBisonsMâles,8,FALSE),0)+(IF(QualitéAlimentsBisonneauxFemelles_0_3_mois=MAUVAISE,VLOOKUP("Tourteau de tournesol",AlimentsRationHivernaleBisonsFemelles,8,FALSE),0)+(IF(QualitéAlimentsBisonneauxMâles_3_6_mois=MAUVAISE,VLOOKUP("Tourteau de tournesol",AlimentsRationHivernaleBisonsMâles,7,FALSE),0)+(IF(QualitéAlimentsBisonneauxFemelles_3_6_mois=MAUVAISE,VLOOKUP("Tourteau de tournesol",AlimentsRationHivernaleBisonsFemelles,7,FALSE),0)+(IF(QualitéAlimentsBisonneauxMâles_6_12_mois=MAUVAISE,VLOOKUP("Tourteau de tournesol",AlimentsRationHivernaleBisonsMâles,6,FALSE),0)+(IF(QualitéAlimentsBisonneauxFemelles_6_12_mois=MAUVAISE,VLOOKUP("Tourteau de tournesol",AlimentsRationHivernaleBisonsFemelles,6,FALSE),0)+(IF(QualitéAlimentsJeunesBisons_12_18_mois=MAUVAISE,VLOOKUP("Tourteau de tournesol",AlimentsRationHivernaleBisonsMâles,5,FALSE),0)+(IF(QualitéAlimentsJeunesBisonnes_12_18_mois=MAUVAISE,VLOOKUP("Tourteau de tournesol",AlimentsRationHivernaleBisonsFemelles,5,FALSE),0)+(IF(QualitéAlimentsJeunesBisons_18_24_mois=MAUVAISE,VLOOKUP("Tourteau de tournesol",AlimentsRationHivernaleBisonsMâles,4,FALSE),0)+(IF(QualitéAlimentsJeunesBisonnes_18_24_mois=MAUVAISE,VLOOKUP("Tourteau de tournesol",AlimentsRationHivernaleBisonsFemelles,4,FALSE),0)+(IF(QualitéAlimentsJeunesBisons_24_36_mois=MAUVAISE,VLOOKUP("Tourteau de tournesol",AlimentsRationHivernaleBisonsMâles,3,FALSE),0)+(IF(QualitéAlimentsJeunesBisonnes_24_36_mois=MAUVAISE,VLOOKUP("Tourteau de tournesol",AlimentsRationHivernaleBisonsFemelles,3,FALSE),0)+(IF(QualitéAlimentsBisons=MAUVAISE,VLOOKUP("Tourteau de tournesol",AlimentsRationHivernaleBisonsMâles,2,FALSE),0)+(IF(QualitéAlimentsBisonnes=MAUVAISE,VLOOKUP("Tourteau de tournesol",AlimentsRationHivernaleBisonsFemelles,2,FALSE),0))))))))))))))))</f>
        <v>0</v>
      </c>
      <c r="BQ145" s="1321"/>
      <c r="BR145" s="1321"/>
      <c r="BS145" s="1321"/>
      <c r="BT145" s="1321"/>
      <c r="BU145" s="1321"/>
      <c r="BV145" s="1345"/>
      <c r="BW145" s="1345"/>
      <c r="BX145" s="1075" t="str">
        <f t="shared" ref="BX145:BX178" si="57">BX107</f>
        <v>Betterave</v>
      </c>
      <c r="BY145" s="1075">
        <f t="array" ref="BY145">IF(ChoixRationComplèteCaprins=OUI,0,IFERROR(IF(OR(AND(INDEX(Règles_caprins[Specificite],MATCH(ChoixRationCaprins&amp;$BX145,Règles_caprins[Ration]&amp;Règles_caprins[Aliment],0))="s1",IF($BX145=Spécificité1Caprins,1)),
INDEX(Règles_caprins[Specificite],MATCH(ChoixRationCaprins&amp;$BX145,Règles_caprins[Ration]&amp;Règles_caprins[Aliment],0))="c"),
INDEX(Règles_caprins[Valeur 12 et plus],MATCH(ChoixRationCaprins&amp;$BX145,Règles_caprins[Ration]&amp;Règles_caprins[Aliment],0)),0),0)*TotalChèvres*SUM(NbreJoursNourrirCaprins))</f>
        <v>0</v>
      </c>
      <c r="BZ145" s="1075">
        <f t="array" ref="BZ145">IF(ChoixRationComplèteCaprins=OUI,0,IFERROR(IF(OR(AND(INDEX(Règles_caprins[Specificite],MATCH(ChoixRationCaprins&amp;$BX145,Règles_caprins[Ration]&amp;Règles_caprins[Aliment],0))="s1",IF($BX145=Spécificité1Caprins,1)),
INDEX(Règles_caprins[Specificite],MATCH(ChoixRationCaprins&amp;$BX145,Règles_caprins[Ration]&amp;Règles_caprins[Aliment],0))="c"),
INDEX(Règles_caprins[Valeur 6-12],MATCH(ChoixRationCaprins&amp;$BX145,Règles_caprins[Ration]&amp;Règles_caprins[Aliment],0)),0),0)*jeune_chèvre_6_12_mois*SUM(NbreJoursNourrirCaprins))</f>
        <v>0</v>
      </c>
      <c r="CA145" s="1075">
        <f t="array" ref="CA145">IF(ChoixRationComplèteCaprins=OUI,0,IFERROR(IF(OR(AND(INDEX(Règles_caprins[Specificite],MATCH(ChoixRationCaprins&amp;$BX145,Règles_caprins[Ration]&amp;Règles_caprins[Aliment],0))="s1",IF($BX145=Spécificité1Caprins,1)),
INDEX(Règles_caprins[Specificite],MATCH(ChoixRationCaprins&amp;$BX145,Règles_caprins[Ration]&amp;Règles_caprins[Aliment],0))="c"),
INDEX(Règles_caprins[Valeur 3-6],MATCH(ChoixRationCaprins&amp;$BX145,Règles_caprins[Ration]&amp;Règles_caprins[Aliment],0)),0),0)*chevrette_3_6_mois*SUM(NbreJoursNourrirCaprins))</f>
        <v>0</v>
      </c>
      <c r="CB145" s="1075">
        <f t="array" ref="CB145">IF(ChoixRationComplèteCaprins=OUI,0,IFERROR(IF(OR(AND(INDEX(Règles_caprins[Specificite],MATCH(ChoixRationCaprins&amp;$BX145,Règles_caprins[Ration]&amp;Règles_caprins[Aliment],0))="s1",IF($BX145=Spécificité1Caprins,1)),
INDEX(Règles_caprins[Specificite],MATCH(ChoixRationCaprins&amp;$BX145,Règles_caprins[Ration]&amp;Règles_caprins[Aliment],0))="c"),
INDEX(Règles_caprins[Valeur 0-3],MATCH(ChoixRationCaprins&amp;$BX145,Règles_caprins[Ration]&amp;Règles_caprins[Aliment],0)),0),0)*chevrette_0_3_mois*SUM(NbreJoursNourrirCaprins))</f>
        <v>0</v>
      </c>
      <c r="CC145" s="1075">
        <f t="shared" si="56"/>
        <v>0</v>
      </c>
      <c r="CD145" s="1345"/>
      <c r="CE145" s="1345"/>
      <c r="CF145" s="1345"/>
      <c r="CG145" s="1345"/>
      <c r="CH145" s="1345"/>
      <c r="CI145" s="1321"/>
      <c r="CJ145" s="1076" t="str">
        <f t="shared" si="51"/>
        <v>Colza</v>
      </c>
      <c r="CK145" s="1267">
        <f>SUM((IF(QualitéAlimentsPorceletMâle_0_1_mois=BONNE,VLOOKUP("Colza",AlimentsRationPorcinsMâles[],6,FALSE),0)+(IF(QualitéAlimentsPorceletFemelle_0_1_mois=BONNE,VLOOKUP("Colza",AlimentsRationPorcinsFemelles[],6,FALSE),0)+(IF(QualitéAlimentsPorceletMâle_1_3_mois=BONNE,VLOOKUP("Colza",AlimentsRationPorcinsMâles[],5,FALSE),0)+(IF(QualitéAlimentsPorceletFemelle_1_3_mois=BONNE,VLOOKUP("Colza",AlimentsRationPorcinsFemelles[],5,FALSE),0)+(IF(QualitéAlimentsJeuneVerrat_3_6_mois=BONNE,VLOOKUP("Colza",AlimentsRationPorcinsMâles[],4,FALSE),0)+(IF(QualitéAlimentsJeuneTruie_3_6_mois=BONNE,VLOOKUP("Colza",AlimentsRationPorcinsFemelles[],4,FALSE),0)+(IF(QualitéAlimentsJeuneVerrat_6_12_mois=BONNE,VLOOKUP("Colza",AlimentsRationPorcinsMâles[],3,FALSE),0)+(IF(QualitéAlimentsJeuneTruie_6_12_mois=BONNE,VLOOKUP("Colza",AlimentsRationPorcinsFemelles[],3,FALSE),0)+(IF(QualitéAlimentsVerrat=BONNE,VLOOKUP("Colza",AlimentsRationPorcinsMâles[],2,FALSE),0)+(IF(QualitéAlimentsTruie=BONNE,VLOOKUP("Colza",AlimentsRationPorcinsFemelles[],2,FALSE),0))))))))))))</f>
        <v>0</v>
      </c>
      <c r="CL145" s="1267">
        <f t="array" ref="CL145">SUM((IF(QualitéAlimentsPorceletMâle_0_1_mois=MOYENNE,VLOOKUP("Colza",AlimentsRationPorcinsMâles[],6,FALSE),0)+(IF(QualitéAlimentsPorceletFemelle_0_1_mois=MOYENNE,VLOOKUP("Colza",AlimentsRationPorcinsFemelles[],6,FALSE),0)+(IF(QualitéAlimentsPorceletMâle_1_3_mois=MOYENNE,VLOOKUP("Colza",AlimentsRationPorcinsMâles[],5,FALSE),0)+(IF(QualitéAlimentsPorceletFemelle_1_3_mois=MOYENNE,VLOOKUP("Colza",AlimentsRationPorcinsFemelles[],5,FALSE),0)+(IF(QualitéAlimentsJeuneVerrat_3_6_mois=MOYENNE,VLOOKUP("Colza",AlimentsRationPorcinsMâles[],4,FALSE),0)+(IF(QualitéAlimentsJeuneTruie_3_6_mois=MOYENNE,VLOOKUP("Colza",AlimentsRationPorcinsFemelles[],4,FALSE),0)+(IF(QualitéAlimentsJeuneVerrat_6_12_mois=MOYENNE,VLOOKUP("Colza",AlimentsRationPorcinsMâles[],3,FALSE),0)+(IF(QualitéAlimentsJeuneTruie_6_12_mois=MOYENNE,VLOOKUP("Colza",AlimentsRationPorcinsFemelles[],3,FALSE),0)+(IF(QualitéAlimentsVerrat=MOYENNE,VLOOKUP("Colza",AlimentsRationPorcinsMâles[],2,FALSE),0)+(IF(QualitéAlimentsTruie=MOYENNE,VLOOKUP("Colza",AlimentsRationPorcinsFemelles[],2,FALSE),0))))))))))))</f>
        <v>0</v>
      </c>
      <c r="CM145" s="1267">
        <f t="array" ref="CM145">SUM((IF(QualitéAlimentsPorceletMâle_0_1_mois=MAUVAISE,VLOOKUP("Colza",AlimentsRationPorcinsMâles[],6,FALSE),0)+(IF(QualitéAlimentsPorceletFemelle_0_1_mois=MAUVAISE,VLOOKUP("Colza",AlimentsRationPorcinsFemelles[],6,FALSE),0)+(IF(QualitéAlimentsPorceletMâle_1_3_mois=MAUVAISE,VLOOKUP("Colza",AlimentsRationPorcinsMâles[],5,FALSE),0)+(IF(QualitéAlimentsPorceletFemelle_1_3_mois=MAUVAISE,VLOOKUP("Colza",AlimentsRationPorcinsFemelles[],5,FALSE),0)+(IF(QualitéAlimentsJeuneVerrat_3_6_mois=MAUVAISE,VLOOKUP("Colza",AlimentsRationPorcinsMâles[],4,FALSE),0)+(IF(QualitéAlimentsJeuneTruie_3_6_mois=MAUVAISE,VLOOKUP("Colza",AlimentsRationPorcinsFemelles[],4,FALSE),0)+(IF(QualitéAlimentsJeuneVerrat_6_12_mois=MAUVAISE,VLOOKUP("Colza",AlimentsRationPorcinsMâles[],3,FALSE),0)+(IF(QualitéAlimentsJeuneTruie_6_12_mois=MAUVAISE,VLOOKUP("Colza",AlimentsRationPorcinsFemelles[],3,FALSE),0)+(IF(QualitéAlimentsVerrat=MAUVAISE,VLOOKUP("Colza",AlimentsRationPorcinsMâles[],2,FALSE),0)+(IF(QualitéAlimentsTruie=MAUVAISE,VLOOKUP("Colza",AlimentsRationPorcinsFemelles[],2,FALSE),0))))))))))))</f>
        <v>0</v>
      </c>
      <c r="CN145" s="1321"/>
      <c r="CO145" s="1321"/>
      <c r="CP145" s="1345"/>
      <c r="CQ145" s="1321"/>
      <c r="CR145" s="1321"/>
      <c r="CS145" s="789" t="s">
        <v>1372</v>
      </c>
      <c r="CT145" s="791" t="s">
        <v>159</v>
      </c>
      <c r="CU145" s="1321"/>
      <c r="CV145" s="1321"/>
      <c r="CW145" s="1321"/>
      <c r="CX145" s="1321"/>
      <c r="CY145" s="1321"/>
      <c r="CZ145" s="808" t="s">
        <v>811</v>
      </c>
      <c r="DA145" s="803">
        <f>DC16*TotalCoqs*SUM(NbreJoursNourrirAutres)</f>
        <v>0</v>
      </c>
      <c r="DB145" s="1321"/>
      <c r="DC145" s="1321"/>
      <c r="DD145" s="1321"/>
      <c r="DE145" s="1321"/>
      <c r="DF145" s="1321"/>
      <c r="DG145" s="1075" t="str">
        <f t="shared" ref="DG145:DG182" si="58">DG49</f>
        <v>Betterave</v>
      </c>
      <c r="DH145" s="1269">
        <f t="array" ref="DH145">SUM((IF(QualitéAlimentsPintadeauMâle_0_1_mois=BONNE,VLOOKUP("Betterave",AlimentsRationPintadesMâles[],4,FALSE),0)+(IF(QualitéAlimentsPintadeauFemelle_0_1_mois=BONNE,VLOOKUP("Betterave",AlimentsRationPintadesFemelles[],4,FALSE),0)+(IF(QualitéAlimentsJeunePintadeMâle=BONNE,VLOOKUP("Betterave",AlimentsRationPintadesMâles[],3,FALSE),0)+(IF(QualitéAlimentsJeunePintadeFemelle=BONNE,VLOOKUP("Betterave",AlimentsRationPintadesFemelles[],3,FALSE),0)+(IF(QualitéAlimentsPintadeMâle=BONNE,VLOOKUP("Betterave",AlimentsRationPintadesMâles[],2,FALSE),0)+(IF(QualitéAlimentsPintadeFemelle=BONNE,VLOOKUP("Betterave",AlimentsRationPintadesFemelles[],2,FALSE),0))))))))</f>
        <v>0</v>
      </c>
      <c r="DI145" s="1269">
        <f t="array" ref="DI145">SUM((IF(QualitéAlimentsPintadeauMâle_0_1_mois=MOYENNE,VLOOKUP("Betterave",AlimentsRationPintadesMâles[],4,FALSE),0)+(IF(QualitéAlimentsPintadeauFemelle_0_1_mois=MOYENNE,VLOOKUP("Betterave",AlimentsRationPintadesFemelles[],4,FALSE),0)+(IF(QualitéAlimentsJeunePintadeMâle=MOYENNE,VLOOKUP("Betterave",AlimentsRationPintadesMâles[],3,FALSE),0)+(IF(QualitéAlimentsJeunePintadeFemelle=MOYENNE,VLOOKUP("Betterave",AlimentsRationPintadesFemelles[],3,FALSE),0)+(IF(QualitéAlimentsPintadeMâle=MOYENNE,VLOOKUP("Betterave",AlimentsRationPintadesMâles[],2,FALSE),0)+(IF(QualitéAlimentsPintadeFemelle=MOYENNE,VLOOKUP("Betterave",AlimentsRationPintadesFemelles[],2,FALSE),0))))))))</f>
        <v>0</v>
      </c>
      <c r="DJ145" s="1269">
        <f t="array" ref="DJ145">SUM((IF(QualitéAlimentsPintadeauMâle_0_1_mois=MAUVAISE,VLOOKUP("Betterave",AlimentsRationPintadesMâles[],4,FALSE),0)+(IF(QualitéAlimentsPintadeauFemelle_0_1_mois=MAUVAISE,VLOOKUP("Betterave",AlimentsRationPintadesFemelles[],4,FALSE),0)+(IF(QualitéAlimentsJeunePintadeMâle=MAUVAISE,VLOOKUP("Betterave",AlimentsRationPintadesMâles[],3,FALSE),0)+(IF(QualitéAlimentsJeunePintadeFemelle=MAUVAISE,VLOOKUP("Betterave",AlimentsRationPintadesFemelles[],3,FALSE),0)+(IF(QualitéAlimentsPintadeMâle=MAUVAISE,VLOOKUP("Betterave",AlimentsRationPintadesMâles[],2,FALSE),0)+(IF(QualitéAlimentsPintadeFemelle=MAUVAISE,VLOOKUP("Betterave",AlimentsRationPintadesFemelles[],2,FALSE),0))))))))</f>
        <v>0</v>
      </c>
      <c r="DK145" s="1321"/>
      <c r="DL145" s="1321"/>
      <c r="DM145" s="1321"/>
      <c r="DN145" s="1176" t="s">
        <v>1134</v>
      </c>
      <c r="DO145" s="1177" t="s">
        <v>1271</v>
      </c>
      <c r="DP145" s="1177" t="s">
        <v>1252</v>
      </c>
      <c r="DQ145" s="1177">
        <v>0.1</v>
      </c>
      <c r="DR145" s="1177">
        <v>0.08</v>
      </c>
      <c r="DS145" s="1177">
        <v>0.06</v>
      </c>
      <c r="DT145" s="1191">
        <v>0.05</v>
      </c>
      <c r="DU145" s="1346"/>
      <c r="DV145" s="1321"/>
      <c r="DW145" s="1321"/>
      <c r="DX145" s="1321"/>
      <c r="DY145" s="1321"/>
      <c r="DZ145" s="1321"/>
      <c r="EA145" s="1321"/>
      <c r="EB145" s="1321"/>
      <c r="EC145" s="1321"/>
      <c r="ED145" s="1345"/>
      <c r="EE145" s="1345"/>
      <c r="EF145" s="1321"/>
      <c r="EG145" s="808" t="s">
        <v>901</v>
      </c>
      <c r="EH145" s="803">
        <f>EH28*SUM(TotalOisons)*SUM(NbreJoursNourrirAutres)</f>
        <v>0</v>
      </c>
      <c r="EI145" s="1321"/>
      <c r="EJ145" s="1321"/>
      <c r="EK145" s="1345"/>
      <c r="EL145" s="1345"/>
      <c r="EM145" s="1321"/>
      <c r="EN145" s="809" t="s">
        <v>1369</v>
      </c>
      <c r="EO145" s="810">
        <f>IF(ChoixPaillageCanards=OUI,SUBTOTAL(109,LitièreCanards[litière]),0)</f>
        <v>0</v>
      </c>
      <c r="EP145" s="1321"/>
      <c r="EQ145" s="1321"/>
      <c r="ER145" s="1345"/>
      <c r="ES145" s="1345"/>
      <c r="ET145" s="1321"/>
      <c r="EU145" s="1336"/>
      <c r="EV145" s="1336"/>
      <c r="EW145" s="1336"/>
      <c r="EX145" s="1336"/>
      <c r="EY145" s="1336"/>
      <c r="EZ145" s="1359"/>
      <c r="FA145" s="1345"/>
      <c r="FB145" s="1345"/>
      <c r="FC145" s="1321"/>
      <c r="FD145" s="1083" t="str">
        <f t="shared" si="55"/>
        <v>Bouchons luzerne</v>
      </c>
      <c r="FE145" s="1283">
        <f t="array" ref="FE145">IF(OR(ChoixRationHivernaleComplèteChevauxTrait=OUI,ChoixRationHivernaleComplèteChevauxTrait="",ChoixChevauxTraitPréHiver=NON),0,IFERROR(IF(OR(AND(INDEX(Règles_chevaux_trait[Specificite],MATCH(RationHivernaleAuPréChevauxTrait&amp;$FD145,Règles_chevaux_trait[Ration]&amp;Règles_chevaux_trait[Aliment],0))="s1",IF($FD145=Spécificité1ChevauxTrait,1)),
AND(INDEX(Règles_chevaux_trait[Specificite],MATCH(RationHivernaleAuPréChevauxTrait&amp;$FD145,Règles_chevaux_trait[Ration]&amp;Règles_chevaux_trait[Aliment],0))="s2",IF($FD145=Spécificité2ChevauxTrait,1)),
INDEX(Règles_chevaux_trait[Specificite],MATCH(RationHivernaleAuPréChevauxTrait&amp;$FD145,Règles_chevaux_trait[Ration]&amp;Règles_chevaux_trait[Aliment],0))="c"),
INDEX(Règles_chevaux_trait[Valeur 36 et plus],MATCH(RationHivernaleAuPréChevauxTrait&amp;$FD145,Règles_chevaux_trait[Ration]&amp;Règles_chevaux_trait[Aliment],0)),0),0)*SUM(TotalChevauxTraitAdultes)*21)</f>
        <v>0</v>
      </c>
      <c r="FF145" s="1283">
        <f t="array" ref="FF145">IF(OR(ChoixRationHivernaleComplèteChevauxTrait=OUI,ChoixRationHivernaleComplèteChevauxTrait="",ChoixChevauxTraitPréHiver=NON),0,IFERROR(IF(OR(AND(INDEX(Règles_chevaux_trait[Specificite],MATCH(RationHivernaleAuPréChevauxTrait&amp;$FD145,Règles_chevaux_trait[Ration]&amp;Règles_chevaux_trait[Aliment],0))="s1",IF($FD145=Spécificité1ChevauxTrait,1)),
AND(INDEX(Règles_chevaux_trait[Specificite],MATCH(RationHivernaleAuPréChevauxTrait&amp;$FD145,Règles_chevaux_trait[Ration]&amp;Règles_chevaux_trait[Aliment],0))="s2",IF($FD145=Spécificité2ChevauxTrait,1)),
INDEX(Règles_chevaux_trait[Specificite],MATCH(RationHivernaleAuPréChevauxTrait&amp;$FD145,Règles_chevaux_trait[Ration]&amp;Règles_chevaux_trait[Aliment],0))="c"),
INDEX(Règles_chevaux_trait[Valeur 24-36],MATCH(RationHivernaleAuPréChevauxTrait&amp;$FD145,Règles_chevaux_trait[Ration]&amp;Règles_chevaux_trait[Aliment],0)),0),0)*SUM(TotalChevauxTrait_24_36mois)*21)</f>
        <v>0</v>
      </c>
      <c r="FG145" s="1283">
        <f t="array" ref="FG145">IF(OR(ChoixRationHivernaleComplèteChevauxTrait=OUI,ChoixRationHivernaleComplèteChevauxTrait="",ChoixChevauxTraitPréHiver=NON),0,IFERROR(IF(OR(AND(INDEX(Règles_chevaux_trait[Specificite],MATCH(RationHivernaleAuPréChevauxTrait&amp;$FD145,Règles_chevaux_trait[Ration]&amp;Règles_chevaux_trait[Aliment],0))="s1",IF($FD145=Spécificité1ChevauxTrait,1)),
AND(INDEX(Règles_chevaux_trait[Specificite],MATCH(RationHivernaleAuPréChevauxTrait&amp;$FD145,Règles_chevaux_trait[Ration]&amp;Règles_chevaux_trait[Aliment],0))="s2",IF($FD145=Spécificité2ChevauxTrait,1)),
INDEX(Règles_chevaux_trait[Specificite],MATCH(RationHivernaleAuPréChevauxTrait&amp;$FD145,Règles_chevaux_trait[Ration]&amp;Règles_chevaux_trait[Aliment],0))="c"),
INDEX(Règles_chevaux_trait[Valeur 12-24],MATCH(RationHivernaleAuPréChevauxTrait&amp;$FD145,Règles_chevaux_trait[Ration]&amp;Règles_chevaux_trait[Aliment],0)),0),0)*SUM(TotalChevauxTrait_12_24mois)*21)</f>
        <v>0</v>
      </c>
      <c r="FH145" s="1286">
        <f t="array" ref="FH145">IF(OR(ChoixRationHivernaleComplèteChevauxTrait=OUI,ChoixRationHivernaleComplèteChevauxTrait="",ChoixChevauxTraitPréHiver=NON),0,IFERROR(IF(OR(AND(INDEX(Règles_chevaux_trait[Specificite],MATCH(RationHivernaleAuPréChevauxTrait&amp;$FD145,Règles_chevaux_trait[Ration]&amp;Règles_chevaux_trait[Aliment],0))="s1",IF($FD145=Spécificité1ChevauxTrait,1)),
AND(INDEX(Règles_chevaux_trait[Specificite],MATCH(RationHivernaleAuPréChevauxTrait&amp;$FD145,Règles_chevaux_trait[Ration]&amp;Règles_chevaux_trait[Aliment],0))="s2",IF($FD145=Spécificité2ChevauxTrait,1)),
INDEX(Règles_chevaux_trait[Specificite],MATCH(RationHivernaleAuPréChevauxTrait&amp;$FD145,Règles_chevaux_trait[Ration]&amp;Règles_chevaux_trait[Aliment],0))="c"),
INDEX(Règles_chevaux_trait[Valeur 0-12],MATCH(RationHivernaleAuPréChevauxTrait&amp;$FD145,Règles_chevaux_trait[Ration]&amp;Règles_chevaux_trait[Aliment],0)),0),0)*SUM(TotalPoulainsTrait)*21)</f>
        <v>0</v>
      </c>
      <c r="FI145" s="1286">
        <f t="shared" si="53"/>
        <v>0</v>
      </c>
      <c r="FJ145" s="1345"/>
      <c r="FK145" s="1345"/>
      <c r="FL145" s="1345"/>
      <c r="FM145" s="1321"/>
      <c r="FN145" s="1082" t="str">
        <f t="shared" si="54"/>
        <v>Chanvre</v>
      </c>
      <c r="FO145" s="1282">
        <f t="array" ref="FO145">IF(OR(ChoixRationHivernaleComplètePoneys=OUI,ChoixRationHivernaleComplètePoneys="",ChoixPoneysPréHiver=NON),0,IFERROR(IF(OR(AND(INDEX(Règles_poneys[Specificite],MATCH(RationHivernaleAuPréPoneys&amp;$FN145,Règles_poneys[Ration]&amp;Règles_poneys[Aliment],0))="s1",IF($FN145=Spécificité1Poneys,1)),
AND(INDEX(Règles_poneys[Specificite],MATCH(RationHivernaleAuPréPoneys&amp;$FN145,Règles_poneys[Ration]&amp;Règles_poneys[Aliment],0))="s2",IF($FN145=Spécificité2Poneys,1)),
INDEX(Règles_poneys[Specificite],MATCH(RationHivernaleAuPréPoneys&amp;$FN145,Règles_poneys[Ration]&amp;Règles_poneys[Aliment],0))="c"),
INDEX(Règles_poneys[Valeur 36 et plus],MATCH(RationHivernaleAuPréPoneys&amp;$FN145,Règles_poneys[Ration]&amp;Règles_poneys[Aliment],0)),0),0)*SUM(TotalPoneysAdultes)*21)</f>
        <v>0</v>
      </c>
      <c r="FP145" s="1282">
        <f t="array" ref="FP145">IF(OR(ChoixRationHivernaleComplètePoneys=OUI,ChoixRationHivernaleComplètePoneys="",ChoixPoneysPréHiver=NON),0,IFERROR(IF(OR(AND(INDEX(Règles_poneys[Specificite],MATCH(RationHivernaleAuPréPoneys&amp;$FN145,Règles_poneys[Ration]&amp;Règles_poneys[Aliment],0))="s1",IF($FN145=Spécificité1Poneys,1)),
AND(INDEX(Règles_poneys[Specificite],MATCH(RationHivernaleAuPréPoneys&amp;$FN145,Règles_poneys[Ration]&amp;Règles_poneys[Aliment],0))="s2",IF($FN145=Spécificité2Poneys,1)),
INDEX(Règles_poneys[Specificite],MATCH(RationHivernaleAuPréPoneys&amp;$FN145,Règles_poneys[Ration]&amp;Règles_poneys[Aliment],0))="c"),
INDEX(Règles_poneys[Valeur 24-36],MATCH(RationHivernaleAuPréPoneys&amp;$FN145,Règles_poneys[Ration]&amp;Règles_poneys[Aliment],0)),0),0)*SUM(TotalPoneys_24_36mois)*21)</f>
        <v>0</v>
      </c>
      <c r="FQ145" s="1282">
        <f t="array" ref="FQ145">IF(OR(ChoixRationHivernaleComplètePoneys=OUI,ChoixRationHivernaleComplètePoneys="",ChoixPoneysPréHiver=NON),0,IFERROR(IF(OR(AND(INDEX(Règles_poneys[Specificite],MATCH(RationHivernaleAuPréPoneys&amp;$FN145,Règles_poneys[Ration]&amp;Règles_poneys[Aliment],0))="s1",IF($FN145=Spécificité1Poneys,1)),
AND(INDEX(Règles_poneys[Specificite],MATCH(RationHivernaleAuPréPoneys&amp;$FN145,Règles_poneys[Ration]&amp;Règles_poneys[Aliment],0))="s2",IF($FN145=Spécificité2Poneys,1)),
INDEX(Règles_poneys[Specificite],MATCH(RationHivernaleAuPréPoneys&amp;$FN145,Règles_poneys[Ration]&amp;Règles_poneys[Aliment],0))="c"),
INDEX(Règles_poneys[Valeur 12-24],MATCH(RationHivernaleAuPréPoneys&amp;$FN145,Règles_poneys[Ration]&amp;Règles_poneys[Aliment],0)),0),0)*SUM(TotalPoneys_12_24mois)*21)</f>
        <v>0</v>
      </c>
      <c r="FR145" s="1285">
        <f t="array" ref="FR145">IF(OR(ChoixRationHivernaleComplètePoneys=OUI,ChoixRationHivernaleComplètePoneys="",ChoixPoneysPréHiver=NON),0,IFERROR(IF(OR(AND(INDEX(Règles_poneys[Specificite],MATCH(RationHivernaleAuPréPoneys&amp;$FN145,Règles_poneys[Ration]&amp;Règles_poneys[Aliment],0))="s1",IF($FN145=Spécificité1Poneys,1)),
AND(INDEX(Règles_poneys[Specificite],MATCH(RationHivernaleAuPréPoneys&amp;$FN145,Règles_poneys[Ration]&amp;Règles_poneys[Aliment],0))="s2",IF($FN145=Spécificité2Poneys,1)),
INDEX(Règles_poneys[Specificite],MATCH(RationHivernaleAuPréPoneys&amp;$FN145,Règles_poneys[Ration]&amp;Règles_poneys[Aliment],0))="c"),
INDEX(Règles_poneys[Valeur 0-12],MATCH(RationHivernaleAuPréPoneys&amp;$FN145,Règles_poneys[Ration]&amp;Règles_poneys[Aliment],0)),0),0)*SUM(TotalPoulainsPoneys)*21)</f>
        <v>0</v>
      </c>
      <c r="FS145" s="1285">
        <f t="shared" si="52"/>
        <v>0</v>
      </c>
      <c r="FT145" s="1345"/>
      <c r="FU145" s="1345"/>
      <c r="FV145" s="1345"/>
      <c r="FW145" s="1083" t="str">
        <f t="shared" si="49"/>
        <v>concentré jeunes porcins</v>
      </c>
      <c r="FX145" s="1283">
        <f t="array" ref="FX145">SUM((IF(QualitéAlimentsGavageOison_0_1_mois=BONNE,VLOOKUP("Concentré jeunes porcins",AlimentsGavageOies[],5,FALSE),0)+(IF(QualitéAlimentsGavageCaneton_0_1_mois=BONNE,VLOOKUP("Concentré jeunes porcins",AlimentsGavageCanards[],5,FALSE),0)+(IF(QualitéAlimentsGavageOison_1_2_mois=BONNE,VLOOKUP("Concentré jeunes porcins",AlimentsGavageOies[],4,FALSE),0)+(IF(QualitéAlimentsGavageCaneton_1_2_mois=BONNE,VLOOKUP("Concentré jeunes porcins",AlimentsGavageCanards[],4,FALSE),0)+(IF(QualitéAlimentsGavageOison_2_3_mois=BONNE,VLOOKUP("Concentré jeunes porcins",AlimentsGavageOies[],3,FALSE),0)+(IF(QualitéAlimentsGavageCaneton_2_3_mois=BONNE,VLOOKUP("Concentré jeunes porcins",AlimentsGavageCanards[],3,FALSE),0)+(IF(QualitéAlimentsGavageJeunesOies=BONNE,VLOOKUP("Concentré jeunes porcins",AlimentsGavageOies[],2,FALSE),0)+(IF(QualitéAlimentsGavageJeuneCanard=BONNE,VLOOKUP("Concentré jeunes porcins",AlimentsGavageCanards[],2,FALSE),0))))))))))</f>
        <v>0</v>
      </c>
      <c r="FY145" s="1283">
        <f t="array" ref="FY145">SUM((IF(QualitéAlimentsGavageOison_0_1_mois=MOYENNE,VLOOKUP("Concentré jeunes porcins",AlimentsGavageOies[],5,FALSE),0)+(IF(QualitéAlimentsGavageCaneton_0_1_mois=MOYENNE,VLOOKUP("Concentré jeunes porcins",AlimentsGavageCanards[],5,FALSE),0)+(IF(QualitéAlimentsGavageOison_1_2_mois=MOYENNE,VLOOKUP("Concentré jeunes porcins",AlimentsGavageOies[],4,FALSE),0)+(IF(QualitéAlimentsGavageCaneton_1_2_mois=MOYENNE,VLOOKUP("Concentré jeunes porcins",AlimentsGavageCanards[],4,FALSE),0)+(IF(QualitéAlimentsGavageOison_2_3_mois=MOYENNE,VLOOKUP("Concentré jeunes porcins",AlimentsGavageOies[],3,FALSE),0)+(IF(QualitéAlimentsGavageCaneton_2_3_mois=MOYENNE,VLOOKUP("Concentré jeunes porcins",AlimentsGavageCanards[],3,FALSE),0)+(IF(QualitéAlimentsGavageJeunesOies=MOYENNE,VLOOKUP("Concentré jeunes porcins",AlimentsGavageOies[],2,FALSE),0)+(IF(QualitéAlimentsGavageJeuneCanard=MOYENNE,VLOOKUP("Concentré jeunes porcins",AlimentsGavageCanards[],2,FALSE),0))))))))))</f>
        <v>0</v>
      </c>
      <c r="FZ145" s="1283">
        <f t="array" ref="FZ145">SUM((IF(QualitéAlimentsGavageOison_0_1_mois=MAUVAISE,VLOOKUP("Concentré jeunes porcins",AlimentsGavageOies[],5,FALSE),0)+(IF(QualitéAlimentsGavageCaneton_0_1_mois=MAUVAISE,VLOOKUP("Concentré jeunes porcins",AlimentsGavageCanards[],5,FALSE),0)+(IF(QualitéAlimentsGavageOison_1_2_mois=MAUVAISE,VLOOKUP("Concentré jeunes porcins",AlimentsGavageOies[],4,FALSE),0)+(IF(QualitéAlimentsGavageCaneton_1_2_mois=MAUVAISE,VLOOKUP("Concentré jeunes porcins",AlimentsGavageCanards[],4,FALSE),0)+(IF(QualitéAlimentsGavageOison_2_3_mois=MAUVAISE,VLOOKUP("Concentré jeunes porcins",AlimentsGavageOies[],3,FALSE),0)+(IF(QualitéAlimentsGavageCaneton_2_3_mois=MAUVAISE,VLOOKUP("Concentré jeunes porcins",AlimentsGavageCanards[],3,FALSE),0)+(IF(QualitéAlimentsGavageJeunesOies=MAUVAISE,VLOOKUP("Concentré jeunes porcins",AlimentsGavageOies[],2,FALSE),0)+(IF(QualitéAlimentsGavageJeuneCanard=MAUVAISE,VLOOKUP("Concentré jeunes porcins",AlimentsGavageCanards[],2,FALSE),0))))))))))</f>
        <v>0</v>
      </c>
      <c r="GA145" s="1345"/>
      <c r="GB145" s="1345"/>
      <c r="GC145" s="1321"/>
      <c r="GD145" s="1321"/>
      <c r="GE145" s="1321"/>
      <c r="GF145" s="1321"/>
      <c r="GG145" s="1321" t="s">
        <v>1349</v>
      </c>
      <c r="GH145" s="1321" t="s">
        <v>1349</v>
      </c>
      <c r="GI145" s="1321" t="s">
        <v>1349</v>
      </c>
      <c r="GJ145" s="1321" t="s">
        <v>1349</v>
      </c>
      <c r="GK145" s="1321" t="s">
        <v>1349</v>
      </c>
      <c r="GL145" s="1321" t="s">
        <v>1349</v>
      </c>
      <c r="GM145" s="1321" t="s">
        <v>1349</v>
      </c>
      <c r="GN145" s="1321" t="s">
        <v>1349</v>
      </c>
      <c r="GO145" s="1321" t="s">
        <v>1349</v>
      </c>
      <c r="GP145" s="1321" t="s">
        <v>1349</v>
      </c>
      <c r="GQ145" s="1321" t="s">
        <v>1349</v>
      </c>
      <c r="GR145" s="1321" t="s">
        <v>1349</v>
      </c>
      <c r="GS145" s="1321" t="s">
        <v>1349</v>
      </c>
      <c r="GT145" s="1321" t="s">
        <v>1349</v>
      </c>
      <c r="GU145" s="1321" t="s">
        <v>1349</v>
      </c>
      <c r="GV145" s="1321" t="s">
        <v>1349</v>
      </c>
      <c r="GW145" s="1321"/>
      <c r="GX145" s="1321"/>
      <c r="GY145" s="1321"/>
      <c r="GZ145" s="1321"/>
      <c r="HA145" s="1321"/>
      <c r="HB145" s="1321"/>
      <c r="HC145" s="1321"/>
      <c r="HD145" s="1321"/>
      <c r="HE145" s="1321"/>
      <c r="HF145" s="1321"/>
      <c r="HG145" s="1321"/>
      <c r="HH145" s="1321"/>
      <c r="HI145" s="1321"/>
      <c r="HJ145" s="1321"/>
      <c r="HK145" s="1321"/>
      <c r="HL145" s="1321"/>
      <c r="HM145" s="1321"/>
      <c r="HN145" s="1321"/>
      <c r="HO145" s="1321"/>
      <c r="HP145" s="1321"/>
      <c r="HQ145" s="1321"/>
      <c r="HR145" s="1321"/>
      <c r="HS145" s="1321"/>
      <c r="HT145" s="1321"/>
      <c r="HU145" s="1321"/>
      <c r="HV145" s="1321"/>
      <c r="HW145" s="1321"/>
      <c r="HX145" s="1321"/>
      <c r="HY145" s="1321"/>
      <c r="HZ145" s="1321"/>
      <c r="IA145" s="1321"/>
      <c r="IB145" s="1321"/>
      <c r="IC145" s="1321"/>
      <c r="ID145" s="1321"/>
      <c r="IE145" s="1321"/>
      <c r="IF145" s="1321"/>
      <c r="IG145" s="1321"/>
      <c r="IH145" s="1321"/>
      <c r="II145" s="1321"/>
      <c r="IJ145" s="1321"/>
      <c r="IK145" s="1321"/>
      <c r="IL145" s="1321"/>
      <c r="IM145" s="1321"/>
      <c r="IN145" s="1368"/>
    </row>
    <row r="146" spans="1:248" ht="12.75" customHeight="1" x14ac:dyDescent="0.2">
      <c r="A146" s="1307" t="s">
        <v>603</v>
      </c>
      <c r="B146" s="1209">
        <v>3</v>
      </c>
      <c r="C146" s="1321"/>
      <c r="D146" s="1321"/>
      <c r="E146" s="1321"/>
      <c r="F146" s="1143" t="s">
        <v>1763</v>
      </c>
      <c r="G146" s="1143">
        <v>2.5000000000000001E-3</v>
      </c>
      <c r="H146" s="1321"/>
      <c r="I146" s="1076" t="str">
        <f t="shared" si="50"/>
        <v>60-69,99</v>
      </c>
      <c r="J146" s="1081">
        <f>IF(gains!F$4=BDD!O$127,10,IF(gains!F$4=BDD!P$127,20,IF(gains!F$4=BDD!Q$127,30,0)))</f>
        <v>10</v>
      </c>
      <c r="K146" s="1081">
        <f>IF(gains!$G$8=K$127,1,0)</f>
        <v>0</v>
      </c>
      <c r="L146" s="1081">
        <f>IF(gains!$G$8=L$127,2,0)</f>
        <v>0</v>
      </c>
      <c r="M146" s="1081">
        <f>IF(gains!$G$8=M$127,3,0)</f>
        <v>0</v>
      </c>
      <c r="N146" s="1081">
        <f>IF(gains!$G$8=N$127,4,0)</f>
        <v>0</v>
      </c>
      <c r="O146" s="1081">
        <f>IF(AND(J146=10,SUM(K146:N146)=1),gains!$F$39,IF(AND(J146=10,SUM(K146:N146)=2),gains!$F$39*2,IF(AND(J146=10,SUM(K146:N146)=3),gains!$F$39*3,IF(AND(J146=10,SUM(K146:N146)=4),gains!$F$39*4,0))))</f>
        <v>0</v>
      </c>
      <c r="P146" s="1081">
        <f>IF(AND(J146=20,SUM(K146:N146)=1),gains!$F$39*7,IF(AND(J146=20,SUM(K146:N146)=2),gains!$F$39*7*2,IF(AND(J146=20,SUM(K146:N146)=3),gains!$F$39*7*3,IF(AND(J146=20,SUM(K146:N146)=4),gains!$F$39*7*4,0))))</f>
        <v>0</v>
      </c>
      <c r="Q146" s="1081">
        <f>IF(AND(J146=30,SUM(K146:N146)=1),gains!$F$39*7*12,IF(AND(J146=30,SUM(K146:N146)=2),gains!$F$39*7*12*2,IF(AND(J146=30,SUM(K146:N146)=3),gains!$F$39*7*12*3,IF(AND(J146=30,SUM(K146:N146)=4),gains!$F$39*7*12*4,0))))</f>
        <v>0</v>
      </c>
      <c r="R146" s="1321"/>
      <c r="S146" s="1321"/>
      <c r="T146" s="1321"/>
      <c r="U146" s="1321"/>
      <c r="V146" s="1321"/>
      <c r="W146" s="1321"/>
      <c r="X146" s="1321"/>
      <c r="Y146" s="1321"/>
      <c r="Z146" s="1321"/>
      <c r="AA146" s="1321"/>
      <c r="AB146" s="1321"/>
      <c r="AC146" s="1321"/>
      <c r="AD146" s="1321"/>
      <c r="AE146" s="1321"/>
      <c r="AF146" s="1321"/>
      <c r="AG146" s="1321"/>
      <c r="AH146" s="1321"/>
      <c r="AI146" s="1321"/>
      <c r="AJ146" s="1321"/>
      <c r="AK146" s="1321"/>
      <c r="AL146" s="1321"/>
      <c r="AM146" s="1321"/>
      <c r="AN146" s="1321"/>
      <c r="AO146" s="1321"/>
      <c r="AP146" s="1321"/>
      <c r="AQ146" s="1321"/>
      <c r="AR146" s="1321"/>
      <c r="AS146" s="1321"/>
      <c r="AT146" s="1321"/>
      <c r="AU146" s="1321"/>
      <c r="AV146" s="1321"/>
      <c r="AW146" s="1321"/>
      <c r="AX146" s="1321"/>
      <c r="AY146" s="1321"/>
      <c r="AZ146" s="1321"/>
      <c r="BA146" s="1321"/>
      <c r="BB146" s="1236" t="s">
        <v>731</v>
      </c>
      <c r="BC146" s="1190" t="s">
        <v>723</v>
      </c>
      <c r="BD146" s="1190" t="s">
        <v>1277</v>
      </c>
      <c r="BE146" s="1237">
        <v>0</v>
      </c>
      <c r="BF146" s="1237">
        <v>0</v>
      </c>
      <c r="BG146" s="1237">
        <v>0</v>
      </c>
      <c r="BH146" s="1237">
        <v>0</v>
      </c>
      <c r="BI146" s="1237">
        <v>0</v>
      </c>
      <c r="BJ146" s="1237">
        <v>0</v>
      </c>
      <c r="BK146" s="1238">
        <v>0</v>
      </c>
      <c r="BL146" s="1348"/>
      <c r="BM146" s="1076" t="str">
        <f t="shared" si="47"/>
        <v>Triticale</v>
      </c>
      <c r="BN146" s="1267">
        <f t="array" ref="BN146">SUM((IF(QualitéAlimentsBisonneauxMâles_0_3_mois=BONNE,VLOOKUP("Triticale",AlimentsRationHivernaleBisonsMâles,8,FALSE),0)+(IF(QualitéAlimentsBisonneauxFemelles_0_3_mois=BONNE,VLOOKUP("Triticale",AlimentsRationHivernaleBisonsFemelles,8,FALSE),0)+(IF(QualitéAlimentsBisonneauxMâles_3_6_mois=BONNE,VLOOKUP("Triticale",AlimentsRationHivernaleBisonsMâles,7,FALSE),0)+(IF(QualitéAlimentsBisonneauxFemelles_3_6_mois=BONNE,VLOOKUP("Triticale",AlimentsRationHivernaleBisonsFemelles,7,FALSE),0)+(IF(QualitéAlimentsBisonneauxMâles_6_12_mois=BONNE,VLOOKUP("Triticale",AlimentsRationHivernaleBisonsMâles,6,FALSE),0)+(IF(QualitéAlimentsBisonneauxFemelles_6_12_mois=BONNE,VLOOKUP("Triticale",AlimentsRationHivernaleBisonsFemelles,6,FALSE),0)+(IF(QualitéAlimentsJeunesBisons_12_18_mois=BONNE,VLOOKUP("Triticale",AlimentsRationHivernaleBisonsMâles,5,FALSE),0)+(IF(QualitéAlimentsJeunesBisonnes_12_18_mois=BONNE,VLOOKUP("Triticale",AlimentsRationHivernaleBisonsFemelles,5,FALSE),0)+(IF(QualitéAlimentsJeunesBisons_18_24_mois=BONNE,VLOOKUP("Triticale",AlimentsRationHivernaleBisonsMâles,4,FALSE),0)+(IF(QualitéAlimentsJeunesBisonnes_18_24_mois=BONNE,VLOOKUP("Triticale",AlimentsRationHivernaleBisonsFemelles,4,FALSE),0)+(IF(QualitéAlimentsJeunesBisons_24_36_mois=BONNE,VLOOKUP("Triticale",AlimentsRationHivernaleBisonsMâles,3,FALSE),0)+(IF(QualitéAlimentsJeunesBisonnes_24_36_mois=BONNE,VLOOKUP("Triticale",AlimentsRationHivernaleBisonsFemelles,3,FALSE),0)+(IF(QualitéAlimentsBisons=BONNE,VLOOKUP("Triticale",AlimentsRationHivernaleBisonsMâles,2,FALSE),0)+(IF(QualitéAlimentsBisonnes=BONNE,VLOOKUP("Triticale",AlimentsRationHivernaleBisonsFemelles,2,FALSE),0))))))))))))))))</f>
        <v>0</v>
      </c>
      <c r="BO146" s="1267">
        <f t="array" ref="BO146">SUM((IF(QualitéAlimentsBisonneauxMâles_0_3_mois=MOYENNE,VLOOKUP("Triticale",AlimentsRationHivernaleBisonsMâles,8,FALSE),0)+(IF(QualitéAlimentsBisonneauxFemelles_0_3_mois=MOYENNE,VLOOKUP("Triticale",AlimentsRationHivernaleBisonsFemelles,8,FALSE),0)+(IF(QualitéAlimentsBisonneauxMâles_3_6_mois=MOYENNE,VLOOKUP("Triticale",AlimentsRationHivernaleBisonsMâles,7,FALSE),0)+(IF(QualitéAlimentsBisonneauxFemelles_3_6_mois=MOYENNE,VLOOKUP("Triticale",AlimentsRationHivernaleBisonsFemelles,7,FALSE),0)+(IF(QualitéAlimentsBisonneauxMâles_6_12_mois=MOYENNE,VLOOKUP("Triticale",AlimentsRationHivernaleBisonsMâles,6,FALSE),0)+(IF(QualitéAlimentsBisonneauxFemelles_6_12_mois=MOYENNE,VLOOKUP("Triticale",AlimentsRationHivernaleBisonsFemelles,6,FALSE),0)+(IF(QualitéAlimentsJeunesBisons_12_18_mois=MOYENNE,VLOOKUP("Triticale",AlimentsRationHivernaleBisonsMâles,5,FALSE),0)+(IF(QualitéAlimentsJeunesBisonnes_12_18_mois=MOYENNE,VLOOKUP("Triticale",AlimentsRationHivernaleBisonsFemelles,5,FALSE),0)+(IF(QualitéAlimentsJeunesBisons_18_24_mois=MOYENNE,VLOOKUP("Triticale",AlimentsRationHivernaleBisonsMâles,4,FALSE),0)+(IF(QualitéAlimentsJeunesBisonnes_18_24_mois=MOYENNE,VLOOKUP("Triticale",AlimentsRationHivernaleBisonsFemelles,4,FALSE),0)+(IF(QualitéAlimentsJeunesBisons_24_36_mois=MOYENNE,VLOOKUP("Triticale",AlimentsRationHivernaleBisonsMâles,3,FALSE),0)+(IF(QualitéAlimentsJeunesBisonnes_24_36_mois=MOYENNE,VLOOKUP("Triticale",AlimentsRationHivernaleBisonsFemelles,3,FALSE),0)+(IF(QualitéAlimentsBisons=MOYENNE,VLOOKUP("Triticale",AlimentsRationHivernaleBisonsMâles,2,FALSE),0)+(IF(QualitéAlimentsBisonnes=MOYENNE,VLOOKUP("Triticale",AlimentsRationHivernaleBisonsFemelles,2,FALSE),0))))))))))))))))</f>
        <v>0</v>
      </c>
      <c r="BP146" s="1267">
        <f t="array" ref="BP146">SUM((IF(QualitéAlimentsBisonneauxMâles_0_3_mois=MAUVAISE,VLOOKUP("Triticale",AlimentsRationHivernaleBisonsMâles,8,FALSE),0)+(IF(QualitéAlimentsBisonneauxFemelles_0_3_mois=MAUVAISE,VLOOKUP("Triticale",AlimentsRationHivernaleBisonsFemelles,8,FALSE),0)+(IF(QualitéAlimentsBisonneauxMâles_3_6_mois=MAUVAISE,VLOOKUP("Triticale",AlimentsRationHivernaleBisonsMâles,7,FALSE),0)+(IF(QualitéAlimentsBisonneauxFemelles_3_6_mois=MAUVAISE,VLOOKUP("Triticale",AlimentsRationHivernaleBisonsFemelles,7,FALSE),0)+(IF(QualitéAlimentsBisonneauxMâles_6_12_mois=MAUVAISE,VLOOKUP("Triticale",AlimentsRationHivernaleBisonsMâles,6,FALSE),0)+(IF(QualitéAlimentsBisonneauxFemelles_6_12_mois=MAUVAISE,VLOOKUP("Triticale",AlimentsRationHivernaleBisonsFemelles,6,FALSE),0)+(IF(QualitéAlimentsJeunesBisons_12_18_mois=MAUVAISE,VLOOKUP("Triticale",AlimentsRationHivernaleBisonsMâles,5,FALSE),0)+(IF(QualitéAlimentsJeunesBisonnes_12_18_mois=MAUVAISE,VLOOKUP("Triticale",AlimentsRationHivernaleBisonsFemelles,5,FALSE),0)+(IF(QualitéAlimentsJeunesBisons_18_24_mois=MAUVAISE,VLOOKUP("Triticale",AlimentsRationHivernaleBisonsMâles,4,FALSE),0)+(IF(QualitéAlimentsJeunesBisonnes_18_24_mois=MAUVAISE,VLOOKUP("Triticale",AlimentsRationHivernaleBisonsFemelles,4,FALSE),0)+(IF(QualitéAlimentsJeunesBisons_24_36_mois=MAUVAISE,VLOOKUP("Triticale",AlimentsRationHivernaleBisonsMâles,3,FALSE),0)+(IF(QualitéAlimentsJeunesBisonnes_24_36_mois=MAUVAISE,VLOOKUP("Triticale",AlimentsRationHivernaleBisonsFemelles,3,FALSE),0)+(IF(QualitéAlimentsBisons=MAUVAISE,VLOOKUP("Triticale",AlimentsRationHivernaleBisonsMâles,2,FALSE),0)+(IF(QualitéAlimentsBisonnes=MAUVAISE,VLOOKUP("Triticale",AlimentsRationHivernaleBisonsFemelles,2,FALSE),0))))))))))))))))</f>
        <v>0</v>
      </c>
      <c r="BQ146" s="1321"/>
      <c r="BR146" s="1321"/>
      <c r="BS146" s="1321"/>
      <c r="BT146" s="1321"/>
      <c r="BU146" s="1321"/>
      <c r="BV146" s="1345"/>
      <c r="BW146" s="1345"/>
      <c r="BX146" s="1076" t="str">
        <f t="shared" si="57"/>
        <v>Blé</v>
      </c>
      <c r="BY146" s="1076">
        <f t="array" ref="BY146">IF(ChoixRationComplèteCaprins=OUI,0,IFERROR(IF(OR(AND(INDEX(Règles_caprins[Specificite],MATCH(ChoixRationCaprins&amp;$BX146,Règles_caprins[Ration]&amp;Règles_caprins[Aliment],0))="s1",IF($BX146=Spécificité1Caprins,1)),
INDEX(Règles_caprins[Specificite],MATCH(ChoixRationCaprins&amp;$BX146,Règles_caprins[Ration]&amp;Règles_caprins[Aliment],0))="c"),
INDEX(Règles_caprins[Valeur 12 et plus],MATCH(ChoixRationCaprins&amp;$BX146,Règles_caprins[Ration]&amp;Règles_caprins[Aliment],0)),0),0)*TotalChèvres*SUM(NbreJoursNourrirCaprins))</f>
        <v>0</v>
      </c>
      <c r="BZ146" s="1076">
        <f t="array" ref="BZ146">IF(ChoixRationComplèteCaprins=OUI,0,IFERROR(IF(OR(AND(INDEX(Règles_caprins[Specificite],MATCH(ChoixRationCaprins&amp;$BX146,Règles_caprins[Ration]&amp;Règles_caprins[Aliment],0))="s1",IF($BX146=Spécificité1Caprins,1)),
INDEX(Règles_caprins[Specificite],MATCH(ChoixRationCaprins&amp;$BX146,Règles_caprins[Ration]&amp;Règles_caprins[Aliment],0))="c"),
INDEX(Règles_caprins[Valeur 6-12],MATCH(ChoixRationCaprins&amp;$BX146,Règles_caprins[Ration]&amp;Règles_caprins[Aliment],0)),0),0)*jeune_chèvre_6_12_mois*SUM(NbreJoursNourrirCaprins))</f>
        <v>0</v>
      </c>
      <c r="CA146" s="1076">
        <f t="array" ref="CA146">IF(ChoixRationComplèteCaprins=OUI,0,IFERROR(IF(OR(AND(INDEX(Règles_caprins[Specificite],MATCH(ChoixRationCaprins&amp;$BX146,Règles_caprins[Ration]&amp;Règles_caprins[Aliment],0))="s1",IF($BX146=Spécificité1Caprins,1)),
INDEX(Règles_caprins[Specificite],MATCH(ChoixRationCaprins&amp;$BX146,Règles_caprins[Ration]&amp;Règles_caprins[Aliment],0))="c"),
INDEX(Règles_caprins[Valeur 3-6],MATCH(ChoixRationCaprins&amp;$BX146,Règles_caprins[Ration]&amp;Règles_caprins[Aliment],0)),0),0)*chevrette_3_6_mois*SUM(NbreJoursNourrirCaprins))</f>
        <v>0</v>
      </c>
      <c r="CB146" s="1076">
        <f t="array" ref="CB146">IF(ChoixRationComplèteCaprins=OUI,0,IFERROR(IF(OR(AND(INDEX(Règles_caprins[Specificite],MATCH(ChoixRationCaprins&amp;$BX146,Règles_caprins[Ration]&amp;Règles_caprins[Aliment],0))="s1",IF($BX146=Spécificité1Caprins,1)),
INDEX(Règles_caprins[Specificite],MATCH(ChoixRationCaprins&amp;$BX146,Règles_caprins[Ration]&amp;Règles_caprins[Aliment],0))="c"),
INDEX(Règles_caprins[Valeur 0-3],MATCH(ChoixRationCaprins&amp;$BX146,Règles_caprins[Ration]&amp;Règles_caprins[Aliment],0)),0),0)*chevrette_0_3_mois*SUM(NbreJoursNourrirCaprins))</f>
        <v>0</v>
      </c>
      <c r="CC146" s="1076">
        <f t="shared" si="56"/>
        <v>0</v>
      </c>
      <c r="CD146" s="1345"/>
      <c r="CE146" s="1345"/>
      <c r="CF146" s="1345"/>
      <c r="CG146" s="1345"/>
      <c r="CH146" s="1345"/>
      <c r="CI146" s="1321"/>
      <c r="CJ146" s="1075" t="str">
        <f t="shared" si="51"/>
        <v>concentré jeunes bovins</v>
      </c>
      <c r="CK146" s="1269">
        <f t="array" ref="CK146">SUM((IF(QualitéAlimentsPorceletMâle_0_1_mois=BONNE,VLOOKUP("Concentré jeunes bovins",AlimentsRationPorcinsMâles[],6,FALSE),0)+(IF(QualitéAlimentsPorceletFemelle_0_1_mois=BONNE,VLOOKUP("Concentré jeunes bovins",AlimentsRationPorcinsFemelles[],6,FALSE),0)+(IF(QualitéAlimentsPorceletMâle_1_3_mois=BONNE,VLOOKUP("Concentré jeunes bovins",AlimentsRationPorcinsMâles[],5,FALSE),0)+(IF(QualitéAlimentsPorceletFemelle_1_3_mois=BONNE,VLOOKUP("Concentré jeunes bovins",AlimentsRationPorcinsFemelles[],5,FALSE),0)+(IF(QualitéAlimentsJeuneVerrat_3_6_mois=BONNE,VLOOKUP("Concentré jeunes bovins",AlimentsRationPorcinsMâles[],4,FALSE),0)+(IF(QualitéAlimentsJeuneTruie_3_6_mois=BONNE,VLOOKUP("Concentré jeunes bovins",AlimentsRationPorcinsFemelles[],4,FALSE),0)+(IF(QualitéAlimentsJeuneVerrat_6_12_mois=BONNE,VLOOKUP("Concentré jeunes bovins",AlimentsRationPorcinsMâles[],3,FALSE),0)+(IF(QualitéAlimentsJeuneTruie_6_12_mois=BONNE,VLOOKUP("Concentré jeunes bovins",AlimentsRationPorcinsFemelles[],3,FALSE),0))))))))))</f>
        <v>0</v>
      </c>
      <c r="CL146" s="1269">
        <f t="array" ref="CL146">SUM((IF(QualitéAlimentsPorceletMâle_0_1_mois=MOYENNE,VLOOKUP("Concentré jeunes bovins",AlimentsRationPorcinsMâles[],6,FALSE),0)+(IF(QualitéAlimentsPorceletFemelle_0_1_mois=MOYENNE,VLOOKUP("Concentré jeunes bovins",AlimentsRationPorcinsFemelles[],6,FALSE),0)+(IF(QualitéAlimentsPorceletMâle_1_3_mois=MOYENNE,VLOOKUP("Concentré jeunes bovins",AlimentsRationPorcinsMâles[],5,FALSE),0)+(IF(QualitéAlimentsPorceletFemelle_1_3_mois=MOYENNE,VLOOKUP("Concentré jeunes bovins",AlimentsRationPorcinsFemelles[],5,FALSE),0)+(IF(QualitéAlimentsJeuneVerrat_3_6_mois=MOYENNE,VLOOKUP("Concentré jeunes bovins",AlimentsRationPorcinsMâles[],4,FALSE),0)+(IF(QualitéAlimentsJeuneTruie_3_6_mois=MOYENNE,VLOOKUP("Concentré jeunes bovins",AlimentsRationPorcinsFemelles[],4,FALSE),0)+(IF(QualitéAlimentsJeuneVerrat_6_12_mois=MOYENNE,VLOOKUP("Concentré jeunes bovins",AlimentsRationPorcinsMâles[],3,FALSE),0)+(IF(QualitéAlimentsJeuneTruie_6_12_mois=MOYENNE,VLOOKUP("Concentré jeunes bovins",AlimentsRationPorcinsFemelles[],3,FALSE),0)+(IF(QualitéAlimentsVerrat=MOYENNE,VLOOKUP("Concentré jeunes bovins",AlimentsRationPorcinsMâles[],2,FALSE),0)+(IF(QualitéAlimentsTruie=MOYENNE,VLOOKUP("Concentré jeunes bovins",AlimentsRationPorcinsFemelles[],2,FALSE),0))))))))))))</f>
        <v>0</v>
      </c>
      <c r="CM146" s="1269">
        <f t="array" ref="CM146">SUM((IF(QualitéAlimentsPorceletMâle_0_1_mois=MAUVAISE,VLOOKUP("Concentré jeunes bovins",AlimentsRationPorcinsMâles[],6,FALSE),0)+(IF(QualitéAlimentsPorceletFemelle_0_1_mois=MAUVAISE,VLOOKUP("Concentré jeunes bovins",AlimentsRationPorcinsFemelles[],6,FALSE),0)+(IF(QualitéAlimentsPorceletMâle_1_3_mois=MAUVAISE,VLOOKUP("Concentré jeunes bovins",AlimentsRationPorcinsMâles[],5,FALSE),0)+(IF(QualitéAlimentsPorceletFemelle_1_3_mois=MAUVAISE,VLOOKUP("Concentré jeunes bovins",AlimentsRationPorcinsFemelles[],5,FALSE),0)+(IF(QualitéAlimentsJeuneVerrat_3_6_mois=MAUVAISE,VLOOKUP("Concentré jeunes bovins",AlimentsRationPorcinsMâles[],4,FALSE),0)+(IF(QualitéAlimentsJeuneTruie_3_6_mois=MAUVAISE,VLOOKUP("Concentré jeunes bovins",AlimentsRationPorcinsFemelles[],4,FALSE),0)+(IF(QualitéAlimentsJeuneVerrat_6_12_mois=MAUVAISE,VLOOKUP("Concentré jeunes bovins",AlimentsRationPorcinsMâles[],3,FALSE),0)+(IF(QualitéAlimentsJeuneTruie_6_12_mois=MAUVAISE,VLOOKUP("Concentré jeunes bovins",AlimentsRationPorcinsFemelles[],3,FALSE),0)+(IF(QualitéAlimentsVerrat=MAUVAISE,VLOOKUP("Concentré jeunes bovins",AlimentsRationPorcinsMâles[],2,FALSE),0)+(IF(QualitéAlimentsTruie=MAUVAISE,VLOOKUP("Concentré jeunes bovins",AlimentsRationPorcinsFemelles[],2,FALSE),0))))))))))))</f>
        <v>0</v>
      </c>
      <c r="CN146" s="1321"/>
      <c r="CO146" s="1321"/>
      <c r="CP146" s="1345"/>
      <c r="CQ146" s="1321"/>
      <c r="CR146" s="1321"/>
      <c r="CS146" s="808" t="s">
        <v>791</v>
      </c>
      <c r="CT146" s="803">
        <f>CT22*TotalLapins*SUM(NbreJoursNourrirAutres)</f>
        <v>0</v>
      </c>
      <c r="CU146" s="1321"/>
      <c r="CV146" s="1321"/>
      <c r="CW146" s="1321"/>
      <c r="CX146" s="1321"/>
      <c r="CY146" s="1321"/>
      <c r="CZ146" s="808" t="s">
        <v>812</v>
      </c>
      <c r="DA146" s="803">
        <f>DC17*TotalPoules*SUM(NbreJoursNourrirAutres)</f>
        <v>0</v>
      </c>
      <c r="DB146" s="1321"/>
      <c r="DC146" s="1321"/>
      <c r="DD146" s="1321"/>
      <c r="DE146" s="1321"/>
      <c r="DF146" s="1321"/>
      <c r="DG146" s="1076" t="str">
        <f t="shared" si="58"/>
        <v>Blé</v>
      </c>
      <c r="DH146" s="1267">
        <f t="array" ref="DH146">SUM((IF(QualitéAlimentsPintadeauMâle_0_1_mois=BONNE,VLOOKUP("Blé",AlimentsRationPintadesMâles[],4,FALSE),0)+(IF(QualitéAlimentsPintadeauFemelle_0_1_mois=BONNE,VLOOKUP("Blé",AlimentsRationPintadesFemelles[],4,FALSE),0)+(IF(QualitéAlimentsJeunePintadeMâle=BONNE,VLOOKUP("Blé",AlimentsRationPintadesMâles[],3,FALSE),0)+(IF(QualitéAlimentsJeunePintadeFemelle=BONNE,VLOOKUP("Blé",AlimentsRationPintadesFemelles[],3,FALSE),0)+(IF(QualitéAlimentsPintadeMâle=BONNE,VLOOKUP("Blé",AlimentsRationPintadesMâles[],2,FALSE),0)+(IF(QualitéAlimentsPintadeFemelle=BONNE,VLOOKUP("Blé",AlimentsRationPintadesFemelles[],2,FALSE),0))))))))</f>
        <v>0</v>
      </c>
      <c r="DI146" s="1267">
        <f t="array" ref="DI146">SUM((IF(QualitéAlimentsPintadeauMâle_0_1_mois=MOYENNE,VLOOKUP("Blé",AlimentsRationPintadesMâles[],4,FALSE),0)+(IF(QualitéAlimentsPintadeauFemelle_0_1_mois=MOYENNE,VLOOKUP("Blé",AlimentsRationPintadesFemelles[],4,FALSE),0)+(IF(QualitéAlimentsJeunePintadeMâle=MOYENNE,VLOOKUP("Blé",AlimentsRationPintadesMâles[],3,FALSE),0)+(IF(QualitéAlimentsJeunePintadeFemelle=MOYENNE,VLOOKUP("Blé",AlimentsRationPintadesFemelles[],3,FALSE),0)+(IF(QualitéAlimentsPintadeMâle=MOYENNE,VLOOKUP("Blé",AlimentsRationPintadesMâles[],2,FALSE),0)+(IF(QualitéAlimentsPintadeFemelle=MOYENNE,VLOOKUP("Blé",AlimentsRationPintadesFemelles[],2,FALSE),0))))))))</f>
        <v>0</v>
      </c>
      <c r="DJ146" s="1267">
        <f t="array" ref="DJ146">SUM((IF(QualitéAlimentsPintadeauMâle_0_1_mois=MAUVAISE,VLOOKUP("Blé",AlimentsRationPintadesMâles[],4,FALSE),0)+(IF(QualitéAlimentsPintadeauFemelle_0_1_mois=MAUVAISE,VLOOKUP("Blé",AlimentsRationPintadesFemelles[],4,FALSE),0)+(IF(QualitéAlimentsJeunePintadeMâle=MAUVAISE,VLOOKUP("Blé",AlimentsRationPintadesMâles[],3,FALSE),0)+(IF(QualitéAlimentsJeunePintadeFemelle=MAUVAISE,VLOOKUP("Blé",AlimentsRationPintadesFemelles[],3,FALSE),0)+(IF(QualitéAlimentsPintadeMâle=MAUVAISE,VLOOKUP("Blé",AlimentsRationPintadesMâles[],2,FALSE),0)+(IF(QualitéAlimentsPintadeFemelle=MAUVAISE,VLOOKUP("Blé",AlimentsRationPintadesFemelles[],2,FALSE),0))))))))</f>
        <v>0</v>
      </c>
      <c r="DK146" s="1321"/>
      <c r="DL146" s="1321"/>
      <c r="DM146" s="1321"/>
      <c r="DN146" s="1200" t="s">
        <v>1134</v>
      </c>
      <c r="DO146" s="1201" t="s">
        <v>733</v>
      </c>
      <c r="DP146" s="1201" t="s">
        <v>1252</v>
      </c>
      <c r="DQ146" s="1201">
        <v>20</v>
      </c>
      <c r="DR146" s="1201">
        <v>12</v>
      </c>
      <c r="DS146" s="1201">
        <v>8</v>
      </c>
      <c r="DT146" s="1227">
        <v>4</v>
      </c>
      <c r="DU146" s="1346"/>
      <c r="DV146" s="1321"/>
      <c r="DW146" s="1321"/>
      <c r="DX146" s="1321"/>
      <c r="DY146" s="1321"/>
      <c r="DZ146" s="1321"/>
      <c r="EA146" s="1321"/>
      <c r="EB146" s="1321"/>
      <c r="EC146" s="1321"/>
      <c r="ED146" s="1345"/>
      <c r="EE146" s="1345"/>
      <c r="EF146" s="1321"/>
      <c r="EG146" s="809" t="s">
        <v>1369</v>
      </c>
      <c r="EH146" s="810">
        <f>IF(ChoixPaillageOies=OUI,SUBTOTAL(109,LitièreOies[litière]),0)</f>
        <v>0</v>
      </c>
      <c r="EI146" s="1321"/>
      <c r="EJ146" s="1321"/>
      <c r="EK146" s="1345"/>
      <c r="EL146" s="1345"/>
      <c r="EM146" s="1321"/>
      <c r="EN146" s="1321"/>
      <c r="EO146" s="1321"/>
      <c r="EP146" s="1321"/>
      <c r="EQ146" s="1321"/>
      <c r="ER146" s="1345"/>
      <c r="ES146" s="1345"/>
      <c r="ET146" s="1321"/>
      <c r="EU146" s="1336" t="s">
        <v>1489</v>
      </c>
      <c r="EV146" s="1336"/>
      <c r="EW146" s="1336"/>
      <c r="EX146" s="1336"/>
      <c r="EY146" s="1336"/>
      <c r="EZ146" s="1336"/>
      <c r="FA146" s="1345"/>
      <c r="FB146" s="1345"/>
      <c r="FC146" s="1321"/>
      <c r="FD146" s="1082" t="str">
        <f t="shared" si="55"/>
        <v>Chanvre</v>
      </c>
      <c r="FE146" s="1282">
        <f t="array" ref="FE146">IF(OR(ChoixRationHivernaleComplèteChevauxTrait=OUI,ChoixRationHivernaleComplèteChevauxTrait="",ChoixChevauxTraitPréHiver=NON),0,IFERROR(IF(OR(AND(INDEX(Règles_chevaux_trait[Specificite],MATCH(RationHivernaleAuPréChevauxTrait&amp;$FD146,Règles_chevaux_trait[Ration]&amp;Règles_chevaux_trait[Aliment],0))="s1",IF($FD146=Spécificité1ChevauxTrait,1)),
AND(INDEX(Règles_chevaux_trait[Specificite],MATCH(RationHivernaleAuPréChevauxTrait&amp;$FD146,Règles_chevaux_trait[Ration]&amp;Règles_chevaux_trait[Aliment],0))="s2",IF($FD146=Spécificité2ChevauxTrait,1)),
INDEX(Règles_chevaux_trait[Specificite],MATCH(RationHivernaleAuPréChevauxTrait&amp;$FD146,Règles_chevaux_trait[Ration]&amp;Règles_chevaux_trait[Aliment],0))="c"),
INDEX(Règles_chevaux_trait[Valeur 36 et plus],MATCH(RationHivernaleAuPréChevauxTrait&amp;$FD146,Règles_chevaux_trait[Ration]&amp;Règles_chevaux_trait[Aliment],0)),0),0)*SUM(TotalChevauxTraitAdultes)*21)</f>
        <v>0</v>
      </c>
      <c r="FF146" s="1282">
        <f t="array" ref="FF146">IF(OR(ChoixRationHivernaleComplèteChevauxTrait=OUI,ChoixRationHivernaleComplèteChevauxTrait="",ChoixChevauxTraitPréHiver=NON),0,IFERROR(IF(OR(AND(INDEX(Règles_chevaux_trait[Specificite],MATCH(RationHivernaleAuPréChevauxTrait&amp;$FD146,Règles_chevaux_trait[Ration]&amp;Règles_chevaux_trait[Aliment],0))="s1",IF($FD146=Spécificité1ChevauxTrait,1)),
AND(INDEX(Règles_chevaux_trait[Specificite],MATCH(RationHivernaleAuPréChevauxTrait&amp;$FD146,Règles_chevaux_trait[Ration]&amp;Règles_chevaux_trait[Aliment],0))="s2",IF($FD146=Spécificité2ChevauxTrait,1)),
INDEX(Règles_chevaux_trait[Specificite],MATCH(RationHivernaleAuPréChevauxTrait&amp;$FD146,Règles_chevaux_trait[Ration]&amp;Règles_chevaux_trait[Aliment],0))="c"),
INDEX(Règles_chevaux_trait[Valeur 24-36],MATCH(RationHivernaleAuPréChevauxTrait&amp;$FD146,Règles_chevaux_trait[Ration]&amp;Règles_chevaux_trait[Aliment],0)),0),0)*SUM(TotalChevauxTrait_24_36mois)*21)</f>
        <v>0</v>
      </c>
      <c r="FG146" s="1282">
        <f t="array" ref="FG146">IF(OR(ChoixRationHivernaleComplèteChevauxTrait=OUI,ChoixRationHivernaleComplèteChevauxTrait="",ChoixChevauxTraitPréHiver=NON),0,IFERROR(IF(OR(AND(INDEX(Règles_chevaux_trait[Specificite],MATCH(RationHivernaleAuPréChevauxTrait&amp;$FD146,Règles_chevaux_trait[Ration]&amp;Règles_chevaux_trait[Aliment],0))="s1",IF($FD146=Spécificité1ChevauxTrait,1)),
AND(INDEX(Règles_chevaux_trait[Specificite],MATCH(RationHivernaleAuPréChevauxTrait&amp;$FD146,Règles_chevaux_trait[Ration]&amp;Règles_chevaux_trait[Aliment],0))="s2",IF($FD146=Spécificité2ChevauxTrait,1)),
INDEX(Règles_chevaux_trait[Specificite],MATCH(RationHivernaleAuPréChevauxTrait&amp;$FD146,Règles_chevaux_trait[Ration]&amp;Règles_chevaux_trait[Aliment],0))="c"),
INDEX(Règles_chevaux_trait[Valeur 12-24],MATCH(RationHivernaleAuPréChevauxTrait&amp;$FD146,Règles_chevaux_trait[Ration]&amp;Règles_chevaux_trait[Aliment],0)),0),0)*SUM(TotalChevauxTrait_12_24mois)*21)</f>
        <v>0</v>
      </c>
      <c r="FH146" s="1285">
        <f t="array" ref="FH146">IF(OR(ChoixRationHivernaleComplèteChevauxTrait=OUI,ChoixRationHivernaleComplèteChevauxTrait="",ChoixChevauxTraitPréHiver=NON),0,IFERROR(IF(OR(AND(INDEX(Règles_chevaux_trait[Specificite],MATCH(RationHivernaleAuPréChevauxTrait&amp;$FD146,Règles_chevaux_trait[Ration]&amp;Règles_chevaux_trait[Aliment],0))="s1",IF($FD146=Spécificité1ChevauxTrait,1)),
AND(INDEX(Règles_chevaux_trait[Specificite],MATCH(RationHivernaleAuPréChevauxTrait&amp;$FD146,Règles_chevaux_trait[Ration]&amp;Règles_chevaux_trait[Aliment],0))="s2",IF($FD146=Spécificité2ChevauxTrait,1)),
INDEX(Règles_chevaux_trait[Specificite],MATCH(RationHivernaleAuPréChevauxTrait&amp;$FD146,Règles_chevaux_trait[Ration]&amp;Règles_chevaux_trait[Aliment],0))="c"),
INDEX(Règles_chevaux_trait[Valeur 0-12],MATCH(RationHivernaleAuPréChevauxTrait&amp;$FD146,Règles_chevaux_trait[Ration]&amp;Règles_chevaux_trait[Aliment],0)),0),0)*SUM(TotalPoulainsTrait)*21)</f>
        <v>0</v>
      </c>
      <c r="FI146" s="1285">
        <f t="shared" si="53"/>
        <v>0</v>
      </c>
      <c r="FJ146" s="1345"/>
      <c r="FK146" s="1345"/>
      <c r="FL146" s="1345"/>
      <c r="FM146" s="1321"/>
      <c r="FN146" s="1083" t="str">
        <f t="shared" si="54"/>
        <v>Canola</v>
      </c>
      <c r="FO146" s="1283">
        <f t="array" ref="FO146">IF(OR(ChoixRationHivernaleComplètePoneys=OUI,ChoixRationHivernaleComplètePoneys="",ChoixPoneysPréHiver=NON),0,IFERROR(IF(OR(AND(INDEX(Règles_poneys[Specificite],MATCH(RationHivernaleAuPréPoneys&amp;$FN146,Règles_poneys[Ration]&amp;Règles_poneys[Aliment],0))="s1",IF($FN146=Spécificité1Poneys,1)),
AND(INDEX(Règles_poneys[Specificite],MATCH(RationHivernaleAuPréPoneys&amp;$FN146,Règles_poneys[Ration]&amp;Règles_poneys[Aliment],0))="s2",IF($FN146=Spécificité2Poneys,1)),
INDEX(Règles_poneys[Specificite],MATCH(RationHivernaleAuPréPoneys&amp;$FN146,Règles_poneys[Ration]&amp;Règles_poneys[Aliment],0))="c"),
INDEX(Règles_poneys[Valeur 36 et plus],MATCH(RationHivernaleAuPréPoneys&amp;$FN146,Règles_poneys[Ration]&amp;Règles_poneys[Aliment],0)),0),0)*SUM(TotalPoneysAdultes)*21)</f>
        <v>0</v>
      </c>
      <c r="FP146" s="1283">
        <f t="array" ref="FP146">IF(OR(ChoixRationHivernaleComplètePoneys=OUI,ChoixRationHivernaleComplètePoneys="",ChoixPoneysPréHiver=NON),0,IFERROR(IF(OR(AND(INDEX(Règles_poneys[Specificite],MATCH(RationHivernaleAuPréPoneys&amp;$FN146,Règles_poneys[Ration]&amp;Règles_poneys[Aliment],0))="s1",IF($FN146=Spécificité1Poneys,1)),
AND(INDEX(Règles_poneys[Specificite],MATCH(RationHivernaleAuPréPoneys&amp;$FN146,Règles_poneys[Ration]&amp;Règles_poneys[Aliment],0))="s2",IF($FN146=Spécificité2Poneys,1)),
INDEX(Règles_poneys[Specificite],MATCH(RationHivernaleAuPréPoneys&amp;$FN146,Règles_poneys[Ration]&amp;Règles_poneys[Aliment],0))="c"),
INDEX(Règles_poneys[Valeur 24-36],MATCH(RationHivernaleAuPréPoneys&amp;$FN146,Règles_poneys[Ration]&amp;Règles_poneys[Aliment],0)),0),0)*SUM(TotalPoneys_24_36mois)*21)</f>
        <v>0</v>
      </c>
      <c r="FQ146" s="1283">
        <f t="array" ref="FQ146">IF(OR(ChoixRationHivernaleComplètePoneys=OUI,ChoixRationHivernaleComplètePoneys="",ChoixPoneysPréHiver=NON),0,IFERROR(IF(OR(AND(INDEX(Règles_poneys[Specificite],MATCH(RationHivernaleAuPréPoneys&amp;$FN146,Règles_poneys[Ration]&amp;Règles_poneys[Aliment],0))="s1",IF($FN146=Spécificité1Poneys,1)),
AND(INDEX(Règles_poneys[Specificite],MATCH(RationHivernaleAuPréPoneys&amp;$FN146,Règles_poneys[Ration]&amp;Règles_poneys[Aliment],0))="s2",IF($FN146=Spécificité2Poneys,1)),
INDEX(Règles_poneys[Specificite],MATCH(RationHivernaleAuPréPoneys&amp;$FN146,Règles_poneys[Ration]&amp;Règles_poneys[Aliment],0))="c"),
INDEX(Règles_poneys[Valeur 12-24],MATCH(RationHivernaleAuPréPoneys&amp;$FN146,Règles_poneys[Ration]&amp;Règles_poneys[Aliment],0)),0),0)*SUM(TotalPoneys_12_24mois)*21)</f>
        <v>0</v>
      </c>
      <c r="FR146" s="1286">
        <f t="array" ref="FR146">IF(OR(ChoixRationHivernaleComplètePoneys=OUI,ChoixRationHivernaleComplètePoneys="",ChoixPoneysPréHiver=NON),0,IFERROR(IF(OR(AND(INDEX(Règles_poneys[Specificite],MATCH(RationHivernaleAuPréPoneys&amp;$FN146,Règles_poneys[Ration]&amp;Règles_poneys[Aliment],0))="s1",IF($FN146=Spécificité1Poneys,1)),
AND(INDEX(Règles_poneys[Specificite],MATCH(RationHivernaleAuPréPoneys&amp;$FN146,Règles_poneys[Ration]&amp;Règles_poneys[Aliment],0))="s2",IF($FN146=Spécificité2Poneys,1)),
INDEX(Règles_poneys[Specificite],MATCH(RationHivernaleAuPréPoneys&amp;$FN146,Règles_poneys[Ration]&amp;Règles_poneys[Aliment],0))="c"),
INDEX(Règles_poneys[Valeur 0-12],MATCH(RationHivernaleAuPréPoneys&amp;$FN146,Règles_poneys[Ration]&amp;Règles_poneys[Aliment],0)),0),0)*SUM(TotalPoulainsPoneys)*21)</f>
        <v>0</v>
      </c>
      <c r="FS146" s="1286">
        <f t="shared" si="52"/>
        <v>0</v>
      </c>
      <c r="FT146" s="1345"/>
      <c r="FU146" s="1345"/>
      <c r="FV146" s="1345"/>
      <c r="FW146" s="1082" t="str">
        <f t="shared" si="49"/>
        <v>Ensilage d'herbe</v>
      </c>
      <c r="FX146" s="1282">
        <f t="array" ref="FX146">SUM((IF(QualitéAlimentsGavageOison_0_1_mois=BONNE,VLOOKUP("Ensilage d'herbe",AlimentsGavageOies[],5,FALSE),0)+(IF(QualitéAlimentsGavageCaneton_0_1_mois=BONNE,VLOOKUP("Ensilage d'herbe",AlimentsGavageCanards[],5,FALSE),0)+(IF(QualitéAlimentsGavageOison_1_2_mois=BONNE,VLOOKUP("Ensilage d'herbe",AlimentsGavageOies[],4,FALSE),0)+(IF(QualitéAlimentsGavageCaneton_1_2_mois=BONNE,VLOOKUP("Ensilage d'herbe",AlimentsGavageCanards[],4,FALSE),0)+(IF(QualitéAlimentsGavageOison_2_3_mois=BONNE,VLOOKUP("Ensilage d'herbe",AlimentsGavageOies[],3,FALSE),0)+(IF(QualitéAlimentsGavageCaneton_2_3_mois=BONNE,VLOOKUP("Ensilage d'herbe",AlimentsGavageCanards[],3,FALSE),0)+(IF(QualitéAlimentsGavageJeunesOies=BONNE,VLOOKUP("Ensilage d'herbe",AlimentsGavageOies[],2,FALSE),0)+(IF(QualitéAlimentsGavageJeuneCanard=BONNE,VLOOKUP("Ensilage d'herbe",AlimentsGavageCanards[],2,FALSE),0))))))))))</f>
        <v>0</v>
      </c>
      <c r="FY146" s="1282">
        <f t="array" ref="FY146">SUM((IF(QualitéAlimentsGavageOison_0_1_mois=MOYENNE,VLOOKUP("Ensilage d'herbe",AlimentsGavageOies[],5,FALSE),0)+(IF(QualitéAlimentsGavageCaneton_0_1_mois=MOYENNE,VLOOKUP("Ensilage d'herbe",AlimentsGavageCanards[],5,FALSE),0)+(IF(QualitéAlimentsGavageOison_1_2_mois=MOYENNE,VLOOKUP("Ensilage d'herbe",AlimentsGavageOies[],4,FALSE),0)+(IF(QualitéAlimentsGavageCaneton_1_2_mois=MOYENNE,VLOOKUP("Ensilage d'herbe",AlimentsGavageCanards[],4,FALSE),0)+(IF(QualitéAlimentsGavageOison_2_3_mois=MOYENNE,VLOOKUP("Ensilage d'herbe",AlimentsGavageOies[],3,FALSE),0)+(IF(QualitéAlimentsGavageCaneton_2_3_mois=MOYENNE,VLOOKUP("Ensilage d'herbe",AlimentsGavageCanards[],3,FALSE),0)+(IF(QualitéAlimentsGavageJeunesOies=MOYENNE,VLOOKUP("Ensilage d'herbe",AlimentsGavageOies[],2,FALSE),0)+(IF(QualitéAlimentsGavageJeuneCanard=MOYENNE,VLOOKUP("Ensilage d'herbe",AlimentsGavageCanards[],2,FALSE),0))))))))))</f>
        <v>0</v>
      </c>
      <c r="FZ146" s="1282">
        <f t="array" ref="FZ146">SUM((IF(QualitéAlimentsGavageOison_0_1_mois=MAUVAISE,VLOOKUP("Ensilage d'herbe",AlimentsGavageOies[],5,FALSE),0)+(IF(QualitéAlimentsGavageCaneton_0_1_mois=MAUVAISE,VLOOKUP("Ensilage d'herbe",AlimentsGavageCanards[],5,FALSE),0)+(IF(QualitéAlimentsGavageOison_1_2_mois=MAUVAISE,VLOOKUP("Ensilage d'herbe",AlimentsGavageOies[],4,FALSE),0)+(IF(QualitéAlimentsGavageCaneton_1_2_mois=MAUVAISE,VLOOKUP("Ensilage d'herbe",AlimentsGavageCanards[],4,FALSE),0)+(IF(QualitéAlimentsGavageOison_2_3_mois=MAUVAISE,VLOOKUP("Ensilage d'herbe",AlimentsGavageOies[],3,FALSE),0)+(IF(QualitéAlimentsGavageCaneton_2_3_mois=MAUVAISE,VLOOKUP("Ensilage d'herbe",AlimentsGavageCanards[],3,FALSE),0)+(IF(QualitéAlimentsGavageJeunesOies=MAUVAISE,VLOOKUP("Ensilage d'herbe",AlimentsGavageOies[],2,FALSE),0)+(IF(QualitéAlimentsGavageJeuneCanard=MAUVAISE,VLOOKUP("Ensilage d'herbe",AlimentsGavageCanards[],2,FALSE),0))))))))))</f>
        <v>0</v>
      </c>
      <c r="GA146" s="1345"/>
      <c r="GB146" s="1345"/>
      <c r="GC146" s="1321"/>
      <c r="GD146" s="1321"/>
      <c r="GE146" s="1321"/>
      <c r="GF146" s="1321"/>
      <c r="GG146" s="1321" t="s">
        <v>1349</v>
      </c>
      <c r="GH146" s="1321" t="s">
        <v>1349</v>
      </c>
      <c r="GI146" s="1321" t="s">
        <v>1349</v>
      </c>
      <c r="GJ146" s="1321" t="s">
        <v>1349</v>
      </c>
      <c r="GK146" s="1321" t="s">
        <v>1349</v>
      </c>
      <c r="GL146" s="1321" t="s">
        <v>1349</v>
      </c>
      <c r="GM146" s="1321" t="s">
        <v>1349</v>
      </c>
      <c r="GN146" s="1321" t="s">
        <v>1349</v>
      </c>
      <c r="GO146" s="1321" t="s">
        <v>1349</v>
      </c>
      <c r="GP146" s="1321" t="s">
        <v>1349</v>
      </c>
      <c r="GQ146" s="1321" t="s">
        <v>1349</v>
      </c>
      <c r="GR146" s="1321" t="s">
        <v>1349</v>
      </c>
      <c r="GS146" s="1321" t="s">
        <v>1349</v>
      </c>
      <c r="GT146" s="1321" t="s">
        <v>1349</v>
      </c>
      <c r="GU146" s="1321" t="s">
        <v>1349</v>
      </c>
      <c r="GV146" s="1321" t="s">
        <v>1349</v>
      </c>
      <c r="GW146" s="1321"/>
      <c r="GX146" s="1321"/>
      <c r="GY146" s="1321"/>
      <c r="GZ146" s="1321"/>
      <c r="HA146" s="1321"/>
      <c r="HB146" s="1321"/>
      <c r="HC146" s="1321"/>
      <c r="HD146" s="1321"/>
      <c r="HE146" s="1321"/>
      <c r="HF146" s="1321"/>
      <c r="HG146" s="1321"/>
      <c r="HH146" s="1321"/>
      <c r="HI146" s="1321"/>
      <c r="HJ146" s="1321"/>
      <c r="HK146" s="1321"/>
      <c r="HL146" s="1321"/>
      <c r="HM146" s="1321"/>
      <c r="HN146" s="1321"/>
      <c r="HO146" s="1321"/>
      <c r="HP146" s="1321"/>
      <c r="HQ146" s="1321"/>
      <c r="HR146" s="1321"/>
      <c r="HS146" s="1321"/>
      <c r="HT146" s="1321"/>
      <c r="HU146" s="1321"/>
      <c r="HV146" s="1321"/>
      <c r="HW146" s="1321"/>
      <c r="HX146" s="1321"/>
      <c r="HY146" s="1321"/>
      <c r="HZ146" s="1321"/>
      <c r="IA146" s="1321"/>
      <c r="IB146" s="1321"/>
      <c r="IC146" s="1321"/>
      <c r="ID146" s="1321"/>
      <c r="IE146" s="1321"/>
      <c r="IF146" s="1321"/>
      <c r="IG146" s="1321"/>
      <c r="IH146" s="1321"/>
      <c r="II146" s="1321"/>
      <c r="IJ146" s="1321"/>
      <c r="IK146" s="1321"/>
      <c r="IL146" s="1321"/>
      <c r="IM146" s="1321"/>
      <c r="IN146" s="1368"/>
    </row>
    <row r="147" spans="1:248" ht="12.75" customHeight="1" x14ac:dyDescent="0.2">
      <c r="A147" s="1307" t="s">
        <v>604</v>
      </c>
      <c r="B147" s="1209">
        <v>2</v>
      </c>
      <c r="C147" s="1321"/>
      <c r="D147" s="1321"/>
      <c r="E147" s="1321"/>
      <c r="F147" s="1149" t="s">
        <v>1764</v>
      </c>
      <c r="G147" s="1149">
        <v>9</v>
      </c>
      <c r="H147" s="1321"/>
      <c r="I147" s="1075" t="str">
        <f t="shared" si="50"/>
        <v>70-79,99</v>
      </c>
      <c r="J147" s="1080">
        <f>IF(gains!F$4=BDD!O$127,10,IF(gains!F$4=BDD!P$127,20,IF(gains!F$4=BDD!Q$127,30,0)))</f>
        <v>10</v>
      </c>
      <c r="K147" s="1080">
        <f>IF(gains!$G$8=K$127,1,0)</f>
        <v>0</v>
      </c>
      <c r="L147" s="1080">
        <f>IF(gains!$G$8=L$127,2,0)</f>
        <v>0</v>
      </c>
      <c r="M147" s="1080">
        <f>IF(gains!$G$8=M$127,3,0)</f>
        <v>0</v>
      </c>
      <c r="N147" s="1080">
        <f>IF(gains!$G$8=N$127,4,0)</f>
        <v>0</v>
      </c>
      <c r="O147" s="1080">
        <f>IF(AND(J147=10,SUM(K147:N147)=1),gains!$F$39,IF(AND(J147=10,SUM(K147:N147)=2),gains!$F$39*2,IF(AND(J147=10,SUM(K147:N147)=3),gains!$F$39*3,IF(AND(J147=10,SUM(K147:N147)=4),gains!$F$39*4,0))))</f>
        <v>0</v>
      </c>
      <c r="P147" s="1080">
        <f>IF(AND(J147=20,SUM(K147:N147)=1),gains!$F$39*7,IF(AND(J147=20,SUM(K147:N147)=2),gains!$F$39*7*2,IF(AND(J147=20,SUM(K147:N147)=3),gains!$F$39*7*3,IF(AND(J147=20,SUM(K147:N147)=4),gains!$F$39*7*4,0))))</f>
        <v>0</v>
      </c>
      <c r="Q147" s="1080">
        <f>IF(AND(J147=30,SUM(K147:N147)=1),gains!$F$39*7*12,IF(AND(J147=30,SUM(K147:N147)=2),gains!$F$39*7*12*2,IF(AND(J147=30,SUM(K147:N147)=3),gains!$F$39*7*12*3,IF(AND(J147=30,SUM(K147:N147)=4),gains!$F$39*7*12*4,0))))</f>
        <v>0</v>
      </c>
      <c r="R147" s="1321"/>
      <c r="S147" s="1321"/>
      <c r="T147" s="1321"/>
      <c r="U147" s="1321"/>
      <c r="V147" s="1321"/>
      <c r="W147" s="1321"/>
      <c r="X147" s="1321"/>
      <c r="Y147" s="1321"/>
      <c r="Z147" s="1321"/>
      <c r="AA147" s="1321"/>
      <c r="AB147" s="1321"/>
      <c r="AC147" s="1321"/>
      <c r="AD147" s="1321"/>
      <c r="AE147" s="1321"/>
      <c r="AF147" s="1321"/>
      <c r="AG147" s="1321"/>
      <c r="AH147" s="1321"/>
      <c r="AI147" s="1321"/>
      <c r="AJ147" s="1321"/>
      <c r="AK147" s="1321"/>
      <c r="AL147" s="1321"/>
      <c r="AM147" s="1321"/>
      <c r="AN147" s="1321"/>
      <c r="AO147" s="1321"/>
      <c r="AP147" s="1321"/>
      <c r="AQ147" s="1321"/>
      <c r="AR147" s="1321"/>
      <c r="AS147" s="1321"/>
      <c r="AT147" s="1321"/>
      <c r="AU147" s="1321"/>
      <c r="AV147" s="1321"/>
      <c r="AW147" s="1321"/>
      <c r="AX147" s="1321"/>
      <c r="AY147" s="1321"/>
      <c r="AZ147" s="1321"/>
      <c r="BA147" s="1321"/>
      <c r="BB147" s="1236" t="s">
        <v>731</v>
      </c>
      <c r="BC147" s="1190" t="s">
        <v>219</v>
      </c>
      <c r="BD147" s="1190" t="s">
        <v>1252</v>
      </c>
      <c r="BE147" s="1237">
        <v>56</v>
      </c>
      <c r="BF147" s="1237">
        <v>48</v>
      </c>
      <c r="BG147" s="1237">
        <v>32</v>
      </c>
      <c r="BH147" s="1237">
        <v>24</v>
      </c>
      <c r="BI147" s="1237">
        <v>16</v>
      </c>
      <c r="BJ147" s="1237">
        <v>8</v>
      </c>
      <c r="BK147" s="1238">
        <v>0</v>
      </c>
      <c r="BL147" s="1348"/>
      <c r="BM147" s="1075">
        <f t="shared" si="47"/>
        <v>0</v>
      </c>
      <c r="BN147" s="1269"/>
      <c r="BO147" s="1269"/>
      <c r="BP147" s="1269"/>
      <c r="BQ147" s="1321"/>
      <c r="BR147" s="1321"/>
      <c r="BS147" s="1321"/>
      <c r="BT147" s="1321"/>
      <c r="BU147" s="1321"/>
      <c r="BV147" s="1345"/>
      <c r="BW147" s="1345"/>
      <c r="BX147" s="1075" t="str">
        <f t="shared" si="57"/>
        <v>Bouchons luzerne</v>
      </c>
      <c r="BY147" s="1075">
        <f t="array" ref="BY147">IF(ChoixRationComplèteCaprins=OUI,0,IFERROR(IF(OR(AND(INDEX(Règles_caprins[Specificite],MATCH(ChoixRationCaprins&amp;$BX147,Règles_caprins[Ration]&amp;Règles_caprins[Aliment],0))="s1",IF($BX147=Spécificité1Caprins,1)),
INDEX(Règles_caprins[Specificite],MATCH(ChoixRationCaprins&amp;$BX147,Règles_caprins[Ration]&amp;Règles_caprins[Aliment],0))="c"),
INDEX(Règles_caprins[Valeur 12 et plus],MATCH(ChoixRationCaprins&amp;$BX147,Règles_caprins[Ration]&amp;Règles_caprins[Aliment],0)),0),0)*TotalChèvres*SUM(NbreJoursNourrirCaprins))</f>
        <v>0</v>
      </c>
      <c r="BZ147" s="1075">
        <f t="array" ref="BZ147">IF(ChoixRationComplèteCaprins=OUI,0,IFERROR(IF(OR(AND(INDEX(Règles_caprins[Specificite],MATCH(ChoixRationCaprins&amp;$BX147,Règles_caprins[Ration]&amp;Règles_caprins[Aliment],0))="s1",IF($BX147=Spécificité1Caprins,1)),
INDEX(Règles_caprins[Specificite],MATCH(ChoixRationCaprins&amp;$BX147,Règles_caprins[Ration]&amp;Règles_caprins[Aliment],0))="c"),
INDEX(Règles_caprins[Valeur 6-12],MATCH(ChoixRationCaprins&amp;$BX147,Règles_caprins[Ration]&amp;Règles_caprins[Aliment],0)),0),0)*jeune_chèvre_6_12_mois*SUM(NbreJoursNourrirCaprins))</f>
        <v>0</v>
      </c>
      <c r="CA147" s="1075">
        <f t="array" ref="CA147">IF(ChoixRationComplèteCaprins=OUI,0,IFERROR(IF(OR(AND(INDEX(Règles_caprins[Specificite],MATCH(ChoixRationCaprins&amp;$BX147,Règles_caprins[Ration]&amp;Règles_caprins[Aliment],0))="s1",IF($BX147=Spécificité1Caprins,1)),
INDEX(Règles_caprins[Specificite],MATCH(ChoixRationCaprins&amp;$BX147,Règles_caprins[Ration]&amp;Règles_caprins[Aliment],0))="c"),
INDEX(Règles_caprins[Valeur 3-6],MATCH(ChoixRationCaprins&amp;$BX147,Règles_caprins[Ration]&amp;Règles_caprins[Aliment],0)),0),0)*chevrette_3_6_mois*SUM(NbreJoursNourrirCaprins))</f>
        <v>0</v>
      </c>
      <c r="CB147" s="1075">
        <f t="array" ref="CB147">IF(ChoixRationComplèteCaprins=OUI,0,IFERROR(IF(OR(AND(INDEX(Règles_caprins[Specificite],MATCH(ChoixRationCaprins&amp;$BX147,Règles_caprins[Ration]&amp;Règles_caprins[Aliment],0))="s1",IF($BX147=Spécificité1Caprins,1)),
INDEX(Règles_caprins[Specificite],MATCH(ChoixRationCaprins&amp;$BX147,Règles_caprins[Ration]&amp;Règles_caprins[Aliment],0))="c"),
INDEX(Règles_caprins[Valeur 0-3],MATCH(ChoixRationCaprins&amp;$BX147,Règles_caprins[Ration]&amp;Règles_caprins[Aliment],0)),0),0)*chevrette_0_3_mois*SUM(NbreJoursNourrirCaprins))</f>
        <v>0</v>
      </c>
      <c r="CC147" s="1075">
        <f t="shared" si="56"/>
        <v>0</v>
      </c>
      <c r="CD147" s="1345"/>
      <c r="CE147" s="1345"/>
      <c r="CF147" s="1345"/>
      <c r="CG147" s="1345"/>
      <c r="CH147" s="1345"/>
      <c r="CI147" s="1321"/>
      <c r="CJ147" s="1076" t="str">
        <f t="shared" si="51"/>
        <v>concentré jeunes lapins</v>
      </c>
      <c r="CK147" s="1267">
        <f>SUM((IF(QualitéAlimentsPorceletMâle_0_1_mois=BONNE,VLOOKUP("Concentré jeunes lapins",AlimentsRationPorcinsMâles[],6,FALSE),0)+(IF(QualitéAlimentsPorceletFemelle_0_1_mois=BONNE,VLOOKUP("Concentré jeunes lapins",AlimentsRationPorcinsFemelles[],6,FALSE),0)+(IF(QualitéAlimentsPorceletMâle_1_3_mois=BONNE,VLOOKUP("Concentré jeunes lapins",AlimentsRationPorcinsMâles[],5,FALSE),0)+(IF(QualitéAlimentsPorceletFemelle_1_3_mois=BONNE,VLOOKUP("Concentré jeunes lapins",AlimentsRationPorcinsFemelles[],5,FALSE),0)+(IF(QualitéAlimentsJeuneVerrat_3_6_mois=BONNE,VLOOKUP("Concentré jeunes lapins",AlimentsRationPorcinsMâles[],4,FALSE),0)+(IF(QualitéAlimentsJeuneTruie_3_6_mois=BONNE,VLOOKUP("Concentré jeunes lapins",AlimentsRationPorcinsFemelles[],4,FALSE),0)+(IF(QualitéAlimentsJeuneVerrat_6_12_mois=BONNE,VLOOKUP("Concentré jeunes lapins",AlimentsRationPorcinsMâles[],3,FALSE),0)+(IF(QualitéAlimentsJeuneTruie_6_12_mois=BONNE,VLOOKUP("Concentré jeunes lapins",AlimentsRationPorcinsFemelles[],3,FALSE),0)+(IF(QualitéAlimentsVerrat=BONNE,VLOOKUP("Concentré jeunes lapins",AlimentsRationPorcinsMâles[],2,FALSE),0)+(IF(QualitéAlimentsTruie=BONNE,VLOOKUP("Concentré jeunes lapins",AlimentsRationPorcinsFemelles[],2,FALSE),0))))))))))))</f>
        <v>0</v>
      </c>
      <c r="CL147" s="1267">
        <f t="array" ref="CL147">SUM((IF(QualitéAlimentsPorceletMâle_0_1_mois=MOYENNE,VLOOKUP("Concentré jeunes lapins",AlimentsRationPorcinsMâles[],6,FALSE),0)+(IF(QualitéAlimentsPorceletFemelle_0_1_mois=MOYENNE,VLOOKUP("Concentré jeunes lapins",AlimentsRationPorcinsFemelles[],6,FALSE),0)+(IF(QualitéAlimentsPorceletMâle_1_3_mois=MOYENNE,VLOOKUP("Concentré jeunes lapins",AlimentsRationPorcinsMâles[],5,FALSE),0)+(IF(QualitéAlimentsPorceletFemelle_1_3_mois=MOYENNE,VLOOKUP("Concentré jeunes lapins",AlimentsRationPorcinsFemelles[],5,FALSE),0)+(IF(QualitéAlimentsJeuneVerrat_3_6_mois=MOYENNE,VLOOKUP("Concentré jeunes lapins",AlimentsRationPorcinsMâles[],4,FALSE),0)+(IF(QualitéAlimentsJeuneTruie_3_6_mois=MOYENNE,VLOOKUP("Concentré jeunes lapins",AlimentsRationPorcinsFemelles[],4,FALSE),0)+(IF(QualitéAlimentsJeuneVerrat_6_12_mois=MOYENNE,VLOOKUP("Concentré jeunes lapins",AlimentsRationPorcinsMâles[],3,FALSE),0)+(IF(QualitéAlimentsJeuneTruie_6_12_mois=MOYENNE,VLOOKUP("Concentré jeunes lapins",AlimentsRationPorcinsFemelles[],3,FALSE),0)+(IF(QualitéAlimentsVerrat=MOYENNE,VLOOKUP("Concentré jeunes lapins",AlimentsRationPorcinsMâles[],2,FALSE),0)+(IF(QualitéAlimentsTruie=MOYENNE,VLOOKUP("Concentré jeunes lapins",AlimentsRationPorcinsFemelles[],2,FALSE),0))))))))))))</f>
        <v>0</v>
      </c>
      <c r="CM147" s="1267">
        <f t="array" ref="CM147">SUM((IF(QualitéAlimentsPorceletMâle_0_1_mois=MAUVAISE,VLOOKUP("Concentré jeunes lapins",AlimentsRationPorcinsMâles[],6,FALSE),0)+(IF(QualitéAlimentsPorceletFemelle_0_1_mois=MAUVAISE,VLOOKUP("Concentré jeunes lapins",AlimentsRationPorcinsFemelles[],6,FALSE),0)+(IF(QualitéAlimentsPorceletMâle_1_3_mois=MAUVAISE,VLOOKUP("Concentré jeunes lapins",AlimentsRationPorcinsMâles[],5,FALSE),0)+(IF(QualitéAlimentsPorceletFemelle_1_3_mois=MAUVAISE,VLOOKUP("Concentré jeunes lapins",AlimentsRationPorcinsFemelles[],5,FALSE),0)+(IF(QualitéAlimentsJeuneVerrat_3_6_mois=MAUVAISE,VLOOKUP("Concentré jeunes lapins",AlimentsRationPorcinsMâles[],4,FALSE),0)+(IF(QualitéAlimentsJeuneTruie_3_6_mois=MAUVAISE,VLOOKUP("Concentré jeunes lapins",AlimentsRationPorcinsFemelles[],4,FALSE),0)+(IF(QualitéAlimentsJeuneVerrat_6_12_mois=MAUVAISE,VLOOKUP("Concentré jeunes lapins",AlimentsRationPorcinsMâles[],3,FALSE),0)+(IF(QualitéAlimentsJeuneTruie_6_12_mois=MAUVAISE,VLOOKUP("Concentré jeunes lapins",AlimentsRationPorcinsFemelles[],3,FALSE),0)+(IF(QualitéAlimentsVerrat=MAUVAISE,VLOOKUP("Concentré jeunes lapins",AlimentsRationPorcinsMâles[],2,FALSE),0)+(IF(QualitéAlimentsTruie=MAUVAISE,VLOOKUP("Concentré jeunes lapins",AlimentsRationPorcinsFemelles[],2,FALSE),0))))))))))))</f>
        <v>0</v>
      </c>
      <c r="CN147" s="1321"/>
      <c r="CO147" s="1321"/>
      <c r="CP147" s="1345"/>
      <c r="CQ147" s="1321"/>
      <c r="CR147" s="1321"/>
      <c r="CS147" s="808" t="s">
        <v>792</v>
      </c>
      <c r="CT147" s="803">
        <f>CT23*TotalLapines*SUM(NbreJoursNourrirAutres)</f>
        <v>0</v>
      </c>
      <c r="CU147" s="1321"/>
      <c r="CV147" s="1321"/>
      <c r="CW147" s="1321"/>
      <c r="CX147" s="1321"/>
      <c r="CY147" s="1321"/>
      <c r="CZ147" s="808" t="s">
        <v>813</v>
      </c>
      <c r="DA147" s="803">
        <f>DC18*SUM(TotalJeuneVolaille)*SUM(NbreJoursNourrirAutres)</f>
        <v>0</v>
      </c>
      <c r="DB147" s="1321"/>
      <c r="DC147" s="1321"/>
      <c r="DD147" s="1321"/>
      <c r="DE147" s="1321"/>
      <c r="DF147" s="1321"/>
      <c r="DG147" s="1075" t="str">
        <f t="shared" si="58"/>
        <v>Bouchons luzerne</v>
      </c>
      <c r="DH147" s="1269">
        <f t="array" ref="DH147">SUM((IF(QualitéAlimentsPintadeauMâle_0_1_mois=BONNE,VLOOKUP("Bouchons luzerne",AlimentsRationPintadesMâles[],4,FALSE),0)+(IF(QualitéAlimentsPintadeauFemelle_0_1_mois=BONNE,VLOOKUP("Bouchons luzerne",AlimentsRationPintadesFemelles[],4,FALSE),0)+(IF(QualitéAlimentsJeunePintadeMâle=BONNE,VLOOKUP("Bouchons luzerne",AlimentsRationPintadesMâles[],3,FALSE),0)+(IF(QualitéAlimentsJeunePintadeFemelle=BONNE,VLOOKUP("Bouchons luzerne",AlimentsRationPintadesFemelles[],3,FALSE),0)+(IF(QualitéAlimentsPintadeMâle=BONNE,VLOOKUP("Bouchons luzerne",AlimentsRationPintadesMâles[],2,FALSE),0)+(IF(QualitéAlimentsPintadeFemelle=BONNE,VLOOKUP("Bouchons luzerne",AlimentsRationPintadesFemelles[],2,FALSE),0))))))))</f>
        <v>0</v>
      </c>
      <c r="DI147" s="1269">
        <f t="array" ref="DI147">SUM((IF(QualitéAlimentsPintadeauMâle_0_1_mois=MOYENNE,VLOOKUP("Bouchons luzerne",AlimentsRationPintadesMâles[],4,FALSE),0)+(IF(QualitéAlimentsPintadeauFemelle_0_1_mois=MOYENNE,VLOOKUP("Bouchons luzerne",AlimentsRationPintadesFemelles[],4,FALSE),0)+(IF(QualitéAlimentsJeunePintadeMâle=MOYENNE,VLOOKUP("Bouchons luzerne",AlimentsRationPintadesMâles[],3,FALSE),0)+(IF(QualitéAlimentsJeunePintadeFemelle=MOYENNE,VLOOKUP("Bouchons luzerne",AlimentsRationPintadesFemelles[],3,FALSE),0)+(IF(QualitéAlimentsPintadeMâle=MOYENNE,VLOOKUP("Bouchons luzerne",AlimentsRationPintadesMâles[],2,FALSE),0)+(IF(QualitéAlimentsPintadeFemelle=MOYENNE,VLOOKUP("Bouchons luzerne",AlimentsRationPintadesFemelles[],2,FALSE),0))))))))</f>
        <v>0</v>
      </c>
      <c r="DJ147" s="1269">
        <f t="array" ref="DJ147">SUM((IF(QualitéAlimentsPintadeauMâle_0_1_mois=MAUVAISE,VLOOKUP("Bouchons luzerne",AlimentsRationPintadesMâles[],4,FALSE),0)+(IF(QualitéAlimentsPintadeauFemelle_0_1_mois=MAUVAISE,VLOOKUP("Bouchons luzerne",AlimentsRationPintadesFemelles[],4,FALSE),0)+(IF(QualitéAlimentsJeunePintadeMâle=MAUVAISE,VLOOKUP("Bouchons luzerne",AlimentsRationPintadesMâles[],3,FALSE),0)+(IF(QualitéAlimentsJeunePintadeFemelle=MAUVAISE,VLOOKUP("Bouchons luzerne",AlimentsRationPintadesFemelles[],3,FALSE),0)+(IF(QualitéAlimentsPintadeMâle=MAUVAISE,VLOOKUP("Bouchons luzerne",AlimentsRationPintadesMâles[],2,FALSE),0)+(IF(QualitéAlimentsPintadeFemelle=MAUVAISE,VLOOKUP("Bouchons luzerne",AlimentsRationPintadesFemelles[],2,FALSE),0))))))))</f>
        <v>0</v>
      </c>
      <c r="DK147" s="1321"/>
      <c r="DL147" s="1321"/>
      <c r="DM147" s="1321"/>
      <c r="DN147" s="1321"/>
      <c r="DO147" s="1321"/>
      <c r="DP147" s="1321"/>
      <c r="DQ147" s="1321"/>
      <c r="DR147" s="1321"/>
      <c r="DS147" s="1345"/>
      <c r="DT147" s="1346"/>
      <c r="DU147" s="1346"/>
      <c r="DV147" s="1321"/>
      <c r="DW147" s="1321"/>
      <c r="DX147" s="1321"/>
      <c r="DY147" s="1321"/>
      <c r="DZ147" s="1321"/>
      <c r="EA147" s="1321"/>
      <c r="EB147" s="1321"/>
      <c r="EC147" s="1321"/>
      <c r="ED147" s="1345"/>
      <c r="EE147" s="1345"/>
      <c r="EF147" s="1321"/>
      <c r="EG147" s="1321"/>
      <c r="EH147" s="1321"/>
      <c r="EI147" s="1321"/>
      <c r="EJ147" s="1321"/>
      <c r="EK147" s="1345"/>
      <c r="EL147" s="1345"/>
      <c r="EM147" s="1321"/>
      <c r="EN147" s="1336" t="s">
        <v>1749</v>
      </c>
      <c r="EO147" s="1336"/>
      <c r="EP147" s="1336"/>
      <c r="EQ147" s="1336"/>
      <c r="ER147" s="1345"/>
      <c r="ES147" s="1345"/>
      <c r="ET147" s="1321"/>
      <c r="EU147" s="1281" t="s">
        <v>1276</v>
      </c>
      <c r="EV147" s="1281" t="s">
        <v>1261</v>
      </c>
      <c r="EW147" s="1281" t="s">
        <v>1260</v>
      </c>
      <c r="EX147" s="1281" t="s">
        <v>1304</v>
      </c>
      <c r="EY147" s="1284" t="s">
        <v>1303</v>
      </c>
      <c r="EZ147" s="1281" t="s">
        <v>1269</v>
      </c>
      <c r="FA147" s="1345"/>
      <c r="FB147" s="1345"/>
      <c r="FC147" s="1321"/>
      <c r="FD147" s="1083" t="str">
        <f t="shared" si="55"/>
        <v>Canola</v>
      </c>
      <c r="FE147" s="1283">
        <f t="array" ref="FE147">IF(OR(ChoixRationHivernaleComplèteChevauxTrait=OUI,ChoixRationHivernaleComplèteChevauxTrait="",ChoixChevauxTraitPréHiver=NON),0,IFERROR(IF(OR(AND(INDEX(Règles_chevaux_trait[Specificite],MATCH(RationHivernaleAuPréChevauxTrait&amp;$FD147,Règles_chevaux_trait[Ration]&amp;Règles_chevaux_trait[Aliment],0))="s1",IF($FD147=Spécificité1ChevauxTrait,1)),
AND(INDEX(Règles_chevaux_trait[Specificite],MATCH(RationHivernaleAuPréChevauxTrait&amp;$FD147,Règles_chevaux_trait[Ration]&amp;Règles_chevaux_trait[Aliment],0))="s2",IF($FD147=Spécificité2ChevauxTrait,1)),
INDEX(Règles_chevaux_trait[Specificite],MATCH(RationHivernaleAuPréChevauxTrait&amp;$FD147,Règles_chevaux_trait[Ration]&amp;Règles_chevaux_trait[Aliment],0))="c"),
INDEX(Règles_chevaux_trait[Valeur 36 et plus],MATCH(RationHivernaleAuPréChevauxTrait&amp;$FD147,Règles_chevaux_trait[Ration]&amp;Règles_chevaux_trait[Aliment],0)),0),0)*SUM(TotalChevauxTraitAdultes)*21)</f>
        <v>0</v>
      </c>
      <c r="FF147" s="1283">
        <f t="array" ref="FF147">IF(OR(ChoixRationHivernaleComplèteChevauxTrait=OUI,ChoixRationHivernaleComplèteChevauxTrait="",ChoixChevauxTraitPréHiver=NON),0,IFERROR(IF(OR(AND(INDEX(Règles_chevaux_trait[Specificite],MATCH(RationHivernaleAuPréChevauxTrait&amp;$FD147,Règles_chevaux_trait[Ration]&amp;Règles_chevaux_trait[Aliment],0))="s1",IF($FD147=Spécificité1ChevauxTrait,1)),
AND(INDEX(Règles_chevaux_trait[Specificite],MATCH(RationHivernaleAuPréChevauxTrait&amp;$FD147,Règles_chevaux_trait[Ration]&amp;Règles_chevaux_trait[Aliment],0))="s2",IF($FD147=Spécificité2ChevauxTrait,1)),
INDEX(Règles_chevaux_trait[Specificite],MATCH(RationHivernaleAuPréChevauxTrait&amp;$FD147,Règles_chevaux_trait[Ration]&amp;Règles_chevaux_trait[Aliment],0))="c"),
INDEX(Règles_chevaux_trait[Valeur 24-36],MATCH(RationHivernaleAuPréChevauxTrait&amp;$FD147,Règles_chevaux_trait[Ration]&amp;Règles_chevaux_trait[Aliment],0)),0),0)*SUM(TotalChevauxTrait_24_36mois)*21)</f>
        <v>0</v>
      </c>
      <c r="FG147" s="1283">
        <f t="array" ref="FG147">IF(OR(ChoixRationHivernaleComplèteChevauxTrait=OUI,ChoixRationHivernaleComplèteChevauxTrait="",ChoixChevauxTraitPréHiver=NON),0,IFERROR(IF(OR(AND(INDEX(Règles_chevaux_trait[Specificite],MATCH(RationHivernaleAuPréChevauxTrait&amp;$FD147,Règles_chevaux_trait[Ration]&amp;Règles_chevaux_trait[Aliment],0))="s1",IF($FD147=Spécificité1ChevauxTrait,1)),
AND(INDEX(Règles_chevaux_trait[Specificite],MATCH(RationHivernaleAuPréChevauxTrait&amp;$FD147,Règles_chevaux_trait[Ration]&amp;Règles_chevaux_trait[Aliment],0))="s2",IF($FD147=Spécificité2ChevauxTrait,1)),
INDEX(Règles_chevaux_trait[Specificite],MATCH(RationHivernaleAuPréChevauxTrait&amp;$FD147,Règles_chevaux_trait[Ration]&amp;Règles_chevaux_trait[Aliment],0))="c"),
INDEX(Règles_chevaux_trait[Valeur 12-24],MATCH(RationHivernaleAuPréChevauxTrait&amp;$FD147,Règles_chevaux_trait[Ration]&amp;Règles_chevaux_trait[Aliment],0)),0),0)*SUM(TotalChevauxTrait_12_24mois)*21)</f>
        <v>0</v>
      </c>
      <c r="FH147" s="1286">
        <f t="array" ref="FH147">IF(OR(ChoixRationHivernaleComplèteChevauxTrait=OUI,ChoixRationHivernaleComplèteChevauxTrait="",ChoixChevauxTraitPréHiver=NON),0,IFERROR(IF(OR(AND(INDEX(Règles_chevaux_trait[Specificite],MATCH(RationHivernaleAuPréChevauxTrait&amp;$FD147,Règles_chevaux_trait[Ration]&amp;Règles_chevaux_trait[Aliment],0))="s1",IF($FD147=Spécificité1ChevauxTrait,1)),
AND(INDEX(Règles_chevaux_trait[Specificite],MATCH(RationHivernaleAuPréChevauxTrait&amp;$FD147,Règles_chevaux_trait[Ration]&amp;Règles_chevaux_trait[Aliment],0))="s2",IF($FD147=Spécificité2ChevauxTrait,1)),
INDEX(Règles_chevaux_trait[Specificite],MATCH(RationHivernaleAuPréChevauxTrait&amp;$FD147,Règles_chevaux_trait[Ration]&amp;Règles_chevaux_trait[Aliment],0))="c"),
INDEX(Règles_chevaux_trait[Valeur 0-12],MATCH(RationHivernaleAuPréChevauxTrait&amp;$FD147,Règles_chevaux_trait[Ration]&amp;Règles_chevaux_trait[Aliment],0)),0),0)*SUM(TotalPoulainsTrait)*21)</f>
        <v>0</v>
      </c>
      <c r="FI147" s="1286">
        <f t="shared" si="53"/>
        <v>0</v>
      </c>
      <c r="FJ147" s="1345"/>
      <c r="FK147" s="1345"/>
      <c r="FL147" s="1345"/>
      <c r="FM147" s="1321"/>
      <c r="FN147" s="1082" t="str">
        <f t="shared" si="54"/>
        <v>Colza</v>
      </c>
      <c r="FO147" s="1282">
        <f t="array" ref="FO147">IF(OR(ChoixRationHivernaleComplètePoneys=OUI,ChoixRationHivernaleComplètePoneys="",ChoixPoneysPréHiver=NON),0,IFERROR(IF(OR(AND(INDEX(Règles_poneys[Specificite],MATCH(RationHivernaleAuPréPoneys&amp;$FN147,Règles_poneys[Ration]&amp;Règles_poneys[Aliment],0))="s1",IF($FN147=Spécificité1Poneys,1)),
AND(INDEX(Règles_poneys[Specificite],MATCH(RationHivernaleAuPréPoneys&amp;$FN147,Règles_poneys[Ration]&amp;Règles_poneys[Aliment],0))="s2",IF($FN147=Spécificité2Poneys,1)),
INDEX(Règles_poneys[Specificite],MATCH(RationHivernaleAuPréPoneys&amp;$FN147,Règles_poneys[Ration]&amp;Règles_poneys[Aliment],0))="c"),
INDEX(Règles_poneys[Valeur 36 et plus],MATCH(RationHivernaleAuPréPoneys&amp;$FN147,Règles_poneys[Ration]&amp;Règles_poneys[Aliment],0)),0),0)*SUM(TotalPoneysAdultes)*21)</f>
        <v>0</v>
      </c>
      <c r="FP147" s="1282">
        <f t="array" ref="FP147">IF(OR(ChoixRationHivernaleComplètePoneys=OUI,ChoixRationHivernaleComplètePoneys="",ChoixPoneysPréHiver=NON),0,IFERROR(IF(OR(AND(INDEX(Règles_poneys[Specificite],MATCH(RationHivernaleAuPréPoneys&amp;$FN147,Règles_poneys[Ration]&amp;Règles_poneys[Aliment],0))="s1",IF($FN147=Spécificité1Poneys,1)),
AND(INDEX(Règles_poneys[Specificite],MATCH(RationHivernaleAuPréPoneys&amp;$FN147,Règles_poneys[Ration]&amp;Règles_poneys[Aliment],0))="s2",IF($FN147=Spécificité2Poneys,1)),
INDEX(Règles_poneys[Specificite],MATCH(RationHivernaleAuPréPoneys&amp;$FN147,Règles_poneys[Ration]&amp;Règles_poneys[Aliment],0))="c"),
INDEX(Règles_poneys[Valeur 24-36],MATCH(RationHivernaleAuPréPoneys&amp;$FN147,Règles_poneys[Ration]&amp;Règles_poneys[Aliment],0)),0),0)*SUM(TotalPoneys_24_36mois)*21)</f>
        <v>0</v>
      </c>
      <c r="FQ147" s="1282">
        <f t="array" ref="FQ147">IF(OR(ChoixRationHivernaleComplètePoneys=OUI,ChoixRationHivernaleComplètePoneys="",ChoixPoneysPréHiver=NON),0,IFERROR(IF(OR(AND(INDEX(Règles_poneys[Specificite],MATCH(RationHivernaleAuPréPoneys&amp;$FN147,Règles_poneys[Ration]&amp;Règles_poneys[Aliment],0))="s1",IF($FN147=Spécificité1Poneys,1)),
AND(INDEX(Règles_poneys[Specificite],MATCH(RationHivernaleAuPréPoneys&amp;$FN147,Règles_poneys[Ration]&amp;Règles_poneys[Aliment],0))="s2",IF($FN147=Spécificité2Poneys,1)),
INDEX(Règles_poneys[Specificite],MATCH(RationHivernaleAuPréPoneys&amp;$FN147,Règles_poneys[Ration]&amp;Règles_poneys[Aliment],0))="c"),
INDEX(Règles_poneys[Valeur 12-24],MATCH(RationHivernaleAuPréPoneys&amp;$FN147,Règles_poneys[Ration]&amp;Règles_poneys[Aliment],0)),0),0)*SUM(TotalPoneys_12_24mois)*21)</f>
        <v>0</v>
      </c>
      <c r="FR147" s="1285">
        <f t="array" ref="FR147">IF(OR(ChoixRationHivernaleComplètePoneys=OUI,ChoixRationHivernaleComplètePoneys="",ChoixPoneysPréHiver=NON),0,IFERROR(IF(OR(AND(INDEX(Règles_poneys[Specificite],MATCH(RationHivernaleAuPréPoneys&amp;$FN147,Règles_poneys[Ration]&amp;Règles_poneys[Aliment],0))="s1",IF($FN147=Spécificité1Poneys,1)),
AND(INDEX(Règles_poneys[Specificite],MATCH(RationHivernaleAuPréPoneys&amp;$FN147,Règles_poneys[Ration]&amp;Règles_poneys[Aliment],0))="s2",IF($FN147=Spécificité2Poneys,1)),
INDEX(Règles_poneys[Specificite],MATCH(RationHivernaleAuPréPoneys&amp;$FN147,Règles_poneys[Ration]&amp;Règles_poneys[Aliment],0))="c"),
INDEX(Règles_poneys[Valeur 0-12],MATCH(RationHivernaleAuPréPoneys&amp;$FN147,Règles_poneys[Ration]&amp;Règles_poneys[Aliment],0)),0),0)*SUM(TotalPoulainsPoneys)*21)</f>
        <v>0</v>
      </c>
      <c r="FS147" s="1285">
        <f t="shared" si="52"/>
        <v>0</v>
      </c>
      <c r="FT147" s="1345"/>
      <c r="FU147" s="1345"/>
      <c r="FV147" s="1345"/>
      <c r="FW147" s="1083" t="str">
        <f t="shared" si="49"/>
        <v>Eau</v>
      </c>
      <c r="FX147" s="1283">
        <f t="array" ref="FX147">SUM((IF(QualitéAlimentsGavageOison_0_1_mois=BONNE,VLOOKUP("Eau",AlimentsGavageOies[],5,FALSE),0)+(IF(QualitéAlimentsGavageCaneton_0_1_mois=BONNE,VLOOKUP("Eau",AlimentsGavageCanards[],5,FALSE),0)+(IF(QualitéAlimentsGavageOison_1_2_mois=BONNE,VLOOKUP("Eau",AlimentsGavageOies[],4,FALSE),0)+(IF(QualitéAlimentsGavageCaneton_1_2_mois=BONNE,VLOOKUP("Eau",AlimentsGavageCanards[],4,FALSE),0)+(IF(QualitéAlimentsGavageOison_2_3_mois=BONNE,VLOOKUP("Eau",AlimentsGavageOies[],3,FALSE),0)+(IF(QualitéAlimentsGavageCaneton_2_3_mois=BONNE,VLOOKUP("Eau",AlimentsGavageCanards[],3,FALSE),0)+(IF(QualitéAlimentsGavageJeunesOies=BONNE,VLOOKUP("Eau",AlimentsGavageOies[],2,FALSE),0)+(IF(QualitéAlimentsGavageJeuneCanard=BONNE,VLOOKUP("Eau",AlimentsGavageCanards[],2,FALSE),0))))))))))</f>
        <v>0</v>
      </c>
      <c r="FY147" s="1283">
        <f t="array" ref="FY147">SUM((IF(QualitéAlimentsGavageOison_0_1_mois=MOYENNE,VLOOKUP("Eau",AlimentsGavageOies[],5,FALSE),0)+(IF(QualitéAlimentsGavageCaneton_0_1_mois=MOYENNE,VLOOKUP("Eau",AlimentsGavageCanards[],5,FALSE),0)+(IF(QualitéAlimentsGavageOison_1_2_mois=MOYENNE,VLOOKUP("Eau",AlimentsGavageOies[],4,FALSE),0)+(IF(QualitéAlimentsGavageCaneton_1_2_mois=MOYENNE,VLOOKUP("Eau",AlimentsGavageCanards[],4,FALSE),0)+(IF(QualitéAlimentsGavageOison_2_3_mois=MOYENNE,VLOOKUP("Eau",AlimentsGavageOies[],3,FALSE),0)+(IF(QualitéAlimentsGavageCaneton_2_3_mois=MOYENNE,VLOOKUP("Eau",AlimentsGavageCanards[],3,FALSE),0)+(IF(QualitéAlimentsGavageJeunesOies=MOYENNE,VLOOKUP("Eau",AlimentsGavageOies[],2,FALSE),0)+(IF(QualitéAlimentsGavageJeuneCanard=MOYENNE,VLOOKUP("Eau",AlimentsGavageCanards[],2,FALSE),0))))))))))</f>
        <v>0</v>
      </c>
      <c r="FZ147" s="1283">
        <f t="array" ref="FZ147">SUM((IF(QualitéAlimentsGavageOison_0_1_mois=MAUVAISE,VLOOKUP("Eau",AlimentsGavageOies[],5,FALSE),0)+(IF(QualitéAlimentsGavageCaneton_0_1_mois=MAUVAISE,VLOOKUP("Eau",AlimentsGavageCanards[],5,FALSE),0)+(IF(QualitéAlimentsGavageOison_1_2_mois=MAUVAISE,VLOOKUP("Eau",AlimentsGavageOies[],4,FALSE),0)+(IF(QualitéAlimentsGavageCaneton_1_2_mois=MAUVAISE,VLOOKUP("Eau",AlimentsGavageCanards[],4,FALSE),0)+(IF(QualitéAlimentsGavageOison_2_3_mois=MAUVAISE,VLOOKUP("Eau",AlimentsGavageOies[],3,FALSE),0)+(IF(QualitéAlimentsGavageCaneton_2_3_mois=MAUVAISE,VLOOKUP("Eau",AlimentsGavageCanards[],3,FALSE),0)+(IF(QualitéAlimentsGavageJeunesOies=MAUVAISE,VLOOKUP("Eau",AlimentsGavageOies[],2,FALSE),0)+(IF(QualitéAlimentsGavageJeuneCanard=MAUVAISE,VLOOKUP("Eau",AlimentsGavageCanards[],2,FALSE),0))))))))))</f>
        <v>0</v>
      </c>
      <c r="GA147" s="1345"/>
      <c r="GB147" s="1345"/>
      <c r="GC147" s="1321"/>
      <c r="GD147" s="1321"/>
      <c r="GE147" s="1321"/>
      <c r="GF147" s="1321"/>
      <c r="GG147" s="1321" t="s">
        <v>1349</v>
      </c>
      <c r="GH147" s="1321" t="s">
        <v>1349</v>
      </c>
      <c r="GI147" s="1321" t="s">
        <v>1349</v>
      </c>
      <c r="GJ147" s="1321" t="s">
        <v>1349</v>
      </c>
      <c r="GK147" s="1321" t="s">
        <v>1349</v>
      </c>
      <c r="GL147" s="1321" t="s">
        <v>1349</v>
      </c>
      <c r="GM147" s="1321" t="s">
        <v>1349</v>
      </c>
      <c r="GN147" s="1321" t="s">
        <v>1349</v>
      </c>
      <c r="GO147" s="1321" t="s">
        <v>1349</v>
      </c>
      <c r="GP147" s="1321" t="s">
        <v>1349</v>
      </c>
      <c r="GQ147" s="1321" t="s">
        <v>1349</v>
      </c>
      <c r="GR147" s="1321" t="s">
        <v>1349</v>
      </c>
      <c r="GS147" s="1321" t="s">
        <v>1349</v>
      </c>
      <c r="GT147" s="1321" t="s">
        <v>1349</v>
      </c>
      <c r="GU147" s="1321" t="s">
        <v>1349</v>
      </c>
      <c r="GV147" s="1321" t="s">
        <v>1349</v>
      </c>
      <c r="GW147" s="1321"/>
      <c r="GX147" s="1321"/>
      <c r="GY147" s="1321"/>
      <c r="GZ147" s="1321"/>
      <c r="HA147" s="1321"/>
      <c r="HB147" s="1321"/>
      <c r="HC147" s="1321"/>
      <c r="HD147" s="1321"/>
      <c r="HE147" s="1321"/>
      <c r="HF147" s="1321"/>
      <c r="HG147" s="1321"/>
      <c r="HH147" s="1321"/>
      <c r="HI147" s="1321"/>
      <c r="HJ147" s="1321"/>
      <c r="HK147" s="1321"/>
      <c r="HL147" s="1321"/>
      <c r="HM147" s="1321"/>
      <c r="HN147" s="1321"/>
      <c r="HO147" s="1321"/>
      <c r="HP147" s="1321"/>
      <c r="HQ147" s="1321"/>
      <c r="HR147" s="1321"/>
      <c r="HS147" s="1321"/>
      <c r="HT147" s="1321"/>
      <c r="HU147" s="1321"/>
      <c r="HV147" s="1321"/>
      <c r="HW147" s="1321"/>
      <c r="HX147" s="1321"/>
      <c r="HY147" s="1321"/>
      <c r="HZ147" s="1321"/>
      <c r="IA147" s="1321"/>
      <c r="IB147" s="1321"/>
      <c r="IC147" s="1321"/>
      <c r="ID147" s="1321"/>
      <c r="IE147" s="1321"/>
      <c r="IF147" s="1321"/>
      <c r="IG147" s="1321"/>
      <c r="IH147" s="1321"/>
      <c r="II147" s="1321"/>
      <c r="IJ147" s="1321"/>
      <c r="IK147" s="1321"/>
      <c r="IL147" s="1321"/>
      <c r="IM147" s="1321"/>
      <c r="IN147" s="1368"/>
    </row>
    <row r="148" spans="1:248" ht="12.75" customHeight="1" x14ac:dyDescent="0.2">
      <c r="A148" s="1307" t="s">
        <v>605</v>
      </c>
      <c r="B148" s="1209">
        <v>1</v>
      </c>
      <c r="C148" s="1321"/>
      <c r="D148" s="1321"/>
      <c r="E148" s="1321"/>
      <c r="F148" s="1143" t="s">
        <v>1765</v>
      </c>
      <c r="G148" s="1143">
        <v>5.65</v>
      </c>
      <c r="H148" s="1321"/>
      <c r="I148" s="1076" t="str">
        <f t="shared" si="50"/>
        <v>80-89,99</v>
      </c>
      <c r="J148" s="1081">
        <f>IF(gains!F$4=BDD!O$127,10,IF(gains!F$4=BDD!P$127,20,IF(gains!F$4=BDD!Q$127,30,0)))</f>
        <v>10</v>
      </c>
      <c r="K148" s="1081">
        <f>IF(gains!$G$8=K$127,1,0)</f>
        <v>0</v>
      </c>
      <c r="L148" s="1081">
        <f>IF(gains!$G$8=L$127,2,0)</f>
        <v>0</v>
      </c>
      <c r="M148" s="1081">
        <f>IF(gains!$G$8=M$127,3,0)</f>
        <v>0</v>
      </c>
      <c r="N148" s="1081">
        <f>IF(gains!$G$8=N$127,4,0)</f>
        <v>0</v>
      </c>
      <c r="O148" s="1081">
        <f>IF(AND(J148=10,SUM(K148:N148)=1),gains!$F$39,IF(AND(J148=10,SUM(K148:N148)=2),gains!$F$39*2,IF(AND(J148=10,SUM(K148:N148)=3),gains!$F$39*3,IF(AND(J148=10,SUM(K148:N148)=4),gains!$F$39*4,0))))</f>
        <v>0</v>
      </c>
      <c r="P148" s="1081">
        <f>IF(AND(J148=20,SUM(K148:N148)=1),gains!$F$39*7,IF(AND(J148=20,SUM(K148:N148)=2),gains!$F$39*7*2,IF(AND(J148=20,SUM(K148:N148)=3),gains!$F$39*7*3,IF(AND(J148=20,SUM(K148:N148)=4),gains!$F$39*7*4,0))))</f>
        <v>0</v>
      </c>
      <c r="Q148" s="1081">
        <f>IF(AND(J148=30,SUM(K148:N148)=1),gains!$F$39*7*12,IF(AND(J148=30,SUM(K148:N148)=2),gains!$F$39*7*12*2,IF(AND(J148=30,SUM(K148:N148)=3),gains!$F$39*7*12*3,IF(AND(J148=30,SUM(K148:N148)=4),gains!$F$39*7*12*4,0))))</f>
        <v>0</v>
      </c>
      <c r="R148" s="1321"/>
      <c r="S148" s="1321"/>
      <c r="T148" s="1321"/>
      <c r="U148" s="1321"/>
      <c r="V148" s="1321"/>
      <c r="W148" s="1321"/>
      <c r="X148" s="1321"/>
      <c r="Y148" s="1321"/>
      <c r="Z148" s="1321"/>
      <c r="AA148" s="1321"/>
      <c r="AB148" s="1321"/>
      <c r="AC148" s="1321"/>
      <c r="AD148" s="1321"/>
      <c r="AE148" s="1321"/>
      <c r="AF148" s="1321"/>
      <c r="AG148" s="1321"/>
      <c r="AH148" s="1321"/>
      <c r="AI148" s="1321"/>
      <c r="AJ148" s="1321"/>
      <c r="AK148" s="1321"/>
      <c r="AL148" s="1321"/>
      <c r="AM148" s="1321"/>
      <c r="AN148" s="1321"/>
      <c r="AO148" s="1321"/>
      <c r="AP148" s="1321"/>
      <c r="AQ148" s="1321"/>
      <c r="AR148" s="1321"/>
      <c r="AS148" s="1321"/>
      <c r="AT148" s="1321"/>
      <c r="AU148" s="1321"/>
      <c r="AV148" s="1321"/>
      <c r="AW148" s="1321"/>
      <c r="AX148" s="1321"/>
      <c r="AY148" s="1321"/>
      <c r="AZ148" s="1321"/>
      <c r="BA148" s="1321"/>
      <c r="BB148" s="1236" t="s">
        <v>731</v>
      </c>
      <c r="BC148" s="1190" t="s">
        <v>340</v>
      </c>
      <c r="BD148" s="1190" t="s">
        <v>1252</v>
      </c>
      <c r="BE148" s="1237">
        <v>24</v>
      </c>
      <c r="BF148" s="1237">
        <v>24</v>
      </c>
      <c r="BG148" s="1237">
        <v>16</v>
      </c>
      <c r="BH148" s="1237">
        <v>12</v>
      </c>
      <c r="BI148" s="1237">
        <v>8</v>
      </c>
      <c r="BJ148" s="1237">
        <v>4</v>
      </c>
      <c r="BK148" s="1238">
        <v>0</v>
      </c>
      <c r="BL148" s="1348"/>
      <c r="BM148" s="1076">
        <f t="shared" si="47"/>
        <v>0</v>
      </c>
      <c r="BN148" s="1267"/>
      <c r="BO148" s="1267"/>
      <c r="BP148" s="1267"/>
      <c r="BQ148" s="1321"/>
      <c r="BR148" s="1321"/>
      <c r="BS148" s="1321"/>
      <c r="BT148" s="1321"/>
      <c r="BU148" s="1321"/>
      <c r="BV148" s="1345"/>
      <c r="BW148" s="1345"/>
      <c r="BX148" s="1076" t="str">
        <f t="shared" si="57"/>
        <v>Chanvre</v>
      </c>
      <c r="BY148" s="1076">
        <f t="array" ref="BY148">IF(ChoixRationComplèteCaprins=OUI,0,IFERROR(IF(OR(AND(INDEX(Règles_caprins[Specificite],MATCH(ChoixRationCaprins&amp;$BX148,Règles_caprins[Ration]&amp;Règles_caprins[Aliment],0))="s1",IF($BX148=Spécificité1Caprins,1)),
INDEX(Règles_caprins[Specificite],MATCH(ChoixRationCaprins&amp;$BX148,Règles_caprins[Ration]&amp;Règles_caprins[Aliment],0))="c"),
INDEX(Règles_caprins[Valeur 12 et plus],MATCH(ChoixRationCaprins&amp;$BX148,Règles_caprins[Ration]&amp;Règles_caprins[Aliment],0)),0),0)*TotalChèvres*SUM(NbreJoursNourrirCaprins))</f>
        <v>0</v>
      </c>
      <c r="BZ148" s="1076">
        <f t="array" ref="BZ148">IF(ChoixRationComplèteCaprins=OUI,0,IFERROR(IF(OR(AND(INDEX(Règles_caprins[Specificite],MATCH(ChoixRationCaprins&amp;$BX148,Règles_caprins[Ration]&amp;Règles_caprins[Aliment],0))="s1",IF($BX148=Spécificité1Caprins,1)),
INDEX(Règles_caprins[Specificite],MATCH(ChoixRationCaprins&amp;$BX148,Règles_caprins[Ration]&amp;Règles_caprins[Aliment],0))="c"),
INDEX(Règles_caprins[Valeur 6-12],MATCH(ChoixRationCaprins&amp;$BX148,Règles_caprins[Ration]&amp;Règles_caprins[Aliment],0)),0),0)*jeune_chèvre_6_12_mois*SUM(NbreJoursNourrirCaprins))</f>
        <v>0</v>
      </c>
      <c r="CA148" s="1076">
        <f t="array" ref="CA148">IF(ChoixRationComplèteCaprins=OUI,0,IFERROR(IF(OR(AND(INDEX(Règles_caprins[Specificite],MATCH(ChoixRationCaprins&amp;$BX148,Règles_caprins[Ration]&amp;Règles_caprins[Aliment],0))="s1",IF($BX148=Spécificité1Caprins,1)),
INDEX(Règles_caprins[Specificite],MATCH(ChoixRationCaprins&amp;$BX148,Règles_caprins[Ration]&amp;Règles_caprins[Aliment],0))="c"),
INDEX(Règles_caprins[Valeur 3-6],MATCH(ChoixRationCaprins&amp;$BX148,Règles_caprins[Ration]&amp;Règles_caprins[Aliment],0)),0),0)*chevrette_3_6_mois*SUM(NbreJoursNourrirCaprins))</f>
        <v>0</v>
      </c>
      <c r="CB148" s="1076">
        <f t="array" ref="CB148">IF(ChoixRationComplèteCaprins=OUI,0,IFERROR(IF(OR(AND(INDEX(Règles_caprins[Specificite],MATCH(ChoixRationCaprins&amp;$BX148,Règles_caprins[Ration]&amp;Règles_caprins[Aliment],0))="s1",IF($BX148=Spécificité1Caprins,1)),
INDEX(Règles_caprins[Specificite],MATCH(ChoixRationCaprins&amp;$BX148,Règles_caprins[Ration]&amp;Règles_caprins[Aliment],0))="c"),
INDEX(Règles_caprins[Valeur 0-3],MATCH(ChoixRationCaprins&amp;$BX148,Règles_caprins[Ration]&amp;Règles_caprins[Aliment],0)),0),0)*chevrette_0_3_mois*SUM(NbreJoursNourrirCaprins))</f>
        <v>0</v>
      </c>
      <c r="CC148" s="1076">
        <f t="shared" si="56"/>
        <v>0</v>
      </c>
      <c r="CD148" s="1345"/>
      <c r="CE148" s="1345"/>
      <c r="CF148" s="1345"/>
      <c r="CG148" s="1345"/>
      <c r="CH148" s="1345"/>
      <c r="CI148" s="1321"/>
      <c r="CJ148" s="1075" t="str">
        <f t="shared" si="51"/>
        <v>concentré jeunes porcins</v>
      </c>
      <c r="CK148" s="1269">
        <f t="array" ref="CK148">SUM((IF(QualitéAlimentsPorceletMâle_0_1_mois=BONNE,VLOOKUP("Concentré jeunes porcins",AlimentsRationPorcinsMâles[],6,FALSE),0)+(IF(QualitéAlimentsPorceletFemelle_0_1_mois=BONNE,VLOOKUP("Concentré jeunes porcins",AlimentsRationPorcinsFemelles[],6,FALSE),0)+(IF(QualitéAlimentsPorceletMâle_1_3_mois=BONNE,VLOOKUP("Concentré jeunes porcins",AlimentsRationPorcinsMâles[],5,FALSE),0)+(IF(QualitéAlimentsPorceletFemelle_1_3_mois=BONNE,VLOOKUP("Concentré jeunes porcins",AlimentsRationPorcinsFemelles[],5,FALSE),0)+(IF(QualitéAlimentsJeuneVerrat_3_6_mois=BONNE,VLOOKUP("Concentré jeunes porcins",AlimentsRationPorcinsMâles[],4,FALSE),0)+(IF(QualitéAlimentsJeuneTruie_3_6_mois=BONNE,VLOOKUP("Concentré jeunes porcins",AlimentsRationPorcinsFemelles[],4,FALSE),0)+(IF(QualitéAlimentsJeuneVerrat_6_12_mois=BONNE,VLOOKUP("Concentré jeunes porcins",AlimentsRationPorcinsMâles[],3,FALSE),0)+(IF(QualitéAlimentsJeuneTruie_6_12_mois=BONNE,VLOOKUP("Concentré jeunes porcins",AlimentsRationPorcinsFemelles[],3,FALSE),0)+(IF(QualitéAlimentsVerrat=BONNE,VLOOKUP("Concentré jeunes porcins",AlimentsRationPorcinsMâles[],2,FALSE),0)+(IF(QualitéAlimentsTruie=BONNE,VLOOKUP("Concentré jeunes porcins",AlimentsRationPorcinsFemelles[],2,FALSE),0))))))))))))</f>
        <v>0</v>
      </c>
      <c r="CL148" s="1269">
        <f t="array" ref="CL148">SUM((IF(QualitéAlimentsPorceletMâle_0_1_mois=MOYENNE,VLOOKUP("Concentré jeunes porcins",AlimentsRationPorcinsMâles[],6,FALSE),0)+(IF(QualitéAlimentsPorceletFemelle_0_1_mois=MOYENNE,VLOOKUP("Concentré jeunes porcins",AlimentsRationPorcinsFemelles[],6,FALSE),0)+(IF(QualitéAlimentsPorceletMâle_1_3_mois=MOYENNE,VLOOKUP("Concentré jeunes porcins",AlimentsRationPorcinsMâles[],5,FALSE),0)+(IF(QualitéAlimentsPorceletFemelle_1_3_mois=MOYENNE,VLOOKUP("Concentré jeunes porcins",AlimentsRationPorcinsFemelles[],5,FALSE),0)+(IF(QualitéAlimentsJeuneVerrat_3_6_mois=MOYENNE,VLOOKUP("Concentré jeunes porcins",AlimentsRationPorcinsMâles[],4,FALSE),0)+(IF(QualitéAlimentsJeuneTruie_3_6_mois=MOYENNE,VLOOKUP("Concentré jeunes porcins",AlimentsRationPorcinsFemelles[],4,FALSE),0)+(IF(QualitéAlimentsJeuneVerrat_6_12_mois=MOYENNE,VLOOKUP("Concentré jeunes porcins",AlimentsRationPorcinsMâles[],3,FALSE),0)+(IF(QualitéAlimentsJeuneTruie_6_12_mois=MOYENNE,VLOOKUP("Concentré jeunes porcins",AlimentsRationPorcinsFemelles[],3,FALSE),0)+(IF(QualitéAlimentsVerrat=MOYENNE,VLOOKUP("Concentré jeunes porcins",AlimentsRationPorcinsMâles[],2,FALSE),0)+(IF(QualitéAlimentsTruie=MOYENNE,VLOOKUP("Concentré jeunes porcins",AlimentsRationPorcinsFemelles[],2,FALSE),0))))))))))))</f>
        <v>0</v>
      </c>
      <c r="CM148" s="1269">
        <f t="array" ref="CM148">SUM((IF(QualitéAlimentsPorceletMâle_0_1_mois=MAUVAISE,VLOOKUP("Concentré jeunes porcins",AlimentsRationPorcinsMâles[],6,FALSE),0)+(IF(QualitéAlimentsPorceletFemelle_0_1_mois=MAUVAISE,VLOOKUP("Concentré jeunes porcins",AlimentsRationPorcinsFemelles[],6,FALSE),0)+(IF(QualitéAlimentsPorceletMâle_1_3_mois=MAUVAISE,VLOOKUP("Concentré jeunes porcins",AlimentsRationPorcinsMâles[],5,FALSE),0)+(IF(QualitéAlimentsPorceletFemelle_1_3_mois=MAUVAISE,VLOOKUP("Concentré jeunes porcins",AlimentsRationPorcinsFemelles[],5,FALSE),0)+(IF(QualitéAlimentsJeuneVerrat_3_6_mois=MAUVAISE,VLOOKUP("Concentré jeunes porcins",AlimentsRationPorcinsMâles[],4,FALSE),0)+(IF(QualitéAlimentsJeuneTruie_3_6_mois=MAUVAISE,VLOOKUP("Concentré jeunes porcins",AlimentsRationPorcinsFemelles[],4,FALSE),0)+(IF(QualitéAlimentsJeuneVerrat_6_12_mois=MAUVAISE,VLOOKUP("Concentré jeunes porcins",AlimentsRationPorcinsMâles[],3,FALSE),0)+(IF(QualitéAlimentsJeuneTruie_6_12_mois=MAUVAISE,VLOOKUP("Concentré jeunes porcins",AlimentsRationPorcinsFemelles[],3,FALSE),0)+(IF(QualitéAlimentsVerrat=MAUVAISE,VLOOKUP("Concentré jeunes porcins",AlimentsRationPorcinsMâles[],2,FALSE),0)+(IF(QualitéAlimentsTruie=MAUVAISE,VLOOKUP("Concentré jeunes porcins",AlimentsRationPorcinsFemelles[],2,FALSE),0))))))))))))</f>
        <v>0</v>
      </c>
      <c r="CN148" s="1321"/>
      <c r="CO148" s="1321"/>
      <c r="CP148" s="1321"/>
      <c r="CQ148" s="1321"/>
      <c r="CR148" s="1321"/>
      <c r="CS148" s="808" t="s">
        <v>1351</v>
      </c>
      <c r="CT148" s="803">
        <f>CT24*SUM(TotalJeunesLapins)*SUM(NbreJoursNourrirAutres)</f>
        <v>0</v>
      </c>
      <c r="CU148" s="1321"/>
      <c r="CV148" s="1321"/>
      <c r="CW148" s="1321"/>
      <c r="CX148" s="1321"/>
      <c r="CY148" s="1321"/>
      <c r="CZ148" s="808" t="s">
        <v>814</v>
      </c>
      <c r="DA148" s="803"/>
      <c r="DB148" s="1321"/>
      <c r="DC148" s="1321"/>
      <c r="DD148" s="1321"/>
      <c r="DE148" s="1321"/>
      <c r="DF148" s="1321"/>
      <c r="DG148" s="1076" t="str">
        <f t="shared" si="58"/>
        <v>Chanvre</v>
      </c>
      <c r="DH148" s="1267">
        <f t="array" ref="DH148">SUM((IF(QualitéAlimentsPintadeauMâle_0_1_mois=BONNE,VLOOKUP("Chanvre",AlimentsRationPintadesMâles[],4,FALSE),0)+(IF(QualitéAlimentsPintadeauFemelle_0_1_mois=BONNE,VLOOKUP("Chanvre",AlimentsRationPintadesFemelles[],4,FALSE),0)+(IF(QualitéAlimentsJeunePintadeMâle=BONNE,VLOOKUP("Chanvre",AlimentsRationPintadesMâles[],3,FALSE),0)+(IF(QualitéAlimentsJeunePintadeFemelle=BONNE,VLOOKUP("Chanvre",AlimentsRationPintadesFemelles[],3,FALSE),0)+(IF(QualitéAlimentsPintadeMâle=BONNE,VLOOKUP("Chanvre",AlimentsRationPintadesMâles[],2,FALSE),0)+(IF(QualitéAlimentsPintadeFemelle=BONNE,VLOOKUP("Chanvre",AlimentsRationPintadesFemelles[],2,FALSE),0))))))))</f>
        <v>0</v>
      </c>
      <c r="DI148" s="1267">
        <f t="array" ref="DI148">SUM((IF(QualitéAlimentsPintadeauMâle_0_1_mois=MOYENNE,VLOOKUP("Chanvre",AlimentsRationPintadesMâles[],4,FALSE),0)+(IF(QualitéAlimentsPintadeauFemelle_0_1_mois=MOYENNE,VLOOKUP("Chanvre",AlimentsRationPintadesFemelles[],4,FALSE),0)+(IF(QualitéAlimentsJeunePintadeMâle=MOYENNE,VLOOKUP("Chanvre",AlimentsRationPintadesMâles[],3,FALSE),0)+(IF(QualitéAlimentsJeunePintadeFemelle=MOYENNE,VLOOKUP("Chanvre",AlimentsRationPintadesFemelles[],3,FALSE),0)+(IF(QualitéAlimentsPintadeMâle=MOYENNE,VLOOKUP("Chanvre",AlimentsRationPintadesMâles[],2,FALSE),0)+(IF(QualitéAlimentsPintadeFemelle=MOYENNE,VLOOKUP("Chanvre",AlimentsRationPintadesFemelles[],2,FALSE),0))))))))</f>
        <v>0</v>
      </c>
      <c r="DJ148" s="1267">
        <f t="array" ref="DJ148">SUM((IF(QualitéAlimentsPintadeauMâle_0_1_mois=MAUVAISE,VLOOKUP("Chanvre",AlimentsRationPintadesMâles[],4,FALSE),0)+(IF(QualitéAlimentsPintadeauFemelle_0_1_mois=MAUVAISE,VLOOKUP("Chanvre",AlimentsRationPintadesFemelles[],4,FALSE),0)+(IF(QualitéAlimentsJeunePintadeMâle=MAUVAISE,VLOOKUP("Chanvre",AlimentsRationPintadesMâles[],3,FALSE),0)+(IF(QualitéAlimentsJeunePintadeFemelle=MAUVAISE,VLOOKUP("Chanvre",AlimentsRationPintadesFemelles[],3,FALSE),0)+(IF(QualitéAlimentsPintadeMâle=MAUVAISE,VLOOKUP("Chanvre",AlimentsRationPintadesMâles[],2,FALSE),0)+(IF(QualitéAlimentsPintadeFemelle=MAUVAISE,VLOOKUP("Chanvre",AlimentsRationPintadesFemelles[],2,FALSE),0))))))))</f>
        <v>0</v>
      </c>
      <c r="DK148" s="1321"/>
      <c r="DL148" s="1321"/>
      <c r="DM148" s="1321"/>
      <c r="DN148" s="1336" t="s">
        <v>1709</v>
      </c>
      <c r="DO148" s="1336"/>
      <c r="DP148" s="1336"/>
      <c r="DQ148" s="1336"/>
      <c r="DR148" s="1336"/>
      <c r="DS148" s="1359"/>
      <c r="DT148" s="1346"/>
      <c r="DU148" s="1346"/>
      <c r="DV148" s="1321"/>
      <c r="DW148" s="1321"/>
      <c r="DX148" s="1321"/>
      <c r="DY148" s="1321"/>
      <c r="DZ148" s="1321"/>
      <c r="EA148" s="1321"/>
      <c r="EB148" s="1321"/>
      <c r="EC148" s="1321"/>
      <c r="ED148" s="1345"/>
      <c r="EE148" s="1345"/>
      <c r="EF148" s="1321"/>
      <c r="EG148" s="1336" t="s">
        <v>1749</v>
      </c>
      <c r="EH148" s="1336"/>
      <c r="EI148" s="1336"/>
      <c r="EJ148" s="1336"/>
      <c r="EK148" s="1345"/>
      <c r="EL148" s="1345"/>
      <c r="EM148" s="1321"/>
      <c r="EN148" s="1281" t="s">
        <v>1276</v>
      </c>
      <c r="EO148" s="1289" t="s">
        <v>1746</v>
      </c>
      <c r="EP148" s="1289" t="s">
        <v>1747</v>
      </c>
      <c r="EQ148" s="1289" t="s">
        <v>1748</v>
      </c>
      <c r="ER148" s="1345"/>
      <c r="ES148" s="1345"/>
      <c r="ET148" s="1321"/>
      <c r="EU148" s="1082" t="str">
        <f>EU60</f>
        <v>Avoine</v>
      </c>
      <c r="EV148" s="1282">
        <f t="array" ref="EV148">IF(OR(ChoixRationHivernaleComplèteChevauxSelle=OUI,ChoixRationHivernaleComplèteChevauxSelle="",ChoixChevauxSellePréHiver=NON),0,IFERROR(IF(OR(AND(INDEX(Règles_chevaux_selle[Specificite],MATCH(RationHivernaleAuPréChevauxSelle&amp;$EU148,Règles_chevaux_selle[Ration]&amp;Règles_chevaux_selle[Aliment],0))="s1",IF($EU148=Spécificité1ChevauxSelle,1)),
AND(INDEX(Règles_chevaux_selle[Specificite],MATCH(RationHivernaleAuPréChevauxSelle&amp;$EU148,Règles_chevaux_selle[Ration]&amp;Règles_chevaux_selle[Aliment],0))="s2",IF($EU148=Spécificité2ChevauxSelle,1)),
INDEX(Règles_chevaux_selle[Specificite],MATCH(RationHivernaleAuPréChevauxSelle&amp;$EU148,Règles_chevaux_selle[Ration]&amp;Règles_chevaux_selle[Aliment],0))="c"),
INDEX(Règles_chevaux_selle[Valeur 36 et plus],MATCH(RationHivernaleAuPréChevauxSelle&amp;$EU148,Règles_chevaux_selle[Ration]&amp;Règles_chevaux_selle[Aliment],0)),0),0)*SUM(TotalChevauxSelleAdultes)*21)</f>
        <v>0</v>
      </c>
      <c r="EW148" s="1282">
        <f t="array" ref="EW148">IF(OR(ChoixRationHivernaleComplèteChevauxSelle=OUI,ChoixRationHivernaleComplèteChevauxSelle="",ChoixChevauxSellePréHiver=NON),0,IFERROR(IF(OR(AND(INDEX(Règles_chevaux_selle[Specificite],MATCH(RationHivernaleAuPréChevauxSelle&amp;$EU148,Règles_chevaux_selle[Ration]&amp;Règles_chevaux_selle[Aliment],0))="s1",IF($EU148=Spécificité1ChevauxSelle,1)),
AND(INDEX(Règles_chevaux_selle[Specificite],MATCH(RationHivernaleAuPréChevauxSelle&amp;$EU148,Règles_chevaux_selle[Ration]&amp;Règles_chevaux_selle[Aliment],0))="s2",IF($EU148=Spécificité2ChevauxSelle,1)),
INDEX(Règles_chevaux_selle[Specificite],MATCH(RationHivernaleAuPréChevauxSelle&amp;$EU148,Règles_chevaux_selle[Ration]&amp;Règles_chevaux_selle[Aliment],0))="c"),
INDEX(Règles_chevaux_selle[Valeur 24-36],MATCH(RationHivernaleAuPréChevauxSelle&amp;$EU148,Règles_chevaux_selle[Ration]&amp;Règles_chevaux_selle[Aliment],0)),0),0)*SUM(TotalChevauxSelle_24_36mois)*21)</f>
        <v>0</v>
      </c>
      <c r="EX148" s="1282">
        <f t="array" ref="EX148">IF(OR(ChoixRationHivernaleComplèteChevauxSelle=OUI,ChoixRationHivernaleComplèteChevauxSelle="",ChoixChevauxSellePréHiver=NON),0,IFERROR(IF(OR(AND(INDEX(Règles_chevaux_selle[Specificite],MATCH(RationHivernaleAuPréChevauxSelle&amp;$EU148,Règles_chevaux_selle[Ration]&amp;Règles_chevaux_selle[Aliment],0))="s1",IF($EU148=Spécificité1ChevauxSelle,1)),
AND(INDEX(Règles_chevaux_selle[Specificite],MATCH(RationHivernaleAuPréChevauxSelle&amp;$EU148,Règles_chevaux_selle[Ration]&amp;Règles_chevaux_selle[Aliment],0))="s2",IF($EU148=Spécificité2ChevauxSelle,1)),
INDEX(Règles_chevaux_selle[Specificite],MATCH(RationHivernaleAuPréChevauxSelle&amp;$EU148,Règles_chevaux_selle[Ration]&amp;Règles_chevaux_selle[Aliment],0))="c"),
INDEX(Règles_chevaux_selle[Valeur 12-24],MATCH(RationHivernaleAuPréChevauxSelle&amp;$EU148,Règles_chevaux_selle[Ration]&amp;Règles_chevaux_selle[Aliment],0)),0),0)*SUM(TotalChevauxSelle_12_24mois)*21)</f>
        <v>0</v>
      </c>
      <c r="EY148" s="1282">
        <f t="array" ref="EY148">IF(OR(ChoixRationHivernaleComplèteChevauxSelle=OUI,ChoixRationHivernaleComplèteChevauxSelle="",ChoixChevauxSellePréHiver=NON),0,IFERROR(IF(OR(AND(INDEX(Règles_chevaux_selle[Specificite],MATCH(RationHivernaleAuPréChevauxSelle&amp;$EU148,Règles_chevaux_selle[Ration]&amp;Règles_chevaux_selle[Aliment],0))="s1",IF($EU148=Spécificité1ChevauxSelle,1)),
AND(INDEX(Règles_chevaux_selle[Specificite],MATCH(RationHivernaleAuPréChevauxSelle&amp;$EU148,Règles_chevaux_selle[Ration]&amp;Règles_chevaux_selle[Aliment],0))="s2",IF($EU148=Spécificité2ChevauxSelle,1)),
INDEX(Règles_chevaux_selle[Specificite],MATCH(RationHivernaleAuPréChevauxSelle&amp;$EU148,Règles_chevaux_selle[Ration]&amp;Règles_chevaux_selle[Aliment],0))="c"),
INDEX(Règles_chevaux_selle[Valeur 0-12],MATCH(RationHivernaleAuPréChevauxSelle&amp;$EU148,Règles_chevaux_selle[Ration]&amp;Règles_chevaux_selle[Aliment],0)),0),0)*SUM(TotalPoulainsSelle)*21)</f>
        <v>0</v>
      </c>
      <c r="EZ148" s="1285">
        <f t="shared" ref="EZ148:EZ186" si="59">SUM($EV148:$EY148)</f>
        <v>0</v>
      </c>
      <c r="FA148" s="1345"/>
      <c r="FB148" s="1345"/>
      <c r="FC148" s="1321"/>
      <c r="FD148" s="1082" t="str">
        <f t="shared" si="55"/>
        <v>Colza</v>
      </c>
      <c r="FE148" s="1282">
        <f t="array" ref="FE148">IF(OR(ChoixRationHivernaleComplèteChevauxTrait=OUI,ChoixRationHivernaleComplèteChevauxTrait="",ChoixChevauxTraitPréHiver=NON),0,IFERROR(IF(OR(AND(INDEX(Règles_chevaux_trait[Specificite],MATCH(RationHivernaleAuPréChevauxTrait&amp;$FD148,Règles_chevaux_trait[Ration]&amp;Règles_chevaux_trait[Aliment],0))="s1",IF($FD148=Spécificité1ChevauxTrait,1)),
AND(INDEX(Règles_chevaux_trait[Specificite],MATCH(RationHivernaleAuPréChevauxTrait&amp;$FD148,Règles_chevaux_trait[Ration]&amp;Règles_chevaux_trait[Aliment],0))="s2",IF($FD148=Spécificité2ChevauxTrait,1)),
INDEX(Règles_chevaux_trait[Specificite],MATCH(RationHivernaleAuPréChevauxTrait&amp;$FD148,Règles_chevaux_trait[Ration]&amp;Règles_chevaux_trait[Aliment],0))="c"),
INDEX(Règles_chevaux_trait[Valeur 36 et plus],MATCH(RationHivernaleAuPréChevauxTrait&amp;$FD148,Règles_chevaux_trait[Ration]&amp;Règles_chevaux_trait[Aliment],0)),0),0)*SUM(TotalChevauxTraitAdultes)*21)</f>
        <v>0</v>
      </c>
      <c r="FF148" s="1282">
        <f t="array" ref="FF148">IF(OR(ChoixRationHivernaleComplèteChevauxTrait=OUI,ChoixRationHivernaleComplèteChevauxTrait="",ChoixChevauxTraitPréHiver=NON),0,IFERROR(IF(OR(AND(INDEX(Règles_chevaux_trait[Specificite],MATCH(RationHivernaleAuPréChevauxTrait&amp;$FD148,Règles_chevaux_trait[Ration]&amp;Règles_chevaux_trait[Aliment],0))="s1",IF($FD148=Spécificité1ChevauxTrait,1)),
AND(INDEX(Règles_chevaux_trait[Specificite],MATCH(RationHivernaleAuPréChevauxTrait&amp;$FD148,Règles_chevaux_trait[Ration]&amp;Règles_chevaux_trait[Aliment],0))="s2",IF($FD148=Spécificité2ChevauxTrait,1)),
INDEX(Règles_chevaux_trait[Specificite],MATCH(RationHivernaleAuPréChevauxTrait&amp;$FD148,Règles_chevaux_trait[Ration]&amp;Règles_chevaux_trait[Aliment],0))="c"),
INDEX(Règles_chevaux_trait[Valeur 24-36],MATCH(RationHivernaleAuPréChevauxTrait&amp;$FD148,Règles_chevaux_trait[Ration]&amp;Règles_chevaux_trait[Aliment],0)),0),0)*SUM(TotalChevauxTrait_24_36mois)*21)</f>
        <v>0</v>
      </c>
      <c r="FG148" s="1282">
        <f t="array" ref="FG148">IF(OR(ChoixRationHivernaleComplèteChevauxTrait=OUI,ChoixRationHivernaleComplèteChevauxTrait="",ChoixChevauxTraitPréHiver=NON),0,IFERROR(IF(OR(AND(INDEX(Règles_chevaux_trait[Specificite],MATCH(RationHivernaleAuPréChevauxTrait&amp;$FD148,Règles_chevaux_trait[Ration]&amp;Règles_chevaux_trait[Aliment],0))="s1",IF($FD148=Spécificité1ChevauxTrait,1)),
AND(INDEX(Règles_chevaux_trait[Specificite],MATCH(RationHivernaleAuPréChevauxTrait&amp;$FD148,Règles_chevaux_trait[Ration]&amp;Règles_chevaux_trait[Aliment],0))="s2",IF($FD148=Spécificité2ChevauxTrait,1)),
INDEX(Règles_chevaux_trait[Specificite],MATCH(RationHivernaleAuPréChevauxTrait&amp;$FD148,Règles_chevaux_trait[Ration]&amp;Règles_chevaux_trait[Aliment],0))="c"),
INDEX(Règles_chevaux_trait[Valeur 12-24],MATCH(RationHivernaleAuPréChevauxTrait&amp;$FD148,Règles_chevaux_trait[Ration]&amp;Règles_chevaux_trait[Aliment],0)),0),0)*SUM(TotalChevauxTrait_12_24mois)*21)</f>
        <v>0</v>
      </c>
      <c r="FH148" s="1285">
        <f t="array" ref="FH148">IF(OR(ChoixRationHivernaleComplèteChevauxTrait=OUI,ChoixRationHivernaleComplèteChevauxTrait="",ChoixChevauxTraitPréHiver=NON),0,IFERROR(IF(OR(AND(INDEX(Règles_chevaux_trait[Specificite],MATCH(RationHivernaleAuPréChevauxTrait&amp;$FD148,Règles_chevaux_trait[Ration]&amp;Règles_chevaux_trait[Aliment],0))="s1",IF($FD148=Spécificité1ChevauxTrait,1)),
AND(INDEX(Règles_chevaux_trait[Specificite],MATCH(RationHivernaleAuPréChevauxTrait&amp;$FD148,Règles_chevaux_trait[Ration]&amp;Règles_chevaux_trait[Aliment],0))="s2",IF($FD148=Spécificité2ChevauxTrait,1)),
INDEX(Règles_chevaux_trait[Specificite],MATCH(RationHivernaleAuPréChevauxTrait&amp;$FD148,Règles_chevaux_trait[Ration]&amp;Règles_chevaux_trait[Aliment],0))="c"),
INDEX(Règles_chevaux_trait[Valeur 0-12],MATCH(RationHivernaleAuPréChevauxTrait&amp;$FD148,Règles_chevaux_trait[Ration]&amp;Règles_chevaux_trait[Aliment],0)),0),0)*SUM(TotalPoulainsTrait)*21)</f>
        <v>0</v>
      </c>
      <c r="FI148" s="1285">
        <f t="shared" si="53"/>
        <v>0</v>
      </c>
      <c r="FJ148" s="1345"/>
      <c r="FK148" s="1345"/>
      <c r="FL148" s="1345"/>
      <c r="FM148" s="1321"/>
      <c r="FN148" s="1083" t="str">
        <f t="shared" si="54"/>
        <v>concentré jeunes bovins</v>
      </c>
      <c r="FO148" s="1283">
        <f t="array" ref="FO148">IF(OR(ChoixRationHivernaleComplètePoneys=OUI,ChoixRationHivernaleComplètePoneys="",ChoixPoneysPréHiver=NON),0,IFERROR(IF(OR(AND(INDEX(Règles_poneys[Specificite],MATCH(RationHivernaleAuPréPoneys&amp;$FN148,Règles_poneys[Ration]&amp;Règles_poneys[Aliment],0))="s1",IF($FN148=Spécificité1Poneys,1)),
AND(INDEX(Règles_poneys[Specificite],MATCH(RationHivernaleAuPréPoneys&amp;$FN148,Règles_poneys[Ration]&amp;Règles_poneys[Aliment],0))="s2",IF($FN148=Spécificité2Poneys,1)),
INDEX(Règles_poneys[Specificite],MATCH(RationHivernaleAuPréPoneys&amp;$FN148,Règles_poneys[Ration]&amp;Règles_poneys[Aliment],0))="c"),
INDEX(Règles_poneys[Valeur 36 et plus],MATCH(RationHivernaleAuPréPoneys&amp;$FN148,Règles_poneys[Ration]&amp;Règles_poneys[Aliment],0)),0),0)*SUM(TotalPoneysAdultes)*21)</f>
        <v>0</v>
      </c>
      <c r="FP148" s="1283">
        <f t="array" ref="FP148">IF(OR(ChoixRationHivernaleComplètePoneys=OUI,ChoixRationHivernaleComplètePoneys="",ChoixPoneysPréHiver=NON),0,IFERROR(IF(OR(AND(INDEX(Règles_poneys[Specificite],MATCH(RationHivernaleAuPréPoneys&amp;$FN148,Règles_poneys[Ration]&amp;Règles_poneys[Aliment],0))="s1",IF($FN148=Spécificité1Poneys,1)),
AND(INDEX(Règles_poneys[Specificite],MATCH(RationHivernaleAuPréPoneys&amp;$FN148,Règles_poneys[Ration]&amp;Règles_poneys[Aliment],0))="s2",IF($FN148=Spécificité2Poneys,1)),
INDEX(Règles_poneys[Specificite],MATCH(RationHivernaleAuPréPoneys&amp;$FN148,Règles_poneys[Ration]&amp;Règles_poneys[Aliment],0))="c"),
INDEX(Règles_poneys[Valeur 24-36],MATCH(RationHivernaleAuPréPoneys&amp;$FN148,Règles_poneys[Ration]&amp;Règles_poneys[Aliment],0)),0),0)*SUM(TotalPoneys_24_36mois)*21)</f>
        <v>0</v>
      </c>
      <c r="FQ148" s="1283">
        <f t="array" ref="FQ148">IF(OR(ChoixRationHivernaleComplètePoneys=OUI,ChoixRationHivernaleComplètePoneys="",ChoixPoneysPréHiver=NON),0,IFERROR(IF(OR(AND(INDEX(Règles_poneys[Specificite],MATCH(RationHivernaleAuPréPoneys&amp;$FN148,Règles_poneys[Ration]&amp;Règles_poneys[Aliment],0))="s1",IF($FN148=Spécificité1Poneys,1)),
AND(INDEX(Règles_poneys[Specificite],MATCH(RationHivernaleAuPréPoneys&amp;$FN148,Règles_poneys[Ration]&amp;Règles_poneys[Aliment],0))="s2",IF($FN148=Spécificité2Poneys,1)),
INDEX(Règles_poneys[Specificite],MATCH(RationHivernaleAuPréPoneys&amp;$FN148,Règles_poneys[Ration]&amp;Règles_poneys[Aliment],0))="c"),
INDEX(Règles_poneys[Valeur 12-24],MATCH(RationHivernaleAuPréPoneys&amp;$FN148,Règles_poneys[Ration]&amp;Règles_poneys[Aliment],0)),0),0)*SUM(TotalPoneys_12_24mois)*21)</f>
        <v>0</v>
      </c>
      <c r="FR148" s="1286">
        <f t="array" ref="FR148">IF(OR(ChoixRationHivernaleComplètePoneys=OUI,ChoixRationHivernaleComplètePoneys="",ChoixPoneysPréHiver=NON),0,IFERROR(IF(OR(AND(INDEX(Règles_poneys[Specificite],MATCH(RationHivernaleAuPréPoneys&amp;$FN148,Règles_poneys[Ration]&amp;Règles_poneys[Aliment],0))="s1",IF($FN148=Spécificité1Poneys,1)),
AND(INDEX(Règles_poneys[Specificite],MATCH(RationHivernaleAuPréPoneys&amp;$FN148,Règles_poneys[Ration]&amp;Règles_poneys[Aliment],0))="s2",IF($FN148=Spécificité2Poneys,1)),
INDEX(Règles_poneys[Specificite],MATCH(RationHivernaleAuPréPoneys&amp;$FN148,Règles_poneys[Ration]&amp;Règles_poneys[Aliment],0))="c"),
INDEX(Règles_poneys[Valeur 0-12],MATCH(RationHivernaleAuPréPoneys&amp;$FN148,Règles_poneys[Ration]&amp;Règles_poneys[Aliment],0)),0),0)*SUM(TotalPoulainsPoneys)*21)</f>
        <v>0</v>
      </c>
      <c r="FS148" s="1286">
        <f t="shared" si="52"/>
        <v>0</v>
      </c>
      <c r="FT148" s="1345"/>
      <c r="FU148" s="1345"/>
      <c r="FV148" s="1345"/>
      <c r="FW148" s="1082" t="str">
        <f t="shared" si="49"/>
        <v>Epinard</v>
      </c>
      <c r="FX148" s="1282">
        <f t="array" ref="FX148">SUM((IF(QualitéAlimentsGavageOison_0_1_mois=BONNE,VLOOKUP("Epinard",AlimentsGavageOies[],5,FALSE),0)+(IF(QualitéAlimentsGavageCaneton_0_1_mois=BONNE,VLOOKUP("Epinard",AlimentsGavageCanards[],5,FALSE),0)+(IF(QualitéAlimentsGavageOison_1_2_mois=BONNE,VLOOKUP("Epinard",AlimentsGavageOies[],4,FALSE),0)+(IF(QualitéAlimentsGavageCaneton_1_2_mois=BONNE,VLOOKUP("Epinard",AlimentsGavageCanards[],4,FALSE),0)+(IF(QualitéAlimentsGavageOison_2_3_mois=BONNE,VLOOKUP("Epinard",AlimentsGavageOies[],3,FALSE),0)+(IF(QualitéAlimentsGavageCaneton_2_3_mois=BONNE,VLOOKUP("Epinard",AlimentsGavageCanards[],3,FALSE),0)+(IF(QualitéAlimentsGavageJeunesOies=BONNE,VLOOKUP("Epinard",AlimentsGavageOies[],2,FALSE),0)+(IF(QualitéAlimentsGavageJeuneCanard=BONNE,VLOOKUP("Epinard",AlimentsGavageCanards[],2,FALSE),0))))))))))</f>
        <v>0</v>
      </c>
      <c r="FY148" s="1282">
        <f t="array" ref="FY148">SUM((IF(QualitéAlimentsGavageOison_0_1_mois=MOYENNE,VLOOKUP("Epinard",AlimentsGavageOies[],5,FALSE),0)+(IF(QualitéAlimentsGavageCaneton_0_1_mois=MOYENNE,VLOOKUP("Epinard",AlimentsGavageCanards[],5,FALSE),0)+(IF(QualitéAlimentsGavageOison_1_2_mois=MOYENNE,VLOOKUP("Epinard",AlimentsGavageOies[],4,FALSE),0)+(IF(QualitéAlimentsGavageCaneton_1_2_mois=MOYENNE,VLOOKUP("Epinard",AlimentsGavageCanards[],4,FALSE),0)+(IF(QualitéAlimentsGavageOison_2_3_mois=MOYENNE,VLOOKUP("Epinard",AlimentsGavageOies[],3,FALSE),0)+(IF(QualitéAlimentsGavageCaneton_2_3_mois=MOYENNE,VLOOKUP("Epinard",AlimentsGavageCanards[],3,FALSE),0)+(IF(QualitéAlimentsGavageJeunesOies=MOYENNE,VLOOKUP("Epinard",AlimentsGavageOies[],2,FALSE),0)+(IF(QualitéAlimentsGavageJeuneCanard=MOYENNE,VLOOKUP("Epinard",AlimentsGavageCanards[],2,FALSE),0))))))))))</f>
        <v>0</v>
      </c>
      <c r="FZ148" s="1282">
        <f t="array" ref="FZ148">SUM((IF(QualitéAlimentsGavageOison_0_1_mois=MAUVAISE,VLOOKUP("Epinard",AlimentsGavageOies[],5,FALSE),0)+(IF(QualitéAlimentsGavageCaneton_0_1_mois=MAUVAISE,VLOOKUP("Epinard",AlimentsGavageCanards[],5,FALSE),0)+(IF(QualitéAlimentsGavageOison_1_2_mois=MAUVAISE,VLOOKUP("Epinard",AlimentsGavageOies[],4,FALSE),0)+(IF(QualitéAlimentsGavageCaneton_1_2_mois=MAUVAISE,VLOOKUP("Epinard",AlimentsGavageCanards[],4,FALSE),0)+(IF(QualitéAlimentsGavageOison_2_3_mois=MAUVAISE,VLOOKUP("Epinard",AlimentsGavageOies[],3,FALSE),0)+(IF(QualitéAlimentsGavageCaneton_2_3_mois=MAUVAISE,VLOOKUP("Epinard",AlimentsGavageCanards[],3,FALSE),0)+(IF(QualitéAlimentsGavageJeunesOies=MAUVAISE,VLOOKUP("Epinard",AlimentsGavageOies[],2,FALSE),0)+(IF(QualitéAlimentsGavageJeuneCanard=MAUVAISE,VLOOKUP("Epinard",AlimentsGavageCanards[],2,FALSE),0))))))))))</f>
        <v>0</v>
      </c>
      <c r="GA148" s="1345"/>
      <c r="GB148" s="1345"/>
      <c r="GC148" s="1321"/>
      <c r="GD148" s="1321"/>
      <c r="GE148" s="1321"/>
      <c r="GF148" s="1321"/>
      <c r="GG148" s="1321" t="s">
        <v>1349</v>
      </c>
      <c r="GH148" s="1321" t="s">
        <v>1349</v>
      </c>
      <c r="GI148" s="1321" t="s">
        <v>1349</v>
      </c>
      <c r="GJ148" s="1321" t="s">
        <v>1349</v>
      </c>
      <c r="GK148" s="1321" t="s">
        <v>1349</v>
      </c>
      <c r="GL148" s="1321" t="s">
        <v>1349</v>
      </c>
      <c r="GM148" s="1321" t="s">
        <v>1349</v>
      </c>
      <c r="GN148" s="1321" t="s">
        <v>1349</v>
      </c>
      <c r="GO148" s="1321" t="s">
        <v>1349</v>
      </c>
      <c r="GP148" s="1321" t="s">
        <v>1349</v>
      </c>
      <c r="GQ148" s="1321" t="s">
        <v>1349</v>
      </c>
      <c r="GR148" s="1321" t="s">
        <v>1349</v>
      </c>
      <c r="GS148" s="1321" t="s">
        <v>1349</v>
      </c>
      <c r="GT148" s="1321" t="s">
        <v>1349</v>
      </c>
      <c r="GU148" s="1321" t="s">
        <v>1349</v>
      </c>
      <c r="GV148" s="1321" t="s">
        <v>1349</v>
      </c>
      <c r="GW148" s="1321"/>
      <c r="GX148" s="1321"/>
      <c r="GY148" s="1321"/>
      <c r="GZ148" s="1321"/>
      <c r="HA148" s="1321"/>
      <c r="HB148" s="1321"/>
      <c r="HC148" s="1321"/>
      <c r="HD148" s="1321"/>
      <c r="HE148" s="1321"/>
      <c r="HF148" s="1321"/>
      <c r="HG148" s="1321"/>
      <c r="HH148" s="1321"/>
      <c r="HI148" s="1321"/>
      <c r="HJ148" s="1321"/>
      <c r="HK148" s="1321"/>
      <c r="HL148" s="1321"/>
      <c r="HM148" s="1321"/>
      <c r="HN148" s="1321"/>
      <c r="HO148" s="1321"/>
      <c r="HP148" s="1321"/>
      <c r="HQ148" s="1321"/>
      <c r="HR148" s="1321"/>
      <c r="HS148" s="1321"/>
      <c r="HT148" s="1321"/>
      <c r="HU148" s="1321"/>
      <c r="HV148" s="1321"/>
      <c r="HW148" s="1321"/>
      <c r="HX148" s="1321"/>
      <c r="HY148" s="1321"/>
      <c r="HZ148" s="1321"/>
      <c r="IA148" s="1321"/>
      <c r="IB148" s="1321"/>
      <c r="IC148" s="1321"/>
      <c r="ID148" s="1321"/>
      <c r="IE148" s="1321"/>
      <c r="IF148" s="1321"/>
      <c r="IG148" s="1321"/>
      <c r="IH148" s="1321"/>
      <c r="II148" s="1321"/>
      <c r="IJ148" s="1321"/>
      <c r="IK148" s="1321"/>
      <c r="IL148" s="1321"/>
      <c r="IM148" s="1321"/>
      <c r="IN148" s="1368"/>
    </row>
    <row r="149" spans="1:248" ht="12.75" customHeight="1" x14ac:dyDescent="0.2">
      <c r="A149" s="1307" t="s">
        <v>607</v>
      </c>
      <c r="B149" s="1209">
        <v>40</v>
      </c>
      <c r="C149" s="1321"/>
      <c r="D149" s="1321"/>
      <c r="E149" s="1321"/>
      <c r="F149" s="1149" t="s">
        <v>502</v>
      </c>
      <c r="G149" s="1149">
        <v>9</v>
      </c>
      <c r="H149" s="1321"/>
      <c r="I149" s="1075" t="str">
        <f t="shared" si="50"/>
        <v>90-100</v>
      </c>
      <c r="J149" s="1080">
        <f>IF(gains!F$4=BDD!O$127,10,IF(gains!F$4=BDD!P$127,20,IF(gains!F$4=BDD!Q$127,30,0)))</f>
        <v>10</v>
      </c>
      <c r="K149" s="1080">
        <f>IF(gains!$G$8=K$127,1,0)</f>
        <v>0</v>
      </c>
      <c r="L149" s="1080">
        <f>IF(gains!$G$8=L$127,2,0)</f>
        <v>0</v>
      </c>
      <c r="M149" s="1080">
        <f>IF(gains!$G$8=M$127,3,0)</f>
        <v>0</v>
      </c>
      <c r="N149" s="1080">
        <f>IF(gains!$G$8=N$127,4,0)</f>
        <v>0</v>
      </c>
      <c r="O149" s="1080">
        <f>IF(AND(J149=10,SUM(K149:N149)=1),gains!$F$39,IF(AND(J149=10,SUM(K149:N149)=2),gains!$F$39*2,IF(AND(J149=10,SUM(K149:N149)=3),gains!$F$39*3,IF(AND(J149=10,SUM(K149:N149)=4),gains!$F$39*4,0))))</f>
        <v>0</v>
      </c>
      <c r="P149" s="1080">
        <f>IF(AND(J149=20,SUM(K149:N149)=1),gains!$F$39*7,IF(AND(J149=20,SUM(K149:N149)=2),gains!$F$39*7*2,IF(AND(J149=20,SUM(K149:N149)=3),gains!$F$39*7*3,IF(AND(J149=20,SUM(K149:N149)=4),gains!$F$39*7*4,0))))</f>
        <v>0</v>
      </c>
      <c r="Q149" s="1080">
        <f>IF(AND(J149=30,SUM(K149:N149)=1),gains!$F$39*7*12,IF(AND(J149=30,SUM(K149:N149)=2),gains!$F$39*7*12*2,IF(AND(J149=30,SUM(K149:N149)=3),gains!$F$39*7*12*3,IF(AND(J149=30,SUM(K149:N149)=4),gains!$F$39*7*12*4,0))))</f>
        <v>0</v>
      </c>
      <c r="R149" s="1321"/>
      <c r="S149" s="1321"/>
      <c r="T149" s="1321"/>
      <c r="U149" s="1321"/>
      <c r="V149" s="1321"/>
      <c r="W149" s="1321"/>
      <c r="X149" s="1321"/>
      <c r="Y149" s="1321"/>
      <c r="Z149" s="1321"/>
      <c r="AA149" s="1321"/>
      <c r="AB149" s="1321"/>
      <c r="AC149" s="1321"/>
      <c r="AD149" s="1321"/>
      <c r="AE149" s="1321"/>
      <c r="AF149" s="1321"/>
      <c r="AG149" s="1321"/>
      <c r="AH149" s="1321"/>
      <c r="AI149" s="1321"/>
      <c r="AJ149" s="1321"/>
      <c r="AK149" s="1321"/>
      <c r="AL149" s="1321"/>
      <c r="AM149" s="1321"/>
      <c r="AN149" s="1321"/>
      <c r="AO149" s="1321"/>
      <c r="AP149" s="1321"/>
      <c r="AQ149" s="1321"/>
      <c r="AR149" s="1321"/>
      <c r="AS149" s="1321"/>
      <c r="AT149" s="1321"/>
      <c r="AU149" s="1321"/>
      <c r="AV149" s="1321"/>
      <c r="AW149" s="1321"/>
      <c r="AX149" s="1321"/>
      <c r="AY149" s="1321"/>
      <c r="AZ149" s="1321"/>
      <c r="BA149" s="1321"/>
      <c r="BB149" s="1236" t="s">
        <v>731</v>
      </c>
      <c r="BC149" s="1190" t="s">
        <v>671</v>
      </c>
      <c r="BD149" s="1190" t="s">
        <v>1252</v>
      </c>
      <c r="BE149" s="1237">
        <v>24</v>
      </c>
      <c r="BF149" s="1237">
        <v>24</v>
      </c>
      <c r="BG149" s="1237">
        <v>16</v>
      </c>
      <c r="BH149" s="1237">
        <v>12</v>
      </c>
      <c r="BI149" s="1237">
        <v>8</v>
      </c>
      <c r="BJ149" s="1237">
        <v>4</v>
      </c>
      <c r="BK149" s="1238">
        <v>0</v>
      </c>
      <c r="BL149" s="1348"/>
      <c r="BM149" s="1075"/>
      <c r="BN149" s="1269"/>
      <c r="BO149" s="1269"/>
      <c r="BP149" s="1269"/>
      <c r="BQ149" s="1321"/>
      <c r="BR149" s="1321"/>
      <c r="BS149" s="1321"/>
      <c r="BT149" s="1321"/>
      <c r="BU149" s="1321"/>
      <c r="BV149" s="1345"/>
      <c r="BW149" s="1345"/>
      <c r="BX149" s="1075" t="str">
        <f t="shared" si="57"/>
        <v>Canola</v>
      </c>
      <c r="BY149" s="1075">
        <f t="array" ref="BY149">IF(ChoixRationComplèteCaprins=OUI,0,IFERROR(IF(OR(AND(INDEX(Règles_caprins[Specificite],MATCH(ChoixRationCaprins&amp;$BX149,Règles_caprins[Ration]&amp;Règles_caprins[Aliment],0))="s1",IF($BX149=Spécificité1Caprins,1)),
INDEX(Règles_caprins[Specificite],MATCH(ChoixRationCaprins&amp;$BX149,Règles_caprins[Ration]&amp;Règles_caprins[Aliment],0))="c"),
INDEX(Règles_caprins[Valeur 12 et plus],MATCH(ChoixRationCaprins&amp;$BX149,Règles_caprins[Ration]&amp;Règles_caprins[Aliment],0)),0),0)*TotalChèvres*SUM(NbreJoursNourrirCaprins))</f>
        <v>0</v>
      </c>
      <c r="BZ149" s="1075">
        <f t="array" ref="BZ149">IF(ChoixRationComplèteCaprins=OUI,0,IFERROR(IF(OR(AND(INDEX(Règles_caprins[Specificite],MATCH(ChoixRationCaprins&amp;$BX149,Règles_caprins[Ration]&amp;Règles_caprins[Aliment],0))="s1",IF($BX149=Spécificité1Caprins,1)),
INDEX(Règles_caprins[Specificite],MATCH(ChoixRationCaprins&amp;$BX149,Règles_caprins[Ration]&amp;Règles_caprins[Aliment],0))="c"),
INDEX(Règles_caprins[Valeur 6-12],MATCH(ChoixRationCaprins&amp;$BX149,Règles_caprins[Ration]&amp;Règles_caprins[Aliment],0)),0),0)*jeune_chèvre_6_12_mois*SUM(NbreJoursNourrirCaprins))</f>
        <v>0</v>
      </c>
      <c r="CA149" s="1075">
        <f t="array" ref="CA149">IF(ChoixRationComplèteCaprins=OUI,0,IFERROR(IF(OR(AND(INDEX(Règles_caprins[Specificite],MATCH(ChoixRationCaprins&amp;$BX149,Règles_caprins[Ration]&amp;Règles_caprins[Aliment],0))="s1",IF($BX149=Spécificité1Caprins,1)),
INDEX(Règles_caprins[Specificite],MATCH(ChoixRationCaprins&amp;$BX149,Règles_caprins[Ration]&amp;Règles_caprins[Aliment],0))="c"),
INDEX(Règles_caprins[Valeur 3-6],MATCH(ChoixRationCaprins&amp;$BX149,Règles_caprins[Ration]&amp;Règles_caprins[Aliment],0)),0),0)*chevrette_3_6_mois*SUM(NbreJoursNourrirCaprins))</f>
        <v>0</v>
      </c>
      <c r="CB149" s="1075">
        <f t="array" ref="CB149">IF(ChoixRationComplèteCaprins=OUI,0,IFERROR(IF(OR(AND(INDEX(Règles_caprins[Specificite],MATCH(ChoixRationCaprins&amp;$BX149,Règles_caprins[Ration]&amp;Règles_caprins[Aliment],0))="s1",IF($BX149=Spécificité1Caprins,1)),
INDEX(Règles_caprins[Specificite],MATCH(ChoixRationCaprins&amp;$BX149,Règles_caprins[Ration]&amp;Règles_caprins[Aliment],0))="c"),
INDEX(Règles_caprins[Valeur 0-3],MATCH(ChoixRationCaprins&amp;$BX149,Règles_caprins[Ration]&amp;Règles_caprins[Aliment],0)),0),0)*chevrette_0_3_mois*SUM(NbreJoursNourrirCaprins))</f>
        <v>0</v>
      </c>
      <c r="CC149" s="1075">
        <f t="shared" si="56"/>
        <v>0</v>
      </c>
      <c r="CD149" s="1345"/>
      <c r="CE149" s="1345"/>
      <c r="CF149" s="1345"/>
      <c r="CG149" s="1345"/>
      <c r="CH149" s="1345"/>
      <c r="CI149" s="1321"/>
      <c r="CJ149" s="1076" t="str">
        <f t="shared" si="51"/>
        <v>Ensilage d'herbe</v>
      </c>
      <c r="CK149" s="1267">
        <f t="array" ref="CK149">SUM((IF(QualitéAlimentsPorceletMâle_0_1_mois=BONNE,VLOOKUP("Ensilage d'herbe",AlimentsRationPorcinsMâles[],6,FALSE),0)+(IF(QualitéAlimentsPorceletFemelle_0_1_mois=BONNE,VLOOKUP("Ensilage d'herbe",AlimentsRationPorcinsFemelles[],6,FALSE),0)+(IF(QualitéAlimentsPorceletMâle_1_3_mois=BONNE,VLOOKUP("Ensilage d'herbe",AlimentsRationPorcinsMâles[],5,FALSE),0)+(IF(QualitéAlimentsPorceletFemelle_1_3_mois=BONNE,VLOOKUP("Ensilage d'herbe",AlimentsRationPorcinsFemelles[],5,FALSE),0)+(IF(QualitéAlimentsJeuneVerrat_3_6_mois=BONNE,VLOOKUP("Ensilage d'herbe",AlimentsRationPorcinsMâles[],4,FALSE),0)+(IF(QualitéAlimentsJeuneTruie_3_6_mois=BONNE,VLOOKUP("Ensilage d'herbe",AlimentsRationPorcinsFemelles[],4,FALSE),0)+(IF(QualitéAlimentsJeuneVerrat_6_12_mois=BONNE,VLOOKUP("Ensilage d'herbe",AlimentsRationPorcinsMâles[],3,FALSE),0)+(IF(QualitéAlimentsJeuneTruie_6_12_mois=BONNE,VLOOKUP("Ensilage d'herbe",AlimentsRationPorcinsFemelles[],3,FALSE),0)+(IF(QualitéAlimentsVerrat=BONNE,VLOOKUP("Ensilage d'herbe",AlimentsRationPorcinsMâles[],2,FALSE),0)+(IF(QualitéAlimentsTruie=BONNE,VLOOKUP("Ensilage d'herbe",AlimentsRationPorcinsFemelles[],2,FALSE),0))))))))))))</f>
        <v>0</v>
      </c>
      <c r="CL149" s="1267">
        <f t="array" ref="CL149">SUM((IF(QualitéAlimentsPorceletMâle_0_1_mois=MOYENNE,VLOOKUP("Ensilage d'herbe",AlimentsRationPorcinsMâles[],6,FALSE),0)+(IF(QualitéAlimentsPorceletFemelle_0_1_mois=MOYENNE,VLOOKUP("Ensilage d'herbe",AlimentsRationPorcinsFemelles[],6,FALSE),0)+(IF(QualitéAlimentsPorceletMâle_1_3_mois=MOYENNE,VLOOKUP("Ensilage d'herbe",AlimentsRationPorcinsMâles[],5,FALSE),0)+(IF(QualitéAlimentsPorceletFemelle_1_3_mois=MOYENNE,VLOOKUP("Ensilage d'herbe",AlimentsRationPorcinsFemelles[],5,FALSE),0)+(IF(QualitéAlimentsJeuneVerrat_3_6_mois=MOYENNE,VLOOKUP("Ensilage d'herbe",AlimentsRationPorcinsMâles[],4,FALSE),0)+(IF(QualitéAlimentsJeuneTruie_3_6_mois=MOYENNE,VLOOKUP("Ensilage d'herbe",AlimentsRationPorcinsFemelles[],4,FALSE),0)+(IF(QualitéAlimentsJeuneVerrat_6_12_mois=MOYENNE,VLOOKUP("Ensilage d'herbe",AlimentsRationPorcinsMâles[],3,FALSE),0)+(IF(QualitéAlimentsJeuneTruie_6_12_mois=MOYENNE,VLOOKUP("Ensilage d'herbe",AlimentsRationPorcinsFemelles[],3,FALSE),0)+(IF(QualitéAlimentsVerrat=MOYENNE,VLOOKUP("Ensilage d'herbe",AlimentsRationPorcinsMâles[],2,FALSE),0)+(IF(QualitéAlimentsTruie=MOYENNE,VLOOKUP("Ensilage d'herbe",AlimentsRationPorcinsFemelles[],2,FALSE),0))))))))))))</f>
        <v>0</v>
      </c>
      <c r="CM149" s="1267">
        <f t="array" ref="CM149">SUM((IF(QualitéAlimentsPorceletMâle_0_1_mois=MAUVAISE,VLOOKUP("Ensilage d'herbe",AlimentsRationPorcinsMâles[],6,FALSE),0)+(IF(QualitéAlimentsPorceletFemelle_0_1_mois=MAUVAISE,VLOOKUP("Ensilage d'herbe",AlimentsRationPorcinsFemelles[],6,FALSE),0)+(IF(QualitéAlimentsPorceletMâle_1_3_mois=MAUVAISE,VLOOKUP("Ensilage d'herbe",AlimentsRationPorcinsMâles[],5,FALSE),0)+(IF(QualitéAlimentsPorceletFemelle_1_3_mois=MAUVAISE,VLOOKUP("Ensilage d'herbe",AlimentsRationPorcinsFemelles[],5,FALSE),0)+(IF(QualitéAlimentsJeuneVerrat_3_6_mois=MAUVAISE,VLOOKUP("Ensilage d'herbe",AlimentsRationPorcinsMâles[],4,FALSE),0)+(IF(QualitéAlimentsJeuneTruie_3_6_mois=MAUVAISE,VLOOKUP("Ensilage d'herbe",AlimentsRationPorcinsFemelles[],4,FALSE),0)+(IF(QualitéAlimentsJeuneVerrat_6_12_mois=MAUVAISE,VLOOKUP("Ensilage d'herbe",AlimentsRationPorcinsMâles[],3,FALSE),0)+(IF(QualitéAlimentsJeuneTruie_6_12_mois=MAUVAISE,VLOOKUP("Ensilage d'herbe",AlimentsRationPorcinsFemelles[],3,FALSE),0)+(IF(QualitéAlimentsVerrat=MAUVAISE,VLOOKUP("Ensilage d'herbe",AlimentsRationPorcinsMâles[],2,FALSE),0)+(IF(QualitéAlimentsTruie=MAUVAISE,VLOOKUP("Ensilage d'herbe",AlimentsRationPorcinsFemelles[],2,FALSE),0))))))))))))</f>
        <v>0</v>
      </c>
      <c r="CN149" s="1321"/>
      <c r="CO149" s="1362"/>
      <c r="CP149" s="1321"/>
      <c r="CQ149" s="1321"/>
      <c r="CR149" s="1321"/>
      <c r="CS149" s="808" t="s">
        <v>1350</v>
      </c>
      <c r="CT149" s="803"/>
      <c r="CU149" s="1321"/>
      <c r="CV149" s="1321"/>
      <c r="CW149" s="1321"/>
      <c r="CX149" s="1321"/>
      <c r="CY149" s="1321"/>
      <c r="CZ149" s="808" t="s">
        <v>815</v>
      </c>
      <c r="DA149" s="803">
        <f>DC20*SUM(TotalPoussins)*SUM(NbreJoursNourrirAutres)</f>
        <v>0</v>
      </c>
      <c r="DB149" s="1350"/>
      <c r="DC149" s="1350"/>
      <c r="DD149" s="1320"/>
      <c r="DE149" s="1321"/>
      <c r="DF149" s="1321"/>
      <c r="DG149" s="1075" t="str">
        <f t="shared" si="58"/>
        <v>Canola</v>
      </c>
      <c r="DH149" s="1269">
        <f t="array" ref="DH149">SUM((IF(QualitéAlimentsPintadeauMâle_0_1_mois=BONNE,VLOOKUP("Canola",AlimentsRationPintadesMâles[],4,FALSE),0)+(IF(QualitéAlimentsPintadeauFemelle_0_1_mois=BONNE,VLOOKUP("Canola",AlimentsRationPintadesFemelles[],4,FALSE),0)+(IF(QualitéAlimentsJeunePintadeMâle=BONNE,VLOOKUP("Canola",AlimentsRationPintadesMâles[],3,FALSE),0)+(IF(QualitéAlimentsJeunePintadeFemelle=BONNE,VLOOKUP("Canola",AlimentsRationPintadesFemelles[],3,FALSE),0)+(IF(QualitéAlimentsPintadeMâle=BONNE,VLOOKUP("Canola",AlimentsRationPintadesMâles[],2,FALSE),0)+(IF(QualitéAlimentsPintadeFemelle=BONNE,VLOOKUP("Canola",AlimentsRationPintadesFemelles[],2,FALSE),0))))))))</f>
        <v>0</v>
      </c>
      <c r="DI149" s="1269">
        <f t="array" ref="DI149">SUM((IF(QualitéAlimentsPintadeauMâle_0_1_mois=MOYENNE,VLOOKUP("Canola",AlimentsRationPintadesMâles[],4,FALSE),0)+(IF(QualitéAlimentsPintadeauFemelle_0_1_mois=MOYENNE,VLOOKUP("Canola",AlimentsRationPintadesFemelles[],4,FALSE),0)+(IF(QualitéAlimentsJeunePintadeMâle=MOYENNE,VLOOKUP("Canola",AlimentsRationPintadesMâles[],3,FALSE),0)+(IF(QualitéAlimentsJeunePintadeFemelle=MOYENNE,VLOOKUP("Canola",AlimentsRationPintadesFemelles[],3,FALSE),0)+(IF(QualitéAlimentsPintadeMâle=MOYENNE,VLOOKUP("Canola",AlimentsRationPintadesMâles[],2,FALSE),0)+(IF(QualitéAlimentsPintadeFemelle=MOYENNE,VLOOKUP("Canola",AlimentsRationPintadesFemelles[],2,FALSE),0))))))))</f>
        <v>0</v>
      </c>
      <c r="DJ149" s="1269">
        <f t="array" ref="DJ149">SUM((IF(QualitéAlimentsPintadeauMâle_0_1_mois=MAUVAISE,VLOOKUP("Canola",AlimentsRationPintadesMâles[],4,FALSE),0)+(IF(QualitéAlimentsPintadeauFemelle_0_1_mois=MAUVAISE,VLOOKUP("Canola",AlimentsRationPintadesFemelles[],4,FALSE),0)+(IF(QualitéAlimentsJeunePintadeMâle=MAUVAISE,VLOOKUP("Canola",AlimentsRationPintadesMâles[],3,FALSE),0)+(IF(QualitéAlimentsJeunePintadeFemelle=MAUVAISE,VLOOKUP("Canola",AlimentsRationPintadesFemelles[],3,FALSE),0)+(IF(QualitéAlimentsPintadeMâle=MAUVAISE,VLOOKUP("Canola",AlimentsRationPintadesMâles[],2,FALSE),0)+(IF(QualitéAlimentsPintadeFemelle=MAUVAISE,VLOOKUP("Canola",AlimentsRationPintadesFemelles[],2,FALSE),0))))))))</f>
        <v>0</v>
      </c>
      <c r="DK149" s="1321"/>
      <c r="DL149" s="1321"/>
      <c r="DM149" s="1321"/>
      <c r="DN149" s="1079" t="s">
        <v>1276</v>
      </c>
      <c r="DO149" s="1079" t="s">
        <v>1280</v>
      </c>
      <c r="DP149" s="1079" t="s">
        <v>1257</v>
      </c>
      <c r="DQ149" s="1079" t="s">
        <v>1256</v>
      </c>
      <c r="DR149" s="1278" t="s">
        <v>1255</v>
      </c>
      <c r="DS149" s="1079" t="s">
        <v>1269</v>
      </c>
      <c r="DT149" s="1346"/>
      <c r="DU149" s="1346"/>
      <c r="DV149" s="1321"/>
      <c r="DW149" s="1321"/>
      <c r="DX149" s="1321"/>
      <c r="DY149" s="1321"/>
      <c r="DZ149" s="1321"/>
      <c r="EA149" s="1321"/>
      <c r="EB149" s="1321"/>
      <c r="EC149" s="1321"/>
      <c r="ED149" s="1345"/>
      <c r="EE149" s="1345"/>
      <c r="EF149" s="1321"/>
      <c r="EG149" s="1079" t="s">
        <v>1276</v>
      </c>
      <c r="EH149" s="1271" t="s">
        <v>1746</v>
      </c>
      <c r="EI149" s="1271" t="s">
        <v>1747</v>
      </c>
      <c r="EJ149" s="1271" t="s">
        <v>1748</v>
      </c>
      <c r="EK149" s="1345"/>
      <c r="EL149" s="1345"/>
      <c r="EM149" s="1321"/>
      <c r="EN149" s="1082" t="str">
        <f>EN52</f>
        <v>Avoine</v>
      </c>
      <c r="EO149" s="1282">
        <f t="array" ref="EO149">SUM((IF(QualitéAlimentsCanetonMâle=BONNE,VLOOKUP("Avoine",AlimentsRationCanardsMâles,4,FALSE),0)+(IF(QualitéAlimentsCanetonFemelle=BONNE,VLOOKUP("Avoine",AlimentsRationCanardsFemelles,4,FALSE),0)+(IF(QualitéAlimentsJeuneCanard=BONNE,VLOOKUP("Avoine",AlimentsRationCanardsMâles,3,FALSE),0)+(IF(QualitéAlimentsJeuneCane=BONNE,VLOOKUP("Avoine",AlimentsRationCanardsFemelles,3,FALSE),0)+(IF(QualitéAlimentsCanard=BONNE,VLOOKUP("Avoine",AlimentsRationCanardsMâles,2,FALSE),0)+(IF(QualitéAlimentsCane=BONNE,VLOOKUP("Avoine",AlimentsRationCanardsFemelles,2,FALSE),0))))))))</f>
        <v>0</v>
      </c>
      <c r="EP149" s="1282">
        <f t="array" ref="EP149">SUM((IF(QualitéAlimentsCanetonMâle=MOYENNE,VLOOKUP("Avoine",AlimentsRationCanardsMâles,4,FALSE),0)+(IF(QualitéAlimentsCanetonFemelle=MOYENNE,VLOOKUP("Avoine",AlimentsRationCanardsFemelles,4,FALSE),0)+(IF(QualitéAlimentsJeuneCanard=MOYENNE,VLOOKUP("Avoine",AlimentsRationCanardsMâles,3,FALSE),0)+(IF(QualitéAlimentsJeuneCane=MOYENNE,VLOOKUP("Avoine",AlimentsRationCanardsFemelles,3,FALSE),0)+(IF(QualitéAlimentsCanard=MOYENNE,VLOOKUP("Avoine",AlimentsRationCanardsMâles,2,FALSE),0)+(IF(QualitéAlimentsCane=MOYENNE,VLOOKUP("Avoine",AlimentsRationCanardsFemelles,2,FALSE),0))))))))</f>
        <v>0</v>
      </c>
      <c r="EQ149" s="1282">
        <f t="array" ref="EQ149">SUM((IF(QualitéAlimentsCanetonMâle=MAUVAISE,VLOOKUP("Avoine",AlimentsRationCanardsMâles,4,FALSE),0)+(IF(QualitéAlimentsCanetonFemelle=MAUVAISE,VLOOKUP("Avoine",AlimentsRationCanardsFemelles,4,FALSE),0)+(IF(QualitéAlimentsJeuneCanard=MAUVAISE,VLOOKUP("Avoine",AlimentsRationCanardsMâles,3,FALSE),0)+(IF(QualitéAlimentsJeuneCane=MAUVAISE,VLOOKUP("Avoine",AlimentsRationCanardsFemelles,3,FALSE),0)+(IF(QualitéAlimentsCanard=MAUVAISE,VLOOKUP("Avoine",AlimentsRationCanardsMâles,2,FALSE),0)+(IF(QualitéAlimentsCane=MAUVAISE,VLOOKUP("Avoine",AlimentsRationCanardsFemelles,2,FALSE),0))))))))</f>
        <v>0</v>
      </c>
      <c r="ER149" s="1345"/>
      <c r="ES149" s="1345"/>
      <c r="ET149" s="1321"/>
      <c r="EU149" s="1083" t="str">
        <f t="shared" ref="EU149:EU186" si="60">EU61</f>
        <v>Betterave</v>
      </c>
      <c r="EV149" s="1283">
        <f t="array" ref="EV149">IF(OR(ChoixRationHivernaleComplèteChevauxSelle=OUI,ChoixRationHivernaleComplèteChevauxSelle="",ChoixChevauxSellePréHiver=NON),0,IFERROR(IF(OR(AND(INDEX(Règles_chevaux_selle[Specificite],MATCH(RationHivernaleAuPréChevauxSelle&amp;$EU149,Règles_chevaux_selle[Ration]&amp;Règles_chevaux_selle[Aliment],0))="s1",IF($EU149=Spécificité1ChevauxSelle,1)),
AND(INDEX(Règles_chevaux_selle[Specificite],MATCH(RationHivernaleAuPréChevauxSelle&amp;$EU149,Règles_chevaux_selle[Ration]&amp;Règles_chevaux_selle[Aliment],0))="s2",IF($EU149=Spécificité2ChevauxSelle,1)),
INDEX(Règles_chevaux_selle[Specificite],MATCH(RationHivernaleAuPréChevauxSelle&amp;$EU149,Règles_chevaux_selle[Ration]&amp;Règles_chevaux_selle[Aliment],0))="c"),
INDEX(Règles_chevaux_selle[Valeur 36 et plus],MATCH(RationHivernaleAuPréChevauxSelle&amp;$EU149,Règles_chevaux_selle[Ration]&amp;Règles_chevaux_selle[Aliment],0)),0),0)*SUM(TotalChevauxSelleAdultes)*21)</f>
        <v>0</v>
      </c>
      <c r="EW149" s="1283">
        <f t="array" ref="EW149">IF(OR(ChoixRationHivernaleComplèteChevauxSelle=OUI,ChoixRationHivernaleComplèteChevauxSelle="",ChoixChevauxSellePréHiver=NON),0,IFERROR(IF(OR(AND(INDEX(Règles_chevaux_selle[Specificite],MATCH(RationHivernaleAuPréChevauxSelle&amp;$EU149,Règles_chevaux_selle[Ration]&amp;Règles_chevaux_selle[Aliment],0))="s1",IF($EU149=Spécificité1ChevauxSelle,1)),
AND(INDEX(Règles_chevaux_selle[Specificite],MATCH(RationHivernaleAuPréChevauxSelle&amp;$EU149,Règles_chevaux_selle[Ration]&amp;Règles_chevaux_selle[Aliment],0))="s2",IF($EU149=Spécificité2ChevauxSelle,1)),
INDEX(Règles_chevaux_selle[Specificite],MATCH(RationHivernaleAuPréChevauxSelle&amp;$EU149,Règles_chevaux_selle[Ration]&amp;Règles_chevaux_selle[Aliment],0))="c"),
INDEX(Règles_chevaux_selle[Valeur 24-36],MATCH(RationHivernaleAuPréChevauxSelle&amp;$EU149,Règles_chevaux_selle[Ration]&amp;Règles_chevaux_selle[Aliment],0)),0),0)*SUM(TotalChevauxSelle_24_36mois)*21)</f>
        <v>0</v>
      </c>
      <c r="EX149" s="1283">
        <f t="array" ref="EX149">IF(OR(ChoixRationHivernaleComplèteChevauxSelle=OUI,ChoixRationHivernaleComplèteChevauxSelle="",ChoixChevauxSellePréHiver=NON),0,IFERROR(IF(OR(AND(INDEX(Règles_chevaux_selle[Specificite],MATCH(RationHivernaleAuPréChevauxSelle&amp;$EU149,Règles_chevaux_selle[Ration]&amp;Règles_chevaux_selle[Aliment],0))="s1",IF($EU149=Spécificité1ChevauxSelle,1)),
AND(INDEX(Règles_chevaux_selle[Specificite],MATCH(RationHivernaleAuPréChevauxSelle&amp;$EU149,Règles_chevaux_selle[Ration]&amp;Règles_chevaux_selle[Aliment],0))="s2",IF($EU149=Spécificité2ChevauxSelle,1)),
INDEX(Règles_chevaux_selle[Specificite],MATCH(RationHivernaleAuPréChevauxSelle&amp;$EU149,Règles_chevaux_selle[Ration]&amp;Règles_chevaux_selle[Aliment],0))="c"),
INDEX(Règles_chevaux_selle[Valeur 12-24],MATCH(RationHivernaleAuPréChevauxSelle&amp;$EU149,Règles_chevaux_selle[Ration]&amp;Règles_chevaux_selle[Aliment],0)),0),0)*SUM(TotalChevauxSelle_12_24mois)*21)</f>
        <v>0</v>
      </c>
      <c r="EY149" s="1286">
        <f t="array" ref="EY149">IF(OR(ChoixRationHivernaleComplèteChevauxSelle=OUI,ChoixRationHivernaleComplèteChevauxSelle="",ChoixChevauxSellePréHiver=NON),0,IFERROR(IF(OR(AND(INDEX(Règles_chevaux_selle[Specificite],MATCH(RationHivernaleAuPréChevauxSelle&amp;$EU149,Règles_chevaux_selle[Ration]&amp;Règles_chevaux_selle[Aliment],0))="s1",IF($EU149=Spécificité1ChevauxSelle,1)),
AND(INDEX(Règles_chevaux_selle[Specificite],MATCH(RationHivernaleAuPréChevauxSelle&amp;$EU149,Règles_chevaux_selle[Ration]&amp;Règles_chevaux_selle[Aliment],0))="s2",IF($EU149=Spécificité2ChevauxSelle,1)),
INDEX(Règles_chevaux_selle[Specificite],MATCH(RationHivernaleAuPréChevauxSelle&amp;$EU149,Règles_chevaux_selle[Ration]&amp;Règles_chevaux_selle[Aliment],0))="c"),
INDEX(Règles_chevaux_selle[Valeur 0-12],MATCH(RationHivernaleAuPréChevauxSelle&amp;$EU149,Règles_chevaux_selle[Ration]&amp;Règles_chevaux_selle[Aliment],0)),0),0)*SUM(TotalPoulainsSelle)*21)</f>
        <v>0</v>
      </c>
      <c r="EZ149" s="1286">
        <f t="shared" si="59"/>
        <v>0</v>
      </c>
      <c r="FA149" s="1345"/>
      <c r="FB149" s="1345"/>
      <c r="FC149" s="1321"/>
      <c r="FD149" s="1083" t="str">
        <f t="shared" si="55"/>
        <v>concentré jeunes bovins</v>
      </c>
      <c r="FE149" s="1283">
        <f t="array" ref="FE149">IF(OR(ChoixRationHivernaleComplèteChevauxTrait=OUI,ChoixRationHivernaleComplèteChevauxTrait="",ChoixChevauxTraitPréHiver=NON),0,IFERROR(IF(OR(AND(INDEX(Règles_chevaux_trait[Specificite],MATCH(RationHivernaleAuPréChevauxTrait&amp;$FD149,Règles_chevaux_trait[Ration]&amp;Règles_chevaux_trait[Aliment],0))="s1",IF($FD149=Spécificité1ChevauxTrait,1)),
AND(INDEX(Règles_chevaux_trait[Specificite],MATCH(RationHivernaleAuPréChevauxTrait&amp;$FD149,Règles_chevaux_trait[Ration]&amp;Règles_chevaux_trait[Aliment],0))="s2",IF($FD149=Spécificité2ChevauxTrait,1)),
INDEX(Règles_chevaux_trait[Specificite],MATCH(RationHivernaleAuPréChevauxTrait&amp;$FD149,Règles_chevaux_trait[Ration]&amp;Règles_chevaux_trait[Aliment],0))="c"),
INDEX(Règles_chevaux_trait[Valeur 36 et plus],MATCH(RationHivernaleAuPréChevauxTrait&amp;$FD149,Règles_chevaux_trait[Ration]&amp;Règles_chevaux_trait[Aliment],0)),0),0)*SUM(TotalChevauxTraitAdultes)*21)</f>
        <v>0</v>
      </c>
      <c r="FF149" s="1283">
        <f t="array" ref="FF149">IF(OR(ChoixRationHivernaleComplèteChevauxTrait=OUI,ChoixRationHivernaleComplèteChevauxTrait="",ChoixChevauxTraitPréHiver=NON),0,IFERROR(IF(OR(AND(INDEX(Règles_chevaux_trait[Specificite],MATCH(RationHivernaleAuPréChevauxTrait&amp;$FD149,Règles_chevaux_trait[Ration]&amp;Règles_chevaux_trait[Aliment],0))="s1",IF($FD149=Spécificité1ChevauxTrait,1)),
AND(INDEX(Règles_chevaux_trait[Specificite],MATCH(RationHivernaleAuPréChevauxTrait&amp;$FD149,Règles_chevaux_trait[Ration]&amp;Règles_chevaux_trait[Aliment],0))="s2",IF($FD149=Spécificité2ChevauxTrait,1)),
INDEX(Règles_chevaux_trait[Specificite],MATCH(RationHivernaleAuPréChevauxTrait&amp;$FD149,Règles_chevaux_trait[Ration]&amp;Règles_chevaux_trait[Aliment],0))="c"),
INDEX(Règles_chevaux_trait[Valeur 24-36],MATCH(RationHivernaleAuPréChevauxTrait&amp;$FD149,Règles_chevaux_trait[Ration]&amp;Règles_chevaux_trait[Aliment],0)),0),0)*SUM(TotalChevauxTrait_24_36mois)*21)</f>
        <v>0</v>
      </c>
      <c r="FG149" s="1283">
        <f t="array" ref="FG149">IF(OR(ChoixRationHivernaleComplèteChevauxTrait=OUI,ChoixRationHivernaleComplèteChevauxTrait="",ChoixChevauxTraitPréHiver=NON),0,IFERROR(IF(OR(AND(INDEX(Règles_chevaux_trait[Specificite],MATCH(RationHivernaleAuPréChevauxTrait&amp;$FD149,Règles_chevaux_trait[Ration]&amp;Règles_chevaux_trait[Aliment],0))="s1",IF($FD149=Spécificité1ChevauxTrait,1)),
AND(INDEX(Règles_chevaux_trait[Specificite],MATCH(RationHivernaleAuPréChevauxTrait&amp;$FD149,Règles_chevaux_trait[Ration]&amp;Règles_chevaux_trait[Aliment],0))="s2",IF($FD149=Spécificité2ChevauxTrait,1)),
INDEX(Règles_chevaux_trait[Specificite],MATCH(RationHivernaleAuPréChevauxTrait&amp;$FD149,Règles_chevaux_trait[Ration]&amp;Règles_chevaux_trait[Aliment],0))="c"),
INDEX(Règles_chevaux_trait[Valeur 12-24],MATCH(RationHivernaleAuPréChevauxTrait&amp;$FD149,Règles_chevaux_trait[Ration]&amp;Règles_chevaux_trait[Aliment],0)),0),0)*SUM(TotalChevauxTrait_12_24mois)*21)</f>
        <v>0</v>
      </c>
      <c r="FH149" s="1286">
        <f t="array" ref="FH149">IF(OR(ChoixRationHivernaleComplèteChevauxTrait=OUI,ChoixRationHivernaleComplèteChevauxTrait="",ChoixChevauxTraitPréHiver=NON),0,IFERROR(IF(OR(AND(INDEX(Règles_chevaux_trait[Specificite],MATCH(RationHivernaleAuPréChevauxTrait&amp;$FD149,Règles_chevaux_trait[Ration]&amp;Règles_chevaux_trait[Aliment],0))="s1",IF($FD149=Spécificité1ChevauxTrait,1)),
AND(INDEX(Règles_chevaux_trait[Specificite],MATCH(RationHivernaleAuPréChevauxTrait&amp;$FD149,Règles_chevaux_trait[Ration]&amp;Règles_chevaux_trait[Aliment],0))="s2",IF($FD149=Spécificité2ChevauxTrait,1)),
INDEX(Règles_chevaux_trait[Specificite],MATCH(RationHivernaleAuPréChevauxTrait&amp;$FD149,Règles_chevaux_trait[Ration]&amp;Règles_chevaux_trait[Aliment],0))="c"),
INDEX(Règles_chevaux_trait[Valeur 0-12],MATCH(RationHivernaleAuPréChevauxTrait&amp;$FD149,Règles_chevaux_trait[Ration]&amp;Règles_chevaux_trait[Aliment],0)),0),0)*SUM(TotalPoulainsTrait)*21)</f>
        <v>0</v>
      </c>
      <c r="FI149" s="1286">
        <f t="shared" si="53"/>
        <v>0</v>
      </c>
      <c r="FJ149" s="1345"/>
      <c r="FK149" s="1345"/>
      <c r="FL149" s="1345"/>
      <c r="FM149" s="1321"/>
      <c r="FN149" s="1082" t="str">
        <f t="shared" si="54"/>
        <v>concentré jeunes lapins</v>
      </c>
      <c r="FO149" s="1282">
        <f t="array" ref="FO149">IF(OR(ChoixRationHivernaleComplètePoneys=OUI,ChoixRationHivernaleComplètePoneys="",ChoixPoneysPréHiver=NON),0,IFERROR(IF(OR(AND(INDEX(Règles_poneys[Specificite],MATCH(RationHivernaleAuPréPoneys&amp;$FN149,Règles_poneys[Ration]&amp;Règles_poneys[Aliment],0))="s1",IF($FN149=Spécificité1Poneys,1)),
AND(INDEX(Règles_poneys[Specificite],MATCH(RationHivernaleAuPréPoneys&amp;$FN149,Règles_poneys[Ration]&amp;Règles_poneys[Aliment],0))="s2",IF($FN149=Spécificité2Poneys,1)),
INDEX(Règles_poneys[Specificite],MATCH(RationHivernaleAuPréPoneys&amp;$FN149,Règles_poneys[Ration]&amp;Règles_poneys[Aliment],0))="c"),
INDEX(Règles_poneys[Valeur 36 et plus],MATCH(RationHivernaleAuPréPoneys&amp;$FN149,Règles_poneys[Ration]&amp;Règles_poneys[Aliment],0)),0),0)*SUM(TotalPoneysAdultes)*21)</f>
        <v>0</v>
      </c>
      <c r="FP149" s="1282">
        <f t="array" ref="FP149">IF(OR(ChoixRationHivernaleComplètePoneys=OUI,ChoixRationHivernaleComplètePoneys="",ChoixPoneysPréHiver=NON),0,IFERROR(IF(OR(AND(INDEX(Règles_poneys[Specificite],MATCH(RationHivernaleAuPréPoneys&amp;$FN149,Règles_poneys[Ration]&amp;Règles_poneys[Aliment],0))="s1",IF($FN149=Spécificité1Poneys,1)),
AND(INDEX(Règles_poneys[Specificite],MATCH(RationHivernaleAuPréPoneys&amp;$FN149,Règles_poneys[Ration]&amp;Règles_poneys[Aliment],0))="s2",IF($FN149=Spécificité2Poneys,1)),
INDEX(Règles_poneys[Specificite],MATCH(RationHivernaleAuPréPoneys&amp;$FN149,Règles_poneys[Ration]&amp;Règles_poneys[Aliment],0))="c"),
INDEX(Règles_poneys[Valeur 24-36],MATCH(RationHivernaleAuPréPoneys&amp;$FN149,Règles_poneys[Ration]&amp;Règles_poneys[Aliment],0)),0),0)*SUM(TotalPoneys_24_36mois)*21)</f>
        <v>0</v>
      </c>
      <c r="FQ149" s="1282">
        <f t="array" ref="FQ149">IF(OR(ChoixRationHivernaleComplètePoneys=OUI,ChoixRationHivernaleComplètePoneys="",ChoixPoneysPréHiver=NON),0,IFERROR(IF(OR(AND(INDEX(Règles_poneys[Specificite],MATCH(RationHivernaleAuPréPoneys&amp;$FN149,Règles_poneys[Ration]&amp;Règles_poneys[Aliment],0))="s1",IF($FN149=Spécificité1Poneys,1)),
AND(INDEX(Règles_poneys[Specificite],MATCH(RationHivernaleAuPréPoneys&amp;$FN149,Règles_poneys[Ration]&amp;Règles_poneys[Aliment],0))="s2",IF($FN149=Spécificité2Poneys,1)),
INDEX(Règles_poneys[Specificite],MATCH(RationHivernaleAuPréPoneys&amp;$FN149,Règles_poneys[Ration]&amp;Règles_poneys[Aliment],0))="c"),
INDEX(Règles_poneys[Valeur 12-24],MATCH(RationHivernaleAuPréPoneys&amp;$FN149,Règles_poneys[Ration]&amp;Règles_poneys[Aliment],0)),0),0)*SUM(TotalPoneys_12_24mois)*21)</f>
        <v>0</v>
      </c>
      <c r="FR149" s="1285">
        <f t="array" ref="FR149">IF(OR(ChoixRationHivernaleComplètePoneys=OUI,ChoixRationHivernaleComplètePoneys="",ChoixPoneysPréHiver=NON),0,IFERROR(IF(OR(AND(INDEX(Règles_poneys[Specificite],MATCH(RationHivernaleAuPréPoneys&amp;$FN149,Règles_poneys[Ration]&amp;Règles_poneys[Aliment],0))="s1",IF($FN149=Spécificité1Poneys,1)),
AND(INDEX(Règles_poneys[Specificite],MATCH(RationHivernaleAuPréPoneys&amp;$FN149,Règles_poneys[Ration]&amp;Règles_poneys[Aliment],0))="s2",IF($FN149=Spécificité2Poneys,1)),
INDEX(Règles_poneys[Specificite],MATCH(RationHivernaleAuPréPoneys&amp;$FN149,Règles_poneys[Ration]&amp;Règles_poneys[Aliment],0))="c"),
INDEX(Règles_poneys[Valeur 0-12],MATCH(RationHivernaleAuPréPoneys&amp;$FN149,Règles_poneys[Ration]&amp;Règles_poneys[Aliment],0)),0),0)*SUM(TotalPoulainsPoneys)*21)</f>
        <v>0</v>
      </c>
      <c r="FS149" s="1285">
        <f t="shared" si="52"/>
        <v>0</v>
      </c>
      <c r="FT149" s="1345"/>
      <c r="FU149" s="1345"/>
      <c r="FV149" s="1345"/>
      <c r="FW149" s="1083" t="str">
        <f t="shared" si="49"/>
        <v>Féverole</v>
      </c>
      <c r="FX149" s="1283">
        <f t="array" ref="FX149">SUM((IF(QualitéAlimentsGavageOison_0_1_mois=BONNE,VLOOKUP("Féverole",AlimentsGavageOies[],5,FALSE),0)+(IF(QualitéAlimentsGavageCaneton_0_1_mois=BONNE,VLOOKUP("Féverole",AlimentsGavageCanards[],5,FALSE),0)+(IF(QualitéAlimentsGavageOison_1_2_mois=BONNE,VLOOKUP("Féverole",AlimentsGavageOies[],4,FALSE),0)+(IF(QualitéAlimentsGavageCaneton_1_2_mois=BONNE,VLOOKUP("Féverole",AlimentsGavageCanards[],4,FALSE),0)+(IF(QualitéAlimentsGavageOison_2_3_mois=BONNE,VLOOKUP("Féverole",AlimentsGavageOies[],3,FALSE),0)+(IF(QualitéAlimentsGavageCaneton_2_3_mois=BONNE,VLOOKUP("Féverole",AlimentsGavageCanards[],3,FALSE),0)+(IF(QualitéAlimentsGavageJeunesOies=BONNE,VLOOKUP("Féverole",AlimentsGavageOies[],2,FALSE),0)+(IF(QualitéAlimentsGavageJeuneCanard=BONNE,VLOOKUP("Féverole",AlimentsGavageCanards[],2,FALSE),0))))))))))</f>
        <v>0</v>
      </c>
      <c r="FY149" s="1283">
        <f t="array" ref="FY149">SUM((IF(QualitéAlimentsGavageOison_0_1_mois=MOYENNE,VLOOKUP("Féverole",AlimentsGavageOies[],5,FALSE),0)+(IF(QualitéAlimentsGavageCaneton_0_1_mois=MOYENNE,VLOOKUP("Féverole",AlimentsGavageCanards[],5,FALSE),0)+(IF(QualitéAlimentsGavageOison_1_2_mois=MOYENNE,VLOOKUP("Féverole",AlimentsGavageOies[],4,FALSE),0)+(IF(QualitéAlimentsGavageCaneton_1_2_mois=MOYENNE,VLOOKUP("Féverole",AlimentsGavageCanards[],4,FALSE),0)+(IF(QualitéAlimentsGavageOison_2_3_mois=MOYENNE,VLOOKUP("Féverole",AlimentsGavageOies[],3,FALSE),0)+(IF(QualitéAlimentsGavageCaneton_2_3_mois=MOYENNE,VLOOKUP("Féverole",AlimentsGavageCanards[],3,FALSE),0)+(IF(QualitéAlimentsGavageJeunesOies=MOYENNE,VLOOKUP("Féverole",AlimentsGavageOies[],2,FALSE),0)+(IF(QualitéAlimentsGavageJeuneCanard=MOYENNE,VLOOKUP("Féverole",AlimentsGavageCanards[],2,FALSE),0))))))))))</f>
        <v>0</v>
      </c>
      <c r="FZ149" s="1283">
        <f t="array" ref="FZ149">SUM((IF(QualitéAlimentsGavageOison_0_1_mois=MAUVAISE,VLOOKUP("Féverole",AlimentsGavageOies[],5,FALSE),0)+(IF(QualitéAlimentsGavageCaneton_0_1_mois=MAUVAISE,VLOOKUP("Féverole",AlimentsGavageCanards[],5,FALSE),0)+(IF(QualitéAlimentsGavageOison_1_2_mois=MAUVAISE,VLOOKUP("Féverole",AlimentsGavageOies[],4,FALSE),0)+(IF(QualitéAlimentsGavageCaneton_1_2_mois=MAUVAISE,VLOOKUP("Féverole",AlimentsGavageCanards[],4,FALSE),0)+(IF(QualitéAlimentsGavageOison_2_3_mois=MAUVAISE,VLOOKUP("Féverole",AlimentsGavageOies[],3,FALSE),0)+(IF(QualitéAlimentsGavageCaneton_2_3_mois=MAUVAISE,VLOOKUP("Féverole",AlimentsGavageCanards[],3,FALSE),0)+(IF(QualitéAlimentsGavageJeunesOies=MAUVAISE,VLOOKUP("Féverole",AlimentsGavageOies[],2,FALSE),0)+(IF(QualitéAlimentsGavageJeuneCanard=MAUVAISE,VLOOKUP("Féverole",AlimentsGavageCanards[],2,FALSE),0))))))))))</f>
        <v>0</v>
      </c>
      <c r="GA149" s="1345"/>
      <c r="GB149" s="1345"/>
      <c r="GC149" s="1321"/>
      <c r="GD149" s="1321"/>
      <c r="GE149" s="1321"/>
      <c r="GF149" s="1321"/>
      <c r="GG149" s="1321" t="s">
        <v>1349</v>
      </c>
      <c r="GH149" s="1321" t="s">
        <v>1349</v>
      </c>
      <c r="GI149" s="1321" t="s">
        <v>1349</v>
      </c>
      <c r="GJ149" s="1321" t="s">
        <v>1349</v>
      </c>
      <c r="GK149" s="1321" t="s">
        <v>1349</v>
      </c>
      <c r="GL149" s="1321" t="s">
        <v>1349</v>
      </c>
      <c r="GM149" s="1321" t="s">
        <v>1349</v>
      </c>
      <c r="GN149" s="1321" t="s">
        <v>1349</v>
      </c>
      <c r="GO149" s="1321" t="s">
        <v>1349</v>
      </c>
      <c r="GP149" s="1321" t="s">
        <v>1349</v>
      </c>
      <c r="GQ149" s="1321" t="s">
        <v>1349</v>
      </c>
      <c r="GR149" s="1321" t="s">
        <v>1349</v>
      </c>
      <c r="GS149" s="1321" t="s">
        <v>1349</v>
      </c>
      <c r="GT149" s="1321" t="s">
        <v>1349</v>
      </c>
      <c r="GU149" s="1321" t="s">
        <v>1349</v>
      </c>
      <c r="GV149" s="1321" t="s">
        <v>1349</v>
      </c>
      <c r="GW149" s="1321"/>
      <c r="GX149" s="1321"/>
      <c r="GY149" s="1321"/>
      <c r="GZ149" s="1321"/>
      <c r="HA149" s="1321"/>
      <c r="HB149" s="1321"/>
      <c r="HC149" s="1321"/>
      <c r="HD149" s="1321"/>
      <c r="HE149" s="1321"/>
      <c r="HF149" s="1321"/>
      <c r="HG149" s="1321"/>
      <c r="HH149" s="1321"/>
      <c r="HI149" s="1321"/>
      <c r="HJ149" s="1321"/>
      <c r="HK149" s="1321"/>
      <c r="HL149" s="1321"/>
      <c r="HM149" s="1321"/>
      <c r="HN149" s="1321"/>
      <c r="HO149" s="1321"/>
      <c r="HP149" s="1321"/>
      <c r="HQ149" s="1321"/>
      <c r="HR149" s="1321"/>
      <c r="HS149" s="1321"/>
      <c r="HT149" s="1321"/>
      <c r="HU149" s="1321"/>
      <c r="HV149" s="1321"/>
      <c r="HW149" s="1321"/>
      <c r="HX149" s="1321"/>
      <c r="HY149" s="1321"/>
      <c r="HZ149" s="1321"/>
      <c r="IA149" s="1321"/>
      <c r="IB149" s="1321"/>
      <c r="IC149" s="1321"/>
      <c r="ID149" s="1321"/>
      <c r="IE149" s="1321"/>
      <c r="IF149" s="1321"/>
      <c r="IG149" s="1321"/>
      <c r="IH149" s="1321"/>
      <c r="II149" s="1321"/>
      <c r="IJ149" s="1321"/>
      <c r="IK149" s="1321"/>
      <c r="IL149" s="1321"/>
      <c r="IM149" s="1321"/>
      <c r="IN149" s="1368"/>
    </row>
    <row r="150" spans="1:248" ht="12.75" customHeight="1" x14ac:dyDescent="0.2">
      <c r="A150" s="1307" t="s">
        <v>608</v>
      </c>
      <c r="B150" s="1209">
        <v>20</v>
      </c>
      <c r="C150" s="1321"/>
      <c r="D150" s="1321"/>
      <c r="E150" s="1321"/>
      <c r="F150" s="1143" t="s">
        <v>504</v>
      </c>
      <c r="G150" s="1143">
        <v>9</v>
      </c>
      <c r="H150" s="1321"/>
      <c r="I150" s="1336"/>
      <c r="J150" s="1336"/>
      <c r="K150" s="1336"/>
      <c r="L150" s="1336"/>
      <c r="M150" s="1336"/>
      <c r="N150" s="1336"/>
      <c r="O150" s="1336"/>
      <c r="P150" s="1336"/>
      <c r="Q150" s="1336"/>
      <c r="R150" s="1321"/>
      <c r="S150" s="1321"/>
      <c r="T150" s="1321"/>
      <c r="U150" s="1321"/>
      <c r="V150" s="1321"/>
      <c r="W150" s="1321"/>
      <c r="X150" s="1321"/>
      <c r="Y150" s="1321"/>
      <c r="Z150" s="1321"/>
      <c r="AA150" s="1321"/>
      <c r="AB150" s="1321"/>
      <c r="AC150" s="1321"/>
      <c r="AD150" s="1321"/>
      <c r="AE150" s="1321"/>
      <c r="AF150" s="1321"/>
      <c r="AG150" s="1321"/>
      <c r="AH150" s="1321"/>
      <c r="AI150" s="1321"/>
      <c r="AJ150" s="1321"/>
      <c r="AK150" s="1321"/>
      <c r="AL150" s="1321"/>
      <c r="AM150" s="1321"/>
      <c r="AN150" s="1321"/>
      <c r="AO150" s="1321"/>
      <c r="AP150" s="1321"/>
      <c r="AQ150" s="1321"/>
      <c r="AR150" s="1321"/>
      <c r="AS150" s="1321"/>
      <c r="AT150" s="1321"/>
      <c r="AU150" s="1321"/>
      <c r="AV150" s="1321"/>
      <c r="AW150" s="1321"/>
      <c r="AX150" s="1321"/>
      <c r="AY150" s="1321"/>
      <c r="AZ150" s="1321"/>
      <c r="BA150" s="1321"/>
      <c r="BB150" s="1236" t="s">
        <v>731</v>
      </c>
      <c r="BC150" s="1190" t="s">
        <v>728</v>
      </c>
      <c r="BD150" s="1190" t="s">
        <v>1252</v>
      </c>
      <c r="BE150" s="1237">
        <v>28</v>
      </c>
      <c r="BF150" s="1237">
        <v>24</v>
      </c>
      <c r="BG150" s="1237">
        <v>16</v>
      </c>
      <c r="BH150" s="1237">
        <v>12</v>
      </c>
      <c r="BI150" s="1237">
        <v>8</v>
      </c>
      <c r="BJ150" s="1237">
        <v>4</v>
      </c>
      <c r="BK150" s="1238">
        <v>0</v>
      </c>
      <c r="BL150" s="1348"/>
      <c r="BM150" s="1076"/>
      <c r="BN150" s="1267"/>
      <c r="BO150" s="1267"/>
      <c r="BP150" s="1267"/>
      <c r="BQ150" s="1321"/>
      <c r="BR150" s="1321"/>
      <c r="BS150" s="1321"/>
      <c r="BT150" s="1321"/>
      <c r="BU150" s="1321"/>
      <c r="BV150" s="1345"/>
      <c r="BW150" s="1345"/>
      <c r="BX150" s="1076" t="str">
        <f t="shared" si="57"/>
        <v>Colza</v>
      </c>
      <c r="BY150" s="1076">
        <f t="array" ref="BY150">IF(ChoixRationComplèteCaprins=OUI,0,IFERROR(IF(OR(AND(INDEX(Règles_caprins[Specificite],MATCH(ChoixRationCaprins&amp;$BX150,Règles_caprins[Ration]&amp;Règles_caprins[Aliment],0))="s1",IF($BX150=Spécificité1Caprins,1)),
INDEX(Règles_caprins[Specificite],MATCH(ChoixRationCaprins&amp;$BX150,Règles_caprins[Ration]&amp;Règles_caprins[Aliment],0))="c"),
INDEX(Règles_caprins[Valeur 12 et plus],MATCH(ChoixRationCaprins&amp;$BX150,Règles_caprins[Ration]&amp;Règles_caprins[Aliment],0)),0),0)*TotalChèvres*SUM(NbreJoursNourrirCaprins))</f>
        <v>0</v>
      </c>
      <c r="BZ150" s="1076">
        <f t="array" ref="BZ150">IF(ChoixRationComplèteCaprins=OUI,0,IFERROR(IF(OR(AND(INDEX(Règles_caprins[Specificite],MATCH(ChoixRationCaprins&amp;$BX150,Règles_caprins[Ration]&amp;Règles_caprins[Aliment],0))="s1",IF($BX150=Spécificité1Caprins,1)),
INDEX(Règles_caprins[Specificite],MATCH(ChoixRationCaprins&amp;$BX150,Règles_caprins[Ration]&amp;Règles_caprins[Aliment],0))="c"),
INDEX(Règles_caprins[Valeur 6-12],MATCH(ChoixRationCaprins&amp;$BX150,Règles_caprins[Ration]&amp;Règles_caprins[Aliment],0)),0),0)*jeune_chèvre_6_12_mois*SUM(NbreJoursNourrirCaprins))</f>
        <v>0</v>
      </c>
      <c r="CA150" s="1076">
        <f t="array" ref="CA150">IF(ChoixRationComplèteCaprins=OUI,0,IFERROR(IF(OR(AND(INDEX(Règles_caprins[Specificite],MATCH(ChoixRationCaprins&amp;$BX150,Règles_caprins[Ration]&amp;Règles_caprins[Aliment],0))="s1",IF($BX150=Spécificité1Caprins,1)),
INDEX(Règles_caprins[Specificite],MATCH(ChoixRationCaprins&amp;$BX150,Règles_caprins[Ration]&amp;Règles_caprins[Aliment],0))="c"),
INDEX(Règles_caprins[Valeur 3-6],MATCH(ChoixRationCaprins&amp;$BX150,Règles_caprins[Ration]&amp;Règles_caprins[Aliment],0)),0),0)*chevrette_3_6_mois*SUM(NbreJoursNourrirCaprins))</f>
        <v>0</v>
      </c>
      <c r="CB150" s="1076">
        <f t="array" ref="CB150">IF(ChoixRationComplèteCaprins=OUI,0,IFERROR(IF(OR(AND(INDEX(Règles_caprins[Specificite],MATCH(ChoixRationCaprins&amp;$BX150,Règles_caprins[Ration]&amp;Règles_caprins[Aliment],0))="s1",IF($BX150=Spécificité1Caprins,1)),
INDEX(Règles_caprins[Specificite],MATCH(ChoixRationCaprins&amp;$BX150,Règles_caprins[Ration]&amp;Règles_caprins[Aliment],0))="c"),
INDEX(Règles_caprins[Valeur 0-3],MATCH(ChoixRationCaprins&amp;$BX150,Règles_caprins[Ration]&amp;Règles_caprins[Aliment],0)),0),0)*chevrette_0_3_mois*SUM(NbreJoursNourrirCaprins))</f>
        <v>0</v>
      </c>
      <c r="CC150" s="1076">
        <f t="shared" si="56"/>
        <v>0</v>
      </c>
      <c r="CD150" s="1345"/>
      <c r="CE150" s="1345"/>
      <c r="CF150" s="1345"/>
      <c r="CG150" s="1345"/>
      <c r="CH150" s="1345"/>
      <c r="CI150" s="1321"/>
      <c r="CJ150" s="1075" t="str">
        <f t="shared" si="51"/>
        <v>Eau</v>
      </c>
      <c r="CK150" s="1269">
        <f t="array" ref="CK150">SUM((IF(QualitéAlimentsPorceletMâle_0_1_mois=BONNE,VLOOKUP("Eau",AlimentsRationPorcinsMâles[],6,FALSE),0)+(IF(QualitéAlimentsPorceletFemelle_0_1_mois=BONNE,VLOOKUP("Eau",AlimentsRationPorcinsFemelles[],6,FALSE),0)+(IF(QualitéAlimentsPorceletMâle_1_3_mois=BONNE,VLOOKUP("Eau",AlimentsRationPorcinsMâles[],5,FALSE),0)+(IF(QualitéAlimentsPorceletFemelle_1_3_mois=BONNE,VLOOKUP("Eau",AlimentsRationPorcinsFemelles[],5,FALSE),0)+(IF(QualitéAlimentsJeuneVerrat_3_6_mois=BONNE,VLOOKUP("Eau",AlimentsRationPorcinsMâles[],4,FALSE),0)+(IF(QualitéAlimentsJeuneTruie_3_6_mois=BONNE,VLOOKUP("Eau",AlimentsRationPorcinsFemelles[],4,FALSE),0)+(IF(QualitéAlimentsJeuneVerrat_6_12_mois=BONNE,VLOOKUP("Eau",AlimentsRationPorcinsMâles[],3,FALSE),0)+(IF(QualitéAlimentsJeuneTruie_6_12_mois=BONNE,VLOOKUP("Eau",AlimentsRationPorcinsFemelles[],3,FALSE),0)+(IF(QualitéAlimentsVerrat=BONNE,VLOOKUP("Eau",AlimentsRationPorcinsMâles[],2,FALSE),0)+(IF(QualitéAlimentsTruie=BONNE,VLOOKUP("Eau",AlimentsRationPorcinsFemelles[],2,FALSE),0))))))))))))</f>
        <v>0</v>
      </c>
      <c r="CL150" s="1269">
        <f t="array" ref="CL150">SUM((IF(QualitéAlimentsPorceletMâle_0_1_mois=MOYENNE,VLOOKUP("Eau",AlimentsRationPorcinsMâles[],6,FALSE),0)+(IF(QualitéAlimentsPorceletFemelle_0_1_mois=MOYENNE,VLOOKUP("Eau",AlimentsRationPorcinsFemelles[],6,FALSE),0)+(IF(QualitéAlimentsPorceletMâle_1_3_mois=MOYENNE,VLOOKUP("Eau",AlimentsRationPorcinsMâles[],5,FALSE),0)+(IF(QualitéAlimentsPorceletFemelle_1_3_mois=MOYENNE,VLOOKUP("Eau",AlimentsRationPorcinsFemelles[],5,FALSE),0)+(IF(QualitéAlimentsJeuneVerrat_3_6_mois=MOYENNE,VLOOKUP("Eau",AlimentsRationPorcinsMâles[],4,FALSE),0)+(IF(QualitéAlimentsJeuneTruie_3_6_mois=MOYENNE,VLOOKUP("Eau",AlimentsRationPorcinsFemelles[],4,FALSE),0)+(IF(QualitéAlimentsJeuneVerrat_6_12_mois=MOYENNE,VLOOKUP("Eau",AlimentsRationPorcinsMâles[],3,FALSE),0)+(IF(QualitéAlimentsJeuneTruie_6_12_mois=MOYENNE,VLOOKUP("Eau",AlimentsRationPorcinsFemelles[],3,FALSE),0)+(IF(QualitéAlimentsVerrat=MOYENNE,VLOOKUP("Eau",AlimentsRationPorcinsMâles[],2,FALSE),0)+(IF(QualitéAlimentsTruie=MOYENNE,VLOOKUP("Eau",AlimentsRationPorcinsFemelles[],2,FALSE),0))))))))))))</f>
        <v>0</v>
      </c>
      <c r="CM150" s="1269">
        <f t="array" ref="CM150">SUM((IF(QualitéAlimentsPorceletMâle_0_1_mois=MAUVAISE,VLOOKUP("Eau",AlimentsRationPorcinsMâles[],6,FALSE),0)+(IF(QualitéAlimentsPorceletFemelle_0_1_mois=MAUVAISE,VLOOKUP("Eau",AlimentsRationPorcinsFemelles[],6,FALSE),0)+(IF(QualitéAlimentsPorceletMâle_1_3_mois=MAUVAISE,VLOOKUP("Eau",AlimentsRationPorcinsMâles[],5,FALSE),0)+(IF(QualitéAlimentsPorceletFemelle_1_3_mois=MAUVAISE,VLOOKUP("Eau",AlimentsRationPorcinsFemelles[],5,FALSE),0)+(IF(QualitéAlimentsJeuneVerrat_3_6_mois=MAUVAISE,VLOOKUP("Eau",AlimentsRationPorcinsMâles[],4,FALSE),0)+(IF(QualitéAlimentsJeuneTruie_3_6_mois=MAUVAISE,VLOOKUP("Eau",AlimentsRationPorcinsFemelles[],4,FALSE),0)+(IF(QualitéAlimentsJeuneVerrat_6_12_mois=MAUVAISE,VLOOKUP("Eau",AlimentsRationPorcinsMâles[],3,FALSE),0)+(IF(QualitéAlimentsJeuneTruie_6_12_mois=MAUVAISE,VLOOKUP("Eau",AlimentsRationPorcinsFemelles[],3,FALSE),0)+(IF(QualitéAlimentsVerrat=MAUVAISE,VLOOKUP("Eau",AlimentsRationPorcinsMâles[],2,FALSE),0)+(IF(QualitéAlimentsTruie=MAUVAISE,VLOOKUP("Eau",AlimentsRationPorcinsFemelles[],2,FALSE),0))))))))))))</f>
        <v>0</v>
      </c>
      <c r="CN150" s="1321"/>
      <c r="CO150" s="1320"/>
      <c r="CP150" s="1320"/>
      <c r="CQ150" s="1321"/>
      <c r="CR150" s="1321"/>
      <c r="CS150" s="808" t="s">
        <v>793</v>
      </c>
      <c r="CT150" s="803">
        <f>CT26*SUM(TotalLapereaux)*SUM(NbreJoursNourrirAutres)</f>
        <v>0</v>
      </c>
      <c r="CU150" s="1321"/>
      <c r="CV150" s="1321"/>
      <c r="CW150" s="1321"/>
      <c r="CX150" s="1321"/>
      <c r="CY150" s="1321"/>
      <c r="CZ150" s="809" t="s">
        <v>1369</v>
      </c>
      <c r="DA150" s="810">
        <f>IF(ChoixPaillageVolailles=OUI,SUBTOTAL(109,LitièreVolailles[litière]),0)</f>
        <v>0</v>
      </c>
      <c r="DB150" s="1321"/>
      <c r="DC150" s="1321"/>
      <c r="DD150" s="1321"/>
      <c r="DE150" s="1321"/>
      <c r="DF150" s="1321"/>
      <c r="DG150" s="1076" t="str">
        <f t="shared" si="58"/>
        <v>Colza</v>
      </c>
      <c r="DH150" s="1267">
        <f t="array" ref="DH150">SUM((IF(QualitéAlimentsPintadeauMâle_0_1_mois=BONNE,VLOOKUP("Colza",AlimentsRationPintadesMâles[],4,FALSE),0)+(IF(QualitéAlimentsPintadeauFemelle_0_1_mois=BONNE,VLOOKUP("Colza",AlimentsRationPintadesFemelles[],4,FALSE),0)+(IF(QualitéAlimentsJeunePintadeMâle=BONNE,VLOOKUP("Colza",AlimentsRationPintadesMâles[],3,FALSE),0)+(IF(QualitéAlimentsJeunePintadeFemelle=BONNE,VLOOKUP("Colza",AlimentsRationPintadesFemelles[],3,FALSE),0)+(IF(QualitéAlimentsPintadeMâle=BONNE,VLOOKUP("Colza",AlimentsRationPintadesMâles[],2,FALSE),0)+(IF(QualitéAlimentsPintadeFemelle=BONNE,VLOOKUP("Colza",AlimentsRationPintadesFemelles[],2,FALSE),0))))))))</f>
        <v>0</v>
      </c>
      <c r="DI150" s="1267">
        <f t="array" ref="DI150">SUM((IF(QualitéAlimentsPintadeauMâle_0_1_mois=MOYENNE,VLOOKUP("Colza",AlimentsRationPintadesMâles[],4,FALSE),0)+(IF(QualitéAlimentsPintadeauFemelle_0_1_mois=MOYENNE,VLOOKUP("Colza",AlimentsRationPintadesFemelles[],4,FALSE),0)+(IF(QualitéAlimentsJeunePintadeMâle=MOYENNE,VLOOKUP("Colza",AlimentsRationPintadesMâles[],3,FALSE),0)+(IF(QualitéAlimentsJeunePintadeFemelle=MOYENNE,VLOOKUP("Colza",AlimentsRationPintadesFemelles[],3,FALSE),0)+(IF(QualitéAlimentsPintadeMâle=MOYENNE,VLOOKUP("Colza",AlimentsRationPintadesMâles[],2,FALSE),0)+(IF(QualitéAlimentsPintadeFemelle=MOYENNE,VLOOKUP("Colza",AlimentsRationPintadesFemelles[],2,FALSE),0))))))))</f>
        <v>0</v>
      </c>
      <c r="DJ150" s="1267">
        <f t="array" ref="DJ150">SUM((IF(QualitéAlimentsPintadeauMâle_0_1_mois=MAUVAISE,VLOOKUP("Colza",AlimentsRationPintadesMâles[],4,FALSE),0)+(IF(QualitéAlimentsPintadeauFemelle_0_1_mois=MAUVAISE,VLOOKUP("Colza",AlimentsRationPintadesFemelles[],4,FALSE),0)+(IF(QualitéAlimentsJeunePintadeMâle=MAUVAISE,VLOOKUP("Colza",AlimentsRationPintadesMâles[],3,FALSE),0)+(IF(QualitéAlimentsJeunePintadeFemelle=MAUVAISE,VLOOKUP("Colza",AlimentsRationPintadesFemelles[],3,FALSE),0)+(IF(QualitéAlimentsPintadeMâle=MAUVAISE,VLOOKUP("Colza",AlimentsRationPintadesMâles[],2,FALSE),0)+(IF(QualitéAlimentsPintadeFemelle=MAUVAISE,VLOOKUP("Colza",AlimentsRationPintadesFemelles[],2,FALSE),0))))))))</f>
        <v>0</v>
      </c>
      <c r="DK150" s="1321"/>
      <c r="DL150" s="1321"/>
      <c r="DM150" s="1321"/>
      <c r="DN150" s="1076" t="s">
        <v>673</v>
      </c>
      <c r="DO150" s="1267">
        <f t="array" ref="DO150">IF(ChoixRationComplèteOvins=OUI,0,IFERROR(IF(OR(AND(INDEX(Règles_ovins[Specificite],MATCH(ChoixRationOvins&amp;$DN150,Règles_ovins[Ration]&amp;Règles_ovins[Aliment],0))="s1",IF($DN150=Spécificité1Ovins,1)),
AND(INDEX(Règles_ovins[Specificite],MATCH(ChoixRationOvins&amp;$DN150,Règles_ovins[Ration]&amp;Règles_ovins[Aliment],0))="s2",IF($DN150=Spécificité2Ovins,1)),
INDEX(Règles_ovins[Specificite],MATCH(ChoixRationOvins&amp;$DN150,Règles_ovins[Ration]&amp;Règles_ovins[Aliment],0))="c"),
INDEX(Règles_ovins[Valeur 12 et plus],MATCH(ChoixRationOvins&amp;$DN150,Règles_ovins[Ration]&amp;Règles_ovins[Aliment],0)),0),0)*IF(ChoixOvinsPréHiver=OUI,SUM(TotalOvinsAdultesRacesLaitières)*NbreJoursNourrirOvins,TotalBéliers*SUM(NbreJoursNourrirOvins)))</f>
        <v>0</v>
      </c>
      <c r="DP150" s="1267">
        <f t="array" ref="DP150">IF(ChoixRationComplèteOvins=OUI,0,IFERROR(IF(OR(AND(INDEX(Règles_ovins[Specificite],MATCH(ChoixRationOvins&amp;$DN150,Règles_ovins[Ration]&amp;Règles_ovins[Aliment],0))="s1",IF($DN150=Spécificité1Ovins,1)),
AND(INDEX(Règles_ovins[Specificite],MATCH(ChoixRationOvins&amp;$DN150,Règles_ovins[Ration]&amp;Règles_ovins[Aliment],0))="s2",IF($DN150=Spécificité2Ovins,1)),
INDEX(Règles_ovins[Specificite],MATCH(ChoixRationOvins&amp;$DN150,Règles_ovins[Ration]&amp;Règles_ovins[Aliment],0))="c"),
INDEX(Règles_ovins[Valeur 6-12],MATCH(ChoixRationOvins&amp;$DN150,Règles_ovins[Ration]&amp;Règles_ovins[Aliment],0)),0),0)*IF(ChoixOvinsPréHiver=OUI,SUM(TotalJeunesOvinsRacesLaitières)*NbreJoursNourrirOvins,TotalJeune_bélier_6_12_mois*SUM(NbreJoursNourrirOvins)))</f>
        <v>0</v>
      </c>
      <c r="DQ150" s="1267">
        <f t="array" ref="DQ150">IF(ChoixRationComplèteOvins=OUI,0,IFERROR(IF(OR(AND(INDEX(Règles_ovins[Specificite],MATCH(ChoixRationOvins&amp;$DN150,Règles_ovins[Ration]&amp;Règles_ovins[Aliment],0))="s1",IF($DN150=Spécificité1Ovins,1)),
AND(INDEX(Règles_ovins[Specificite],MATCH(ChoixRationOvins&amp;$DN150,Règles_ovins[Ration]&amp;Règles_ovins[Aliment],0))="s2",IF($DN150=Spécificité2Ovins,1)),
INDEX(Règles_ovins[Specificite],MATCH(ChoixRationOvins&amp;$DN150,Règles_ovins[Ration]&amp;Règles_ovins[Aliment],0))="c"),
INDEX(Règles_ovins[Valeur 3-6],MATCH(ChoixRationOvins&amp;$DN150,Règles_ovins[Ration]&amp;Règles_ovins[Aliment],0)),0),0)*IF(ChoixOvinsPréHiver=OUI,SUM(TotalOvins_3_6moisRacesLaitières)*NbreJoursNourrirOvins,TotalAgneau_3_6_mois*SUM(NbreJoursNourrirOvins)))</f>
        <v>0</v>
      </c>
      <c r="DR150" s="1267">
        <f t="array" ref="DR150">IF(ChoixRationComplèteOvins=OUI,0,IFERROR(IF(OR(AND(INDEX(Règles_ovins[Specificite],MATCH(ChoixRationOvins&amp;$DN150,Règles_ovins[Ration]&amp;Règles_ovins[Aliment],0))="s1",IF($DN150=Spécificité1Ovins,1)),
AND(INDEX(Règles_ovins[Specificite],MATCH(ChoixRationOvins&amp;$DN150,Règles_ovins[Ration]&amp;Règles_ovins[Aliment],0))="s2",IF($DN150=Spécificité2Ovins,1)),
INDEX(Règles_ovins[Specificite],MATCH(ChoixRationOvins&amp;$DN150,Règles_ovins[Ration]&amp;Règles_ovins[Aliment],0))="c"),
INDEX(Règles_ovins[Valeur 0-3],MATCH(ChoixRationOvins&amp;$DN150,Règles_ovins[Ration]&amp;Règles_ovins[Aliment],0)),0),0)*IF(ChoixOvinsPréHiver=OUI,SUM(TotalOvins_3_6moisRacesLaitières)*NbreJoursNourrirOvins,TotalAgneau_0_3_mois*SUM(NbreJoursNourrirOvins)))</f>
        <v>0</v>
      </c>
      <c r="DS150" s="1279">
        <f t="shared" ref="DS150:DS188" si="61">SUM($DO150:$DR150)</f>
        <v>0</v>
      </c>
      <c r="DT150" s="1346"/>
      <c r="DU150" s="1346"/>
      <c r="DV150" s="1321"/>
      <c r="DW150" s="1321"/>
      <c r="DX150" s="1321"/>
      <c r="DY150" s="1321"/>
      <c r="DZ150" s="1321"/>
      <c r="EA150" s="1321"/>
      <c r="EB150" s="1321"/>
      <c r="EC150" s="1321"/>
      <c r="ED150" s="1345"/>
      <c r="EE150" s="1345"/>
      <c r="EF150" s="1321"/>
      <c r="EG150" s="1076" t="str">
        <f>EG53</f>
        <v>Avoine</v>
      </c>
      <c r="EH150" s="1267">
        <f t="array" ref="EH150">SUM((IF(QualitéAlimentsOisonMâle_0_3_mois=BONNE,VLOOKUP("Avoine",AlimentsRationOiesMâles[],4,FALSE),0)+(IF(QualitéAlimentsOisonFemelle_0_3_mois=BONNE,VLOOKUP("Avoine",AlimentsRationOiesFemelles[],4,FALSE),0)+(IF(QualitéAlimentsJeuneJars=BONNE,VLOOKUP("Avoine",AlimentsRationOiesMâles[],3,FALSE),0)+(IF(QualitéAlimentsJeuneOie=BONNE,VLOOKUP("Avoine",AlimentsRationOiesFemelles[],3,FALSE),0)+(IF(QualitéAlimentsJars=BONNE,VLOOKUP("Avoine",AlimentsRationOiesMâles[],2,FALSE),0)+(IF(QualitéAlimentsOie=BONNE,VLOOKUP("Avoine",AlimentsRationOiesFemelles[],2,FALSE),0))))))))</f>
        <v>0</v>
      </c>
      <c r="EI150" s="1267">
        <f t="array" ref="EI150">SUM((IF(QualitéAlimentsOisonMâle_0_3_mois=MOYENNE,VLOOKUP("Avoine",AlimentsRationOiesMâles[],4,FALSE),0)+(IF(QualitéAlimentsOisonFemelle_0_3_mois=MOYENNE,VLOOKUP("Avoine",AlimentsRationOiesFemelles[],4,FALSE),0)+(IF(QualitéAlimentsJeuneJars=MOYENNE,VLOOKUP("Avoine",AlimentsRationOiesMâles[],3,FALSE),0)+(IF(QualitéAlimentsJeuneOie=MOYENNE,VLOOKUP("Avoine",AlimentsRationOiesFemelles[],3,FALSE),0)+(IF(QualitéAlimentsJars=MOYENNE,VLOOKUP("Avoine",AlimentsRationOiesMâles[],2,FALSE),0)+(IF(QualitéAlimentsOie=MOYENNE,VLOOKUP("Avoine",AlimentsRationOiesFemelles[],2,FALSE),0))))))))</f>
        <v>0</v>
      </c>
      <c r="EJ150" s="1267">
        <f t="array" ref="EJ150">SUM((IF(QualitéAlimentsOisonMâle_0_3_mois=MAUVAISE,VLOOKUP("Avoine",AlimentsRationOiesMâles[],4,FALSE),0)+(IF(QualitéAlimentsOisonFemelle_0_3_mois=MAUVAISE,VLOOKUP("Avoine",AlimentsRationOiesFemelles[],4,FALSE),0)+(IF(QualitéAlimentsJeuneJars=MAUVAISE,VLOOKUP("Avoine",AlimentsRationOiesMâles[],3,FALSE),0)+(IF(QualitéAlimentsJeuneOie=MAUVAISE,VLOOKUP("Avoine",AlimentsRationOiesFemelles[],3,FALSE),0)+(IF(QualitéAlimentsJars=MAUVAISE,VLOOKUP("Avoine",AlimentsRationOiesMâles[],2,FALSE),0)+(IF(QualitéAlimentsOie=MAUVAISE,VLOOKUP("Avoine",AlimentsRationOiesFemelles[],2,FALSE),0))))))))</f>
        <v>0</v>
      </c>
      <c r="EK150" s="1345"/>
      <c r="EL150" s="1345"/>
      <c r="EM150" s="1321"/>
      <c r="EN150" s="1083" t="str">
        <f t="shared" ref="EN150:EN187" si="62">EN53</f>
        <v>Betterave</v>
      </c>
      <c r="EO150" s="1283">
        <f t="array" ref="EO150">SUM((IF(QualitéAlimentsCanetonMâle=BONNE,VLOOKUP("Betterave",AlimentsRationCanardsMâles,4,FALSE),0)+(IF(QualitéAlimentsCanetonFemelle=BONNE,VLOOKUP("Betterave",AlimentsRationCanardsFemelles,4,FALSE),0)+(IF(QualitéAlimentsJeuneCanard=BONNE,VLOOKUP("Betterave",AlimentsRationCanardsMâles,3,FALSE),0)+(IF(QualitéAlimentsJeuneCane=BONNE,VLOOKUP("Betterave",AlimentsRationCanardsFemelles,3,FALSE),0)+(IF(QualitéAlimentsCanard=BONNE,VLOOKUP("Betterave",AlimentsRationCanardsMâles,2,FALSE),0)+(IF(QualitéAlimentsCane=BONNE,VLOOKUP("Betterave",AlimentsRationCanardsFemelles,2,FALSE),0))))))))</f>
        <v>0</v>
      </c>
      <c r="EP150" s="1283">
        <f t="array" ref="EP150">SUM((IF(QualitéAlimentsCanetonMâle=MOYENNE,VLOOKUP("Betterave",AlimentsRationCanardsMâles,4,FALSE),0)+(IF(QualitéAlimentsCanetonFemelle=MOYENNE,VLOOKUP("Betterave",AlimentsRationCanardsFemelles,4,FALSE),0)+(IF(QualitéAlimentsJeuneCanard=MOYENNE,VLOOKUP("Betterave",AlimentsRationCanardsMâles,3,FALSE),0)+(IF(QualitéAlimentsJeuneCane=MOYENNE,VLOOKUP("Betterave",AlimentsRationCanardsFemelles,3,FALSE),0)+(IF(QualitéAlimentsCanard=MOYENNE,VLOOKUP("Betterave",AlimentsRationCanardsMâles,2,FALSE),0)+(IF(QualitéAlimentsCane=MOYENNE,VLOOKUP("Betterave",AlimentsRationCanardsFemelles,2,FALSE),0))))))))</f>
        <v>0</v>
      </c>
      <c r="EQ150" s="1283">
        <f t="array" ref="EQ150">SUM((IF(QualitéAlimentsCanetonMâle=MAUVAISE,VLOOKUP("Betterave",AlimentsRationCanardsMâles,4,FALSE),0)+(IF(QualitéAlimentsCanetonFemelle=MAUVAISE,VLOOKUP("Betterave",AlimentsRationCanardsFemelles,4,FALSE),0)+(IF(QualitéAlimentsJeuneCanard=MAUVAISE,VLOOKUP("Betterave",AlimentsRationCanardsMâles,3,FALSE),0)+(IF(QualitéAlimentsJeuneCane=MAUVAISE,VLOOKUP("Betterave",AlimentsRationCanardsFemelles,3,FALSE),0)+(IF(QualitéAlimentsCanard=MAUVAISE,VLOOKUP("Betterave",AlimentsRationCanardsMâles,2,FALSE),0)+(IF(QualitéAlimentsCane=MAUVAISE,VLOOKUP("Betterave",AlimentsRationCanardsFemelles,2,FALSE),0))))))))</f>
        <v>0</v>
      </c>
      <c r="ER150" s="1345"/>
      <c r="ES150" s="1345"/>
      <c r="ET150" s="1321"/>
      <c r="EU150" s="1082" t="str">
        <f t="shared" si="60"/>
        <v>Blé</v>
      </c>
      <c r="EV150" s="1282">
        <f t="array" ref="EV150">IF(OR(ChoixRationHivernaleComplèteChevauxSelle=OUI,ChoixRationHivernaleComplèteChevauxSelle="",ChoixChevauxSellePréHiver=NON),0,IFERROR(IF(OR(AND(INDEX(Règles_chevaux_selle[Specificite],MATCH(RationHivernaleAuPréChevauxSelle&amp;$EU150,Règles_chevaux_selle[Ration]&amp;Règles_chevaux_selle[Aliment],0))="s1",IF($EU150=Spécificité1ChevauxSelle,1)),
AND(INDEX(Règles_chevaux_selle[Specificite],MATCH(RationHivernaleAuPréChevauxSelle&amp;$EU150,Règles_chevaux_selle[Ration]&amp;Règles_chevaux_selle[Aliment],0))="s2",IF($EU150=Spécificité2ChevauxSelle,1)),
INDEX(Règles_chevaux_selle[Specificite],MATCH(RationHivernaleAuPréChevauxSelle&amp;$EU150,Règles_chevaux_selle[Ration]&amp;Règles_chevaux_selle[Aliment],0))="c"),
INDEX(Règles_chevaux_selle[Valeur 36 et plus],MATCH(RationHivernaleAuPréChevauxSelle&amp;$EU150,Règles_chevaux_selle[Ration]&amp;Règles_chevaux_selle[Aliment],0)),0),0)*SUM(TotalChevauxSelleAdultes)*21)</f>
        <v>0</v>
      </c>
      <c r="EW150" s="1282">
        <f t="array" ref="EW150">IF(OR(ChoixRationHivernaleComplèteChevauxSelle=OUI,ChoixRationHivernaleComplèteChevauxSelle="",ChoixChevauxSellePréHiver=NON),0,IFERROR(IF(OR(AND(INDEX(Règles_chevaux_selle[Specificite],MATCH(RationHivernaleAuPréChevauxSelle&amp;$EU150,Règles_chevaux_selle[Ration]&amp;Règles_chevaux_selle[Aliment],0))="s1",IF($EU150=Spécificité1ChevauxSelle,1)),
AND(INDEX(Règles_chevaux_selle[Specificite],MATCH(RationHivernaleAuPréChevauxSelle&amp;$EU150,Règles_chevaux_selle[Ration]&amp;Règles_chevaux_selle[Aliment],0))="s2",IF($EU150=Spécificité2ChevauxSelle,1)),
INDEX(Règles_chevaux_selle[Specificite],MATCH(RationHivernaleAuPréChevauxSelle&amp;$EU150,Règles_chevaux_selle[Ration]&amp;Règles_chevaux_selle[Aliment],0))="c"),
INDEX(Règles_chevaux_selle[Valeur 24-36],MATCH(RationHivernaleAuPréChevauxSelle&amp;$EU150,Règles_chevaux_selle[Ration]&amp;Règles_chevaux_selle[Aliment],0)),0),0)*SUM(TotalChevauxSelle_24_36mois)*21)</f>
        <v>0</v>
      </c>
      <c r="EX150" s="1282">
        <f t="array" ref="EX150">IF(OR(ChoixRationHivernaleComplèteChevauxSelle=OUI,ChoixRationHivernaleComplèteChevauxSelle="",ChoixChevauxSellePréHiver=NON),0,IFERROR(IF(OR(AND(INDEX(Règles_chevaux_selle[Specificite],MATCH(RationHivernaleAuPréChevauxSelle&amp;$EU150,Règles_chevaux_selle[Ration]&amp;Règles_chevaux_selle[Aliment],0))="s1",IF($EU150=Spécificité1ChevauxSelle,1)),
AND(INDEX(Règles_chevaux_selle[Specificite],MATCH(RationHivernaleAuPréChevauxSelle&amp;$EU150,Règles_chevaux_selle[Ration]&amp;Règles_chevaux_selle[Aliment],0))="s2",IF($EU150=Spécificité2ChevauxSelle,1)),
INDEX(Règles_chevaux_selle[Specificite],MATCH(RationHivernaleAuPréChevauxSelle&amp;$EU150,Règles_chevaux_selle[Ration]&amp;Règles_chevaux_selle[Aliment],0))="c"),
INDEX(Règles_chevaux_selle[Valeur 12-24],MATCH(RationHivernaleAuPréChevauxSelle&amp;$EU150,Règles_chevaux_selle[Ration]&amp;Règles_chevaux_selle[Aliment],0)),0),0)*SUM(TotalChevauxSelle_12_24mois)*21)</f>
        <v>0</v>
      </c>
      <c r="EY150" s="1285">
        <f t="array" ref="EY150">IF(OR(ChoixRationHivernaleComplèteChevauxSelle=OUI,ChoixRationHivernaleComplèteChevauxSelle="",ChoixChevauxSellePréHiver=NON),0,IFERROR(IF(OR(AND(INDEX(Règles_chevaux_selle[Specificite],MATCH(RationHivernaleAuPréChevauxSelle&amp;$EU150,Règles_chevaux_selle[Ration]&amp;Règles_chevaux_selle[Aliment],0))="s1",IF($EU150=Spécificité1ChevauxSelle,1)),
AND(INDEX(Règles_chevaux_selle[Specificite],MATCH(RationHivernaleAuPréChevauxSelle&amp;$EU150,Règles_chevaux_selle[Ration]&amp;Règles_chevaux_selle[Aliment],0))="s2",IF($EU150=Spécificité2ChevauxSelle,1)),
INDEX(Règles_chevaux_selle[Specificite],MATCH(RationHivernaleAuPréChevauxSelle&amp;$EU150,Règles_chevaux_selle[Ration]&amp;Règles_chevaux_selle[Aliment],0))="c"),
INDEX(Règles_chevaux_selle[Valeur 0-12],MATCH(RationHivernaleAuPréChevauxSelle&amp;$EU150,Règles_chevaux_selle[Ration]&amp;Règles_chevaux_selle[Aliment],0)),0),0)*SUM(TotalPoulainsSelle)*21)</f>
        <v>0</v>
      </c>
      <c r="EZ150" s="1285">
        <f t="shared" si="59"/>
        <v>0</v>
      </c>
      <c r="FA150" s="1345"/>
      <c r="FB150" s="1345"/>
      <c r="FC150" s="1321"/>
      <c r="FD150" s="1082" t="str">
        <f t="shared" si="55"/>
        <v>concentré jeunes lapins</v>
      </c>
      <c r="FE150" s="1282">
        <f t="array" ref="FE150">IF(OR(ChoixRationHivernaleComplèteChevauxTrait=OUI,ChoixRationHivernaleComplèteChevauxTrait="",ChoixChevauxTraitPréHiver=NON),0,IFERROR(IF(OR(AND(INDEX(Règles_chevaux_trait[Specificite],MATCH(RationHivernaleAuPréChevauxTrait&amp;$FD150,Règles_chevaux_trait[Ration]&amp;Règles_chevaux_trait[Aliment],0))="s1",IF($FD150=Spécificité1ChevauxTrait,1)),
AND(INDEX(Règles_chevaux_trait[Specificite],MATCH(RationHivernaleAuPréChevauxTrait&amp;$FD150,Règles_chevaux_trait[Ration]&amp;Règles_chevaux_trait[Aliment],0))="s2",IF($FD150=Spécificité2ChevauxTrait,1)),
INDEX(Règles_chevaux_trait[Specificite],MATCH(RationHivernaleAuPréChevauxTrait&amp;$FD150,Règles_chevaux_trait[Ration]&amp;Règles_chevaux_trait[Aliment],0))="c"),
INDEX(Règles_chevaux_trait[Valeur 36 et plus],MATCH(RationHivernaleAuPréChevauxTrait&amp;$FD150,Règles_chevaux_trait[Ration]&amp;Règles_chevaux_trait[Aliment],0)),0),0)*SUM(TotalChevauxTraitAdultes)*21)</f>
        <v>0</v>
      </c>
      <c r="FF150" s="1282">
        <f t="array" ref="FF150">IF(OR(ChoixRationHivernaleComplèteChevauxTrait=OUI,ChoixRationHivernaleComplèteChevauxTrait="",ChoixChevauxTraitPréHiver=NON),0,IFERROR(IF(OR(AND(INDEX(Règles_chevaux_trait[Specificite],MATCH(RationHivernaleAuPréChevauxTrait&amp;$FD150,Règles_chevaux_trait[Ration]&amp;Règles_chevaux_trait[Aliment],0))="s1",IF($FD150=Spécificité1ChevauxTrait,1)),
AND(INDEX(Règles_chevaux_trait[Specificite],MATCH(RationHivernaleAuPréChevauxTrait&amp;$FD150,Règles_chevaux_trait[Ration]&amp;Règles_chevaux_trait[Aliment],0))="s2",IF($FD150=Spécificité2ChevauxTrait,1)),
INDEX(Règles_chevaux_trait[Specificite],MATCH(RationHivernaleAuPréChevauxTrait&amp;$FD150,Règles_chevaux_trait[Ration]&amp;Règles_chevaux_trait[Aliment],0))="c"),
INDEX(Règles_chevaux_trait[Valeur 24-36],MATCH(RationHivernaleAuPréChevauxTrait&amp;$FD150,Règles_chevaux_trait[Ration]&amp;Règles_chevaux_trait[Aliment],0)),0),0)*SUM(TotalChevauxTrait_24_36mois)*21)</f>
        <v>0</v>
      </c>
      <c r="FG150" s="1282">
        <f t="array" ref="FG150">IF(OR(ChoixRationHivernaleComplèteChevauxTrait=OUI,ChoixRationHivernaleComplèteChevauxTrait="",ChoixChevauxTraitPréHiver=NON),0,IFERROR(IF(OR(AND(INDEX(Règles_chevaux_trait[Specificite],MATCH(RationHivernaleAuPréChevauxTrait&amp;$FD150,Règles_chevaux_trait[Ration]&amp;Règles_chevaux_trait[Aliment],0))="s1",IF($FD150=Spécificité1ChevauxTrait,1)),
AND(INDEX(Règles_chevaux_trait[Specificite],MATCH(RationHivernaleAuPréChevauxTrait&amp;$FD150,Règles_chevaux_trait[Ration]&amp;Règles_chevaux_trait[Aliment],0))="s2",IF($FD150=Spécificité2ChevauxTrait,1)),
INDEX(Règles_chevaux_trait[Specificite],MATCH(RationHivernaleAuPréChevauxTrait&amp;$FD150,Règles_chevaux_trait[Ration]&amp;Règles_chevaux_trait[Aliment],0))="c"),
INDEX(Règles_chevaux_trait[Valeur 12-24],MATCH(RationHivernaleAuPréChevauxTrait&amp;$FD150,Règles_chevaux_trait[Ration]&amp;Règles_chevaux_trait[Aliment],0)),0),0)*SUM(TotalChevauxTrait_12_24mois)*21)</f>
        <v>0</v>
      </c>
      <c r="FH150" s="1285">
        <f t="array" ref="FH150">IF(OR(ChoixRationHivernaleComplèteChevauxTrait=OUI,ChoixRationHivernaleComplèteChevauxTrait="",ChoixChevauxTraitPréHiver=NON),0,IFERROR(IF(OR(AND(INDEX(Règles_chevaux_trait[Specificite],MATCH(RationHivernaleAuPréChevauxTrait&amp;$FD150,Règles_chevaux_trait[Ration]&amp;Règles_chevaux_trait[Aliment],0))="s1",IF($FD150=Spécificité1ChevauxTrait,1)),
AND(INDEX(Règles_chevaux_trait[Specificite],MATCH(RationHivernaleAuPréChevauxTrait&amp;$FD150,Règles_chevaux_trait[Ration]&amp;Règles_chevaux_trait[Aliment],0))="s2",IF($FD150=Spécificité2ChevauxTrait,1)),
INDEX(Règles_chevaux_trait[Specificite],MATCH(RationHivernaleAuPréChevauxTrait&amp;$FD150,Règles_chevaux_trait[Ration]&amp;Règles_chevaux_trait[Aliment],0))="c"),
INDEX(Règles_chevaux_trait[Valeur 0-12],MATCH(RationHivernaleAuPréChevauxTrait&amp;$FD150,Règles_chevaux_trait[Ration]&amp;Règles_chevaux_trait[Aliment],0)),0),0)*SUM(TotalPoulainsTrait)*21)</f>
        <v>0</v>
      </c>
      <c r="FI150" s="1285">
        <f t="shared" si="53"/>
        <v>0</v>
      </c>
      <c r="FJ150" s="1345"/>
      <c r="FK150" s="1345"/>
      <c r="FL150" s="1345"/>
      <c r="FM150" s="1321"/>
      <c r="FN150" s="1083" t="str">
        <f t="shared" si="54"/>
        <v>concentré jeunes porcins</v>
      </c>
      <c r="FO150" s="1283">
        <f t="array" ref="FO150">IF(OR(ChoixRationHivernaleComplètePoneys=OUI,ChoixRationHivernaleComplètePoneys="",ChoixPoneysPréHiver=NON),0,IFERROR(IF(OR(AND(INDEX(Règles_poneys[Specificite],MATCH(RationHivernaleAuPréPoneys&amp;$FN150,Règles_poneys[Ration]&amp;Règles_poneys[Aliment],0))="s1",IF($FN150=Spécificité1Poneys,1)),
AND(INDEX(Règles_poneys[Specificite],MATCH(RationHivernaleAuPréPoneys&amp;$FN150,Règles_poneys[Ration]&amp;Règles_poneys[Aliment],0))="s2",IF($FN150=Spécificité2Poneys,1)),
INDEX(Règles_poneys[Specificite],MATCH(RationHivernaleAuPréPoneys&amp;$FN150,Règles_poneys[Ration]&amp;Règles_poneys[Aliment],0))="c"),
INDEX(Règles_poneys[Valeur 36 et plus],MATCH(RationHivernaleAuPréPoneys&amp;$FN150,Règles_poneys[Ration]&amp;Règles_poneys[Aliment],0)),0),0)*SUM(TotalPoneysAdultes)*21)</f>
        <v>0</v>
      </c>
      <c r="FP150" s="1283">
        <f t="array" ref="FP150">IF(OR(ChoixRationHivernaleComplètePoneys=OUI,ChoixRationHivernaleComplètePoneys="",ChoixPoneysPréHiver=NON),0,IFERROR(IF(OR(AND(INDEX(Règles_poneys[Specificite],MATCH(RationHivernaleAuPréPoneys&amp;$FN150,Règles_poneys[Ration]&amp;Règles_poneys[Aliment],0))="s1",IF($FN150=Spécificité1Poneys,1)),
AND(INDEX(Règles_poneys[Specificite],MATCH(RationHivernaleAuPréPoneys&amp;$FN150,Règles_poneys[Ration]&amp;Règles_poneys[Aliment],0))="s2",IF($FN150=Spécificité2Poneys,1)),
INDEX(Règles_poneys[Specificite],MATCH(RationHivernaleAuPréPoneys&amp;$FN150,Règles_poneys[Ration]&amp;Règles_poneys[Aliment],0))="c"),
INDEX(Règles_poneys[Valeur 24-36],MATCH(RationHivernaleAuPréPoneys&amp;$FN150,Règles_poneys[Ration]&amp;Règles_poneys[Aliment],0)),0),0)*SUM(TotalPoneys_24_36mois)*21)</f>
        <v>0</v>
      </c>
      <c r="FQ150" s="1283">
        <f t="array" ref="FQ150">IF(OR(ChoixRationHivernaleComplètePoneys=OUI,ChoixRationHivernaleComplètePoneys="",ChoixPoneysPréHiver=NON),0,IFERROR(IF(OR(AND(INDEX(Règles_poneys[Specificite],MATCH(RationHivernaleAuPréPoneys&amp;$FN150,Règles_poneys[Ration]&amp;Règles_poneys[Aliment],0))="s1",IF($FN150=Spécificité1Poneys,1)),
AND(INDEX(Règles_poneys[Specificite],MATCH(RationHivernaleAuPréPoneys&amp;$FN150,Règles_poneys[Ration]&amp;Règles_poneys[Aliment],0))="s2",IF($FN150=Spécificité2Poneys,1)),
INDEX(Règles_poneys[Specificite],MATCH(RationHivernaleAuPréPoneys&amp;$FN150,Règles_poneys[Ration]&amp;Règles_poneys[Aliment],0))="c"),
INDEX(Règles_poneys[Valeur 12-24],MATCH(RationHivernaleAuPréPoneys&amp;$FN150,Règles_poneys[Ration]&amp;Règles_poneys[Aliment],0)),0),0)*SUM(TotalPoneys_12_24mois)*21)</f>
        <v>0</v>
      </c>
      <c r="FR150" s="1286">
        <f t="array" ref="FR150">IF(OR(ChoixRationHivernaleComplètePoneys=OUI,ChoixRationHivernaleComplètePoneys="",ChoixPoneysPréHiver=NON),0,IFERROR(IF(OR(AND(INDEX(Règles_poneys[Specificite],MATCH(RationHivernaleAuPréPoneys&amp;$FN150,Règles_poneys[Ration]&amp;Règles_poneys[Aliment],0))="s1",IF($FN150=Spécificité1Poneys,1)),
AND(INDEX(Règles_poneys[Specificite],MATCH(RationHivernaleAuPréPoneys&amp;$FN150,Règles_poneys[Ration]&amp;Règles_poneys[Aliment],0))="s2",IF($FN150=Spécificité2Poneys,1)),
INDEX(Règles_poneys[Specificite],MATCH(RationHivernaleAuPréPoneys&amp;$FN150,Règles_poneys[Ration]&amp;Règles_poneys[Aliment],0))="c"),
INDEX(Règles_poneys[Valeur 0-12],MATCH(RationHivernaleAuPréPoneys&amp;$FN150,Règles_poneys[Ration]&amp;Règles_poneys[Aliment],0)),0),0)*SUM(TotalPoulainsPoneys)*21)</f>
        <v>0</v>
      </c>
      <c r="FS150" s="1286">
        <f t="shared" si="52"/>
        <v>0</v>
      </c>
      <c r="FT150" s="1345"/>
      <c r="FU150" s="1345"/>
      <c r="FV150" s="1345"/>
      <c r="FW150" s="1082" t="str">
        <f t="shared" si="49"/>
        <v>Foin</v>
      </c>
      <c r="FX150" s="1282">
        <f t="array" ref="FX150">SUM((IF(QualitéAlimentsGavageOison_0_1_mois=BONNE,VLOOKUP("Foin",AlimentsGavageOies[],5,FALSE),0)+(IF(QualitéAlimentsGavageCaneton_0_1_mois=BONNE,VLOOKUP("Foin",AlimentsGavageCanards[],5,FALSE),0)+(IF(QualitéAlimentsGavageOison_1_2_mois=BONNE,VLOOKUP("Foin",AlimentsGavageOies[],4,FALSE),0)+(IF(QualitéAlimentsGavageCaneton_1_2_mois=BONNE,VLOOKUP("Foin",AlimentsGavageCanards[],4,FALSE),0)+(IF(QualitéAlimentsGavageOison_2_3_mois=BONNE,VLOOKUP("Foin",AlimentsGavageOies[],3,FALSE),0)+(IF(QualitéAlimentsGavageCaneton_2_3_mois=BONNE,VLOOKUP("Foin",AlimentsGavageCanards[],3,FALSE),0)+(IF(QualitéAlimentsGavageJeunesOies=BONNE,VLOOKUP("Foin",AlimentsGavageOies[],2,FALSE),0)+(IF(QualitéAlimentsGavageJeuneCanard=BONNE,VLOOKUP("Foin",AlimentsGavageCanards[],2,FALSE),0))))))))))</f>
        <v>0</v>
      </c>
      <c r="FY150" s="1282">
        <f t="array" ref="FY150">SUM((IF(QualitéAlimentsGavageOison_0_1_mois=MOYENNE,VLOOKUP("Foin",AlimentsGavageOies[],5,FALSE),0)+(IF(QualitéAlimentsGavageCaneton_0_1_mois=MOYENNE,VLOOKUP("Foin",AlimentsGavageCanards[],5,FALSE),0)+(IF(QualitéAlimentsGavageOison_1_2_mois=MOYENNE,VLOOKUP("Foin",AlimentsGavageOies[],4,FALSE),0)+(IF(QualitéAlimentsGavageCaneton_1_2_mois=MOYENNE,VLOOKUP("Foin",AlimentsGavageCanards[],4,FALSE),0)+(IF(QualitéAlimentsGavageOison_2_3_mois=MOYENNE,VLOOKUP("Foin",AlimentsGavageOies[],3,FALSE),0)+(IF(QualitéAlimentsGavageCaneton_2_3_mois=MOYENNE,VLOOKUP("Foin",AlimentsGavageCanards[],3,FALSE),0)+(IF(QualitéAlimentsGavageJeunesOies=MOYENNE,VLOOKUP("Foin",AlimentsGavageOies[],2,FALSE),0)+(IF(QualitéAlimentsGavageJeuneCanard=MOYENNE,VLOOKUP("Foin",AlimentsGavageCanards[],2,FALSE),0))))))))))</f>
        <v>0</v>
      </c>
      <c r="FZ150" s="1282">
        <f t="array" ref="FZ150">SUM((IF(QualitéAlimentsGavageOison_0_1_mois=MAUVAISE,VLOOKUP("Foin",AlimentsGavageOies[],5,FALSE),0)+(IF(QualitéAlimentsGavageCaneton_0_1_mois=MAUVAISE,VLOOKUP("Foin",AlimentsGavageCanards[],5,FALSE),0)+(IF(QualitéAlimentsGavageOison_1_2_mois=MAUVAISE,VLOOKUP("Foin",AlimentsGavageOies[],4,FALSE),0)+(IF(QualitéAlimentsGavageCaneton_1_2_mois=MAUVAISE,VLOOKUP("Foin",AlimentsGavageCanards[],4,FALSE),0)+(IF(QualitéAlimentsGavageOison_2_3_mois=MAUVAISE,VLOOKUP("Foin",AlimentsGavageOies[],3,FALSE),0)+(IF(QualitéAlimentsGavageCaneton_2_3_mois=MAUVAISE,VLOOKUP("Foin",AlimentsGavageCanards[],3,FALSE),0)+(IF(QualitéAlimentsGavageJeunesOies=MAUVAISE,VLOOKUP("Foin",AlimentsGavageOies[],2,FALSE),0)+(IF(QualitéAlimentsGavageJeuneCanard=MAUVAISE,VLOOKUP("Foin",AlimentsGavageCanards[],2,FALSE),0))))))))))</f>
        <v>0</v>
      </c>
      <c r="GA150" s="1345"/>
      <c r="GB150" s="1345"/>
      <c r="GC150" s="1321"/>
      <c r="GD150" s="1321"/>
      <c r="GE150" s="1321"/>
      <c r="GF150" s="1321"/>
      <c r="GG150" s="1321" t="s">
        <v>1349</v>
      </c>
      <c r="GH150" s="1321" t="s">
        <v>1349</v>
      </c>
      <c r="GI150" s="1321" t="s">
        <v>1349</v>
      </c>
      <c r="GJ150" s="1321" t="s">
        <v>1349</v>
      </c>
      <c r="GK150" s="1321" t="s">
        <v>1349</v>
      </c>
      <c r="GL150" s="1321" t="s">
        <v>1349</v>
      </c>
      <c r="GM150" s="1321" t="s">
        <v>1349</v>
      </c>
      <c r="GN150" s="1321" t="s">
        <v>1349</v>
      </c>
      <c r="GO150" s="1321" t="s">
        <v>1349</v>
      </c>
      <c r="GP150" s="1321" t="s">
        <v>1349</v>
      </c>
      <c r="GQ150" s="1321" t="s">
        <v>1349</v>
      </c>
      <c r="GR150" s="1321" t="s">
        <v>1349</v>
      </c>
      <c r="GS150" s="1321" t="s">
        <v>1349</v>
      </c>
      <c r="GT150" s="1321" t="s">
        <v>1349</v>
      </c>
      <c r="GU150" s="1321" t="s">
        <v>1349</v>
      </c>
      <c r="GV150" s="1321" t="s">
        <v>1349</v>
      </c>
      <c r="GW150" s="1321"/>
      <c r="GX150" s="1321"/>
      <c r="GY150" s="1321"/>
      <c r="GZ150" s="1321"/>
      <c r="HA150" s="1321"/>
      <c r="HB150" s="1321"/>
      <c r="HC150" s="1321"/>
      <c r="HD150" s="1321"/>
      <c r="HE150" s="1321"/>
      <c r="HF150" s="1321"/>
      <c r="HG150" s="1321"/>
      <c r="HH150" s="1321"/>
      <c r="HI150" s="1321"/>
      <c r="HJ150" s="1321"/>
      <c r="HK150" s="1321"/>
      <c r="HL150" s="1321"/>
      <c r="HM150" s="1321"/>
      <c r="HN150" s="1321"/>
      <c r="HO150" s="1321"/>
      <c r="HP150" s="1321"/>
      <c r="HQ150" s="1321"/>
      <c r="HR150" s="1321"/>
      <c r="HS150" s="1321"/>
      <c r="HT150" s="1321"/>
      <c r="HU150" s="1321"/>
      <c r="HV150" s="1321"/>
      <c r="HW150" s="1321"/>
      <c r="HX150" s="1321"/>
      <c r="HY150" s="1321"/>
      <c r="HZ150" s="1321"/>
      <c r="IA150" s="1321"/>
      <c r="IB150" s="1321"/>
      <c r="IC150" s="1321"/>
      <c r="ID150" s="1321"/>
      <c r="IE150" s="1321"/>
      <c r="IF150" s="1321"/>
      <c r="IG150" s="1321"/>
      <c r="IH150" s="1321"/>
      <c r="II150" s="1321"/>
      <c r="IJ150" s="1321"/>
      <c r="IK150" s="1321"/>
      <c r="IL150" s="1321"/>
      <c r="IM150" s="1321"/>
      <c r="IN150" s="1368"/>
    </row>
    <row r="151" spans="1:248" ht="12.75" customHeight="1" x14ac:dyDescent="0.2">
      <c r="A151" s="1307" t="s">
        <v>609</v>
      </c>
      <c r="B151" s="1209">
        <v>10</v>
      </c>
      <c r="C151" s="1321"/>
      <c r="D151" s="1321"/>
      <c r="E151" s="1321"/>
      <c r="F151" s="1149" t="s">
        <v>503</v>
      </c>
      <c r="G151" s="1149">
        <v>9</v>
      </c>
      <c r="H151" s="1321"/>
      <c r="I151" s="1077" t="s">
        <v>1877</v>
      </c>
      <c r="J151" s="1078" t="s">
        <v>1867</v>
      </c>
      <c r="K151" s="1078" t="str">
        <f>K139</f>
        <v>1 traite/jour</v>
      </c>
      <c r="L151" s="1078" t="str">
        <f>L139</f>
        <v>2 traites/jour</v>
      </c>
      <c r="M151" s="1078" t="str">
        <f>M139</f>
        <v>3 traites/jour</v>
      </c>
      <c r="N151" s="1078" t="str">
        <f>N139</f>
        <v>4 traites/jour</v>
      </c>
      <c r="O151" s="1078" t="s">
        <v>1852</v>
      </c>
      <c r="P151" s="1078" t="s">
        <v>1853</v>
      </c>
      <c r="Q151" s="1078" t="s">
        <v>1854</v>
      </c>
      <c r="R151" s="1321"/>
      <c r="S151" s="1321"/>
      <c r="T151" s="1321"/>
      <c r="U151" s="1321"/>
      <c r="V151" s="1321"/>
      <c r="W151" s="1321"/>
      <c r="X151" s="1321"/>
      <c r="Y151" s="1321"/>
      <c r="Z151" s="1321"/>
      <c r="AA151" s="1321"/>
      <c r="AB151" s="1321"/>
      <c r="AC151" s="1321"/>
      <c r="AD151" s="1321"/>
      <c r="AE151" s="1321"/>
      <c r="AF151" s="1321"/>
      <c r="AG151" s="1321"/>
      <c r="AH151" s="1321"/>
      <c r="AI151" s="1321"/>
      <c r="AJ151" s="1321"/>
      <c r="AK151" s="1321"/>
      <c r="AL151" s="1321"/>
      <c r="AM151" s="1321"/>
      <c r="AN151" s="1321"/>
      <c r="AO151" s="1321"/>
      <c r="AP151" s="1321"/>
      <c r="AQ151" s="1321"/>
      <c r="AR151" s="1321"/>
      <c r="AS151" s="1321"/>
      <c r="AT151" s="1321"/>
      <c r="AU151" s="1321"/>
      <c r="AV151" s="1321"/>
      <c r="AW151" s="1321"/>
      <c r="AX151" s="1321"/>
      <c r="AY151" s="1321"/>
      <c r="AZ151" s="1321"/>
      <c r="BA151" s="1321"/>
      <c r="BB151" s="1236" t="s">
        <v>731</v>
      </c>
      <c r="BC151" s="1190" t="s">
        <v>672</v>
      </c>
      <c r="BD151" s="1190" t="s">
        <v>1253</v>
      </c>
      <c r="BE151" s="1237">
        <v>7.2</v>
      </c>
      <c r="BF151" s="1237">
        <v>6</v>
      </c>
      <c r="BG151" s="1237">
        <v>4</v>
      </c>
      <c r="BH151" s="1237">
        <v>2</v>
      </c>
      <c r="BI151" s="1237">
        <v>1.2</v>
      </c>
      <c r="BJ151" s="1237">
        <v>0.6</v>
      </c>
      <c r="BK151" s="1238">
        <v>0</v>
      </c>
      <c r="BL151" s="1348"/>
      <c r="BM151" s="1075"/>
      <c r="BN151" s="1269"/>
      <c r="BO151" s="1269"/>
      <c r="BP151" s="1269"/>
      <c r="BQ151" s="1321"/>
      <c r="BR151" s="1321"/>
      <c r="BS151" s="1321"/>
      <c r="BT151" s="1321"/>
      <c r="BU151" s="1321"/>
      <c r="BV151" s="1345"/>
      <c r="BW151" s="1345"/>
      <c r="BX151" s="1075" t="str">
        <f t="shared" si="57"/>
        <v>concentré jeunes bovins</v>
      </c>
      <c r="BY151" s="1075">
        <f t="array" ref="BY151">IF(ChoixRationComplèteCaprins=OUI,0,IFERROR(IF(OR(AND(INDEX(Règles_caprins[Specificite],MATCH(ChoixRationCaprins&amp;$BX151,Règles_caprins[Ration]&amp;Règles_caprins[Aliment],0))="s1",IF($BX151=Spécificité1Caprins,1)),
INDEX(Règles_caprins[Specificite],MATCH(ChoixRationCaprins&amp;$BX151,Règles_caprins[Ration]&amp;Règles_caprins[Aliment],0))="c"),
INDEX(Règles_caprins[Valeur 12 et plus],MATCH(ChoixRationCaprins&amp;$BX151,Règles_caprins[Ration]&amp;Règles_caprins[Aliment],0)),0),0)*TotalChèvres*SUM(NbreJoursNourrirCaprins))</f>
        <v>0</v>
      </c>
      <c r="BZ151" s="1075">
        <f t="array" ref="BZ151">IF(ChoixRationComplèteCaprins=OUI,0,IFERROR(IF(OR(AND(INDEX(Règles_caprins[Specificite],MATCH(ChoixRationCaprins&amp;$BX151,Règles_caprins[Ration]&amp;Règles_caprins[Aliment],0))="s1",IF($BX151=Spécificité1Caprins,1)),
INDEX(Règles_caprins[Specificite],MATCH(ChoixRationCaprins&amp;$BX151,Règles_caprins[Ration]&amp;Règles_caprins[Aliment],0))="c"),
INDEX(Règles_caprins[Valeur 6-12],MATCH(ChoixRationCaprins&amp;$BX151,Règles_caprins[Ration]&amp;Règles_caprins[Aliment],0)),0),0)*jeune_chèvre_6_12_mois*SUM(NbreJoursNourrirCaprins))</f>
        <v>0</v>
      </c>
      <c r="CA151" s="1075">
        <f t="array" ref="CA151">IF(ChoixRationComplèteCaprins=OUI,0,IFERROR(IF(OR(AND(INDEX(Règles_caprins[Specificite],MATCH(ChoixRationCaprins&amp;$BX151,Règles_caprins[Ration]&amp;Règles_caprins[Aliment],0))="s1",IF($BX151=Spécificité1Caprins,1)),
INDEX(Règles_caprins[Specificite],MATCH(ChoixRationCaprins&amp;$BX151,Règles_caprins[Ration]&amp;Règles_caprins[Aliment],0))="c"),
INDEX(Règles_caprins[Valeur 3-6],MATCH(ChoixRationCaprins&amp;$BX151,Règles_caprins[Ration]&amp;Règles_caprins[Aliment],0)),0),0)*chevrette_3_6_mois*SUM(NbreJoursNourrirCaprins))</f>
        <v>0</v>
      </c>
      <c r="CB151" s="1075">
        <f t="array" ref="CB151">IF(ChoixRationComplèteCaprins=OUI,0,IFERROR(IF(OR(AND(INDEX(Règles_caprins[Specificite],MATCH(ChoixRationCaprins&amp;$BX151,Règles_caprins[Ration]&amp;Règles_caprins[Aliment],0))="s1",IF($BX151=Spécificité1Caprins,1)),
INDEX(Règles_caprins[Specificite],MATCH(ChoixRationCaprins&amp;$BX151,Règles_caprins[Ration]&amp;Règles_caprins[Aliment],0))="c"),
INDEX(Règles_caprins[Valeur 0-3],MATCH(ChoixRationCaprins&amp;$BX151,Règles_caprins[Ration]&amp;Règles_caprins[Aliment],0)),0),0)*chevrette_0_3_mois*SUM(NbreJoursNourrirCaprins))</f>
        <v>0</v>
      </c>
      <c r="CC151" s="1075">
        <f t="shared" si="56"/>
        <v>0</v>
      </c>
      <c r="CD151" s="1345"/>
      <c r="CE151" s="1345"/>
      <c r="CF151" s="1345"/>
      <c r="CG151" s="1345"/>
      <c r="CH151" s="1345"/>
      <c r="CI151" s="1321"/>
      <c r="CJ151" s="1076" t="str">
        <f t="shared" si="51"/>
        <v>Epinard</v>
      </c>
      <c r="CK151" s="1267">
        <f t="array" ref="CK151">SUM((IF(QualitéAlimentsPorceletMâle_0_1_mois=BONNE,VLOOKUP("Epinard",AlimentsRationPorcinsMâles[],6,FALSE),0)+(IF(QualitéAlimentsPorceletFemelle_0_1_mois=BONNE,VLOOKUP("Epinard",AlimentsRationPorcinsFemelles[],6,FALSE),0)+(IF(QualitéAlimentsPorceletMâle_1_3_mois=BONNE,VLOOKUP("Epinard",AlimentsRationPorcinsMâles[],5,FALSE),0)+(IF(QualitéAlimentsPorceletFemelle_1_3_mois=BONNE,VLOOKUP("Epinard",AlimentsRationPorcinsFemelles[],5,FALSE),0)+(IF(QualitéAlimentsJeuneVerrat_3_6_mois=BONNE,VLOOKUP("Epinard",AlimentsRationPorcinsMâles[],4,FALSE),0)+(IF(QualitéAlimentsJeuneTruie_3_6_mois=BONNE,VLOOKUP("Epinard",AlimentsRationPorcinsFemelles[],4,FALSE),0)+(IF(QualitéAlimentsJeuneVerrat_6_12_mois=BONNE,VLOOKUP("Epinard",AlimentsRationPorcinsMâles[],3,FALSE),0)+(IF(QualitéAlimentsJeuneTruie_6_12_mois=BONNE,VLOOKUP("Epinard",AlimentsRationPorcinsFemelles[],3,FALSE),0)+(IF(QualitéAlimentsVerrat=BONNE,VLOOKUP("Epinard",AlimentsRationPorcinsMâles[],2,FALSE),0)+(IF(QualitéAlimentsTruie=BONNE,VLOOKUP("Epinard",AlimentsRationPorcinsFemelles[],2,FALSE),0))))))))))))</f>
        <v>0</v>
      </c>
      <c r="CL151" s="1267">
        <f t="array" ref="CL151">SUM((IF(QualitéAlimentsPorceletMâle_0_1_mois=MOYENNE,VLOOKUP("Epinard",AlimentsRationPorcinsMâles[],6,FALSE),0)+(IF(QualitéAlimentsPorceletFemelle_0_1_mois=MOYENNE,VLOOKUP("Epinard",AlimentsRationPorcinsFemelles[],6,FALSE),0)+(IF(QualitéAlimentsPorceletMâle_1_3_mois=MOYENNE,VLOOKUP("Epinard",AlimentsRationPorcinsMâles[],5,FALSE),0)+(IF(QualitéAlimentsPorceletFemelle_1_3_mois=MOYENNE,VLOOKUP("Epinard",AlimentsRationPorcinsFemelles[],5,FALSE),0)+(IF(QualitéAlimentsJeuneVerrat_3_6_mois=MOYENNE,VLOOKUP("Epinard",AlimentsRationPorcinsMâles[],4,FALSE),0)+(IF(QualitéAlimentsJeuneTruie_3_6_mois=MOYENNE,VLOOKUP("Epinard",AlimentsRationPorcinsFemelles[],4,FALSE),0)+(IF(QualitéAlimentsJeuneVerrat_6_12_mois=MOYENNE,VLOOKUP("Epinard",AlimentsRationPorcinsMâles[],3,FALSE),0)+(IF(QualitéAlimentsJeuneTruie_6_12_mois=MOYENNE,VLOOKUP("Epinard",AlimentsRationPorcinsFemelles[],3,FALSE),0)+(IF(QualitéAlimentsVerrat=MOYENNE,VLOOKUP("Epinard",AlimentsRationPorcinsMâles[],2,FALSE),0)+(IF(QualitéAlimentsTruie=MOYENNE,VLOOKUP("Epinard",AlimentsRationPorcinsFemelles[],2,FALSE),0))))))))))))</f>
        <v>0</v>
      </c>
      <c r="CM151" s="1267">
        <f t="array" ref="CM151">SUM((IF(QualitéAlimentsPorceletMâle_0_1_mois=MAUVAISE,VLOOKUP("Epinard",AlimentsRationPorcinsMâles[],6,FALSE),0)+(IF(QualitéAlimentsPorceletFemelle_0_1_mois=MAUVAISE,VLOOKUP("Epinard",AlimentsRationPorcinsFemelles[],6,FALSE),0)+(IF(QualitéAlimentsPorceletMâle_1_3_mois=MAUVAISE,VLOOKUP("Epinard",AlimentsRationPorcinsMâles[],5,FALSE),0)+(IF(QualitéAlimentsPorceletFemelle_1_3_mois=MAUVAISE,VLOOKUP("Epinard",AlimentsRationPorcinsFemelles[],5,FALSE),0)+(IF(QualitéAlimentsJeuneVerrat_3_6_mois=MAUVAISE,VLOOKUP("Epinard",AlimentsRationPorcinsMâles[],4,FALSE),0)+(IF(QualitéAlimentsJeuneTruie_3_6_mois=MAUVAISE,VLOOKUP("Epinard",AlimentsRationPorcinsFemelles[],4,FALSE),0)+(IF(QualitéAlimentsJeuneVerrat_6_12_mois=MAUVAISE,VLOOKUP("Epinard",AlimentsRationPorcinsMâles[],3,FALSE),0)+(IF(QualitéAlimentsJeuneTruie_6_12_mois=MAUVAISE,VLOOKUP("Epinard",AlimentsRationPorcinsFemelles[],3,FALSE),0)+(IF(QualitéAlimentsVerrat=MAUVAISE,VLOOKUP("Epinard",AlimentsRationPorcinsMâles[],2,FALSE),0)+(IF(QualitéAlimentsTruie=MAUVAISE,VLOOKUP("Epinard",AlimentsRationPorcinsFemelles[],2,FALSE),0))))))))))))</f>
        <v>0</v>
      </c>
      <c r="CN151" s="1321"/>
      <c r="CO151" s="1320"/>
      <c r="CP151" s="1345"/>
      <c r="CQ151" s="1321"/>
      <c r="CR151" s="1321"/>
      <c r="CS151" s="809" t="s">
        <v>1369</v>
      </c>
      <c r="CT151" s="810">
        <f>IF(ChoixPaillageLapins=OUI,SUBTOTAL(109,LitièreLapins[litière]),0)</f>
        <v>0</v>
      </c>
      <c r="CU151" s="1321"/>
      <c r="CV151" s="1321"/>
      <c r="CW151" s="1321"/>
      <c r="CX151" s="1321"/>
      <c r="CY151" s="1321"/>
      <c r="CZ151" s="1321"/>
      <c r="DA151" s="1321"/>
      <c r="DB151" s="1321"/>
      <c r="DC151" s="1321"/>
      <c r="DD151" s="1321"/>
      <c r="DE151" s="1321"/>
      <c r="DF151" s="1321"/>
      <c r="DG151" s="1075" t="str">
        <f t="shared" si="58"/>
        <v>concentré jeunes bovins</v>
      </c>
      <c r="DH151" s="1269">
        <f t="array" ref="DH151">SUM((IF(QualitéAlimentsPintadeauMâle_0_1_mois=BONNE,VLOOKUP("Concentré jeunes bovins",AlimentsRationPintadesMâles[],4,FALSE),0)+(IF(QualitéAlimentsPintadeauFemelle_0_1_mois=BONNE,VLOOKUP("Concentré jeunes bovins",AlimentsRationPintadesFemelles[],4,FALSE),0)+(IF(QualitéAlimentsJeunePintadeMâle=BONNE,VLOOKUP("Concentré jeunes bovins",AlimentsRationPintadesMâles[],3,FALSE),0)+(IF(QualitéAlimentsJeunePintadeFemelle=BONNE,VLOOKUP("Concentré jeunes bovins",AlimentsRationPintadesFemelles[],3,FALSE),0)+(IF(QualitéAlimentsPintadeMâle=BONNE,VLOOKUP("Concentré jeunes bovins",AlimentsRationPintadesMâles[],2,FALSE),0)+(IF(QualitéAlimentsPintadeFemelle=BONNE,VLOOKUP("Concentré jeunes bovins",AlimentsRationPintadesFemelles[],2,FALSE),0))))))))</f>
        <v>0</v>
      </c>
      <c r="DI151" s="1269">
        <f t="array" ref="DI151">SUM((IF(QualitéAlimentsPintadeauMâle_0_1_mois=MOYENNE,VLOOKUP("Concentré jeunes bovins",AlimentsRationPintadesMâles[],4,FALSE),0)+(IF(QualitéAlimentsPintadeauFemelle_0_1_mois=MOYENNE,VLOOKUP("Concentré jeunes bovins",AlimentsRationPintadesFemelles[],4,FALSE),0)+(IF(QualitéAlimentsJeunePintadeMâle=MOYENNE,VLOOKUP("Concentré jeunes bovins",AlimentsRationPintadesMâles[],3,FALSE),0)+(IF(QualitéAlimentsJeunePintadeFemelle=MOYENNE,VLOOKUP("Concentré jeunes bovins",AlimentsRationPintadesFemelles[],3,FALSE),0)+(IF(QualitéAlimentsPintadeMâle=MOYENNE,VLOOKUP("Concentré jeunes bovins",AlimentsRationPintadesMâles[],2,FALSE),0)+(IF(QualitéAlimentsPintadeFemelle=MOYENNE,VLOOKUP("Concentré jeunes bovins",AlimentsRationPintadesFemelles[],2,FALSE),0))))))))</f>
        <v>0</v>
      </c>
      <c r="DJ151" s="1269">
        <f t="array" ref="DJ151">SUM((IF(QualitéAlimentsPintadeauMâle_0_1_mois=MAUVAISE,VLOOKUP("Concentré jeunes bovins",AlimentsRationPintadesMâles[],4,FALSE),0)+(IF(QualitéAlimentsPintadeauFemelle_0_1_mois=MAUVAISE,VLOOKUP("Concentré jeunes bovins",AlimentsRationPintadesFemelles[],4,FALSE),0)+(IF(QualitéAlimentsJeunePintadeMâle=MAUVAISE,VLOOKUP("Concentré jeunes bovins",AlimentsRationPintadesMâles[],3,FALSE),0)+(IF(QualitéAlimentsJeunePintadeFemelle=MAUVAISE,VLOOKUP("Concentré jeunes bovins",AlimentsRationPintadesFemelles[],3,FALSE),0)+(IF(QualitéAlimentsPintadeMâle=MAUVAISE,VLOOKUP("Concentré jeunes bovins",AlimentsRationPintadesMâles[],2,FALSE),0)+(IF(QualitéAlimentsPintadeFemelle=MAUVAISE,VLOOKUP("Concentré jeunes bovins",AlimentsRationPintadesFemelles[],2,FALSE),0))))))))</f>
        <v>0</v>
      </c>
      <c r="DK151" s="1321"/>
      <c r="DL151" s="1321"/>
      <c r="DM151" s="1321"/>
      <c r="DN151" s="1075" t="s">
        <v>523</v>
      </c>
      <c r="DO151" s="1269">
        <f t="array" ref="DO151">IF(ChoixRationComplèteOvins=OUI,0,IFERROR(IF(OR(AND(INDEX(Règles_ovins[Specificite],MATCH(ChoixRationOvins&amp;$DN151,Règles_ovins[Ration]&amp;Règles_ovins[Aliment],0))="s1",IF($DN151=Spécificité1Ovins,1)),
AND(INDEX(Règles_ovins[Specificite],MATCH(ChoixRationOvins&amp;$DN151,Règles_ovins[Ration]&amp;Règles_ovins[Aliment],0))="s2",IF($DN151=Spécificité2Ovins,1)),
INDEX(Règles_ovins[Specificite],MATCH(ChoixRationOvins&amp;$DN151,Règles_ovins[Ration]&amp;Règles_ovins[Aliment],0))="c"),
INDEX(Règles_ovins[Valeur 12 et plus],MATCH(ChoixRationOvins&amp;$DN151,Règles_ovins[Ration]&amp;Règles_ovins[Aliment],0)),0),0)*IF(ChoixOvinsPréHiver=OUI,SUM(TotalOvinsAdultesRacesLaitières)*NbreJoursNourrirOvins,TotalBéliers*SUM(NbreJoursNourrirOvins)))</f>
        <v>0</v>
      </c>
      <c r="DP151" s="1269">
        <f t="array" ref="DP151">IF(ChoixRationComplèteOvins=OUI,0,IFERROR(IF(OR(AND(INDEX(Règles_ovins[Specificite],MATCH(ChoixRationOvins&amp;$DN151,Règles_ovins[Ration]&amp;Règles_ovins[Aliment],0))="s1",IF($DN151=Spécificité1Ovins,1)),
AND(INDEX(Règles_ovins[Specificite],MATCH(ChoixRationOvins&amp;$DN151,Règles_ovins[Ration]&amp;Règles_ovins[Aliment],0))="s2",IF($DN151=Spécificité2Ovins,1)),
INDEX(Règles_ovins[Specificite],MATCH(ChoixRationOvins&amp;$DN151,Règles_ovins[Ration]&amp;Règles_ovins[Aliment],0))="c"),
INDEX(Règles_ovins[Valeur 6-12],MATCH(ChoixRationOvins&amp;$DN151,Règles_ovins[Ration]&amp;Règles_ovins[Aliment],0)),0),0)*IF(ChoixOvinsPréHiver=OUI,SUM(TotalJeunesOvinsRacesLaitières)*NbreJoursNourrirOvins,TotalJeune_bélier_6_12_mois*SUM(NbreJoursNourrirOvins)))</f>
        <v>0</v>
      </c>
      <c r="DQ151" s="1269">
        <f t="array" ref="DQ151">IF(ChoixRationComplèteOvins=OUI,0,IFERROR(IF(OR(AND(INDEX(Règles_ovins[Specificite],MATCH(ChoixRationOvins&amp;$DN151,Règles_ovins[Ration]&amp;Règles_ovins[Aliment],0))="s1",IF($DN151=Spécificité1Ovins,1)),
AND(INDEX(Règles_ovins[Specificite],MATCH(ChoixRationOvins&amp;$DN151,Règles_ovins[Ration]&amp;Règles_ovins[Aliment],0))="s2",IF($DN151=Spécificité2Ovins,1)),
INDEX(Règles_ovins[Specificite],MATCH(ChoixRationOvins&amp;$DN151,Règles_ovins[Ration]&amp;Règles_ovins[Aliment],0))="c"),
INDEX(Règles_ovins[Valeur 3-6],MATCH(ChoixRationOvins&amp;$DN151,Règles_ovins[Ration]&amp;Règles_ovins[Aliment],0)),0),0)*IF(ChoixOvinsPréHiver=OUI,SUM(TotalOvins_3_6moisRacesLaitières)*NbreJoursNourrirOvins,TotalAgneau_3_6_mois*SUM(NbreJoursNourrirOvins)))</f>
        <v>0</v>
      </c>
      <c r="DR151" s="1269">
        <f t="array" ref="DR151">IF(ChoixRationComplèteOvins=OUI,0,IFERROR(IF(OR(AND(INDEX(Règles_ovins[Specificite],MATCH(ChoixRationOvins&amp;$DN151,Règles_ovins[Ration]&amp;Règles_ovins[Aliment],0))="s1",IF($DN151=Spécificité1Ovins,1)),
AND(INDEX(Règles_ovins[Specificite],MATCH(ChoixRationOvins&amp;$DN151,Règles_ovins[Ration]&amp;Règles_ovins[Aliment],0))="s2",IF($DN151=Spécificité2Ovins,1)),
INDEX(Règles_ovins[Specificite],MATCH(ChoixRationOvins&amp;$DN151,Règles_ovins[Ration]&amp;Règles_ovins[Aliment],0))="c"),
INDEX(Règles_ovins[Valeur 0-3],MATCH(ChoixRationOvins&amp;$DN151,Règles_ovins[Ration]&amp;Règles_ovins[Aliment],0)),0),0)*IF(ChoixOvinsPréHiver=OUI,SUM(TotalOvins_3_6moisRacesLaitières)*NbreJoursNourrirOvins,TotalAgneau_0_3_mois*SUM(NbreJoursNourrirOvins)))</f>
        <v>0</v>
      </c>
      <c r="DS151" s="1280">
        <f t="shared" si="61"/>
        <v>0</v>
      </c>
      <c r="DT151" s="1346"/>
      <c r="DU151" s="1346"/>
      <c r="DV151" s="1321"/>
      <c r="DW151" s="1321"/>
      <c r="DX151" s="1321"/>
      <c r="DY151" s="1321"/>
      <c r="DZ151" s="1321"/>
      <c r="EA151" s="1321"/>
      <c r="EB151" s="1321"/>
      <c r="EC151" s="1321"/>
      <c r="ED151" s="1345"/>
      <c r="EE151" s="1345"/>
      <c r="EF151" s="1321"/>
      <c r="EG151" s="1075" t="str">
        <f t="shared" ref="EG151:EG188" si="63">EG54</f>
        <v>Betterave</v>
      </c>
      <c r="EH151" s="1269">
        <f t="array" ref="EH151">SUM((IF(QualitéAlimentsOisonMâle_0_3_mois=BONNE,VLOOKUP("Betterave",AlimentsRationOiesMâles[],4,FALSE),0)+(IF(QualitéAlimentsOisonFemelle_0_3_mois=BONNE,VLOOKUP("Betterave",AlimentsRationOiesFemelles[],4,FALSE),0)+(IF(QualitéAlimentsJeuneJars=BONNE,VLOOKUP("Betterave",AlimentsRationOiesMâles[],3,FALSE),0)+(IF(QualitéAlimentsJeuneOie=BONNE,VLOOKUP("Betterave",AlimentsRationOiesFemelles[],3,FALSE),0)+(IF(QualitéAlimentsJars=BONNE,VLOOKUP("Betterave",AlimentsRationOiesMâles[],2,FALSE),0)+(IF(QualitéAlimentsOie=BONNE,VLOOKUP("Betterave",AlimentsRationOiesFemelles[],2,FALSE),0))))))))</f>
        <v>0</v>
      </c>
      <c r="EI151" s="1269">
        <f t="array" ref="EI151">SUM((IF(QualitéAlimentsOisonMâle_0_3_mois=MOYENNE,VLOOKUP("Betterave",AlimentsRationOiesMâles[],4,FALSE),0)+(IF(QualitéAlimentsOisonFemelle_0_3_mois=MOYENNE,VLOOKUP("Betterave",AlimentsRationOiesFemelles[],4,FALSE),0)+(IF(QualitéAlimentsJeuneJars=MOYENNE,VLOOKUP("Betterave",AlimentsRationOiesMâles[],3,FALSE),0)+(IF(QualitéAlimentsJeuneOie=MOYENNE,VLOOKUP("Betterave",AlimentsRationOiesFemelles[],3,FALSE),0)+(IF(QualitéAlimentsJars=MOYENNE,VLOOKUP("Betterave",AlimentsRationOiesMâles[],2,FALSE),0)+(IF(QualitéAlimentsOie=MOYENNE,VLOOKUP("Betterave",AlimentsRationOiesFemelles[],2,FALSE),0))))))))</f>
        <v>0</v>
      </c>
      <c r="EJ151" s="1269">
        <f t="array" ref="EJ151">SUM((IF(QualitéAlimentsOisonMâle_0_3_mois=MAUVAISE,VLOOKUP("Betterave",AlimentsRationOiesMâles[],4,FALSE),0)+(IF(QualitéAlimentsOisonFemelle_0_3_mois=MAUVAISE,VLOOKUP("Betterave",AlimentsRationOiesFemelles[],4,FALSE),0)+(IF(QualitéAlimentsJeuneJars=MAUVAISE,VLOOKUP("Betterave",AlimentsRationOiesMâles[],3,FALSE),0)+(IF(QualitéAlimentsJeuneOie=MAUVAISE,VLOOKUP("Betterave",AlimentsRationOiesFemelles[],3,FALSE),0)+(IF(QualitéAlimentsJars=MAUVAISE,VLOOKUP("Betterave",AlimentsRationOiesMâles[],2,FALSE),0)+(IF(QualitéAlimentsOie=MAUVAISE,VLOOKUP("Betterave",AlimentsRationOiesFemelles[],2,FALSE),0))))))))</f>
        <v>0</v>
      </c>
      <c r="EK151" s="1345"/>
      <c r="EL151" s="1345"/>
      <c r="EM151" s="1321"/>
      <c r="EN151" s="1082" t="str">
        <f t="shared" si="62"/>
        <v>Blé</v>
      </c>
      <c r="EO151" s="1282">
        <f t="array" ref="EO151">SUM((IF(QualitéAlimentsCanetonMâle=BONNE,VLOOKUP("Blé",AlimentsRationCanardsMâles,4,FALSE),0)+(IF(QualitéAlimentsCanetonFemelle=BONNE,VLOOKUP("Blé",AlimentsRationCanardsFemelles,4,FALSE),0)+(IF(QualitéAlimentsJeuneCanard=BONNE,VLOOKUP("Blé",AlimentsRationCanardsMâles,3,FALSE),0)+(IF(QualitéAlimentsJeuneCane=BONNE,VLOOKUP("Blé",AlimentsRationCanardsFemelles,3,FALSE),0)+(IF(QualitéAlimentsCanard=BONNE,VLOOKUP("Blé",AlimentsRationCanardsMâles,2,FALSE),0)+(IF(QualitéAlimentsCane=BONNE,VLOOKUP("Blé",AlimentsRationCanardsFemelles,2,FALSE),0))))))))</f>
        <v>0</v>
      </c>
      <c r="EP151" s="1282">
        <f t="array" ref="EP151">SUM((IF(QualitéAlimentsCanetonMâle=MOYENNE,VLOOKUP("Blé",AlimentsRationCanardsMâles,4,FALSE),0)+(IF(QualitéAlimentsCanetonFemelle=MOYENNE,VLOOKUP("Blé",AlimentsRationCanardsFemelles,4,FALSE),0)+(IF(QualitéAlimentsJeuneCanard=MOYENNE,VLOOKUP("Blé",AlimentsRationCanardsMâles,3,FALSE),0)+(IF(QualitéAlimentsJeuneCane=MOYENNE,VLOOKUP("Blé",AlimentsRationCanardsFemelles,3,FALSE),0)+(IF(QualitéAlimentsCanard=MOYENNE,VLOOKUP("Blé",AlimentsRationCanardsMâles,2,FALSE),0)+(IF(QualitéAlimentsCane=MOYENNE,VLOOKUP("Blé",AlimentsRationCanardsFemelles,2,FALSE),0))))))))</f>
        <v>0</v>
      </c>
      <c r="EQ151" s="1282">
        <f t="array" ref="EQ151">SUM((IF(QualitéAlimentsCanetonMâle=MAUVAISE,VLOOKUP("Blé",AlimentsRationCanardsMâles,4,FALSE),0)+(IF(QualitéAlimentsCanetonFemelle=MAUVAISE,VLOOKUP("Blé",AlimentsRationCanardsFemelles,4,FALSE),0)+(IF(QualitéAlimentsJeuneCanard=MAUVAISE,VLOOKUP("Blé",AlimentsRationCanardsMâles,3,FALSE),0)+(IF(QualitéAlimentsJeuneCane=MAUVAISE,VLOOKUP("Blé",AlimentsRationCanardsFemelles,3,FALSE),0)+(IF(QualitéAlimentsCanard=MAUVAISE,VLOOKUP("Blé",AlimentsRationCanardsMâles,2,FALSE),0)+(IF(QualitéAlimentsCane=MAUVAISE,VLOOKUP("Blé",AlimentsRationCanardsFemelles,2,FALSE),0))))))))</f>
        <v>0</v>
      </c>
      <c r="ER151" s="1345"/>
      <c r="ES151" s="1345"/>
      <c r="ET151" s="1321"/>
      <c r="EU151" s="1083" t="str">
        <f t="shared" si="60"/>
        <v>Bouchons luzerne</v>
      </c>
      <c r="EV151" s="1283">
        <f t="array" ref="EV151">IF(OR(ChoixRationHivernaleComplèteChevauxSelle=OUI,ChoixRationHivernaleComplèteChevauxSelle="",ChoixChevauxSellePréHiver=NON),0,IFERROR(IF(OR(AND(INDEX(Règles_chevaux_selle[Specificite],MATCH(RationHivernaleAuPréChevauxSelle&amp;$EU151,Règles_chevaux_selle[Ration]&amp;Règles_chevaux_selle[Aliment],0))="s1",IF($EU151=Spécificité1ChevauxSelle,1)),
AND(INDEX(Règles_chevaux_selle[Specificite],MATCH(RationHivernaleAuPréChevauxSelle&amp;$EU151,Règles_chevaux_selle[Ration]&amp;Règles_chevaux_selle[Aliment],0))="s2",IF($EU151=Spécificité2ChevauxSelle,1)),
INDEX(Règles_chevaux_selle[Specificite],MATCH(RationHivernaleAuPréChevauxSelle&amp;$EU151,Règles_chevaux_selle[Ration]&amp;Règles_chevaux_selle[Aliment],0))="c"),
INDEX(Règles_chevaux_selle[Valeur 36 et plus],MATCH(RationHivernaleAuPréChevauxSelle&amp;$EU151,Règles_chevaux_selle[Ration]&amp;Règles_chevaux_selle[Aliment],0)),0),0)*SUM(TotalChevauxSelleAdultes)*21)</f>
        <v>0</v>
      </c>
      <c r="EW151" s="1283">
        <f t="array" ref="EW151">IF(OR(ChoixRationHivernaleComplèteChevauxSelle=OUI,ChoixRationHivernaleComplèteChevauxSelle="",ChoixChevauxSellePréHiver=NON),0,IFERROR(IF(OR(AND(INDEX(Règles_chevaux_selle[Specificite],MATCH(RationHivernaleAuPréChevauxSelle&amp;$EU151,Règles_chevaux_selle[Ration]&amp;Règles_chevaux_selle[Aliment],0))="s1",IF($EU151=Spécificité1ChevauxSelle,1)),
AND(INDEX(Règles_chevaux_selle[Specificite],MATCH(RationHivernaleAuPréChevauxSelle&amp;$EU151,Règles_chevaux_selle[Ration]&amp;Règles_chevaux_selle[Aliment],0))="s2",IF($EU151=Spécificité2ChevauxSelle,1)),
INDEX(Règles_chevaux_selle[Specificite],MATCH(RationHivernaleAuPréChevauxSelle&amp;$EU151,Règles_chevaux_selle[Ration]&amp;Règles_chevaux_selle[Aliment],0))="c"),
INDEX(Règles_chevaux_selle[Valeur 24-36],MATCH(RationHivernaleAuPréChevauxSelle&amp;$EU151,Règles_chevaux_selle[Ration]&amp;Règles_chevaux_selle[Aliment],0)),0),0)*SUM(TotalChevauxSelle_24_36mois)*21)</f>
        <v>0</v>
      </c>
      <c r="EX151" s="1283">
        <f t="array" ref="EX151">IF(OR(ChoixRationHivernaleComplèteChevauxSelle=OUI,ChoixRationHivernaleComplèteChevauxSelle="",ChoixChevauxSellePréHiver=NON),0,IFERROR(IF(OR(AND(INDEX(Règles_chevaux_selle[Specificite],MATCH(RationHivernaleAuPréChevauxSelle&amp;$EU151,Règles_chevaux_selle[Ration]&amp;Règles_chevaux_selle[Aliment],0))="s1",IF($EU151=Spécificité1ChevauxSelle,1)),
AND(INDEX(Règles_chevaux_selle[Specificite],MATCH(RationHivernaleAuPréChevauxSelle&amp;$EU151,Règles_chevaux_selle[Ration]&amp;Règles_chevaux_selle[Aliment],0))="s2",IF($EU151=Spécificité2ChevauxSelle,1)),
INDEX(Règles_chevaux_selle[Specificite],MATCH(RationHivernaleAuPréChevauxSelle&amp;$EU151,Règles_chevaux_selle[Ration]&amp;Règles_chevaux_selle[Aliment],0))="c"),
INDEX(Règles_chevaux_selle[Valeur 12-24],MATCH(RationHivernaleAuPréChevauxSelle&amp;$EU151,Règles_chevaux_selle[Ration]&amp;Règles_chevaux_selle[Aliment],0)),0),0)*SUM(TotalChevauxSelle_12_24mois)*21)</f>
        <v>0</v>
      </c>
      <c r="EY151" s="1286">
        <f t="array" ref="EY151">IF(OR(ChoixRationHivernaleComplèteChevauxSelle=OUI,ChoixRationHivernaleComplèteChevauxSelle="",ChoixChevauxSellePréHiver=NON),0,IFERROR(IF(OR(AND(INDEX(Règles_chevaux_selle[Specificite],MATCH(RationHivernaleAuPréChevauxSelle&amp;$EU151,Règles_chevaux_selle[Ration]&amp;Règles_chevaux_selle[Aliment],0))="s1",IF($EU151=Spécificité1ChevauxSelle,1)),
AND(INDEX(Règles_chevaux_selle[Specificite],MATCH(RationHivernaleAuPréChevauxSelle&amp;$EU151,Règles_chevaux_selle[Ration]&amp;Règles_chevaux_selle[Aliment],0))="s2",IF($EU151=Spécificité2ChevauxSelle,1)),
INDEX(Règles_chevaux_selle[Specificite],MATCH(RationHivernaleAuPréChevauxSelle&amp;$EU151,Règles_chevaux_selle[Ration]&amp;Règles_chevaux_selle[Aliment],0))="c"),
INDEX(Règles_chevaux_selle[Valeur 0-12],MATCH(RationHivernaleAuPréChevauxSelle&amp;$EU151,Règles_chevaux_selle[Ration]&amp;Règles_chevaux_selle[Aliment],0)),0),0)*SUM(TotalPoulainsSelle)*21)</f>
        <v>0</v>
      </c>
      <c r="EZ151" s="1286">
        <f t="shared" si="59"/>
        <v>0</v>
      </c>
      <c r="FA151" s="1345"/>
      <c r="FB151" s="1345"/>
      <c r="FC151" s="1321"/>
      <c r="FD151" s="1083" t="str">
        <f t="shared" si="55"/>
        <v>concentré jeunes porcins</v>
      </c>
      <c r="FE151" s="1283">
        <f t="array" ref="FE151">IF(OR(ChoixRationHivernaleComplèteChevauxTrait=OUI,ChoixRationHivernaleComplèteChevauxTrait="",ChoixChevauxTraitPréHiver=NON),0,IFERROR(IF(OR(AND(INDEX(Règles_chevaux_trait[Specificite],MATCH(RationHivernaleAuPréChevauxTrait&amp;$FD151,Règles_chevaux_trait[Ration]&amp;Règles_chevaux_trait[Aliment],0))="s1",IF($FD151=Spécificité1ChevauxTrait,1)),
AND(INDEX(Règles_chevaux_trait[Specificite],MATCH(RationHivernaleAuPréChevauxTrait&amp;$FD151,Règles_chevaux_trait[Ration]&amp;Règles_chevaux_trait[Aliment],0))="s2",IF($FD151=Spécificité2ChevauxTrait,1)),
INDEX(Règles_chevaux_trait[Specificite],MATCH(RationHivernaleAuPréChevauxTrait&amp;$FD151,Règles_chevaux_trait[Ration]&amp;Règles_chevaux_trait[Aliment],0))="c"),
INDEX(Règles_chevaux_trait[Valeur 36 et plus],MATCH(RationHivernaleAuPréChevauxTrait&amp;$FD151,Règles_chevaux_trait[Ration]&amp;Règles_chevaux_trait[Aliment],0)),0),0)*SUM(TotalChevauxTraitAdultes)*21)</f>
        <v>0</v>
      </c>
      <c r="FF151" s="1283">
        <f t="array" ref="FF151">IF(OR(ChoixRationHivernaleComplèteChevauxTrait=OUI,ChoixRationHivernaleComplèteChevauxTrait="",ChoixChevauxTraitPréHiver=NON),0,IFERROR(IF(OR(AND(INDEX(Règles_chevaux_trait[Specificite],MATCH(RationHivernaleAuPréChevauxTrait&amp;$FD151,Règles_chevaux_trait[Ration]&amp;Règles_chevaux_trait[Aliment],0))="s1",IF($FD151=Spécificité1ChevauxTrait,1)),
AND(INDEX(Règles_chevaux_trait[Specificite],MATCH(RationHivernaleAuPréChevauxTrait&amp;$FD151,Règles_chevaux_trait[Ration]&amp;Règles_chevaux_trait[Aliment],0))="s2",IF($FD151=Spécificité2ChevauxTrait,1)),
INDEX(Règles_chevaux_trait[Specificite],MATCH(RationHivernaleAuPréChevauxTrait&amp;$FD151,Règles_chevaux_trait[Ration]&amp;Règles_chevaux_trait[Aliment],0))="c"),
INDEX(Règles_chevaux_trait[Valeur 24-36],MATCH(RationHivernaleAuPréChevauxTrait&amp;$FD151,Règles_chevaux_trait[Ration]&amp;Règles_chevaux_trait[Aliment],0)),0),0)*SUM(TotalChevauxTrait_24_36mois)*21)</f>
        <v>0</v>
      </c>
      <c r="FG151" s="1283">
        <f t="array" ref="FG151">IF(OR(ChoixRationHivernaleComplèteChevauxTrait=OUI,ChoixRationHivernaleComplèteChevauxTrait="",ChoixChevauxTraitPréHiver=NON),0,IFERROR(IF(OR(AND(INDEX(Règles_chevaux_trait[Specificite],MATCH(RationHivernaleAuPréChevauxTrait&amp;$FD151,Règles_chevaux_trait[Ration]&amp;Règles_chevaux_trait[Aliment],0))="s1",IF($FD151=Spécificité1ChevauxTrait,1)),
AND(INDEX(Règles_chevaux_trait[Specificite],MATCH(RationHivernaleAuPréChevauxTrait&amp;$FD151,Règles_chevaux_trait[Ration]&amp;Règles_chevaux_trait[Aliment],0))="s2",IF($FD151=Spécificité2ChevauxTrait,1)),
INDEX(Règles_chevaux_trait[Specificite],MATCH(RationHivernaleAuPréChevauxTrait&amp;$FD151,Règles_chevaux_trait[Ration]&amp;Règles_chevaux_trait[Aliment],0))="c"),
INDEX(Règles_chevaux_trait[Valeur 12-24],MATCH(RationHivernaleAuPréChevauxTrait&amp;$FD151,Règles_chevaux_trait[Ration]&amp;Règles_chevaux_trait[Aliment],0)),0),0)*SUM(TotalChevauxTrait_12_24mois)*21)</f>
        <v>0</v>
      </c>
      <c r="FH151" s="1286">
        <f t="array" ref="FH151">IF(OR(ChoixRationHivernaleComplèteChevauxTrait=OUI,ChoixRationHivernaleComplèteChevauxTrait="",ChoixChevauxTraitPréHiver=NON),0,IFERROR(IF(OR(AND(INDEX(Règles_chevaux_trait[Specificite],MATCH(RationHivernaleAuPréChevauxTrait&amp;$FD151,Règles_chevaux_trait[Ration]&amp;Règles_chevaux_trait[Aliment],0))="s1",IF($FD151=Spécificité1ChevauxTrait,1)),
AND(INDEX(Règles_chevaux_trait[Specificite],MATCH(RationHivernaleAuPréChevauxTrait&amp;$FD151,Règles_chevaux_trait[Ration]&amp;Règles_chevaux_trait[Aliment],0))="s2",IF($FD151=Spécificité2ChevauxTrait,1)),
INDEX(Règles_chevaux_trait[Specificite],MATCH(RationHivernaleAuPréChevauxTrait&amp;$FD151,Règles_chevaux_trait[Ration]&amp;Règles_chevaux_trait[Aliment],0))="c"),
INDEX(Règles_chevaux_trait[Valeur 0-12],MATCH(RationHivernaleAuPréChevauxTrait&amp;$FD151,Règles_chevaux_trait[Ration]&amp;Règles_chevaux_trait[Aliment],0)),0),0)*SUM(TotalPoulainsTrait)*21)</f>
        <v>0</v>
      </c>
      <c r="FI151" s="1286">
        <f t="shared" si="53"/>
        <v>0</v>
      </c>
      <c r="FJ151" s="1345"/>
      <c r="FK151" s="1345"/>
      <c r="FL151" s="1345"/>
      <c r="FM151" s="1321"/>
      <c r="FN151" s="1082" t="str">
        <f t="shared" si="54"/>
        <v>Ensilage d'herbe</v>
      </c>
      <c r="FO151" s="1282">
        <f t="array" ref="FO151">IF(OR(ChoixRationHivernaleComplètePoneys=OUI,ChoixRationHivernaleComplètePoneys="",ChoixPoneysPréHiver=NON),0,IFERROR(IF(OR(AND(INDEX(Règles_poneys[Specificite],MATCH(RationHivernaleAuPréPoneys&amp;$FN151,Règles_poneys[Ration]&amp;Règles_poneys[Aliment],0))="s1",IF($FN151=Spécificité1Poneys,1)),
AND(INDEX(Règles_poneys[Specificite],MATCH(RationHivernaleAuPréPoneys&amp;$FN151,Règles_poneys[Ration]&amp;Règles_poneys[Aliment],0))="s2",IF($FN151=Spécificité2Poneys,1)),
INDEX(Règles_poneys[Specificite],MATCH(RationHivernaleAuPréPoneys&amp;$FN151,Règles_poneys[Ration]&amp;Règles_poneys[Aliment],0))="c"),
INDEX(Règles_poneys[Valeur 36 et plus],MATCH(RationHivernaleAuPréPoneys&amp;$FN151,Règles_poneys[Ration]&amp;Règles_poneys[Aliment],0)),0),0)*SUM(TotalPoneysAdultes)*21)</f>
        <v>0</v>
      </c>
      <c r="FP151" s="1282">
        <f t="array" ref="FP151">IF(OR(ChoixRationHivernaleComplètePoneys=OUI,ChoixRationHivernaleComplètePoneys="",ChoixPoneysPréHiver=NON),0,IFERROR(IF(OR(AND(INDEX(Règles_poneys[Specificite],MATCH(RationHivernaleAuPréPoneys&amp;$FN151,Règles_poneys[Ration]&amp;Règles_poneys[Aliment],0))="s1",IF($FN151=Spécificité1Poneys,1)),
AND(INDEX(Règles_poneys[Specificite],MATCH(RationHivernaleAuPréPoneys&amp;$FN151,Règles_poneys[Ration]&amp;Règles_poneys[Aliment],0))="s2",IF($FN151=Spécificité2Poneys,1)),
INDEX(Règles_poneys[Specificite],MATCH(RationHivernaleAuPréPoneys&amp;$FN151,Règles_poneys[Ration]&amp;Règles_poneys[Aliment],0))="c"),
INDEX(Règles_poneys[Valeur 24-36],MATCH(RationHivernaleAuPréPoneys&amp;$FN151,Règles_poneys[Ration]&amp;Règles_poneys[Aliment],0)),0),0)*SUM(TotalPoneys_24_36mois)*21)</f>
        <v>0</v>
      </c>
      <c r="FQ151" s="1282">
        <f t="array" ref="FQ151">IF(OR(ChoixRationHivernaleComplètePoneys=OUI,ChoixRationHivernaleComplètePoneys="",ChoixPoneysPréHiver=NON),0,IFERROR(IF(OR(AND(INDEX(Règles_poneys[Specificite],MATCH(RationHivernaleAuPréPoneys&amp;$FN151,Règles_poneys[Ration]&amp;Règles_poneys[Aliment],0))="s1",IF($FN151=Spécificité1Poneys,1)),
AND(INDEX(Règles_poneys[Specificite],MATCH(RationHivernaleAuPréPoneys&amp;$FN151,Règles_poneys[Ration]&amp;Règles_poneys[Aliment],0))="s2",IF($FN151=Spécificité2Poneys,1)),
INDEX(Règles_poneys[Specificite],MATCH(RationHivernaleAuPréPoneys&amp;$FN151,Règles_poneys[Ration]&amp;Règles_poneys[Aliment],0))="c"),
INDEX(Règles_poneys[Valeur 12-24],MATCH(RationHivernaleAuPréPoneys&amp;$FN151,Règles_poneys[Ration]&amp;Règles_poneys[Aliment],0)),0),0)*SUM(TotalPoneys_12_24mois)*21)</f>
        <v>0</v>
      </c>
      <c r="FR151" s="1285">
        <f t="array" ref="FR151">IF(OR(ChoixRationHivernaleComplètePoneys=OUI,ChoixRationHivernaleComplètePoneys="",ChoixPoneysPréHiver=NON),0,IFERROR(IF(OR(AND(INDEX(Règles_poneys[Specificite],MATCH(RationHivernaleAuPréPoneys&amp;$FN151,Règles_poneys[Ration]&amp;Règles_poneys[Aliment],0))="s1",IF($FN151=Spécificité1Poneys,1)),
AND(INDEX(Règles_poneys[Specificite],MATCH(RationHivernaleAuPréPoneys&amp;$FN151,Règles_poneys[Ration]&amp;Règles_poneys[Aliment],0))="s2",IF($FN151=Spécificité2Poneys,1)),
INDEX(Règles_poneys[Specificite],MATCH(RationHivernaleAuPréPoneys&amp;$FN151,Règles_poneys[Ration]&amp;Règles_poneys[Aliment],0))="c"),
INDEX(Règles_poneys[Valeur 0-12],MATCH(RationHivernaleAuPréPoneys&amp;$FN151,Règles_poneys[Ration]&amp;Règles_poneys[Aliment],0)),0),0)*SUM(TotalPoulainsPoneys)*21)</f>
        <v>0</v>
      </c>
      <c r="FS151" s="1285">
        <f t="shared" si="52"/>
        <v>0</v>
      </c>
      <c r="FT151" s="1345"/>
      <c r="FU151" s="1345"/>
      <c r="FV151" s="1345"/>
      <c r="FW151" s="1083" t="str">
        <f t="shared" si="49"/>
        <v>Haricot vert</v>
      </c>
      <c r="FX151" s="1283">
        <f t="array" ref="FX151">SUM((IF(QualitéAlimentsGavageOison_0_1_mois=BONNE,VLOOKUP("Haricot vert",AlimentsGavageOies[],5,FALSE),0)+(IF(QualitéAlimentsGavageCaneton_0_1_mois=BONNE,VLOOKUP("Haricot vert",AlimentsGavageCanards[],5,FALSE),0)+(IF(QualitéAlimentsGavageOison_1_2_mois=BONNE,VLOOKUP("Haricot vert",AlimentsGavageOies[],4,FALSE),0)+(IF(QualitéAlimentsGavageCaneton_1_2_mois=BONNE,VLOOKUP("Haricot vert",AlimentsGavageCanards[],4,FALSE),0)+(IF(QualitéAlimentsGavageOison_2_3_mois=BONNE,VLOOKUP("Haricot vert",AlimentsGavageOies[],3,FALSE),0)+(IF(QualitéAlimentsGavageCaneton_2_3_mois=BONNE,VLOOKUP("Haricot vert",AlimentsGavageCanards[],3,FALSE),0)+(IF(QualitéAlimentsGavageJeunesOies=BONNE,VLOOKUP("Haricot vert",AlimentsGavageOies[],2,FALSE),0)+(IF(QualitéAlimentsGavageJeuneCanard=BONNE,VLOOKUP("Haricot vert",AlimentsGavageCanards[],2,FALSE),0))))))))))</f>
        <v>0</v>
      </c>
      <c r="FY151" s="1283">
        <f t="array" ref="FY151">SUM((IF(QualitéAlimentsGavageOison_0_1_mois=MOYENNE,VLOOKUP("Haricot vert",AlimentsGavageOies[],5,FALSE),0)+(IF(QualitéAlimentsGavageCaneton_0_1_mois=MOYENNE,VLOOKUP("Haricot vert",AlimentsGavageCanards[],5,FALSE),0)+(IF(QualitéAlimentsGavageOison_1_2_mois=MOYENNE,VLOOKUP("Haricot vert",AlimentsGavageOies[],4,FALSE),0)+(IF(QualitéAlimentsGavageCaneton_1_2_mois=MOYENNE,VLOOKUP("Haricot vert",AlimentsGavageCanards[],4,FALSE),0)+(IF(QualitéAlimentsGavageOison_2_3_mois=MOYENNE,VLOOKUP("Haricot vert",AlimentsGavageOies[],3,FALSE),0)+(IF(QualitéAlimentsGavageCaneton_2_3_mois=MOYENNE,VLOOKUP("Haricot vert",AlimentsGavageCanards[],3,FALSE),0)+(IF(QualitéAlimentsGavageJeunesOies=MOYENNE,VLOOKUP("Haricot vert",AlimentsGavageOies[],2,FALSE),0)+(IF(QualitéAlimentsGavageJeuneCanard=MOYENNE,VLOOKUP("Haricot vert",AlimentsGavageCanards[],2,FALSE),0))))))))))</f>
        <v>0</v>
      </c>
      <c r="FZ151" s="1283">
        <f t="array" ref="FZ151">SUM((IF(QualitéAlimentsGavageOison_0_1_mois=MAUVAISE,VLOOKUP("Haricot vert",AlimentsGavageOies[],5,FALSE),0)+(IF(QualitéAlimentsGavageCaneton_0_1_mois=MAUVAISE,VLOOKUP("Haricot vert",AlimentsGavageCanards[],5,FALSE),0)+(IF(QualitéAlimentsGavageOison_1_2_mois=MAUVAISE,VLOOKUP("Haricot vert",AlimentsGavageOies[],4,FALSE),0)+(IF(QualitéAlimentsGavageCaneton_1_2_mois=MAUVAISE,VLOOKUP("Haricot vert",AlimentsGavageCanards[],4,FALSE),0)+(IF(QualitéAlimentsGavageOison_2_3_mois=MAUVAISE,VLOOKUP("Haricot vert",AlimentsGavageOies[],3,FALSE),0)+(IF(QualitéAlimentsGavageCaneton_2_3_mois=MAUVAISE,VLOOKUP("Haricot vert",AlimentsGavageCanards[],3,FALSE),0)+(IF(QualitéAlimentsGavageJeunesOies=MAUVAISE,VLOOKUP("Haricot vert",AlimentsGavageOies[],2,FALSE),0)+(IF(QualitéAlimentsGavageJeuneCanard=MAUVAISE,VLOOKUP("Haricot vert",AlimentsGavageCanards[],2,FALSE),0))))))))))</f>
        <v>0</v>
      </c>
      <c r="GA151" s="1345"/>
      <c r="GB151" s="1345"/>
      <c r="GC151" s="1321"/>
      <c r="GD151" s="1321"/>
      <c r="GE151" s="1321"/>
      <c r="GF151" s="1321"/>
      <c r="GG151" s="1321" t="s">
        <v>1349</v>
      </c>
      <c r="GH151" s="1321" t="s">
        <v>1349</v>
      </c>
      <c r="GI151" s="1321" t="s">
        <v>1349</v>
      </c>
      <c r="GJ151" s="1321" t="s">
        <v>1349</v>
      </c>
      <c r="GK151" s="1321" t="s">
        <v>1349</v>
      </c>
      <c r="GL151" s="1321" t="s">
        <v>1349</v>
      </c>
      <c r="GM151" s="1321" t="s">
        <v>1349</v>
      </c>
      <c r="GN151" s="1321" t="s">
        <v>1349</v>
      </c>
      <c r="GO151" s="1321" t="s">
        <v>1349</v>
      </c>
      <c r="GP151" s="1321" t="s">
        <v>1349</v>
      </c>
      <c r="GQ151" s="1321" t="s">
        <v>1349</v>
      </c>
      <c r="GR151" s="1321" t="s">
        <v>1349</v>
      </c>
      <c r="GS151" s="1321" t="s">
        <v>1349</v>
      </c>
      <c r="GT151" s="1321" t="s">
        <v>1349</v>
      </c>
      <c r="GU151" s="1321" t="s">
        <v>1349</v>
      </c>
      <c r="GV151" s="1321" t="s">
        <v>1349</v>
      </c>
      <c r="GW151" s="1321"/>
      <c r="GX151" s="1321"/>
      <c r="GY151" s="1321"/>
      <c r="GZ151" s="1321"/>
      <c r="HA151" s="1321"/>
      <c r="HB151" s="1321"/>
      <c r="HC151" s="1321"/>
      <c r="HD151" s="1321"/>
      <c r="HE151" s="1321"/>
      <c r="HF151" s="1321"/>
      <c r="HG151" s="1321"/>
      <c r="HH151" s="1321"/>
      <c r="HI151" s="1321"/>
      <c r="HJ151" s="1321"/>
      <c r="HK151" s="1321"/>
      <c r="HL151" s="1321"/>
      <c r="HM151" s="1321"/>
      <c r="HN151" s="1321"/>
      <c r="HO151" s="1321"/>
      <c r="HP151" s="1321"/>
      <c r="HQ151" s="1321"/>
      <c r="HR151" s="1321"/>
      <c r="HS151" s="1321"/>
      <c r="HT151" s="1321"/>
      <c r="HU151" s="1321"/>
      <c r="HV151" s="1321"/>
      <c r="HW151" s="1321"/>
      <c r="HX151" s="1321"/>
      <c r="HY151" s="1321"/>
      <c r="HZ151" s="1321"/>
      <c r="IA151" s="1321"/>
      <c r="IB151" s="1321"/>
      <c r="IC151" s="1321"/>
      <c r="ID151" s="1321"/>
      <c r="IE151" s="1321"/>
      <c r="IF151" s="1321"/>
      <c r="IG151" s="1321"/>
      <c r="IH151" s="1321"/>
      <c r="II151" s="1321"/>
      <c r="IJ151" s="1321"/>
      <c r="IK151" s="1321"/>
      <c r="IL151" s="1321"/>
      <c r="IM151" s="1321"/>
      <c r="IN151" s="1368"/>
    </row>
    <row r="152" spans="1:248" ht="12.75" customHeight="1" x14ac:dyDescent="0.2">
      <c r="A152" s="1307" t="s">
        <v>509</v>
      </c>
      <c r="B152" s="1209">
        <v>8</v>
      </c>
      <c r="C152" s="1321"/>
      <c r="D152" s="1321"/>
      <c r="E152" s="1321"/>
      <c r="F152" s="1143" t="s">
        <v>229</v>
      </c>
      <c r="G152" s="1143">
        <v>21</v>
      </c>
      <c r="H152" s="1321"/>
      <c r="I152" s="1076" t="str">
        <f t="shared" ref="I152:I161" si="64">I140</f>
        <v>0-9,99</v>
      </c>
      <c r="J152" s="1081">
        <f>IF(gains!F$4=BDD!O$127,10,IF(gains!F$4=BDD!P$127,20,IF(gains!F$4=BDD!Q$127,30,0)))</f>
        <v>10</v>
      </c>
      <c r="K152" s="1081">
        <f>IF(gains!$G$9=K$127,1,0)</f>
        <v>0</v>
      </c>
      <c r="L152" s="1081">
        <f>IF(gains!$G$9=L$127,2,0)</f>
        <v>0</v>
      </c>
      <c r="M152" s="1081">
        <f>IF(gains!$G$9=M$127,3,0)</f>
        <v>0</v>
      </c>
      <c r="N152" s="1081">
        <f>IF(gains!$G$9=N$127,4,0)</f>
        <v>0</v>
      </c>
      <c r="O152" s="1081">
        <f>IF(AND(J152=10,SUM(K152:N152)=1),gains!$F$40,IF(AND(J152=10,SUM(K152:N152)=2),gains!$F$40*2,IF(AND(J152=10,SUM(K152:N152)=3),gains!$F$40*3,IF(AND(J152=10,SUM(K152:N152)=4),gains!$F$40*4,0))))</f>
        <v>0</v>
      </c>
      <c r="P152" s="1081">
        <f>IF(AND(J152=20,SUM(K152:N152)=1),gains!$F$40*7,IF(AND(J152=20,SUM(K152:N152)=2),gains!$F$40*7*2,IF(AND(J152=20,SUM(K152:N152)=3),gains!$F$40*7*3,IF(AND(J152=20,SUM(K152:N152)=4),gains!$F$40*7*4,0))))</f>
        <v>0</v>
      </c>
      <c r="Q152" s="1081">
        <f>IF(AND(J152=30,SUM(K152:N152)=1),gains!$F$40*7*12,IF(AND(J152=30,SUM(K152:N152)=2),gains!$F$40*7*12*2,IF(AND(J152=30,SUM(K152:N152)=3),gains!$F$40*7*12*3,IF(AND(J152=30,SUM(K152:N152)=4),gains!$F$40*7*12*4,0))))</f>
        <v>0</v>
      </c>
      <c r="R152" s="1321"/>
      <c r="S152" s="1321"/>
      <c r="T152" s="1321"/>
      <c r="U152" s="1321"/>
      <c r="V152" s="1321"/>
      <c r="W152" s="1321"/>
      <c r="X152" s="1321"/>
      <c r="Y152" s="1321"/>
      <c r="Z152" s="1321"/>
      <c r="AA152" s="1321"/>
      <c r="AB152" s="1321"/>
      <c r="AC152" s="1321"/>
      <c r="AD152" s="1321"/>
      <c r="AE152" s="1321"/>
      <c r="AF152" s="1321"/>
      <c r="AG152" s="1321"/>
      <c r="AH152" s="1321"/>
      <c r="AI152" s="1321"/>
      <c r="AJ152" s="1321"/>
      <c r="AK152" s="1321"/>
      <c r="AL152" s="1321"/>
      <c r="AM152" s="1321"/>
      <c r="AN152" s="1321"/>
      <c r="AO152" s="1321"/>
      <c r="AP152" s="1321"/>
      <c r="AQ152" s="1321"/>
      <c r="AR152" s="1321"/>
      <c r="AS152" s="1321"/>
      <c r="AT152" s="1321"/>
      <c r="AU152" s="1321"/>
      <c r="AV152" s="1321"/>
      <c r="AW152" s="1321"/>
      <c r="AX152" s="1321"/>
      <c r="AY152" s="1321"/>
      <c r="AZ152" s="1321"/>
      <c r="BA152" s="1321"/>
      <c r="BB152" s="1236" t="s">
        <v>731</v>
      </c>
      <c r="BC152" s="1190" t="s">
        <v>285</v>
      </c>
      <c r="BD152" s="1190" t="s">
        <v>1253</v>
      </c>
      <c r="BE152" s="1237">
        <v>7.2</v>
      </c>
      <c r="BF152" s="1237">
        <v>6</v>
      </c>
      <c r="BG152" s="1237">
        <v>4</v>
      </c>
      <c r="BH152" s="1237">
        <v>2</v>
      </c>
      <c r="BI152" s="1237">
        <v>1.2</v>
      </c>
      <c r="BJ152" s="1237">
        <v>0.6</v>
      </c>
      <c r="BK152" s="1238">
        <v>0</v>
      </c>
      <c r="BL152" s="1348"/>
      <c r="BM152" s="1076"/>
      <c r="BN152" s="1267"/>
      <c r="BO152" s="1267"/>
      <c r="BP152" s="1267"/>
      <c r="BQ152" s="1321"/>
      <c r="BR152" s="1321"/>
      <c r="BS152" s="1321"/>
      <c r="BT152" s="1321"/>
      <c r="BU152" s="1321"/>
      <c r="BV152" s="1345"/>
      <c r="BW152" s="1345"/>
      <c r="BX152" s="1076" t="str">
        <f t="shared" si="57"/>
        <v>concentré jeunes lapins</v>
      </c>
      <c r="BY152" s="1076">
        <f t="array" ref="BY152">IF(ChoixRationComplèteCaprins=OUI,0,IFERROR(IF(OR(AND(INDEX(Règles_caprins[Specificite],MATCH(ChoixRationCaprins&amp;$BX152,Règles_caprins[Ration]&amp;Règles_caprins[Aliment],0))="s1",IF($BX152=Spécificité1Caprins,1)),
INDEX(Règles_caprins[Specificite],MATCH(ChoixRationCaprins&amp;$BX152,Règles_caprins[Ration]&amp;Règles_caprins[Aliment],0))="c"),
INDEX(Règles_caprins[Valeur 12 et plus],MATCH(ChoixRationCaprins&amp;$BX152,Règles_caprins[Ration]&amp;Règles_caprins[Aliment],0)),0),0)*TotalChèvres*SUM(NbreJoursNourrirCaprins))</f>
        <v>0</v>
      </c>
      <c r="BZ152" s="1076">
        <f t="array" ref="BZ152">IF(ChoixRationComplèteCaprins=OUI,0,IFERROR(IF(OR(AND(INDEX(Règles_caprins[Specificite],MATCH(ChoixRationCaprins&amp;$BX152,Règles_caprins[Ration]&amp;Règles_caprins[Aliment],0))="s1",IF($BX152=Spécificité1Caprins,1)),
INDEX(Règles_caprins[Specificite],MATCH(ChoixRationCaprins&amp;$BX152,Règles_caprins[Ration]&amp;Règles_caprins[Aliment],0))="c"),
INDEX(Règles_caprins[Valeur 6-12],MATCH(ChoixRationCaprins&amp;$BX152,Règles_caprins[Ration]&amp;Règles_caprins[Aliment],0)),0),0)*jeune_chèvre_6_12_mois*SUM(NbreJoursNourrirCaprins))</f>
        <v>0</v>
      </c>
      <c r="CA152" s="1076">
        <f t="array" ref="CA152">IF(ChoixRationComplèteCaprins=OUI,0,IFERROR(IF(OR(AND(INDEX(Règles_caprins[Specificite],MATCH(ChoixRationCaprins&amp;$BX152,Règles_caprins[Ration]&amp;Règles_caprins[Aliment],0))="s1",IF($BX152=Spécificité1Caprins,1)),
INDEX(Règles_caprins[Specificite],MATCH(ChoixRationCaprins&amp;$BX152,Règles_caprins[Ration]&amp;Règles_caprins[Aliment],0))="c"),
INDEX(Règles_caprins[Valeur 3-6],MATCH(ChoixRationCaprins&amp;$BX152,Règles_caprins[Ration]&amp;Règles_caprins[Aliment],0)),0),0)*chevrette_3_6_mois*SUM(NbreJoursNourrirCaprins))</f>
        <v>0</v>
      </c>
      <c r="CB152" s="1076">
        <f t="array" ref="CB152">IF(ChoixRationComplèteCaprins=OUI,0,IFERROR(IF(OR(AND(INDEX(Règles_caprins[Specificite],MATCH(ChoixRationCaprins&amp;$BX152,Règles_caprins[Ration]&amp;Règles_caprins[Aliment],0))="s1",IF($BX152=Spécificité1Caprins,1)),
INDEX(Règles_caprins[Specificite],MATCH(ChoixRationCaprins&amp;$BX152,Règles_caprins[Ration]&amp;Règles_caprins[Aliment],0))="c"),
INDEX(Règles_caprins[Valeur 0-3],MATCH(ChoixRationCaprins&amp;$BX152,Règles_caprins[Ration]&amp;Règles_caprins[Aliment],0)),0),0)*chevrette_0_3_mois*SUM(NbreJoursNourrirCaprins))</f>
        <v>0</v>
      </c>
      <c r="CC152" s="1076">
        <f t="shared" si="56"/>
        <v>0</v>
      </c>
      <c r="CD152" s="1345"/>
      <c r="CE152" s="1345"/>
      <c r="CF152" s="1345"/>
      <c r="CG152" s="1345"/>
      <c r="CH152" s="1345"/>
      <c r="CI152" s="1321"/>
      <c r="CJ152" s="1075" t="str">
        <f t="shared" si="51"/>
        <v>Féverole</v>
      </c>
      <c r="CK152" s="1269">
        <f t="array" ref="CK152">SUM((IF(QualitéAlimentsPorceletMâle_0_1_mois=BONNE,VLOOKUP("Féverole",AlimentsRationPorcinsMâles[],6,FALSE),0)+(IF(QualitéAlimentsPorceletFemelle_0_1_mois=BONNE,VLOOKUP("Féverole",AlimentsRationPorcinsFemelles[],6,FALSE),0)+(IF(QualitéAlimentsPorceletMâle_1_3_mois=BONNE,VLOOKUP("Féverole",AlimentsRationPorcinsMâles[],5,FALSE),0)+(IF(QualitéAlimentsPorceletFemelle_1_3_mois=BONNE,VLOOKUP("Féverole",AlimentsRationPorcinsFemelles[],5,FALSE),0)+(IF(QualitéAlimentsJeuneVerrat_3_6_mois=BONNE,VLOOKUP("Féverole",AlimentsRationPorcinsMâles[],4,FALSE),0)+(IF(QualitéAlimentsJeuneTruie_3_6_mois=BONNE,VLOOKUP("Féverole",AlimentsRationPorcinsFemelles[],4,FALSE),0)+(IF(QualitéAlimentsJeuneVerrat_6_12_mois=BONNE,VLOOKUP("Féverole",AlimentsRationPorcinsMâles[],3,FALSE),0)+(IF(QualitéAlimentsJeuneTruie_6_12_mois=BONNE,VLOOKUP("Féverole",AlimentsRationPorcinsFemelles[],3,FALSE),0)+(IF(QualitéAlimentsVerrat=BONNE,VLOOKUP("Féverole",AlimentsRationPorcinsMâles[],2,FALSE),0)+(IF(QualitéAlimentsTruie=BONNE,VLOOKUP("Féverole",AlimentsRationPorcinsFemelles[],2,FALSE),0))))))))))))</f>
        <v>0</v>
      </c>
      <c r="CL152" s="1269">
        <f t="array" ref="CL152">SUM((IF(QualitéAlimentsPorceletMâle_0_1_mois=MOYENNE,VLOOKUP("Féverole",AlimentsRationPorcinsMâles[],6,FALSE),0)+(IF(QualitéAlimentsPorceletFemelle_0_1_mois=MOYENNE,VLOOKUP("Féverole",AlimentsRationPorcinsFemelles[],6,FALSE),0)+(IF(QualitéAlimentsPorceletMâle_1_3_mois=MOYENNE,VLOOKUP("Féverole",AlimentsRationPorcinsMâles[],5,FALSE),0)+(IF(QualitéAlimentsPorceletFemelle_1_3_mois=MOYENNE,VLOOKUP("Féverole",AlimentsRationPorcinsFemelles[],5,FALSE),0)+(IF(QualitéAlimentsJeuneVerrat_3_6_mois=MOYENNE,VLOOKUP("Féverole",AlimentsRationPorcinsMâles[],4,FALSE),0)+(IF(QualitéAlimentsJeuneTruie_3_6_mois=MOYENNE,VLOOKUP("Féverole",AlimentsRationPorcinsFemelles[],4,FALSE),0)+(IF(QualitéAlimentsJeuneVerrat_6_12_mois=MOYENNE,VLOOKUP("Féverole",AlimentsRationPorcinsMâles[],3,FALSE),0)+(IF(QualitéAlimentsJeuneTruie_6_12_mois=MOYENNE,VLOOKUP("Féverole",AlimentsRationPorcinsFemelles[],3,FALSE),0)+(IF(QualitéAlimentsVerrat=MOYENNE,VLOOKUP("Féverole",AlimentsRationPorcinsMâles[],2,FALSE),0)+(IF(QualitéAlimentsTruie=MOYENNE,VLOOKUP("Féverole",AlimentsRationPorcinsFemelles[],2,FALSE),0))))))))))))</f>
        <v>0</v>
      </c>
      <c r="CM152" s="1269">
        <f t="array" ref="CM152">SUM((IF(QualitéAlimentsPorceletMâle_0_1_mois=MAUVAISE,VLOOKUP("Féverole",AlimentsRationPorcinsMâles[],6,FALSE),0)+(IF(QualitéAlimentsPorceletFemelle_0_1_mois=MAUVAISE,VLOOKUP("Féverole",AlimentsRationPorcinsFemelles[],6,FALSE),0)+(IF(QualitéAlimentsPorceletMâle_1_3_mois=MAUVAISE,VLOOKUP("Féverole",AlimentsRationPorcinsMâles[],5,FALSE),0)+(IF(QualitéAlimentsPorceletFemelle_1_3_mois=MAUVAISE,VLOOKUP("Féverole",AlimentsRationPorcinsFemelles[],5,FALSE),0)+(IF(QualitéAlimentsJeuneVerrat_3_6_mois=MAUVAISE,VLOOKUP("Féverole",AlimentsRationPorcinsMâles[],4,FALSE),0)+(IF(QualitéAlimentsJeuneTruie_3_6_mois=MAUVAISE,VLOOKUP("Féverole",AlimentsRationPorcinsFemelles[],4,FALSE),0)+(IF(QualitéAlimentsJeuneVerrat_6_12_mois=MAUVAISE,VLOOKUP("Féverole",AlimentsRationPorcinsMâles[],3,FALSE),0)+(IF(QualitéAlimentsJeuneTruie_6_12_mois=MAUVAISE,VLOOKUP("Féverole",AlimentsRationPorcinsFemelles[],3,FALSE),0)+(IF(QualitéAlimentsVerrat=MAUVAISE,VLOOKUP("Féverole",AlimentsRationPorcinsMâles[],2,FALSE),0)+(IF(QualitéAlimentsTruie=MAUVAISE,VLOOKUP("Féverole",AlimentsRationPorcinsFemelles[],2,FALSE),0))))))))))))</f>
        <v>0</v>
      </c>
      <c r="CN152" s="1321"/>
      <c r="CO152" s="1320"/>
      <c r="CP152" s="1345"/>
      <c r="CQ152" s="1321"/>
      <c r="CR152" s="1321"/>
      <c r="CS152" s="1321"/>
      <c r="CT152" s="1321"/>
      <c r="CU152" s="1321"/>
      <c r="CV152" s="1321"/>
      <c r="CW152" s="1321"/>
      <c r="CX152" s="1321"/>
      <c r="CY152" s="1321"/>
      <c r="CZ152" s="1336" t="s">
        <v>1749</v>
      </c>
      <c r="DA152" s="1336"/>
      <c r="DB152" s="1336"/>
      <c r="DC152" s="1336"/>
      <c r="DD152" s="1321"/>
      <c r="DE152" s="1321"/>
      <c r="DF152" s="1321"/>
      <c r="DG152" s="1076" t="str">
        <f t="shared" si="58"/>
        <v>concentré jeunes lapins</v>
      </c>
      <c r="DH152" s="1267">
        <f t="array" ref="DH152">SUM((IF(QualitéAlimentsPintadeauMâle_0_1_mois=BONNE,VLOOKUP("Concentré jeunes lapins",AlimentsRationPintadesMâles[],4,FALSE),0)+(IF(QualitéAlimentsPintadeauFemelle_0_1_mois=BONNE,VLOOKUP("Concentré jeunes lapins",AlimentsRationPintadesFemelles[],4,FALSE),0)+(IF(QualitéAlimentsJeunePintadeMâle=BONNE,VLOOKUP("Concentré jeunes lapins",AlimentsRationPintadesMâles[],3,FALSE),0)+(IF(QualitéAlimentsJeunePintadeFemelle=BONNE,VLOOKUP("Concentré jeunes lapins",AlimentsRationPintadesFemelles[],3,FALSE),0)+(IF(QualitéAlimentsPintadeMâle=BONNE,VLOOKUP("Concentré jeunes lapins",AlimentsRationPintadesMâles[],2,FALSE),0)+(IF(QualitéAlimentsPintadeFemelle=BONNE,VLOOKUP("Concentré jeunes lapins",AlimentsRationPintadesFemelles[],2,FALSE),0))))))))</f>
        <v>0</v>
      </c>
      <c r="DI152" s="1267">
        <f t="array" ref="DI152">SUM((IF(QualitéAlimentsPintadeauMâle_0_1_mois=MOYENNE,VLOOKUP("Concentré jeunes lapins",AlimentsRationPintadesMâles[],4,FALSE),0)+(IF(QualitéAlimentsPintadeauFemelle_0_1_mois=MOYENNE,VLOOKUP("Concentré jeunes lapins",AlimentsRationPintadesFemelles[],4,FALSE),0)+(IF(QualitéAlimentsJeunePintadeMâle=MOYENNE,VLOOKUP("Concentré jeunes lapins",AlimentsRationPintadesMâles[],3,FALSE),0)+(IF(QualitéAlimentsJeunePintadeFemelle=MOYENNE,VLOOKUP("Concentré jeunes lapins",AlimentsRationPintadesFemelles[],3,FALSE),0)+(IF(QualitéAlimentsPintadeMâle=MOYENNE,VLOOKUP("Concentré jeunes lapins",AlimentsRationPintadesMâles[],2,FALSE),0)+(IF(QualitéAlimentsPintadeFemelle=MOYENNE,VLOOKUP("Concentré jeunes lapins",AlimentsRationPintadesFemelles[],2,FALSE),0))))))))</f>
        <v>0</v>
      </c>
      <c r="DJ152" s="1267">
        <f t="array" ref="DJ152">SUM((IF(QualitéAlimentsPintadeauMâle_0_1_mois=MAUVAISE,VLOOKUP("Concentré jeunes lapins",AlimentsRationPintadesMâles[],4,FALSE),0)+(IF(QualitéAlimentsPintadeauFemelle_0_1_mois=MAUVAISE,VLOOKUP("Concentré jeunes lapins",AlimentsRationPintadesFemelles[],4,FALSE),0)+(IF(QualitéAlimentsJeunePintadeMâle=MAUVAISE,VLOOKUP("Concentré jeunes lapins",AlimentsRationPintadesMâles[],3,FALSE),0)+(IF(QualitéAlimentsJeunePintadeFemelle=MAUVAISE,VLOOKUP("Concentré jeunes lapins",AlimentsRationPintadesFemelles[],3,FALSE),0)+(IF(QualitéAlimentsPintadeMâle=MAUVAISE,VLOOKUP("Concentré jeunes lapins",AlimentsRationPintadesMâles[],2,FALSE),0)+(IF(QualitéAlimentsPintadeFemelle=MAUVAISE,VLOOKUP("Concentré jeunes lapins",AlimentsRationPintadesFemelles[],2,FALSE),0))))))))</f>
        <v>0</v>
      </c>
      <c r="DK152" s="1321"/>
      <c r="DL152" s="1321"/>
      <c r="DM152" s="1321"/>
      <c r="DN152" s="1076" t="s">
        <v>285</v>
      </c>
      <c r="DO152" s="1267">
        <f t="array" ref="DO152">IF(ChoixRationComplèteOvins=OUI,0,IFERROR(IF(OR(AND(INDEX(Règles_ovins[Specificite],MATCH(ChoixRationOvins&amp;$DN152,Règles_ovins[Ration]&amp;Règles_ovins[Aliment],0))="s1",IF($DN152=Spécificité1Ovins,1)),
AND(INDEX(Règles_ovins[Specificite],MATCH(ChoixRationOvins&amp;$DN152,Règles_ovins[Ration]&amp;Règles_ovins[Aliment],0))="s2",IF($DN152=Spécificité2Ovins,1)),
INDEX(Règles_ovins[Specificite],MATCH(ChoixRationOvins&amp;$DN152,Règles_ovins[Ration]&amp;Règles_ovins[Aliment],0))="c"),
INDEX(Règles_ovins[Valeur 12 et plus],MATCH(ChoixRationOvins&amp;$DN152,Règles_ovins[Ration]&amp;Règles_ovins[Aliment],0)),0),0)*IF(ChoixOvinsPréHiver=OUI,SUM(TotalOvinsAdultesRacesLaitières)*NbreJoursNourrirOvins,TotalBéliers*SUM(NbreJoursNourrirOvins)))</f>
        <v>0</v>
      </c>
      <c r="DP152" s="1267">
        <f t="array" ref="DP152">IF(ChoixRationComplèteOvins=OUI,0,IFERROR(IF(OR(AND(INDEX(Règles_ovins[Specificite],MATCH(ChoixRationOvins&amp;$DN152,Règles_ovins[Ration]&amp;Règles_ovins[Aliment],0))="s1",IF($DN152=Spécificité1Ovins,1)),
AND(INDEX(Règles_ovins[Specificite],MATCH(ChoixRationOvins&amp;$DN152,Règles_ovins[Ration]&amp;Règles_ovins[Aliment],0))="s2",IF($DN152=Spécificité2Ovins,1)),
INDEX(Règles_ovins[Specificite],MATCH(ChoixRationOvins&amp;$DN152,Règles_ovins[Ration]&amp;Règles_ovins[Aliment],0))="c"),
INDEX(Règles_ovins[Valeur 6-12],MATCH(ChoixRationOvins&amp;$DN152,Règles_ovins[Ration]&amp;Règles_ovins[Aliment],0)),0),0)*IF(ChoixOvinsPréHiver=OUI,SUM(TotalJeunesOvinsRacesLaitières)*NbreJoursNourrirOvins,TotalJeune_bélier_6_12_mois*SUM(NbreJoursNourrirOvins)))</f>
        <v>0</v>
      </c>
      <c r="DQ152" s="1267">
        <f t="array" ref="DQ152">IF(ChoixRationComplèteOvins=OUI,0,IFERROR(IF(OR(AND(INDEX(Règles_ovins[Specificite],MATCH(ChoixRationOvins&amp;$DN152,Règles_ovins[Ration]&amp;Règles_ovins[Aliment],0))="s1",IF($DN152=Spécificité1Ovins,1)),
AND(INDEX(Règles_ovins[Specificite],MATCH(ChoixRationOvins&amp;$DN152,Règles_ovins[Ration]&amp;Règles_ovins[Aliment],0))="s2",IF($DN152=Spécificité2Ovins,1)),
INDEX(Règles_ovins[Specificite],MATCH(ChoixRationOvins&amp;$DN152,Règles_ovins[Ration]&amp;Règles_ovins[Aliment],0))="c"),
INDEX(Règles_ovins[Valeur 3-6],MATCH(ChoixRationOvins&amp;$DN152,Règles_ovins[Ration]&amp;Règles_ovins[Aliment],0)),0),0)*IF(ChoixOvinsPréHiver=OUI,SUM(TotalOvins_3_6moisRacesLaitières)*NbreJoursNourrirOvins,TotalAgneau_3_6_mois*SUM(NbreJoursNourrirOvins)))</f>
        <v>0</v>
      </c>
      <c r="DR152" s="1267">
        <f t="array" ref="DR152">IF(ChoixRationComplèteOvins=OUI,0,IFERROR(IF(OR(AND(INDEX(Règles_ovins[Specificite],MATCH(ChoixRationOvins&amp;$DN152,Règles_ovins[Ration]&amp;Règles_ovins[Aliment],0))="s1",IF($DN152=Spécificité1Ovins,1)),
AND(INDEX(Règles_ovins[Specificite],MATCH(ChoixRationOvins&amp;$DN152,Règles_ovins[Ration]&amp;Règles_ovins[Aliment],0))="s2",IF($DN152=Spécificité2Ovins,1)),
INDEX(Règles_ovins[Specificite],MATCH(ChoixRationOvins&amp;$DN152,Règles_ovins[Ration]&amp;Règles_ovins[Aliment],0))="c"),
INDEX(Règles_ovins[Valeur 0-3],MATCH(ChoixRationOvins&amp;$DN152,Règles_ovins[Ration]&amp;Règles_ovins[Aliment],0)),0),0)*IF(ChoixOvinsPréHiver=OUI,SUM(TotalOvins_3_6moisRacesLaitières)*NbreJoursNourrirOvins,TotalAgneau_0_3_mois*SUM(NbreJoursNourrirOvins)))</f>
        <v>0</v>
      </c>
      <c r="DS152" s="1279">
        <f t="shared" si="61"/>
        <v>0</v>
      </c>
      <c r="DT152" s="1346"/>
      <c r="DU152" s="1346"/>
      <c r="DV152" s="1321"/>
      <c r="DW152" s="1321"/>
      <c r="DX152" s="1321"/>
      <c r="DY152" s="1321"/>
      <c r="DZ152" s="1321"/>
      <c r="EA152" s="1321"/>
      <c r="EB152" s="1321"/>
      <c r="EC152" s="1321"/>
      <c r="ED152" s="1345"/>
      <c r="EE152" s="1345"/>
      <c r="EF152" s="1321"/>
      <c r="EG152" s="1076" t="str">
        <f t="shared" si="63"/>
        <v>Blé</v>
      </c>
      <c r="EH152" s="1267">
        <f t="array" ref="EH152">SUM((IF(QualitéAlimentsOisonMâle_0_3_mois=BONNE,VLOOKUP("Blé",AlimentsRationOiesMâles[],4,FALSE),0)+(IF(QualitéAlimentsOisonFemelle_0_3_mois=BONNE,VLOOKUP("Blé",AlimentsRationOiesFemelles[],4,FALSE),0)+(IF(QualitéAlimentsJeuneJars=BONNE,VLOOKUP("Blé",AlimentsRationOiesMâles[],3,FALSE),0)+(IF(QualitéAlimentsJeuneOie=BONNE,VLOOKUP("Blé",AlimentsRationOiesFemelles[],3,FALSE),0)+(IF(QualitéAlimentsJars=BONNE,VLOOKUP("Blé",AlimentsRationOiesMâles[],2,FALSE),0)+(IF(QualitéAlimentsOie=BONNE,VLOOKUP("Blé",AlimentsRationOiesFemelles[],2,FALSE),0))))))))</f>
        <v>0</v>
      </c>
      <c r="EI152" s="1267">
        <f t="array" ref="EI152">SUM((IF(QualitéAlimentsOisonMâle_0_3_mois=MOYENNE,VLOOKUP("Blé",AlimentsRationOiesMâles[],4,FALSE),0)+(IF(QualitéAlimentsOisonFemelle_0_3_mois=MOYENNE,VLOOKUP("Blé",AlimentsRationOiesFemelles[],4,FALSE),0)+(IF(QualitéAlimentsJeuneJars=MOYENNE,VLOOKUP("Blé",AlimentsRationOiesMâles[],3,FALSE),0)+(IF(QualitéAlimentsJeuneOie=MOYENNE,VLOOKUP("Blé",AlimentsRationOiesFemelles[],3,FALSE),0)+(IF(QualitéAlimentsJars=MOYENNE,VLOOKUP("Blé",AlimentsRationOiesMâles[],2,FALSE),0)+(IF(QualitéAlimentsOie=MOYENNE,VLOOKUP("Blé",AlimentsRationOiesFemelles[],2,FALSE),0))))))))</f>
        <v>0</v>
      </c>
      <c r="EJ152" s="1267">
        <f t="array" ref="EJ152">SUM((IF(QualitéAlimentsOisonMâle_0_3_mois=MAUVAISE,VLOOKUP("Blé",AlimentsRationOiesMâles[],4,FALSE),0)+(IF(QualitéAlimentsOisonFemelle_0_3_mois=MAUVAISE,VLOOKUP("Blé",AlimentsRationOiesFemelles[],4,FALSE),0)+(IF(QualitéAlimentsJeuneJars=MAUVAISE,VLOOKUP("Blé",AlimentsRationOiesMâles[],3,FALSE),0)+(IF(QualitéAlimentsJeuneOie=MAUVAISE,VLOOKUP("Blé",AlimentsRationOiesFemelles[],3,FALSE),0)+(IF(QualitéAlimentsJars=MAUVAISE,VLOOKUP("Blé",AlimentsRationOiesMâles[],2,FALSE),0)+(IF(QualitéAlimentsOie=MAUVAISE,VLOOKUP("Blé",AlimentsRationOiesFemelles[],2,FALSE),0))))))))</f>
        <v>0</v>
      </c>
      <c r="EK152" s="1345"/>
      <c r="EL152" s="1345"/>
      <c r="EM152" s="1321"/>
      <c r="EN152" s="1083" t="str">
        <f t="shared" si="62"/>
        <v>Bouchons luzerne</v>
      </c>
      <c r="EO152" s="1283">
        <f t="array" ref="EO152">SUM((IF(QualitéAlimentsCanetonMâle=BONNE,VLOOKUP("Bouchons luzerne",AlimentsRationCanardsMâles,4,FALSE),0)+(IF(QualitéAlimentsCanetonFemelle=BONNE,VLOOKUP("Bouchons luzerne",AlimentsRationCanardsFemelles,4,FALSE),0)+(IF(QualitéAlimentsJeuneCanard=BONNE,VLOOKUP("Bouchons luzerne",AlimentsRationCanardsMâles,3,FALSE),0)+(IF(QualitéAlimentsJeuneCane=BONNE,VLOOKUP("Bouchons luzerne",AlimentsRationCanardsFemelles,3,FALSE),0)+(IF(QualitéAlimentsCanard=BONNE,VLOOKUP("Bouchons luzerne",AlimentsRationCanardsMâles,2,FALSE),0)+(IF(QualitéAlimentsCane=BONNE,VLOOKUP("Bouchons luzerne",AlimentsRationCanardsFemelles,2,FALSE),0))))))))</f>
        <v>0</v>
      </c>
      <c r="EP152" s="1283">
        <f t="array" ref="EP152">SUM((IF(QualitéAlimentsCanetonMâle=MOYENNE,VLOOKUP("Bouchons luzerne",AlimentsRationCanardsMâles,4,FALSE),0)+(IF(QualitéAlimentsCanetonFemelle=MOYENNE,VLOOKUP("Bouchons luzerne",AlimentsRationCanardsFemelles,4,FALSE),0)+(IF(QualitéAlimentsJeuneCanard=MOYENNE,VLOOKUP("Bouchons luzerne",AlimentsRationCanardsMâles,3,FALSE),0)+(IF(QualitéAlimentsJeuneCane=MOYENNE,VLOOKUP("Bouchons luzerne",AlimentsRationCanardsFemelles,3,FALSE),0)+(IF(QualitéAlimentsCanard=MOYENNE,VLOOKUP("Bouchons luzerne",AlimentsRationCanardsMâles,2,FALSE),0)+(IF(QualitéAlimentsCane=MOYENNE,VLOOKUP("Bouchons luzerne",AlimentsRationCanardsFemelles,2,FALSE),0))))))))</f>
        <v>0</v>
      </c>
      <c r="EQ152" s="1283">
        <f t="array" ref="EQ152">SUM((IF(QualitéAlimentsCanetonMâle=MAUVAISE,VLOOKUP("Bouchons luzerne",AlimentsRationCanardsMâles,4,FALSE),0)+(IF(QualitéAlimentsCanetonFemelle=MAUVAISE,VLOOKUP("Bouchons luzerne",AlimentsRationCanardsFemelles,4,FALSE),0)+(IF(QualitéAlimentsJeuneCanard=MAUVAISE,VLOOKUP("Bouchons luzerne",AlimentsRationCanardsMâles,3,FALSE),0)+(IF(QualitéAlimentsJeuneCane=MAUVAISE,VLOOKUP("Bouchons luzerne",AlimentsRationCanardsFemelles,3,FALSE),0)+(IF(QualitéAlimentsCanard=MAUVAISE,VLOOKUP("Bouchons luzerne",AlimentsRationCanardsMâles,2,FALSE),0)+(IF(QualitéAlimentsCane=MAUVAISE,VLOOKUP("Bouchons luzerne",AlimentsRationCanardsFemelles,2,FALSE),0))))))))</f>
        <v>0</v>
      </c>
      <c r="ER152" s="1345"/>
      <c r="ES152" s="1345"/>
      <c r="ET152" s="1321"/>
      <c r="EU152" s="1082" t="str">
        <f t="shared" si="60"/>
        <v>Chanvre</v>
      </c>
      <c r="EV152" s="1282">
        <f t="array" ref="EV152">IF(OR(ChoixRationHivernaleComplèteChevauxSelle=OUI,ChoixRationHivernaleComplèteChevauxSelle="",ChoixChevauxSellePréHiver=NON),0,IFERROR(IF(OR(AND(INDEX(Règles_chevaux_selle[Specificite],MATCH(RationHivernaleAuPréChevauxSelle&amp;$EU152,Règles_chevaux_selle[Ration]&amp;Règles_chevaux_selle[Aliment],0))="s1",IF($EU152=Spécificité1ChevauxSelle,1)),
AND(INDEX(Règles_chevaux_selle[Specificite],MATCH(RationHivernaleAuPréChevauxSelle&amp;$EU152,Règles_chevaux_selle[Ration]&amp;Règles_chevaux_selle[Aliment],0))="s2",IF($EU152=Spécificité2ChevauxSelle,1)),
INDEX(Règles_chevaux_selle[Specificite],MATCH(RationHivernaleAuPréChevauxSelle&amp;$EU152,Règles_chevaux_selle[Ration]&amp;Règles_chevaux_selle[Aliment],0))="c"),
INDEX(Règles_chevaux_selle[Valeur 36 et plus],MATCH(RationHivernaleAuPréChevauxSelle&amp;$EU152,Règles_chevaux_selle[Ration]&amp;Règles_chevaux_selle[Aliment],0)),0),0)*SUM(TotalChevauxSelleAdultes)*21)</f>
        <v>0</v>
      </c>
      <c r="EW152" s="1282">
        <f t="array" ref="EW152">IF(OR(ChoixRationHivernaleComplèteChevauxSelle=OUI,ChoixRationHivernaleComplèteChevauxSelle="",ChoixChevauxSellePréHiver=NON),0,IFERROR(IF(OR(AND(INDEX(Règles_chevaux_selle[Specificite],MATCH(RationHivernaleAuPréChevauxSelle&amp;$EU152,Règles_chevaux_selle[Ration]&amp;Règles_chevaux_selle[Aliment],0))="s1",IF($EU152=Spécificité1ChevauxSelle,1)),
AND(INDEX(Règles_chevaux_selle[Specificite],MATCH(RationHivernaleAuPréChevauxSelle&amp;$EU152,Règles_chevaux_selle[Ration]&amp;Règles_chevaux_selle[Aliment],0))="s2",IF($EU152=Spécificité2ChevauxSelle,1)),
INDEX(Règles_chevaux_selle[Specificite],MATCH(RationHivernaleAuPréChevauxSelle&amp;$EU152,Règles_chevaux_selle[Ration]&amp;Règles_chevaux_selle[Aliment],0))="c"),
INDEX(Règles_chevaux_selle[Valeur 24-36],MATCH(RationHivernaleAuPréChevauxSelle&amp;$EU152,Règles_chevaux_selle[Ration]&amp;Règles_chevaux_selle[Aliment],0)),0),0)*SUM(TotalChevauxSelle_24_36mois)*21)</f>
        <v>0</v>
      </c>
      <c r="EX152" s="1282">
        <f t="array" ref="EX152">IF(OR(ChoixRationHivernaleComplèteChevauxSelle=OUI,ChoixRationHivernaleComplèteChevauxSelle="",ChoixChevauxSellePréHiver=NON),0,IFERROR(IF(OR(AND(INDEX(Règles_chevaux_selle[Specificite],MATCH(RationHivernaleAuPréChevauxSelle&amp;$EU152,Règles_chevaux_selle[Ration]&amp;Règles_chevaux_selle[Aliment],0))="s1",IF($EU152=Spécificité1ChevauxSelle,1)),
AND(INDEX(Règles_chevaux_selle[Specificite],MATCH(RationHivernaleAuPréChevauxSelle&amp;$EU152,Règles_chevaux_selle[Ration]&amp;Règles_chevaux_selle[Aliment],0))="s2",IF($EU152=Spécificité2ChevauxSelle,1)),
INDEX(Règles_chevaux_selle[Specificite],MATCH(RationHivernaleAuPréChevauxSelle&amp;$EU152,Règles_chevaux_selle[Ration]&amp;Règles_chevaux_selle[Aliment],0))="c"),
INDEX(Règles_chevaux_selle[Valeur 12-24],MATCH(RationHivernaleAuPréChevauxSelle&amp;$EU152,Règles_chevaux_selle[Ration]&amp;Règles_chevaux_selle[Aliment],0)),0),0)*SUM(TotalChevauxSelle_12_24mois)*21)</f>
        <v>0</v>
      </c>
      <c r="EY152" s="1285">
        <f t="array" ref="EY152">IF(OR(ChoixRationHivernaleComplèteChevauxSelle=OUI,ChoixRationHivernaleComplèteChevauxSelle="",ChoixChevauxSellePréHiver=NON),0,IFERROR(IF(OR(AND(INDEX(Règles_chevaux_selle[Specificite],MATCH(RationHivernaleAuPréChevauxSelle&amp;$EU152,Règles_chevaux_selle[Ration]&amp;Règles_chevaux_selle[Aliment],0))="s1",IF($EU152=Spécificité1ChevauxSelle,1)),
AND(INDEX(Règles_chevaux_selle[Specificite],MATCH(RationHivernaleAuPréChevauxSelle&amp;$EU152,Règles_chevaux_selle[Ration]&amp;Règles_chevaux_selle[Aliment],0))="s2",IF($EU152=Spécificité2ChevauxSelle,1)),
INDEX(Règles_chevaux_selle[Specificite],MATCH(RationHivernaleAuPréChevauxSelle&amp;$EU152,Règles_chevaux_selle[Ration]&amp;Règles_chevaux_selle[Aliment],0))="c"),
INDEX(Règles_chevaux_selle[Valeur 0-12],MATCH(RationHivernaleAuPréChevauxSelle&amp;$EU152,Règles_chevaux_selle[Ration]&amp;Règles_chevaux_selle[Aliment],0)),0),0)*SUM(TotalPoulainsSelle)*21)</f>
        <v>0</v>
      </c>
      <c r="EZ152" s="1285">
        <f t="shared" si="59"/>
        <v>0</v>
      </c>
      <c r="FA152" s="1345"/>
      <c r="FB152" s="1345"/>
      <c r="FC152" s="1321"/>
      <c r="FD152" s="1082" t="str">
        <f t="shared" si="55"/>
        <v>Ensilage d'herbe</v>
      </c>
      <c r="FE152" s="1282">
        <f t="array" ref="FE152">IF(OR(ChoixRationHivernaleComplèteChevauxTrait=OUI,ChoixRationHivernaleComplèteChevauxTrait="",ChoixChevauxTraitPréHiver=NON),0,IFERROR(IF(OR(AND(INDEX(Règles_chevaux_trait[Specificite],MATCH(RationHivernaleAuPréChevauxTrait&amp;$FD152,Règles_chevaux_trait[Ration]&amp;Règles_chevaux_trait[Aliment],0))="s1",IF($FD152=Spécificité1ChevauxTrait,1)),
AND(INDEX(Règles_chevaux_trait[Specificite],MATCH(RationHivernaleAuPréChevauxTrait&amp;$FD152,Règles_chevaux_trait[Ration]&amp;Règles_chevaux_trait[Aliment],0))="s2",IF($FD152=Spécificité2ChevauxTrait,1)),
INDEX(Règles_chevaux_trait[Specificite],MATCH(RationHivernaleAuPréChevauxTrait&amp;$FD152,Règles_chevaux_trait[Ration]&amp;Règles_chevaux_trait[Aliment],0))="c"),
INDEX(Règles_chevaux_trait[Valeur 36 et plus],MATCH(RationHivernaleAuPréChevauxTrait&amp;$FD152,Règles_chevaux_trait[Ration]&amp;Règles_chevaux_trait[Aliment],0)),0),0)*SUM(TotalChevauxTraitAdultes)*21)</f>
        <v>0</v>
      </c>
      <c r="FF152" s="1282">
        <f t="array" ref="FF152">IF(OR(ChoixRationHivernaleComplèteChevauxTrait=OUI,ChoixRationHivernaleComplèteChevauxTrait="",ChoixChevauxTraitPréHiver=NON),0,IFERROR(IF(OR(AND(INDEX(Règles_chevaux_trait[Specificite],MATCH(RationHivernaleAuPréChevauxTrait&amp;$FD152,Règles_chevaux_trait[Ration]&amp;Règles_chevaux_trait[Aliment],0))="s1",IF($FD152=Spécificité1ChevauxTrait,1)),
AND(INDEX(Règles_chevaux_trait[Specificite],MATCH(RationHivernaleAuPréChevauxTrait&amp;$FD152,Règles_chevaux_trait[Ration]&amp;Règles_chevaux_trait[Aliment],0))="s2",IF($FD152=Spécificité2ChevauxTrait,1)),
INDEX(Règles_chevaux_trait[Specificite],MATCH(RationHivernaleAuPréChevauxTrait&amp;$FD152,Règles_chevaux_trait[Ration]&amp;Règles_chevaux_trait[Aliment],0))="c"),
INDEX(Règles_chevaux_trait[Valeur 24-36],MATCH(RationHivernaleAuPréChevauxTrait&amp;$FD152,Règles_chevaux_trait[Ration]&amp;Règles_chevaux_trait[Aliment],0)),0),0)*SUM(TotalChevauxTrait_24_36mois)*21)</f>
        <v>0</v>
      </c>
      <c r="FG152" s="1282">
        <f t="array" ref="FG152">IF(OR(ChoixRationHivernaleComplèteChevauxTrait=OUI,ChoixRationHivernaleComplèteChevauxTrait="",ChoixChevauxTraitPréHiver=NON),0,IFERROR(IF(OR(AND(INDEX(Règles_chevaux_trait[Specificite],MATCH(RationHivernaleAuPréChevauxTrait&amp;$FD152,Règles_chevaux_trait[Ration]&amp;Règles_chevaux_trait[Aliment],0))="s1",IF($FD152=Spécificité1ChevauxTrait,1)),
AND(INDEX(Règles_chevaux_trait[Specificite],MATCH(RationHivernaleAuPréChevauxTrait&amp;$FD152,Règles_chevaux_trait[Ration]&amp;Règles_chevaux_trait[Aliment],0))="s2",IF($FD152=Spécificité2ChevauxTrait,1)),
INDEX(Règles_chevaux_trait[Specificite],MATCH(RationHivernaleAuPréChevauxTrait&amp;$FD152,Règles_chevaux_trait[Ration]&amp;Règles_chevaux_trait[Aliment],0))="c"),
INDEX(Règles_chevaux_trait[Valeur 12-24],MATCH(RationHivernaleAuPréChevauxTrait&amp;$FD152,Règles_chevaux_trait[Ration]&amp;Règles_chevaux_trait[Aliment],0)),0),0)*SUM(TotalChevauxTrait_12_24mois)*21)</f>
        <v>0</v>
      </c>
      <c r="FH152" s="1285">
        <f t="array" ref="FH152">IF(OR(ChoixRationHivernaleComplèteChevauxTrait=OUI,ChoixRationHivernaleComplèteChevauxTrait="",ChoixChevauxTraitPréHiver=NON),0,IFERROR(IF(OR(AND(INDEX(Règles_chevaux_trait[Specificite],MATCH(RationHivernaleAuPréChevauxTrait&amp;$FD152,Règles_chevaux_trait[Ration]&amp;Règles_chevaux_trait[Aliment],0))="s1",IF($FD152=Spécificité1ChevauxTrait,1)),
AND(INDEX(Règles_chevaux_trait[Specificite],MATCH(RationHivernaleAuPréChevauxTrait&amp;$FD152,Règles_chevaux_trait[Ration]&amp;Règles_chevaux_trait[Aliment],0))="s2",IF($FD152=Spécificité2ChevauxTrait,1)),
INDEX(Règles_chevaux_trait[Specificite],MATCH(RationHivernaleAuPréChevauxTrait&amp;$FD152,Règles_chevaux_trait[Ration]&amp;Règles_chevaux_trait[Aliment],0))="c"),
INDEX(Règles_chevaux_trait[Valeur 0-12],MATCH(RationHivernaleAuPréChevauxTrait&amp;$FD152,Règles_chevaux_trait[Ration]&amp;Règles_chevaux_trait[Aliment],0)),0),0)*SUM(TotalPoulainsTrait)*21)</f>
        <v>0</v>
      </c>
      <c r="FI152" s="1285">
        <f t="shared" si="53"/>
        <v>0</v>
      </c>
      <c r="FJ152" s="1345"/>
      <c r="FK152" s="1345"/>
      <c r="FL152" s="1345"/>
      <c r="FM152" s="1321"/>
      <c r="FN152" s="1083" t="str">
        <f t="shared" si="54"/>
        <v>Eau</v>
      </c>
      <c r="FO152" s="1283">
        <f t="array" ref="FO152">IF(OR(ChoixRationHivernaleComplètePoneys=OUI,ChoixRationHivernaleComplètePoneys="",ChoixPoneysPréHiver=NON),0,IFERROR(IF(OR(AND(INDEX(Règles_poneys[Specificite],MATCH(RationHivernaleAuPréPoneys&amp;$FN152,Règles_poneys[Ration]&amp;Règles_poneys[Aliment],0))="s1",IF($FN152=Spécificité1Poneys,1)),
AND(INDEX(Règles_poneys[Specificite],MATCH(RationHivernaleAuPréPoneys&amp;$FN152,Règles_poneys[Ration]&amp;Règles_poneys[Aliment],0))="s2",IF($FN152=Spécificité2Poneys,1)),
INDEX(Règles_poneys[Specificite],MATCH(RationHivernaleAuPréPoneys&amp;$FN152,Règles_poneys[Ration]&amp;Règles_poneys[Aliment],0))="c"),
INDEX(Règles_poneys[Valeur 36 et plus],MATCH(RationHivernaleAuPréPoneys&amp;$FN152,Règles_poneys[Ration]&amp;Règles_poneys[Aliment],0)),0),0)*SUM(TotalPoneysAdultes)*21)</f>
        <v>0</v>
      </c>
      <c r="FP152" s="1283">
        <f t="array" ref="FP152">IF(OR(ChoixRationHivernaleComplètePoneys=OUI,ChoixRationHivernaleComplètePoneys="",ChoixPoneysPréHiver=NON),0,IFERROR(IF(OR(AND(INDEX(Règles_poneys[Specificite],MATCH(RationHivernaleAuPréPoneys&amp;$FN152,Règles_poneys[Ration]&amp;Règles_poneys[Aliment],0))="s1",IF($FN152=Spécificité1Poneys,1)),
AND(INDEX(Règles_poneys[Specificite],MATCH(RationHivernaleAuPréPoneys&amp;$FN152,Règles_poneys[Ration]&amp;Règles_poneys[Aliment],0))="s2",IF($FN152=Spécificité2Poneys,1)),
INDEX(Règles_poneys[Specificite],MATCH(RationHivernaleAuPréPoneys&amp;$FN152,Règles_poneys[Ration]&amp;Règles_poneys[Aliment],0))="c"),
INDEX(Règles_poneys[Valeur 24-36],MATCH(RationHivernaleAuPréPoneys&amp;$FN152,Règles_poneys[Ration]&amp;Règles_poneys[Aliment],0)),0),0)*SUM(TotalPoneys_24_36mois)*21)</f>
        <v>0</v>
      </c>
      <c r="FQ152" s="1283">
        <f t="array" ref="FQ152">IF(OR(ChoixRationHivernaleComplètePoneys=OUI,ChoixRationHivernaleComplètePoneys="",ChoixPoneysPréHiver=NON),0,IFERROR(IF(OR(AND(INDEX(Règles_poneys[Specificite],MATCH(RationHivernaleAuPréPoneys&amp;$FN152,Règles_poneys[Ration]&amp;Règles_poneys[Aliment],0))="s1",IF($FN152=Spécificité1Poneys,1)),
AND(INDEX(Règles_poneys[Specificite],MATCH(RationHivernaleAuPréPoneys&amp;$FN152,Règles_poneys[Ration]&amp;Règles_poneys[Aliment],0))="s2",IF($FN152=Spécificité2Poneys,1)),
INDEX(Règles_poneys[Specificite],MATCH(RationHivernaleAuPréPoneys&amp;$FN152,Règles_poneys[Ration]&amp;Règles_poneys[Aliment],0))="c"),
INDEX(Règles_poneys[Valeur 12-24],MATCH(RationHivernaleAuPréPoneys&amp;$FN152,Règles_poneys[Ration]&amp;Règles_poneys[Aliment],0)),0),0)*SUM(TotalPoneys_12_24mois)*21)</f>
        <v>0</v>
      </c>
      <c r="FR152" s="1286">
        <f t="array" ref="FR152">IF(OR(ChoixRationHivernaleComplètePoneys=OUI,ChoixRationHivernaleComplètePoneys="",ChoixPoneysPréHiver=NON),0,IFERROR(IF(OR(AND(INDEX(Règles_poneys[Specificite],MATCH(RationHivernaleAuPréPoneys&amp;$FN152,Règles_poneys[Ration]&amp;Règles_poneys[Aliment],0))="s1",IF($FN152=Spécificité1Poneys,1)),
AND(INDEX(Règles_poneys[Specificite],MATCH(RationHivernaleAuPréPoneys&amp;$FN152,Règles_poneys[Ration]&amp;Règles_poneys[Aliment],0))="s2",IF($FN152=Spécificité2Poneys,1)),
INDEX(Règles_poneys[Specificite],MATCH(RationHivernaleAuPréPoneys&amp;$FN152,Règles_poneys[Ration]&amp;Règles_poneys[Aliment],0))="c"),
INDEX(Règles_poneys[Valeur 0-12],MATCH(RationHivernaleAuPréPoneys&amp;$FN152,Règles_poneys[Ration]&amp;Règles_poneys[Aliment],0)),0),0)*SUM(TotalPoulainsPoneys)*21)</f>
        <v>0</v>
      </c>
      <c r="FS152" s="1286">
        <f t="shared" si="52"/>
        <v>0</v>
      </c>
      <c r="FT152" s="1345"/>
      <c r="FU152" s="1345"/>
      <c r="FV152" s="1345"/>
      <c r="FW152" s="1082" t="str">
        <f t="shared" si="49"/>
        <v>Lentille</v>
      </c>
      <c r="FX152" s="1282">
        <f t="array" ref="FX152">SUM((IF(QualitéAlimentsGavageOison_0_1_mois=BONNE,VLOOKUP("Lentille",AlimentsGavageOies[],5,FALSE),0)+(IF(QualitéAlimentsGavageCaneton_0_1_mois=BONNE,VLOOKUP("Lentille",AlimentsGavageCanards[],5,FALSE),0)+(IF(QualitéAlimentsGavageOison_1_2_mois=BONNE,VLOOKUP("Lentille",AlimentsGavageOies[],4,FALSE),0)+(IF(QualitéAlimentsGavageCaneton_1_2_mois=BONNE,VLOOKUP("Lentille",AlimentsGavageCanards[],4,FALSE),0)+(IF(QualitéAlimentsGavageOison_2_3_mois=BONNE,VLOOKUP("Lentille",AlimentsGavageOies[],3,FALSE),0)+(IF(QualitéAlimentsGavageCaneton_2_3_mois=BONNE,VLOOKUP("Lentille",AlimentsGavageCanards[],3,FALSE),0)+(IF(QualitéAlimentsGavageJeunesOies=BONNE,VLOOKUP("Lentille",AlimentsGavageOies[],2,FALSE),0)+(IF(QualitéAlimentsGavageJeuneCanard=BONNE,VLOOKUP("Lentille",AlimentsGavageCanards[],2,FALSE),0))))))))))</f>
        <v>0</v>
      </c>
      <c r="FY152" s="1282">
        <f t="array" ref="FY152">SUM((IF(QualitéAlimentsGavageOison_0_1_mois=MOYENNE,VLOOKUP("Lentille",AlimentsGavageOies[],5,FALSE),0)+(IF(QualitéAlimentsGavageCaneton_0_1_mois=MOYENNE,VLOOKUP("Lentille",AlimentsGavageCanards[],5,FALSE),0)+(IF(QualitéAlimentsGavageOison_1_2_mois=MOYENNE,VLOOKUP("Lentille",AlimentsGavageOies[],4,FALSE),0)+(IF(QualitéAlimentsGavageCaneton_1_2_mois=MOYENNE,VLOOKUP("Lentille",AlimentsGavageCanards[],4,FALSE),0)+(IF(QualitéAlimentsGavageOison_2_3_mois=MOYENNE,VLOOKUP("Lentille",AlimentsGavageOies[],3,FALSE),0)+(IF(QualitéAlimentsGavageCaneton_2_3_mois=MOYENNE,VLOOKUP("Lentille",AlimentsGavageCanards[],3,FALSE),0)+(IF(QualitéAlimentsGavageJeunesOies=MOYENNE,VLOOKUP("Lentille",AlimentsGavageOies[],2,FALSE),0)+(IF(QualitéAlimentsGavageJeuneCanard=MOYENNE,VLOOKUP("Lentille",AlimentsGavageCanards[],2,FALSE),0))))))))))</f>
        <v>0</v>
      </c>
      <c r="FZ152" s="1282">
        <f t="array" ref="FZ152">SUM((IF(QualitéAlimentsGavageOison_0_1_mois=MAUVAISE,VLOOKUP("Lentille",AlimentsGavageOies[],5,FALSE),0)+(IF(QualitéAlimentsGavageCaneton_0_1_mois=MAUVAISE,VLOOKUP("Lentille",AlimentsGavageCanards[],5,FALSE),0)+(IF(QualitéAlimentsGavageOison_1_2_mois=MAUVAISE,VLOOKUP("Lentille",AlimentsGavageOies[],4,FALSE),0)+(IF(QualitéAlimentsGavageCaneton_1_2_mois=MAUVAISE,VLOOKUP("Lentille",AlimentsGavageCanards[],4,FALSE),0)+(IF(QualitéAlimentsGavageOison_2_3_mois=MAUVAISE,VLOOKUP("Lentille",AlimentsGavageOies[],3,FALSE),0)+(IF(QualitéAlimentsGavageCaneton_2_3_mois=MAUVAISE,VLOOKUP("Lentille",AlimentsGavageCanards[],3,FALSE),0)+(IF(QualitéAlimentsGavageJeunesOies=MAUVAISE,VLOOKUP("Lentille",AlimentsGavageOies[],2,FALSE),0)+(IF(QualitéAlimentsGavageJeuneCanard=MAUVAISE,VLOOKUP("Lentille",AlimentsGavageCanards[],2,FALSE),0))))))))))</f>
        <v>0</v>
      </c>
      <c r="GA152" s="1345"/>
      <c r="GB152" s="1345"/>
      <c r="GC152" s="1321"/>
      <c r="GD152" s="1321"/>
      <c r="GE152" s="1321"/>
      <c r="GF152" s="1321"/>
      <c r="GG152" s="1321" t="s">
        <v>1349</v>
      </c>
      <c r="GH152" s="1321" t="s">
        <v>1349</v>
      </c>
      <c r="GI152" s="1321" t="s">
        <v>1349</v>
      </c>
      <c r="GJ152" s="1321" t="s">
        <v>1349</v>
      </c>
      <c r="GK152" s="1321" t="s">
        <v>1349</v>
      </c>
      <c r="GL152" s="1321" t="s">
        <v>1349</v>
      </c>
      <c r="GM152" s="1321" t="s">
        <v>1349</v>
      </c>
      <c r="GN152" s="1321" t="s">
        <v>1349</v>
      </c>
      <c r="GO152" s="1321" t="s">
        <v>1349</v>
      </c>
      <c r="GP152" s="1321" t="s">
        <v>1349</v>
      </c>
      <c r="GQ152" s="1321" t="s">
        <v>1349</v>
      </c>
      <c r="GR152" s="1321" t="s">
        <v>1349</v>
      </c>
      <c r="GS152" s="1321" t="s">
        <v>1349</v>
      </c>
      <c r="GT152" s="1321" t="s">
        <v>1349</v>
      </c>
      <c r="GU152" s="1321" t="s">
        <v>1349</v>
      </c>
      <c r="GV152" s="1321" t="s">
        <v>1349</v>
      </c>
      <c r="GW152" s="1321"/>
      <c r="GX152" s="1321"/>
      <c r="GY152" s="1321"/>
      <c r="GZ152" s="1321"/>
      <c r="HA152" s="1321"/>
      <c r="HB152" s="1321"/>
      <c r="HC152" s="1321"/>
      <c r="HD152" s="1321"/>
      <c r="HE152" s="1321"/>
      <c r="HF152" s="1321"/>
      <c r="HG152" s="1321"/>
      <c r="HH152" s="1321"/>
      <c r="HI152" s="1321"/>
      <c r="HJ152" s="1321"/>
      <c r="HK152" s="1321"/>
      <c r="HL152" s="1321"/>
      <c r="HM152" s="1321"/>
      <c r="HN152" s="1321"/>
      <c r="HO152" s="1321"/>
      <c r="HP152" s="1321"/>
      <c r="HQ152" s="1321"/>
      <c r="HR152" s="1321"/>
      <c r="HS152" s="1321"/>
      <c r="HT152" s="1321"/>
      <c r="HU152" s="1321"/>
      <c r="HV152" s="1321"/>
      <c r="HW152" s="1321"/>
      <c r="HX152" s="1321"/>
      <c r="HY152" s="1321"/>
      <c r="HZ152" s="1321"/>
      <c r="IA152" s="1321"/>
      <c r="IB152" s="1321"/>
      <c r="IC152" s="1321"/>
      <c r="ID152" s="1321"/>
      <c r="IE152" s="1321"/>
      <c r="IF152" s="1321"/>
      <c r="IG152" s="1321"/>
      <c r="IH152" s="1321"/>
      <c r="II152" s="1321"/>
      <c r="IJ152" s="1321"/>
      <c r="IK152" s="1321"/>
      <c r="IL152" s="1321"/>
      <c r="IM152" s="1321"/>
      <c r="IN152" s="1368"/>
    </row>
    <row r="153" spans="1:248" ht="12.75" customHeight="1" x14ac:dyDescent="0.2">
      <c r="A153" s="1307" t="s">
        <v>510</v>
      </c>
      <c r="B153" s="1209">
        <v>6</v>
      </c>
      <c r="C153" s="1321"/>
      <c r="D153" s="1321"/>
      <c r="E153" s="1321"/>
      <c r="F153" s="1149" t="s">
        <v>1766</v>
      </c>
      <c r="G153" s="1149">
        <v>25</v>
      </c>
      <c r="H153" s="1321"/>
      <c r="I153" s="1075" t="str">
        <f t="shared" si="64"/>
        <v>10-19,99</v>
      </c>
      <c r="J153" s="1080">
        <f>IF(gains!F$4=BDD!O$127,10,IF(gains!F$4=BDD!P$127,20,IF(gains!F$4=BDD!Q$127,30,0)))</f>
        <v>10</v>
      </c>
      <c r="K153" s="1080">
        <f>IF(gains!$G$9=K$127,1,0)</f>
        <v>0</v>
      </c>
      <c r="L153" s="1080">
        <f>IF(gains!$G$9=L$127,2,0)</f>
        <v>0</v>
      </c>
      <c r="M153" s="1080">
        <f>IF(gains!$G$9=M$127,3,0)</f>
        <v>0</v>
      </c>
      <c r="N153" s="1080">
        <f>IF(gains!$G$9=N$127,4,0)</f>
        <v>0</v>
      </c>
      <c r="O153" s="1080">
        <f>IF(AND(J153=10,SUM(K153:N153)=1),gains!$F$40,IF(AND(J153=10,SUM(K153:N153)=2),gains!$F$40*2,IF(AND(J153=10,SUM(K153:N153)=3),gains!$F$40*3,IF(AND(J153=10,SUM(K153:N153)=4),gains!$F$40*4,0))))</f>
        <v>0</v>
      </c>
      <c r="P153" s="1080">
        <f>IF(AND(J153=20,SUM(K153:N153)=1),gains!$F$40*7,IF(AND(J153=20,SUM(K153:N153)=2),gains!$F$40*7*2,IF(AND(J153=20,SUM(K153:N153)=3),gains!$F$40*7*3,IF(AND(J153=20,SUM(K153:N153)=4),gains!$F$40*7*4,0))))</f>
        <v>0</v>
      </c>
      <c r="Q153" s="1080">
        <f>IF(AND(J153=30,SUM(K153:N153)=1),gains!$F$40*7*12,IF(AND(J153=30,SUM(K153:N153)=2),gains!$F$40*7*12*2,IF(AND(J153=30,SUM(K153:N153)=3),gains!$F$40*7*12*3,IF(AND(J153=30,SUM(K153:N153)=4),gains!$F$40*7*12*4,0))))</f>
        <v>0</v>
      </c>
      <c r="R153" s="1321"/>
      <c r="S153" s="1321"/>
      <c r="T153" s="1321"/>
      <c r="U153" s="1321"/>
      <c r="V153" s="1321"/>
      <c r="W153" s="1321"/>
      <c r="X153" s="1321"/>
      <c r="Y153" s="1321"/>
      <c r="Z153" s="1321"/>
      <c r="AA153" s="1321"/>
      <c r="AB153" s="1321"/>
      <c r="AC153" s="1321"/>
      <c r="AD153" s="1321"/>
      <c r="AE153" s="1321"/>
      <c r="AF153" s="1321"/>
      <c r="AG153" s="1321"/>
      <c r="AH153" s="1321"/>
      <c r="AI153" s="1321"/>
      <c r="AJ153" s="1321"/>
      <c r="AK153" s="1321"/>
      <c r="AL153" s="1321"/>
      <c r="AM153" s="1321"/>
      <c r="AN153" s="1321"/>
      <c r="AO153" s="1321"/>
      <c r="AP153" s="1321"/>
      <c r="AQ153" s="1321"/>
      <c r="AR153" s="1321"/>
      <c r="AS153" s="1321"/>
      <c r="AT153" s="1321"/>
      <c r="AU153" s="1321"/>
      <c r="AV153" s="1321"/>
      <c r="AW153" s="1321"/>
      <c r="AX153" s="1321"/>
      <c r="AY153" s="1321"/>
      <c r="AZ153" s="1321"/>
      <c r="BA153" s="1321"/>
      <c r="BB153" s="1236" t="s">
        <v>731</v>
      </c>
      <c r="BC153" s="1190" t="s">
        <v>76</v>
      </c>
      <c r="BD153" s="1190" t="s">
        <v>1253</v>
      </c>
      <c r="BE153" s="1237">
        <v>7.2</v>
      </c>
      <c r="BF153" s="1237">
        <v>6</v>
      </c>
      <c r="BG153" s="1237">
        <v>4</v>
      </c>
      <c r="BH153" s="1237">
        <v>2</v>
      </c>
      <c r="BI153" s="1237">
        <v>1.2</v>
      </c>
      <c r="BJ153" s="1237">
        <v>0.6</v>
      </c>
      <c r="BK153" s="1238">
        <v>0</v>
      </c>
      <c r="BL153" s="1348"/>
      <c r="BM153" s="1346"/>
      <c r="BN153" s="1321"/>
      <c r="BO153" s="1321"/>
      <c r="BP153" s="1321"/>
      <c r="BQ153" s="1321"/>
      <c r="BR153" s="1321"/>
      <c r="BS153" s="1321"/>
      <c r="BT153" s="1321"/>
      <c r="BU153" s="1321"/>
      <c r="BV153" s="1345"/>
      <c r="BW153" s="1345"/>
      <c r="BX153" s="1075" t="str">
        <f t="shared" si="57"/>
        <v>concentré jeunes porcins</v>
      </c>
      <c r="BY153" s="1075">
        <f t="array" ref="BY153">IF(ChoixRationComplèteCaprins=OUI,0,IFERROR(IF(OR(AND(INDEX(Règles_caprins[Specificite],MATCH(ChoixRationCaprins&amp;$BX153,Règles_caprins[Ration]&amp;Règles_caprins[Aliment],0))="s1",IF($BX153=Spécificité1Caprins,1)),
INDEX(Règles_caprins[Specificite],MATCH(ChoixRationCaprins&amp;$BX153,Règles_caprins[Ration]&amp;Règles_caprins[Aliment],0))="c"),
INDEX(Règles_caprins[Valeur 12 et plus],MATCH(ChoixRationCaprins&amp;$BX153,Règles_caprins[Ration]&amp;Règles_caprins[Aliment],0)),0),0)*TotalChèvres*SUM(NbreJoursNourrirCaprins))</f>
        <v>0</v>
      </c>
      <c r="BZ153" s="1075">
        <f t="array" ref="BZ153">IF(ChoixRationComplèteCaprins=OUI,0,IFERROR(IF(OR(AND(INDEX(Règles_caprins[Specificite],MATCH(ChoixRationCaprins&amp;$BX153,Règles_caprins[Ration]&amp;Règles_caprins[Aliment],0))="s1",IF($BX153=Spécificité1Caprins,1)),
INDEX(Règles_caprins[Specificite],MATCH(ChoixRationCaprins&amp;$BX153,Règles_caprins[Ration]&amp;Règles_caprins[Aliment],0))="c"),
INDEX(Règles_caprins[Valeur 6-12],MATCH(ChoixRationCaprins&amp;$BX153,Règles_caprins[Ration]&amp;Règles_caprins[Aliment],0)),0),0)*jeune_chèvre_6_12_mois*SUM(NbreJoursNourrirCaprins))</f>
        <v>0</v>
      </c>
      <c r="CA153" s="1075">
        <f t="array" ref="CA153">IF(ChoixRationComplèteCaprins=OUI,0,IFERROR(IF(OR(AND(INDEX(Règles_caprins[Specificite],MATCH(ChoixRationCaprins&amp;$BX153,Règles_caprins[Ration]&amp;Règles_caprins[Aliment],0))="s1",IF($BX153=Spécificité1Caprins,1)),
INDEX(Règles_caprins[Specificite],MATCH(ChoixRationCaprins&amp;$BX153,Règles_caprins[Ration]&amp;Règles_caprins[Aliment],0))="c"),
INDEX(Règles_caprins[Valeur 3-6],MATCH(ChoixRationCaprins&amp;$BX153,Règles_caprins[Ration]&amp;Règles_caprins[Aliment],0)),0),0)*chevrette_3_6_mois*SUM(NbreJoursNourrirCaprins))</f>
        <v>0</v>
      </c>
      <c r="CB153" s="1075">
        <f t="array" ref="CB153">IF(ChoixRationComplèteCaprins=OUI,0,IFERROR(IF(OR(AND(INDEX(Règles_caprins[Specificite],MATCH(ChoixRationCaprins&amp;$BX153,Règles_caprins[Ration]&amp;Règles_caprins[Aliment],0))="s1",IF($BX153=Spécificité1Caprins,1)),
INDEX(Règles_caprins[Specificite],MATCH(ChoixRationCaprins&amp;$BX153,Règles_caprins[Ration]&amp;Règles_caprins[Aliment],0))="c"),
INDEX(Règles_caprins[Valeur 0-3],MATCH(ChoixRationCaprins&amp;$BX153,Règles_caprins[Ration]&amp;Règles_caprins[Aliment],0)),0),0)*chevrette_0_3_mois*SUM(NbreJoursNourrirCaprins))</f>
        <v>0</v>
      </c>
      <c r="CC153" s="1075">
        <f t="shared" si="56"/>
        <v>0</v>
      </c>
      <c r="CD153" s="1345"/>
      <c r="CE153" s="1345"/>
      <c r="CF153" s="1345"/>
      <c r="CG153" s="1345"/>
      <c r="CH153" s="1345"/>
      <c r="CI153" s="1321"/>
      <c r="CJ153" s="1076" t="str">
        <f t="shared" si="51"/>
        <v>Foin</v>
      </c>
      <c r="CK153" s="1267">
        <f t="array" ref="CK153">SUM((IF(QualitéAlimentsPorceletMâle_0_1_mois=BONNE,VLOOKUP("Foin",AlimentsRationPorcinsMâles[],6,FALSE),0)+(IF(QualitéAlimentsPorceletFemelle_0_1_mois=BONNE,VLOOKUP("Foin",AlimentsRationPorcinsFemelles[],6,FALSE),0)+(IF(QualitéAlimentsPorceletMâle_1_3_mois=BONNE,VLOOKUP("Foin",AlimentsRationPorcinsMâles[],5,FALSE),0)+(IF(QualitéAlimentsPorceletFemelle_1_3_mois=BONNE,VLOOKUP("Foin",AlimentsRationPorcinsFemelles[],5,FALSE),0)+(IF(QualitéAlimentsJeuneVerrat_3_6_mois=BONNE,VLOOKUP("Foin",AlimentsRationPorcinsMâles[],4,FALSE),0)+(IF(QualitéAlimentsJeuneTruie_3_6_mois=BONNE,VLOOKUP("Foin",AlimentsRationPorcinsFemelles[],4,FALSE),0)+(IF(QualitéAlimentsJeuneVerrat_6_12_mois=BONNE,VLOOKUP("Foin",AlimentsRationPorcinsMâles[],3,FALSE),0)+(IF(QualitéAlimentsJeuneTruie_6_12_mois=BONNE,VLOOKUP("Foin",AlimentsRationPorcinsFemelles[],3,FALSE),0)+(IF(QualitéAlimentsVerrat=BONNE,VLOOKUP("Foin",AlimentsRationPorcinsMâles[],2,FALSE),0)+(IF(QualitéAlimentsTruie=BONNE,VLOOKUP("Foin",AlimentsRationPorcinsFemelles[],2,FALSE),0))))))))))))</f>
        <v>0</v>
      </c>
      <c r="CL153" s="1267">
        <f t="array" ref="CL153">SUM((IF(QualitéAlimentsPorceletMâle_0_1_mois=MOYENNE,VLOOKUP("Foin",AlimentsRationPorcinsMâles[],6,FALSE),0)+(IF(QualitéAlimentsPorceletFemelle_0_1_mois=MOYENNE,VLOOKUP("Foin",AlimentsRationPorcinsFemelles[],6,FALSE),0)+(IF(QualitéAlimentsPorceletMâle_1_3_mois=MOYENNE,VLOOKUP("Foin",AlimentsRationPorcinsMâles[],5,FALSE),0)+(IF(QualitéAlimentsPorceletFemelle_1_3_mois=MOYENNE,VLOOKUP("Foin",AlimentsRationPorcinsFemelles[],5,FALSE),0)+(IF(QualitéAlimentsJeuneVerrat_3_6_mois=MOYENNE,VLOOKUP("Foin",AlimentsRationPorcinsMâles[],4,FALSE),0)+(IF(QualitéAlimentsJeuneTruie_3_6_mois=MOYENNE,VLOOKUP("Foin",AlimentsRationPorcinsFemelles[],4,FALSE),0)+(IF(QualitéAlimentsJeuneVerrat_6_12_mois=MOYENNE,VLOOKUP("Foin",AlimentsRationPorcinsMâles[],3,FALSE),0)+(IF(QualitéAlimentsJeuneTruie_6_12_mois=MOYENNE,VLOOKUP("Foin",AlimentsRationPorcinsFemelles[],3,FALSE),0)+(IF(QualitéAlimentsVerrat=MOYENNE,VLOOKUP("Foin",AlimentsRationPorcinsMâles[],2,FALSE),0)+(IF(QualitéAlimentsTruie=MOYENNE,VLOOKUP("Foin",AlimentsRationPorcinsFemelles[],2,FALSE),0))))))))))))</f>
        <v>0</v>
      </c>
      <c r="CM153" s="1267">
        <f t="array" ref="CM153">SUM((IF(QualitéAlimentsPorceletMâle_0_1_mois=MAUVAISE,VLOOKUP("Foin",AlimentsRationPorcinsMâles[],6,FALSE),0)+(IF(QualitéAlimentsPorceletFemelle_0_1_mois=MAUVAISE,VLOOKUP("Foin",AlimentsRationPorcinsFemelles[],6,FALSE),0)+(IF(QualitéAlimentsPorceletMâle_1_3_mois=MAUVAISE,VLOOKUP("Foin",AlimentsRationPorcinsMâles[],5,FALSE),0)+(IF(QualitéAlimentsPorceletFemelle_1_3_mois=MAUVAISE,VLOOKUP("Foin",AlimentsRationPorcinsFemelles[],5,FALSE),0)+(IF(QualitéAlimentsJeuneVerrat_3_6_mois=MAUVAISE,VLOOKUP("Foin",AlimentsRationPorcinsMâles[],4,FALSE),0)+(IF(QualitéAlimentsJeuneTruie_3_6_mois=MAUVAISE,VLOOKUP("Foin",AlimentsRationPorcinsFemelles[],4,FALSE),0)+(IF(QualitéAlimentsJeuneVerrat_6_12_mois=MAUVAISE,VLOOKUP("Foin",AlimentsRationPorcinsMâles[],3,FALSE),0)+(IF(QualitéAlimentsJeuneTruie_6_12_mois=MAUVAISE,VLOOKUP("Foin",AlimentsRationPorcinsFemelles[],3,FALSE),0)+(IF(QualitéAlimentsVerrat=MAUVAISE,VLOOKUP("Foin",AlimentsRationPorcinsMâles[],2,FALSE),0)+(IF(QualitéAlimentsTruie=MAUVAISE,VLOOKUP("Foin",AlimentsRationPorcinsFemelles[],2,FALSE),0))))))))))))</f>
        <v>0</v>
      </c>
      <c r="CN153" s="1321"/>
      <c r="CO153" s="1320"/>
      <c r="CP153" s="1345"/>
      <c r="CQ153" s="1321"/>
      <c r="CR153" s="1321"/>
      <c r="CS153" s="1336" t="s">
        <v>1749</v>
      </c>
      <c r="CT153" s="1336"/>
      <c r="CU153" s="1336"/>
      <c r="CV153" s="1336"/>
      <c r="CW153" s="1321"/>
      <c r="CX153" s="1321"/>
      <c r="CY153" s="1321"/>
      <c r="CZ153" s="1079" t="s">
        <v>1276</v>
      </c>
      <c r="DA153" s="1271" t="s">
        <v>1746</v>
      </c>
      <c r="DB153" s="1271" t="s">
        <v>1747</v>
      </c>
      <c r="DC153" s="1271" t="s">
        <v>1748</v>
      </c>
      <c r="DD153" s="1321"/>
      <c r="DE153" s="1321"/>
      <c r="DF153" s="1321"/>
      <c r="DG153" s="1075" t="str">
        <f t="shared" si="58"/>
        <v>concentré jeunes porcins</v>
      </c>
      <c r="DH153" s="1269">
        <f t="array" ref="DH153">SUM((IF(QualitéAlimentsPintadeauMâle_0_1_mois=BONNE,VLOOKUP("Concentré jeunes porcins",AlimentsRationPintadesMâles[],4,FALSE),0)+(IF(QualitéAlimentsPintadeauFemelle_0_1_mois=BONNE,VLOOKUP("Concentré jeunes porcins",AlimentsRationPintadesFemelles[],4,FALSE),0)+(IF(QualitéAlimentsJeunePintadeMâle=BONNE,VLOOKUP("Concentré jeunes porcins",AlimentsRationPintadesMâles[],3,FALSE),0)+(IF(QualitéAlimentsJeunePintadeFemelle=BONNE,VLOOKUP("Concentré jeunes porcins",AlimentsRationPintadesFemelles[],3,FALSE),0)+(IF(QualitéAlimentsPintadeMâle=BONNE,VLOOKUP("Concentré jeunes porcins",AlimentsRationPintadesMâles[],2,FALSE),0)+(IF(QualitéAlimentsPintadeFemelle=BONNE,VLOOKUP("Concentré jeunes porcins",AlimentsRationPintadesFemelles[],2,FALSE),0))))))))</f>
        <v>0</v>
      </c>
      <c r="DI153" s="1269">
        <f t="array" ref="DI153">SUM((IF(QualitéAlimentsPintadeauMâle_0_1_mois=MOYENNE,VLOOKUP("Concentré jeunes porcins",AlimentsRationPintadesMâles[],4,FALSE),0)+(IF(QualitéAlimentsPintadeauFemelle_0_1_mois=MOYENNE,VLOOKUP("Concentré jeunes porcins",AlimentsRationPintadesFemelles[],4,FALSE),0)+(IF(QualitéAlimentsJeunePintadeMâle=MOYENNE,VLOOKUP("Concentré jeunes porcins",AlimentsRationPintadesMâles[],3,FALSE),0)+(IF(QualitéAlimentsJeunePintadeFemelle=MOYENNE,VLOOKUP("Concentré jeunes porcins",AlimentsRationPintadesFemelles[],3,FALSE),0)+(IF(QualitéAlimentsPintadeMâle=MOYENNE,VLOOKUP("Concentré jeunes porcins",AlimentsRationPintadesMâles[],2,FALSE),0)+(IF(QualitéAlimentsPintadeFemelle=MOYENNE,VLOOKUP("Concentré jeunes porcins",AlimentsRationPintadesFemelles[],2,FALSE),0))))))))</f>
        <v>0</v>
      </c>
      <c r="DJ153" s="1269">
        <f t="array" ref="DJ153">SUM((IF(QualitéAlimentsPintadeauMâle_0_1_mois=MAUVAISE,VLOOKUP("Concentré jeunes porcins",AlimentsRationPintadesMâles[],4,FALSE),0)+(IF(QualitéAlimentsPintadeauFemelle_0_1_mois=MAUVAISE,VLOOKUP("Concentré jeunes porcins",AlimentsRationPintadesFemelles[],4,FALSE),0)+(IF(QualitéAlimentsJeunePintadeMâle=MAUVAISE,VLOOKUP("Concentré jeunes porcins",AlimentsRationPintadesMâles[],3,FALSE),0)+(IF(QualitéAlimentsJeunePintadeFemelle=MAUVAISE,VLOOKUP("Concentré jeunes porcins",AlimentsRationPintadesFemelles[],3,FALSE),0)+(IF(QualitéAlimentsPintadeMâle=MAUVAISE,VLOOKUP("Concentré jeunes porcins",AlimentsRationPintadesMâles[],2,FALSE),0)+(IF(QualitéAlimentsPintadeFemelle=MAUVAISE,VLOOKUP("Concentré jeunes porcins",AlimentsRationPintadesFemelles[],2,FALSE),0))))))))</f>
        <v>0</v>
      </c>
      <c r="DK153" s="1321"/>
      <c r="DL153" s="1321"/>
      <c r="DM153" s="1321"/>
      <c r="DN153" s="1075" t="s">
        <v>730</v>
      </c>
      <c r="DO153" s="1269">
        <f t="array" ref="DO153">IF(ChoixRationComplèteOvins=OUI,0,IFERROR(IF(OR(AND(INDEX(Règles_ovins[Specificite],MATCH(ChoixRationOvins&amp;$DN153,Règles_ovins[Ration]&amp;Règles_ovins[Aliment],0))="s1",IF($DN153=Spécificité1Ovins,1)),
AND(INDEX(Règles_ovins[Specificite],MATCH(ChoixRationOvins&amp;$DN153,Règles_ovins[Ration]&amp;Règles_ovins[Aliment],0))="s2",IF($DN153=Spécificité2Ovins,1)),
INDEX(Règles_ovins[Specificite],MATCH(ChoixRationOvins&amp;$DN153,Règles_ovins[Ration]&amp;Règles_ovins[Aliment],0))="c"),
INDEX(Règles_ovins[Valeur 12 et plus],MATCH(ChoixRationOvins&amp;$DN153,Règles_ovins[Ration]&amp;Règles_ovins[Aliment],0)),0),0)*IF(ChoixOvinsPréHiver=OUI,SUM(TotalOvinsAdultesRacesLaitières)*NbreJoursNourrirOvins,TotalBéliers*SUM(NbreJoursNourrirOvins)))</f>
        <v>0</v>
      </c>
      <c r="DP153" s="1269">
        <f t="array" ref="DP153">IF(ChoixRationComplèteOvins=OUI,0,IFERROR(IF(OR(AND(INDEX(Règles_ovins[Specificite],MATCH(ChoixRationOvins&amp;$DN153,Règles_ovins[Ration]&amp;Règles_ovins[Aliment],0))="s1",IF($DN153=Spécificité1Ovins,1)),
AND(INDEX(Règles_ovins[Specificite],MATCH(ChoixRationOvins&amp;$DN153,Règles_ovins[Ration]&amp;Règles_ovins[Aliment],0))="s2",IF($DN153=Spécificité2Ovins,1)),
INDEX(Règles_ovins[Specificite],MATCH(ChoixRationOvins&amp;$DN153,Règles_ovins[Ration]&amp;Règles_ovins[Aliment],0))="c"),
INDEX(Règles_ovins[Valeur 6-12],MATCH(ChoixRationOvins&amp;$DN153,Règles_ovins[Ration]&amp;Règles_ovins[Aliment],0)),0),0)*IF(ChoixOvinsPréHiver=OUI,SUM(TotalJeunesOvinsRacesLaitières)*NbreJoursNourrirOvins,TotalJeune_bélier_6_12_mois*SUM(NbreJoursNourrirOvins)))</f>
        <v>0</v>
      </c>
      <c r="DQ153" s="1269">
        <f t="array" ref="DQ153">IF(ChoixRationComplèteOvins=OUI,0,IFERROR(IF(OR(AND(INDEX(Règles_ovins[Specificite],MATCH(ChoixRationOvins&amp;$DN153,Règles_ovins[Ration]&amp;Règles_ovins[Aliment],0))="s1",IF($DN153=Spécificité1Ovins,1)),
AND(INDEX(Règles_ovins[Specificite],MATCH(ChoixRationOvins&amp;$DN153,Règles_ovins[Ration]&amp;Règles_ovins[Aliment],0))="s2",IF($DN153=Spécificité2Ovins,1)),
INDEX(Règles_ovins[Specificite],MATCH(ChoixRationOvins&amp;$DN153,Règles_ovins[Ration]&amp;Règles_ovins[Aliment],0))="c"),
INDEX(Règles_ovins[Valeur 3-6],MATCH(ChoixRationOvins&amp;$DN153,Règles_ovins[Ration]&amp;Règles_ovins[Aliment],0)),0),0)*IF(ChoixOvinsPréHiver=OUI,SUM(TotalOvins_3_6moisRacesLaitières)*NbreJoursNourrirOvins,TotalAgneau_3_6_mois*SUM(NbreJoursNourrirOvins)))</f>
        <v>0</v>
      </c>
      <c r="DR153" s="1269">
        <f t="array" ref="DR153">IF(ChoixRationComplèteOvins=OUI,0,IFERROR(IF(OR(AND(INDEX(Règles_ovins[Specificite],MATCH(ChoixRationOvins&amp;$DN153,Règles_ovins[Ration]&amp;Règles_ovins[Aliment],0))="s1",IF($DN153=Spécificité1Ovins,1)),
AND(INDEX(Règles_ovins[Specificite],MATCH(ChoixRationOvins&amp;$DN153,Règles_ovins[Ration]&amp;Règles_ovins[Aliment],0))="s2",IF($DN153=Spécificité2Ovins,1)),
INDEX(Règles_ovins[Specificite],MATCH(ChoixRationOvins&amp;$DN153,Règles_ovins[Ration]&amp;Règles_ovins[Aliment],0))="c"),
INDEX(Règles_ovins[Valeur 0-3],MATCH(ChoixRationOvins&amp;$DN153,Règles_ovins[Ration]&amp;Règles_ovins[Aliment],0)),0),0)*IF(ChoixOvinsPréHiver=OUI,SUM(TotalOvins_3_6moisRacesLaitières)*NbreJoursNourrirOvins,TotalAgneau_0_3_mois*SUM(NbreJoursNourrirOvins)))</f>
        <v>0</v>
      </c>
      <c r="DS153" s="1280">
        <f t="shared" si="61"/>
        <v>0</v>
      </c>
      <c r="DT153" s="1346"/>
      <c r="DU153" s="1346"/>
      <c r="DV153" s="1321"/>
      <c r="DW153" s="1321"/>
      <c r="DX153" s="1321"/>
      <c r="DY153" s="1321"/>
      <c r="DZ153" s="1321"/>
      <c r="EA153" s="1321"/>
      <c r="EB153" s="1321"/>
      <c r="EC153" s="1321"/>
      <c r="ED153" s="1345"/>
      <c r="EE153" s="1345"/>
      <c r="EF153" s="1321"/>
      <c r="EG153" s="1075" t="str">
        <f t="shared" si="63"/>
        <v>Bouchons luzerne</v>
      </c>
      <c r="EH153" s="1269">
        <f t="array" ref="EH153">SUM((IF(QualitéAlimentsOisonMâle_0_3_mois=BONNE,VLOOKUP("Bouchons luzerne",AlimentsRationOiesMâles[],4,FALSE),0)+(IF(QualitéAlimentsOisonFemelle_0_3_mois=BONNE,VLOOKUP("Bouchons luzerne",AlimentsRationOiesFemelles[],4,FALSE),0)+(IF(QualitéAlimentsJeuneJars=BONNE,VLOOKUP("Bouchons luzerne",AlimentsRationOiesMâles[],3,FALSE),0)+(IF(QualitéAlimentsJeuneOie=BONNE,VLOOKUP("Bouchons luzerne",AlimentsRationOiesFemelles[],3,FALSE),0)+(IF(QualitéAlimentsJars=BONNE,VLOOKUP("Bouchons luzerne",AlimentsRationOiesMâles[],2,FALSE),0)+(IF(QualitéAlimentsOie=BONNE,VLOOKUP("Bouchons luzerne",AlimentsRationOiesFemelles[],2,FALSE),0))))))))</f>
        <v>0</v>
      </c>
      <c r="EI153" s="1269">
        <f t="array" ref="EI153">SUM((IF(QualitéAlimentsOisonMâle_0_3_mois=MOYENNE,VLOOKUP("Bouchons luzerne",AlimentsRationOiesMâles[],4,FALSE),0)+(IF(QualitéAlimentsOisonFemelle_0_3_mois=MOYENNE,VLOOKUP("Bouchons luzerne",AlimentsRationOiesFemelles[],4,FALSE),0)+(IF(QualitéAlimentsJeuneJars=MOYENNE,VLOOKUP("Bouchons luzerne",AlimentsRationOiesMâles[],3,FALSE),0)+(IF(QualitéAlimentsJeuneOie=MOYENNE,VLOOKUP("Bouchons luzerne",AlimentsRationOiesFemelles[],3,FALSE),0)+(IF(QualitéAlimentsJars=MOYENNE,VLOOKUP("Bouchons luzerne",AlimentsRationOiesMâles[],2,FALSE),0)+(IF(QualitéAlimentsOie=MOYENNE,VLOOKUP("Bouchons luzerne",AlimentsRationOiesFemelles[],2,FALSE),0))))))))</f>
        <v>0</v>
      </c>
      <c r="EJ153" s="1269">
        <f t="array" ref="EJ153">SUM((IF(QualitéAlimentsOisonMâle_0_3_mois=MAUVAISE,VLOOKUP("Bouchons luzerne",AlimentsRationOiesMâles[],4,FALSE),0)+(IF(QualitéAlimentsOisonFemelle_0_3_mois=MAUVAISE,VLOOKUP("Bouchons luzerne",AlimentsRationOiesFemelles[],4,FALSE),0)+(IF(QualitéAlimentsJeuneJars=MAUVAISE,VLOOKUP("Bouchons luzerne",AlimentsRationOiesMâles[],3,FALSE),0)+(IF(QualitéAlimentsJeuneOie=MAUVAISE,VLOOKUP("Bouchons luzerne",AlimentsRationOiesFemelles[],3,FALSE),0)+(IF(QualitéAlimentsJars=MAUVAISE,VLOOKUP("Bouchons luzerne",AlimentsRationOiesMâles[],2,FALSE),0)+(IF(QualitéAlimentsOie=MAUVAISE,VLOOKUP("Bouchons luzerne",AlimentsRationOiesFemelles[],2,FALSE),0))))))))</f>
        <v>0</v>
      </c>
      <c r="EK153" s="1345"/>
      <c r="EL153" s="1345"/>
      <c r="EM153" s="1321"/>
      <c r="EN153" s="1082" t="str">
        <f t="shared" si="62"/>
        <v>Chanvre</v>
      </c>
      <c r="EO153" s="1282">
        <f t="array" ref="EO153">SUM((IF(QualitéAlimentsCanetonMâle=BONNE,VLOOKUP("Chanvre",AlimentsRationCanardsMâles,4,FALSE),0)+(IF(QualitéAlimentsCanetonFemelle=BONNE,VLOOKUP("Chanvre",AlimentsRationCanardsFemelles,4,FALSE),0)+(IF(QualitéAlimentsJeuneCanard=BONNE,VLOOKUP("Chanvre",AlimentsRationCanardsMâles,3,FALSE),0)+(IF(QualitéAlimentsJeuneCane=BONNE,VLOOKUP("Chanvre",AlimentsRationCanardsFemelles,3,FALSE),0)+(IF(QualitéAlimentsCanard=BONNE,VLOOKUP("Chanvre",AlimentsRationCanardsMâles,2,FALSE),0)+(IF(QualitéAlimentsCane=BONNE,VLOOKUP("Chanvre",AlimentsRationCanardsFemelles,2,FALSE),0))))))))</f>
        <v>0</v>
      </c>
      <c r="EP153" s="1282">
        <f t="array" ref="EP153">SUM((IF(QualitéAlimentsCanetonMâle=MOYENNE,VLOOKUP("Chanvre",AlimentsRationCanardsMâles,4,FALSE),0)+(IF(QualitéAlimentsCanetonFemelle=MOYENNE,VLOOKUP("Chanvre",AlimentsRationCanardsFemelles,4,FALSE),0)+(IF(QualitéAlimentsJeuneCanard=MOYENNE,VLOOKUP("Chanvre",AlimentsRationCanardsMâles,3,FALSE),0)+(IF(QualitéAlimentsJeuneCane=MOYENNE,VLOOKUP("Chanvre",AlimentsRationCanardsFemelles,3,FALSE),0)+(IF(QualitéAlimentsCanard=MOYENNE,VLOOKUP("Chanvre",AlimentsRationCanardsMâles,2,FALSE),0)+(IF(QualitéAlimentsCane=MOYENNE,VLOOKUP("Chanvre",AlimentsRationCanardsFemelles,2,FALSE),0))))))))</f>
        <v>0</v>
      </c>
      <c r="EQ153" s="1282">
        <f t="array" ref="EQ153">SUM((IF(QualitéAlimentsCanetonMâle=MAUVAISE,VLOOKUP("Chanvre",AlimentsRationCanardsMâles,4,FALSE),0)+(IF(QualitéAlimentsCanetonFemelle=MAUVAISE,VLOOKUP("Chanvre",AlimentsRationCanardsFemelles,4,FALSE),0)+(IF(QualitéAlimentsJeuneCanard=MAUVAISE,VLOOKUP("Chanvre",AlimentsRationCanardsMâles,3,FALSE),0)+(IF(QualitéAlimentsJeuneCane=MAUVAISE,VLOOKUP("Chanvre",AlimentsRationCanardsFemelles,3,FALSE),0)+(IF(QualitéAlimentsCanard=MAUVAISE,VLOOKUP("Chanvre",AlimentsRationCanardsMâles,2,FALSE),0)+(IF(QualitéAlimentsCane=MAUVAISE,VLOOKUP("Chanvre",AlimentsRationCanardsFemelles,2,FALSE),0))))))))</f>
        <v>0</v>
      </c>
      <c r="ER153" s="1345"/>
      <c r="ES153" s="1345"/>
      <c r="ET153" s="1321"/>
      <c r="EU153" s="1083" t="str">
        <f t="shared" si="60"/>
        <v>Canola</v>
      </c>
      <c r="EV153" s="1283">
        <f t="array" ref="EV153">IF(OR(ChoixRationHivernaleComplèteChevauxSelle=OUI,ChoixRationHivernaleComplèteChevauxSelle="",ChoixChevauxSellePréHiver=NON),0,IFERROR(IF(OR(AND(INDEX(Règles_chevaux_selle[Specificite],MATCH(RationHivernaleAuPréChevauxSelle&amp;$EU153,Règles_chevaux_selle[Ration]&amp;Règles_chevaux_selle[Aliment],0))="s1",IF($EU153=Spécificité1ChevauxSelle,1)),
AND(INDEX(Règles_chevaux_selle[Specificite],MATCH(RationHivernaleAuPréChevauxSelle&amp;$EU153,Règles_chevaux_selle[Ration]&amp;Règles_chevaux_selle[Aliment],0))="s2",IF($EU153=Spécificité2ChevauxSelle,1)),
INDEX(Règles_chevaux_selle[Specificite],MATCH(RationHivernaleAuPréChevauxSelle&amp;$EU153,Règles_chevaux_selle[Ration]&amp;Règles_chevaux_selle[Aliment],0))="c"),
INDEX(Règles_chevaux_selle[Valeur 36 et plus],MATCH(RationHivernaleAuPréChevauxSelle&amp;$EU153,Règles_chevaux_selle[Ration]&amp;Règles_chevaux_selle[Aliment],0)),0),0)*SUM(TotalChevauxSelleAdultes)*21)</f>
        <v>0</v>
      </c>
      <c r="EW153" s="1283">
        <f t="array" ref="EW153">IF(OR(ChoixRationHivernaleComplèteChevauxSelle=OUI,ChoixRationHivernaleComplèteChevauxSelle="",ChoixChevauxSellePréHiver=NON),0,IFERROR(IF(OR(AND(INDEX(Règles_chevaux_selle[Specificite],MATCH(RationHivernaleAuPréChevauxSelle&amp;$EU153,Règles_chevaux_selle[Ration]&amp;Règles_chevaux_selle[Aliment],0))="s1",IF($EU153=Spécificité1ChevauxSelle,1)),
AND(INDEX(Règles_chevaux_selle[Specificite],MATCH(RationHivernaleAuPréChevauxSelle&amp;$EU153,Règles_chevaux_selle[Ration]&amp;Règles_chevaux_selle[Aliment],0))="s2",IF($EU153=Spécificité2ChevauxSelle,1)),
INDEX(Règles_chevaux_selle[Specificite],MATCH(RationHivernaleAuPréChevauxSelle&amp;$EU153,Règles_chevaux_selle[Ration]&amp;Règles_chevaux_selle[Aliment],0))="c"),
INDEX(Règles_chevaux_selle[Valeur 24-36],MATCH(RationHivernaleAuPréChevauxSelle&amp;$EU153,Règles_chevaux_selle[Ration]&amp;Règles_chevaux_selle[Aliment],0)),0),0)*SUM(TotalChevauxSelle_24_36mois)*21)</f>
        <v>0</v>
      </c>
      <c r="EX153" s="1283">
        <f t="array" ref="EX153">IF(OR(ChoixRationHivernaleComplèteChevauxSelle=OUI,ChoixRationHivernaleComplèteChevauxSelle="",ChoixChevauxSellePréHiver=NON),0,IFERROR(IF(OR(AND(INDEX(Règles_chevaux_selle[Specificite],MATCH(RationHivernaleAuPréChevauxSelle&amp;$EU153,Règles_chevaux_selle[Ration]&amp;Règles_chevaux_selle[Aliment],0))="s1",IF($EU153=Spécificité1ChevauxSelle,1)),
AND(INDEX(Règles_chevaux_selle[Specificite],MATCH(RationHivernaleAuPréChevauxSelle&amp;$EU153,Règles_chevaux_selle[Ration]&amp;Règles_chevaux_selle[Aliment],0))="s2",IF($EU153=Spécificité2ChevauxSelle,1)),
INDEX(Règles_chevaux_selle[Specificite],MATCH(RationHivernaleAuPréChevauxSelle&amp;$EU153,Règles_chevaux_selle[Ration]&amp;Règles_chevaux_selle[Aliment],0))="c"),
INDEX(Règles_chevaux_selle[Valeur 12-24],MATCH(RationHivernaleAuPréChevauxSelle&amp;$EU153,Règles_chevaux_selle[Ration]&amp;Règles_chevaux_selle[Aliment],0)),0),0)*SUM(TotalChevauxSelle_12_24mois)*21)</f>
        <v>0</v>
      </c>
      <c r="EY153" s="1286">
        <f t="array" ref="EY153">IF(OR(ChoixRationHivernaleComplèteChevauxSelle=OUI,ChoixRationHivernaleComplèteChevauxSelle="",ChoixChevauxSellePréHiver=NON),0,IFERROR(IF(OR(AND(INDEX(Règles_chevaux_selle[Specificite],MATCH(RationHivernaleAuPréChevauxSelle&amp;$EU153,Règles_chevaux_selle[Ration]&amp;Règles_chevaux_selle[Aliment],0))="s1",IF($EU153=Spécificité1ChevauxSelle,1)),
AND(INDEX(Règles_chevaux_selle[Specificite],MATCH(RationHivernaleAuPréChevauxSelle&amp;$EU153,Règles_chevaux_selle[Ration]&amp;Règles_chevaux_selle[Aliment],0))="s2",IF($EU153=Spécificité2ChevauxSelle,1)),
INDEX(Règles_chevaux_selle[Specificite],MATCH(RationHivernaleAuPréChevauxSelle&amp;$EU153,Règles_chevaux_selle[Ration]&amp;Règles_chevaux_selle[Aliment],0))="c"),
INDEX(Règles_chevaux_selle[Valeur 0-12],MATCH(RationHivernaleAuPréChevauxSelle&amp;$EU153,Règles_chevaux_selle[Ration]&amp;Règles_chevaux_selle[Aliment],0)),0),0)*SUM(TotalPoulainsSelle)*21)</f>
        <v>0</v>
      </c>
      <c r="EZ153" s="1286">
        <f t="shared" si="59"/>
        <v>0</v>
      </c>
      <c r="FA153" s="1345"/>
      <c r="FB153" s="1345"/>
      <c r="FC153" s="1321"/>
      <c r="FD153" s="1083" t="str">
        <f t="shared" si="55"/>
        <v>Eau</v>
      </c>
      <c r="FE153" s="1283">
        <f t="array" ref="FE153">IF(OR(ChoixRationHivernaleComplèteChevauxTrait=OUI,ChoixRationHivernaleComplèteChevauxTrait="",ChoixChevauxTraitPréHiver=NON),0,IFERROR(IF(OR(AND(INDEX(Règles_chevaux_trait[Specificite],MATCH(RationHivernaleAuPréChevauxTrait&amp;$FD153,Règles_chevaux_trait[Ration]&amp;Règles_chevaux_trait[Aliment],0))="s1",IF($FD153=Spécificité1ChevauxTrait,1)),
AND(INDEX(Règles_chevaux_trait[Specificite],MATCH(RationHivernaleAuPréChevauxTrait&amp;$FD153,Règles_chevaux_trait[Ration]&amp;Règles_chevaux_trait[Aliment],0))="s2",IF($FD153=Spécificité2ChevauxTrait,1)),
INDEX(Règles_chevaux_trait[Specificite],MATCH(RationHivernaleAuPréChevauxTrait&amp;$FD153,Règles_chevaux_trait[Ration]&amp;Règles_chevaux_trait[Aliment],0))="c"),
INDEX(Règles_chevaux_trait[Valeur 36 et plus],MATCH(RationHivernaleAuPréChevauxTrait&amp;$FD153,Règles_chevaux_trait[Ration]&amp;Règles_chevaux_trait[Aliment],0)),0),0)*SUM(TotalChevauxTraitAdultes)*21)</f>
        <v>0</v>
      </c>
      <c r="FF153" s="1283">
        <f t="array" ref="FF153">IF(OR(ChoixRationHivernaleComplèteChevauxTrait=OUI,ChoixRationHivernaleComplèteChevauxTrait="",ChoixChevauxTraitPréHiver=NON),0,IFERROR(IF(OR(AND(INDEX(Règles_chevaux_trait[Specificite],MATCH(RationHivernaleAuPréChevauxTrait&amp;$FD153,Règles_chevaux_trait[Ration]&amp;Règles_chevaux_trait[Aliment],0))="s1",IF($FD153=Spécificité1ChevauxTrait,1)),
AND(INDEX(Règles_chevaux_trait[Specificite],MATCH(RationHivernaleAuPréChevauxTrait&amp;$FD153,Règles_chevaux_trait[Ration]&amp;Règles_chevaux_trait[Aliment],0))="s2",IF($FD153=Spécificité2ChevauxTrait,1)),
INDEX(Règles_chevaux_trait[Specificite],MATCH(RationHivernaleAuPréChevauxTrait&amp;$FD153,Règles_chevaux_trait[Ration]&amp;Règles_chevaux_trait[Aliment],0))="c"),
INDEX(Règles_chevaux_trait[Valeur 24-36],MATCH(RationHivernaleAuPréChevauxTrait&amp;$FD153,Règles_chevaux_trait[Ration]&amp;Règles_chevaux_trait[Aliment],0)),0),0)*SUM(TotalChevauxTrait_24_36mois)*21)</f>
        <v>0</v>
      </c>
      <c r="FG153" s="1283">
        <f t="array" ref="FG153">IF(OR(ChoixRationHivernaleComplèteChevauxTrait=OUI,ChoixRationHivernaleComplèteChevauxTrait="",ChoixChevauxTraitPréHiver=NON),0,IFERROR(IF(OR(AND(INDEX(Règles_chevaux_trait[Specificite],MATCH(RationHivernaleAuPréChevauxTrait&amp;$FD153,Règles_chevaux_trait[Ration]&amp;Règles_chevaux_trait[Aliment],0))="s1",IF($FD153=Spécificité1ChevauxTrait,1)),
AND(INDEX(Règles_chevaux_trait[Specificite],MATCH(RationHivernaleAuPréChevauxTrait&amp;$FD153,Règles_chevaux_trait[Ration]&amp;Règles_chevaux_trait[Aliment],0))="s2",IF($FD153=Spécificité2ChevauxTrait,1)),
INDEX(Règles_chevaux_trait[Specificite],MATCH(RationHivernaleAuPréChevauxTrait&amp;$FD153,Règles_chevaux_trait[Ration]&amp;Règles_chevaux_trait[Aliment],0))="c"),
INDEX(Règles_chevaux_trait[Valeur 12-24],MATCH(RationHivernaleAuPréChevauxTrait&amp;$FD153,Règles_chevaux_trait[Ration]&amp;Règles_chevaux_trait[Aliment],0)),0),0)*SUM(TotalChevauxTrait_12_24mois)*21)</f>
        <v>0</v>
      </c>
      <c r="FH153" s="1286">
        <f t="array" ref="FH153">IF(OR(ChoixRationHivernaleComplèteChevauxTrait=OUI,ChoixRationHivernaleComplèteChevauxTrait="",ChoixChevauxTraitPréHiver=NON),0,IFERROR(IF(OR(AND(INDEX(Règles_chevaux_trait[Specificite],MATCH(RationHivernaleAuPréChevauxTrait&amp;$FD153,Règles_chevaux_trait[Ration]&amp;Règles_chevaux_trait[Aliment],0))="s1",IF($FD153=Spécificité1ChevauxTrait,1)),
AND(INDEX(Règles_chevaux_trait[Specificite],MATCH(RationHivernaleAuPréChevauxTrait&amp;$FD153,Règles_chevaux_trait[Ration]&amp;Règles_chevaux_trait[Aliment],0))="s2",IF($FD153=Spécificité2ChevauxTrait,1)),
INDEX(Règles_chevaux_trait[Specificite],MATCH(RationHivernaleAuPréChevauxTrait&amp;$FD153,Règles_chevaux_trait[Ration]&amp;Règles_chevaux_trait[Aliment],0))="c"),
INDEX(Règles_chevaux_trait[Valeur 0-12],MATCH(RationHivernaleAuPréChevauxTrait&amp;$FD153,Règles_chevaux_trait[Ration]&amp;Règles_chevaux_trait[Aliment],0)),0),0)*SUM(TotalPoulainsTrait)*21)</f>
        <v>0</v>
      </c>
      <c r="FI153" s="1286">
        <f t="shared" si="53"/>
        <v>0</v>
      </c>
      <c r="FJ153" s="1345"/>
      <c r="FK153" s="1345"/>
      <c r="FL153" s="1345"/>
      <c r="FM153" s="1321"/>
      <c r="FN153" s="1082" t="str">
        <f t="shared" si="54"/>
        <v>Epinard</v>
      </c>
      <c r="FO153" s="1282">
        <f t="array" ref="FO153">IF(OR(ChoixRationHivernaleComplètePoneys=OUI,ChoixRationHivernaleComplètePoneys="",ChoixPoneysPréHiver=NON),0,IFERROR(IF(OR(AND(INDEX(Règles_poneys[Specificite],MATCH(RationHivernaleAuPréPoneys&amp;$FN153,Règles_poneys[Ration]&amp;Règles_poneys[Aliment],0))="s1",IF($FN153=Spécificité1Poneys,1)),
AND(INDEX(Règles_poneys[Specificite],MATCH(RationHivernaleAuPréPoneys&amp;$FN153,Règles_poneys[Ration]&amp;Règles_poneys[Aliment],0))="s2",IF($FN153=Spécificité2Poneys,1)),
INDEX(Règles_poneys[Specificite],MATCH(RationHivernaleAuPréPoneys&amp;$FN153,Règles_poneys[Ration]&amp;Règles_poneys[Aliment],0))="c"),
INDEX(Règles_poneys[Valeur 36 et plus],MATCH(RationHivernaleAuPréPoneys&amp;$FN153,Règles_poneys[Ration]&amp;Règles_poneys[Aliment],0)),0),0)*SUM(TotalPoneysAdultes)*21)</f>
        <v>0</v>
      </c>
      <c r="FP153" s="1282">
        <f t="array" ref="FP153">IF(OR(ChoixRationHivernaleComplètePoneys=OUI,ChoixRationHivernaleComplètePoneys="",ChoixPoneysPréHiver=NON),0,IFERROR(IF(OR(AND(INDEX(Règles_poneys[Specificite],MATCH(RationHivernaleAuPréPoneys&amp;$FN153,Règles_poneys[Ration]&amp;Règles_poneys[Aliment],0))="s1",IF($FN153=Spécificité1Poneys,1)),
AND(INDEX(Règles_poneys[Specificite],MATCH(RationHivernaleAuPréPoneys&amp;$FN153,Règles_poneys[Ration]&amp;Règles_poneys[Aliment],0))="s2",IF($FN153=Spécificité2Poneys,1)),
INDEX(Règles_poneys[Specificite],MATCH(RationHivernaleAuPréPoneys&amp;$FN153,Règles_poneys[Ration]&amp;Règles_poneys[Aliment],0))="c"),
INDEX(Règles_poneys[Valeur 24-36],MATCH(RationHivernaleAuPréPoneys&amp;$FN153,Règles_poneys[Ration]&amp;Règles_poneys[Aliment],0)),0),0)*SUM(TotalPoneys_24_36mois)*21)</f>
        <v>0</v>
      </c>
      <c r="FQ153" s="1282">
        <f t="array" ref="FQ153">IF(OR(ChoixRationHivernaleComplètePoneys=OUI,ChoixRationHivernaleComplètePoneys="",ChoixPoneysPréHiver=NON),0,IFERROR(IF(OR(AND(INDEX(Règles_poneys[Specificite],MATCH(RationHivernaleAuPréPoneys&amp;$FN153,Règles_poneys[Ration]&amp;Règles_poneys[Aliment],0))="s1",IF($FN153=Spécificité1Poneys,1)),
AND(INDEX(Règles_poneys[Specificite],MATCH(RationHivernaleAuPréPoneys&amp;$FN153,Règles_poneys[Ration]&amp;Règles_poneys[Aliment],0))="s2",IF($FN153=Spécificité2Poneys,1)),
INDEX(Règles_poneys[Specificite],MATCH(RationHivernaleAuPréPoneys&amp;$FN153,Règles_poneys[Ration]&amp;Règles_poneys[Aliment],0))="c"),
INDEX(Règles_poneys[Valeur 12-24],MATCH(RationHivernaleAuPréPoneys&amp;$FN153,Règles_poneys[Ration]&amp;Règles_poneys[Aliment],0)),0),0)*SUM(TotalPoneys_12_24mois)*21)</f>
        <v>0</v>
      </c>
      <c r="FR153" s="1285">
        <f t="array" ref="FR153">IF(OR(ChoixRationHivernaleComplètePoneys=OUI,ChoixRationHivernaleComplètePoneys="",ChoixPoneysPréHiver=NON),0,IFERROR(IF(OR(AND(INDEX(Règles_poneys[Specificite],MATCH(RationHivernaleAuPréPoneys&amp;$FN153,Règles_poneys[Ration]&amp;Règles_poneys[Aliment],0))="s1",IF($FN153=Spécificité1Poneys,1)),
AND(INDEX(Règles_poneys[Specificite],MATCH(RationHivernaleAuPréPoneys&amp;$FN153,Règles_poneys[Ration]&amp;Règles_poneys[Aliment],0))="s2",IF($FN153=Spécificité2Poneys,1)),
INDEX(Règles_poneys[Specificite],MATCH(RationHivernaleAuPréPoneys&amp;$FN153,Règles_poneys[Ration]&amp;Règles_poneys[Aliment],0))="c"),
INDEX(Règles_poneys[Valeur 0-12],MATCH(RationHivernaleAuPréPoneys&amp;$FN153,Règles_poneys[Ration]&amp;Règles_poneys[Aliment],0)),0),0)*SUM(TotalPoulainsPoneys)*21)</f>
        <v>0</v>
      </c>
      <c r="FS153" s="1285">
        <f t="shared" si="52"/>
        <v>0</v>
      </c>
      <c r="FT153" s="1345"/>
      <c r="FU153" s="1345"/>
      <c r="FV153" s="1345"/>
      <c r="FW153" s="1083" t="str">
        <f t="shared" si="49"/>
        <v>Maïs ensilé</v>
      </c>
      <c r="FX153" s="1283">
        <f t="array" ref="FX153">SUM((IF(QualitéAlimentsGavageOison_0_1_mois=BONNE,VLOOKUP("Maïs ensilé",AlimentsGavageOies[],5,FALSE),0)+(IF(QualitéAlimentsGavageCaneton_0_1_mois=BONNE,VLOOKUP("Maïs ensilé",AlimentsGavageCanards[],5,FALSE),0)+(IF(QualitéAlimentsGavageOison_1_2_mois=BONNE,VLOOKUP("Maïs ensilé",AlimentsGavageOies[],4,FALSE),0)+(IF(QualitéAlimentsGavageCaneton_1_2_mois=BONNE,VLOOKUP("Maïs ensilé",AlimentsGavageCanards[],4,FALSE),0)+(IF(QualitéAlimentsGavageOison_2_3_mois=BONNE,VLOOKUP("Maïs ensilé",AlimentsGavageOies[],3,FALSE),0)+(IF(QualitéAlimentsGavageCaneton_2_3_mois=BONNE,VLOOKUP("Maïs ensilé",AlimentsGavageCanards[],3,FALSE),0)+(IF(QualitéAlimentsGavageJeunesOies=BONNE,VLOOKUP("Maïs ensilé",AlimentsGavageOies[],2,FALSE),0)+(IF(QualitéAlimentsGavageJeuneCanard=BONNE,VLOOKUP("Maïs ensilé",AlimentsGavageCanards[],2,FALSE),0))))))))))</f>
        <v>0</v>
      </c>
      <c r="FY153" s="1283">
        <f t="array" ref="FY153">SUM((IF(QualitéAlimentsGavageOison_0_1_mois=MOYENNE,VLOOKUP("Maïs ensilé",AlimentsGavageOies[],5,FALSE),0)+(IF(QualitéAlimentsGavageCaneton_0_1_mois=MOYENNE,VLOOKUP("Maïs ensilé",AlimentsGavageCanards[],5,FALSE),0)+(IF(QualitéAlimentsGavageOison_1_2_mois=MOYENNE,VLOOKUP("Maïs ensilé",AlimentsGavageOies[],4,FALSE),0)+(IF(QualitéAlimentsGavageCaneton_1_2_mois=MOYENNE,VLOOKUP("Maïs ensilé",AlimentsGavageCanards[],4,FALSE),0)+(IF(QualitéAlimentsGavageOison_2_3_mois=MOYENNE,VLOOKUP("Maïs ensilé",AlimentsGavageOies[],3,FALSE),0)+(IF(QualitéAlimentsGavageCaneton_2_3_mois=MOYENNE,VLOOKUP("Maïs ensilé",AlimentsGavageCanards[],3,FALSE),0)+(IF(QualitéAlimentsGavageJeunesOies=MOYENNE,VLOOKUP("Maïs ensilé",AlimentsGavageOies[],2,FALSE),0)+(IF(QualitéAlimentsGavageJeuneCanard=MOYENNE,VLOOKUP("Maïs ensilé",AlimentsGavageCanards[],2,FALSE),0))))))))))</f>
        <v>0</v>
      </c>
      <c r="FZ153" s="1283">
        <f t="array" ref="FZ153">SUM((IF(QualitéAlimentsGavageOison_0_1_mois=MAUVAISE,VLOOKUP("Maïs ensilé",AlimentsGavageOies[],5,FALSE),0)+(IF(QualitéAlimentsGavageCaneton_0_1_mois=MAUVAISE,VLOOKUP("Maïs ensilé",AlimentsGavageCanards[],5,FALSE),0)+(IF(QualitéAlimentsGavageOison_1_2_mois=MAUVAISE,VLOOKUP("Maïs ensilé",AlimentsGavageOies[],4,FALSE),0)+(IF(QualitéAlimentsGavageCaneton_1_2_mois=MAUVAISE,VLOOKUP("Maïs ensilé",AlimentsGavageCanards[],4,FALSE),0)+(IF(QualitéAlimentsGavageOison_2_3_mois=MAUVAISE,VLOOKUP("Maïs ensilé",AlimentsGavageOies[],3,FALSE),0)+(IF(QualitéAlimentsGavageCaneton_2_3_mois=MAUVAISE,VLOOKUP("Maïs ensilé",AlimentsGavageCanards[],3,FALSE),0)+(IF(QualitéAlimentsGavageJeunesOies=MAUVAISE,VLOOKUP("Maïs ensilé",AlimentsGavageOies[],2,FALSE),0)+(IF(QualitéAlimentsGavageJeuneCanard=MAUVAISE,VLOOKUP("Maïs ensilé",AlimentsGavageCanards[],2,FALSE),0))))))))))</f>
        <v>0</v>
      </c>
      <c r="GA153" s="1345"/>
      <c r="GB153" s="1345"/>
      <c r="GC153" s="1321"/>
      <c r="GD153" s="1321"/>
      <c r="GE153" s="1321"/>
      <c r="GF153" s="1321"/>
      <c r="GG153" s="1321" t="s">
        <v>1349</v>
      </c>
      <c r="GH153" s="1321" t="s">
        <v>1349</v>
      </c>
      <c r="GI153" s="1321" t="s">
        <v>1349</v>
      </c>
      <c r="GJ153" s="1321" t="s">
        <v>1349</v>
      </c>
      <c r="GK153" s="1321" t="s">
        <v>1349</v>
      </c>
      <c r="GL153" s="1321" t="s">
        <v>1349</v>
      </c>
      <c r="GM153" s="1321" t="s">
        <v>1349</v>
      </c>
      <c r="GN153" s="1321" t="s">
        <v>1349</v>
      </c>
      <c r="GO153" s="1321" t="s">
        <v>1349</v>
      </c>
      <c r="GP153" s="1321" t="s">
        <v>1349</v>
      </c>
      <c r="GQ153" s="1321" t="s">
        <v>1349</v>
      </c>
      <c r="GR153" s="1321" t="s">
        <v>1349</v>
      </c>
      <c r="GS153" s="1321" t="s">
        <v>1349</v>
      </c>
      <c r="GT153" s="1321" t="s">
        <v>1349</v>
      </c>
      <c r="GU153" s="1321" t="s">
        <v>1349</v>
      </c>
      <c r="GV153" s="1321" t="s">
        <v>1349</v>
      </c>
      <c r="GW153" s="1321"/>
      <c r="GX153" s="1321"/>
      <c r="GY153" s="1321"/>
      <c r="GZ153" s="1321"/>
      <c r="HA153" s="1321"/>
      <c r="HB153" s="1321"/>
      <c r="HC153" s="1321"/>
      <c r="HD153" s="1321"/>
      <c r="HE153" s="1321"/>
      <c r="HF153" s="1321"/>
      <c r="HG153" s="1321"/>
      <c r="HH153" s="1321"/>
      <c r="HI153" s="1321"/>
      <c r="HJ153" s="1321"/>
      <c r="HK153" s="1321"/>
      <c r="HL153" s="1321"/>
      <c r="HM153" s="1321"/>
      <c r="HN153" s="1321"/>
      <c r="HO153" s="1321"/>
      <c r="HP153" s="1321"/>
      <c r="HQ153" s="1321"/>
      <c r="HR153" s="1321"/>
      <c r="HS153" s="1321"/>
      <c r="HT153" s="1321"/>
      <c r="HU153" s="1321"/>
      <c r="HV153" s="1321"/>
      <c r="HW153" s="1321"/>
      <c r="HX153" s="1321"/>
      <c r="HY153" s="1321"/>
      <c r="HZ153" s="1321"/>
      <c r="IA153" s="1321"/>
      <c r="IB153" s="1321"/>
      <c r="IC153" s="1321"/>
      <c r="ID153" s="1321"/>
      <c r="IE153" s="1321"/>
      <c r="IF153" s="1321"/>
      <c r="IG153" s="1321"/>
      <c r="IH153" s="1321"/>
      <c r="II153" s="1321"/>
      <c r="IJ153" s="1321"/>
      <c r="IK153" s="1321"/>
      <c r="IL153" s="1321"/>
      <c r="IM153" s="1321"/>
      <c r="IN153" s="1368"/>
    </row>
    <row r="154" spans="1:248" ht="12.75" customHeight="1" x14ac:dyDescent="0.2">
      <c r="A154" s="1307" t="s">
        <v>511</v>
      </c>
      <c r="B154" s="1209">
        <v>4</v>
      </c>
      <c r="C154" s="1321"/>
      <c r="D154" s="1321"/>
      <c r="E154" s="1321"/>
      <c r="F154" s="1143" t="s">
        <v>1767</v>
      </c>
      <c r="G154" s="1143">
        <v>25</v>
      </c>
      <c r="H154" s="1321"/>
      <c r="I154" s="1076" t="str">
        <f t="shared" si="64"/>
        <v>20-29,99</v>
      </c>
      <c r="J154" s="1081">
        <f>IF(gains!F$4=BDD!O$127,10,IF(gains!F$4=BDD!P$127,20,IF(gains!F$4=BDD!Q$127,30,0)))</f>
        <v>10</v>
      </c>
      <c r="K154" s="1081">
        <f>IF(gains!$G$9=K$127,1,0)</f>
        <v>0</v>
      </c>
      <c r="L154" s="1081">
        <f>IF(gains!$G$9=L$127,2,0)</f>
        <v>0</v>
      </c>
      <c r="M154" s="1081">
        <f>IF(gains!$G$9=M$127,3,0)</f>
        <v>0</v>
      </c>
      <c r="N154" s="1081">
        <f>IF(gains!$G$9=N$127,4,0)</f>
        <v>0</v>
      </c>
      <c r="O154" s="1081">
        <f>IF(AND(J154=10,SUM(K154:N154)=1),gains!$F$40,IF(AND(J154=10,SUM(K154:N154)=2),gains!$F$40*2,IF(AND(J154=10,SUM(K154:N154)=3),gains!$F$40*3,IF(AND(J154=10,SUM(K154:N154)=4),gains!$F$40*4,0))))</f>
        <v>0</v>
      </c>
      <c r="P154" s="1081">
        <f>IF(AND(J154=20,SUM(K154:N154)=1),gains!$F$40*7,IF(AND(J154=20,SUM(K154:N154)=2),gains!$F$40*7*2,IF(AND(J154=20,SUM(K154:N154)=3),gains!$F$40*7*3,IF(AND(J154=20,SUM(K154:N154)=4),gains!$F$40*7*4,0))))</f>
        <v>0</v>
      </c>
      <c r="Q154" s="1081">
        <f>IF(AND(J154=30,SUM(K154:N154)=1),gains!$F$40*7*12,IF(AND(J154=30,SUM(K154:N154)=2),gains!$F$40*7*12*2,IF(AND(J154=30,SUM(K154:N154)=3),gains!$F$40*7*12*3,IF(AND(J154=30,SUM(K154:N154)=4),gains!$F$40*7*12*4,0))))</f>
        <v>0</v>
      </c>
      <c r="R154" s="1321"/>
      <c r="S154" s="1321"/>
      <c r="T154" s="1321"/>
      <c r="U154" s="1321"/>
      <c r="V154" s="1321"/>
      <c r="W154" s="1321"/>
      <c r="X154" s="1321"/>
      <c r="Y154" s="1321"/>
      <c r="Z154" s="1321"/>
      <c r="AA154" s="1321"/>
      <c r="AB154" s="1321"/>
      <c r="AC154" s="1321"/>
      <c r="AD154" s="1321"/>
      <c r="AE154" s="1321"/>
      <c r="AF154" s="1321"/>
      <c r="AG154" s="1321"/>
      <c r="AH154" s="1321"/>
      <c r="AI154" s="1321"/>
      <c r="AJ154" s="1321"/>
      <c r="AK154" s="1321"/>
      <c r="AL154" s="1321"/>
      <c r="AM154" s="1321"/>
      <c r="AN154" s="1321"/>
      <c r="AO154" s="1321"/>
      <c r="AP154" s="1321"/>
      <c r="AQ154" s="1321"/>
      <c r="AR154" s="1321"/>
      <c r="AS154" s="1321"/>
      <c r="AT154" s="1321"/>
      <c r="AU154" s="1321"/>
      <c r="AV154" s="1321"/>
      <c r="AW154" s="1321"/>
      <c r="AX154" s="1321"/>
      <c r="AY154" s="1321"/>
      <c r="AZ154" s="1321"/>
      <c r="BA154" s="1321"/>
      <c r="BB154" s="1236" t="s">
        <v>731</v>
      </c>
      <c r="BC154" s="1190" t="s">
        <v>1273</v>
      </c>
      <c r="BD154" s="1190" t="s">
        <v>1254</v>
      </c>
      <c r="BE154" s="1237">
        <v>4.8</v>
      </c>
      <c r="BF154" s="1237">
        <v>4</v>
      </c>
      <c r="BG154" s="1237">
        <v>4</v>
      </c>
      <c r="BH154" s="1237">
        <v>4</v>
      </c>
      <c r="BI154" s="1237">
        <v>2</v>
      </c>
      <c r="BJ154" s="1237">
        <v>1.2</v>
      </c>
      <c r="BK154" s="1238">
        <v>0</v>
      </c>
      <c r="BL154" s="1348"/>
      <c r="BM154" s="1346"/>
      <c r="BN154" s="1321"/>
      <c r="BO154" s="1321"/>
      <c r="BP154" s="1321"/>
      <c r="BQ154" s="1321"/>
      <c r="BR154" s="1321"/>
      <c r="BS154" s="1321"/>
      <c r="BT154" s="1321"/>
      <c r="BU154" s="1321"/>
      <c r="BV154" s="1345"/>
      <c r="BW154" s="1345"/>
      <c r="BX154" s="1076" t="str">
        <f t="shared" si="57"/>
        <v>Ensilage d'herbe</v>
      </c>
      <c r="BY154" s="1076">
        <f t="array" ref="BY154">IF(ChoixRationComplèteCaprins=OUI,0,IFERROR(IF(OR(AND(INDEX(Règles_caprins[Specificite],MATCH(ChoixRationCaprins&amp;$BX154,Règles_caprins[Ration]&amp;Règles_caprins[Aliment],0))="s1",IF($BX154=Spécificité1Caprins,1)),
INDEX(Règles_caprins[Specificite],MATCH(ChoixRationCaprins&amp;$BX154,Règles_caprins[Ration]&amp;Règles_caprins[Aliment],0))="c"),
INDEX(Règles_caprins[Valeur 12 et plus],MATCH(ChoixRationCaprins&amp;$BX154,Règles_caprins[Ration]&amp;Règles_caprins[Aliment],0)),0),0)*TotalChèvres*SUM(NbreJoursNourrirCaprins))</f>
        <v>0</v>
      </c>
      <c r="BZ154" s="1076">
        <f t="array" ref="BZ154">IF(ChoixRationComplèteCaprins=OUI,0,IFERROR(IF(OR(AND(INDEX(Règles_caprins[Specificite],MATCH(ChoixRationCaprins&amp;$BX154,Règles_caprins[Ration]&amp;Règles_caprins[Aliment],0))="s1",IF($BX154=Spécificité1Caprins,1)),
INDEX(Règles_caprins[Specificite],MATCH(ChoixRationCaprins&amp;$BX154,Règles_caprins[Ration]&amp;Règles_caprins[Aliment],0))="c"),
INDEX(Règles_caprins[Valeur 6-12],MATCH(ChoixRationCaprins&amp;$BX154,Règles_caprins[Ration]&amp;Règles_caprins[Aliment],0)),0),0)*jeune_chèvre_6_12_mois*SUM(NbreJoursNourrirCaprins))</f>
        <v>0</v>
      </c>
      <c r="CA154" s="1076">
        <f t="array" ref="CA154">IF(ChoixRationComplèteCaprins=OUI,0,IFERROR(IF(OR(AND(INDEX(Règles_caprins[Specificite],MATCH(ChoixRationCaprins&amp;$BX154,Règles_caprins[Ration]&amp;Règles_caprins[Aliment],0))="s1",IF($BX154=Spécificité1Caprins,1)),
INDEX(Règles_caprins[Specificite],MATCH(ChoixRationCaprins&amp;$BX154,Règles_caprins[Ration]&amp;Règles_caprins[Aliment],0))="c"),
INDEX(Règles_caprins[Valeur 3-6],MATCH(ChoixRationCaprins&amp;$BX154,Règles_caprins[Ration]&amp;Règles_caprins[Aliment],0)),0),0)*chevrette_3_6_mois*SUM(NbreJoursNourrirCaprins))</f>
        <v>0</v>
      </c>
      <c r="CB154" s="1076">
        <f t="array" ref="CB154">IF(ChoixRationComplèteCaprins=OUI,0,IFERROR(IF(OR(AND(INDEX(Règles_caprins[Specificite],MATCH(ChoixRationCaprins&amp;$BX154,Règles_caprins[Ration]&amp;Règles_caprins[Aliment],0))="s1",IF($BX154=Spécificité1Caprins,1)),
INDEX(Règles_caprins[Specificite],MATCH(ChoixRationCaprins&amp;$BX154,Règles_caprins[Ration]&amp;Règles_caprins[Aliment],0))="c"),
INDEX(Règles_caprins[Valeur 0-3],MATCH(ChoixRationCaprins&amp;$BX154,Règles_caprins[Ration]&amp;Règles_caprins[Aliment],0)),0),0)*chevrette_0_3_mois*SUM(NbreJoursNourrirCaprins))</f>
        <v>0</v>
      </c>
      <c r="CC154" s="1076">
        <f t="shared" si="56"/>
        <v>0</v>
      </c>
      <c r="CD154" s="1345"/>
      <c r="CE154" s="1345"/>
      <c r="CF154" s="1345"/>
      <c r="CG154" s="1345"/>
      <c r="CH154" s="1345"/>
      <c r="CI154" s="1321"/>
      <c r="CJ154" s="1075" t="str">
        <f t="shared" si="51"/>
        <v>Haricot vert</v>
      </c>
      <c r="CK154" s="1269">
        <f t="array" ref="CK154">SUM((IF(QualitéAlimentsPorceletMâle_0_1_mois=BONNE,VLOOKUP("Haricot vert",AlimentsRationPorcinsMâles[],6,FALSE),0)+(IF(QualitéAlimentsPorceletFemelle_0_1_mois=BONNE,VLOOKUP("Haricot vert",AlimentsRationPorcinsFemelles[],6,FALSE),0)+(IF(QualitéAlimentsPorceletMâle_1_3_mois=BONNE,VLOOKUP("Haricot vert",AlimentsRationPorcinsMâles[],5,FALSE),0)+(IF(QualitéAlimentsPorceletFemelle_1_3_mois=BONNE,VLOOKUP("Haricot vert",AlimentsRationPorcinsFemelles[],5,FALSE),0)+(IF(QualitéAlimentsJeuneVerrat_3_6_mois=BONNE,VLOOKUP("Haricot vert",AlimentsRationPorcinsMâles[],4,FALSE),0)+(IF(QualitéAlimentsJeuneTruie_3_6_mois=BONNE,VLOOKUP("Haricot vert",AlimentsRationPorcinsFemelles[],4,FALSE),0)+(IF(QualitéAlimentsJeuneVerrat_6_12_mois=BONNE,VLOOKUP("Haricot vert",AlimentsRationPorcinsMâles[],3,FALSE),0)+(IF(QualitéAlimentsJeuneTruie_6_12_mois=BONNE,VLOOKUP("Haricot vert",AlimentsRationPorcinsFemelles[],3,FALSE),0)+(IF(QualitéAlimentsVerrat=BONNE,VLOOKUP("Haricot vert",AlimentsRationPorcinsMâles[],2,FALSE),0)+(IF(QualitéAlimentsTruie=BONNE,VLOOKUP("Haricot vert",AlimentsRationPorcinsFemelles[],2,FALSE),0))))))))))))</f>
        <v>0</v>
      </c>
      <c r="CL154" s="1269">
        <f t="array" ref="CL154">SUM((IF(QualitéAlimentsPorceletMâle_0_1_mois=MOYENNE,VLOOKUP("Haricot vert",AlimentsRationPorcinsMâles[],6,FALSE),0)+(IF(QualitéAlimentsPorceletFemelle_0_1_mois=MOYENNE,VLOOKUP("Haricot vert",AlimentsRationPorcinsFemelles[],6,FALSE),0)+(IF(QualitéAlimentsPorceletMâle_1_3_mois=MOYENNE,VLOOKUP("Haricot vert",AlimentsRationPorcinsMâles[],5,FALSE),0)+(IF(QualitéAlimentsPorceletFemelle_1_3_mois=MOYENNE,VLOOKUP("Haricot vert",AlimentsRationPorcinsFemelles[],5,FALSE),0)+(IF(QualitéAlimentsJeuneVerrat_3_6_mois=MOYENNE,VLOOKUP("Haricot vert",AlimentsRationPorcinsMâles[],4,FALSE),0)+(IF(QualitéAlimentsJeuneTruie_3_6_mois=MOYENNE,VLOOKUP("Haricot vert",AlimentsRationPorcinsFemelles[],4,FALSE),0)+(IF(QualitéAlimentsJeuneVerrat_6_12_mois=MOYENNE,VLOOKUP("Haricot vert",AlimentsRationPorcinsMâles[],3,FALSE),0)+(IF(QualitéAlimentsJeuneTruie_6_12_mois=MOYENNE,VLOOKUP("Haricot vert",AlimentsRationPorcinsFemelles[],3,FALSE),0)+(IF(QualitéAlimentsVerrat=MOYENNE,VLOOKUP("Haricot vert",AlimentsRationPorcinsMâles[],2,FALSE),0)+(IF(QualitéAlimentsTruie=MOYENNE,VLOOKUP("Haricot vert",AlimentsRationPorcinsFemelles[],2,FALSE),0))))))))))))</f>
        <v>0</v>
      </c>
      <c r="CM154" s="1269">
        <f t="array" ref="CM154">SUM((IF(QualitéAlimentsPorceletMâle_0_1_mois=MAUVAISE,VLOOKUP("Haricot vert",AlimentsRationPorcinsMâles[],6,FALSE),0)+(IF(QualitéAlimentsPorceletFemelle_0_1_mois=MAUVAISE,VLOOKUP("Haricot vert",AlimentsRationPorcinsFemelles[],6,FALSE),0)+(IF(QualitéAlimentsPorceletMâle_1_3_mois=MAUVAISE,VLOOKUP("Haricot vert",AlimentsRationPorcinsMâles[],5,FALSE),0)+(IF(QualitéAlimentsPorceletFemelle_1_3_mois=MAUVAISE,VLOOKUP("Haricot vert",AlimentsRationPorcinsFemelles[],5,FALSE),0)+(IF(QualitéAlimentsJeuneVerrat_3_6_mois=MAUVAISE,VLOOKUP("Haricot vert",AlimentsRationPorcinsMâles[],4,FALSE),0)+(IF(QualitéAlimentsJeuneTruie_3_6_mois=MAUVAISE,VLOOKUP("Haricot vert",AlimentsRationPorcinsFemelles[],4,FALSE),0)+(IF(QualitéAlimentsJeuneVerrat_6_12_mois=MAUVAISE,VLOOKUP("Haricot vert",AlimentsRationPorcinsMâles[],3,FALSE),0)+(IF(QualitéAlimentsJeuneTruie_6_12_mois=MAUVAISE,VLOOKUP("Haricot vert",AlimentsRationPorcinsFemelles[],3,FALSE),0)+(IF(QualitéAlimentsVerrat=MAUVAISE,VLOOKUP("Haricot vert",AlimentsRationPorcinsMâles[],2,FALSE),0)+(IF(QualitéAlimentsTruie=MAUVAISE,VLOOKUP("Haricot vert",AlimentsRationPorcinsFemelles[],2,FALSE),0))))))))))))</f>
        <v>0</v>
      </c>
      <c r="CN154" s="1321"/>
      <c r="CO154" s="1320"/>
      <c r="CP154" s="1345"/>
      <c r="CQ154" s="1321"/>
      <c r="CR154" s="1321"/>
      <c r="CS154" s="1079" t="s">
        <v>1276</v>
      </c>
      <c r="CT154" s="1271" t="s">
        <v>1746</v>
      </c>
      <c r="CU154" s="1271" t="s">
        <v>1747</v>
      </c>
      <c r="CV154" s="1271" t="s">
        <v>1748</v>
      </c>
      <c r="CW154" s="1321"/>
      <c r="CX154" s="1321"/>
      <c r="CY154" s="1321"/>
      <c r="CZ154" s="1076" t="str">
        <f>CZ57</f>
        <v>Avoine</v>
      </c>
      <c r="DA154" s="1267">
        <f t="array" ref="DA154">SUM((IF(QualitéAlimentsPoussinMâle_0_1_mois=BONNE,VLOOKUP("Avoine",AlimentsRationVolaillesMâles[],4,FALSE),0)+(IF(QualitéAlimentsPoussinFemelle_0_1_mois=BONNE,VLOOKUP("Avoine",AlimentsRationVolaillesFemelles[],4,FALSE),0)+(IF(QualitéAlimentsJeuneCoq=BONNE,VLOOKUP("Avoine",AlimentsRationVolaillesMâles[],3,FALSE),0)+(IF(QualitéAlimentsJeunePoule=BONNE,VLOOKUP("Avoine",AlimentsRationVolaillesFemelles[],3,FALSE),0)+(IF(QualitéAlimentsCoq=BONNE,VLOOKUP("Avoine",AlimentsRationVolaillesMâles[],2,FALSE),0)+(IF(QualitéAlimentsPoule=BONNE,VLOOKUP("Avoine",AlimentsRationVolaillesFemelles[],2,FALSE),0))))))))</f>
        <v>0</v>
      </c>
      <c r="DB154" s="1267">
        <f t="array" ref="DB154">SUM((IF(QualitéAlimentsPoussinMâle_0_1_mois=MOYENNE,VLOOKUP("Avoine",AlimentsRationVolaillesMâles[],4,FALSE),0)+(IF(QualitéAlimentsPoussinFemelle_0_1_mois=MOYENNE,VLOOKUP("Avoine",AlimentsRationVolaillesFemelles[],4,FALSE),0)+(IF(QualitéAlimentsJeuneCoq=MOYENNE,VLOOKUP("Avoine",AlimentsRationVolaillesMâles[],3,FALSE),0)+(IF(QualitéAlimentsJeunePoule=MOYENNE,VLOOKUP("Avoine",AlimentsRationVolaillesFemelles[],3,FALSE),0)+(IF(QualitéAlimentsCoq=MOYENNE,VLOOKUP("Avoine",AlimentsRationVolaillesMâles[],2,FALSE),0)+(IF(QualitéAlimentsPoule=MOYENNE,VLOOKUP("Avoine",AlimentsRationVolaillesFemelles[],2,FALSE),0))))))))</f>
        <v>0</v>
      </c>
      <c r="DC154" s="1267">
        <f t="array" ref="DC154">SUM((IF(QualitéAlimentsPoussinMâle_0_1_mois=MAUVAISE,VLOOKUP("Avoine",AlimentsRationVolaillesMâles[],4,FALSE),0)+(IF(QualitéAlimentsPoussinFemelle_0_1_mois=MAUVAISE,VLOOKUP("Avoine",AlimentsRationVolaillesFemelles[],4,FALSE),0)+(IF(QualitéAlimentsJeuneCoq=MAUVAISE,VLOOKUP("Avoine",AlimentsRationVolaillesMâles[],3,FALSE),0)+(IF(QualitéAlimentsJeunePoule=MAUVAISE,VLOOKUP("Avoine",AlimentsRationVolaillesFemelles[],3,FALSE),0)+(IF(QualitéAlimentsCoq=MAUVAISE,VLOOKUP("Avoine",AlimentsRationVolaillesMâles[],2,FALSE),0)+(IF(QualitéAlimentsPoule=MAUVAISE,VLOOKUP("Avoine",AlimentsRationVolaillesFemelles[],2,FALSE),0))))))))</f>
        <v>0</v>
      </c>
      <c r="DD154" s="1321"/>
      <c r="DE154" s="1321"/>
      <c r="DF154" s="1321"/>
      <c r="DG154" s="1076" t="str">
        <f t="shared" si="58"/>
        <v>Ensilage d'herbe</v>
      </c>
      <c r="DH154" s="1267">
        <f t="array" ref="DH154">SUM((IF(QualitéAlimentsPintadeauMâle_0_1_mois=BONNE,VLOOKUP("Ensilage d'herbe",AlimentsRationPintadesMâles[],4,FALSE),0)+(IF(QualitéAlimentsPintadeauFemelle_0_1_mois=BONNE,VLOOKUP("Ensilage d'herbe",AlimentsRationPintadesFemelles[],4,FALSE),0)+(IF(QualitéAlimentsJeunePintadeMâle=BONNE,VLOOKUP("Ensilage d'herbe",AlimentsRationPintadesMâles[],3,FALSE),0)+(IF(QualitéAlimentsJeunePintadeFemelle=BONNE,VLOOKUP("Ensilage d'herbe",AlimentsRationPintadesFemelles[],3,FALSE),0)+(IF(QualitéAlimentsPintadeMâle=BONNE,VLOOKUP("Ensilage d'herbe",AlimentsRationPintadesMâles[],2,FALSE),0)+(IF(QualitéAlimentsPintadeFemelle=BONNE,VLOOKUP("Ensilage d'herbe",AlimentsRationPintadesFemelles[],2,FALSE),0))))))))</f>
        <v>0</v>
      </c>
      <c r="DI154" s="1267">
        <f t="array" ref="DI154">SUM((IF(QualitéAlimentsPintadeauMâle_0_1_mois=MOYENNE,VLOOKUP("Ensilage d'herbe",AlimentsRationPintadesMâles[],4,FALSE),0)+(IF(QualitéAlimentsPintadeauFemelle_0_1_mois=MOYENNE,VLOOKUP("Ensilage d'herbe",AlimentsRationPintadesFemelles[],4,FALSE),0)+(IF(QualitéAlimentsJeunePintadeMâle=MOYENNE,VLOOKUP("Ensilage d'herbe",AlimentsRationPintadesMâles[],3,FALSE),0)+(IF(QualitéAlimentsJeunePintadeFemelle=MOYENNE,VLOOKUP("Ensilage d'herbe",AlimentsRationPintadesFemelles[],3,FALSE),0)+(IF(QualitéAlimentsPintadeMâle=MOYENNE,VLOOKUP("Ensilage d'herbe",AlimentsRationPintadesMâles[],2,FALSE),0)+(IF(QualitéAlimentsPintadeFemelle=MOYENNE,VLOOKUP("Ensilage d'herbe",AlimentsRationPintadesFemelles[],2,FALSE),0))))))))</f>
        <v>0</v>
      </c>
      <c r="DJ154" s="1267">
        <f t="array" ref="DJ154">SUM((IF(QualitéAlimentsPintadeauMâle_0_1_mois=MAUVAISE,VLOOKUP("Ensilage d'herbe",AlimentsRationPintadesMâles[],4,FALSE),0)+(IF(QualitéAlimentsPintadeauFemelle_0_1_mois=MAUVAISE,VLOOKUP("Ensilage d'herbe",AlimentsRationPintadesFemelles[],4,FALSE),0)+(IF(QualitéAlimentsJeunePintadeMâle=MAUVAISE,VLOOKUP("Ensilage d'herbe",AlimentsRationPintadesMâles[],3,FALSE),0)+(IF(QualitéAlimentsJeunePintadeFemelle=MAUVAISE,VLOOKUP("Ensilage d'herbe",AlimentsRationPintadesFemelles[],3,FALSE),0)+(IF(QualitéAlimentsPintadeMâle=MAUVAISE,VLOOKUP("Ensilage d'herbe",AlimentsRationPintadesMâles[],2,FALSE),0)+(IF(QualitéAlimentsPintadeFemelle=MAUVAISE,VLOOKUP("Ensilage d'herbe",AlimentsRationPintadesFemelles[],2,FALSE),0))))))))</f>
        <v>0</v>
      </c>
      <c r="DK154" s="1321"/>
      <c r="DL154" s="1321"/>
      <c r="DM154" s="1321"/>
      <c r="DN154" s="1076" t="s">
        <v>1270</v>
      </c>
      <c r="DO154" s="1267">
        <f t="array" ref="DO154">IF(ChoixRationComplèteOvins=OUI,0,IFERROR(IF(OR(AND(INDEX(Règles_ovins[Specificite],MATCH(ChoixRationOvins&amp;$DN154,Règles_ovins[Ration]&amp;Règles_ovins[Aliment],0))="s1",IF($DN154=Spécificité1Ovins,1)),
AND(INDEX(Règles_ovins[Specificite],MATCH(ChoixRationOvins&amp;$DN154,Règles_ovins[Ration]&amp;Règles_ovins[Aliment],0))="s2",IF($DN154=Spécificité2Ovins,1)),
INDEX(Règles_ovins[Specificite],MATCH(ChoixRationOvins&amp;$DN154,Règles_ovins[Ration]&amp;Règles_ovins[Aliment],0))="c"),
INDEX(Règles_ovins[Valeur 12 et plus],MATCH(ChoixRationOvins&amp;$DN154,Règles_ovins[Ration]&amp;Règles_ovins[Aliment],0)),0),0)*IF(ChoixOvinsPréHiver=OUI,SUM(TotalOvinsAdultesRacesLaitières)*NbreJoursNourrirOvins,TotalBéliers*SUM(NbreJoursNourrirOvins)))</f>
        <v>0</v>
      </c>
      <c r="DP154" s="1267">
        <f t="array" ref="DP154">IF(ChoixRationComplèteOvins=OUI,0,IFERROR(IF(OR(AND(INDEX(Règles_ovins[Specificite],MATCH(ChoixRationOvins&amp;$DN154,Règles_ovins[Ration]&amp;Règles_ovins[Aliment],0))="s1",IF($DN154=Spécificité1Ovins,1)),
AND(INDEX(Règles_ovins[Specificite],MATCH(ChoixRationOvins&amp;$DN154,Règles_ovins[Ration]&amp;Règles_ovins[Aliment],0))="s2",IF($DN154=Spécificité2Ovins,1)),
INDEX(Règles_ovins[Specificite],MATCH(ChoixRationOvins&amp;$DN154,Règles_ovins[Ration]&amp;Règles_ovins[Aliment],0))="c"),
INDEX(Règles_ovins[Valeur 6-12],MATCH(ChoixRationOvins&amp;$DN154,Règles_ovins[Ration]&amp;Règles_ovins[Aliment],0)),0),0)*IF(ChoixOvinsPréHiver=OUI,SUM(TotalJeunesOvinsRacesLaitières)*NbreJoursNourrirOvins,TotalJeune_bélier_6_12_mois*SUM(NbreJoursNourrirOvins)))</f>
        <v>0</v>
      </c>
      <c r="DQ154" s="1267">
        <f t="array" ref="DQ154">IF(ChoixRationComplèteOvins=OUI,0,IFERROR(IF(OR(AND(INDEX(Règles_ovins[Specificite],MATCH(ChoixRationOvins&amp;$DN154,Règles_ovins[Ration]&amp;Règles_ovins[Aliment],0))="s1",IF($DN154=Spécificité1Ovins,1)),
AND(INDEX(Règles_ovins[Specificite],MATCH(ChoixRationOvins&amp;$DN154,Règles_ovins[Ration]&amp;Règles_ovins[Aliment],0))="s2",IF($DN154=Spécificité2Ovins,1)),
INDEX(Règles_ovins[Specificite],MATCH(ChoixRationOvins&amp;$DN154,Règles_ovins[Ration]&amp;Règles_ovins[Aliment],0))="c"),
INDEX(Règles_ovins[Valeur 3-6],MATCH(ChoixRationOvins&amp;$DN154,Règles_ovins[Ration]&amp;Règles_ovins[Aliment],0)),0),0)*IF(ChoixOvinsPréHiver=OUI,SUM(TotalOvins_3_6moisRacesLaitières)*NbreJoursNourrirOvins,TotalAgneau_3_6_mois*SUM(NbreJoursNourrirOvins)))</f>
        <v>0</v>
      </c>
      <c r="DR154" s="1267">
        <f t="array" ref="DR154">IF(ChoixRationComplèteOvins=OUI,0,IFERROR(IF(OR(AND(INDEX(Règles_ovins[Specificite],MATCH(ChoixRationOvins&amp;$DN154,Règles_ovins[Ration]&amp;Règles_ovins[Aliment],0))="s1",IF($DN154=Spécificité1Ovins,1)),
AND(INDEX(Règles_ovins[Specificite],MATCH(ChoixRationOvins&amp;$DN154,Règles_ovins[Ration]&amp;Règles_ovins[Aliment],0))="s2",IF($DN154=Spécificité2Ovins,1)),
INDEX(Règles_ovins[Specificite],MATCH(ChoixRationOvins&amp;$DN154,Règles_ovins[Ration]&amp;Règles_ovins[Aliment],0))="c"),
INDEX(Règles_ovins[Valeur 0-3],MATCH(ChoixRationOvins&amp;$DN154,Règles_ovins[Ration]&amp;Règles_ovins[Aliment],0)),0),0)*IF(ChoixOvinsPréHiver=OUI,SUM(TotalOvins_3_6moisRacesLaitières)*NbreJoursNourrirOvins,TotalAgneau_0_3_mois*SUM(NbreJoursNourrirOvins)))</f>
        <v>0</v>
      </c>
      <c r="DS154" s="1279">
        <f t="shared" si="61"/>
        <v>0</v>
      </c>
      <c r="DT154" s="1346"/>
      <c r="DU154" s="1346"/>
      <c r="DV154" s="1321"/>
      <c r="DW154" s="1321"/>
      <c r="DX154" s="1321"/>
      <c r="DY154" s="1321"/>
      <c r="DZ154" s="1321"/>
      <c r="EA154" s="1321"/>
      <c r="EB154" s="1321"/>
      <c r="EC154" s="1321"/>
      <c r="ED154" s="1345"/>
      <c r="EE154" s="1345"/>
      <c r="EF154" s="1321"/>
      <c r="EG154" s="1076" t="str">
        <f t="shared" si="63"/>
        <v>Chanvre</v>
      </c>
      <c r="EH154" s="1267">
        <f t="array" ref="EH154">SUM((IF(QualitéAlimentsOisonMâle_0_3_mois=BONNE,VLOOKUP("Chanvre",AlimentsRationOiesMâles[],4,FALSE),0)+(IF(QualitéAlimentsOisonFemelle_0_3_mois=BONNE,VLOOKUP("Chanvre",AlimentsRationOiesFemelles[],4,FALSE),0)+(IF(QualitéAlimentsJeuneJars=BONNE,VLOOKUP("Chanvre",AlimentsRationOiesMâles[],3,FALSE),0)+(IF(QualitéAlimentsJeuneOie=BONNE,VLOOKUP("Chanvre",AlimentsRationOiesFemelles[],3,FALSE),0)+(IF(QualitéAlimentsJars=BONNE,VLOOKUP("Chanvre",AlimentsRationOiesMâles[],2,FALSE),0)+(IF(QualitéAlimentsOie=BONNE,VLOOKUP("Chanvre",AlimentsRationOiesFemelles[],2,FALSE),0))))))))</f>
        <v>0</v>
      </c>
      <c r="EI154" s="1267">
        <f t="array" ref="EI154">SUM((IF(QualitéAlimentsOisonMâle_0_3_mois=MOYENNE,VLOOKUP("Chanvre",AlimentsRationOiesMâles[],4,FALSE),0)+(IF(QualitéAlimentsOisonFemelle_0_3_mois=MOYENNE,VLOOKUP("Chanvre",AlimentsRationOiesFemelles[],4,FALSE),0)+(IF(QualitéAlimentsJeuneJars=MOYENNE,VLOOKUP("Chanvre",AlimentsRationOiesMâles[],3,FALSE),0)+(IF(QualitéAlimentsJeuneOie=MOYENNE,VLOOKUP("Chanvre",AlimentsRationOiesFemelles[],3,FALSE),0)+(IF(QualitéAlimentsJars=MOYENNE,VLOOKUP("Chanvre",AlimentsRationOiesMâles[],2,FALSE),0)+(IF(QualitéAlimentsOie=MOYENNE,VLOOKUP("Chanvre",AlimentsRationOiesFemelles[],2,FALSE),0))))))))</f>
        <v>0</v>
      </c>
      <c r="EJ154" s="1267">
        <f t="array" ref="EJ154">SUM((IF(QualitéAlimentsOisonMâle_0_3_mois=MAUVAISE,VLOOKUP("Chanvre",AlimentsRationOiesMâles[],4,FALSE),0)+(IF(QualitéAlimentsOisonFemelle_0_3_mois=MAUVAISE,VLOOKUP("Chanvre",AlimentsRationOiesFemelles[],4,FALSE),0)+(IF(QualitéAlimentsJeuneJars=MAUVAISE,VLOOKUP("Chanvre",AlimentsRationOiesMâles[],3,FALSE),0)+(IF(QualitéAlimentsJeuneOie=MAUVAISE,VLOOKUP("Chanvre",AlimentsRationOiesFemelles[],3,FALSE),0)+(IF(QualitéAlimentsJars=MAUVAISE,VLOOKUP("Chanvre",AlimentsRationOiesMâles[],2,FALSE),0)+(IF(QualitéAlimentsOie=MAUVAISE,VLOOKUP("Chanvre",AlimentsRationOiesFemelles[],2,FALSE),0))))))))</f>
        <v>0</v>
      </c>
      <c r="EK154" s="1345"/>
      <c r="EL154" s="1345"/>
      <c r="EM154" s="1321"/>
      <c r="EN154" s="1083" t="str">
        <f t="shared" si="62"/>
        <v>Canola</v>
      </c>
      <c r="EO154" s="1283">
        <f t="array" ref="EO154">SUM((IF(QualitéAlimentsCanetonMâle=BONNE,VLOOKUP("Canola",AlimentsRationCanardsMâles,4,FALSE),0)+(IF(QualitéAlimentsCanetonFemelle=BONNE,VLOOKUP("Canola",AlimentsRationCanardsFemelles,4,FALSE),0)+(IF(QualitéAlimentsJeuneCanard=BONNE,VLOOKUP("Canola",AlimentsRationCanardsMâles,3,FALSE),0)+(IF(QualitéAlimentsJeuneCane=BONNE,VLOOKUP("Canola",AlimentsRationCanardsFemelles,3,FALSE),0)+(IF(QualitéAlimentsCanard=BONNE,VLOOKUP("Canola",AlimentsRationCanardsMâles,2,FALSE),0)+(IF(QualitéAlimentsCane=BONNE,VLOOKUP("Canola",AlimentsRationCanardsFemelles,2,FALSE),0))))))))</f>
        <v>0</v>
      </c>
      <c r="EP154" s="1283">
        <f t="array" ref="EP154">SUM((IF(QualitéAlimentsCanetonMâle=MOYENNE,VLOOKUP("Canola",AlimentsRationCanardsMâles,4,FALSE),0)+(IF(QualitéAlimentsCanetonFemelle=MOYENNE,VLOOKUP("Canola",AlimentsRationCanardsFemelles,4,FALSE),0)+(IF(QualitéAlimentsJeuneCanard=MOYENNE,VLOOKUP("Canola",AlimentsRationCanardsMâles,3,FALSE),0)+(IF(QualitéAlimentsJeuneCane=MOYENNE,VLOOKUP("Canola",AlimentsRationCanardsFemelles,3,FALSE),0)+(IF(QualitéAlimentsCanard=MOYENNE,VLOOKUP("Canola",AlimentsRationCanardsMâles,2,FALSE),0)+(IF(QualitéAlimentsCane=MOYENNE,VLOOKUP("Canola",AlimentsRationCanardsFemelles,2,FALSE),0))))))))</f>
        <v>0</v>
      </c>
      <c r="EQ154" s="1283">
        <f t="array" ref="EQ154">SUM((IF(QualitéAlimentsCanetonMâle=MAUVAISE,VLOOKUP("Canola",AlimentsRationCanardsMâles,4,FALSE),0)+(IF(QualitéAlimentsCanetonFemelle=MAUVAISE,VLOOKUP("Canola",AlimentsRationCanardsFemelles,4,FALSE),0)+(IF(QualitéAlimentsJeuneCanard=MAUVAISE,VLOOKUP("Canola",AlimentsRationCanardsMâles,3,FALSE),0)+(IF(QualitéAlimentsJeuneCane=MAUVAISE,VLOOKUP("Canola",AlimentsRationCanardsFemelles,3,FALSE),0)+(IF(QualitéAlimentsCanard=MAUVAISE,VLOOKUP("Canola",AlimentsRationCanardsMâles,2,FALSE),0)+(IF(QualitéAlimentsCane=MAUVAISE,VLOOKUP("Canola",AlimentsRationCanardsFemelles,2,FALSE),0))))))))</f>
        <v>0</v>
      </c>
      <c r="ER154" s="1345"/>
      <c r="ES154" s="1345"/>
      <c r="ET154" s="1321"/>
      <c r="EU154" s="1082" t="str">
        <f t="shared" si="60"/>
        <v>Colza</v>
      </c>
      <c r="EV154" s="1282">
        <f t="array" ref="EV154">IF(OR(ChoixRationHivernaleComplèteChevauxSelle=OUI,ChoixRationHivernaleComplèteChevauxSelle="",ChoixChevauxSellePréHiver=NON),0,IFERROR(IF(OR(AND(INDEX(Règles_chevaux_selle[Specificite],MATCH(RationHivernaleAuPréChevauxSelle&amp;$EU154,Règles_chevaux_selle[Ration]&amp;Règles_chevaux_selle[Aliment],0))="s1",IF($EU154=Spécificité1ChevauxSelle,1)),
AND(INDEX(Règles_chevaux_selle[Specificite],MATCH(RationHivernaleAuPréChevauxSelle&amp;$EU154,Règles_chevaux_selle[Ration]&amp;Règles_chevaux_selle[Aliment],0))="s2",IF($EU154=Spécificité2ChevauxSelle,1)),
INDEX(Règles_chevaux_selle[Specificite],MATCH(RationHivernaleAuPréChevauxSelle&amp;$EU154,Règles_chevaux_selle[Ration]&amp;Règles_chevaux_selle[Aliment],0))="c"),
INDEX(Règles_chevaux_selle[Valeur 36 et plus],MATCH(RationHivernaleAuPréChevauxSelle&amp;$EU154,Règles_chevaux_selle[Ration]&amp;Règles_chevaux_selle[Aliment],0)),0),0)*SUM(TotalChevauxSelleAdultes)*21)</f>
        <v>0</v>
      </c>
      <c r="EW154" s="1282">
        <f t="array" ref="EW154">IF(OR(ChoixRationHivernaleComplèteChevauxSelle=OUI,ChoixRationHivernaleComplèteChevauxSelle="",ChoixChevauxSellePréHiver=NON),0,IFERROR(IF(OR(AND(INDEX(Règles_chevaux_selle[Specificite],MATCH(RationHivernaleAuPréChevauxSelle&amp;$EU154,Règles_chevaux_selle[Ration]&amp;Règles_chevaux_selle[Aliment],0))="s1",IF($EU154=Spécificité1ChevauxSelle,1)),
AND(INDEX(Règles_chevaux_selle[Specificite],MATCH(RationHivernaleAuPréChevauxSelle&amp;$EU154,Règles_chevaux_selle[Ration]&amp;Règles_chevaux_selle[Aliment],0))="s2",IF($EU154=Spécificité2ChevauxSelle,1)),
INDEX(Règles_chevaux_selle[Specificite],MATCH(RationHivernaleAuPréChevauxSelle&amp;$EU154,Règles_chevaux_selle[Ration]&amp;Règles_chevaux_selle[Aliment],0))="c"),
INDEX(Règles_chevaux_selle[Valeur 24-36],MATCH(RationHivernaleAuPréChevauxSelle&amp;$EU154,Règles_chevaux_selle[Ration]&amp;Règles_chevaux_selle[Aliment],0)),0),0)*SUM(TotalChevauxSelle_24_36mois)*21)</f>
        <v>0</v>
      </c>
      <c r="EX154" s="1282">
        <f t="array" ref="EX154">IF(OR(ChoixRationHivernaleComplèteChevauxSelle=OUI,ChoixRationHivernaleComplèteChevauxSelle="",ChoixChevauxSellePréHiver=NON),0,IFERROR(IF(OR(AND(INDEX(Règles_chevaux_selle[Specificite],MATCH(RationHivernaleAuPréChevauxSelle&amp;$EU154,Règles_chevaux_selle[Ration]&amp;Règles_chevaux_selle[Aliment],0))="s1",IF($EU154=Spécificité1ChevauxSelle,1)),
AND(INDEX(Règles_chevaux_selle[Specificite],MATCH(RationHivernaleAuPréChevauxSelle&amp;$EU154,Règles_chevaux_selle[Ration]&amp;Règles_chevaux_selle[Aliment],0))="s2",IF($EU154=Spécificité2ChevauxSelle,1)),
INDEX(Règles_chevaux_selle[Specificite],MATCH(RationHivernaleAuPréChevauxSelle&amp;$EU154,Règles_chevaux_selle[Ration]&amp;Règles_chevaux_selle[Aliment],0))="c"),
INDEX(Règles_chevaux_selle[Valeur 12-24],MATCH(RationHivernaleAuPréChevauxSelle&amp;$EU154,Règles_chevaux_selle[Ration]&amp;Règles_chevaux_selle[Aliment],0)),0),0)*SUM(TotalChevauxSelle_12_24mois)*21)</f>
        <v>0</v>
      </c>
      <c r="EY154" s="1285">
        <f t="array" ref="EY154">IF(OR(ChoixRationHivernaleComplèteChevauxSelle=OUI,ChoixRationHivernaleComplèteChevauxSelle="",ChoixChevauxSellePréHiver=NON),0,IFERROR(IF(OR(AND(INDEX(Règles_chevaux_selle[Specificite],MATCH(RationHivernaleAuPréChevauxSelle&amp;$EU154,Règles_chevaux_selle[Ration]&amp;Règles_chevaux_selle[Aliment],0))="s1",IF($EU154=Spécificité1ChevauxSelle,1)),
AND(INDEX(Règles_chevaux_selle[Specificite],MATCH(RationHivernaleAuPréChevauxSelle&amp;$EU154,Règles_chevaux_selle[Ration]&amp;Règles_chevaux_selle[Aliment],0))="s2",IF($EU154=Spécificité2ChevauxSelle,1)),
INDEX(Règles_chevaux_selle[Specificite],MATCH(RationHivernaleAuPréChevauxSelle&amp;$EU154,Règles_chevaux_selle[Ration]&amp;Règles_chevaux_selle[Aliment],0))="c"),
INDEX(Règles_chevaux_selle[Valeur 0-12],MATCH(RationHivernaleAuPréChevauxSelle&amp;$EU154,Règles_chevaux_selle[Ration]&amp;Règles_chevaux_selle[Aliment],0)),0),0)*SUM(TotalPoulainsSelle)*21)</f>
        <v>0</v>
      </c>
      <c r="EZ154" s="1285">
        <f t="shared" si="59"/>
        <v>0</v>
      </c>
      <c r="FA154" s="1345"/>
      <c r="FB154" s="1345"/>
      <c r="FC154" s="1321"/>
      <c r="FD154" s="1082" t="str">
        <f t="shared" si="55"/>
        <v>Epinard</v>
      </c>
      <c r="FE154" s="1282">
        <f t="array" ref="FE154">IF(OR(ChoixRationHivernaleComplèteChevauxTrait=OUI,ChoixRationHivernaleComplèteChevauxTrait="",ChoixChevauxTraitPréHiver=NON),0,IFERROR(IF(OR(AND(INDEX(Règles_chevaux_trait[Specificite],MATCH(RationHivernaleAuPréChevauxTrait&amp;$FD154,Règles_chevaux_trait[Ration]&amp;Règles_chevaux_trait[Aliment],0))="s1",IF($FD154=Spécificité1ChevauxTrait,1)),
AND(INDEX(Règles_chevaux_trait[Specificite],MATCH(RationHivernaleAuPréChevauxTrait&amp;$FD154,Règles_chevaux_trait[Ration]&amp;Règles_chevaux_trait[Aliment],0))="s2",IF($FD154=Spécificité2ChevauxTrait,1)),
INDEX(Règles_chevaux_trait[Specificite],MATCH(RationHivernaleAuPréChevauxTrait&amp;$FD154,Règles_chevaux_trait[Ration]&amp;Règles_chevaux_trait[Aliment],0))="c"),
INDEX(Règles_chevaux_trait[Valeur 36 et plus],MATCH(RationHivernaleAuPréChevauxTrait&amp;$FD154,Règles_chevaux_trait[Ration]&amp;Règles_chevaux_trait[Aliment],0)),0),0)*SUM(TotalChevauxTraitAdultes)*21)</f>
        <v>0</v>
      </c>
      <c r="FF154" s="1282">
        <f t="array" ref="FF154">IF(OR(ChoixRationHivernaleComplèteChevauxTrait=OUI,ChoixRationHivernaleComplèteChevauxTrait="",ChoixChevauxTraitPréHiver=NON),0,IFERROR(IF(OR(AND(INDEX(Règles_chevaux_trait[Specificite],MATCH(RationHivernaleAuPréChevauxTrait&amp;$FD154,Règles_chevaux_trait[Ration]&amp;Règles_chevaux_trait[Aliment],0))="s1",IF($FD154=Spécificité1ChevauxTrait,1)),
AND(INDEX(Règles_chevaux_trait[Specificite],MATCH(RationHivernaleAuPréChevauxTrait&amp;$FD154,Règles_chevaux_trait[Ration]&amp;Règles_chevaux_trait[Aliment],0))="s2",IF($FD154=Spécificité2ChevauxTrait,1)),
INDEX(Règles_chevaux_trait[Specificite],MATCH(RationHivernaleAuPréChevauxTrait&amp;$FD154,Règles_chevaux_trait[Ration]&amp;Règles_chevaux_trait[Aliment],0))="c"),
INDEX(Règles_chevaux_trait[Valeur 24-36],MATCH(RationHivernaleAuPréChevauxTrait&amp;$FD154,Règles_chevaux_trait[Ration]&amp;Règles_chevaux_trait[Aliment],0)),0),0)*SUM(TotalChevauxTrait_24_36mois)*21)</f>
        <v>0</v>
      </c>
      <c r="FG154" s="1282">
        <f t="array" ref="FG154">IF(OR(ChoixRationHivernaleComplèteChevauxTrait=OUI,ChoixRationHivernaleComplèteChevauxTrait="",ChoixChevauxTraitPréHiver=NON),0,IFERROR(IF(OR(AND(INDEX(Règles_chevaux_trait[Specificite],MATCH(RationHivernaleAuPréChevauxTrait&amp;$FD154,Règles_chevaux_trait[Ration]&amp;Règles_chevaux_trait[Aliment],0))="s1",IF($FD154=Spécificité1ChevauxTrait,1)),
AND(INDEX(Règles_chevaux_trait[Specificite],MATCH(RationHivernaleAuPréChevauxTrait&amp;$FD154,Règles_chevaux_trait[Ration]&amp;Règles_chevaux_trait[Aliment],0))="s2",IF($FD154=Spécificité2ChevauxTrait,1)),
INDEX(Règles_chevaux_trait[Specificite],MATCH(RationHivernaleAuPréChevauxTrait&amp;$FD154,Règles_chevaux_trait[Ration]&amp;Règles_chevaux_trait[Aliment],0))="c"),
INDEX(Règles_chevaux_trait[Valeur 12-24],MATCH(RationHivernaleAuPréChevauxTrait&amp;$FD154,Règles_chevaux_trait[Ration]&amp;Règles_chevaux_trait[Aliment],0)),0),0)*SUM(TotalChevauxTrait_12_24mois)*21)</f>
        <v>0</v>
      </c>
      <c r="FH154" s="1285">
        <f t="array" ref="FH154">IF(OR(ChoixRationHivernaleComplèteChevauxTrait=OUI,ChoixRationHivernaleComplèteChevauxTrait="",ChoixChevauxTraitPréHiver=NON),0,IFERROR(IF(OR(AND(INDEX(Règles_chevaux_trait[Specificite],MATCH(RationHivernaleAuPréChevauxTrait&amp;$FD154,Règles_chevaux_trait[Ration]&amp;Règles_chevaux_trait[Aliment],0))="s1",IF($FD154=Spécificité1ChevauxTrait,1)),
AND(INDEX(Règles_chevaux_trait[Specificite],MATCH(RationHivernaleAuPréChevauxTrait&amp;$FD154,Règles_chevaux_trait[Ration]&amp;Règles_chevaux_trait[Aliment],0))="s2",IF($FD154=Spécificité2ChevauxTrait,1)),
INDEX(Règles_chevaux_trait[Specificite],MATCH(RationHivernaleAuPréChevauxTrait&amp;$FD154,Règles_chevaux_trait[Ration]&amp;Règles_chevaux_trait[Aliment],0))="c"),
INDEX(Règles_chevaux_trait[Valeur 0-12],MATCH(RationHivernaleAuPréChevauxTrait&amp;$FD154,Règles_chevaux_trait[Ration]&amp;Règles_chevaux_trait[Aliment],0)),0),0)*SUM(TotalPoulainsTrait)*21)</f>
        <v>0</v>
      </c>
      <c r="FI154" s="1285">
        <f t="shared" si="53"/>
        <v>0</v>
      </c>
      <c r="FJ154" s="1345"/>
      <c r="FK154" s="1345"/>
      <c r="FL154" s="1345"/>
      <c r="FM154" s="1321"/>
      <c r="FN154" s="1083" t="str">
        <f t="shared" si="54"/>
        <v>Féverole</v>
      </c>
      <c r="FO154" s="1283">
        <f t="array" ref="FO154">IF(OR(ChoixRationHivernaleComplètePoneys=OUI,ChoixRationHivernaleComplètePoneys="",ChoixPoneysPréHiver=NON),0,IFERROR(IF(OR(AND(INDEX(Règles_poneys[Specificite],MATCH(RationHivernaleAuPréPoneys&amp;$FN154,Règles_poneys[Ration]&amp;Règles_poneys[Aliment],0))="s1",IF($FN154=Spécificité1Poneys,1)),
AND(INDEX(Règles_poneys[Specificite],MATCH(RationHivernaleAuPréPoneys&amp;$FN154,Règles_poneys[Ration]&amp;Règles_poneys[Aliment],0))="s2",IF($FN154=Spécificité2Poneys,1)),
INDEX(Règles_poneys[Specificite],MATCH(RationHivernaleAuPréPoneys&amp;$FN154,Règles_poneys[Ration]&amp;Règles_poneys[Aliment],0))="c"),
INDEX(Règles_poneys[Valeur 36 et plus],MATCH(RationHivernaleAuPréPoneys&amp;$FN154,Règles_poneys[Ration]&amp;Règles_poneys[Aliment],0)),0),0)*SUM(TotalPoneysAdultes)*21)</f>
        <v>0</v>
      </c>
      <c r="FP154" s="1283">
        <f t="array" ref="FP154">IF(OR(ChoixRationHivernaleComplètePoneys=OUI,ChoixRationHivernaleComplètePoneys="",ChoixPoneysPréHiver=NON),0,IFERROR(IF(OR(AND(INDEX(Règles_poneys[Specificite],MATCH(RationHivernaleAuPréPoneys&amp;$FN154,Règles_poneys[Ration]&amp;Règles_poneys[Aliment],0))="s1",IF($FN154=Spécificité1Poneys,1)),
AND(INDEX(Règles_poneys[Specificite],MATCH(RationHivernaleAuPréPoneys&amp;$FN154,Règles_poneys[Ration]&amp;Règles_poneys[Aliment],0))="s2",IF($FN154=Spécificité2Poneys,1)),
INDEX(Règles_poneys[Specificite],MATCH(RationHivernaleAuPréPoneys&amp;$FN154,Règles_poneys[Ration]&amp;Règles_poneys[Aliment],0))="c"),
INDEX(Règles_poneys[Valeur 24-36],MATCH(RationHivernaleAuPréPoneys&amp;$FN154,Règles_poneys[Ration]&amp;Règles_poneys[Aliment],0)),0),0)*SUM(TotalPoneys_24_36mois)*21)</f>
        <v>0</v>
      </c>
      <c r="FQ154" s="1283">
        <f t="array" ref="FQ154">IF(OR(ChoixRationHivernaleComplètePoneys=OUI,ChoixRationHivernaleComplètePoneys="",ChoixPoneysPréHiver=NON),0,IFERROR(IF(OR(AND(INDEX(Règles_poneys[Specificite],MATCH(RationHivernaleAuPréPoneys&amp;$FN154,Règles_poneys[Ration]&amp;Règles_poneys[Aliment],0))="s1",IF($FN154=Spécificité1Poneys,1)),
AND(INDEX(Règles_poneys[Specificite],MATCH(RationHivernaleAuPréPoneys&amp;$FN154,Règles_poneys[Ration]&amp;Règles_poneys[Aliment],0))="s2",IF($FN154=Spécificité2Poneys,1)),
INDEX(Règles_poneys[Specificite],MATCH(RationHivernaleAuPréPoneys&amp;$FN154,Règles_poneys[Ration]&amp;Règles_poneys[Aliment],0))="c"),
INDEX(Règles_poneys[Valeur 12-24],MATCH(RationHivernaleAuPréPoneys&amp;$FN154,Règles_poneys[Ration]&amp;Règles_poneys[Aliment],0)),0),0)*SUM(TotalPoneys_12_24mois)*21)</f>
        <v>0</v>
      </c>
      <c r="FR154" s="1286">
        <f t="array" ref="FR154">IF(OR(ChoixRationHivernaleComplètePoneys=OUI,ChoixRationHivernaleComplètePoneys="",ChoixPoneysPréHiver=NON),0,IFERROR(IF(OR(AND(INDEX(Règles_poneys[Specificite],MATCH(RationHivernaleAuPréPoneys&amp;$FN154,Règles_poneys[Ration]&amp;Règles_poneys[Aliment],0))="s1",IF($FN154=Spécificité1Poneys,1)),
AND(INDEX(Règles_poneys[Specificite],MATCH(RationHivernaleAuPréPoneys&amp;$FN154,Règles_poneys[Ration]&amp;Règles_poneys[Aliment],0))="s2",IF($FN154=Spécificité2Poneys,1)),
INDEX(Règles_poneys[Specificite],MATCH(RationHivernaleAuPréPoneys&amp;$FN154,Règles_poneys[Ration]&amp;Règles_poneys[Aliment],0))="c"),
INDEX(Règles_poneys[Valeur 0-12],MATCH(RationHivernaleAuPréPoneys&amp;$FN154,Règles_poneys[Ration]&amp;Règles_poneys[Aliment],0)),0),0)*SUM(TotalPoulainsPoneys)*21)</f>
        <v>0</v>
      </c>
      <c r="FS154" s="1286">
        <f t="shared" si="52"/>
        <v>0</v>
      </c>
      <c r="FT154" s="1345"/>
      <c r="FU154" s="1345"/>
      <c r="FV154" s="1345"/>
      <c r="FW154" s="1082" t="str">
        <f t="shared" si="49"/>
        <v>Maïs grain</v>
      </c>
      <c r="FX154" s="1282">
        <f t="array" ref="FX154">SUM((IF(QualitéAlimentsGavageOison_0_1_mois=BONNE,VLOOKUP("Maïs grain",AlimentsGavageOies[],5,FALSE),0)+(IF(QualitéAlimentsGavageCaneton_0_1_mois=BONNE,VLOOKUP("Maïs grain",AlimentsGavageCanards[],5,FALSE),0)+(IF(QualitéAlimentsGavageOison_1_2_mois=BONNE,VLOOKUP("Maïs grain",AlimentsGavageOies[],4,FALSE),0)+(IF(QualitéAlimentsGavageCaneton_1_2_mois=BONNE,VLOOKUP("Maïs grain",AlimentsGavageCanards[],4,FALSE),0)+(IF(QualitéAlimentsGavageOison_2_3_mois=BONNE,VLOOKUP("Maïs grain",AlimentsGavageOies[],3,FALSE),0)+(IF(QualitéAlimentsGavageCaneton_2_3_mois=BONNE,VLOOKUP("Maïs grain",AlimentsGavageCanards[],3,FALSE),0)+(IF(QualitéAlimentsGavageJeunesOies=BONNE,VLOOKUP("Maïs grain",AlimentsGavageOies[],2,FALSE),0)+(IF(QualitéAlimentsGavageJeuneCanard=BONNE,VLOOKUP("Maïs grain",AlimentsGavageCanards[],2,FALSE),0))))))))))</f>
        <v>0</v>
      </c>
      <c r="FY154" s="1282">
        <f t="array" ref="FY154">SUM((IF(QualitéAlimentsGavageOison_0_1_mois=MOYENNE,VLOOKUP("Maïs grain",AlimentsGavageOies[],5,FALSE),0)+(IF(QualitéAlimentsGavageCaneton_0_1_mois=MOYENNE,VLOOKUP("Maïs grain",AlimentsGavageCanards[],5,FALSE),0)+(IF(QualitéAlimentsGavageOison_1_2_mois=MOYENNE,VLOOKUP("Maïs grain",AlimentsGavageOies[],4,FALSE),0)+(IF(QualitéAlimentsGavageCaneton_1_2_mois=MOYENNE,VLOOKUP("Maïs grain",AlimentsGavageCanards[],4,FALSE),0)+(IF(QualitéAlimentsGavageOison_2_3_mois=MOYENNE,VLOOKUP("Maïs grain",AlimentsGavageOies[],3,FALSE),0)+(IF(QualitéAlimentsGavageCaneton_2_3_mois=MOYENNE,VLOOKUP("Maïs grain",AlimentsGavageCanards[],3,FALSE),0)+(IF(QualitéAlimentsGavageJeunesOies=MOYENNE,VLOOKUP("Maïs grain",AlimentsGavageOies[],2,FALSE),0)+(IF(QualitéAlimentsGavageJeuneCanard=MOYENNE,VLOOKUP("Maïs grain",AlimentsGavageCanards[],2,FALSE),0))))))))))</f>
        <v>0</v>
      </c>
      <c r="FZ154" s="1282">
        <f t="array" ref="FZ154">SUM((IF(QualitéAlimentsGavageOison_0_1_mois=MAUVAISE,VLOOKUP("Maïs grain",AlimentsGavageOies[],5,FALSE),0)+(IF(QualitéAlimentsGavageCaneton_0_1_mois=MAUVAISE,VLOOKUP("Maïs grain",AlimentsGavageCanards[],5,FALSE),0)+(IF(QualitéAlimentsGavageOison_1_2_mois=MAUVAISE,VLOOKUP("Maïs grain",AlimentsGavageOies[],4,FALSE),0)+(IF(QualitéAlimentsGavageCaneton_1_2_mois=MAUVAISE,VLOOKUP("Maïs grain",AlimentsGavageCanards[],4,FALSE),0)+(IF(QualitéAlimentsGavageOison_2_3_mois=MAUVAISE,VLOOKUP("Maïs grain",AlimentsGavageOies[],3,FALSE),0)+(IF(QualitéAlimentsGavageCaneton_2_3_mois=MAUVAISE,VLOOKUP("Maïs grain",AlimentsGavageCanards[],3,FALSE),0)+(IF(QualitéAlimentsGavageJeunesOies=MAUVAISE,VLOOKUP("Maïs grain",AlimentsGavageOies[],2,FALSE),0)+(IF(QualitéAlimentsGavageJeuneCanard=MAUVAISE,VLOOKUP("Maïs grain",AlimentsGavageCanards[],2,FALSE),0))))))))))</f>
        <v>0</v>
      </c>
      <c r="GA154" s="1345"/>
      <c r="GB154" s="1345"/>
      <c r="GC154" s="1321"/>
      <c r="GD154" s="1321"/>
      <c r="GE154" s="1321"/>
      <c r="GF154" s="1321"/>
      <c r="GG154" s="1321" t="s">
        <v>1349</v>
      </c>
      <c r="GH154" s="1321" t="s">
        <v>1349</v>
      </c>
      <c r="GI154" s="1321" t="s">
        <v>1349</v>
      </c>
      <c r="GJ154" s="1321" t="s">
        <v>1349</v>
      </c>
      <c r="GK154" s="1321" t="s">
        <v>1349</v>
      </c>
      <c r="GL154" s="1321" t="s">
        <v>1349</v>
      </c>
      <c r="GM154" s="1321" t="s">
        <v>1349</v>
      </c>
      <c r="GN154" s="1321" t="s">
        <v>1349</v>
      </c>
      <c r="GO154" s="1321" t="s">
        <v>1349</v>
      </c>
      <c r="GP154" s="1321" t="s">
        <v>1349</v>
      </c>
      <c r="GQ154" s="1321" t="s">
        <v>1349</v>
      </c>
      <c r="GR154" s="1321" t="s">
        <v>1349</v>
      </c>
      <c r="GS154" s="1321" t="s">
        <v>1349</v>
      </c>
      <c r="GT154" s="1321" t="s">
        <v>1349</v>
      </c>
      <c r="GU154" s="1321" t="s">
        <v>1349</v>
      </c>
      <c r="GV154" s="1321" t="s">
        <v>1349</v>
      </c>
      <c r="GW154" s="1321"/>
      <c r="GX154" s="1321"/>
      <c r="GY154" s="1321"/>
      <c r="GZ154" s="1321"/>
      <c r="HA154" s="1321"/>
      <c r="HB154" s="1321"/>
      <c r="HC154" s="1321"/>
      <c r="HD154" s="1321"/>
      <c r="HE154" s="1321"/>
      <c r="HF154" s="1321"/>
      <c r="HG154" s="1321"/>
      <c r="HH154" s="1321"/>
      <c r="HI154" s="1321"/>
      <c r="HJ154" s="1321"/>
      <c r="HK154" s="1321"/>
      <c r="HL154" s="1321"/>
      <c r="HM154" s="1321"/>
      <c r="HN154" s="1321"/>
      <c r="HO154" s="1321"/>
      <c r="HP154" s="1321"/>
      <c r="HQ154" s="1321"/>
      <c r="HR154" s="1321"/>
      <c r="HS154" s="1321"/>
      <c r="HT154" s="1321"/>
      <c r="HU154" s="1321"/>
      <c r="HV154" s="1321"/>
      <c r="HW154" s="1321"/>
      <c r="HX154" s="1321"/>
      <c r="HY154" s="1321"/>
      <c r="HZ154" s="1321"/>
      <c r="IA154" s="1321"/>
      <c r="IB154" s="1321"/>
      <c r="IC154" s="1321"/>
      <c r="ID154" s="1321"/>
      <c r="IE154" s="1321"/>
      <c r="IF154" s="1321"/>
      <c r="IG154" s="1321"/>
      <c r="IH154" s="1321"/>
      <c r="II154" s="1321"/>
      <c r="IJ154" s="1321"/>
      <c r="IK154" s="1321"/>
      <c r="IL154" s="1321"/>
      <c r="IM154" s="1321"/>
      <c r="IN154" s="1368"/>
    </row>
    <row r="155" spans="1:248" ht="12.75" customHeight="1" x14ac:dyDescent="0.2">
      <c r="A155" s="1307" t="s">
        <v>325</v>
      </c>
      <c r="B155" s="1209">
        <v>2</v>
      </c>
      <c r="C155" s="1321"/>
      <c r="D155" s="1321"/>
      <c r="E155" s="1321"/>
      <c r="F155" s="1149" t="s">
        <v>1768</v>
      </c>
      <c r="G155" s="1149">
        <v>25</v>
      </c>
      <c r="H155" s="1321"/>
      <c r="I155" s="1075" t="str">
        <f t="shared" si="64"/>
        <v>30-39,99</v>
      </c>
      <c r="J155" s="1080">
        <f>IF(gains!F$4=BDD!O$127,10,IF(gains!F$4=BDD!P$127,20,IF(gains!F$4=BDD!Q$127,30,0)))</f>
        <v>10</v>
      </c>
      <c r="K155" s="1080">
        <f>IF(gains!$G$9=K$127,1,0)</f>
        <v>0</v>
      </c>
      <c r="L155" s="1080">
        <f>IF(gains!$G$9=L$127,2,0)</f>
        <v>0</v>
      </c>
      <c r="M155" s="1080">
        <f>IF(gains!$G$9=M$127,3,0)</f>
        <v>0</v>
      </c>
      <c r="N155" s="1080">
        <f>IF(gains!$G$9=N$127,4,0)</f>
        <v>0</v>
      </c>
      <c r="O155" s="1080">
        <f>IF(AND(J155=10,SUM(K155:N155)=1),gains!$F$40,IF(AND(J155=10,SUM(K155:N155)=2),gains!$F$40*2,IF(AND(J155=10,SUM(K155:N155)=3),gains!$F$40*3,IF(AND(J155=10,SUM(K155:N155)=4),gains!$F$40*4,0))))</f>
        <v>0</v>
      </c>
      <c r="P155" s="1080">
        <f>IF(AND(J155=20,SUM(K155:N155)=1),gains!$F$40*7,IF(AND(J155=20,SUM(K155:N155)=2),gains!$F$40*7*2,IF(AND(J155=20,SUM(K155:N155)=3),gains!$F$40*7*3,IF(AND(J155=20,SUM(K155:N155)=4),gains!$F$40*7*4,0))))</f>
        <v>0</v>
      </c>
      <c r="Q155" s="1080">
        <f>IF(AND(J155=30,SUM(K155:N155)=1),gains!$F$40*7*12,IF(AND(J155=30,SUM(K155:N155)=2),gains!$F$40*7*12*2,IF(AND(J155=30,SUM(K155:N155)=3),gains!$F$40*7*12*3,IF(AND(J155=30,SUM(K155:N155)=4),gains!$F$40*7*12*4,0))))</f>
        <v>0</v>
      </c>
      <c r="R155" s="1321"/>
      <c r="S155" s="1321"/>
      <c r="T155" s="1321"/>
      <c r="U155" s="1321"/>
      <c r="V155" s="1321"/>
      <c r="W155" s="1321"/>
      <c r="X155" s="1321"/>
      <c r="Y155" s="1321"/>
      <c r="Z155" s="1321"/>
      <c r="AA155" s="1321"/>
      <c r="AB155" s="1321"/>
      <c r="AC155" s="1321"/>
      <c r="AD155" s="1321"/>
      <c r="AE155" s="1321"/>
      <c r="AF155" s="1321"/>
      <c r="AG155" s="1321"/>
      <c r="AH155" s="1321"/>
      <c r="AI155" s="1321"/>
      <c r="AJ155" s="1321"/>
      <c r="AK155" s="1321"/>
      <c r="AL155" s="1321"/>
      <c r="AM155" s="1321"/>
      <c r="AN155" s="1321"/>
      <c r="AO155" s="1321"/>
      <c r="AP155" s="1321"/>
      <c r="AQ155" s="1321"/>
      <c r="AR155" s="1321"/>
      <c r="AS155" s="1321"/>
      <c r="AT155" s="1321"/>
      <c r="AU155" s="1321"/>
      <c r="AV155" s="1321"/>
      <c r="AW155" s="1321"/>
      <c r="AX155" s="1321"/>
      <c r="AY155" s="1321"/>
      <c r="AZ155" s="1321"/>
      <c r="BA155" s="1321"/>
      <c r="BB155" s="1236" t="s">
        <v>731</v>
      </c>
      <c r="BC155" s="1190" t="s">
        <v>715</v>
      </c>
      <c r="BD155" s="1190" t="s">
        <v>1254</v>
      </c>
      <c r="BE155" s="1237">
        <v>4.8</v>
      </c>
      <c r="BF155" s="1237">
        <v>4</v>
      </c>
      <c r="BG155" s="1237">
        <v>4</v>
      </c>
      <c r="BH155" s="1237">
        <v>4</v>
      </c>
      <c r="BI155" s="1237">
        <v>2</v>
      </c>
      <c r="BJ155" s="1237">
        <v>1.2</v>
      </c>
      <c r="BK155" s="1238">
        <v>0</v>
      </c>
      <c r="BL155" s="1348"/>
      <c r="BM155" s="1346"/>
      <c r="BN155" s="1321"/>
      <c r="BO155" s="1321"/>
      <c r="BP155" s="1321"/>
      <c r="BQ155" s="1321"/>
      <c r="BR155" s="1321"/>
      <c r="BS155" s="1321"/>
      <c r="BT155" s="1321"/>
      <c r="BU155" s="1321"/>
      <c r="BV155" s="1345"/>
      <c r="BW155" s="1345"/>
      <c r="BX155" s="1075" t="str">
        <f t="shared" si="57"/>
        <v>Eau</v>
      </c>
      <c r="BY155" s="1075">
        <f t="array" ref="BY155">IFERROR(IF(OR(AND(INDEX(Règles_caprins[Specificite],MATCH(ChoixRationCaprins&amp;$BX155,Règles_caprins[Ration]&amp;Règles_caprins[Aliment],0))="s1",IF($BX155=Spécificité1Caprins,1)),
INDEX(Règles_caprins[Specificite],MATCH(ChoixRationCaprins&amp;$BX155,Règles_caprins[Ration]&amp;Règles_caprins[Aliment],0))="c"),
INDEX(Règles_caprins[Valeur 12 et plus],MATCH(ChoixRationCaprins&amp;$BX155,Règles_caprins[Ration]&amp;Règles_caprins[Aliment],0)),0),0)*TotalChèvres*SUM(NbreJoursNourrirCaprins)</f>
        <v>0</v>
      </c>
      <c r="BZ155" s="1075">
        <f t="array" ref="BZ155">IFERROR(IF(OR(AND(INDEX(Règles_caprins[Specificite],MATCH(ChoixRationCaprins&amp;$BX155,Règles_caprins[Ration]&amp;Règles_caprins[Aliment],0))="s1",IF($BX155=Spécificité1Caprins,1)),
INDEX(Règles_caprins[Specificite],MATCH(ChoixRationCaprins&amp;$BX155,Règles_caprins[Ration]&amp;Règles_caprins[Aliment],0))="c"),
INDEX(Règles_caprins[Valeur 6-12],MATCH(ChoixRationCaprins&amp;$BX155,Règles_caprins[Ration]&amp;Règles_caprins[Aliment],0)),0),0)*jeune_chèvre_6_12_mois*SUM(NbreJoursNourrirCaprins)</f>
        <v>0</v>
      </c>
      <c r="CA155" s="1075">
        <f t="array" ref="CA155">IFERROR(IF(OR(AND(INDEX(Règles_caprins[Specificite],MATCH(ChoixRationCaprins&amp;$BX155,Règles_caprins[Ration]&amp;Règles_caprins[Aliment],0))="s1",IF($BX155=Spécificité1Caprins,1)),
INDEX(Règles_caprins[Specificite],MATCH(ChoixRationCaprins&amp;$BX155,Règles_caprins[Ration]&amp;Règles_caprins[Aliment],0))="c"),
INDEX(Règles_caprins[Valeur 3-6],MATCH(ChoixRationCaprins&amp;$BX155,Règles_caprins[Ration]&amp;Règles_caprins[Aliment],0)),0),0)*chevrette_3_6_mois*SUM(NbreJoursNourrirCaprins)</f>
        <v>0</v>
      </c>
      <c r="CB155" s="1075">
        <f t="array" ref="CB155">IFERROR(IF(OR(AND(INDEX(Règles_caprins[Specificite],MATCH(ChoixRationCaprins&amp;$BX155,Règles_caprins[Ration]&amp;Règles_caprins[Aliment],0))="s1",IF($BX155=Spécificité1Caprins,1)),
INDEX(Règles_caprins[Specificite],MATCH(ChoixRationCaprins&amp;$BX155,Règles_caprins[Ration]&amp;Règles_caprins[Aliment],0))="c"),
INDEX(Règles_caprins[Valeur 0-3],MATCH(ChoixRationCaprins&amp;$BX155,Règles_caprins[Ration]&amp;Règles_caprins[Aliment],0)),0),0)*chevrette_0_3_mois*SUM(NbreJoursNourrirCaprins)</f>
        <v>0</v>
      </c>
      <c r="CC155" s="1075">
        <f t="shared" si="56"/>
        <v>0</v>
      </c>
      <c r="CD155" s="1345"/>
      <c r="CE155" s="1345"/>
      <c r="CF155" s="1345"/>
      <c r="CG155" s="1345"/>
      <c r="CH155" s="1345"/>
      <c r="CI155" s="1321"/>
      <c r="CJ155" s="1076" t="str">
        <f t="shared" si="51"/>
        <v>Lentille</v>
      </c>
      <c r="CK155" s="1267">
        <f t="array" ref="CK155">SUM((IF(QualitéAlimentsPorceletMâle_0_1_mois=BONNE,VLOOKUP("Lentille",AlimentsRationPorcinsMâles[],6,FALSE),0)+(IF(QualitéAlimentsPorceletFemelle_0_1_mois=BONNE,VLOOKUP("Lentille",AlimentsRationPorcinsFemelles[],6,FALSE),0)+(IF(QualitéAlimentsPorceletMâle_1_3_mois=BONNE,VLOOKUP("Lentille",AlimentsRationPorcinsMâles[],5,FALSE),0)+(IF(QualitéAlimentsPorceletFemelle_1_3_mois=BONNE,VLOOKUP("Lentille",AlimentsRationPorcinsFemelles[],5,FALSE),0)+(IF(QualitéAlimentsJeuneVerrat_3_6_mois=BONNE,VLOOKUP("Lentille",AlimentsRationPorcinsMâles[],4,FALSE),0)+(IF(QualitéAlimentsJeuneTruie_3_6_mois=BONNE,VLOOKUP("Lentille",AlimentsRationPorcinsFemelles[],4,FALSE),0)+(IF(QualitéAlimentsJeuneVerrat_6_12_mois=BONNE,VLOOKUP("Lentille",AlimentsRationPorcinsMâles[],3,FALSE),0)+(IF(QualitéAlimentsJeuneTruie_6_12_mois=BONNE,VLOOKUP("Lentille",AlimentsRationPorcinsFemelles[],3,FALSE),0)+(IF(QualitéAlimentsVerrat=BONNE,VLOOKUP("Lentille",AlimentsRationPorcinsMâles[],2,FALSE),0)+(IF(QualitéAlimentsTruie=BONNE,VLOOKUP("Lentille",AlimentsRationPorcinsFemelles[],2,FALSE),0))))))))))))</f>
        <v>0</v>
      </c>
      <c r="CL155" s="1267">
        <f t="array" ref="CL155">SUM((IF(QualitéAlimentsPorceletMâle_0_1_mois=MOYENNE,VLOOKUP("Lentille",AlimentsRationPorcinsMâles[],6,FALSE),0)+(IF(QualitéAlimentsPorceletFemelle_0_1_mois=MOYENNE,VLOOKUP("Lentille",AlimentsRationPorcinsFemelles[],6,FALSE),0)+(IF(QualitéAlimentsPorceletMâle_1_3_mois=MOYENNE,VLOOKUP("Lentille",AlimentsRationPorcinsMâles[],5,FALSE),0)+(IF(QualitéAlimentsPorceletFemelle_1_3_mois=MOYENNE,VLOOKUP("Lentille",AlimentsRationPorcinsFemelles[],5,FALSE),0)+(IF(QualitéAlimentsJeuneVerrat_3_6_mois=MOYENNE,VLOOKUP("Lentille",AlimentsRationPorcinsMâles[],4,FALSE),0)+(IF(QualitéAlimentsJeuneTruie_3_6_mois=MOYENNE,VLOOKUP("Lentille",AlimentsRationPorcinsFemelles[],4,FALSE),0)+(IF(QualitéAlimentsJeuneVerrat_6_12_mois=MOYENNE,VLOOKUP("Lentille",AlimentsRationPorcinsMâles[],3,FALSE),0)+(IF(QualitéAlimentsJeuneTruie_6_12_mois=MOYENNE,VLOOKUP("Lentille",AlimentsRationPorcinsFemelles[],3,FALSE),0)+(IF(QualitéAlimentsVerrat=MOYENNE,VLOOKUP("Lentille",AlimentsRationPorcinsMâles[],2,FALSE),0)+(IF(QualitéAlimentsTruie=MOYENNE,VLOOKUP("Lentille",AlimentsRationPorcinsFemelles[],2,FALSE),0))))))))))))</f>
        <v>0</v>
      </c>
      <c r="CM155" s="1267">
        <f t="array" ref="CM155">SUM((IF(QualitéAlimentsPorceletMâle_0_1_mois=MAUVAISE,VLOOKUP("Lentille",AlimentsRationPorcinsMâles[],6,FALSE),0)+(IF(QualitéAlimentsPorceletFemelle_0_1_mois=MAUVAISE,VLOOKUP("Lentille",AlimentsRationPorcinsFemelles[],6,FALSE),0)+(IF(QualitéAlimentsPorceletMâle_1_3_mois=MAUVAISE,VLOOKUP("Lentille",AlimentsRationPorcinsMâles[],5,FALSE),0)+(IF(QualitéAlimentsPorceletFemelle_1_3_mois=MAUVAISE,VLOOKUP("Lentille",AlimentsRationPorcinsFemelles[],5,FALSE),0)+(IF(QualitéAlimentsJeuneVerrat_3_6_mois=MAUVAISE,VLOOKUP("Lentille",AlimentsRationPorcinsMâles[],4,FALSE),0)+(IF(QualitéAlimentsJeuneTruie_3_6_mois=MAUVAISE,VLOOKUP("Lentille",AlimentsRationPorcinsFemelles[],4,FALSE),0)+(IF(QualitéAlimentsJeuneVerrat_6_12_mois=MAUVAISE,VLOOKUP("Lentille",AlimentsRationPorcinsMâles[],3,FALSE),0)+(IF(QualitéAlimentsJeuneTruie_6_12_mois=MAUVAISE,VLOOKUP("Lentille",AlimentsRationPorcinsFemelles[],3,FALSE),0)+(IF(QualitéAlimentsVerrat=MAUVAISE,VLOOKUP("Lentille",AlimentsRationPorcinsMâles[],2,FALSE),0)+(IF(QualitéAlimentsTruie=MAUVAISE,VLOOKUP("Lentille",AlimentsRationPorcinsFemelles[],2,FALSE),0))))))))))))</f>
        <v>0</v>
      </c>
      <c r="CN155" s="1321"/>
      <c r="CO155" s="1320"/>
      <c r="CP155" s="1345"/>
      <c r="CQ155" s="1321"/>
      <c r="CR155" s="1321"/>
      <c r="CS155" s="1076" t="str">
        <f>CS57</f>
        <v>Avoine</v>
      </c>
      <c r="CT155" s="1267">
        <f t="array" ref="CT155">SUM((IF(QualitéAlimentsLapereauMâle_0_1_mois=BONNE,VLOOKUP("Avoine",AlimentsRationLapinsMâles[],4,FALSE),0)+(IF(QualitéAlimentsLapereauFemelle_0_1_mois=BONNE,VLOOKUP("Avoine",AlimentsRationLapinsFemelles[],4,FALSE),0)+(IF(QualitéAlimentsJeuneLapin=BONNE,VLOOKUP("Avoine",AlimentsRationLapinsMâles[],3,FALSE),0)+(IF(QualitéAlimentsJeuneLapine=BONNE,VLOOKUP("Avoine",AlimentsRationLapinsFemelles[],3,FALSE),0)+(IF(QualitéAlimentsLapin=BONNE,VLOOKUP("Avoine",AlimentsRationLapinsMâles[],2,FALSE),0)+(IF(QualitéAlimentsLapine=BONNE,VLOOKUP("Avoine",AlimentsRationLapinsFemelles[],2,FALSE),0))))))))</f>
        <v>0</v>
      </c>
      <c r="CU155" s="1267">
        <f t="array" ref="CU155">SUM((IF(QualitéAlimentsLapereauMâle_0_1_mois=MOYENNE,VLOOKUP("Avoine",AlimentsRationLapinsMâles[],4,FALSE),0)+(IF(QualitéAlimentsLapereauFemelle_0_1_mois=MOYENNE,VLOOKUP("Avoine",AlimentsRationLapinsFemelles[],4,FALSE),0)+(IF(QualitéAlimentsJeuneLapin=MOYENNE,VLOOKUP("Avoine",AlimentsRationLapinsMâles[],3,FALSE),0)+(IF(QualitéAlimentsJeuneLapine=MOYENNE,VLOOKUP("Avoine",AlimentsRationLapinsFemelles[],3,FALSE),0)+(IF(QualitéAlimentsLapin=MOYENNE,VLOOKUP("Avoine",AlimentsRationLapinsMâles[],2,FALSE),0)+(IF(QualitéAlimentsLapine=MOYENNE,VLOOKUP("Avoine",AlimentsRationLapinsFemelles[],2,FALSE),0))))))))</f>
        <v>0</v>
      </c>
      <c r="CV155" s="1267">
        <f t="array" ref="CV155">SUM((IF(QualitéAlimentsLapereauMâle_0_1_mois=MAUVAISE,VLOOKUP("Avoine",AlimentsRationLapinsMâles[],4,FALSE),0)+(IF(QualitéAlimentsLapereauFemelle_0_1_mois=MAUVAISE,VLOOKUP("Avoine",AlimentsRationLapinsFemelles[],4,FALSE),0)+(IF(QualitéAlimentsJeuneLapin=MAUVAISE,VLOOKUP("Avoine",AlimentsRationLapinsMâles[],3,FALSE),0)+(IF(QualitéAlimentsJeuneLapine=MAUVAISE,VLOOKUP("Avoine",AlimentsRationLapinsFemelles[],3,FALSE),0)+(IF(QualitéAlimentsLapin=MAUVAISE,VLOOKUP("Avoine",AlimentsRationLapinsMâles[],2,FALSE),0)+(IF(QualitéAlimentsLapine=MAUVAISE,VLOOKUP("Avoine",AlimentsRationLapinsFemelles[],2,FALSE),0))))))))</f>
        <v>0</v>
      </c>
      <c r="CW155" s="1321"/>
      <c r="CX155" s="1321"/>
      <c r="CY155" s="1321"/>
      <c r="CZ155" s="1075" t="str">
        <f t="shared" ref="CZ155:CZ192" si="65">CZ58</f>
        <v>Betterave</v>
      </c>
      <c r="DA155" s="1269">
        <f t="array" ref="DA155">SUM((IF(QualitéAlimentsPoussinMâle_0_1_mois=BONNE,VLOOKUP("Betterave",AlimentsRationVolaillesMâles[],4,FALSE),0)+(IF(QualitéAlimentsPoussinFemelle_0_1_mois=BONNE,VLOOKUP("Betterave",AlimentsRationVolaillesFemelles[],4,FALSE),0)+(IF(QualitéAlimentsJeuneCoq=BONNE,VLOOKUP("Betterave",AlimentsRationVolaillesMâles[],3,FALSE),0)+(IF(QualitéAlimentsJeunePoule=BONNE,VLOOKUP("Betterave",AlimentsRationVolaillesFemelles[],3,FALSE),0)+(IF(QualitéAlimentsCoq=BONNE,VLOOKUP("Betterave",AlimentsRationVolaillesMâles[],2,FALSE),0)+(IF(QualitéAlimentsPoule=BONNE,VLOOKUP("Betterave",AlimentsRationVolaillesFemelles[],2,FALSE),0))))))))</f>
        <v>0</v>
      </c>
      <c r="DB155" s="1269">
        <f t="array" ref="DB155">SUM((IF(QualitéAlimentsPoussinMâle_0_1_mois=MOYENNE,VLOOKUP("Betterave",AlimentsRationVolaillesMâles[],4,FALSE),0)+(IF(QualitéAlimentsPoussinFemelle_0_1_mois=MOYENNE,VLOOKUP("Betterave",AlimentsRationVolaillesFemelles[],4,FALSE),0)+(IF(QualitéAlimentsJeuneCoq=MOYENNE,VLOOKUP("Betterave",AlimentsRationVolaillesMâles[],3,FALSE),0)+(IF(QualitéAlimentsJeunePoule=MOYENNE,VLOOKUP("Betterave",AlimentsRationVolaillesFemelles[],3,FALSE),0)+(IF(QualitéAlimentsCoq=MOYENNE,VLOOKUP("Betterave",AlimentsRationVolaillesMâles[],2,FALSE),0)+(IF(QualitéAlimentsPoule=MOYENNE,VLOOKUP("Betterave",AlimentsRationVolaillesFemelles[],2,FALSE),0))))))))</f>
        <v>0</v>
      </c>
      <c r="DC155" s="1269">
        <f t="array" ref="DC155">SUM((IF(QualitéAlimentsPoussinMâle_0_1_mois=MAUVAISE,VLOOKUP("Betterave",AlimentsRationVolaillesMâles[],4,FALSE),0)+(IF(QualitéAlimentsPoussinFemelle_0_1_mois=MAUVAISE,VLOOKUP("Betterave",AlimentsRationVolaillesFemelles[],4,FALSE),0)+(IF(QualitéAlimentsJeuneCoq=MAUVAISE,VLOOKUP("Betterave",AlimentsRationVolaillesMâles[],3,FALSE),0)+(IF(QualitéAlimentsJeunePoule=MAUVAISE,VLOOKUP("Betterave",AlimentsRationVolaillesFemelles[],3,FALSE),0)+(IF(QualitéAlimentsCoq=MAUVAISE,VLOOKUP("Betterave",AlimentsRationVolaillesMâles[],2,FALSE),0)+(IF(QualitéAlimentsPoule=MAUVAISE,VLOOKUP("Betterave",AlimentsRationVolaillesFemelles[],2,FALSE),0))))))))</f>
        <v>0</v>
      </c>
      <c r="DD155" s="1321"/>
      <c r="DE155" s="1321"/>
      <c r="DF155" s="1321"/>
      <c r="DG155" s="1075" t="str">
        <f t="shared" si="58"/>
        <v>Eau</v>
      </c>
      <c r="DH155" s="1269">
        <f t="array" ref="DH155">SUM((IF(QualitéAlimentsPintadeauMâle_0_1_mois=BONNE,VLOOKUP("Eau",AlimentsRationPintadesMâles[],4,FALSE),0)+(IF(QualitéAlimentsPintadeauFemelle_0_1_mois=BONNE,VLOOKUP("Eau",AlimentsRationPintadesFemelles[],4,FALSE),0)+(IF(QualitéAlimentsJeunePintadeMâle=BONNE,VLOOKUP("Eau",AlimentsRationPintadesMâles[],3,FALSE),0)+(IF(QualitéAlimentsJeunePintadeFemelle=BONNE,VLOOKUP("Eau",AlimentsRationPintadesFemelles[],3,FALSE),0)+(IF(QualitéAlimentsPintadeMâle=BONNE,VLOOKUP("Eau",AlimentsRationPintadesMâles[],2,FALSE),0)+(IF(QualitéAlimentsPintadeFemelle=BONNE,VLOOKUP("Eau",AlimentsRationPintadesFemelles[],2,FALSE),0))))))))</f>
        <v>0</v>
      </c>
      <c r="DI155" s="1269">
        <f t="array" ref="DI155">SUM((IF(QualitéAlimentsPintadeauMâle_0_1_mois=MOYENNE,VLOOKUP("Eau",AlimentsRationPintadesMâles[],4,FALSE),0)+(IF(QualitéAlimentsPintadeauFemelle_0_1_mois=MOYENNE,VLOOKUP("Eau",AlimentsRationPintadesFemelles[],4,FALSE),0)+(IF(QualitéAlimentsJeunePintadeMâle=MOYENNE,VLOOKUP("Eau",AlimentsRationPintadesMâles[],3,FALSE),0)+(IF(QualitéAlimentsJeunePintadeFemelle=MOYENNE,VLOOKUP("Eau",AlimentsRationPintadesFemelles[],3,FALSE),0)+(IF(QualitéAlimentsPintadeMâle=MOYENNE,VLOOKUP("Eau",AlimentsRationPintadesMâles[],2,FALSE),0)+(IF(QualitéAlimentsPintadeFemelle=MOYENNE,VLOOKUP("Eau",AlimentsRationPintadesFemelles[],2,FALSE),0))))))))</f>
        <v>0</v>
      </c>
      <c r="DJ155" s="1269">
        <f t="array" ref="DJ155">SUM((IF(QualitéAlimentsPintadeauMâle_0_1_mois=MAUVAISE,VLOOKUP("Eau",AlimentsRationPintadesMâles[],4,FALSE),0)+(IF(QualitéAlimentsPintadeauFemelle_0_1_mois=MAUVAISE,VLOOKUP("Eau",AlimentsRationPintadesFemelles[],4,FALSE),0)+(IF(QualitéAlimentsJeunePintadeMâle=MAUVAISE,VLOOKUP("Eau",AlimentsRationPintadesMâles[],3,FALSE),0)+(IF(QualitéAlimentsJeunePintadeFemelle=MAUVAISE,VLOOKUP("Eau",AlimentsRationPintadesFemelles[],3,FALSE),0)+(IF(QualitéAlimentsPintadeMâle=MAUVAISE,VLOOKUP("Eau",AlimentsRationPintadesMâles[],2,FALSE),0)+(IF(QualitéAlimentsPintadeFemelle=MAUVAISE,VLOOKUP("Eau",AlimentsRationPintadesFemelles[],2,FALSE),0))))))))</f>
        <v>0</v>
      </c>
      <c r="DK155" s="1321"/>
      <c r="DL155" s="1321"/>
      <c r="DM155" s="1321"/>
      <c r="DN155" s="1075" t="s">
        <v>715</v>
      </c>
      <c r="DO155" s="1269">
        <f t="array" ref="DO155">IF(AND(ChoixPaysPartie&lt;&gt;USA,ChoixPaysPartie&lt;&gt;CANADA,ChoixPaysPartie&lt;&gt;""),0,IF(ChoixRationComplèteOvins=OUI,0,IFERROR(IF(OR(AND(INDEX(Règles_ovins[Specificite],MATCH(ChoixRationOvins&amp;$DN155,Règles_ovins[Ration]&amp;Règles_ovins[Aliment],0))="s1",IF($DN155=Spécificité1Ovins,1)),
AND(INDEX(Règles_ovins[Specificite],MATCH(ChoixRationOvins&amp;$DN155,Règles_ovins[Ration]&amp;Règles_ovins[Aliment],0))="s2",IF($DN155=Spécificité2Ovins,1)),
INDEX(Règles_ovins[Specificite],MATCH(ChoixRationOvins&amp;$DN155,Règles_ovins[Ration]&amp;Règles_ovins[Aliment],0))="c"),
INDEX(Règles_ovins[Valeur 12 et plus],MATCH(ChoixRationOvins&amp;$DN155,Règles_ovins[Ration]&amp;Règles_ovins[Aliment],0)),0),0)*IF(ChoixOvinsPréHiver=OUI,SUM(TotalOvinsAdultesRacesLaitières)*NbreJoursNourrirOvins,TotalBéliers*SUM(NbreJoursNourrirOvins))))</f>
        <v>0</v>
      </c>
      <c r="DP155" s="1269">
        <f t="array" ref="DP155">IF(AND(ChoixPaysPartie&lt;&gt;USA,ChoixPaysPartie&lt;&gt;CANADA,ChoixPaysPartie&lt;&gt;""),0,IF(ChoixRationComplèteOvins=OUI,0,IFERROR(IF(OR(AND(INDEX(Règles_ovins[Specificite],MATCH(ChoixRationOvins&amp;$DN155,Règles_ovins[Ration]&amp;Règles_ovins[Aliment],0))="s1",IF($DN155=Spécificité1Ovins,1)),
AND(INDEX(Règles_ovins[Specificite],MATCH(ChoixRationOvins&amp;$DN155,Règles_ovins[Ration]&amp;Règles_ovins[Aliment],0))="s2",IF($DN155=Spécificité2Ovins,1)),
INDEX(Règles_ovins[Specificite],MATCH(ChoixRationOvins&amp;$DN155,Règles_ovins[Ration]&amp;Règles_ovins[Aliment],0))="c"),
INDEX(Règles_ovins[Valeur 6-12],MATCH(ChoixRationOvins&amp;$DN155,Règles_ovins[Ration]&amp;Règles_ovins[Aliment],0)),0),0)*IF(ChoixOvinsPréHiver=OUI,SUM(TotalJeunesOvinsRacesLaitières)*NbreJoursNourrirOvins,TotalJeune_bélier_6_12_mois*SUM(NbreJoursNourrirOvins))))</f>
        <v>0</v>
      </c>
      <c r="DQ155" s="1269">
        <f t="array" ref="DQ155">IF(AND(ChoixPaysPartie&lt;&gt;USA,ChoixPaysPartie&lt;&gt;CANADA,ChoixPaysPartie&lt;&gt;""),0,IF(ChoixRationComplèteOvins=OUI,0,IFERROR(IF(OR(AND(INDEX(Règles_ovins[Specificite],MATCH(ChoixRationOvins&amp;$DN155,Règles_ovins[Ration]&amp;Règles_ovins[Aliment],0))="s1",IF($DN155=Spécificité1Ovins,1)),
AND(INDEX(Règles_ovins[Specificite],MATCH(ChoixRationOvins&amp;$DN155,Règles_ovins[Ration]&amp;Règles_ovins[Aliment],0))="s2",IF($DN155=Spécificité2Ovins,1)),
INDEX(Règles_ovins[Specificite],MATCH(ChoixRationOvins&amp;$DN155,Règles_ovins[Ration]&amp;Règles_ovins[Aliment],0))="c"),
INDEX(Règles_ovins[Valeur 3-6],MATCH(ChoixRationOvins&amp;$DN155,Règles_ovins[Ration]&amp;Règles_ovins[Aliment],0)),0),0)*IF(ChoixOvinsPréHiver=OUI,SUM(TotalOvins_3_6moisRacesLaitières)*NbreJoursNourrirOvins,TotalAgneau_3_6_mois*SUM(NbreJoursNourrirOvins))))</f>
        <v>0</v>
      </c>
      <c r="DR155" s="1269">
        <f t="array" ref="DR155">IF(AND(ChoixPaysPartie&lt;&gt;USA,ChoixPaysPartie&lt;&gt;CANADA,ChoixPaysPartie&lt;&gt;""),0,IF(ChoixRationComplèteOvins=OUI,0,IFERROR(IF(OR(AND(INDEX(Règles_ovins[Specificite],MATCH(ChoixRationOvins&amp;$DN155,Règles_ovins[Ration]&amp;Règles_ovins[Aliment],0))="s1",IF($DN155=Spécificité1Ovins,1)),
AND(INDEX(Règles_ovins[Specificite],MATCH(ChoixRationOvins&amp;$DN155,Règles_ovins[Ration]&amp;Règles_ovins[Aliment],0))="s2",IF($DN155=Spécificité2Ovins,1)),
INDEX(Règles_ovins[Specificite],MATCH(ChoixRationOvins&amp;$DN155,Règles_ovins[Ration]&amp;Règles_ovins[Aliment],0))="c"),
INDEX(Règles_ovins[Valeur 0-3],MATCH(ChoixRationOvins&amp;$DN155,Règles_ovins[Ration]&amp;Règles_ovins[Aliment],0)),0),0)*IF(ChoixOvinsPréHiver=OUI,SUM(TotalOvins_3_6moisRacesLaitières)*NbreJoursNourrirOvins,TotalAgneau_0_3_mois*SUM(NbreJoursNourrirOvins))))</f>
        <v>0</v>
      </c>
      <c r="DS155" s="1280">
        <f t="shared" si="61"/>
        <v>0</v>
      </c>
      <c r="DT155" s="1346"/>
      <c r="DU155" s="1346"/>
      <c r="DV155" s="1321"/>
      <c r="DW155" s="1321"/>
      <c r="DX155" s="1321"/>
      <c r="DY155" s="1321"/>
      <c r="DZ155" s="1321"/>
      <c r="EA155" s="1321"/>
      <c r="EB155" s="1321"/>
      <c r="EC155" s="1321"/>
      <c r="ED155" s="1345"/>
      <c r="EE155" s="1345"/>
      <c r="EF155" s="1321"/>
      <c r="EG155" s="1075" t="str">
        <f t="shared" si="63"/>
        <v>Canola</v>
      </c>
      <c r="EH155" s="1269">
        <f t="array" ref="EH155">SUM((IF(QualitéAlimentsOisonMâle_0_3_mois=BONNE,VLOOKUP("Canola",AlimentsRationOiesMâles[],4,FALSE),0)+(IF(QualitéAlimentsOisonFemelle_0_3_mois=BONNE,VLOOKUP("Canola",AlimentsRationOiesFemelles[],4,FALSE),0)+(IF(QualitéAlimentsJeuneJars=BONNE,VLOOKUP("Canola",AlimentsRationOiesMâles[],3,FALSE),0)+(IF(QualitéAlimentsJeuneOie=BONNE,VLOOKUP("Canola",AlimentsRationOiesFemelles[],3,FALSE),0)+(IF(QualitéAlimentsJars=BONNE,VLOOKUP("Canola",AlimentsRationOiesMâles[],2,FALSE),0)+(IF(QualitéAlimentsOie=BONNE,VLOOKUP("Canola",AlimentsRationOiesFemelles[],2,FALSE),0))))))))</f>
        <v>0</v>
      </c>
      <c r="EI155" s="1269">
        <f t="array" ref="EI155">SUM((IF(QualitéAlimentsOisonMâle_0_3_mois=MOYENNE,VLOOKUP("Canola",AlimentsRationOiesMâles[],4,FALSE),0)+(IF(QualitéAlimentsOisonFemelle_0_3_mois=MOYENNE,VLOOKUP("Canola",AlimentsRationOiesFemelles[],4,FALSE),0)+(IF(QualitéAlimentsJeuneJars=MOYENNE,VLOOKUP("Canola",AlimentsRationOiesMâles[],3,FALSE),0)+(IF(QualitéAlimentsJeuneOie=MOYENNE,VLOOKUP("Canola",AlimentsRationOiesFemelles[],3,FALSE),0)+(IF(QualitéAlimentsJars=MOYENNE,VLOOKUP("Canola",AlimentsRationOiesMâles[],2,FALSE),0)+(IF(QualitéAlimentsOie=MOYENNE,VLOOKUP("Canola",AlimentsRationOiesFemelles[],2,FALSE),0))))))))</f>
        <v>0</v>
      </c>
      <c r="EJ155" s="1269">
        <f t="array" ref="EJ155">SUM((IF(QualitéAlimentsOisonMâle_0_3_mois=MAUVAISE,VLOOKUP("Canola",AlimentsRationOiesMâles[],4,FALSE),0)+(IF(QualitéAlimentsOisonFemelle_0_3_mois=MAUVAISE,VLOOKUP("Canola",AlimentsRationOiesFemelles[],4,FALSE),0)+(IF(QualitéAlimentsJeuneJars=MAUVAISE,VLOOKUP("Canola",AlimentsRationOiesMâles[],3,FALSE),0)+(IF(QualitéAlimentsJeuneOie=MAUVAISE,VLOOKUP("Canola",AlimentsRationOiesFemelles[],3,FALSE),0)+(IF(QualitéAlimentsJars=MAUVAISE,VLOOKUP("Canola",AlimentsRationOiesMâles[],2,FALSE),0)+(IF(QualitéAlimentsOie=MAUVAISE,VLOOKUP("Canola",AlimentsRationOiesFemelles[],2,FALSE),0))))))))</f>
        <v>0</v>
      </c>
      <c r="EK155" s="1345"/>
      <c r="EL155" s="1345"/>
      <c r="EM155" s="1321"/>
      <c r="EN155" s="1082" t="str">
        <f t="shared" si="62"/>
        <v>Colza</v>
      </c>
      <c r="EO155" s="1282">
        <f t="array" ref="EO155">SUM((IF(QualitéAlimentsCanetonMâle=BONNE,VLOOKUP("Colza",AlimentsRationCanardsMâles,4,FALSE),0)+(IF(QualitéAlimentsCanetonFemelle=BONNE,VLOOKUP("Colza",AlimentsRationCanardsFemelles,4,FALSE),0)+(IF(QualitéAlimentsJeuneCanard=BONNE,VLOOKUP("Colza",AlimentsRationCanardsMâles,3,FALSE),0)+(IF(QualitéAlimentsJeuneCane=BONNE,VLOOKUP("Colza",AlimentsRationCanardsFemelles,3,FALSE),0)+(IF(QualitéAlimentsCanard=BONNE,VLOOKUP("Colza",AlimentsRationCanardsMâles,2,FALSE),0)+(IF(QualitéAlimentsCane=BONNE,VLOOKUP("Colza",AlimentsRationCanardsFemelles,2,FALSE),0))))))))</f>
        <v>0</v>
      </c>
      <c r="EP155" s="1282">
        <f t="array" ref="EP155">SUM((IF(QualitéAlimentsCanetonMâle=MOYENNE,VLOOKUP("Colza",AlimentsRationCanardsMâles,4,FALSE),0)+(IF(QualitéAlimentsCanetonFemelle=MOYENNE,VLOOKUP("Colza",AlimentsRationCanardsFemelles,4,FALSE),0)+(IF(QualitéAlimentsJeuneCanard=MOYENNE,VLOOKUP("Colza",AlimentsRationCanardsMâles,3,FALSE),0)+(IF(QualitéAlimentsJeuneCane=MOYENNE,VLOOKUP("Colza",AlimentsRationCanardsFemelles,3,FALSE),0)+(IF(QualitéAlimentsCanard=MOYENNE,VLOOKUP("Colza",AlimentsRationCanardsMâles,2,FALSE),0)+(IF(QualitéAlimentsCane=MOYENNE,VLOOKUP("Colza",AlimentsRationCanardsFemelles,2,FALSE),0))))))))</f>
        <v>0</v>
      </c>
      <c r="EQ155" s="1282">
        <f t="array" ref="EQ155">SUM((IF(QualitéAlimentsCanetonMâle=MAUVAISE,VLOOKUP("Colza",AlimentsRationCanardsMâles,4,FALSE),0)+(IF(QualitéAlimentsCanetonFemelle=MAUVAISE,VLOOKUP("Colza",AlimentsRationCanardsFemelles,4,FALSE),0)+(IF(QualitéAlimentsJeuneCanard=MAUVAISE,VLOOKUP("Colza",AlimentsRationCanardsMâles,3,FALSE),0)+(IF(QualitéAlimentsJeuneCane=MAUVAISE,VLOOKUP("Colza",AlimentsRationCanardsFemelles,3,FALSE),0)+(IF(QualitéAlimentsCanard=MAUVAISE,VLOOKUP("Colza",AlimentsRationCanardsMâles,2,FALSE),0)+(IF(QualitéAlimentsCane=MAUVAISE,VLOOKUP("Colza",AlimentsRationCanardsFemelles,2,FALSE),0))))))))</f>
        <v>0</v>
      </c>
      <c r="ER155" s="1345"/>
      <c r="ES155" s="1345"/>
      <c r="ET155" s="1321"/>
      <c r="EU155" s="1083" t="str">
        <f t="shared" si="60"/>
        <v>concentré jeunes bovins</v>
      </c>
      <c r="EV155" s="1283">
        <f t="array" ref="EV155">IF(OR(ChoixRationHivernaleComplèteChevauxSelle=OUI,ChoixRationHivernaleComplèteChevauxSelle="",ChoixChevauxSellePréHiver=NON),0,IFERROR(IF(OR(AND(INDEX(Règles_chevaux_selle[Specificite],MATCH(RationHivernaleAuPréChevauxSelle&amp;$EU155,Règles_chevaux_selle[Ration]&amp;Règles_chevaux_selle[Aliment],0))="s1",IF($EU155=Spécificité1ChevauxSelle,1)),
AND(INDEX(Règles_chevaux_selle[Specificite],MATCH(RationHivernaleAuPréChevauxSelle&amp;$EU155,Règles_chevaux_selle[Ration]&amp;Règles_chevaux_selle[Aliment],0))="s2",IF($EU155=Spécificité2ChevauxSelle,1)),
INDEX(Règles_chevaux_selle[Specificite],MATCH(RationHivernaleAuPréChevauxSelle&amp;$EU155,Règles_chevaux_selle[Ration]&amp;Règles_chevaux_selle[Aliment],0))="c"),
INDEX(Règles_chevaux_selle[Valeur 36 et plus],MATCH(RationHivernaleAuPréChevauxSelle&amp;$EU155,Règles_chevaux_selle[Ration]&amp;Règles_chevaux_selle[Aliment],0)),0),0)*SUM(TotalChevauxSelleAdultes)*21)</f>
        <v>0</v>
      </c>
      <c r="EW155" s="1283">
        <f t="array" ref="EW155">IF(OR(ChoixRationHivernaleComplèteChevauxSelle=OUI,ChoixRationHivernaleComplèteChevauxSelle="",ChoixChevauxSellePréHiver=NON),0,IFERROR(IF(OR(AND(INDEX(Règles_chevaux_selle[Specificite],MATCH(RationHivernaleAuPréChevauxSelle&amp;$EU155,Règles_chevaux_selle[Ration]&amp;Règles_chevaux_selle[Aliment],0))="s1",IF($EU155=Spécificité1ChevauxSelle,1)),
AND(INDEX(Règles_chevaux_selle[Specificite],MATCH(RationHivernaleAuPréChevauxSelle&amp;$EU155,Règles_chevaux_selle[Ration]&amp;Règles_chevaux_selle[Aliment],0))="s2",IF($EU155=Spécificité2ChevauxSelle,1)),
INDEX(Règles_chevaux_selle[Specificite],MATCH(RationHivernaleAuPréChevauxSelle&amp;$EU155,Règles_chevaux_selle[Ration]&amp;Règles_chevaux_selle[Aliment],0))="c"),
INDEX(Règles_chevaux_selle[Valeur 24-36],MATCH(RationHivernaleAuPréChevauxSelle&amp;$EU155,Règles_chevaux_selle[Ration]&amp;Règles_chevaux_selle[Aliment],0)),0),0)*SUM(TotalChevauxSelle_24_36mois)*21)</f>
        <v>0</v>
      </c>
      <c r="EX155" s="1283">
        <f t="array" ref="EX155">IF(OR(ChoixRationHivernaleComplèteChevauxSelle=OUI,ChoixRationHivernaleComplèteChevauxSelle="",ChoixChevauxSellePréHiver=NON),0,IFERROR(IF(OR(AND(INDEX(Règles_chevaux_selle[Specificite],MATCH(RationHivernaleAuPréChevauxSelle&amp;$EU155,Règles_chevaux_selle[Ration]&amp;Règles_chevaux_selle[Aliment],0))="s1",IF($EU155=Spécificité1ChevauxSelle,1)),
AND(INDEX(Règles_chevaux_selle[Specificite],MATCH(RationHivernaleAuPréChevauxSelle&amp;$EU155,Règles_chevaux_selle[Ration]&amp;Règles_chevaux_selle[Aliment],0))="s2",IF($EU155=Spécificité2ChevauxSelle,1)),
INDEX(Règles_chevaux_selle[Specificite],MATCH(RationHivernaleAuPréChevauxSelle&amp;$EU155,Règles_chevaux_selle[Ration]&amp;Règles_chevaux_selle[Aliment],0))="c"),
INDEX(Règles_chevaux_selle[Valeur 12-24],MATCH(RationHivernaleAuPréChevauxSelle&amp;$EU155,Règles_chevaux_selle[Ration]&amp;Règles_chevaux_selle[Aliment],0)),0),0)*SUM(TotalChevauxSelle_12_24mois)*21)</f>
        <v>0</v>
      </c>
      <c r="EY155" s="1286">
        <f t="array" ref="EY155">IF(OR(ChoixRationHivernaleComplèteChevauxSelle=OUI,ChoixRationHivernaleComplèteChevauxSelle="",ChoixChevauxSellePréHiver=NON),0,IFERROR(IF(OR(AND(INDEX(Règles_chevaux_selle[Specificite],MATCH(RationHivernaleAuPréChevauxSelle&amp;$EU155,Règles_chevaux_selle[Ration]&amp;Règles_chevaux_selle[Aliment],0))="s1",IF($EU155=Spécificité1ChevauxSelle,1)),
AND(INDEX(Règles_chevaux_selle[Specificite],MATCH(RationHivernaleAuPréChevauxSelle&amp;$EU155,Règles_chevaux_selle[Ration]&amp;Règles_chevaux_selle[Aliment],0))="s2",IF($EU155=Spécificité2ChevauxSelle,1)),
INDEX(Règles_chevaux_selle[Specificite],MATCH(RationHivernaleAuPréChevauxSelle&amp;$EU155,Règles_chevaux_selle[Ration]&amp;Règles_chevaux_selle[Aliment],0))="c"),
INDEX(Règles_chevaux_selle[Valeur 0-12],MATCH(RationHivernaleAuPréChevauxSelle&amp;$EU155,Règles_chevaux_selle[Ration]&amp;Règles_chevaux_selle[Aliment],0)),0),0)*SUM(TotalPoulainsSelle)*21)</f>
        <v>0</v>
      </c>
      <c r="EZ155" s="1286">
        <f t="shared" si="59"/>
        <v>0</v>
      </c>
      <c r="FA155" s="1345"/>
      <c r="FB155" s="1345"/>
      <c r="FC155" s="1321"/>
      <c r="FD155" s="1083" t="str">
        <f t="shared" si="55"/>
        <v>Féverole</v>
      </c>
      <c r="FE155" s="1283">
        <f t="array" ref="FE155">IF(OR(ChoixRationHivernaleComplèteChevauxTrait=OUI,ChoixRationHivernaleComplèteChevauxTrait="",ChoixChevauxTraitPréHiver=NON),0,IFERROR(IF(OR(AND(INDEX(Règles_chevaux_trait[Specificite],MATCH(RationHivernaleAuPréChevauxTrait&amp;$FD155,Règles_chevaux_trait[Ration]&amp;Règles_chevaux_trait[Aliment],0))="s1",IF($FD155=Spécificité1ChevauxTrait,1)),
AND(INDEX(Règles_chevaux_trait[Specificite],MATCH(RationHivernaleAuPréChevauxTrait&amp;$FD155,Règles_chevaux_trait[Ration]&amp;Règles_chevaux_trait[Aliment],0))="s2",IF($FD155=Spécificité2ChevauxTrait,1)),
INDEX(Règles_chevaux_trait[Specificite],MATCH(RationHivernaleAuPréChevauxTrait&amp;$FD155,Règles_chevaux_trait[Ration]&amp;Règles_chevaux_trait[Aliment],0))="c"),
INDEX(Règles_chevaux_trait[Valeur 36 et plus],MATCH(RationHivernaleAuPréChevauxTrait&amp;$FD155,Règles_chevaux_trait[Ration]&amp;Règles_chevaux_trait[Aliment],0)),0),0)*SUM(TotalChevauxTraitAdultes)*21)</f>
        <v>0</v>
      </c>
      <c r="FF155" s="1283">
        <f t="array" ref="FF155">IF(OR(ChoixRationHivernaleComplèteChevauxTrait=OUI,ChoixRationHivernaleComplèteChevauxTrait="",ChoixChevauxTraitPréHiver=NON),0,IFERROR(IF(OR(AND(INDEX(Règles_chevaux_trait[Specificite],MATCH(RationHivernaleAuPréChevauxTrait&amp;$FD155,Règles_chevaux_trait[Ration]&amp;Règles_chevaux_trait[Aliment],0))="s1",IF($FD155=Spécificité1ChevauxTrait,1)),
AND(INDEX(Règles_chevaux_trait[Specificite],MATCH(RationHivernaleAuPréChevauxTrait&amp;$FD155,Règles_chevaux_trait[Ration]&amp;Règles_chevaux_trait[Aliment],0))="s2",IF($FD155=Spécificité2ChevauxTrait,1)),
INDEX(Règles_chevaux_trait[Specificite],MATCH(RationHivernaleAuPréChevauxTrait&amp;$FD155,Règles_chevaux_trait[Ration]&amp;Règles_chevaux_trait[Aliment],0))="c"),
INDEX(Règles_chevaux_trait[Valeur 24-36],MATCH(RationHivernaleAuPréChevauxTrait&amp;$FD155,Règles_chevaux_trait[Ration]&amp;Règles_chevaux_trait[Aliment],0)),0),0)*SUM(TotalChevauxTrait_24_36mois)*21)</f>
        <v>0</v>
      </c>
      <c r="FG155" s="1283">
        <f t="array" ref="FG155">IF(OR(ChoixRationHivernaleComplèteChevauxTrait=OUI,ChoixRationHivernaleComplèteChevauxTrait="",ChoixChevauxTraitPréHiver=NON),0,IFERROR(IF(OR(AND(INDEX(Règles_chevaux_trait[Specificite],MATCH(RationHivernaleAuPréChevauxTrait&amp;$FD155,Règles_chevaux_trait[Ration]&amp;Règles_chevaux_trait[Aliment],0))="s1",IF($FD155=Spécificité1ChevauxTrait,1)),
AND(INDEX(Règles_chevaux_trait[Specificite],MATCH(RationHivernaleAuPréChevauxTrait&amp;$FD155,Règles_chevaux_trait[Ration]&amp;Règles_chevaux_trait[Aliment],0))="s2",IF($FD155=Spécificité2ChevauxTrait,1)),
INDEX(Règles_chevaux_trait[Specificite],MATCH(RationHivernaleAuPréChevauxTrait&amp;$FD155,Règles_chevaux_trait[Ration]&amp;Règles_chevaux_trait[Aliment],0))="c"),
INDEX(Règles_chevaux_trait[Valeur 12-24],MATCH(RationHivernaleAuPréChevauxTrait&amp;$FD155,Règles_chevaux_trait[Ration]&amp;Règles_chevaux_trait[Aliment],0)),0),0)*SUM(TotalChevauxTrait_12_24mois)*21)</f>
        <v>0</v>
      </c>
      <c r="FH155" s="1286">
        <f t="array" ref="FH155">IF(OR(ChoixRationHivernaleComplèteChevauxTrait=OUI,ChoixRationHivernaleComplèteChevauxTrait="",ChoixChevauxTraitPréHiver=NON),0,IFERROR(IF(OR(AND(INDEX(Règles_chevaux_trait[Specificite],MATCH(RationHivernaleAuPréChevauxTrait&amp;$FD155,Règles_chevaux_trait[Ration]&amp;Règles_chevaux_trait[Aliment],0))="s1",IF($FD155=Spécificité1ChevauxTrait,1)),
AND(INDEX(Règles_chevaux_trait[Specificite],MATCH(RationHivernaleAuPréChevauxTrait&amp;$FD155,Règles_chevaux_trait[Ration]&amp;Règles_chevaux_trait[Aliment],0))="s2",IF($FD155=Spécificité2ChevauxTrait,1)),
INDEX(Règles_chevaux_trait[Specificite],MATCH(RationHivernaleAuPréChevauxTrait&amp;$FD155,Règles_chevaux_trait[Ration]&amp;Règles_chevaux_trait[Aliment],0))="c"),
INDEX(Règles_chevaux_trait[Valeur 0-12],MATCH(RationHivernaleAuPréChevauxTrait&amp;$FD155,Règles_chevaux_trait[Ration]&amp;Règles_chevaux_trait[Aliment],0)),0),0)*SUM(TotalPoulainsTrait)*21)</f>
        <v>0</v>
      </c>
      <c r="FI155" s="1286">
        <f t="shared" si="53"/>
        <v>0</v>
      </c>
      <c r="FJ155" s="1345"/>
      <c r="FK155" s="1345"/>
      <c r="FL155" s="1345"/>
      <c r="FM155" s="1321"/>
      <c r="FN155" s="1082" t="str">
        <f t="shared" si="54"/>
        <v>Foin</v>
      </c>
      <c r="FO155" s="1282">
        <f t="array" ref="FO155">IF(OR(ChoixRationHivernaleComplètePoneys=OUI,ChoixRationHivernaleComplètePoneys="",ChoixPoneysPréHiver=NON),0,IFERROR(IF(OR(AND(INDEX(Règles_poneys[Specificite],MATCH(RationHivernaleAuPréPoneys&amp;$FN155,Règles_poneys[Ration]&amp;Règles_poneys[Aliment],0))="s1",IF($FN155=Spécificité1Poneys,1)),
AND(INDEX(Règles_poneys[Specificite],MATCH(RationHivernaleAuPréPoneys&amp;$FN155,Règles_poneys[Ration]&amp;Règles_poneys[Aliment],0))="s2",IF($FN155=Spécificité2Poneys,1)),
INDEX(Règles_poneys[Specificite],MATCH(RationHivernaleAuPréPoneys&amp;$FN155,Règles_poneys[Ration]&amp;Règles_poneys[Aliment],0))="c"),
INDEX(Règles_poneys[Valeur 36 et plus],MATCH(RationHivernaleAuPréPoneys&amp;$FN155,Règles_poneys[Ration]&amp;Règles_poneys[Aliment],0)),0),0)*SUM(TotalPoneysAdultes)*21)</f>
        <v>0</v>
      </c>
      <c r="FP155" s="1282">
        <f t="array" ref="FP155">IF(OR(ChoixRationHivernaleComplètePoneys=OUI,ChoixRationHivernaleComplètePoneys="",ChoixPoneysPréHiver=NON),0,IFERROR(IF(OR(AND(INDEX(Règles_poneys[Specificite],MATCH(RationHivernaleAuPréPoneys&amp;$FN155,Règles_poneys[Ration]&amp;Règles_poneys[Aliment],0))="s1",IF($FN155=Spécificité1Poneys,1)),
AND(INDEX(Règles_poneys[Specificite],MATCH(RationHivernaleAuPréPoneys&amp;$FN155,Règles_poneys[Ration]&amp;Règles_poneys[Aliment],0))="s2",IF($FN155=Spécificité2Poneys,1)),
INDEX(Règles_poneys[Specificite],MATCH(RationHivernaleAuPréPoneys&amp;$FN155,Règles_poneys[Ration]&amp;Règles_poneys[Aliment],0))="c"),
INDEX(Règles_poneys[Valeur 24-36],MATCH(RationHivernaleAuPréPoneys&amp;$FN155,Règles_poneys[Ration]&amp;Règles_poneys[Aliment],0)),0),0)*SUM(TotalPoneys_24_36mois)*21)</f>
        <v>0</v>
      </c>
      <c r="FQ155" s="1282">
        <f t="array" ref="FQ155">IF(OR(ChoixRationHivernaleComplètePoneys=OUI,ChoixRationHivernaleComplètePoneys="",ChoixPoneysPréHiver=NON),0,IFERROR(IF(OR(AND(INDEX(Règles_poneys[Specificite],MATCH(RationHivernaleAuPréPoneys&amp;$FN155,Règles_poneys[Ration]&amp;Règles_poneys[Aliment],0))="s1",IF($FN155=Spécificité1Poneys,1)),
AND(INDEX(Règles_poneys[Specificite],MATCH(RationHivernaleAuPréPoneys&amp;$FN155,Règles_poneys[Ration]&amp;Règles_poneys[Aliment],0))="s2",IF($FN155=Spécificité2Poneys,1)),
INDEX(Règles_poneys[Specificite],MATCH(RationHivernaleAuPréPoneys&amp;$FN155,Règles_poneys[Ration]&amp;Règles_poneys[Aliment],0))="c"),
INDEX(Règles_poneys[Valeur 12-24],MATCH(RationHivernaleAuPréPoneys&amp;$FN155,Règles_poneys[Ration]&amp;Règles_poneys[Aliment],0)),0),0)*SUM(TotalPoneys_12_24mois)*21)</f>
        <v>0</v>
      </c>
      <c r="FR155" s="1285">
        <f t="array" ref="FR155">IF(OR(ChoixRationHivernaleComplètePoneys=OUI,ChoixRationHivernaleComplètePoneys="",ChoixPoneysPréHiver=NON),0,IFERROR(IF(OR(AND(INDEX(Règles_poneys[Specificite],MATCH(RationHivernaleAuPréPoneys&amp;$FN155,Règles_poneys[Ration]&amp;Règles_poneys[Aliment],0))="s1",IF($FN155=Spécificité1Poneys,1)),
AND(INDEX(Règles_poneys[Specificite],MATCH(RationHivernaleAuPréPoneys&amp;$FN155,Règles_poneys[Ration]&amp;Règles_poneys[Aliment],0))="s2",IF($FN155=Spécificité2Poneys,1)),
INDEX(Règles_poneys[Specificite],MATCH(RationHivernaleAuPréPoneys&amp;$FN155,Règles_poneys[Ration]&amp;Règles_poneys[Aliment],0))="c"),
INDEX(Règles_poneys[Valeur 0-12],MATCH(RationHivernaleAuPréPoneys&amp;$FN155,Règles_poneys[Ration]&amp;Règles_poneys[Aliment],0)),0),0)*SUM(TotalPoulainsPoneys)*21)</f>
        <v>0</v>
      </c>
      <c r="FS155" s="1285">
        <f t="shared" si="52"/>
        <v>0</v>
      </c>
      <c r="FT155" s="1345"/>
      <c r="FU155" s="1345"/>
      <c r="FV155" s="1345"/>
      <c r="FW155" s="1083" t="str">
        <f t="shared" si="49"/>
        <v>Minéraux + vitamines</v>
      </c>
      <c r="FX155" s="1283">
        <f t="array" ref="FX155">SUM((IF(QualitéAlimentsGavageOison_0_1_mois=BONNE,VLOOKUP("Minéraux + vitamines",AlimentsGavageOies[],5,FALSE),0)+(IF(QualitéAlimentsGavageCaneton_0_1_mois=BONNE,VLOOKUP("Minéraux + vitamines",AlimentsGavageCanards[],5,FALSE),0)+(IF(QualitéAlimentsGavageOison_1_2_mois=BONNE,VLOOKUP("Minéraux + vitamines",AlimentsGavageOies[],4,FALSE),0)+(IF(QualitéAlimentsGavageCaneton_1_2_mois=BONNE,VLOOKUP("Minéraux + vitamines",AlimentsGavageCanards[],4,FALSE),0)+(IF(QualitéAlimentsGavageOison_2_3_mois=BONNE,VLOOKUP("Minéraux + vitamines",AlimentsGavageOies[],3,FALSE),0)+(IF(QualitéAlimentsGavageCaneton_2_3_mois=BONNE,VLOOKUP("Minéraux + vitamines",AlimentsGavageCanards[],3,FALSE),0)+(IF(QualitéAlimentsGavageJeunesOies=BONNE,VLOOKUP("Minéraux + vitamines",AlimentsGavageOies[],2,FALSE),0)+(IF(QualitéAlimentsGavageJeuneCanard=BONNE,VLOOKUP("Minéraux + vitamines",AlimentsGavageCanards[],2,FALSE),0))))))))))</f>
        <v>0</v>
      </c>
      <c r="FY155" s="1283">
        <f t="array" ref="FY155">SUM((IF(QualitéAlimentsGavageOison_0_1_mois=MOYENNE,VLOOKUP("Minéraux + vitamines",AlimentsGavageOies[],5,FALSE),0)+(IF(QualitéAlimentsGavageCaneton_0_1_mois=MOYENNE,VLOOKUP("Minéraux + vitamines",AlimentsGavageCanards[],5,FALSE),0)+(IF(QualitéAlimentsGavageOison_1_2_mois=MOYENNE,VLOOKUP("Minéraux + vitamines",AlimentsGavageOies[],4,FALSE),0)+(IF(QualitéAlimentsGavageCaneton_1_2_mois=MOYENNE,VLOOKUP("Minéraux + vitamines",AlimentsGavageCanards[],4,FALSE),0)+(IF(QualitéAlimentsGavageOison_2_3_mois=MOYENNE,VLOOKUP("Minéraux + vitamines",AlimentsGavageOies[],3,FALSE),0)+(IF(QualitéAlimentsGavageCaneton_2_3_mois=MOYENNE,VLOOKUP("Minéraux + vitamines",AlimentsGavageCanards[],3,FALSE),0)+(IF(QualitéAlimentsGavageJeunesOies=MOYENNE,VLOOKUP("Minéraux + vitamines",AlimentsGavageOies[],2,FALSE),0)+(IF(QualitéAlimentsGavageJeuneCanard=MOYENNE,VLOOKUP("Minéraux + vitamines",AlimentsGavageCanards[],2,FALSE),0))))))))))</f>
        <v>0</v>
      </c>
      <c r="FZ155" s="1283">
        <f t="array" ref="FZ155">SUM((IF(QualitéAlimentsGavageOison_0_1_mois=MAUVAISE,VLOOKUP("Minéraux + vitamines",AlimentsGavageOies[],5,FALSE),0)+(IF(QualitéAlimentsGavageCaneton_0_1_mois=MAUVAISE,VLOOKUP("Minéraux + vitamines",AlimentsGavageCanards[],5,FALSE),0)+(IF(QualitéAlimentsGavageOison_1_2_mois=MAUVAISE,VLOOKUP("Minéraux + vitamines",AlimentsGavageOies[],4,FALSE),0)+(IF(QualitéAlimentsGavageCaneton_1_2_mois=MAUVAISE,VLOOKUP("Minéraux + vitamines",AlimentsGavageCanards[],4,FALSE),0)+(IF(QualitéAlimentsGavageOison_2_3_mois=MAUVAISE,VLOOKUP("Minéraux + vitamines",AlimentsGavageOies[],3,FALSE),0)+(IF(QualitéAlimentsGavageCaneton_2_3_mois=MAUVAISE,VLOOKUP("Minéraux + vitamines",AlimentsGavageCanards[],3,FALSE),0)+(IF(QualitéAlimentsGavageJeunesOies=MAUVAISE,VLOOKUP("Minéraux + vitamines",AlimentsGavageOies[],2,FALSE),0)+(IF(QualitéAlimentsGavageJeuneCanard=MAUVAISE,VLOOKUP("Minéraux + vitamines",AlimentsGavageCanards[],2,FALSE),0))))))))))</f>
        <v>0</v>
      </c>
      <c r="GA155" s="1345"/>
      <c r="GB155" s="1345"/>
      <c r="GC155" s="1321"/>
      <c r="GD155" s="1321"/>
      <c r="GE155" s="1321"/>
      <c r="GF155" s="1321"/>
      <c r="GG155" s="1321" t="s">
        <v>1349</v>
      </c>
      <c r="GH155" s="1321" t="s">
        <v>1349</v>
      </c>
      <c r="GI155" s="1321" t="s">
        <v>1349</v>
      </c>
      <c r="GJ155" s="1321" t="s">
        <v>1349</v>
      </c>
      <c r="GK155" s="1321" t="s">
        <v>1349</v>
      </c>
      <c r="GL155" s="1321" t="s">
        <v>1349</v>
      </c>
      <c r="GM155" s="1321" t="s">
        <v>1349</v>
      </c>
      <c r="GN155" s="1321" t="s">
        <v>1349</v>
      </c>
      <c r="GO155" s="1321" t="s">
        <v>1349</v>
      </c>
      <c r="GP155" s="1321" t="s">
        <v>1349</v>
      </c>
      <c r="GQ155" s="1321" t="s">
        <v>1349</v>
      </c>
      <c r="GR155" s="1321" t="s">
        <v>1349</v>
      </c>
      <c r="GS155" s="1321" t="s">
        <v>1349</v>
      </c>
      <c r="GT155" s="1321" t="s">
        <v>1349</v>
      </c>
      <c r="GU155" s="1321" t="s">
        <v>1349</v>
      </c>
      <c r="GV155" s="1321" t="s">
        <v>1349</v>
      </c>
      <c r="GW155" s="1321"/>
      <c r="GX155" s="1321"/>
      <c r="GY155" s="1321"/>
      <c r="GZ155" s="1321"/>
      <c r="HA155" s="1321"/>
      <c r="HB155" s="1321"/>
      <c r="HC155" s="1321"/>
      <c r="HD155" s="1321"/>
      <c r="HE155" s="1321"/>
      <c r="HF155" s="1321"/>
      <c r="HG155" s="1321"/>
      <c r="HH155" s="1321"/>
      <c r="HI155" s="1321"/>
      <c r="HJ155" s="1321"/>
      <c r="HK155" s="1321"/>
      <c r="HL155" s="1321"/>
      <c r="HM155" s="1321"/>
      <c r="HN155" s="1321"/>
      <c r="HO155" s="1321"/>
      <c r="HP155" s="1321"/>
      <c r="HQ155" s="1321"/>
      <c r="HR155" s="1321"/>
      <c r="HS155" s="1321"/>
      <c r="HT155" s="1321"/>
      <c r="HU155" s="1321"/>
      <c r="HV155" s="1321"/>
      <c r="HW155" s="1321"/>
      <c r="HX155" s="1321"/>
      <c r="HY155" s="1321"/>
      <c r="HZ155" s="1321"/>
      <c r="IA155" s="1321"/>
      <c r="IB155" s="1321"/>
      <c r="IC155" s="1321"/>
      <c r="ID155" s="1321"/>
      <c r="IE155" s="1321"/>
      <c r="IF155" s="1321"/>
      <c r="IG155" s="1321"/>
      <c r="IH155" s="1321"/>
      <c r="II155" s="1321"/>
      <c r="IJ155" s="1321"/>
      <c r="IK155" s="1321"/>
      <c r="IL155" s="1321"/>
      <c r="IM155" s="1321"/>
      <c r="IN155" s="1368"/>
    </row>
    <row r="156" spans="1:248" ht="12.75" customHeight="1" x14ac:dyDescent="0.2">
      <c r="A156" s="1307" t="s">
        <v>200</v>
      </c>
      <c r="B156" s="1209">
        <v>2</v>
      </c>
      <c r="C156" s="1321"/>
      <c r="D156" s="1321"/>
      <c r="E156" s="1321"/>
      <c r="F156" s="1143" t="s">
        <v>316</v>
      </c>
      <c r="G156" s="1143">
        <v>25</v>
      </c>
      <c r="H156" s="1321"/>
      <c r="I156" s="1076" t="str">
        <f t="shared" si="64"/>
        <v>40-49,99</v>
      </c>
      <c r="J156" s="1081">
        <f>IF(gains!F$4=BDD!O$127,10,IF(gains!F$4=BDD!P$127,20,IF(gains!F$4=BDD!Q$127,30,0)))</f>
        <v>10</v>
      </c>
      <c r="K156" s="1081">
        <f>IF(gains!$G$9=K$127,1,0)</f>
        <v>0</v>
      </c>
      <c r="L156" s="1081">
        <f>IF(gains!$G$9=L$127,2,0)</f>
        <v>0</v>
      </c>
      <c r="M156" s="1081">
        <f>IF(gains!$G$9=M$127,3,0)</f>
        <v>0</v>
      </c>
      <c r="N156" s="1081">
        <f>IF(gains!$G$9=N$127,4,0)</f>
        <v>0</v>
      </c>
      <c r="O156" s="1081">
        <f>IF(AND(J156=10,SUM(K156:N156)=1),gains!$F$40,IF(AND(J156=10,SUM(K156:N156)=2),gains!$F$40*2,IF(AND(J156=10,SUM(K156:N156)=3),gains!$F$40*3,IF(AND(J156=10,SUM(K156:N156)=4),gains!$F$40*4,0))))</f>
        <v>0</v>
      </c>
      <c r="P156" s="1081">
        <f>IF(AND(J156=20,SUM(K156:N156)=1),gains!$F$40*7,IF(AND(J156=20,SUM(K156:N156)=2),gains!$F$40*7*2,IF(AND(J156=20,SUM(K156:N156)=3),gains!$F$40*7*3,IF(AND(J156=20,SUM(K156:N156)=4),gains!$F$40*7*4,0))))</f>
        <v>0</v>
      </c>
      <c r="Q156" s="1081">
        <f>IF(AND(J156=30,SUM(K156:N156)=1),gains!$F$40*7*12,IF(AND(J156=30,SUM(K156:N156)=2),gains!$F$40*7*12*2,IF(AND(J156=30,SUM(K156:N156)=3),gains!$F$40*7*12*3,IF(AND(J156=30,SUM(K156:N156)=4),gains!$F$40*7*12*4,0))))</f>
        <v>0</v>
      </c>
      <c r="R156" s="1321"/>
      <c r="S156" s="1321"/>
      <c r="T156" s="1321"/>
      <c r="U156" s="1321"/>
      <c r="V156" s="1321"/>
      <c r="W156" s="1321"/>
      <c r="X156" s="1321"/>
      <c r="Y156" s="1321"/>
      <c r="Z156" s="1321"/>
      <c r="AA156" s="1321"/>
      <c r="AB156" s="1321"/>
      <c r="AC156" s="1321"/>
      <c r="AD156" s="1321"/>
      <c r="AE156" s="1321"/>
      <c r="AF156" s="1321"/>
      <c r="AG156" s="1321"/>
      <c r="AH156" s="1321"/>
      <c r="AI156" s="1321"/>
      <c r="AJ156" s="1321"/>
      <c r="AK156" s="1321"/>
      <c r="AL156" s="1321"/>
      <c r="AM156" s="1321"/>
      <c r="AN156" s="1321"/>
      <c r="AO156" s="1321"/>
      <c r="AP156" s="1321"/>
      <c r="AQ156" s="1321"/>
      <c r="AR156" s="1321"/>
      <c r="AS156" s="1321"/>
      <c r="AT156" s="1321"/>
      <c r="AU156" s="1321"/>
      <c r="AV156" s="1321"/>
      <c r="AW156" s="1321"/>
      <c r="AX156" s="1321"/>
      <c r="AY156" s="1321"/>
      <c r="AZ156" s="1321"/>
      <c r="BA156" s="1321"/>
      <c r="BB156" s="1236" t="s">
        <v>731</v>
      </c>
      <c r="BC156" s="1190" t="s">
        <v>63</v>
      </c>
      <c r="BD156" s="1190" t="s">
        <v>1254</v>
      </c>
      <c r="BE156" s="1237">
        <v>4.8</v>
      </c>
      <c r="BF156" s="1237">
        <v>4</v>
      </c>
      <c r="BG156" s="1237">
        <v>4</v>
      </c>
      <c r="BH156" s="1237">
        <v>4</v>
      </c>
      <c r="BI156" s="1237">
        <v>2</v>
      </c>
      <c r="BJ156" s="1237">
        <v>1.2</v>
      </c>
      <c r="BK156" s="1238">
        <v>0</v>
      </c>
      <c r="BL156" s="1348"/>
      <c r="BM156" s="1346"/>
      <c r="BN156" s="1321"/>
      <c r="BO156" s="1321"/>
      <c r="BP156" s="1321"/>
      <c r="BQ156" s="1321"/>
      <c r="BR156" s="1321"/>
      <c r="BS156" s="1321"/>
      <c r="BT156" s="1321"/>
      <c r="BU156" s="1321"/>
      <c r="BV156" s="1345"/>
      <c r="BW156" s="1345"/>
      <c r="BX156" s="1076" t="str">
        <f t="shared" si="57"/>
        <v>Epinard</v>
      </c>
      <c r="BY156" s="1076">
        <f t="array" ref="BY156">IF(ChoixRationComplèteCaprins=OUI,0,IFERROR(IF(OR(AND(INDEX(Règles_caprins[Specificite],MATCH(ChoixRationCaprins&amp;$BX156,Règles_caprins[Ration]&amp;Règles_caprins[Aliment],0))="s1",IF($BX156=Spécificité1Caprins,1)),
INDEX(Règles_caprins[Specificite],MATCH(ChoixRationCaprins&amp;$BX156,Règles_caprins[Ration]&amp;Règles_caprins[Aliment],0))="c"),
INDEX(Règles_caprins[Valeur 12 et plus],MATCH(ChoixRationCaprins&amp;$BX156,Règles_caprins[Ration]&amp;Règles_caprins[Aliment],0)),0),0)*TotalChèvres*SUM(NbreJoursNourrirCaprins))</f>
        <v>0</v>
      </c>
      <c r="BZ156" s="1076">
        <f t="array" ref="BZ156">IF(ChoixRationComplèteCaprins=OUI,0,IFERROR(IF(OR(AND(INDEX(Règles_caprins[Specificite],MATCH(ChoixRationCaprins&amp;$BX156,Règles_caprins[Ration]&amp;Règles_caprins[Aliment],0))="s1",IF($BX156=Spécificité1Caprins,1)),
INDEX(Règles_caprins[Specificite],MATCH(ChoixRationCaprins&amp;$BX156,Règles_caprins[Ration]&amp;Règles_caprins[Aliment],0))="c"),
INDEX(Règles_caprins[Valeur 6-12],MATCH(ChoixRationCaprins&amp;$BX156,Règles_caprins[Ration]&amp;Règles_caprins[Aliment],0)),0),0)*jeune_chèvre_6_12_mois*SUM(NbreJoursNourrirCaprins))</f>
        <v>0</v>
      </c>
      <c r="CA156" s="1076">
        <f t="array" ref="CA156">IF(ChoixRationComplèteCaprins=OUI,0,IFERROR(IF(OR(AND(INDEX(Règles_caprins[Specificite],MATCH(ChoixRationCaprins&amp;$BX156,Règles_caprins[Ration]&amp;Règles_caprins[Aliment],0))="s1",IF($BX156=Spécificité1Caprins,1)),
INDEX(Règles_caprins[Specificite],MATCH(ChoixRationCaprins&amp;$BX156,Règles_caprins[Ration]&amp;Règles_caprins[Aliment],0))="c"),
INDEX(Règles_caprins[Valeur 3-6],MATCH(ChoixRationCaprins&amp;$BX156,Règles_caprins[Ration]&amp;Règles_caprins[Aliment],0)),0),0)*chevrette_3_6_mois*SUM(NbreJoursNourrirCaprins))</f>
        <v>0</v>
      </c>
      <c r="CB156" s="1076">
        <f t="array" ref="CB156">IF(ChoixRationComplèteCaprins=OUI,0,IFERROR(IF(OR(AND(INDEX(Règles_caprins[Specificite],MATCH(ChoixRationCaprins&amp;$BX156,Règles_caprins[Ration]&amp;Règles_caprins[Aliment],0))="s1",IF($BX156=Spécificité1Caprins,1)),
INDEX(Règles_caprins[Specificite],MATCH(ChoixRationCaprins&amp;$BX156,Règles_caprins[Ration]&amp;Règles_caprins[Aliment],0))="c"),
INDEX(Règles_caprins[Valeur 0-3],MATCH(ChoixRationCaprins&amp;$BX156,Règles_caprins[Ration]&amp;Règles_caprins[Aliment],0)),0),0)*chevrette_0_3_mois*SUM(NbreJoursNourrirCaprins))</f>
        <v>0</v>
      </c>
      <c r="CC156" s="1076">
        <f t="shared" si="56"/>
        <v>0</v>
      </c>
      <c r="CD156" s="1345"/>
      <c r="CE156" s="1345"/>
      <c r="CF156" s="1345"/>
      <c r="CG156" s="1345"/>
      <c r="CH156" s="1345"/>
      <c r="CI156" s="1321"/>
      <c r="CJ156" s="1075" t="str">
        <f t="shared" si="51"/>
        <v>Maïs ensilé</v>
      </c>
      <c r="CK156" s="1269">
        <f t="array" ref="CK156">SUM((IF(QualitéAlimentsPorceletMâle_0_1_mois=BONNE,VLOOKUP("Maïs ensilé",AlimentsRationPorcinsMâles[],6,FALSE),0)+(IF(QualitéAlimentsPorceletFemelle_0_1_mois=BONNE,VLOOKUP("Maïs ensilé",AlimentsRationPorcinsFemelles[],6,FALSE),0)+(IF(QualitéAlimentsPorceletMâle_1_3_mois=BONNE,VLOOKUP("Maïs ensilé",AlimentsRationPorcinsMâles[],5,FALSE),0)+(IF(QualitéAlimentsPorceletFemelle_1_3_mois=BONNE,VLOOKUP("Maïs ensilé",AlimentsRationPorcinsFemelles[],5,FALSE),0)+(IF(QualitéAlimentsJeuneVerrat_3_6_mois=BONNE,VLOOKUP("Maïs ensilé",AlimentsRationPorcinsMâles[],4,FALSE),0)+(IF(QualitéAlimentsJeuneTruie_3_6_mois=BONNE,VLOOKUP("Maïs ensilé",AlimentsRationPorcinsFemelles[],4,FALSE),0)+(IF(QualitéAlimentsJeuneVerrat_6_12_mois=BONNE,VLOOKUP("Maïs ensilé",AlimentsRationPorcinsMâles[],3,FALSE),0)+(IF(QualitéAlimentsJeuneTruie_6_12_mois=BONNE,VLOOKUP("Maïs ensilé",AlimentsRationPorcinsFemelles[],3,FALSE),0)+(IF(QualitéAlimentsVerrat=BONNE,VLOOKUP("Maïs ensilé",AlimentsRationPorcinsMâles[],2,FALSE),0)+(IF(QualitéAlimentsTruie=BONNE,VLOOKUP("Maïs ensilé",AlimentsRationPorcinsFemelles[],2,FALSE),0))))))))))))</f>
        <v>0</v>
      </c>
      <c r="CL156" s="1269">
        <f t="array" ref="CL156">SUM((IF(QualitéAlimentsPorceletMâle_0_1_mois=MOYENNE,VLOOKUP("Maïs ensilé",AlimentsRationPorcinsMâles[],6,FALSE),0)+(IF(QualitéAlimentsPorceletFemelle_0_1_mois=MOYENNE,VLOOKUP("Maïs ensilé",AlimentsRationPorcinsFemelles[],6,FALSE),0)+(IF(QualitéAlimentsPorceletMâle_1_3_mois=MOYENNE,VLOOKUP("Maïs ensilé",AlimentsRationPorcinsMâles[],5,FALSE),0)+(IF(QualitéAlimentsPorceletFemelle_1_3_mois=MOYENNE,VLOOKUP("Maïs ensilé",AlimentsRationPorcinsFemelles[],5,FALSE),0)+(IF(QualitéAlimentsJeuneVerrat_3_6_mois=MOYENNE,VLOOKUP("Maïs ensilé",AlimentsRationPorcinsMâles[],4,FALSE),0)+(IF(QualitéAlimentsJeuneTruie_3_6_mois=MOYENNE,VLOOKUP("Maïs ensilé",AlimentsRationPorcinsFemelles[],4,FALSE),0)+(IF(QualitéAlimentsJeuneVerrat_6_12_mois=MOYENNE,VLOOKUP("Maïs ensilé",AlimentsRationPorcinsMâles[],3,FALSE),0)+(IF(QualitéAlimentsJeuneTruie_6_12_mois=MOYENNE,VLOOKUP("Maïs ensilé",AlimentsRationPorcinsFemelles[],3,FALSE),0)+(IF(QualitéAlimentsVerrat=MOYENNE,VLOOKUP("Maïs ensilé",AlimentsRationPorcinsMâles[],2,FALSE),0)+(IF(QualitéAlimentsTruie=MOYENNE,VLOOKUP("Maïs ensilé",AlimentsRationPorcinsFemelles[],2,FALSE),0))))))))))))</f>
        <v>0</v>
      </c>
      <c r="CM156" s="1269">
        <f t="array" ref="CM156">SUM((IF(QualitéAlimentsPorceletMâle_0_1_mois=MAUVAISE,VLOOKUP("Maïs ensilé",AlimentsRationPorcinsMâles[],6,FALSE),0)+(IF(QualitéAlimentsPorceletFemelle_0_1_mois=MAUVAISE,VLOOKUP("Maïs ensilé",AlimentsRationPorcinsFemelles[],6,FALSE),0)+(IF(QualitéAlimentsPorceletMâle_1_3_mois=MAUVAISE,VLOOKUP("Maïs ensilé",AlimentsRationPorcinsMâles[],5,FALSE),0)+(IF(QualitéAlimentsPorceletFemelle_1_3_mois=MAUVAISE,VLOOKUP("Maïs ensilé",AlimentsRationPorcinsFemelles[],5,FALSE),0)+(IF(QualitéAlimentsJeuneVerrat_3_6_mois=MAUVAISE,VLOOKUP("Maïs ensilé",AlimentsRationPorcinsMâles[],4,FALSE),0)+(IF(QualitéAlimentsJeuneTruie_3_6_mois=MAUVAISE,VLOOKUP("Maïs ensilé",AlimentsRationPorcinsFemelles[],4,FALSE),0)+(IF(QualitéAlimentsJeuneVerrat_6_12_mois=MAUVAISE,VLOOKUP("Maïs ensilé",AlimentsRationPorcinsMâles[],3,FALSE),0)+(IF(QualitéAlimentsJeuneTruie_6_12_mois=MAUVAISE,VLOOKUP("Maïs ensilé",AlimentsRationPorcinsFemelles[],3,FALSE),0)+(IF(QualitéAlimentsVerrat=MAUVAISE,VLOOKUP("Maïs ensilé",AlimentsRationPorcinsMâles[],2,FALSE),0)+(IF(QualitéAlimentsTruie=MAUVAISE,VLOOKUP("Maïs ensilé",AlimentsRationPorcinsFemelles[],2,FALSE),0))))))))))))</f>
        <v>0</v>
      </c>
      <c r="CN156" s="1321"/>
      <c r="CO156" s="1320"/>
      <c r="CP156" s="1345"/>
      <c r="CQ156" s="1321"/>
      <c r="CR156" s="1321"/>
      <c r="CS156" s="1075" t="str">
        <f t="shared" ref="CS156:CS193" si="66">CS58</f>
        <v>Betterave</v>
      </c>
      <c r="CT156" s="1269">
        <f t="array" ref="CT156">SUM((IF(QualitéAlimentsLapereauMâle_0_1_mois=BONNE,VLOOKUP("Betterave",AlimentsRationLapinsMâles[],4,FALSE),0)+(IF(QualitéAlimentsLapereauFemelle_0_1_mois=BONNE,VLOOKUP("Betterave",AlimentsRationLapinsFemelles[],4,FALSE),0)+(IF(QualitéAlimentsJeuneLapin=BONNE,VLOOKUP("Betterave",AlimentsRationLapinsMâles[],3,FALSE),0)+(IF(QualitéAlimentsJeuneLapine=BONNE,VLOOKUP("Betterave",AlimentsRationLapinsFemelles[],3,FALSE),0)+(IF(QualitéAlimentsLapin=BONNE,VLOOKUP("Betterave",AlimentsRationLapinsMâles[],2,FALSE),0)+(IF(QualitéAlimentsLapine=BONNE,VLOOKUP("Betterave",AlimentsRationLapinsFemelles[],2,FALSE),0))))))))</f>
        <v>0</v>
      </c>
      <c r="CU156" s="1269">
        <f t="array" ref="CU156">SUM((IF(QualitéAlimentsLapereauMâle_0_1_mois=MOYENNE,VLOOKUP("Betterave",AlimentsRationLapinsMâles[],4,FALSE),0)+(IF(QualitéAlimentsLapereauFemelle_0_1_mois=MOYENNE,VLOOKUP("Betterave",AlimentsRationLapinsFemelles[],4,FALSE),0)+(IF(QualitéAlimentsJeuneLapin=MOYENNE,VLOOKUP("Betterave",AlimentsRationLapinsMâles[],3,FALSE),0)+(IF(QualitéAlimentsJeuneLapine=MOYENNE,VLOOKUP("Betterave",AlimentsRationLapinsFemelles[],3,FALSE),0)+(IF(QualitéAlimentsLapin=MOYENNE,VLOOKUP("Betterave",AlimentsRationLapinsMâles[],2,FALSE),0)+(IF(QualitéAlimentsLapine=MOYENNE,VLOOKUP("Betterave",AlimentsRationLapinsFemelles[],2,FALSE),0))))))))</f>
        <v>0</v>
      </c>
      <c r="CV156" s="1269">
        <f t="array" ref="CV156">SUM((IF(QualitéAlimentsLapereauMâle_0_1_mois=MAUVAISE,VLOOKUP("Betterave",AlimentsRationLapinsMâles[],4,FALSE),0)+(IF(QualitéAlimentsLapereauFemelle_0_1_mois=MAUVAISE,VLOOKUP("Betterave",AlimentsRationLapinsFemelles[],4,FALSE),0)+(IF(QualitéAlimentsJeuneLapin=MAUVAISE,VLOOKUP("Betterave",AlimentsRationLapinsMâles[],3,FALSE),0)+(IF(QualitéAlimentsJeuneLapine=MAUVAISE,VLOOKUP("Betterave",AlimentsRationLapinsFemelles[],3,FALSE),0)+(IF(QualitéAlimentsLapin=MAUVAISE,VLOOKUP("Betterave",AlimentsRationLapinsMâles[],2,FALSE),0)+(IF(QualitéAlimentsLapine=MAUVAISE,VLOOKUP("Betterave",AlimentsRationLapinsFemelles[],2,FALSE),0))))))))</f>
        <v>0</v>
      </c>
      <c r="CW156" s="1321"/>
      <c r="CX156" s="1321"/>
      <c r="CY156" s="1321"/>
      <c r="CZ156" s="1076" t="str">
        <f t="shared" si="65"/>
        <v>Blé</v>
      </c>
      <c r="DA156" s="1267">
        <f t="array" ref="DA156">SUM((IF(QualitéAlimentsPoussinMâle_0_1_mois=BONNE,VLOOKUP("Blé",AlimentsRationVolaillesMâles[],4,FALSE),0)+(IF(QualitéAlimentsPoussinFemelle_0_1_mois=BONNE,VLOOKUP("Blé",AlimentsRationVolaillesFemelles[],4,FALSE),0)+(IF(QualitéAlimentsJeuneCoq=BONNE,VLOOKUP("Blé",AlimentsRationVolaillesMâles[],3,FALSE),0)+(IF(QualitéAlimentsJeunePoule=BONNE,VLOOKUP("Blé",AlimentsRationVolaillesFemelles[],3,FALSE),0)+(IF(QualitéAlimentsCoq=BONNE,VLOOKUP("Blé",AlimentsRationVolaillesMâles[],2,FALSE),0)+(IF(QualitéAlimentsPoule=BONNE,VLOOKUP("Blé",AlimentsRationVolaillesFemelles[],2,FALSE),0))))))))</f>
        <v>0</v>
      </c>
      <c r="DB156" s="1267">
        <f t="array" ref="DB156">SUM((IF(QualitéAlimentsPoussinMâle_0_1_mois=MOYENNE,VLOOKUP("Blé",AlimentsRationVolaillesMâles[],4,FALSE),0)+(IF(QualitéAlimentsPoussinFemelle_0_1_mois=MOYENNE,VLOOKUP("Blé",AlimentsRationVolaillesFemelles[],4,FALSE),0)+(IF(QualitéAlimentsJeuneCoq=MOYENNE,VLOOKUP("Blé",AlimentsRationVolaillesMâles[],3,FALSE),0)+(IF(QualitéAlimentsJeunePoule=MOYENNE,VLOOKUP("Blé",AlimentsRationVolaillesFemelles[],3,FALSE),0)+(IF(QualitéAlimentsCoq=MOYENNE,VLOOKUP("Blé",AlimentsRationVolaillesMâles[],2,FALSE),0)+(IF(QualitéAlimentsPoule=MOYENNE,VLOOKUP("Blé",AlimentsRationVolaillesFemelles[],2,FALSE),0))))))))</f>
        <v>0</v>
      </c>
      <c r="DC156" s="1267">
        <f t="array" ref="DC156">SUM((IF(QualitéAlimentsPoussinMâle_0_1_mois=MAUVAISE,VLOOKUP("Blé",AlimentsRationVolaillesMâles[],4,FALSE),0)+(IF(QualitéAlimentsPoussinFemelle_0_1_mois=MAUVAISE,VLOOKUP("Blé",AlimentsRationVolaillesFemelles[],4,FALSE),0)+(IF(QualitéAlimentsJeuneCoq=MAUVAISE,VLOOKUP("Blé",AlimentsRationVolaillesMâles[],3,FALSE),0)+(IF(QualitéAlimentsJeunePoule=MAUVAISE,VLOOKUP("Blé",AlimentsRationVolaillesFemelles[],3,FALSE),0)+(IF(QualitéAlimentsCoq=MAUVAISE,VLOOKUP("Blé",AlimentsRationVolaillesMâles[],2,FALSE),0)+(IF(QualitéAlimentsPoule=MAUVAISE,VLOOKUP("Blé",AlimentsRationVolaillesFemelles[],2,FALSE),0))))))))</f>
        <v>0</v>
      </c>
      <c r="DD156" s="1321"/>
      <c r="DE156" s="1321"/>
      <c r="DF156" s="1321"/>
      <c r="DG156" s="1076" t="str">
        <f t="shared" si="58"/>
        <v>Epinard</v>
      </c>
      <c r="DH156" s="1267">
        <f t="array" ref="DH156">SUM((IF(QualitéAlimentsPintadeauMâle_0_1_mois=BONNE,VLOOKUP("Epinard",AlimentsRationPintadesMâles[],4,FALSE),0)+(IF(QualitéAlimentsPintadeauFemelle_0_1_mois=BONNE,VLOOKUP("Epinard",AlimentsRationPintadesFemelles[],4,FALSE),0)+(IF(QualitéAlimentsJeunePintadeMâle=BONNE,VLOOKUP("Epinard",AlimentsRationPintadesMâles[],3,FALSE),0)+(IF(QualitéAlimentsJeunePintadeFemelle=BONNE,VLOOKUP("Epinard",AlimentsRationPintadesFemelles[],3,FALSE),0)+(IF(QualitéAlimentsPintadeMâle=BONNE,VLOOKUP("Epinard",AlimentsRationPintadesMâles[],2,FALSE),0)+(IF(QualitéAlimentsPintadeFemelle=BONNE,VLOOKUP("Epinard",AlimentsRationPintadesFemelles[],2,FALSE),0))))))))</f>
        <v>0</v>
      </c>
      <c r="DI156" s="1267">
        <f t="array" ref="DI156">SUM((IF(QualitéAlimentsPintadeauMâle_0_1_mois=MOYENNE,VLOOKUP("Epinard",AlimentsRationPintadesMâles[],4,FALSE),0)+(IF(QualitéAlimentsPintadeauFemelle_0_1_mois=MOYENNE,VLOOKUP("Epinard",AlimentsRationPintadesFemelles[],4,FALSE),0)+(IF(QualitéAlimentsJeunePintadeMâle=MOYENNE,VLOOKUP("Epinard",AlimentsRationPintadesMâles[],3,FALSE),0)+(IF(QualitéAlimentsJeunePintadeFemelle=MOYENNE,VLOOKUP("Epinard",AlimentsRationPintadesFemelles[],3,FALSE),0)+(IF(QualitéAlimentsPintadeMâle=MOYENNE,VLOOKUP("Epinard",AlimentsRationPintadesMâles[],2,FALSE),0)+(IF(QualitéAlimentsPintadeFemelle=MOYENNE,VLOOKUP("Epinard",AlimentsRationPintadesFemelles[],2,FALSE),0))))))))</f>
        <v>0</v>
      </c>
      <c r="DJ156" s="1267">
        <f t="array" ref="DJ156">SUM((IF(QualitéAlimentsPintadeauMâle_0_1_mois=MAUVAISE,VLOOKUP("Epinard",AlimentsRationPintadesMâles[],4,FALSE),0)+(IF(QualitéAlimentsPintadeauFemelle_0_1_mois=MAUVAISE,VLOOKUP("Epinard",AlimentsRationPintadesFemelles[],4,FALSE),0)+(IF(QualitéAlimentsJeunePintadeMâle=MAUVAISE,VLOOKUP("Epinard",AlimentsRationPintadesMâles[],3,FALSE),0)+(IF(QualitéAlimentsJeunePintadeFemelle=MAUVAISE,VLOOKUP("Epinard",AlimentsRationPintadesFemelles[],3,FALSE),0)+(IF(QualitéAlimentsPintadeMâle=MAUVAISE,VLOOKUP("Epinard",AlimentsRationPintadesMâles[],2,FALSE),0)+(IF(QualitéAlimentsPintadeFemelle=MAUVAISE,VLOOKUP("Epinard",AlimentsRationPintadesFemelles[],2,FALSE),0))))))))</f>
        <v>0</v>
      </c>
      <c r="DK156" s="1321"/>
      <c r="DL156" s="1321"/>
      <c r="DM156" s="1321"/>
      <c r="DN156" s="1076" t="s">
        <v>714</v>
      </c>
      <c r="DO156" s="1267">
        <f t="array" ref="DO156">IF(ChoixRationComplèteOvins=OUI,0,IFERROR(IF(OR(AND(INDEX(Règles_ovins[Specificite],MATCH(ChoixRationOvins&amp;$DN156,Règles_ovins[Ration]&amp;Règles_ovins[Aliment],0))="s1",IF($DN156=Spécificité1Ovins,1)),
AND(INDEX(Règles_ovins[Specificite],MATCH(ChoixRationOvins&amp;$DN156,Règles_ovins[Ration]&amp;Règles_ovins[Aliment],0))="s2",IF($DN156=Spécificité2Ovins,1)),
INDEX(Règles_ovins[Specificite],MATCH(ChoixRationOvins&amp;$DN156,Règles_ovins[Ration]&amp;Règles_ovins[Aliment],0))="c"),
INDEX(Règles_ovins[Valeur 12 et plus],MATCH(ChoixRationOvins&amp;$DN156,Règles_ovins[Ration]&amp;Règles_ovins[Aliment],0)),0),0)*IF(ChoixOvinsPréHiver=OUI,SUM(TotalOvinsAdultesRacesLaitières)*NbreJoursNourrirOvins,TotalBéliers*SUM(NbreJoursNourrirOvins)))</f>
        <v>0</v>
      </c>
      <c r="DP156" s="1267">
        <f t="array" ref="DP156">IF(ChoixRationComplèteOvins=OUI,0,IFERROR(IF(OR(AND(INDEX(Règles_ovins[Specificite],MATCH(ChoixRationOvins&amp;$DN156,Règles_ovins[Ration]&amp;Règles_ovins[Aliment],0))="s1",IF($DN156=Spécificité1Ovins,1)),
AND(INDEX(Règles_ovins[Specificite],MATCH(ChoixRationOvins&amp;$DN156,Règles_ovins[Ration]&amp;Règles_ovins[Aliment],0))="s2",IF($DN156=Spécificité2Ovins,1)),
INDEX(Règles_ovins[Specificite],MATCH(ChoixRationOvins&amp;$DN156,Règles_ovins[Ration]&amp;Règles_ovins[Aliment],0))="c"),
INDEX(Règles_ovins[Valeur 6-12],MATCH(ChoixRationOvins&amp;$DN156,Règles_ovins[Ration]&amp;Règles_ovins[Aliment],0)),0),0)*IF(ChoixOvinsPréHiver=OUI,SUM(TotalJeunesOvinsRacesLaitières)*NbreJoursNourrirOvins,TotalJeune_bélier_6_12_mois*SUM(NbreJoursNourrirOvins)))</f>
        <v>0</v>
      </c>
      <c r="DQ156" s="1267">
        <f t="array" ref="DQ156">IF(ChoixRationComplèteOvins=OUI,0,IFERROR(IF(OR(AND(INDEX(Règles_ovins[Specificite],MATCH(ChoixRationOvins&amp;$DN156,Règles_ovins[Ration]&amp;Règles_ovins[Aliment],0))="s1",IF($DN156=Spécificité1Ovins,1)),
AND(INDEX(Règles_ovins[Specificite],MATCH(ChoixRationOvins&amp;$DN156,Règles_ovins[Ration]&amp;Règles_ovins[Aliment],0))="s2",IF($DN156=Spécificité2Ovins,1)),
INDEX(Règles_ovins[Specificite],MATCH(ChoixRationOvins&amp;$DN156,Règles_ovins[Ration]&amp;Règles_ovins[Aliment],0))="c"),
INDEX(Règles_ovins[Valeur 3-6],MATCH(ChoixRationOvins&amp;$DN156,Règles_ovins[Ration]&amp;Règles_ovins[Aliment],0)),0),0)*IF(ChoixOvinsPréHiver=OUI,SUM(TotalOvins_3_6moisRacesLaitières)*NbreJoursNourrirOvins,TotalAgneau_3_6_mois*SUM(NbreJoursNourrirOvins)))</f>
        <v>0</v>
      </c>
      <c r="DR156" s="1267">
        <f t="array" ref="DR156">IF(ChoixRationComplèteOvins=OUI,0,IFERROR(IF(OR(AND(INDEX(Règles_ovins[Specificite],MATCH(ChoixRationOvins&amp;$DN156,Règles_ovins[Ration]&amp;Règles_ovins[Aliment],0))="s1",IF($DN156=Spécificité1Ovins,1)),
AND(INDEX(Règles_ovins[Specificite],MATCH(ChoixRationOvins&amp;$DN156,Règles_ovins[Ration]&amp;Règles_ovins[Aliment],0))="s2",IF($DN156=Spécificité2Ovins,1)),
INDEX(Règles_ovins[Specificite],MATCH(ChoixRationOvins&amp;$DN156,Règles_ovins[Ration]&amp;Règles_ovins[Aliment],0))="c"),
INDEX(Règles_ovins[Valeur 0-3],MATCH(ChoixRationOvins&amp;$DN156,Règles_ovins[Ration]&amp;Règles_ovins[Aliment],0)),0),0)*IF(ChoixOvinsPréHiver=OUI,SUM(TotalOvins_3_6moisRacesLaitières)*NbreJoursNourrirOvins,TotalAgneau_0_3_mois*SUM(NbreJoursNourrirOvins)))</f>
        <v>0</v>
      </c>
      <c r="DS156" s="1279">
        <f t="shared" si="61"/>
        <v>0</v>
      </c>
      <c r="DT156" s="1346"/>
      <c r="DU156" s="1346"/>
      <c r="DV156" s="1321"/>
      <c r="DW156" s="1321"/>
      <c r="DX156" s="1321"/>
      <c r="DY156" s="1321"/>
      <c r="DZ156" s="1321"/>
      <c r="EA156" s="1321"/>
      <c r="EB156" s="1321"/>
      <c r="EC156" s="1321"/>
      <c r="ED156" s="1345"/>
      <c r="EE156" s="1345"/>
      <c r="EF156" s="1321"/>
      <c r="EG156" s="1076" t="str">
        <f t="shared" si="63"/>
        <v>Colza</v>
      </c>
      <c r="EH156" s="1267">
        <f t="array" ref="EH156">SUM((IF(QualitéAlimentsOisonMâle_0_3_mois=BONNE,VLOOKUP("Colza",AlimentsRationOiesMâles[],4,FALSE),0)+(IF(QualitéAlimentsOisonFemelle_0_3_mois=BONNE,VLOOKUP("Colza",AlimentsRationOiesFemelles[],4,FALSE),0)+(IF(QualitéAlimentsJeuneJars=BONNE,VLOOKUP("Colza",AlimentsRationOiesMâles[],3,FALSE),0)+(IF(QualitéAlimentsJeuneOie=BONNE,VLOOKUP("Colza",AlimentsRationOiesFemelles[],3,FALSE),0)+(IF(QualitéAlimentsJars=BONNE,VLOOKUP("Colza",AlimentsRationOiesMâles[],2,FALSE),0)+(IF(QualitéAlimentsOie=BONNE,VLOOKUP("Colza",AlimentsRationOiesFemelles[],2,FALSE),0))))))))</f>
        <v>0</v>
      </c>
      <c r="EI156" s="1267">
        <f t="array" ref="EI156">SUM((IF(QualitéAlimentsOisonMâle_0_3_mois=MOYENNE,VLOOKUP("Colza",AlimentsRationOiesMâles[],4,FALSE),0)+(IF(QualitéAlimentsOisonFemelle_0_3_mois=MOYENNE,VLOOKUP("Colza",AlimentsRationOiesFemelles[],4,FALSE),0)+(IF(QualitéAlimentsJeuneJars=MOYENNE,VLOOKUP("Colza",AlimentsRationOiesMâles[],3,FALSE),0)+(IF(QualitéAlimentsJeuneOie=MOYENNE,VLOOKUP("Colza",AlimentsRationOiesFemelles[],3,FALSE),0)+(IF(QualitéAlimentsJars=MOYENNE,VLOOKUP("Colza",AlimentsRationOiesMâles[],2,FALSE),0)+(IF(QualitéAlimentsOie=MOYENNE,VLOOKUP("Colza",AlimentsRationOiesFemelles[],2,FALSE),0))))))))</f>
        <v>0</v>
      </c>
      <c r="EJ156" s="1267">
        <f t="array" ref="EJ156">SUM((IF(QualitéAlimentsOisonMâle_0_3_mois=MAUVAISE,VLOOKUP("Colza",AlimentsRationOiesMâles[],4,FALSE),0)+(IF(QualitéAlimentsOisonFemelle_0_3_mois=MAUVAISE,VLOOKUP("Colza",AlimentsRationOiesFemelles[],4,FALSE),0)+(IF(QualitéAlimentsJeuneJars=MAUVAISE,VLOOKUP("Colza",AlimentsRationOiesMâles[],3,FALSE),0)+(IF(QualitéAlimentsJeuneOie=MAUVAISE,VLOOKUP("Colza",AlimentsRationOiesFemelles[],3,FALSE),0)+(IF(QualitéAlimentsJars=MAUVAISE,VLOOKUP("Colza",AlimentsRationOiesMâles[],2,FALSE),0)+(IF(QualitéAlimentsOie=MAUVAISE,VLOOKUP("Colza",AlimentsRationOiesFemelles[],2,FALSE),0))))))))</f>
        <v>0</v>
      </c>
      <c r="EK156" s="1345"/>
      <c r="EL156" s="1345"/>
      <c r="EM156" s="1321"/>
      <c r="EN156" s="1083" t="str">
        <f t="shared" si="62"/>
        <v>concentré jeunes bovins</v>
      </c>
      <c r="EO156" s="1283">
        <f t="array" ref="EO156">SUM((IF(QualitéAlimentsCanetonMâle=BONNE,VLOOKUP("Concentré jeunes bovins",AlimentsRationCanardsMâles,4,FALSE),0)+(IF(QualitéAlimentsCanetonFemelle=BONNE,VLOOKUP("Concentré jeunes bovins",AlimentsRationCanardsFemelles,4,FALSE),0)+(IF(QualitéAlimentsJeuneCanard=BONNE,VLOOKUP("Concentré jeunes bovins",AlimentsRationCanardsMâles,3,FALSE),0)+(IF(QualitéAlimentsJeuneCane=BONNE,VLOOKUP("Concentré jeunes bovins",AlimentsRationCanardsFemelles,3,FALSE),0)+(IF(QualitéAlimentsCanard=BONNE,VLOOKUP("Concentré jeunes bovins",AlimentsRationCanardsMâles,2,FALSE),0)+(IF(QualitéAlimentsCane=BONNE,VLOOKUP("Concentré jeunes bovins",AlimentsRationCanardsFemelles,2,FALSE),0))))))))</f>
        <v>0</v>
      </c>
      <c r="EP156" s="1283">
        <f t="array" ref="EP156">SUM((IF(QualitéAlimentsCanetonMâle=MOYENNE,VLOOKUP("Concentré jeunes bovins",AlimentsRationCanardsMâles,4,FALSE),0)+(IF(QualitéAlimentsCanetonFemelle=MOYENNE,VLOOKUP("Concentré jeunes bovins",AlimentsRationCanardsFemelles,4,FALSE),0)+(IF(QualitéAlimentsJeuneCanard=MOYENNE,VLOOKUP("Concentré jeunes bovins",AlimentsRationCanardsMâles,3,FALSE),0)+(IF(QualitéAlimentsJeuneCane=MOYENNE,VLOOKUP("Concentré jeunes bovins",AlimentsRationCanardsFemelles,3,FALSE),0)+(IF(QualitéAlimentsCanard=MOYENNE,VLOOKUP("Concentré jeunes bovins",AlimentsRationCanardsMâles,2,FALSE),0)+(IF(QualitéAlimentsCane=MOYENNE,VLOOKUP("Concentré jeunes bovins",AlimentsRationCanardsFemelles,2,FALSE),0))))))))</f>
        <v>0</v>
      </c>
      <c r="EQ156" s="1283">
        <f t="array" ref="EQ156">SUM((IF(QualitéAlimentsCanetonMâle=MAUVAISE,VLOOKUP("Concentré jeunes bovins",AlimentsRationCanardsMâles,4,FALSE),0)+(IF(QualitéAlimentsCanetonFemelle=MAUVAISE,VLOOKUP("Concentré jeunes bovins",AlimentsRationCanardsFemelles,4,FALSE),0)+(IF(QualitéAlimentsJeuneCanard=MAUVAISE,VLOOKUP("Concentré jeunes bovins",AlimentsRationCanardsMâles,3,FALSE),0)+(IF(QualitéAlimentsJeuneCane=MAUVAISE,VLOOKUP("Concentré jeunes bovins",AlimentsRationCanardsFemelles,3,FALSE),0)+(IF(QualitéAlimentsCanard=MAUVAISE,VLOOKUP("Concentré jeunes bovins",AlimentsRationCanardsMâles,2,FALSE),0)+(IF(QualitéAlimentsCane=MAUVAISE,VLOOKUP("Concentré jeunes bovins",AlimentsRationCanardsFemelles,2,FALSE),0))))))))</f>
        <v>0</v>
      </c>
      <c r="ER156" s="1345"/>
      <c r="ES156" s="1345"/>
      <c r="ET156" s="1321"/>
      <c r="EU156" s="1082" t="str">
        <f t="shared" si="60"/>
        <v>concentré jeunes lapins</v>
      </c>
      <c r="EV156" s="1282">
        <f t="array" ref="EV156">IF(OR(ChoixRationHivernaleComplèteChevauxSelle=OUI,ChoixRationHivernaleComplèteChevauxSelle="",ChoixChevauxSellePréHiver=NON),0,IFERROR(IF(OR(AND(INDEX(Règles_chevaux_selle[Specificite],MATCH(RationHivernaleAuPréChevauxSelle&amp;$EU156,Règles_chevaux_selle[Ration]&amp;Règles_chevaux_selle[Aliment],0))="s1",IF($EU156=Spécificité1ChevauxSelle,1)),
AND(INDEX(Règles_chevaux_selle[Specificite],MATCH(RationHivernaleAuPréChevauxSelle&amp;$EU156,Règles_chevaux_selle[Ration]&amp;Règles_chevaux_selle[Aliment],0))="s2",IF($EU156=Spécificité2ChevauxSelle,1)),
INDEX(Règles_chevaux_selle[Specificite],MATCH(RationHivernaleAuPréChevauxSelle&amp;$EU156,Règles_chevaux_selle[Ration]&amp;Règles_chevaux_selle[Aliment],0))="c"),
INDEX(Règles_chevaux_selle[Valeur 36 et plus],MATCH(RationHivernaleAuPréChevauxSelle&amp;$EU156,Règles_chevaux_selle[Ration]&amp;Règles_chevaux_selle[Aliment],0)),0),0)*SUM(TotalChevauxSelleAdultes)*21)</f>
        <v>0</v>
      </c>
      <c r="EW156" s="1282">
        <f t="array" ref="EW156">IF(OR(ChoixRationHivernaleComplèteChevauxSelle=OUI,ChoixRationHivernaleComplèteChevauxSelle="",ChoixChevauxSellePréHiver=NON),0,IFERROR(IF(OR(AND(INDEX(Règles_chevaux_selle[Specificite],MATCH(RationHivernaleAuPréChevauxSelle&amp;$EU156,Règles_chevaux_selle[Ration]&amp;Règles_chevaux_selle[Aliment],0))="s1",IF($EU156=Spécificité1ChevauxSelle,1)),
AND(INDEX(Règles_chevaux_selle[Specificite],MATCH(RationHivernaleAuPréChevauxSelle&amp;$EU156,Règles_chevaux_selle[Ration]&amp;Règles_chevaux_selle[Aliment],0))="s2",IF($EU156=Spécificité2ChevauxSelle,1)),
INDEX(Règles_chevaux_selle[Specificite],MATCH(RationHivernaleAuPréChevauxSelle&amp;$EU156,Règles_chevaux_selle[Ration]&amp;Règles_chevaux_selle[Aliment],0))="c"),
INDEX(Règles_chevaux_selle[Valeur 24-36],MATCH(RationHivernaleAuPréChevauxSelle&amp;$EU156,Règles_chevaux_selle[Ration]&amp;Règles_chevaux_selle[Aliment],0)),0),0)*SUM(TotalChevauxSelle_24_36mois)*21)</f>
        <v>0</v>
      </c>
      <c r="EX156" s="1282">
        <f t="array" ref="EX156">IF(OR(ChoixRationHivernaleComplèteChevauxSelle=OUI,ChoixRationHivernaleComplèteChevauxSelle="",ChoixChevauxSellePréHiver=NON),0,IFERROR(IF(OR(AND(INDEX(Règles_chevaux_selle[Specificite],MATCH(RationHivernaleAuPréChevauxSelle&amp;$EU156,Règles_chevaux_selle[Ration]&amp;Règles_chevaux_selle[Aliment],0))="s1",IF($EU156=Spécificité1ChevauxSelle,1)),
AND(INDEX(Règles_chevaux_selle[Specificite],MATCH(RationHivernaleAuPréChevauxSelle&amp;$EU156,Règles_chevaux_selle[Ration]&amp;Règles_chevaux_selle[Aliment],0))="s2",IF($EU156=Spécificité2ChevauxSelle,1)),
INDEX(Règles_chevaux_selle[Specificite],MATCH(RationHivernaleAuPréChevauxSelle&amp;$EU156,Règles_chevaux_selle[Ration]&amp;Règles_chevaux_selle[Aliment],0))="c"),
INDEX(Règles_chevaux_selle[Valeur 12-24],MATCH(RationHivernaleAuPréChevauxSelle&amp;$EU156,Règles_chevaux_selle[Ration]&amp;Règles_chevaux_selle[Aliment],0)),0),0)*SUM(TotalChevauxSelle_12_24mois)*21)</f>
        <v>0</v>
      </c>
      <c r="EY156" s="1285">
        <f t="array" ref="EY156">IF(OR(ChoixRationHivernaleComplèteChevauxSelle=OUI,ChoixRationHivernaleComplèteChevauxSelle="",ChoixChevauxSellePréHiver=NON),0,IFERROR(IF(OR(AND(INDEX(Règles_chevaux_selle[Specificite],MATCH(RationHivernaleAuPréChevauxSelle&amp;$EU156,Règles_chevaux_selle[Ration]&amp;Règles_chevaux_selle[Aliment],0))="s1",IF($EU156=Spécificité1ChevauxSelle,1)),
AND(INDEX(Règles_chevaux_selle[Specificite],MATCH(RationHivernaleAuPréChevauxSelle&amp;$EU156,Règles_chevaux_selle[Ration]&amp;Règles_chevaux_selle[Aliment],0))="s2",IF($EU156=Spécificité2ChevauxSelle,1)),
INDEX(Règles_chevaux_selle[Specificite],MATCH(RationHivernaleAuPréChevauxSelle&amp;$EU156,Règles_chevaux_selle[Ration]&amp;Règles_chevaux_selle[Aliment],0))="c"),
INDEX(Règles_chevaux_selle[Valeur 0-12],MATCH(RationHivernaleAuPréChevauxSelle&amp;$EU156,Règles_chevaux_selle[Ration]&amp;Règles_chevaux_selle[Aliment],0)),0),0)*SUM(TotalPoulainsSelle)*21)</f>
        <v>0</v>
      </c>
      <c r="EZ156" s="1285">
        <f t="shared" si="59"/>
        <v>0</v>
      </c>
      <c r="FA156" s="1345"/>
      <c r="FB156" s="1345"/>
      <c r="FC156" s="1321"/>
      <c r="FD156" s="1082" t="str">
        <f t="shared" si="55"/>
        <v>Foin</v>
      </c>
      <c r="FE156" s="1282">
        <f t="array" ref="FE156">IF(OR(ChoixRationHivernaleComplèteChevauxTrait=OUI,ChoixRationHivernaleComplèteChevauxTrait="",ChoixChevauxTraitPréHiver=NON),0,IFERROR(IF(OR(AND(INDEX(Règles_chevaux_trait[Specificite],MATCH(RationHivernaleAuPréChevauxTrait&amp;$FD156,Règles_chevaux_trait[Ration]&amp;Règles_chevaux_trait[Aliment],0))="s1",IF($FD156=Spécificité1ChevauxTrait,1)),
AND(INDEX(Règles_chevaux_trait[Specificite],MATCH(RationHivernaleAuPréChevauxTrait&amp;$FD156,Règles_chevaux_trait[Ration]&amp;Règles_chevaux_trait[Aliment],0))="s2",IF($FD156=Spécificité2ChevauxTrait,1)),
INDEX(Règles_chevaux_trait[Specificite],MATCH(RationHivernaleAuPréChevauxTrait&amp;$FD156,Règles_chevaux_trait[Ration]&amp;Règles_chevaux_trait[Aliment],0))="c"),
INDEX(Règles_chevaux_trait[Valeur 36 et plus],MATCH(RationHivernaleAuPréChevauxTrait&amp;$FD156,Règles_chevaux_trait[Ration]&amp;Règles_chevaux_trait[Aliment],0)),0),0)*SUM(TotalChevauxTraitAdultes)*21)</f>
        <v>0</v>
      </c>
      <c r="FF156" s="1282">
        <f t="array" ref="FF156">IF(OR(ChoixRationHivernaleComplèteChevauxTrait=OUI,ChoixRationHivernaleComplèteChevauxTrait="",ChoixChevauxTraitPréHiver=NON),0,IFERROR(IF(OR(AND(INDEX(Règles_chevaux_trait[Specificite],MATCH(RationHivernaleAuPréChevauxTrait&amp;$FD156,Règles_chevaux_trait[Ration]&amp;Règles_chevaux_trait[Aliment],0))="s1",IF($FD156=Spécificité1ChevauxTrait,1)),
AND(INDEX(Règles_chevaux_trait[Specificite],MATCH(RationHivernaleAuPréChevauxTrait&amp;$FD156,Règles_chevaux_trait[Ration]&amp;Règles_chevaux_trait[Aliment],0))="s2",IF($FD156=Spécificité2ChevauxTrait,1)),
INDEX(Règles_chevaux_trait[Specificite],MATCH(RationHivernaleAuPréChevauxTrait&amp;$FD156,Règles_chevaux_trait[Ration]&amp;Règles_chevaux_trait[Aliment],0))="c"),
INDEX(Règles_chevaux_trait[Valeur 24-36],MATCH(RationHivernaleAuPréChevauxTrait&amp;$FD156,Règles_chevaux_trait[Ration]&amp;Règles_chevaux_trait[Aliment],0)),0),0)*SUM(TotalChevauxTrait_24_36mois)*21)</f>
        <v>0</v>
      </c>
      <c r="FG156" s="1282">
        <f t="array" ref="FG156">IF(OR(ChoixRationHivernaleComplèteChevauxTrait=OUI,ChoixRationHivernaleComplèteChevauxTrait="",ChoixChevauxTraitPréHiver=NON),0,IFERROR(IF(OR(AND(INDEX(Règles_chevaux_trait[Specificite],MATCH(RationHivernaleAuPréChevauxTrait&amp;$FD156,Règles_chevaux_trait[Ration]&amp;Règles_chevaux_trait[Aliment],0))="s1",IF($FD156=Spécificité1ChevauxTrait,1)),
AND(INDEX(Règles_chevaux_trait[Specificite],MATCH(RationHivernaleAuPréChevauxTrait&amp;$FD156,Règles_chevaux_trait[Ration]&amp;Règles_chevaux_trait[Aliment],0))="s2",IF($FD156=Spécificité2ChevauxTrait,1)),
INDEX(Règles_chevaux_trait[Specificite],MATCH(RationHivernaleAuPréChevauxTrait&amp;$FD156,Règles_chevaux_trait[Ration]&amp;Règles_chevaux_trait[Aliment],0))="c"),
INDEX(Règles_chevaux_trait[Valeur 12-24],MATCH(RationHivernaleAuPréChevauxTrait&amp;$FD156,Règles_chevaux_trait[Ration]&amp;Règles_chevaux_trait[Aliment],0)),0),0)*SUM(TotalChevauxTrait_12_24mois)*21)</f>
        <v>0</v>
      </c>
      <c r="FH156" s="1285">
        <f t="array" ref="FH156">IF(OR(ChoixRationHivernaleComplèteChevauxTrait=OUI,ChoixRationHivernaleComplèteChevauxTrait="",ChoixChevauxTraitPréHiver=NON),0,IFERROR(IF(OR(AND(INDEX(Règles_chevaux_trait[Specificite],MATCH(RationHivernaleAuPréChevauxTrait&amp;$FD156,Règles_chevaux_trait[Ration]&amp;Règles_chevaux_trait[Aliment],0))="s1",IF($FD156=Spécificité1ChevauxTrait,1)),
AND(INDEX(Règles_chevaux_trait[Specificite],MATCH(RationHivernaleAuPréChevauxTrait&amp;$FD156,Règles_chevaux_trait[Ration]&amp;Règles_chevaux_trait[Aliment],0))="s2",IF($FD156=Spécificité2ChevauxTrait,1)),
INDEX(Règles_chevaux_trait[Specificite],MATCH(RationHivernaleAuPréChevauxTrait&amp;$FD156,Règles_chevaux_trait[Ration]&amp;Règles_chevaux_trait[Aliment],0))="c"),
INDEX(Règles_chevaux_trait[Valeur 0-12],MATCH(RationHivernaleAuPréChevauxTrait&amp;$FD156,Règles_chevaux_trait[Ration]&amp;Règles_chevaux_trait[Aliment],0)),0),0)*SUM(TotalPoulainsTrait)*21)</f>
        <v>0</v>
      </c>
      <c r="FI156" s="1285">
        <f t="shared" si="53"/>
        <v>0</v>
      </c>
      <c r="FJ156" s="1345"/>
      <c r="FK156" s="1345"/>
      <c r="FL156" s="1345"/>
      <c r="FM156" s="1321"/>
      <c r="FN156" s="1083" t="str">
        <f t="shared" si="54"/>
        <v>Haricot vert</v>
      </c>
      <c r="FO156" s="1283">
        <f t="array" ref="FO156">IF(OR(ChoixRationHivernaleComplètePoneys=OUI,ChoixRationHivernaleComplètePoneys="",ChoixPoneysPréHiver=NON),0,IFERROR(IF(OR(AND(INDEX(Règles_poneys[Specificite],MATCH(RationHivernaleAuPréPoneys&amp;$FN156,Règles_poneys[Ration]&amp;Règles_poneys[Aliment],0))="s1",IF($FN156=Spécificité1Poneys,1)),
AND(INDEX(Règles_poneys[Specificite],MATCH(RationHivernaleAuPréPoneys&amp;$FN156,Règles_poneys[Ration]&amp;Règles_poneys[Aliment],0))="s2",IF($FN156=Spécificité2Poneys,1)),
INDEX(Règles_poneys[Specificite],MATCH(RationHivernaleAuPréPoneys&amp;$FN156,Règles_poneys[Ration]&amp;Règles_poneys[Aliment],0))="c"),
INDEX(Règles_poneys[Valeur 36 et plus],MATCH(RationHivernaleAuPréPoneys&amp;$FN156,Règles_poneys[Ration]&amp;Règles_poneys[Aliment],0)),0),0)*SUM(TotalPoneysAdultes)*21)</f>
        <v>0</v>
      </c>
      <c r="FP156" s="1283">
        <f t="array" ref="FP156">IF(OR(ChoixRationHivernaleComplètePoneys=OUI,ChoixRationHivernaleComplètePoneys="",ChoixPoneysPréHiver=NON),0,IFERROR(IF(OR(AND(INDEX(Règles_poneys[Specificite],MATCH(RationHivernaleAuPréPoneys&amp;$FN156,Règles_poneys[Ration]&amp;Règles_poneys[Aliment],0))="s1",IF($FN156=Spécificité1Poneys,1)),
AND(INDEX(Règles_poneys[Specificite],MATCH(RationHivernaleAuPréPoneys&amp;$FN156,Règles_poneys[Ration]&amp;Règles_poneys[Aliment],0))="s2",IF($FN156=Spécificité2Poneys,1)),
INDEX(Règles_poneys[Specificite],MATCH(RationHivernaleAuPréPoneys&amp;$FN156,Règles_poneys[Ration]&amp;Règles_poneys[Aliment],0))="c"),
INDEX(Règles_poneys[Valeur 24-36],MATCH(RationHivernaleAuPréPoneys&amp;$FN156,Règles_poneys[Ration]&amp;Règles_poneys[Aliment],0)),0),0)*SUM(TotalPoneys_24_36mois)*21)</f>
        <v>0</v>
      </c>
      <c r="FQ156" s="1283">
        <f t="array" ref="FQ156">IF(OR(ChoixRationHivernaleComplètePoneys=OUI,ChoixRationHivernaleComplètePoneys="",ChoixPoneysPréHiver=NON),0,IFERROR(IF(OR(AND(INDEX(Règles_poneys[Specificite],MATCH(RationHivernaleAuPréPoneys&amp;$FN156,Règles_poneys[Ration]&amp;Règles_poneys[Aliment],0))="s1",IF($FN156=Spécificité1Poneys,1)),
AND(INDEX(Règles_poneys[Specificite],MATCH(RationHivernaleAuPréPoneys&amp;$FN156,Règles_poneys[Ration]&amp;Règles_poneys[Aliment],0))="s2",IF($FN156=Spécificité2Poneys,1)),
INDEX(Règles_poneys[Specificite],MATCH(RationHivernaleAuPréPoneys&amp;$FN156,Règles_poneys[Ration]&amp;Règles_poneys[Aliment],0))="c"),
INDEX(Règles_poneys[Valeur 12-24],MATCH(RationHivernaleAuPréPoneys&amp;$FN156,Règles_poneys[Ration]&amp;Règles_poneys[Aliment],0)),0),0)*SUM(TotalPoneys_12_24mois)*21)</f>
        <v>0</v>
      </c>
      <c r="FR156" s="1286">
        <f t="array" ref="FR156">IF(OR(ChoixRationHivernaleComplètePoneys=OUI,ChoixRationHivernaleComplètePoneys="",ChoixPoneysPréHiver=NON),0,IFERROR(IF(OR(AND(INDEX(Règles_poneys[Specificite],MATCH(RationHivernaleAuPréPoneys&amp;$FN156,Règles_poneys[Ration]&amp;Règles_poneys[Aliment],0))="s1",IF($FN156=Spécificité1Poneys,1)),
AND(INDEX(Règles_poneys[Specificite],MATCH(RationHivernaleAuPréPoneys&amp;$FN156,Règles_poneys[Ration]&amp;Règles_poneys[Aliment],0))="s2",IF($FN156=Spécificité2Poneys,1)),
INDEX(Règles_poneys[Specificite],MATCH(RationHivernaleAuPréPoneys&amp;$FN156,Règles_poneys[Ration]&amp;Règles_poneys[Aliment],0))="c"),
INDEX(Règles_poneys[Valeur 0-12],MATCH(RationHivernaleAuPréPoneys&amp;$FN156,Règles_poneys[Ration]&amp;Règles_poneys[Aliment],0)),0),0)*SUM(TotalPoulainsPoneys)*21)</f>
        <v>0</v>
      </c>
      <c r="FS156" s="1286">
        <f t="shared" si="52"/>
        <v>0</v>
      </c>
      <c r="FT156" s="1345"/>
      <c r="FU156" s="1345"/>
      <c r="FV156" s="1345"/>
      <c r="FW156" s="1082" t="str">
        <f t="shared" si="49"/>
        <v>Orge</v>
      </c>
      <c r="FX156" s="1282">
        <f t="array" ref="FX156">SUM((IF(QualitéAlimentsGavageOison_0_1_mois=BONNE,VLOOKUP("Orge",AlimentsGavageOies[],5,FALSE),0)+(IF(QualitéAlimentsGavageCaneton_0_1_mois=BONNE,VLOOKUP("Orge",AlimentsGavageCanards[],5,FALSE),0)+(IF(QualitéAlimentsGavageOison_1_2_mois=BONNE,VLOOKUP("Orge",AlimentsGavageOies[],4,FALSE),0)+(IF(QualitéAlimentsGavageCaneton_1_2_mois=BONNE,VLOOKUP("Orge",AlimentsGavageCanards[],4,FALSE),0)+(IF(QualitéAlimentsGavageOison_2_3_mois=BONNE,VLOOKUP("Orge",AlimentsGavageOies[],3,FALSE),0)+(IF(QualitéAlimentsGavageCaneton_2_3_mois=BONNE,VLOOKUP("Orge",AlimentsGavageCanards[],3,FALSE),0)+(IF(QualitéAlimentsGavageJeunesOies=BONNE,VLOOKUP("Orge",AlimentsGavageOies[],2,FALSE),0)+(IF(QualitéAlimentsGavageJeuneCanard=BONNE,VLOOKUP("Orge",AlimentsGavageCanards[],2,FALSE),0))))))))))</f>
        <v>0</v>
      </c>
      <c r="FY156" s="1282">
        <f t="array" ref="FY156">SUM((IF(QualitéAlimentsGavageOison_0_1_mois=MOYENNE,VLOOKUP("Orge",AlimentsGavageOies[],5,FALSE),0)+(IF(QualitéAlimentsGavageCaneton_0_1_mois=MOYENNE,VLOOKUP("Orge",AlimentsGavageCanards[],5,FALSE),0)+(IF(QualitéAlimentsGavageOison_1_2_mois=MOYENNE,VLOOKUP("Orge",AlimentsGavageOies[],4,FALSE),0)+(IF(QualitéAlimentsGavageCaneton_1_2_mois=MOYENNE,VLOOKUP("Orge",AlimentsGavageCanards[],4,FALSE),0)+(IF(QualitéAlimentsGavageOison_2_3_mois=MOYENNE,VLOOKUP("Orge",AlimentsGavageOies[],3,FALSE),0)+(IF(QualitéAlimentsGavageCaneton_2_3_mois=MOYENNE,VLOOKUP("Orge",AlimentsGavageCanards[],3,FALSE),0)+(IF(QualitéAlimentsGavageJeunesOies=MOYENNE,VLOOKUP("Orge",AlimentsGavageOies[],2,FALSE),0)+(IF(QualitéAlimentsGavageJeuneCanard=MOYENNE,VLOOKUP("Orge",AlimentsGavageCanards[],2,FALSE),0))))))))))</f>
        <v>0</v>
      </c>
      <c r="FZ156" s="1282">
        <f t="array" ref="FZ156">SUM((IF(QualitéAlimentsGavageOison_0_1_mois=MAUVAISE,VLOOKUP("Orge",AlimentsGavageOies[],5,FALSE),0)+(IF(QualitéAlimentsGavageCaneton_0_1_mois=MAUVAISE,VLOOKUP("Orge",AlimentsGavageCanards[],5,FALSE),0)+(IF(QualitéAlimentsGavageOison_1_2_mois=MAUVAISE,VLOOKUP("Orge",AlimentsGavageOies[],4,FALSE),0)+(IF(QualitéAlimentsGavageCaneton_1_2_mois=MAUVAISE,VLOOKUP("Orge",AlimentsGavageCanards[],4,FALSE),0)+(IF(QualitéAlimentsGavageOison_2_3_mois=MAUVAISE,VLOOKUP("Orge",AlimentsGavageOies[],3,FALSE),0)+(IF(QualitéAlimentsGavageCaneton_2_3_mois=MAUVAISE,VLOOKUP("Orge",AlimentsGavageCanards[],3,FALSE),0)+(IF(QualitéAlimentsGavageJeunesOies=MAUVAISE,VLOOKUP("Orge",AlimentsGavageOies[],2,FALSE),0)+(IF(QualitéAlimentsGavageJeuneCanard=MAUVAISE,VLOOKUP("Orge",AlimentsGavageCanards[],2,FALSE),0))))))))))</f>
        <v>0</v>
      </c>
      <c r="GA156" s="1345"/>
      <c r="GB156" s="1345"/>
      <c r="GC156" s="1321"/>
      <c r="GD156" s="1321"/>
      <c r="GE156" s="1321"/>
      <c r="GF156" s="1321"/>
      <c r="GG156" s="1321" t="s">
        <v>1349</v>
      </c>
      <c r="GH156" s="1321" t="s">
        <v>1349</v>
      </c>
      <c r="GI156" s="1321" t="s">
        <v>1349</v>
      </c>
      <c r="GJ156" s="1321" t="s">
        <v>1349</v>
      </c>
      <c r="GK156" s="1321" t="s">
        <v>1349</v>
      </c>
      <c r="GL156" s="1321" t="s">
        <v>1349</v>
      </c>
      <c r="GM156" s="1321" t="s">
        <v>1349</v>
      </c>
      <c r="GN156" s="1321" t="s">
        <v>1349</v>
      </c>
      <c r="GO156" s="1321" t="s">
        <v>1349</v>
      </c>
      <c r="GP156" s="1321" t="s">
        <v>1349</v>
      </c>
      <c r="GQ156" s="1321" t="s">
        <v>1349</v>
      </c>
      <c r="GR156" s="1321" t="s">
        <v>1349</v>
      </c>
      <c r="GS156" s="1321" t="s">
        <v>1349</v>
      </c>
      <c r="GT156" s="1321" t="s">
        <v>1349</v>
      </c>
      <c r="GU156" s="1321" t="s">
        <v>1349</v>
      </c>
      <c r="GV156" s="1321" t="s">
        <v>1349</v>
      </c>
      <c r="GW156" s="1321"/>
      <c r="GX156" s="1321"/>
      <c r="GY156" s="1321"/>
      <c r="GZ156" s="1321"/>
      <c r="HA156" s="1321"/>
      <c r="HB156" s="1321"/>
      <c r="HC156" s="1321"/>
      <c r="HD156" s="1321"/>
      <c r="HE156" s="1321"/>
      <c r="HF156" s="1321"/>
      <c r="HG156" s="1321"/>
      <c r="HH156" s="1321"/>
      <c r="HI156" s="1321"/>
      <c r="HJ156" s="1321"/>
      <c r="HK156" s="1321"/>
      <c r="HL156" s="1321"/>
      <c r="HM156" s="1321"/>
      <c r="HN156" s="1321"/>
      <c r="HO156" s="1321"/>
      <c r="HP156" s="1321"/>
      <c r="HQ156" s="1321"/>
      <c r="HR156" s="1321"/>
      <c r="HS156" s="1321"/>
      <c r="HT156" s="1321"/>
      <c r="HU156" s="1321"/>
      <c r="HV156" s="1321"/>
      <c r="HW156" s="1321"/>
      <c r="HX156" s="1321"/>
      <c r="HY156" s="1321"/>
      <c r="HZ156" s="1321"/>
      <c r="IA156" s="1321"/>
      <c r="IB156" s="1321"/>
      <c r="IC156" s="1321"/>
      <c r="ID156" s="1321"/>
      <c r="IE156" s="1321"/>
      <c r="IF156" s="1321"/>
      <c r="IG156" s="1321"/>
      <c r="IH156" s="1321"/>
      <c r="II156" s="1321"/>
      <c r="IJ156" s="1321"/>
      <c r="IK156" s="1321"/>
      <c r="IL156" s="1321"/>
      <c r="IM156" s="1321"/>
      <c r="IN156" s="1368"/>
    </row>
    <row r="157" spans="1:248" ht="12.75" customHeight="1" x14ac:dyDescent="0.2">
      <c r="A157" s="1307" t="s">
        <v>201</v>
      </c>
      <c r="B157" s="1209">
        <v>1</v>
      </c>
      <c r="C157" s="1321"/>
      <c r="D157" s="1321"/>
      <c r="E157" s="1321"/>
      <c r="F157" s="1149" t="s">
        <v>1769</v>
      </c>
      <c r="G157" s="1149">
        <v>25</v>
      </c>
      <c r="H157" s="1321"/>
      <c r="I157" s="1075" t="str">
        <f t="shared" si="64"/>
        <v>50-59,99</v>
      </c>
      <c r="J157" s="1080">
        <f>IF(gains!F$4=BDD!O$127,10,IF(gains!F$4=BDD!P$127,20,IF(gains!F$4=BDD!Q$127,30,0)))</f>
        <v>10</v>
      </c>
      <c r="K157" s="1080">
        <f>IF(gains!$G$9=K$127,1,0)</f>
        <v>0</v>
      </c>
      <c r="L157" s="1080">
        <f>IF(gains!$G$9=L$127,2,0)</f>
        <v>0</v>
      </c>
      <c r="M157" s="1080">
        <f>IF(gains!$G$9=M$127,3,0)</f>
        <v>0</v>
      </c>
      <c r="N157" s="1080">
        <f>IF(gains!$G$9=N$127,4,0)</f>
        <v>0</v>
      </c>
      <c r="O157" s="1080">
        <f>IF(AND(J157=10,SUM(K157:N157)=1),gains!$F$40,IF(AND(J157=10,SUM(K157:N157)=2),gains!$F$40*2,IF(AND(J157=10,SUM(K157:N157)=3),gains!$F$40*3,IF(AND(J157=10,SUM(K157:N157)=4),gains!$F$40*4,0))))</f>
        <v>0</v>
      </c>
      <c r="P157" s="1080">
        <f>IF(AND(J157=20,SUM(K157:N157)=1),gains!$F$40*7,IF(AND(J157=20,SUM(K157:N157)=2),gains!$F$40*7*2,IF(AND(J157=20,SUM(K157:N157)=3),gains!$F$40*7*3,IF(AND(J157=20,SUM(K157:N157)=4),gains!$F$40*7*4,0))))</f>
        <v>0</v>
      </c>
      <c r="Q157" s="1080">
        <f>IF(AND(J157=30,SUM(K157:N157)=1),gains!$F$40*7*12,IF(AND(J157=30,SUM(K157:N157)=2),gains!$F$40*7*12*2,IF(AND(J157=30,SUM(K157:N157)=3),gains!$F$40*7*12*3,IF(AND(J157=30,SUM(K157:N157)=4),gains!$F$40*7*12*4,0))))</f>
        <v>0</v>
      </c>
      <c r="R157" s="1321"/>
      <c r="S157" s="1321"/>
      <c r="T157" s="1321"/>
      <c r="U157" s="1321"/>
      <c r="V157" s="1321"/>
      <c r="W157" s="1321"/>
      <c r="X157" s="1321"/>
      <c r="Y157" s="1321"/>
      <c r="Z157" s="1321"/>
      <c r="AA157" s="1321"/>
      <c r="AB157" s="1321"/>
      <c r="AC157" s="1321"/>
      <c r="AD157" s="1321"/>
      <c r="AE157" s="1321"/>
      <c r="AF157" s="1321"/>
      <c r="AG157" s="1321"/>
      <c r="AH157" s="1321"/>
      <c r="AI157" s="1321"/>
      <c r="AJ157" s="1321"/>
      <c r="AK157" s="1321"/>
      <c r="AL157" s="1321"/>
      <c r="AM157" s="1321"/>
      <c r="AN157" s="1321"/>
      <c r="AO157" s="1321"/>
      <c r="AP157" s="1321"/>
      <c r="AQ157" s="1321"/>
      <c r="AR157" s="1321"/>
      <c r="AS157" s="1321"/>
      <c r="AT157" s="1321"/>
      <c r="AU157" s="1321"/>
      <c r="AV157" s="1321"/>
      <c r="AW157" s="1321"/>
      <c r="AX157" s="1321"/>
      <c r="AY157" s="1321"/>
      <c r="AZ157" s="1321"/>
      <c r="BA157" s="1321"/>
      <c r="BB157" s="1236" t="s">
        <v>731</v>
      </c>
      <c r="BC157" s="1190" t="s">
        <v>1271</v>
      </c>
      <c r="BD157" s="1190" t="s">
        <v>1252</v>
      </c>
      <c r="BE157" s="1237">
        <v>1</v>
      </c>
      <c r="BF157" s="1237">
        <v>0.8</v>
      </c>
      <c r="BG157" s="1237">
        <v>0.6</v>
      </c>
      <c r="BH157" s="1237">
        <v>0.4</v>
      </c>
      <c r="BI157" s="1237">
        <v>0.4</v>
      </c>
      <c r="BJ157" s="1237">
        <v>0.4</v>
      </c>
      <c r="BK157" s="1238">
        <v>0</v>
      </c>
      <c r="BL157" s="1348"/>
      <c r="BM157" s="1346"/>
      <c r="BN157" s="1321"/>
      <c r="BO157" s="1321"/>
      <c r="BP157" s="1321"/>
      <c r="BQ157" s="1321"/>
      <c r="BR157" s="1321"/>
      <c r="BS157" s="1321"/>
      <c r="BT157" s="1321"/>
      <c r="BU157" s="1321"/>
      <c r="BV157" s="1345"/>
      <c r="BW157" s="1345"/>
      <c r="BX157" s="1075" t="str">
        <f t="shared" si="57"/>
        <v>Féverole</v>
      </c>
      <c r="BY157" s="1075">
        <f t="array" ref="BY157">IF(ChoixRationComplèteCaprins=OUI,0,IFERROR(IF(OR(AND(INDEX(Règles_caprins[Specificite],MATCH(ChoixRationCaprins&amp;$BX157,Règles_caprins[Ration]&amp;Règles_caprins[Aliment],0))="s1",IF($BX157=Spécificité1Caprins,1)),
INDEX(Règles_caprins[Specificite],MATCH(ChoixRationCaprins&amp;$BX157,Règles_caprins[Ration]&amp;Règles_caprins[Aliment],0))="c"),
INDEX(Règles_caprins[Valeur 12 et plus],MATCH(ChoixRationCaprins&amp;$BX157,Règles_caprins[Ration]&amp;Règles_caprins[Aliment],0)),0),0)*TotalChèvres*SUM(NbreJoursNourrirCaprins))</f>
        <v>0</v>
      </c>
      <c r="BZ157" s="1075">
        <f t="array" ref="BZ157">IF(ChoixRationComplèteCaprins=OUI,0,IFERROR(IF(OR(AND(INDEX(Règles_caprins[Specificite],MATCH(ChoixRationCaprins&amp;$BX157,Règles_caprins[Ration]&amp;Règles_caprins[Aliment],0))="s1",IF($BX157=Spécificité1Caprins,1)),
INDEX(Règles_caprins[Specificite],MATCH(ChoixRationCaprins&amp;$BX157,Règles_caprins[Ration]&amp;Règles_caprins[Aliment],0))="c"),
INDEX(Règles_caprins[Valeur 6-12],MATCH(ChoixRationCaprins&amp;$BX157,Règles_caprins[Ration]&amp;Règles_caprins[Aliment],0)),0),0)*jeune_chèvre_6_12_mois*SUM(NbreJoursNourrirCaprins))</f>
        <v>0</v>
      </c>
      <c r="CA157" s="1075">
        <f t="array" ref="CA157">IF(ChoixRationComplèteCaprins=OUI,0,IFERROR(IF(OR(AND(INDEX(Règles_caprins[Specificite],MATCH(ChoixRationCaprins&amp;$BX157,Règles_caprins[Ration]&amp;Règles_caprins[Aliment],0))="s1",IF($BX157=Spécificité1Caprins,1)),
INDEX(Règles_caprins[Specificite],MATCH(ChoixRationCaprins&amp;$BX157,Règles_caprins[Ration]&amp;Règles_caprins[Aliment],0))="c"),
INDEX(Règles_caprins[Valeur 3-6],MATCH(ChoixRationCaprins&amp;$BX157,Règles_caprins[Ration]&amp;Règles_caprins[Aliment],0)),0),0)*chevrette_3_6_mois*SUM(NbreJoursNourrirCaprins))</f>
        <v>0</v>
      </c>
      <c r="CB157" s="1075">
        <f t="array" ref="CB157">IF(ChoixRationComplèteCaprins=OUI,0,IFERROR(IF(OR(AND(INDEX(Règles_caprins[Specificite],MATCH(ChoixRationCaprins&amp;$BX157,Règles_caprins[Ration]&amp;Règles_caprins[Aliment],0))="s1",IF($BX157=Spécificité1Caprins,1)),
INDEX(Règles_caprins[Specificite],MATCH(ChoixRationCaprins&amp;$BX157,Règles_caprins[Ration]&amp;Règles_caprins[Aliment],0))="c"),
INDEX(Règles_caprins[Valeur 0-3],MATCH(ChoixRationCaprins&amp;$BX157,Règles_caprins[Ration]&amp;Règles_caprins[Aliment],0)),0),0)*chevrette_0_3_mois*SUM(NbreJoursNourrirCaprins))</f>
        <v>0</v>
      </c>
      <c r="CC157" s="1075">
        <f t="shared" si="56"/>
        <v>0</v>
      </c>
      <c r="CD157" s="1345"/>
      <c r="CE157" s="1345"/>
      <c r="CF157" s="1345"/>
      <c r="CG157" s="1345"/>
      <c r="CH157" s="1345"/>
      <c r="CI157" s="1321"/>
      <c r="CJ157" s="1076" t="str">
        <f t="shared" si="51"/>
        <v>Maïs grain</v>
      </c>
      <c r="CK157" s="1267">
        <f t="array" ref="CK157">SUM((IF(QualitéAlimentsPorceletMâle_0_1_mois=BONNE,VLOOKUP("Maïs grain",AlimentsRationPorcinsMâles[],6,FALSE),0)+(IF(QualitéAlimentsPorceletFemelle_0_1_mois=BONNE,VLOOKUP("Maïs grain",AlimentsRationPorcinsFemelles[],6,FALSE),0)+(IF(QualitéAlimentsPorceletMâle_1_3_mois=BONNE,VLOOKUP("Maïs grain",AlimentsRationPorcinsMâles[],5,FALSE),0)+(IF(QualitéAlimentsPorceletFemelle_1_3_mois=BONNE,VLOOKUP("Maïs grain",AlimentsRationPorcinsFemelles[],5,FALSE),0)+(IF(QualitéAlimentsJeuneVerrat_3_6_mois=BONNE,VLOOKUP("Maïs grain",AlimentsRationPorcinsMâles[],4,FALSE),0)+(IF(QualitéAlimentsJeuneTruie_3_6_mois=BONNE,VLOOKUP("Maïs grain",AlimentsRationPorcinsFemelles[],4,FALSE),0)+(IF(QualitéAlimentsJeuneVerrat_6_12_mois=BONNE,VLOOKUP("Maïs grain",AlimentsRationPorcinsMâles[],3,FALSE),0)+(IF(QualitéAlimentsJeuneTruie_6_12_mois=BONNE,VLOOKUP("Maïs grain",AlimentsRationPorcinsFemelles[],3,FALSE),0)+(IF(QualitéAlimentsVerrat=BONNE,VLOOKUP("Maïs grain",AlimentsRationPorcinsMâles[],2,FALSE),0)+(IF(QualitéAlimentsTruie=BONNE,VLOOKUP("Maïs grain",AlimentsRationPorcinsFemelles[],2,FALSE),0))))))))))))</f>
        <v>0</v>
      </c>
      <c r="CL157" s="1267">
        <f t="array" ref="CL157">SUM((IF(QualitéAlimentsPorceletMâle_0_1_mois=MOYENNE,VLOOKUP("Maïs grain",AlimentsRationPorcinsMâles[],6,FALSE),0)+(IF(QualitéAlimentsPorceletFemelle_0_1_mois=MOYENNE,VLOOKUP("Maïs grain",AlimentsRationPorcinsFemelles[],6,FALSE),0)+(IF(QualitéAlimentsPorceletMâle_1_3_mois=MOYENNE,VLOOKUP("Maïs grain",AlimentsRationPorcinsMâles[],5,FALSE),0)+(IF(QualitéAlimentsPorceletFemelle_1_3_mois=MOYENNE,VLOOKUP("Maïs grain",AlimentsRationPorcinsFemelles[],5,FALSE),0)+(IF(QualitéAlimentsJeuneVerrat_3_6_mois=MOYENNE,VLOOKUP("Maïs grain",AlimentsRationPorcinsMâles[],4,FALSE),0)+(IF(QualitéAlimentsJeuneTruie_3_6_mois=MOYENNE,VLOOKUP("Maïs grain",AlimentsRationPorcinsFemelles[],4,FALSE),0)+(IF(QualitéAlimentsJeuneVerrat_6_12_mois=MOYENNE,VLOOKUP("Maïs grain",AlimentsRationPorcinsMâles[],3,FALSE),0)+(IF(QualitéAlimentsJeuneTruie_6_12_mois=MOYENNE,VLOOKUP("Maïs grain",AlimentsRationPorcinsFemelles[],3,FALSE),0)+(IF(QualitéAlimentsVerrat=MOYENNE,VLOOKUP("Maïs grain",AlimentsRationPorcinsMâles[],2,FALSE),0)+(IF(QualitéAlimentsTruie=MOYENNE,VLOOKUP("Maïs grain",AlimentsRationPorcinsFemelles[],2,FALSE),0))))))))))))</f>
        <v>0</v>
      </c>
      <c r="CM157" s="1267">
        <f t="array" ref="CM157">SUM((IF(QualitéAlimentsPorceletMâle_0_1_mois=MAUVAISE,VLOOKUP("Maïs grain",AlimentsRationPorcinsMâles[],6,FALSE),0)+(IF(QualitéAlimentsPorceletFemelle_0_1_mois=MAUVAISE,VLOOKUP("Maïs grain",AlimentsRationPorcinsFemelles[],6,FALSE),0)+(IF(QualitéAlimentsPorceletMâle_1_3_mois=MAUVAISE,VLOOKUP("Maïs grain",AlimentsRationPorcinsMâles[],5,FALSE),0)+(IF(QualitéAlimentsPorceletFemelle_1_3_mois=MAUVAISE,VLOOKUP("Maïs grain",AlimentsRationPorcinsFemelles[],5,FALSE),0)+(IF(QualitéAlimentsJeuneVerrat_3_6_mois=MAUVAISE,VLOOKUP("Maïs grain",AlimentsRationPorcinsMâles[],4,FALSE),0)+(IF(QualitéAlimentsJeuneTruie_3_6_mois=MAUVAISE,VLOOKUP("Maïs grain",AlimentsRationPorcinsFemelles[],4,FALSE),0)+(IF(QualitéAlimentsJeuneVerrat_6_12_mois=MAUVAISE,VLOOKUP("Maïs grain",AlimentsRationPorcinsMâles[],3,FALSE),0)+(IF(QualitéAlimentsJeuneTruie_6_12_mois=MAUVAISE,VLOOKUP("Maïs grain",AlimentsRationPorcinsFemelles[],3,FALSE),0)+(IF(QualitéAlimentsVerrat=MAUVAISE,VLOOKUP("Maïs grain",AlimentsRationPorcinsMâles[],2,FALSE),0)+(IF(QualitéAlimentsTruie=MAUVAISE,VLOOKUP("Maïs grain",AlimentsRationPorcinsFemelles[],2,FALSE),0))))))))))))</f>
        <v>0</v>
      </c>
      <c r="CN157" s="1320"/>
      <c r="CO157" s="1320"/>
      <c r="CP157" s="1345"/>
      <c r="CQ157" s="1321"/>
      <c r="CR157" s="1321"/>
      <c r="CS157" s="1076" t="str">
        <f t="shared" si="66"/>
        <v>Blé</v>
      </c>
      <c r="CT157" s="1267">
        <f t="array" ref="CT157">SUM((IF(QualitéAlimentsLapereauMâle_0_1_mois=BONNE,VLOOKUP("Blé",AlimentsRationLapinsMâles[],4,FALSE),0)+(IF(QualitéAlimentsLapereauFemelle_0_1_mois=BONNE,VLOOKUP("Blé",AlimentsRationLapinsFemelles[],4,FALSE),0)+(IF(QualitéAlimentsJeuneLapin=BONNE,VLOOKUP("Blé",AlimentsRationLapinsMâles[],3,FALSE),0)+(IF(QualitéAlimentsJeuneLapine=BONNE,VLOOKUP("Blé",AlimentsRationLapinsFemelles[],3,FALSE),0)+(IF(QualitéAlimentsLapin=BONNE,VLOOKUP("Blé",AlimentsRationLapinsMâles[],2,FALSE),0)+(IF(QualitéAlimentsLapine=BONNE,VLOOKUP("Blé",AlimentsRationLapinsFemelles[],2,FALSE),0))))))))</f>
        <v>0</v>
      </c>
      <c r="CU157" s="1267">
        <f t="array" ref="CU157">SUM((IF(QualitéAlimentsLapereauMâle_0_1_mois=MOYENNE,VLOOKUP("Blé",AlimentsRationLapinsMâles[],4,FALSE),0)+(IF(QualitéAlimentsLapereauFemelle_0_1_mois=MOYENNE,VLOOKUP("Blé",AlimentsRationLapinsFemelles[],4,FALSE),0)+(IF(QualitéAlimentsJeuneLapin=MOYENNE,VLOOKUP("Blé",AlimentsRationLapinsMâles[],3,FALSE),0)+(IF(QualitéAlimentsJeuneLapine=MOYENNE,VLOOKUP("Blé",AlimentsRationLapinsFemelles[],3,FALSE),0)+(IF(QualitéAlimentsLapin=MOYENNE,VLOOKUP("Blé",AlimentsRationLapinsMâles[],2,FALSE),0)+(IF(QualitéAlimentsLapine=MOYENNE,VLOOKUP("Blé",AlimentsRationLapinsFemelles[],2,FALSE),0))))))))</f>
        <v>0</v>
      </c>
      <c r="CV157" s="1267">
        <f t="array" ref="CV157">SUM((IF(QualitéAlimentsLapereauMâle_0_1_mois=MAUVAISE,VLOOKUP("Blé",AlimentsRationLapinsMâles[],4,FALSE),0)+(IF(QualitéAlimentsLapereauFemelle_0_1_mois=MAUVAISE,VLOOKUP("Blé",AlimentsRationLapinsFemelles[],4,FALSE),0)+(IF(QualitéAlimentsJeuneLapin=MAUVAISE,VLOOKUP("Blé",AlimentsRationLapinsMâles[],3,FALSE),0)+(IF(QualitéAlimentsJeuneLapine=MAUVAISE,VLOOKUP("Blé",AlimentsRationLapinsFemelles[],3,FALSE),0)+(IF(QualitéAlimentsLapin=MAUVAISE,VLOOKUP("Blé",AlimentsRationLapinsMâles[],2,FALSE),0)+(IF(QualitéAlimentsLapine=MAUVAISE,VLOOKUP("Blé",AlimentsRationLapinsFemelles[],2,FALSE),0))))))))</f>
        <v>0</v>
      </c>
      <c r="CW157" s="1321"/>
      <c r="CX157" s="1321"/>
      <c r="CY157" s="1321"/>
      <c r="CZ157" s="1075" t="str">
        <f t="shared" si="65"/>
        <v>Bouchons luzerne</v>
      </c>
      <c r="DA157" s="1269">
        <f t="array" ref="DA157">SUM((IF(QualitéAlimentsPoussinMâle_0_1_mois=BONNE,VLOOKUP("Bouchons luzerne",AlimentsRationVolaillesMâles[],4,FALSE),0)+(IF(QualitéAlimentsPoussinFemelle_0_1_mois=BONNE,VLOOKUP("Bouchons luzerne",AlimentsRationVolaillesFemelles[],4,FALSE),0)+(IF(QualitéAlimentsJeuneCoq=BONNE,VLOOKUP("Bouchons luzerne",AlimentsRationVolaillesMâles[],3,FALSE),0)+(IF(QualitéAlimentsJeunePoule=BONNE,VLOOKUP("Bouchons luzerne",AlimentsRationVolaillesFemelles[],3,FALSE),0)+(IF(QualitéAlimentsCoq=BONNE,VLOOKUP("Bouchons luzerne",AlimentsRationVolaillesMâles[],2,FALSE),0)+(IF(QualitéAlimentsPoule=BONNE,VLOOKUP("Bouchons luzerne",AlimentsRationVolaillesFemelles[],2,FALSE),0))))))))</f>
        <v>0</v>
      </c>
      <c r="DB157" s="1269">
        <f t="array" ref="DB157">SUM((IF(QualitéAlimentsPoussinMâle_0_1_mois=MOYENNE,VLOOKUP("Bouchons luzerne",AlimentsRationVolaillesMâles[],4,FALSE),0)+(IF(QualitéAlimentsPoussinFemelle_0_1_mois=MOYENNE,VLOOKUP("Bouchons luzerne",AlimentsRationVolaillesFemelles[],4,FALSE),0)+(IF(QualitéAlimentsJeuneCoq=MOYENNE,VLOOKUP("Bouchons luzerne",AlimentsRationVolaillesMâles[],3,FALSE),0)+(IF(QualitéAlimentsJeunePoule=MOYENNE,VLOOKUP("Bouchons luzerne",AlimentsRationVolaillesFemelles[],3,FALSE),0)+(IF(QualitéAlimentsCoq=MOYENNE,VLOOKUP("Bouchons luzerne",AlimentsRationVolaillesMâles[],2,FALSE),0)+(IF(QualitéAlimentsPoule=MOYENNE,VLOOKUP("Bouchons luzerne",AlimentsRationVolaillesFemelles[],2,FALSE),0))))))))</f>
        <v>0</v>
      </c>
      <c r="DC157" s="1269">
        <f t="array" ref="DC157">SUM((IF(QualitéAlimentsPoussinMâle_0_1_mois=MAUVAISE,VLOOKUP("Bouchons luzerne",AlimentsRationVolaillesMâles[],4,FALSE),0)+(IF(QualitéAlimentsPoussinFemelle_0_1_mois=MAUVAISE,VLOOKUP("Bouchons luzerne",AlimentsRationVolaillesFemelles[],4,FALSE),0)+(IF(QualitéAlimentsJeuneCoq=MAUVAISE,VLOOKUP("Bouchons luzerne",AlimentsRationVolaillesMâles[],3,FALSE),0)+(IF(QualitéAlimentsJeunePoule=MAUVAISE,VLOOKUP("Bouchons luzerne",AlimentsRationVolaillesFemelles[],3,FALSE),0)+(IF(QualitéAlimentsCoq=MAUVAISE,VLOOKUP("Bouchons luzerne",AlimentsRationVolaillesMâles[],2,FALSE),0)+(IF(QualitéAlimentsPoule=MAUVAISE,VLOOKUP("Bouchons luzerne",AlimentsRationVolaillesFemelles[],2,FALSE),0))))))))</f>
        <v>0</v>
      </c>
      <c r="DD157" s="1321"/>
      <c r="DE157" s="1321"/>
      <c r="DF157" s="1321"/>
      <c r="DG157" s="1075" t="str">
        <f t="shared" si="58"/>
        <v>Féverole</v>
      </c>
      <c r="DH157" s="1269">
        <f t="array" ref="DH157">SUM((IF(QualitéAlimentsPintadeauMâle_0_1_mois=BONNE,VLOOKUP("Féverole",AlimentsRationPintadesMâles[],4,FALSE),0)+(IF(QualitéAlimentsPintadeauFemelle_0_1_mois=BONNE,VLOOKUP("Féverole",AlimentsRationPintadesFemelles[],4,FALSE),0)+(IF(QualitéAlimentsJeunePintadeMâle=BONNE,VLOOKUP("Féverole",AlimentsRationPintadesMâles[],3,FALSE),0)+(IF(QualitéAlimentsJeunePintadeFemelle=BONNE,VLOOKUP("Féverole",AlimentsRationPintadesFemelles[],3,FALSE),0)+(IF(QualitéAlimentsPintadeMâle=BONNE,VLOOKUP("Féverole",AlimentsRationPintadesMâles[],2,FALSE),0)+(IF(QualitéAlimentsPintadeFemelle=BONNE,VLOOKUP("Féverole",AlimentsRationPintadesFemelles[],2,FALSE),0))))))))</f>
        <v>0</v>
      </c>
      <c r="DI157" s="1269">
        <f t="array" ref="DI157">SUM((IF(QualitéAlimentsPintadeauMâle_0_1_mois=MOYENNE,VLOOKUP("Féverole",AlimentsRationPintadesMâles[],4,FALSE),0)+(IF(QualitéAlimentsPintadeauFemelle_0_1_mois=MOYENNE,VLOOKUP("Féverole",AlimentsRationPintadesFemelles[],4,FALSE),0)+(IF(QualitéAlimentsJeunePintadeMâle=MOYENNE,VLOOKUP("Féverole",AlimentsRationPintadesMâles[],3,FALSE),0)+(IF(QualitéAlimentsJeunePintadeFemelle=MOYENNE,VLOOKUP("Féverole",AlimentsRationPintadesFemelles[],3,FALSE),0)+(IF(QualitéAlimentsPintadeMâle=MOYENNE,VLOOKUP("Féverole",AlimentsRationPintadesMâles[],2,FALSE),0)+(IF(QualitéAlimentsPintadeFemelle=MOYENNE,VLOOKUP("Féverole",AlimentsRationPintadesFemelles[],2,FALSE),0))))))))</f>
        <v>0</v>
      </c>
      <c r="DJ157" s="1269">
        <f t="array" ref="DJ157">SUM((IF(QualitéAlimentsPintadeauMâle_0_1_mois=MAUVAISE,VLOOKUP("Féverole",AlimentsRationPintadesMâles[],4,FALSE),0)+(IF(QualitéAlimentsPintadeauFemelle_0_1_mois=MAUVAISE,VLOOKUP("Féverole",AlimentsRationPintadesFemelles[],4,FALSE),0)+(IF(QualitéAlimentsJeunePintadeMâle=MAUVAISE,VLOOKUP("Féverole",AlimentsRationPintadesMâles[],3,FALSE),0)+(IF(QualitéAlimentsJeunePintadeFemelle=MAUVAISE,VLOOKUP("Féverole",AlimentsRationPintadesFemelles[],3,FALSE),0)+(IF(QualitéAlimentsPintadeMâle=MAUVAISE,VLOOKUP("Féverole",AlimentsRationPintadesMâles[],2,FALSE),0)+(IF(QualitéAlimentsPintadeFemelle=MAUVAISE,VLOOKUP("Féverole",AlimentsRationPintadesFemelles[],2,FALSE),0))))))))</f>
        <v>0</v>
      </c>
      <c r="DK157" s="1321"/>
      <c r="DL157" s="1321"/>
      <c r="DM157" s="1321"/>
      <c r="DN157" s="1075" t="s">
        <v>1718</v>
      </c>
      <c r="DO157" s="1269">
        <f t="array" ref="DO157">IF(ChoixRationComplèteOvins=OUI,0,IFERROR(IF(OR(AND(INDEX(Règles_ovins[Specificite],MATCH(ChoixRationOvins&amp;$DN157,Règles_ovins[Ration]&amp;Règles_ovins[Aliment],0))="s1",IF($DN157=Spécificité1Ovins,1)),
AND(INDEX(Règles_ovins[Specificite],MATCH(ChoixRationOvins&amp;$DN157,Règles_ovins[Ration]&amp;Règles_ovins[Aliment],0))="s2",IF($DN157=Spécificité2Ovins,1)),
INDEX(Règles_ovins[Specificite],MATCH(ChoixRationOvins&amp;$DN157,Règles_ovins[Ration]&amp;Règles_ovins[Aliment],0))="c"),
INDEX(Règles_ovins[Valeur 12 et plus],MATCH(ChoixRationOvins&amp;$DN157,Règles_ovins[Ration]&amp;Règles_ovins[Aliment],0)),0),0)*IF(ChoixOvinsPréHiver=OUI,SUM(TotalOvinsAdultesRacesLaitières)*NbreJoursNourrirOvins,TotalBéliers*SUM(NbreJoursNourrirOvins)))</f>
        <v>0</v>
      </c>
      <c r="DP157" s="1269">
        <f t="array" ref="DP157">IF(ChoixRationComplèteOvins=OUI,0,IFERROR(IF(OR(AND(INDEX(Règles_ovins[Specificite],MATCH(ChoixRationOvins&amp;$DN157,Règles_ovins[Ration]&amp;Règles_ovins[Aliment],0))="s1",IF($DN157=Spécificité1Ovins,1)),
AND(INDEX(Règles_ovins[Specificite],MATCH(ChoixRationOvins&amp;$DN157,Règles_ovins[Ration]&amp;Règles_ovins[Aliment],0))="s2",IF($DN157=Spécificité2Ovins,1)),
INDEX(Règles_ovins[Specificite],MATCH(ChoixRationOvins&amp;$DN157,Règles_ovins[Ration]&amp;Règles_ovins[Aliment],0))="c"),
INDEX(Règles_ovins[Valeur 6-12],MATCH(ChoixRationOvins&amp;$DN157,Règles_ovins[Ration]&amp;Règles_ovins[Aliment],0)),0),0)*IF(ChoixOvinsPréHiver=OUI,SUM(TotalJeunesOvinsRacesLaitières)*NbreJoursNourrirOvins,TotalJeune_bélier_6_12_mois*SUM(NbreJoursNourrirOvins)))</f>
        <v>0</v>
      </c>
      <c r="DQ157" s="1269">
        <f t="array" ref="DQ157">IF(ChoixRationComplèteOvins=OUI,0,IFERROR(IF(OR(AND(INDEX(Règles_ovins[Specificite],MATCH(ChoixRationOvins&amp;$DN157,Règles_ovins[Ration]&amp;Règles_ovins[Aliment],0))="s1",IF($DN157=Spécificité1Ovins,1)),
AND(INDEX(Règles_ovins[Specificite],MATCH(ChoixRationOvins&amp;$DN157,Règles_ovins[Ration]&amp;Règles_ovins[Aliment],0))="s2",IF($DN157=Spécificité2Ovins,1)),
INDEX(Règles_ovins[Specificite],MATCH(ChoixRationOvins&amp;$DN157,Règles_ovins[Ration]&amp;Règles_ovins[Aliment],0))="c"),
INDEX(Règles_ovins[Valeur 3-6],MATCH(ChoixRationOvins&amp;$DN157,Règles_ovins[Ration]&amp;Règles_ovins[Aliment],0)),0),0)*IF(ChoixOvinsPréHiver=OUI,SUM(TotalOvins_3_6moisRacesLaitières)*NbreJoursNourrirOvins,TotalAgneau_3_6_mois*SUM(NbreJoursNourrirOvins)))</f>
        <v>0</v>
      </c>
      <c r="DR157" s="1269">
        <f t="array" ref="DR157">IF(ChoixRationComplèteOvins=OUI,0,IFERROR(IF(OR(AND(INDEX(Règles_ovins[Specificite],MATCH(ChoixRationOvins&amp;$DN157,Règles_ovins[Ration]&amp;Règles_ovins[Aliment],0))="s1",IF($DN157=Spécificité1Ovins,1)),
AND(INDEX(Règles_ovins[Specificite],MATCH(ChoixRationOvins&amp;$DN157,Règles_ovins[Ration]&amp;Règles_ovins[Aliment],0))="s2",IF($DN157=Spécificité2Ovins,1)),
INDEX(Règles_ovins[Specificite],MATCH(ChoixRationOvins&amp;$DN157,Règles_ovins[Ration]&amp;Règles_ovins[Aliment],0))="c"),
INDEX(Règles_ovins[Valeur 0-3],MATCH(ChoixRationOvins&amp;$DN157,Règles_ovins[Ration]&amp;Règles_ovins[Aliment],0)),0),0)*IF(ChoixOvinsPréHiver=OUI,SUM(TotalOvins_3_6moisRacesLaitières)*NbreJoursNourrirOvins,TotalAgneau_0_3_mois*SUM(NbreJoursNourrirOvins)))</f>
        <v>0</v>
      </c>
      <c r="DS157" s="1280">
        <f t="shared" si="61"/>
        <v>0</v>
      </c>
      <c r="DT157" s="1346"/>
      <c r="DU157" s="1346"/>
      <c r="DV157" s="1321"/>
      <c r="DW157" s="1321"/>
      <c r="DX157" s="1321"/>
      <c r="DY157" s="1321"/>
      <c r="DZ157" s="1321"/>
      <c r="EA157" s="1321"/>
      <c r="EB157" s="1321"/>
      <c r="EC157" s="1321"/>
      <c r="ED157" s="1345"/>
      <c r="EE157" s="1345"/>
      <c r="EF157" s="1321"/>
      <c r="EG157" s="1075" t="str">
        <f t="shared" si="63"/>
        <v>concentré jeunes bovins</v>
      </c>
      <c r="EH157" s="1269">
        <f t="array" ref="EH157">SUM((IF(QualitéAlimentsOisonMâle_0_3_mois=BONNE,VLOOKUP("Concentré jeunes bovins",AlimentsRationOiesMâles[],4,FALSE),0)+(IF(QualitéAlimentsOisonFemelle_0_3_mois=BONNE,VLOOKUP("Concentré jeunes bovins",AlimentsRationOiesFemelles[],4,FALSE),0)+(IF(QualitéAlimentsJeuneJars=BONNE,VLOOKUP("Concentré jeunes bovins",AlimentsRationOiesMâles[],3,FALSE),0)+(IF(QualitéAlimentsJeuneOie=BONNE,VLOOKUP("Concentré jeunes bovins",AlimentsRationOiesFemelles[],3,FALSE),0)+(IF(QualitéAlimentsJars=BONNE,VLOOKUP("Concentré jeunes bovins",AlimentsRationOiesMâles[],2,FALSE),0)+(IF(QualitéAlimentsOie=BONNE,VLOOKUP("Concentré jeunes bovins",AlimentsRationOiesFemelles[],2,FALSE),0))))))))</f>
        <v>0</v>
      </c>
      <c r="EI157" s="1269">
        <f t="array" ref="EI157">SUM((IF(QualitéAlimentsOisonMâle_0_3_mois=MOYENNE,VLOOKUP("Concentré jeunes bovins",AlimentsRationOiesMâles[],4,FALSE),0)+(IF(QualitéAlimentsOisonFemelle_0_3_mois=MOYENNE,VLOOKUP("Concentré jeunes bovins",AlimentsRationOiesFemelles[],4,FALSE),0)+(IF(QualitéAlimentsJeuneJars=MOYENNE,VLOOKUP("Concentré jeunes bovins",AlimentsRationOiesMâles[],3,FALSE),0)+(IF(QualitéAlimentsJeuneOie=MOYENNE,VLOOKUP("Concentré jeunes bovins",AlimentsRationOiesFemelles[],3,FALSE),0)+(IF(QualitéAlimentsJars=MOYENNE,VLOOKUP("Concentré jeunes bovins",AlimentsRationOiesMâles[],2,FALSE),0)+(IF(QualitéAlimentsOie=MOYENNE,VLOOKUP("Concentré jeunes bovins",AlimentsRationOiesFemelles[],2,FALSE),0))))))))</f>
        <v>0</v>
      </c>
      <c r="EJ157" s="1269">
        <f t="array" ref="EJ157">SUM((IF(QualitéAlimentsOisonMâle_0_3_mois=MAUVAISE,VLOOKUP("Concentré jeunes bovins",AlimentsRationOiesMâles[],4,FALSE),0)+(IF(QualitéAlimentsOisonFemelle_0_3_mois=MAUVAISE,VLOOKUP("Concentré jeunes bovins",AlimentsRationOiesFemelles[],4,FALSE),0)+(IF(QualitéAlimentsJeuneJars=MAUVAISE,VLOOKUP("Concentré jeunes bovins",AlimentsRationOiesMâles[],3,FALSE),0)+(IF(QualitéAlimentsJeuneOie=MAUVAISE,VLOOKUP("Concentré jeunes bovins",AlimentsRationOiesFemelles[],3,FALSE),0)+(IF(QualitéAlimentsJars=MAUVAISE,VLOOKUP("Concentré jeunes bovins",AlimentsRationOiesMâles[],2,FALSE),0)+(IF(QualitéAlimentsOie=MAUVAISE,VLOOKUP("Concentré jeunes bovins",AlimentsRationOiesFemelles[],2,FALSE),0))))))))</f>
        <v>0</v>
      </c>
      <c r="EK157" s="1345"/>
      <c r="EL157" s="1345"/>
      <c r="EM157" s="1321"/>
      <c r="EN157" s="1082" t="str">
        <f t="shared" si="62"/>
        <v>concentré jeunes lapins</v>
      </c>
      <c r="EO157" s="1282">
        <f t="array" ref="EO157">SUM((IF(QualitéAlimentsCanetonMâle=BONNE,VLOOKUP("Concentré jeunes lapins",AlimentsRationCanardsMâles,4,FALSE),0)+(IF(QualitéAlimentsCanetonFemelle=BONNE,VLOOKUP("Concentré jeunes lapins",AlimentsRationCanardsFemelles,4,FALSE),0)+(IF(QualitéAlimentsJeuneCanard=BONNE,VLOOKUP("Concentré jeunes lapins",AlimentsRationCanardsMâles,3,FALSE),0)+(IF(QualitéAlimentsJeuneCane=BONNE,VLOOKUP("Concentré jeunes lapins",AlimentsRationCanardsFemelles,3,FALSE),0)+(IF(QualitéAlimentsCanard=BONNE,VLOOKUP("Concentré jeunes lapins",AlimentsRationCanardsMâles,2,FALSE),0)+(IF(QualitéAlimentsCane=BONNE,VLOOKUP("Concentré jeunes lapins",AlimentsRationCanardsFemelles,2,FALSE),0))))))))</f>
        <v>0</v>
      </c>
      <c r="EP157" s="1282">
        <f t="array" ref="EP157">SUM((IF(QualitéAlimentsCanetonMâle=MOYENNE,VLOOKUP("Concentré jeunes lapins",AlimentsRationCanardsMâles,4,FALSE),0)+(IF(QualitéAlimentsCanetonFemelle=MOYENNE,VLOOKUP("Concentré jeunes lapins",AlimentsRationCanardsFemelles,4,FALSE),0)+(IF(QualitéAlimentsJeuneCanard=MOYENNE,VLOOKUP("Concentré jeunes lapins",AlimentsRationCanardsMâles,3,FALSE),0)+(IF(QualitéAlimentsJeuneCane=MOYENNE,VLOOKUP("Concentré jeunes lapins",AlimentsRationCanardsFemelles,3,FALSE),0)+(IF(QualitéAlimentsCanard=MOYENNE,VLOOKUP("Concentré jeunes lapins",AlimentsRationCanardsMâles,2,FALSE),0)+(IF(QualitéAlimentsCane=MOYENNE,VLOOKUP("Concentré jeunes lapins",AlimentsRationCanardsFemelles,2,FALSE),0))))))))</f>
        <v>0</v>
      </c>
      <c r="EQ157" s="1282">
        <f t="array" ref="EQ157">SUM((IF(QualitéAlimentsCanetonMâle=MAUVAISE,VLOOKUP("Concentré jeunes lapins",AlimentsRationCanardsMâles,4,FALSE),0)+(IF(QualitéAlimentsCanetonFemelle=MAUVAISE,VLOOKUP("Concentré jeunes lapins",AlimentsRationCanardsFemelles,4,FALSE),0)+(IF(QualitéAlimentsJeuneCanard=MAUVAISE,VLOOKUP("Concentré jeunes lapins",AlimentsRationCanardsMâles,3,FALSE),0)+(IF(QualitéAlimentsJeuneCane=MAUVAISE,VLOOKUP("Concentré jeunes lapins",AlimentsRationCanardsFemelles,3,FALSE),0)+(IF(QualitéAlimentsCanard=MAUVAISE,VLOOKUP("Concentré jeunes lapins",AlimentsRationCanardsMâles,2,FALSE),0)+(IF(QualitéAlimentsCane=MAUVAISE,VLOOKUP("Concentré jeunes lapins",AlimentsRationCanardsFemelles,2,FALSE),0))))))))</f>
        <v>0</v>
      </c>
      <c r="ER157" s="1345"/>
      <c r="ES157" s="1345"/>
      <c r="ET157" s="1321"/>
      <c r="EU157" s="1083" t="str">
        <f t="shared" si="60"/>
        <v>concentré jeunes porcins</v>
      </c>
      <c r="EV157" s="1283">
        <f t="array" ref="EV157">IF(OR(ChoixRationHivernaleComplèteChevauxSelle=OUI,ChoixRationHivernaleComplèteChevauxSelle="",ChoixChevauxSellePréHiver=NON),0,IFERROR(IF(OR(AND(INDEX(Règles_chevaux_selle[Specificite],MATCH(RationHivernaleAuPréChevauxSelle&amp;$EU157,Règles_chevaux_selle[Ration]&amp;Règles_chevaux_selle[Aliment],0))="s1",IF($EU157=Spécificité1ChevauxSelle,1)),
AND(INDEX(Règles_chevaux_selle[Specificite],MATCH(RationHivernaleAuPréChevauxSelle&amp;$EU157,Règles_chevaux_selle[Ration]&amp;Règles_chevaux_selle[Aliment],0))="s2",IF($EU157=Spécificité2ChevauxSelle,1)),
INDEX(Règles_chevaux_selle[Specificite],MATCH(RationHivernaleAuPréChevauxSelle&amp;$EU157,Règles_chevaux_selle[Ration]&amp;Règles_chevaux_selle[Aliment],0))="c"),
INDEX(Règles_chevaux_selle[Valeur 36 et plus],MATCH(RationHivernaleAuPréChevauxSelle&amp;$EU157,Règles_chevaux_selle[Ration]&amp;Règles_chevaux_selle[Aliment],0)),0),0)*SUM(TotalChevauxSelleAdultes)*21)</f>
        <v>0</v>
      </c>
      <c r="EW157" s="1283">
        <f t="array" ref="EW157">IF(OR(ChoixRationHivernaleComplèteChevauxSelle=OUI,ChoixRationHivernaleComplèteChevauxSelle="",ChoixChevauxSellePréHiver=NON),0,IFERROR(IF(OR(AND(INDEX(Règles_chevaux_selle[Specificite],MATCH(RationHivernaleAuPréChevauxSelle&amp;$EU157,Règles_chevaux_selle[Ration]&amp;Règles_chevaux_selle[Aliment],0))="s1",IF($EU157=Spécificité1ChevauxSelle,1)),
AND(INDEX(Règles_chevaux_selle[Specificite],MATCH(RationHivernaleAuPréChevauxSelle&amp;$EU157,Règles_chevaux_selle[Ration]&amp;Règles_chevaux_selle[Aliment],0))="s2",IF($EU157=Spécificité2ChevauxSelle,1)),
INDEX(Règles_chevaux_selle[Specificite],MATCH(RationHivernaleAuPréChevauxSelle&amp;$EU157,Règles_chevaux_selle[Ration]&amp;Règles_chevaux_selle[Aliment],0))="c"),
INDEX(Règles_chevaux_selle[Valeur 24-36],MATCH(RationHivernaleAuPréChevauxSelle&amp;$EU157,Règles_chevaux_selle[Ration]&amp;Règles_chevaux_selle[Aliment],0)),0),0)*SUM(TotalChevauxSelle_24_36mois)*21)</f>
        <v>0</v>
      </c>
      <c r="EX157" s="1283">
        <f t="array" ref="EX157">IF(OR(ChoixRationHivernaleComplèteChevauxSelle=OUI,ChoixRationHivernaleComplèteChevauxSelle="",ChoixChevauxSellePréHiver=NON),0,IFERROR(IF(OR(AND(INDEX(Règles_chevaux_selle[Specificite],MATCH(RationHivernaleAuPréChevauxSelle&amp;$EU157,Règles_chevaux_selle[Ration]&amp;Règles_chevaux_selle[Aliment],0))="s1",IF($EU157=Spécificité1ChevauxSelle,1)),
AND(INDEX(Règles_chevaux_selle[Specificite],MATCH(RationHivernaleAuPréChevauxSelle&amp;$EU157,Règles_chevaux_selle[Ration]&amp;Règles_chevaux_selle[Aliment],0))="s2",IF($EU157=Spécificité2ChevauxSelle,1)),
INDEX(Règles_chevaux_selle[Specificite],MATCH(RationHivernaleAuPréChevauxSelle&amp;$EU157,Règles_chevaux_selle[Ration]&amp;Règles_chevaux_selle[Aliment],0))="c"),
INDEX(Règles_chevaux_selle[Valeur 12-24],MATCH(RationHivernaleAuPréChevauxSelle&amp;$EU157,Règles_chevaux_selle[Ration]&amp;Règles_chevaux_selle[Aliment],0)),0),0)*SUM(TotalChevauxSelle_12_24mois)*21)</f>
        <v>0</v>
      </c>
      <c r="EY157" s="1286">
        <f t="array" ref="EY157">IF(OR(ChoixRationHivernaleComplèteChevauxSelle=OUI,ChoixRationHivernaleComplèteChevauxSelle="",ChoixChevauxSellePréHiver=NON),0,IFERROR(IF(OR(AND(INDEX(Règles_chevaux_selle[Specificite],MATCH(RationHivernaleAuPréChevauxSelle&amp;$EU157,Règles_chevaux_selle[Ration]&amp;Règles_chevaux_selle[Aliment],0))="s1",IF($EU157=Spécificité1ChevauxSelle,1)),
AND(INDEX(Règles_chevaux_selle[Specificite],MATCH(RationHivernaleAuPréChevauxSelle&amp;$EU157,Règles_chevaux_selle[Ration]&amp;Règles_chevaux_selle[Aliment],0))="s2",IF($EU157=Spécificité2ChevauxSelle,1)),
INDEX(Règles_chevaux_selle[Specificite],MATCH(RationHivernaleAuPréChevauxSelle&amp;$EU157,Règles_chevaux_selle[Ration]&amp;Règles_chevaux_selle[Aliment],0))="c"),
INDEX(Règles_chevaux_selle[Valeur 0-12],MATCH(RationHivernaleAuPréChevauxSelle&amp;$EU157,Règles_chevaux_selle[Ration]&amp;Règles_chevaux_selle[Aliment],0)),0),0)*SUM(TotalPoulainsSelle)*21)</f>
        <v>0</v>
      </c>
      <c r="EZ157" s="1286">
        <f t="shared" si="59"/>
        <v>0</v>
      </c>
      <c r="FA157" s="1345"/>
      <c r="FB157" s="1345"/>
      <c r="FC157" s="1321"/>
      <c r="FD157" s="1083" t="str">
        <f t="shared" si="55"/>
        <v>Haricot vert</v>
      </c>
      <c r="FE157" s="1283">
        <f t="array" ref="FE157">IF(OR(ChoixRationHivernaleComplèteChevauxTrait=OUI,ChoixRationHivernaleComplèteChevauxTrait="",ChoixChevauxTraitPréHiver=NON),0,IFERROR(IF(OR(AND(INDEX(Règles_chevaux_trait[Specificite],MATCH(RationHivernaleAuPréChevauxTrait&amp;$FD157,Règles_chevaux_trait[Ration]&amp;Règles_chevaux_trait[Aliment],0))="s1",IF($FD157=Spécificité1ChevauxTrait,1)),
AND(INDEX(Règles_chevaux_trait[Specificite],MATCH(RationHivernaleAuPréChevauxTrait&amp;$FD157,Règles_chevaux_trait[Ration]&amp;Règles_chevaux_trait[Aliment],0))="s2",IF($FD157=Spécificité2ChevauxTrait,1)),
INDEX(Règles_chevaux_trait[Specificite],MATCH(RationHivernaleAuPréChevauxTrait&amp;$FD157,Règles_chevaux_trait[Ration]&amp;Règles_chevaux_trait[Aliment],0))="c"),
INDEX(Règles_chevaux_trait[Valeur 36 et plus],MATCH(RationHivernaleAuPréChevauxTrait&amp;$FD157,Règles_chevaux_trait[Ration]&amp;Règles_chevaux_trait[Aliment],0)),0),0)*SUM(TotalChevauxTraitAdultes)*21)</f>
        <v>0</v>
      </c>
      <c r="FF157" s="1283">
        <f t="array" ref="FF157">IF(OR(ChoixRationHivernaleComplèteChevauxTrait=OUI,ChoixRationHivernaleComplèteChevauxTrait="",ChoixChevauxTraitPréHiver=NON),0,IFERROR(IF(OR(AND(INDEX(Règles_chevaux_trait[Specificite],MATCH(RationHivernaleAuPréChevauxTrait&amp;$FD157,Règles_chevaux_trait[Ration]&amp;Règles_chevaux_trait[Aliment],0))="s1",IF($FD157=Spécificité1ChevauxTrait,1)),
AND(INDEX(Règles_chevaux_trait[Specificite],MATCH(RationHivernaleAuPréChevauxTrait&amp;$FD157,Règles_chevaux_trait[Ration]&amp;Règles_chevaux_trait[Aliment],0))="s2",IF($FD157=Spécificité2ChevauxTrait,1)),
INDEX(Règles_chevaux_trait[Specificite],MATCH(RationHivernaleAuPréChevauxTrait&amp;$FD157,Règles_chevaux_trait[Ration]&amp;Règles_chevaux_trait[Aliment],0))="c"),
INDEX(Règles_chevaux_trait[Valeur 24-36],MATCH(RationHivernaleAuPréChevauxTrait&amp;$FD157,Règles_chevaux_trait[Ration]&amp;Règles_chevaux_trait[Aliment],0)),0),0)*SUM(TotalChevauxTrait_24_36mois)*21)</f>
        <v>0</v>
      </c>
      <c r="FG157" s="1283">
        <f t="array" ref="FG157">IF(OR(ChoixRationHivernaleComplèteChevauxTrait=OUI,ChoixRationHivernaleComplèteChevauxTrait="",ChoixChevauxTraitPréHiver=NON),0,IFERROR(IF(OR(AND(INDEX(Règles_chevaux_trait[Specificite],MATCH(RationHivernaleAuPréChevauxTrait&amp;$FD157,Règles_chevaux_trait[Ration]&amp;Règles_chevaux_trait[Aliment],0))="s1",IF($FD157=Spécificité1ChevauxTrait,1)),
AND(INDEX(Règles_chevaux_trait[Specificite],MATCH(RationHivernaleAuPréChevauxTrait&amp;$FD157,Règles_chevaux_trait[Ration]&amp;Règles_chevaux_trait[Aliment],0))="s2",IF($FD157=Spécificité2ChevauxTrait,1)),
INDEX(Règles_chevaux_trait[Specificite],MATCH(RationHivernaleAuPréChevauxTrait&amp;$FD157,Règles_chevaux_trait[Ration]&amp;Règles_chevaux_trait[Aliment],0))="c"),
INDEX(Règles_chevaux_trait[Valeur 12-24],MATCH(RationHivernaleAuPréChevauxTrait&amp;$FD157,Règles_chevaux_trait[Ration]&amp;Règles_chevaux_trait[Aliment],0)),0),0)*SUM(TotalChevauxTrait_12_24mois)*21)</f>
        <v>0</v>
      </c>
      <c r="FH157" s="1286">
        <f t="array" ref="FH157">IF(OR(ChoixRationHivernaleComplèteChevauxTrait=OUI,ChoixRationHivernaleComplèteChevauxTrait="",ChoixChevauxTraitPréHiver=NON),0,IFERROR(IF(OR(AND(INDEX(Règles_chevaux_trait[Specificite],MATCH(RationHivernaleAuPréChevauxTrait&amp;$FD157,Règles_chevaux_trait[Ration]&amp;Règles_chevaux_trait[Aliment],0))="s1",IF($FD157=Spécificité1ChevauxTrait,1)),
AND(INDEX(Règles_chevaux_trait[Specificite],MATCH(RationHivernaleAuPréChevauxTrait&amp;$FD157,Règles_chevaux_trait[Ration]&amp;Règles_chevaux_trait[Aliment],0))="s2",IF($FD157=Spécificité2ChevauxTrait,1)),
INDEX(Règles_chevaux_trait[Specificite],MATCH(RationHivernaleAuPréChevauxTrait&amp;$FD157,Règles_chevaux_trait[Ration]&amp;Règles_chevaux_trait[Aliment],0))="c"),
INDEX(Règles_chevaux_trait[Valeur 0-12],MATCH(RationHivernaleAuPréChevauxTrait&amp;$FD157,Règles_chevaux_trait[Ration]&amp;Règles_chevaux_trait[Aliment],0)),0),0)*SUM(TotalPoulainsTrait)*21)</f>
        <v>0</v>
      </c>
      <c r="FI157" s="1286">
        <f t="shared" si="53"/>
        <v>0</v>
      </c>
      <c r="FJ157" s="1345"/>
      <c r="FK157" s="1345"/>
      <c r="FL157" s="1345"/>
      <c r="FM157" s="1321"/>
      <c r="FN157" s="1082" t="str">
        <f t="shared" si="54"/>
        <v>Lentille</v>
      </c>
      <c r="FO157" s="1282">
        <f t="array" ref="FO157">IF(OR(ChoixRationHivernaleComplètePoneys=OUI,ChoixRationHivernaleComplètePoneys="",ChoixPoneysPréHiver=NON),0,IFERROR(IF(OR(AND(INDEX(Règles_poneys[Specificite],MATCH(RationHivernaleAuPréPoneys&amp;$FN157,Règles_poneys[Ration]&amp;Règles_poneys[Aliment],0))="s1",IF($FN157=Spécificité1Poneys,1)),
AND(INDEX(Règles_poneys[Specificite],MATCH(RationHivernaleAuPréPoneys&amp;$FN157,Règles_poneys[Ration]&amp;Règles_poneys[Aliment],0))="s2",IF($FN157=Spécificité2Poneys,1)),
INDEX(Règles_poneys[Specificite],MATCH(RationHivernaleAuPréPoneys&amp;$FN157,Règles_poneys[Ration]&amp;Règles_poneys[Aliment],0))="c"),
INDEX(Règles_poneys[Valeur 36 et plus],MATCH(RationHivernaleAuPréPoneys&amp;$FN157,Règles_poneys[Ration]&amp;Règles_poneys[Aliment],0)),0),0)*SUM(TotalPoneysAdultes)*21)</f>
        <v>0</v>
      </c>
      <c r="FP157" s="1282">
        <f t="array" ref="FP157">IF(OR(ChoixRationHivernaleComplètePoneys=OUI,ChoixRationHivernaleComplètePoneys="",ChoixPoneysPréHiver=NON),0,IFERROR(IF(OR(AND(INDEX(Règles_poneys[Specificite],MATCH(RationHivernaleAuPréPoneys&amp;$FN157,Règles_poneys[Ration]&amp;Règles_poneys[Aliment],0))="s1",IF($FN157=Spécificité1Poneys,1)),
AND(INDEX(Règles_poneys[Specificite],MATCH(RationHivernaleAuPréPoneys&amp;$FN157,Règles_poneys[Ration]&amp;Règles_poneys[Aliment],0))="s2",IF($FN157=Spécificité2Poneys,1)),
INDEX(Règles_poneys[Specificite],MATCH(RationHivernaleAuPréPoneys&amp;$FN157,Règles_poneys[Ration]&amp;Règles_poneys[Aliment],0))="c"),
INDEX(Règles_poneys[Valeur 24-36],MATCH(RationHivernaleAuPréPoneys&amp;$FN157,Règles_poneys[Ration]&amp;Règles_poneys[Aliment],0)),0),0)*SUM(TotalPoneys_24_36mois)*21)</f>
        <v>0</v>
      </c>
      <c r="FQ157" s="1282">
        <f t="array" ref="FQ157">IF(OR(ChoixRationHivernaleComplètePoneys=OUI,ChoixRationHivernaleComplètePoneys="",ChoixPoneysPréHiver=NON),0,IFERROR(IF(OR(AND(INDEX(Règles_poneys[Specificite],MATCH(RationHivernaleAuPréPoneys&amp;$FN157,Règles_poneys[Ration]&amp;Règles_poneys[Aliment],0))="s1",IF($FN157=Spécificité1Poneys,1)),
AND(INDEX(Règles_poneys[Specificite],MATCH(RationHivernaleAuPréPoneys&amp;$FN157,Règles_poneys[Ration]&amp;Règles_poneys[Aliment],0))="s2",IF($FN157=Spécificité2Poneys,1)),
INDEX(Règles_poneys[Specificite],MATCH(RationHivernaleAuPréPoneys&amp;$FN157,Règles_poneys[Ration]&amp;Règles_poneys[Aliment],0))="c"),
INDEX(Règles_poneys[Valeur 12-24],MATCH(RationHivernaleAuPréPoneys&amp;$FN157,Règles_poneys[Ration]&amp;Règles_poneys[Aliment],0)),0),0)*SUM(TotalPoneys_12_24mois)*21)</f>
        <v>0</v>
      </c>
      <c r="FR157" s="1285">
        <f t="array" ref="FR157">IF(OR(ChoixRationHivernaleComplètePoneys=OUI,ChoixRationHivernaleComplètePoneys="",ChoixPoneysPréHiver=NON),0,IFERROR(IF(OR(AND(INDEX(Règles_poneys[Specificite],MATCH(RationHivernaleAuPréPoneys&amp;$FN157,Règles_poneys[Ration]&amp;Règles_poneys[Aliment],0))="s1",IF($FN157=Spécificité1Poneys,1)),
AND(INDEX(Règles_poneys[Specificite],MATCH(RationHivernaleAuPréPoneys&amp;$FN157,Règles_poneys[Ration]&amp;Règles_poneys[Aliment],0))="s2",IF($FN157=Spécificité2Poneys,1)),
INDEX(Règles_poneys[Specificite],MATCH(RationHivernaleAuPréPoneys&amp;$FN157,Règles_poneys[Ration]&amp;Règles_poneys[Aliment],0))="c"),
INDEX(Règles_poneys[Valeur 0-12],MATCH(RationHivernaleAuPréPoneys&amp;$FN157,Règles_poneys[Ration]&amp;Règles_poneys[Aliment],0)),0),0)*SUM(TotalPoulainsPoneys)*21)</f>
        <v>0</v>
      </c>
      <c r="FS157" s="1285">
        <f t="shared" si="52"/>
        <v>0</v>
      </c>
      <c r="FT157" s="1345"/>
      <c r="FU157" s="1345"/>
      <c r="FV157" s="1345"/>
      <c r="FW157" s="1083" t="str">
        <f t="shared" si="49"/>
        <v>Paille</v>
      </c>
      <c r="FX157" s="1283">
        <f t="array" ref="FX157">SUM((IF(QualitéAlimentsGavageOison_0_1_mois=BONNE,VLOOKUP("Paille",AlimentsGavageOies[],5,FALSE),0)+(IF(QualitéAlimentsGavageCaneton_0_1_mois=BONNE,VLOOKUP("Paille",AlimentsGavageCanards[],5,FALSE),0)+(IF(QualitéAlimentsGavageOison_1_2_mois=BONNE,VLOOKUP("Paille",AlimentsGavageOies[],4,FALSE),0)+(IF(QualitéAlimentsGavageCaneton_1_2_mois=BONNE,VLOOKUP("Paille",AlimentsGavageCanards[],4,FALSE),0)+(IF(QualitéAlimentsGavageOison_2_3_mois=BONNE,VLOOKUP("Paille",AlimentsGavageOies[],3,FALSE),0)+(IF(QualitéAlimentsGavageCaneton_2_3_mois=BONNE,VLOOKUP("Paille",AlimentsGavageCanards[],3,FALSE),0)+(IF(QualitéAlimentsGavageJeunesOies=BONNE,VLOOKUP("Paille",AlimentsGavageOies[],2,FALSE),0)+(IF(QualitéAlimentsGavageJeuneCanard=BONNE,VLOOKUP("Paille",AlimentsGavageCanards[],2,FALSE),0))))))))))</f>
        <v>0</v>
      </c>
      <c r="FY157" s="1283">
        <f t="array" ref="FY157">SUM((IF(QualitéAlimentsGavageOison_0_1_mois=MOYENNE,VLOOKUP("Paille",AlimentsGavageOies[],5,FALSE),0)+(IF(QualitéAlimentsGavageCaneton_0_1_mois=MOYENNE,VLOOKUP("Paille",AlimentsGavageCanards[],5,FALSE),0)+(IF(QualitéAlimentsGavageOison_1_2_mois=MOYENNE,VLOOKUP("Paille",AlimentsGavageOies[],4,FALSE),0)+(IF(QualitéAlimentsGavageCaneton_1_2_mois=MOYENNE,VLOOKUP("Paille",AlimentsGavageCanards[],4,FALSE),0)+(IF(QualitéAlimentsGavageOison_2_3_mois=MOYENNE,VLOOKUP("Paille",AlimentsGavageOies[],3,FALSE),0)+(IF(QualitéAlimentsGavageCaneton_2_3_mois=MOYENNE,VLOOKUP("Paille",AlimentsGavageCanards[],3,FALSE),0)+(IF(QualitéAlimentsGavageJeunesOies=MOYENNE,VLOOKUP("Paille",AlimentsGavageOies[],2,FALSE),0)+(IF(QualitéAlimentsGavageJeuneCanard=MOYENNE,VLOOKUP("Paille",AlimentsGavageCanards[],2,FALSE),0))))))))))</f>
        <v>0</v>
      </c>
      <c r="FZ157" s="1283">
        <f t="array" ref="FZ157">SUM((IF(QualitéAlimentsGavageOison_0_1_mois=MAUVAISE,VLOOKUP("Paille",AlimentsGavageOies[],5,FALSE),0)+(IF(QualitéAlimentsGavageCaneton_0_1_mois=MAUVAISE,VLOOKUP("Paille",AlimentsGavageCanards[],5,FALSE),0)+(IF(QualitéAlimentsGavageOison_1_2_mois=MAUVAISE,VLOOKUP("Paille",AlimentsGavageOies[],4,FALSE),0)+(IF(QualitéAlimentsGavageCaneton_1_2_mois=MAUVAISE,VLOOKUP("Paille",AlimentsGavageCanards[],4,FALSE),0)+(IF(QualitéAlimentsGavageOison_2_3_mois=MAUVAISE,VLOOKUP("Paille",AlimentsGavageOies[],3,FALSE),0)+(IF(QualitéAlimentsGavageCaneton_2_3_mois=MAUVAISE,VLOOKUP("Paille",AlimentsGavageCanards[],3,FALSE),0)+(IF(QualitéAlimentsGavageJeunesOies=MAUVAISE,VLOOKUP("Paille",AlimentsGavageOies[],2,FALSE),0)+(IF(QualitéAlimentsGavageJeuneCanard=MAUVAISE,VLOOKUP("Paille",AlimentsGavageCanards[],2,FALSE),0))))))))))</f>
        <v>0</v>
      </c>
      <c r="GA157" s="1345"/>
      <c r="GB157" s="1345"/>
      <c r="GC157" s="1321"/>
      <c r="GD157" s="1321"/>
      <c r="GE157" s="1321"/>
      <c r="GF157" s="1321"/>
      <c r="GG157" s="1321" t="s">
        <v>1349</v>
      </c>
      <c r="GH157" s="1321" t="s">
        <v>1349</v>
      </c>
      <c r="GI157" s="1321" t="s">
        <v>1349</v>
      </c>
      <c r="GJ157" s="1321" t="s">
        <v>1349</v>
      </c>
      <c r="GK157" s="1321" t="s">
        <v>1349</v>
      </c>
      <c r="GL157" s="1321" t="s">
        <v>1349</v>
      </c>
      <c r="GM157" s="1321" t="s">
        <v>1349</v>
      </c>
      <c r="GN157" s="1321" t="s">
        <v>1349</v>
      </c>
      <c r="GO157" s="1321" t="s">
        <v>1349</v>
      </c>
      <c r="GP157" s="1321" t="s">
        <v>1349</v>
      </c>
      <c r="GQ157" s="1321" t="s">
        <v>1349</v>
      </c>
      <c r="GR157" s="1321" t="s">
        <v>1349</v>
      </c>
      <c r="GS157" s="1321" t="s">
        <v>1349</v>
      </c>
      <c r="GT157" s="1321" t="s">
        <v>1349</v>
      </c>
      <c r="GU157" s="1321" t="s">
        <v>1349</v>
      </c>
      <c r="GV157" s="1321" t="s">
        <v>1349</v>
      </c>
      <c r="GW157" s="1321"/>
      <c r="GX157" s="1321"/>
      <c r="GY157" s="1321"/>
      <c r="GZ157" s="1321"/>
      <c r="HA157" s="1321"/>
      <c r="HB157" s="1321"/>
      <c r="HC157" s="1321"/>
      <c r="HD157" s="1321"/>
      <c r="HE157" s="1321"/>
      <c r="HF157" s="1321"/>
      <c r="HG157" s="1321"/>
      <c r="HH157" s="1321"/>
      <c r="HI157" s="1321"/>
      <c r="HJ157" s="1321"/>
      <c r="HK157" s="1321"/>
      <c r="HL157" s="1321"/>
      <c r="HM157" s="1321"/>
      <c r="HN157" s="1321"/>
      <c r="HO157" s="1321"/>
      <c r="HP157" s="1321"/>
      <c r="HQ157" s="1321"/>
      <c r="HR157" s="1321"/>
      <c r="HS157" s="1321"/>
      <c r="HT157" s="1321"/>
      <c r="HU157" s="1321"/>
      <c r="HV157" s="1321"/>
      <c r="HW157" s="1321"/>
      <c r="HX157" s="1321"/>
      <c r="HY157" s="1321"/>
      <c r="HZ157" s="1321"/>
      <c r="IA157" s="1321"/>
      <c r="IB157" s="1321"/>
      <c r="IC157" s="1321"/>
      <c r="ID157" s="1321"/>
      <c r="IE157" s="1321"/>
      <c r="IF157" s="1321"/>
      <c r="IG157" s="1321"/>
      <c r="IH157" s="1321"/>
      <c r="II157" s="1321"/>
      <c r="IJ157" s="1321"/>
      <c r="IK157" s="1321"/>
      <c r="IL157" s="1321"/>
      <c r="IM157" s="1321"/>
      <c r="IN157" s="1368"/>
    </row>
    <row r="158" spans="1:248" ht="12.75" customHeight="1" x14ac:dyDescent="0.2">
      <c r="A158" s="1307" t="s">
        <v>202</v>
      </c>
      <c r="B158" s="1209">
        <v>0.1</v>
      </c>
      <c r="C158" s="1321"/>
      <c r="D158" s="1321"/>
      <c r="E158" s="1321"/>
      <c r="F158" s="1143" t="s">
        <v>1770</v>
      </c>
      <c r="G158" s="1143">
        <v>25</v>
      </c>
      <c r="H158" s="1321"/>
      <c r="I158" s="1076" t="str">
        <f t="shared" si="64"/>
        <v>60-69,99</v>
      </c>
      <c r="J158" s="1081">
        <f>IF(gains!F$4=BDD!O$127,10,IF(gains!F$4=BDD!P$127,20,IF(gains!F$4=BDD!Q$127,30,0)))</f>
        <v>10</v>
      </c>
      <c r="K158" s="1081">
        <f>IF(gains!$G$9=K$127,1,0)</f>
        <v>0</v>
      </c>
      <c r="L158" s="1081">
        <f>IF(gains!$G$9=L$127,2,0)</f>
        <v>0</v>
      </c>
      <c r="M158" s="1081">
        <f>IF(gains!$G$9=M$127,3,0)</f>
        <v>0</v>
      </c>
      <c r="N158" s="1081">
        <f>IF(gains!$G$9=N$127,4,0)</f>
        <v>0</v>
      </c>
      <c r="O158" s="1081">
        <f>IF(AND(J158=10,SUM(K158:N158)=1),gains!$F$40,IF(AND(J158=10,SUM(K158:N158)=2),gains!$F$40*2,IF(AND(J158=10,SUM(K158:N158)=3),gains!$F$40*3,IF(AND(J158=10,SUM(K158:N158)=4),gains!$F$40*4,0))))</f>
        <v>0</v>
      </c>
      <c r="P158" s="1081">
        <f>IF(AND(J158=20,SUM(K158:N158)=1),gains!$F$40*7,IF(AND(J158=20,SUM(K158:N158)=2),gains!$F$40*7*2,IF(AND(J158=20,SUM(K158:N158)=3),gains!$F$40*7*3,IF(AND(J158=20,SUM(K158:N158)=4),gains!$F$40*7*4,0))))</f>
        <v>0</v>
      </c>
      <c r="Q158" s="1081">
        <f>IF(AND(J158=30,SUM(K158:N158)=1),gains!$F$40*7*12,IF(AND(J158=30,SUM(K158:N158)=2),gains!$F$40*7*12*2,IF(AND(J158=30,SUM(K158:N158)=3),gains!$F$40*7*12*3,IF(AND(J158=30,SUM(K158:N158)=4),gains!$F$40*7*12*4,0))))</f>
        <v>0</v>
      </c>
      <c r="R158" s="1321"/>
      <c r="S158" s="1321"/>
      <c r="T158" s="1321"/>
      <c r="U158" s="1321"/>
      <c r="V158" s="1321"/>
      <c r="W158" s="1321"/>
      <c r="X158" s="1321"/>
      <c r="Y158" s="1321"/>
      <c r="Z158" s="1321"/>
      <c r="AA158" s="1321"/>
      <c r="AB158" s="1321"/>
      <c r="AC158" s="1321"/>
      <c r="AD158" s="1321"/>
      <c r="AE158" s="1321"/>
      <c r="AF158" s="1321"/>
      <c r="AG158" s="1321"/>
      <c r="AH158" s="1321"/>
      <c r="AI158" s="1321"/>
      <c r="AJ158" s="1321"/>
      <c r="AK158" s="1321"/>
      <c r="AL158" s="1321"/>
      <c r="AM158" s="1321"/>
      <c r="AN158" s="1321"/>
      <c r="AO158" s="1321"/>
      <c r="AP158" s="1321"/>
      <c r="AQ158" s="1321"/>
      <c r="AR158" s="1321"/>
      <c r="AS158" s="1321"/>
      <c r="AT158" s="1321"/>
      <c r="AU158" s="1321"/>
      <c r="AV158" s="1321"/>
      <c r="AW158" s="1321"/>
      <c r="AX158" s="1321"/>
      <c r="AY158" s="1321"/>
      <c r="AZ158" s="1321"/>
      <c r="BA158" s="1321"/>
      <c r="BB158" s="1236" t="s">
        <v>731</v>
      </c>
      <c r="BC158" s="1190" t="s">
        <v>1718</v>
      </c>
      <c r="BD158" s="1190" t="s">
        <v>1252</v>
      </c>
      <c r="BE158" s="1237">
        <v>0</v>
      </c>
      <c r="BF158" s="1237">
        <v>0</v>
      </c>
      <c r="BG158" s="1237">
        <v>0</v>
      </c>
      <c r="BH158" s="1237">
        <v>0</v>
      </c>
      <c r="BI158" s="1237">
        <v>0</v>
      </c>
      <c r="BJ158" s="1237">
        <v>0</v>
      </c>
      <c r="BK158" s="1238">
        <v>8</v>
      </c>
      <c r="BL158" s="1348"/>
      <c r="BM158" s="1346"/>
      <c r="BN158" s="1321"/>
      <c r="BO158" s="1321"/>
      <c r="BP158" s="1321"/>
      <c r="BQ158" s="1321"/>
      <c r="BR158" s="1321"/>
      <c r="BS158" s="1321"/>
      <c r="BT158" s="1321"/>
      <c r="BU158" s="1321"/>
      <c r="BV158" s="1345"/>
      <c r="BW158" s="1345"/>
      <c r="BX158" s="1076" t="str">
        <f t="shared" si="57"/>
        <v>Foin</v>
      </c>
      <c r="BY158" s="1076">
        <f t="array" ref="BY158">IF(ChoixRationComplèteCaprins=OUI,0,IFERROR(IF(OR(AND(INDEX(Règles_caprins[Specificite],MATCH(ChoixRationCaprins&amp;$BX158,Règles_caprins[Ration]&amp;Règles_caprins[Aliment],0))="s1",IF($BX158=Spécificité1Caprins,1)),
INDEX(Règles_caprins[Specificite],MATCH(ChoixRationCaprins&amp;$BX158,Règles_caprins[Ration]&amp;Règles_caprins[Aliment],0))="c"),
INDEX(Règles_caprins[Valeur 12 et plus],MATCH(ChoixRationCaprins&amp;$BX158,Règles_caprins[Ration]&amp;Règles_caprins[Aliment],0)),0),0)*TotalChèvres*SUM(NbreJoursNourrirCaprins))</f>
        <v>0</v>
      </c>
      <c r="BZ158" s="1076">
        <f t="array" ref="BZ158">IF(ChoixRationComplèteCaprins=OUI,0,IFERROR(IF(OR(AND(INDEX(Règles_caprins[Specificite],MATCH(ChoixRationCaprins&amp;$BX158,Règles_caprins[Ration]&amp;Règles_caprins[Aliment],0))="s1",IF($BX158=Spécificité1Caprins,1)),
INDEX(Règles_caprins[Specificite],MATCH(ChoixRationCaprins&amp;$BX158,Règles_caprins[Ration]&amp;Règles_caprins[Aliment],0))="c"),
INDEX(Règles_caprins[Valeur 6-12],MATCH(ChoixRationCaprins&amp;$BX158,Règles_caprins[Ration]&amp;Règles_caprins[Aliment],0)),0),0)*jeune_chèvre_6_12_mois*SUM(NbreJoursNourrirCaprins))</f>
        <v>0</v>
      </c>
      <c r="CA158" s="1076">
        <f t="array" ref="CA158">IF(ChoixRationComplèteCaprins=OUI,0,IFERROR(IF(OR(AND(INDEX(Règles_caprins[Specificite],MATCH(ChoixRationCaprins&amp;$BX158,Règles_caprins[Ration]&amp;Règles_caprins[Aliment],0))="s1",IF($BX158=Spécificité1Caprins,1)),
INDEX(Règles_caprins[Specificite],MATCH(ChoixRationCaprins&amp;$BX158,Règles_caprins[Ration]&amp;Règles_caprins[Aliment],0))="c"),
INDEX(Règles_caprins[Valeur 3-6],MATCH(ChoixRationCaprins&amp;$BX158,Règles_caprins[Ration]&amp;Règles_caprins[Aliment],0)),0),0)*chevrette_3_6_mois*SUM(NbreJoursNourrirCaprins))</f>
        <v>0</v>
      </c>
      <c r="CB158" s="1076">
        <f t="array" ref="CB158">IF(ChoixRationComplèteCaprins=OUI,0,IFERROR(IF(OR(AND(INDEX(Règles_caprins[Specificite],MATCH(ChoixRationCaprins&amp;$BX158,Règles_caprins[Ration]&amp;Règles_caprins[Aliment],0))="s1",IF($BX158=Spécificité1Caprins,1)),
INDEX(Règles_caprins[Specificite],MATCH(ChoixRationCaprins&amp;$BX158,Règles_caprins[Ration]&amp;Règles_caprins[Aliment],0))="c"),
INDEX(Règles_caprins[Valeur 0-3],MATCH(ChoixRationCaprins&amp;$BX158,Règles_caprins[Ration]&amp;Règles_caprins[Aliment],0)),0),0)*chevrette_0_3_mois*SUM(NbreJoursNourrirCaprins))</f>
        <v>0</v>
      </c>
      <c r="CC158" s="1076">
        <f t="shared" si="56"/>
        <v>0</v>
      </c>
      <c r="CD158" s="1345"/>
      <c r="CE158" s="1345"/>
      <c r="CF158" s="1345"/>
      <c r="CG158" s="1345"/>
      <c r="CH158" s="1345"/>
      <c r="CI158" s="1345"/>
      <c r="CJ158" s="1075" t="str">
        <f t="shared" si="51"/>
        <v>Minéraux + vitamines</v>
      </c>
      <c r="CK158" s="1269">
        <f t="array" ref="CK158">SUM((IF(QualitéAlimentsPorceletMâle_0_1_mois=BONNE,VLOOKUP("Minéraux + vitamines",AlimentsRationPorcinsMâles[],6,FALSE),0)+(IF(QualitéAlimentsPorceletFemelle_0_1_mois=BONNE,VLOOKUP("Minéraux + vitamines",AlimentsRationPorcinsFemelles[],6,FALSE),0)+(IF(QualitéAlimentsPorceletMâle_1_3_mois=BONNE,VLOOKUP("Minéraux + vitamines",AlimentsRationPorcinsMâles[],5,FALSE),0)+(IF(QualitéAlimentsPorceletFemelle_1_3_mois=BONNE,VLOOKUP("Minéraux + vitamines",AlimentsRationPorcinsFemelles[],5,FALSE),0)+(IF(QualitéAlimentsJeuneVerrat_3_6_mois=BONNE,VLOOKUP("Minéraux + vitamines",AlimentsRationPorcinsMâles[],4,FALSE),0)+(IF(QualitéAlimentsJeuneTruie_3_6_mois=BONNE,VLOOKUP("Minéraux + vitamines",AlimentsRationPorcinsFemelles[],4,FALSE),0)+(IF(QualitéAlimentsJeuneVerrat_6_12_mois=BONNE,VLOOKUP("Minéraux + vitamines",AlimentsRationPorcinsMâles[],3,FALSE),0)+(IF(QualitéAlimentsJeuneTruie_6_12_mois=BONNE,VLOOKUP("Minéraux + vitamines",AlimentsRationPorcinsFemelles[],3,FALSE),0)+(IF(QualitéAlimentsVerrat=BONNE,VLOOKUP("Minéraux + vitamines",AlimentsRationPorcinsMâles[],2,FALSE),0)+(IF(QualitéAlimentsTruie=BONNE,VLOOKUP("Minéraux + vitamines",AlimentsRationPorcinsFemelles[],2,FALSE),0))))))))))))</f>
        <v>0</v>
      </c>
      <c r="CL158" s="1269">
        <f t="array" ref="CL158">SUM((IF(QualitéAlimentsPorceletMâle_0_1_mois=MOYENNE,VLOOKUP("Minéraux + vitamines",AlimentsRationPorcinsMâles[],6,FALSE),0)+(IF(QualitéAlimentsPorceletFemelle_0_1_mois=MOYENNE,VLOOKUP("Minéraux + vitamines",AlimentsRationPorcinsFemelles[],6,FALSE),0)+(IF(QualitéAlimentsPorceletMâle_1_3_mois=MOYENNE,VLOOKUP("Minéraux + vitamines",AlimentsRationPorcinsMâles[],5,FALSE),0)+(IF(QualitéAlimentsPorceletFemelle_1_3_mois=MOYENNE,VLOOKUP("Minéraux + vitamines",AlimentsRationPorcinsFemelles[],5,FALSE),0)+(IF(QualitéAlimentsJeuneVerrat_3_6_mois=MOYENNE,VLOOKUP("Minéraux + vitamines",AlimentsRationPorcinsMâles[],4,FALSE),0)+(IF(QualitéAlimentsJeuneTruie_3_6_mois=MOYENNE,VLOOKUP("Minéraux + vitamines",AlimentsRationPorcinsFemelles[],4,FALSE),0)+(IF(QualitéAlimentsJeuneVerrat_6_12_mois=MOYENNE,VLOOKUP("Minéraux + vitamines",AlimentsRationPorcinsMâles[],3,FALSE),0)+(IF(QualitéAlimentsJeuneTruie_6_12_mois=MOYENNE,VLOOKUP("Minéraux + vitamines",AlimentsRationPorcinsFemelles[],3,FALSE),0)+(IF(QualitéAlimentsVerrat=MOYENNE,VLOOKUP("Minéraux + vitamines",AlimentsRationPorcinsMâles[],2,FALSE),0)+(IF(QualitéAlimentsTruie=MOYENNE,VLOOKUP("Minéraux + vitamines",AlimentsRationPorcinsFemelles[],2,FALSE),0))))))))))))</f>
        <v>0</v>
      </c>
      <c r="CM158" s="1269">
        <f t="array" ref="CM158">SUM((IF(QualitéAlimentsPorceletMâle_0_1_mois=MAUVAISE,VLOOKUP("Minéraux + vitamines",AlimentsRationPorcinsMâles[],6,FALSE),0)+(IF(QualitéAlimentsPorceletFemelle_0_1_mois=MAUVAISE,VLOOKUP("Minéraux + vitamines",AlimentsRationPorcinsFemelles[],6,FALSE),0)+(IF(QualitéAlimentsPorceletMâle_1_3_mois=MAUVAISE,VLOOKUP("Minéraux + vitamines",AlimentsRationPorcinsMâles[],5,FALSE),0)+(IF(QualitéAlimentsPorceletFemelle_1_3_mois=MAUVAISE,VLOOKUP("Minéraux + vitamines",AlimentsRationPorcinsFemelles[],5,FALSE),0)+(IF(QualitéAlimentsJeuneVerrat_3_6_mois=MAUVAISE,VLOOKUP("Minéraux + vitamines",AlimentsRationPorcinsMâles[],4,FALSE),0)+(IF(QualitéAlimentsJeuneTruie_3_6_mois=MAUVAISE,VLOOKUP("Minéraux + vitamines",AlimentsRationPorcinsFemelles[],4,FALSE),0)+(IF(QualitéAlimentsJeuneVerrat_6_12_mois=MAUVAISE,VLOOKUP("Minéraux + vitamines",AlimentsRationPorcinsMâles[],3,FALSE),0)+(IF(QualitéAlimentsJeuneTruie_6_12_mois=MAUVAISE,VLOOKUP("Minéraux + vitamines",AlimentsRationPorcinsFemelles[],3,FALSE),0)+(IF(QualitéAlimentsVerrat=MAUVAISE,VLOOKUP("Minéraux + vitamines",AlimentsRationPorcinsMâles[],2,FALSE),0)+(IF(QualitéAlimentsTruie=MAUVAISE,VLOOKUP("Minéraux + vitamines",AlimentsRationPorcinsFemelles[],2,FALSE),0))))))))))))</f>
        <v>0</v>
      </c>
      <c r="CN158" s="1320"/>
      <c r="CO158" s="1320"/>
      <c r="CP158" s="1345"/>
      <c r="CQ158" s="1321"/>
      <c r="CR158" s="1321"/>
      <c r="CS158" s="1075" t="str">
        <f t="shared" si="66"/>
        <v>Bouchons luzerne</v>
      </c>
      <c r="CT158" s="1269">
        <f t="array" ref="CT158">SUM((IF(QualitéAlimentsLapereauMâle_0_1_mois=BONNE,VLOOKUP("Bouchons luzerne",AlimentsRationLapinsMâles[],4,FALSE),0)+(IF(QualitéAlimentsLapereauFemelle_0_1_mois=BONNE,VLOOKUP("Bouchons luzerne",AlimentsRationLapinsFemelles[],4,FALSE),0)+(IF(QualitéAlimentsJeuneLapin=BONNE,VLOOKUP("Bouchons luzerne",AlimentsRationLapinsMâles[],3,FALSE),0)+(IF(QualitéAlimentsJeuneLapine=BONNE,VLOOKUP("Bouchons luzerne",AlimentsRationLapinsFemelles[],3,FALSE),0)+(IF(QualitéAlimentsLapin=BONNE,VLOOKUP("Bouchons luzerne",AlimentsRationLapinsMâles[],2,FALSE),0)+(IF(QualitéAlimentsLapine=BONNE,VLOOKUP("Bouchons luzerne",AlimentsRationLapinsFemelles[],2,FALSE),0))))))))</f>
        <v>0</v>
      </c>
      <c r="CU158" s="1269">
        <f t="array" ref="CU158">SUM((IF(QualitéAlimentsLapereauMâle_0_1_mois=MOYENNE,VLOOKUP("Bouchons luzerne",AlimentsRationLapinsMâles[],4,FALSE),0)+(IF(QualitéAlimentsLapereauFemelle_0_1_mois=MOYENNE,VLOOKUP("Bouchons luzerne",AlimentsRationLapinsFemelles[],4,FALSE),0)+(IF(QualitéAlimentsJeuneLapin=MOYENNE,VLOOKUP("Bouchons luzerne",AlimentsRationLapinsMâles[],3,FALSE),0)+(IF(QualitéAlimentsJeuneLapine=MOYENNE,VLOOKUP("Bouchons luzerne",AlimentsRationLapinsFemelles[],3,FALSE),0)+(IF(QualitéAlimentsLapin=MOYENNE,VLOOKUP("Bouchons luzerne",AlimentsRationLapinsMâles[],2,FALSE),0)+(IF(QualitéAlimentsLapine=MOYENNE,VLOOKUP("Bouchons luzerne",AlimentsRationLapinsFemelles[],2,FALSE),0))))))))</f>
        <v>0</v>
      </c>
      <c r="CV158" s="1269">
        <f t="array" ref="CV158">SUM((IF(QualitéAlimentsLapereauMâle_0_1_mois=MAUVAISE,VLOOKUP("Bouchons luzerne",AlimentsRationLapinsMâles[],4,FALSE),0)+(IF(QualitéAlimentsLapereauFemelle_0_1_mois=MAUVAISE,VLOOKUP("Bouchons luzerne",AlimentsRationLapinsFemelles[],4,FALSE),0)+(IF(QualitéAlimentsJeuneLapin=MAUVAISE,VLOOKUP("Bouchons luzerne",AlimentsRationLapinsMâles[],3,FALSE),0)+(IF(QualitéAlimentsJeuneLapine=MAUVAISE,VLOOKUP("Bouchons luzerne",AlimentsRationLapinsFemelles[],3,FALSE),0)+(IF(QualitéAlimentsLapin=MAUVAISE,VLOOKUP("Bouchons luzerne",AlimentsRationLapinsMâles[],2,FALSE),0)+(IF(QualitéAlimentsLapine=MAUVAISE,VLOOKUP("Bouchons luzerne",AlimentsRationLapinsFemelles[],2,FALSE),0))))))))</f>
        <v>0</v>
      </c>
      <c r="CW158" s="1321"/>
      <c r="CX158" s="1321"/>
      <c r="CY158" s="1321"/>
      <c r="CZ158" s="1076" t="str">
        <f t="shared" si="65"/>
        <v>Chanvre</v>
      </c>
      <c r="DA158" s="1267">
        <f t="array" ref="DA158">SUM((IF(QualitéAlimentsPoussinMâle_0_1_mois=BONNE,VLOOKUP("Chanvre",AlimentsRationVolaillesMâles[],4,FALSE),0)+(IF(QualitéAlimentsPoussinFemelle_0_1_mois=BONNE,VLOOKUP("Chanvre",AlimentsRationVolaillesFemelles[],4,FALSE),0)+(IF(QualitéAlimentsJeuneCoq=BONNE,VLOOKUP("Chanvre",AlimentsRationVolaillesMâles[],3,FALSE),0)+(IF(QualitéAlimentsJeunePoule=BONNE,VLOOKUP("Chanvre",AlimentsRationVolaillesFemelles[],3,FALSE),0)+(IF(QualitéAlimentsCoq=BONNE,VLOOKUP("Chanvre",AlimentsRationVolaillesMâles[],2,FALSE),0)+(IF(QualitéAlimentsPoule=BONNE,VLOOKUP("Chanvre",AlimentsRationVolaillesFemelles[],2,FALSE),0))))))))</f>
        <v>0</v>
      </c>
      <c r="DB158" s="1267">
        <f t="array" ref="DB158">SUM((IF(QualitéAlimentsPoussinMâle_0_1_mois=MOYENNE,VLOOKUP("Chanvre",AlimentsRationVolaillesMâles[],4,FALSE),0)+(IF(QualitéAlimentsPoussinFemelle_0_1_mois=MOYENNE,VLOOKUP("Chanvre",AlimentsRationVolaillesFemelles[],4,FALSE),0)+(IF(QualitéAlimentsJeuneCoq=MOYENNE,VLOOKUP("Chanvre",AlimentsRationVolaillesMâles[],3,FALSE),0)+(IF(QualitéAlimentsJeunePoule=MOYENNE,VLOOKUP("Chanvre",AlimentsRationVolaillesFemelles[],3,FALSE),0)+(IF(QualitéAlimentsCoq=MOYENNE,VLOOKUP("Chanvre",AlimentsRationVolaillesMâles[],2,FALSE),0)+(IF(QualitéAlimentsPoule=MOYENNE,VLOOKUP("Chanvre",AlimentsRationVolaillesFemelles[],2,FALSE),0))))))))</f>
        <v>0</v>
      </c>
      <c r="DC158" s="1267">
        <f t="array" ref="DC158">SUM((IF(QualitéAlimentsPoussinMâle_0_1_mois=MAUVAISE,VLOOKUP("Chanvre",AlimentsRationVolaillesMâles[],4,FALSE),0)+(IF(QualitéAlimentsPoussinFemelle_0_1_mois=MAUVAISE,VLOOKUP("Chanvre",AlimentsRationVolaillesFemelles[],4,FALSE),0)+(IF(QualitéAlimentsJeuneCoq=MAUVAISE,VLOOKUP("Chanvre",AlimentsRationVolaillesMâles[],3,FALSE),0)+(IF(QualitéAlimentsJeunePoule=MAUVAISE,VLOOKUP("Chanvre",AlimentsRationVolaillesFemelles[],3,FALSE),0)+(IF(QualitéAlimentsCoq=MAUVAISE,VLOOKUP("Chanvre",AlimentsRationVolaillesMâles[],2,FALSE),0)+(IF(QualitéAlimentsPoule=MAUVAISE,VLOOKUP("Chanvre",AlimentsRationVolaillesFemelles[],2,FALSE),0))))))))</f>
        <v>0</v>
      </c>
      <c r="DD158" s="1321"/>
      <c r="DE158" s="1321"/>
      <c r="DF158" s="1321"/>
      <c r="DG158" s="1076" t="str">
        <f t="shared" si="58"/>
        <v>Foin</v>
      </c>
      <c r="DH158" s="1267">
        <f t="array" ref="DH158">SUM((IF(QualitéAlimentsPintadeauMâle_0_1_mois=BONNE,VLOOKUP("Foin",AlimentsRationPintadesMâles[],4,FALSE),0)+(IF(QualitéAlimentsPintadeauFemelle_0_1_mois=BONNE,VLOOKUP("Foin",AlimentsRationPintadesFemelles[],4,FALSE),0)+(IF(QualitéAlimentsJeunePintadeMâle=BONNE,VLOOKUP("Foin",AlimentsRationPintadesMâles[],3,FALSE),0)+(IF(QualitéAlimentsJeunePintadeFemelle=BONNE,VLOOKUP("Foin",AlimentsRationPintadesFemelles[],3,FALSE),0)+(IF(QualitéAlimentsPintadeMâle=BONNE,VLOOKUP("Foin",AlimentsRationPintadesMâles[],2,FALSE),0)+(IF(QualitéAlimentsPintadeFemelle=BONNE,VLOOKUP("Foin",AlimentsRationPintadesFemelles[],2,FALSE),0))))))))</f>
        <v>0</v>
      </c>
      <c r="DI158" s="1267">
        <f t="array" ref="DI158">SUM((IF(QualitéAlimentsPintadeauMâle_0_1_mois=MOYENNE,VLOOKUP("Foin",AlimentsRationPintadesMâles[],4,FALSE),0)+(IF(QualitéAlimentsPintadeauFemelle_0_1_mois=MOYENNE,VLOOKUP("Foin",AlimentsRationPintadesFemelles[],4,FALSE),0)+(IF(QualitéAlimentsJeunePintadeMâle=MOYENNE,VLOOKUP("Foin",AlimentsRationPintadesMâles[],3,FALSE),0)+(IF(QualitéAlimentsJeunePintadeFemelle=MOYENNE,VLOOKUP("Foin",AlimentsRationPintadesFemelles[],3,FALSE),0)+(IF(QualitéAlimentsPintadeMâle=MOYENNE,VLOOKUP("Foin",AlimentsRationPintadesMâles[],2,FALSE),0)+(IF(QualitéAlimentsPintadeFemelle=MOYENNE,VLOOKUP("Foin",AlimentsRationPintadesFemelles[],2,FALSE),0))))))))</f>
        <v>0</v>
      </c>
      <c r="DJ158" s="1267">
        <f t="array" ref="DJ158">SUM((IF(QualitéAlimentsPintadeauMâle_0_1_mois=MAUVAISE,VLOOKUP("Foin",AlimentsRationPintadesMâles[],4,FALSE),0)+(IF(QualitéAlimentsPintadeauFemelle_0_1_mois=MAUVAISE,VLOOKUP("Foin",AlimentsRationPintadesFemelles[],4,FALSE),0)+(IF(QualitéAlimentsJeunePintadeMâle=MAUVAISE,VLOOKUP("Foin",AlimentsRationPintadesMâles[],3,FALSE),0)+(IF(QualitéAlimentsJeunePintadeFemelle=MAUVAISE,VLOOKUP("Foin",AlimentsRationPintadesFemelles[],3,FALSE),0)+(IF(QualitéAlimentsPintadeMâle=MAUVAISE,VLOOKUP("Foin",AlimentsRationPintadesMâles[],2,FALSE),0)+(IF(QualitéAlimentsPintadeFemelle=MAUVAISE,VLOOKUP("Foin",AlimentsRationPintadesFemelles[],2,FALSE),0))))))))</f>
        <v>0</v>
      </c>
      <c r="DK158" s="1321"/>
      <c r="DL158" s="1321"/>
      <c r="DM158" s="1321"/>
      <c r="DN158" s="1076" t="s">
        <v>1719</v>
      </c>
      <c r="DO158" s="1267">
        <f t="array" ref="DO158">IF(ChoixRationComplèteOvins=OUI,0,IFERROR(IF(OR(AND(INDEX(Règles_ovins[Specificite],MATCH(ChoixRationOvins&amp;$DN158,Règles_ovins[Ration]&amp;Règles_ovins[Aliment],0))="s1",IF($DN158=Spécificité1Ovins,1)),
AND(INDEX(Règles_ovins[Specificite],MATCH(ChoixRationOvins&amp;$DN158,Règles_ovins[Ration]&amp;Règles_ovins[Aliment],0))="s2",IF($DN158=Spécificité2Ovins,1)),
INDEX(Règles_ovins[Specificite],MATCH(ChoixRationOvins&amp;$DN158,Règles_ovins[Ration]&amp;Règles_ovins[Aliment],0))="c"),
INDEX(Règles_ovins[Valeur 12 et plus],MATCH(ChoixRationOvins&amp;$DN158,Règles_ovins[Ration]&amp;Règles_ovins[Aliment],0)),0),0)*IF(ChoixOvinsPréHiver=OUI,SUM(TotalOvinsAdultesRacesLaitières)*NbreJoursNourrirOvins,TotalBéliers*SUM(NbreJoursNourrirOvins)))</f>
        <v>0</v>
      </c>
      <c r="DP158" s="1267">
        <f t="array" ref="DP158">IF(ChoixRationComplèteOvins=OUI,0,IFERROR(IF(OR(AND(INDEX(Règles_ovins[Specificite],MATCH(ChoixRationOvins&amp;$DN158,Règles_ovins[Ration]&amp;Règles_ovins[Aliment],0))="s1",IF($DN158=Spécificité1Ovins,1)),
AND(INDEX(Règles_ovins[Specificite],MATCH(ChoixRationOvins&amp;$DN158,Règles_ovins[Ration]&amp;Règles_ovins[Aliment],0))="s2",IF($DN158=Spécificité2Ovins,1)),
INDEX(Règles_ovins[Specificite],MATCH(ChoixRationOvins&amp;$DN158,Règles_ovins[Ration]&amp;Règles_ovins[Aliment],0))="c"),
INDEX(Règles_ovins[Valeur 6-12],MATCH(ChoixRationOvins&amp;$DN158,Règles_ovins[Ration]&amp;Règles_ovins[Aliment],0)),0),0)*IF(ChoixOvinsPréHiver=OUI,SUM(TotalJeunesOvinsRacesLaitières)*NbreJoursNourrirOvins,TotalJeune_bélier_6_12_mois*SUM(NbreJoursNourrirOvins)))</f>
        <v>0</v>
      </c>
      <c r="DQ158" s="1267">
        <f t="array" ref="DQ158">IF(ChoixRationComplèteOvins=OUI,0,IFERROR(IF(OR(AND(INDEX(Règles_ovins[Specificite],MATCH(ChoixRationOvins&amp;$DN158,Règles_ovins[Ration]&amp;Règles_ovins[Aliment],0))="s1",IF($DN158=Spécificité1Ovins,1)),
AND(INDEX(Règles_ovins[Specificite],MATCH(ChoixRationOvins&amp;$DN158,Règles_ovins[Ration]&amp;Règles_ovins[Aliment],0))="s2",IF($DN158=Spécificité2Ovins,1)),
INDEX(Règles_ovins[Specificite],MATCH(ChoixRationOvins&amp;$DN158,Règles_ovins[Ration]&amp;Règles_ovins[Aliment],0))="c"),
INDEX(Règles_ovins[Valeur 3-6],MATCH(ChoixRationOvins&amp;$DN158,Règles_ovins[Ration]&amp;Règles_ovins[Aliment],0)),0),0)*IF(ChoixOvinsPréHiver=OUI,SUM(TotalOvins_3_6moisRacesLaitières)*NbreJoursNourrirOvins,TotalAgneau_3_6_mois*SUM(NbreJoursNourrirOvins)))</f>
        <v>0</v>
      </c>
      <c r="DR158" s="1267">
        <f t="array" ref="DR158">IF(ChoixRationComplèteOvins=OUI,0,IFERROR(IF(OR(AND(INDEX(Règles_ovins[Specificite],MATCH(ChoixRationOvins&amp;$DN158,Règles_ovins[Ration]&amp;Règles_ovins[Aliment],0))="s1",IF($DN158=Spécificité1Ovins,1)),
AND(INDEX(Règles_ovins[Specificite],MATCH(ChoixRationOvins&amp;$DN158,Règles_ovins[Ration]&amp;Règles_ovins[Aliment],0))="s2",IF($DN158=Spécificité2Ovins,1)),
INDEX(Règles_ovins[Specificite],MATCH(ChoixRationOvins&amp;$DN158,Règles_ovins[Ration]&amp;Règles_ovins[Aliment],0))="c"),
INDEX(Règles_ovins[Valeur 0-3],MATCH(ChoixRationOvins&amp;$DN158,Règles_ovins[Ration]&amp;Règles_ovins[Aliment],0)),0),0)*IF(ChoixOvinsPréHiver=OUI,SUM(TotalOvins_3_6moisRacesLaitières)*NbreJoursNourrirOvins,TotalAgneau_0_3_mois*SUM(NbreJoursNourrirOvins)))</f>
        <v>0</v>
      </c>
      <c r="DS158" s="1279">
        <f t="shared" si="61"/>
        <v>0</v>
      </c>
      <c r="DT158" s="1346"/>
      <c r="DU158" s="1346"/>
      <c r="DV158" s="1321"/>
      <c r="DW158" s="1321"/>
      <c r="DX158" s="1321"/>
      <c r="DY158" s="1321"/>
      <c r="DZ158" s="1321"/>
      <c r="EA158" s="1321"/>
      <c r="EB158" s="1321"/>
      <c r="EC158" s="1321"/>
      <c r="ED158" s="1345"/>
      <c r="EE158" s="1345"/>
      <c r="EF158" s="1321"/>
      <c r="EG158" s="1076" t="str">
        <f t="shared" si="63"/>
        <v>concentré jeunes lapins</v>
      </c>
      <c r="EH158" s="1267">
        <f t="array" ref="EH158">SUM((IF(QualitéAlimentsOisonMâle_0_3_mois=BONNE,VLOOKUP("Concentré jeunes lapins",AlimentsRationOiesMâles[],4,FALSE),0)+(IF(QualitéAlimentsOisonFemelle_0_3_mois=BONNE,VLOOKUP("Concentré jeunes lapins",AlimentsRationOiesFemelles[],4,FALSE),0)+(IF(QualitéAlimentsJeuneJars=BONNE,VLOOKUP("Concentré jeunes lapins",AlimentsRationOiesMâles[],3,FALSE),0)+(IF(QualitéAlimentsJeuneOie=BONNE,VLOOKUP("Concentré jeunes lapins",AlimentsRationOiesFemelles[],3,FALSE),0)+(IF(QualitéAlimentsJars=BONNE,VLOOKUP("Concentré jeunes lapins",AlimentsRationOiesMâles[],2,FALSE),0)+(IF(QualitéAlimentsOie=BONNE,VLOOKUP("Concentré jeunes lapins",AlimentsRationOiesFemelles[],2,FALSE),0))))))))</f>
        <v>0</v>
      </c>
      <c r="EI158" s="1267">
        <f t="array" ref="EI158">SUM((IF(QualitéAlimentsOisonMâle_0_3_mois=MOYENNE,VLOOKUP("Concentré jeunes lapins",AlimentsRationOiesMâles[],4,FALSE),0)+(IF(QualitéAlimentsOisonFemelle_0_3_mois=MOYENNE,VLOOKUP("Concentré jeunes lapins",AlimentsRationOiesFemelles[],4,FALSE),0)+(IF(QualitéAlimentsJeuneJars=MOYENNE,VLOOKUP("Concentré jeunes lapins",AlimentsRationOiesMâles[],3,FALSE),0)+(IF(QualitéAlimentsJeuneOie=MOYENNE,VLOOKUP("Concentré jeunes lapins",AlimentsRationOiesFemelles[],3,FALSE),0)+(IF(QualitéAlimentsJars=MOYENNE,VLOOKUP("Concentré jeunes lapins",AlimentsRationOiesMâles[],2,FALSE),0)+(IF(QualitéAlimentsOie=MOYENNE,VLOOKUP("Concentré jeunes lapins",AlimentsRationOiesFemelles[],2,FALSE),0))))))))</f>
        <v>0</v>
      </c>
      <c r="EJ158" s="1267">
        <f t="array" ref="EJ158">SUM((IF(QualitéAlimentsOisonMâle_0_3_mois=MAUVAISE,VLOOKUP("Concentré jeunes lapins",AlimentsRationOiesMâles[],4,FALSE),0)+(IF(QualitéAlimentsOisonFemelle_0_3_mois=MAUVAISE,VLOOKUP("Concentré jeunes lapins",AlimentsRationOiesFemelles[],4,FALSE),0)+(IF(QualitéAlimentsJeuneJars=MAUVAISE,VLOOKUP("Concentré jeunes lapins",AlimentsRationOiesMâles[],3,FALSE),0)+(IF(QualitéAlimentsJeuneOie=MAUVAISE,VLOOKUP("Concentré jeunes lapins",AlimentsRationOiesFemelles[],3,FALSE),0)+(IF(QualitéAlimentsJars=MAUVAISE,VLOOKUP("Concentré jeunes lapins",AlimentsRationOiesMâles[],2,FALSE),0)+(IF(QualitéAlimentsOie=MAUVAISE,VLOOKUP("Concentré jeunes lapins",AlimentsRationOiesFemelles[],2,FALSE),0))))))))</f>
        <v>0</v>
      </c>
      <c r="EK158" s="1345"/>
      <c r="EL158" s="1345"/>
      <c r="EM158" s="1321"/>
      <c r="EN158" s="1083" t="str">
        <f t="shared" si="62"/>
        <v>concentré jeunes porcins</v>
      </c>
      <c r="EO158" s="1283">
        <f t="array" ref="EO158">SUM((IF(QualitéAlimentsCanetonMâle=BONNE,VLOOKUP("Concentré jeunes porcins",AlimentsRationCanardsMâles,4,FALSE),0)+(IF(QualitéAlimentsCanetonFemelle=BONNE,VLOOKUP("Concentré jeunes porcins",AlimentsRationCanardsFemelles,4,FALSE),0)+(IF(QualitéAlimentsJeuneCanard=BONNE,VLOOKUP("Concentré jeunes porcins",AlimentsRationCanardsMâles,3,FALSE),0)+(IF(QualitéAlimentsJeuneCane=BONNE,VLOOKUP("Concentré jeunes porcins",AlimentsRationCanardsFemelles,3,FALSE),0)+(IF(QualitéAlimentsCanard=BONNE,VLOOKUP("Concentré jeunes porcins",AlimentsRationCanardsMâles,2,FALSE),0)+(IF(QualitéAlimentsCane=BONNE,VLOOKUP("Concentré jeunes porcins",AlimentsRationCanardsFemelles,2,FALSE),0))))))))</f>
        <v>0</v>
      </c>
      <c r="EP158" s="1283">
        <f t="array" ref="EP158">SUM((IF(QualitéAlimentsCanetonMâle=MOYENNE,VLOOKUP("Concentré jeunes porcins",AlimentsRationCanardsMâles,4,FALSE),0)+(IF(QualitéAlimentsCanetonFemelle=MOYENNE,VLOOKUP("Concentré jeunes porcins",AlimentsRationCanardsFemelles,4,FALSE),0)+(IF(QualitéAlimentsJeuneCanard=MOYENNE,VLOOKUP("Concentré jeunes porcins",AlimentsRationCanardsMâles,3,FALSE),0)+(IF(QualitéAlimentsJeuneCane=MOYENNE,VLOOKUP("Concentré jeunes porcins",AlimentsRationCanardsFemelles,3,FALSE),0)+(IF(QualitéAlimentsCanard=MOYENNE,VLOOKUP("Concentré jeunes porcins",AlimentsRationCanardsMâles,2,FALSE),0)+(IF(QualitéAlimentsCane=MOYENNE,VLOOKUP("Concentré jeunes porcins",AlimentsRationCanardsFemelles,2,FALSE),0))))))))</f>
        <v>0</v>
      </c>
      <c r="EQ158" s="1283">
        <f t="array" ref="EQ158">SUM((IF(QualitéAlimentsCanetonMâle=MAUVAISE,VLOOKUP("Concentré jeunes porcins",AlimentsRationCanardsMâles,4,FALSE),0)+(IF(QualitéAlimentsCanetonFemelle=MAUVAISE,VLOOKUP("Concentré jeunes porcins",AlimentsRationCanardsFemelles,4,FALSE),0)+(IF(QualitéAlimentsJeuneCanard=MAUVAISE,VLOOKUP("Concentré jeunes porcins",AlimentsRationCanardsMâles,3,FALSE),0)+(IF(QualitéAlimentsJeuneCane=MAUVAISE,VLOOKUP("Concentré jeunes porcins",AlimentsRationCanardsFemelles,3,FALSE),0)+(IF(QualitéAlimentsCanard=MAUVAISE,VLOOKUP("Concentré jeunes porcins",AlimentsRationCanardsMâles,2,FALSE),0)+(IF(QualitéAlimentsCane=MAUVAISE,VLOOKUP("Concentré jeunes porcins",AlimentsRationCanardsFemelles,2,FALSE),0))))))))</f>
        <v>0</v>
      </c>
      <c r="ER158" s="1345"/>
      <c r="ES158" s="1345"/>
      <c r="ET158" s="1321"/>
      <c r="EU158" s="1082" t="str">
        <f t="shared" si="60"/>
        <v>Ensilage d'herbe</v>
      </c>
      <c r="EV158" s="1282">
        <f t="array" ref="EV158">IF(OR(ChoixRationHivernaleComplèteChevauxSelle=OUI,ChoixRationHivernaleComplèteChevauxSelle="",ChoixChevauxSellePréHiver=NON),0,IFERROR(IF(OR(AND(INDEX(Règles_chevaux_selle[Specificite],MATCH(RationHivernaleAuPréChevauxSelle&amp;$EU158,Règles_chevaux_selle[Ration]&amp;Règles_chevaux_selle[Aliment],0))="s1",IF($EU158=Spécificité1ChevauxSelle,1)),
AND(INDEX(Règles_chevaux_selle[Specificite],MATCH(RationHivernaleAuPréChevauxSelle&amp;$EU158,Règles_chevaux_selle[Ration]&amp;Règles_chevaux_selle[Aliment],0))="s2",IF($EU158=Spécificité2ChevauxSelle,1)),
INDEX(Règles_chevaux_selle[Specificite],MATCH(RationHivernaleAuPréChevauxSelle&amp;$EU158,Règles_chevaux_selle[Ration]&amp;Règles_chevaux_selle[Aliment],0))="c"),
INDEX(Règles_chevaux_selle[Valeur 36 et plus],MATCH(RationHivernaleAuPréChevauxSelle&amp;$EU158,Règles_chevaux_selle[Ration]&amp;Règles_chevaux_selle[Aliment],0)),0),0)*SUM(TotalChevauxSelleAdultes)*21)</f>
        <v>0</v>
      </c>
      <c r="EW158" s="1282">
        <f t="array" ref="EW158">IF(OR(ChoixRationHivernaleComplèteChevauxSelle=OUI,ChoixRationHivernaleComplèteChevauxSelle="",ChoixChevauxSellePréHiver=NON),0,IFERROR(IF(OR(AND(INDEX(Règles_chevaux_selle[Specificite],MATCH(RationHivernaleAuPréChevauxSelle&amp;$EU158,Règles_chevaux_selle[Ration]&amp;Règles_chevaux_selle[Aliment],0))="s1",IF($EU158=Spécificité1ChevauxSelle,1)),
AND(INDEX(Règles_chevaux_selle[Specificite],MATCH(RationHivernaleAuPréChevauxSelle&amp;$EU158,Règles_chevaux_selle[Ration]&amp;Règles_chevaux_selle[Aliment],0))="s2",IF($EU158=Spécificité2ChevauxSelle,1)),
INDEX(Règles_chevaux_selle[Specificite],MATCH(RationHivernaleAuPréChevauxSelle&amp;$EU158,Règles_chevaux_selle[Ration]&amp;Règles_chevaux_selle[Aliment],0))="c"),
INDEX(Règles_chevaux_selle[Valeur 24-36],MATCH(RationHivernaleAuPréChevauxSelle&amp;$EU158,Règles_chevaux_selle[Ration]&amp;Règles_chevaux_selle[Aliment],0)),0),0)*SUM(TotalChevauxSelle_24_36mois)*21)</f>
        <v>0</v>
      </c>
      <c r="EX158" s="1282">
        <f t="array" ref="EX158">IF(OR(ChoixRationHivernaleComplèteChevauxSelle=OUI,ChoixRationHivernaleComplèteChevauxSelle="",ChoixChevauxSellePréHiver=NON),0,IFERROR(IF(OR(AND(INDEX(Règles_chevaux_selle[Specificite],MATCH(RationHivernaleAuPréChevauxSelle&amp;$EU158,Règles_chevaux_selle[Ration]&amp;Règles_chevaux_selle[Aliment],0))="s1",IF($EU158=Spécificité1ChevauxSelle,1)),
AND(INDEX(Règles_chevaux_selle[Specificite],MATCH(RationHivernaleAuPréChevauxSelle&amp;$EU158,Règles_chevaux_selle[Ration]&amp;Règles_chevaux_selle[Aliment],0))="s2",IF($EU158=Spécificité2ChevauxSelle,1)),
INDEX(Règles_chevaux_selle[Specificite],MATCH(RationHivernaleAuPréChevauxSelle&amp;$EU158,Règles_chevaux_selle[Ration]&amp;Règles_chevaux_selle[Aliment],0))="c"),
INDEX(Règles_chevaux_selle[Valeur 12-24],MATCH(RationHivernaleAuPréChevauxSelle&amp;$EU158,Règles_chevaux_selle[Ration]&amp;Règles_chevaux_selle[Aliment],0)),0),0)*SUM(TotalChevauxSelle_12_24mois)*21)</f>
        <v>0</v>
      </c>
      <c r="EY158" s="1285">
        <f t="array" ref="EY158">IF(OR(ChoixRationHivernaleComplèteChevauxSelle=OUI,ChoixRationHivernaleComplèteChevauxSelle="",ChoixChevauxSellePréHiver=NON),0,IFERROR(IF(OR(AND(INDEX(Règles_chevaux_selle[Specificite],MATCH(RationHivernaleAuPréChevauxSelle&amp;$EU158,Règles_chevaux_selle[Ration]&amp;Règles_chevaux_selle[Aliment],0))="s1",IF($EU158=Spécificité1ChevauxSelle,1)),
AND(INDEX(Règles_chevaux_selle[Specificite],MATCH(RationHivernaleAuPréChevauxSelle&amp;$EU158,Règles_chevaux_selle[Ration]&amp;Règles_chevaux_selle[Aliment],0))="s2",IF($EU158=Spécificité2ChevauxSelle,1)),
INDEX(Règles_chevaux_selle[Specificite],MATCH(RationHivernaleAuPréChevauxSelle&amp;$EU158,Règles_chevaux_selle[Ration]&amp;Règles_chevaux_selle[Aliment],0))="c"),
INDEX(Règles_chevaux_selle[Valeur 0-12],MATCH(RationHivernaleAuPréChevauxSelle&amp;$EU158,Règles_chevaux_selle[Ration]&amp;Règles_chevaux_selle[Aliment],0)),0),0)*SUM(TotalPoulainsSelle)*21)</f>
        <v>0</v>
      </c>
      <c r="EZ158" s="1285">
        <f t="shared" si="59"/>
        <v>0</v>
      </c>
      <c r="FA158" s="1345"/>
      <c r="FB158" s="1345"/>
      <c r="FC158" s="1321"/>
      <c r="FD158" s="1082" t="str">
        <f t="shared" si="55"/>
        <v>Lentille</v>
      </c>
      <c r="FE158" s="1282">
        <f t="array" ref="FE158">IF(OR(ChoixRationHivernaleComplèteChevauxTrait=OUI,ChoixRationHivernaleComplèteChevauxTrait="",ChoixChevauxTraitPréHiver=NON),0,IFERROR(IF(OR(AND(INDEX(Règles_chevaux_trait[Specificite],MATCH(RationHivernaleAuPréChevauxTrait&amp;$FD158,Règles_chevaux_trait[Ration]&amp;Règles_chevaux_trait[Aliment],0))="s1",IF($FD158=Spécificité1ChevauxTrait,1)),
AND(INDEX(Règles_chevaux_trait[Specificite],MATCH(RationHivernaleAuPréChevauxTrait&amp;$FD158,Règles_chevaux_trait[Ration]&amp;Règles_chevaux_trait[Aliment],0))="s2",IF($FD158=Spécificité2ChevauxTrait,1)),
INDEX(Règles_chevaux_trait[Specificite],MATCH(RationHivernaleAuPréChevauxTrait&amp;$FD158,Règles_chevaux_trait[Ration]&amp;Règles_chevaux_trait[Aliment],0))="c"),
INDEX(Règles_chevaux_trait[Valeur 36 et plus],MATCH(RationHivernaleAuPréChevauxTrait&amp;$FD158,Règles_chevaux_trait[Ration]&amp;Règles_chevaux_trait[Aliment],0)),0),0)*SUM(TotalChevauxTraitAdultes)*21)</f>
        <v>0</v>
      </c>
      <c r="FF158" s="1282">
        <f t="array" ref="FF158">IF(OR(ChoixRationHivernaleComplèteChevauxTrait=OUI,ChoixRationHivernaleComplèteChevauxTrait="",ChoixChevauxTraitPréHiver=NON),0,IFERROR(IF(OR(AND(INDEX(Règles_chevaux_trait[Specificite],MATCH(RationHivernaleAuPréChevauxTrait&amp;$FD158,Règles_chevaux_trait[Ration]&amp;Règles_chevaux_trait[Aliment],0))="s1",IF($FD158=Spécificité1ChevauxTrait,1)),
AND(INDEX(Règles_chevaux_trait[Specificite],MATCH(RationHivernaleAuPréChevauxTrait&amp;$FD158,Règles_chevaux_trait[Ration]&amp;Règles_chevaux_trait[Aliment],0))="s2",IF($FD158=Spécificité2ChevauxTrait,1)),
INDEX(Règles_chevaux_trait[Specificite],MATCH(RationHivernaleAuPréChevauxTrait&amp;$FD158,Règles_chevaux_trait[Ration]&amp;Règles_chevaux_trait[Aliment],0))="c"),
INDEX(Règles_chevaux_trait[Valeur 24-36],MATCH(RationHivernaleAuPréChevauxTrait&amp;$FD158,Règles_chevaux_trait[Ration]&amp;Règles_chevaux_trait[Aliment],0)),0),0)*SUM(TotalChevauxTrait_24_36mois)*21)</f>
        <v>0</v>
      </c>
      <c r="FG158" s="1282">
        <f t="array" ref="FG158">IF(OR(ChoixRationHivernaleComplèteChevauxTrait=OUI,ChoixRationHivernaleComplèteChevauxTrait="",ChoixChevauxTraitPréHiver=NON),0,IFERROR(IF(OR(AND(INDEX(Règles_chevaux_trait[Specificite],MATCH(RationHivernaleAuPréChevauxTrait&amp;$FD158,Règles_chevaux_trait[Ration]&amp;Règles_chevaux_trait[Aliment],0))="s1",IF($FD158=Spécificité1ChevauxTrait,1)),
AND(INDEX(Règles_chevaux_trait[Specificite],MATCH(RationHivernaleAuPréChevauxTrait&amp;$FD158,Règles_chevaux_trait[Ration]&amp;Règles_chevaux_trait[Aliment],0))="s2",IF($FD158=Spécificité2ChevauxTrait,1)),
INDEX(Règles_chevaux_trait[Specificite],MATCH(RationHivernaleAuPréChevauxTrait&amp;$FD158,Règles_chevaux_trait[Ration]&amp;Règles_chevaux_trait[Aliment],0))="c"),
INDEX(Règles_chevaux_trait[Valeur 12-24],MATCH(RationHivernaleAuPréChevauxTrait&amp;$FD158,Règles_chevaux_trait[Ration]&amp;Règles_chevaux_trait[Aliment],0)),0),0)*SUM(TotalChevauxTrait_12_24mois)*21)</f>
        <v>0</v>
      </c>
      <c r="FH158" s="1285">
        <f t="array" ref="FH158">IF(OR(ChoixRationHivernaleComplèteChevauxTrait=OUI,ChoixRationHivernaleComplèteChevauxTrait="",ChoixChevauxTraitPréHiver=NON),0,IFERROR(IF(OR(AND(INDEX(Règles_chevaux_trait[Specificite],MATCH(RationHivernaleAuPréChevauxTrait&amp;$FD158,Règles_chevaux_trait[Ration]&amp;Règles_chevaux_trait[Aliment],0))="s1",IF($FD158=Spécificité1ChevauxTrait,1)),
AND(INDEX(Règles_chevaux_trait[Specificite],MATCH(RationHivernaleAuPréChevauxTrait&amp;$FD158,Règles_chevaux_trait[Ration]&amp;Règles_chevaux_trait[Aliment],0))="s2",IF($FD158=Spécificité2ChevauxTrait,1)),
INDEX(Règles_chevaux_trait[Specificite],MATCH(RationHivernaleAuPréChevauxTrait&amp;$FD158,Règles_chevaux_trait[Ration]&amp;Règles_chevaux_trait[Aliment],0))="c"),
INDEX(Règles_chevaux_trait[Valeur 0-12],MATCH(RationHivernaleAuPréChevauxTrait&amp;$FD158,Règles_chevaux_trait[Ration]&amp;Règles_chevaux_trait[Aliment],0)),0),0)*SUM(TotalPoulainsTrait)*21)</f>
        <v>0</v>
      </c>
      <c r="FI158" s="1285">
        <f t="shared" si="53"/>
        <v>0</v>
      </c>
      <c r="FJ158" s="1345"/>
      <c r="FK158" s="1345"/>
      <c r="FL158" s="1345"/>
      <c r="FM158" s="1321"/>
      <c r="FN158" s="1083" t="str">
        <f t="shared" si="54"/>
        <v>Maïs ensilé</v>
      </c>
      <c r="FO158" s="1283">
        <f t="array" ref="FO158">IF(OR(ChoixRationHivernaleComplètePoneys=OUI,ChoixRationHivernaleComplètePoneys="",ChoixPoneysPréHiver=NON),0,IFERROR(IF(OR(AND(INDEX(Règles_poneys[Specificite],MATCH(RationHivernaleAuPréPoneys&amp;$FN158,Règles_poneys[Ration]&amp;Règles_poneys[Aliment],0))="s1",IF($FN158=Spécificité1Poneys,1)),
AND(INDEX(Règles_poneys[Specificite],MATCH(RationHivernaleAuPréPoneys&amp;$FN158,Règles_poneys[Ration]&amp;Règles_poneys[Aliment],0))="s2",IF($FN158=Spécificité2Poneys,1)),
INDEX(Règles_poneys[Specificite],MATCH(RationHivernaleAuPréPoneys&amp;$FN158,Règles_poneys[Ration]&amp;Règles_poneys[Aliment],0))="c"),
INDEX(Règles_poneys[Valeur 36 et plus],MATCH(RationHivernaleAuPréPoneys&amp;$FN158,Règles_poneys[Ration]&amp;Règles_poneys[Aliment],0)),0),0)*SUM(TotalPoneysAdultes)*21)</f>
        <v>0</v>
      </c>
      <c r="FP158" s="1283">
        <f t="array" ref="FP158">IF(OR(ChoixRationHivernaleComplètePoneys=OUI,ChoixRationHivernaleComplètePoneys="",ChoixPoneysPréHiver=NON),0,IFERROR(IF(OR(AND(INDEX(Règles_poneys[Specificite],MATCH(RationHivernaleAuPréPoneys&amp;$FN158,Règles_poneys[Ration]&amp;Règles_poneys[Aliment],0))="s1",IF($FN158=Spécificité1Poneys,1)),
AND(INDEX(Règles_poneys[Specificite],MATCH(RationHivernaleAuPréPoneys&amp;$FN158,Règles_poneys[Ration]&amp;Règles_poneys[Aliment],0))="s2",IF($FN158=Spécificité2Poneys,1)),
INDEX(Règles_poneys[Specificite],MATCH(RationHivernaleAuPréPoneys&amp;$FN158,Règles_poneys[Ration]&amp;Règles_poneys[Aliment],0))="c"),
INDEX(Règles_poneys[Valeur 24-36],MATCH(RationHivernaleAuPréPoneys&amp;$FN158,Règles_poneys[Ration]&amp;Règles_poneys[Aliment],0)),0),0)*SUM(TotalPoneys_24_36mois)*21)</f>
        <v>0</v>
      </c>
      <c r="FQ158" s="1283">
        <f t="array" ref="FQ158">IF(OR(ChoixRationHivernaleComplètePoneys=OUI,ChoixRationHivernaleComplètePoneys="",ChoixPoneysPréHiver=NON),0,IFERROR(IF(OR(AND(INDEX(Règles_poneys[Specificite],MATCH(RationHivernaleAuPréPoneys&amp;$FN158,Règles_poneys[Ration]&amp;Règles_poneys[Aliment],0))="s1",IF($FN158=Spécificité1Poneys,1)),
AND(INDEX(Règles_poneys[Specificite],MATCH(RationHivernaleAuPréPoneys&amp;$FN158,Règles_poneys[Ration]&amp;Règles_poneys[Aliment],0))="s2",IF($FN158=Spécificité2Poneys,1)),
INDEX(Règles_poneys[Specificite],MATCH(RationHivernaleAuPréPoneys&amp;$FN158,Règles_poneys[Ration]&amp;Règles_poneys[Aliment],0))="c"),
INDEX(Règles_poneys[Valeur 12-24],MATCH(RationHivernaleAuPréPoneys&amp;$FN158,Règles_poneys[Ration]&amp;Règles_poneys[Aliment],0)),0),0)*SUM(TotalPoneys_12_24mois)*21)</f>
        <v>0</v>
      </c>
      <c r="FR158" s="1286">
        <f t="array" ref="FR158">IF(OR(ChoixRationHivernaleComplètePoneys=OUI,ChoixRationHivernaleComplètePoneys="",ChoixPoneysPréHiver=NON),0,IFERROR(IF(OR(AND(INDEX(Règles_poneys[Specificite],MATCH(RationHivernaleAuPréPoneys&amp;$FN158,Règles_poneys[Ration]&amp;Règles_poneys[Aliment],0))="s1",IF($FN158=Spécificité1Poneys,1)),
AND(INDEX(Règles_poneys[Specificite],MATCH(RationHivernaleAuPréPoneys&amp;$FN158,Règles_poneys[Ration]&amp;Règles_poneys[Aliment],0))="s2",IF($FN158=Spécificité2Poneys,1)),
INDEX(Règles_poneys[Specificite],MATCH(RationHivernaleAuPréPoneys&amp;$FN158,Règles_poneys[Ration]&amp;Règles_poneys[Aliment],0))="c"),
INDEX(Règles_poneys[Valeur 0-12],MATCH(RationHivernaleAuPréPoneys&amp;$FN158,Règles_poneys[Ration]&amp;Règles_poneys[Aliment],0)),0),0)*SUM(TotalPoulainsPoneys)*21)</f>
        <v>0</v>
      </c>
      <c r="FS158" s="1286">
        <f t="shared" si="52"/>
        <v>0</v>
      </c>
      <c r="FT158" s="1345"/>
      <c r="FU158" s="1345"/>
      <c r="FV158" s="1345"/>
      <c r="FW158" s="1082" t="str">
        <f t="shared" si="49"/>
        <v>Pois</v>
      </c>
      <c r="FX158" s="1282">
        <f t="array" ref="FX158">SUM((IF(QualitéAlimentsGavageOison_0_1_mois=BONNE,VLOOKUP("Pois",AlimentsGavageOies[],5,FALSE),0)+(IF(QualitéAlimentsGavageCaneton_0_1_mois=BONNE,VLOOKUP("Pois",AlimentsGavageCanards[],5,FALSE),0)+(IF(QualitéAlimentsGavageOison_1_2_mois=BONNE,VLOOKUP("Pois",AlimentsGavageOies[],4,FALSE),0)+(IF(QualitéAlimentsGavageCaneton_1_2_mois=BONNE,VLOOKUP("Pois",AlimentsGavageCanards[],4,FALSE),0)+(IF(QualitéAlimentsGavageOison_2_3_mois=BONNE,VLOOKUP("Pois",AlimentsGavageOies[],3,FALSE),0)+(IF(QualitéAlimentsGavageCaneton_2_3_mois=BONNE,VLOOKUP("Pois",AlimentsGavageCanards[],3,FALSE),0)+(IF(QualitéAlimentsGavageJeunesOies=BONNE,VLOOKUP("Pois",AlimentsGavageOies[],2,FALSE),0)+(IF(QualitéAlimentsGavageJeuneCanard=BONNE,VLOOKUP("Pois",AlimentsGavageCanards[],2,FALSE),0))))))))))</f>
        <v>0</v>
      </c>
      <c r="FY158" s="1282">
        <f t="array" ref="FY158">SUM((IF(QualitéAlimentsGavageOison_0_1_mois=MOYENNE,VLOOKUP("Pois",AlimentsGavageOies[],5,FALSE),0)+(IF(QualitéAlimentsGavageCaneton_0_1_mois=MOYENNE,VLOOKUP("Pois",AlimentsGavageCanards[],5,FALSE),0)+(IF(QualitéAlimentsGavageOison_1_2_mois=MOYENNE,VLOOKUP("Pois",AlimentsGavageOies[],4,FALSE),0)+(IF(QualitéAlimentsGavageCaneton_1_2_mois=MOYENNE,VLOOKUP("Pois",AlimentsGavageCanards[],4,FALSE),0)+(IF(QualitéAlimentsGavageOison_2_3_mois=MOYENNE,VLOOKUP("Pois",AlimentsGavageOies[],3,FALSE),0)+(IF(QualitéAlimentsGavageCaneton_2_3_mois=MOYENNE,VLOOKUP("Pois",AlimentsGavageCanards[],3,FALSE),0)+(IF(QualitéAlimentsGavageJeunesOies=MOYENNE,VLOOKUP("Pois",AlimentsGavageOies[],2,FALSE),0)+(IF(QualitéAlimentsGavageJeuneCanard=MOYENNE,VLOOKUP("Pois",AlimentsGavageCanards[],2,FALSE),0))))))))))</f>
        <v>0</v>
      </c>
      <c r="FZ158" s="1282">
        <f t="array" ref="FZ158">SUM((IF(QualitéAlimentsGavageOison_0_1_mois=MAUVAISE,VLOOKUP("Pois",AlimentsGavageOies[],5,FALSE),0)+(IF(QualitéAlimentsGavageCaneton_0_1_mois=MAUVAISE,VLOOKUP("Pois",AlimentsGavageCanards[],5,FALSE),0)+(IF(QualitéAlimentsGavageOison_1_2_mois=MAUVAISE,VLOOKUP("Pois",AlimentsGavageOies[],4,FALSE),0)+(IF(QualitéAlimentsGavageCaneton_1_2_mois=MAUVAISE,VLOOKUP("Pois",AlimentsGavageCanards[],4,FALSE),0)+(IF(QualitéAlimentsGavageOison_2_3_mois=MAUVAISE,VLOOKUP("Pois",AlimentsGavageOies[],3,FALSE),0)+(IF(QualitéAlimentsGavageCaneton_2_3_mois=MAUVAISE,VLOOKUP("Pois",AlimentsGavageCanards[],3,FALSE),0)+(IF(QualitéAlimentsGavageJeunesOies=MAUVAISE,VLOOKUP("Pois",AlimentsGavageOies[],2,FALSE),0)+(IF(QualitéAlimentsGavageJeuneCanard=MAUVAISE,VLOOKUP("Pois",AlimentsGavageCanards[],2,FALSE),0))))))))))</f>
        <v>0</v>
      </c>
      <c r="GA158" s="1345"/>
      <c r="GB158" s="1345"/>
      <c r="GC158" s="1321"/>
      <c r="GD158" s="1321"/>
      <c r="GE158" s="1321"/>
      <c r="GF158" s="1321"/>
      <c r="GG158" s="1321" t="s">
        <v>1349</v>
      </c>
      <c r="GH158" s="1321" t="s">
        <v>1349</v>
      </c>
      <c r="GI158" s="1321" t="s">
        <v>1349</v>
      </c>
      <c r="GJ158" s="1321" t="s">
        <v>1349</v>
      </c>
      <c r="GK158" s="1321" t="s">
        <v>1349</v>
      </c>
      <c r="GL158" s="1321" t="s">
        <v>1349</v>
      </c>
      <c r="GM158" s="1321" t="s">
        <v>1349</v>
      </c>
      <c r="GN158" s="1321" t="s">
        <v>1349</v>
      </c>
      <c r="GO158" s="1321" t="s">
        <v>1349</v>
      </c>
      <c r="GP158" s="1321" t="s">
        <v>1349</v>
      </c>
      <c r="GQ158" s="1321" t="s">
        <v>1349</v>
      </c>
      <c r="GR158" s="1321" t="s">
        <v>1349</v>
      </c>
      <c r="GS158" s="1321" t="s">
        <v>1349</v>
      </c>
      <c r="GT158" s="1321" t="s">
        <v>1349</v>
      </c>
      <c r="GU158" s="1321" t="s">
        <v>1349</v>
      </c>
      <c r="GV158" s="1321" t="s">
        <v>1349</v>
      </c>
      <c r="GW158" s="1321"/>
      <c r="GX158" s="1321"/>
      <c r="GY158" s="1321"/>
      <c r="GZ158" s="1321"/>
      <c r="HA158" s="1321"/>
      <c r="HB158" s="1321"/>
      <c r="HC158" s="1321"/>
      <c r="HD158" s="1321"/>
      <c r="HE158" s="1321"/>
      <c r="HF158" s="1321"/>
      <c r="HG158" s="1321"/>
      <c r="HH158" s="1321"/>
      <c r="HI158" s="1321"/>
      <c r="HJ158" s="1321"/>
      <c r="HK158" s="1321"/>
      <c r="HL158" s="1321"/>
      <c r="HM158" s="1321"/>
      <c r="HN158" s="1321"/>
      <c r="HO158" s="1321"/>
      <c r="HP158" s="1321"/>
      <c r="HQ158" s="1321"/>
      <c r="HR158" s="1321"/>
      <c r="HS158" s="1321"/>
      <c r="HT158" s="1321"/>
      <c r="HU158" s="1321"/>
      <c r="HV158" s="1321"/>
      <c r="HW158" s="1321"/>
      <c r="HX158" s="1321"/>
      <c r="HY158" s="1321"/>
      <c r="HZ158" s="1321"/>
      <c r="IA158" s="1321"/>
      <c r="IB158" s="1321"/>
      <c r="IC158" s="1321"/>
      <c r="ID158" s="1321"/>
      <c r="IE158" s="1321"/>
      <c r="IF158" s="1321"/>
      <c r="IG158" s="1321"/>
      <c r="IH158" s="1321"/>
      <c r="II158" s="1321"/>
      <c r="IJ158" s="1321"/>
      <c r="IK158" s="1321"/>
      <c r="IL158" s="1321"/>
      <c r="IM158" s="1321"/>
      <c r="IN158" s="1368"/>
    </row>
    <row r="159" spans="1:248" ht="12.75" customHeight="1" x14ac:dyDescent="0.2">
      <c r="A159" s="1307" t="s">
        <v>204</v>
      </c>
      <c r="B159" s="1209">
        <v>4</v>
      </c>
      <c r="C159" s="1321"/>
      <c r="D159" s="1321"/>
      <c r="E159" s="1321"/>
      <c r="F159" s="1149" t="s">
        <v>1771</v>
      </c>
      <c r="G159" s="1149">
        <v>25</v>
      </c>
      <c r="H159" s="1321"/>
      <c r="I159" s="1075" t="str">
        <f t="shared" si="64"/>
        <v>70-79,99</v>
      </c>
      <c r="J159" s="1080">
        <f>IF(gains!F$4=BDD!O$127,10,IF(gains!F$4=BDD!P$127,20,IF(gains!F$4=BDD!Q$127,30,0)))</f>
        <v>10</v>
      </c>
      <c r="K159" s="1080">
        <f>IF(gains!$G$9=K$127,1,0)</f>
        <v>0</v>
      </c>
      <c r="L159" s="1080">
        <f>IF(gains!$G$9=L$127,2,0)</f>
        <v>0</v>
      </c>
      <c r="M159" s="1080">
        <f>IF(gains!$G$9=M$127,3,0)</f>
        <v>0</v>
      </c>
      <c r="N159" s="1080">
        <f>IF(gains!$G$9=N$127,4,0)</f>
        <v>0</v>
      </c>
      <c r="O159" s="1080">
        <f>IF(AND(J159=10,SUM(K159:N159)=1),gains!$F$40,IF(AND(J159=10,SUM(K159:N159)=2),gains!$F$40*2,IF(AND(J159=10,SUM(K159:N159)=3),gains!$F$40*3,IF(AND(J159=10,SUM(K159:N159)=4),gains!$F$40*4,0))))</f>
        <v>0</v>
      </c>
      <c r="P159" s="1080">
        <f>IF(AND(J159=20,SUM(K159:N159)=1),gains!$F$40*7,IF(AND(J159=20,SUM(K159:N159)=2),gains!$F$40*7*2,IF(AND(J159=20,SUM(K159:N159)=3),gains!$F$40*7*3,IF(AND(J159=20,SUM(K159:N159)=4),gains!$F$40*7*4,0))))</f>
        <v>0</v>
      </c>
      <c r="Q159" s="1080">
        <f>IF(AND(J159=30,SUM(K159:N159)=1),gains!$F$40*7*12,IF(AND(J159=30,SUM(K159:N159)=2),gains!$F$40*7*12*2,IF(AND(J159=30,SUM(K159:N159)=3),gains!$F$40*7*12*3,IF(AND(J159=30,SUM(K159:N159)=4),gains!$F$40*7*12*4,0))))</f>
        <v>0</v>
      </c>
      <c r="R159" s="1321"/>
      <c r="S159" s="1321"/>
      <c r="T159" s="1321"/>
      <c r="U159" s="1321"/>
      <c r="V159" s="1321"/>
      <c r="W159" s="1321"/>
      <c r="X159" s="1321"/>
      <c r="Y159" s="1321"/>
      <c r="Z159" s="1321"/>
      <c r="AA159" s="1321"/>
      <c r="AB159" s="1321"/>
      <c r="AC159" s="1321"/>
      <c r="AD159" s="1321"/>
      <c r="AE159" s="1321"/>
      <c r="AF159" s="1321"/>
      <c r="AG159" s="1321"/>
      <c r="AH159" s="1321"/>
      <c r="AI159" s="1321"/>
      <c r="AJ159" s="1321"/>
      <c r="AK159" s="1321"/>
      <c r="AL159" s="1321"/>
      <c r="AM159" s="1321"/>
      <c r="AN159" s="1321"/>
      <c r="AO159" s="1321"/>
      <c r="AP159" s="1321"/>
      <c r="AQ159" s="1321"/>
      <c r="AR159" s="1321"/>
      <c r="AS159" s="1321"/>
      <c r="AT159" s="1321"/>
      <c r="AU159" s="1321"/>
      <c r="AV159" s="1321"/>
      <c r="AW159" s="1321"/>
      <c r="AX159" s="1321"/>
      <c r="AY159" s="1321"/>
      <c r="AZ159" s="1321"/>
      <c r="BA159" s="1321"/>
      <c r="BB159" s="1236" t="s">
        <v>731</v>
      </c>
      <c r="BC159" s="1190" t="s">
        <v>733</v>
      </c>
      <c r="BD159" s="1190" t="s">
        <v>1252</v>
      </c>
      <c r="BE159" s="1237">
        <v>200</v>
      </c>
      <c r="BF159" s="1237">
        <v>100</v>
      </c>
      <c r="BG159" s="1237">
        <v>80</v>
      </c>
      <c r="BH159" s="1237">
        <v>60</v>
      </c>
      <c r="BI159" s="1237">
        <v>40</v>
      </c>
      <c r="BJ159" s="1237">
        <v>28</v>
      </c>
      <c r="BK159" s="1238">
        <v>12</v>
      </c>
      <c r="BL159" s="1348"/>
      <c r="BM159" s="1346"/>
      <c r="BN159" s="1321"/>
      <c r="BO159" s="1321"/>
      <c r="BP159" s="1321"/>
      <c r="BQ159" s="1321"/>
      <c r="BR159" s="1321"/>
      <c r="BS159" s="1321"/>
      <c r="BT159" s="1321"/>
      <c r="BU159" s="1321"/>
      <c r="BV159" s="1345"/>
      <c r="BW159" s="1345"/>
      <c r="BX159" s="1075" t="str">
        <f t="shared" si="57"/>
        <v>Haricot vert</v>
      </c>
      <c r="BY159" s="1075">
        <f t="array" ref="BY159">IF(ChoixRationComplèteCaprins=OUI,0,IFERROR(IF(OR(AND(INDEX(Règles_caprins[Specificite],MATCH(ChoixRationCaprins&amp;$BX159,Règles_caprins[Ration]&amp;Règles_caprins[Aliment],0))="s1",IF($BX159=Spécificité1Caprins,1)),
INDEX(Règles_caprins[Specificite],MATCH(ChoixRationCaprins&amp;$BX159,Règles_caprins[Ration]&amp;Règles_caprins[Aliment],0))="c"),
INDEX(Règles_caprins[Valeur 12 et plus],MATCH(ChoixRationCaprins&amp;$BX159,Règles_caprins[Ration]&amp;Règles_caprins[Aliment],0)),0),0)*TotalChèvres*SUM(NbreJoursNourrirCaprins))</f>
        <v>0</v>
      </c>
      <c r="BZ159" s="1075">
        <f t="array" ref="BZ159">IF(ChoixRationComplèteCaprins=OUI,0,IFERROR(IF(OR(AND(INDEX(Règles_caprins[Specificite],MATCH(ChoixRationCaprins&amp;$BX159,Règles_caprins[Ration]&amp;Règles_caprins[Aliment],0))="s1",IF($BX159=Spécificité1Caprins,1)),
INDEX(Règles_caprins[Specificite],MATCH(ChoixRationCaprins&amp;$BX159,Règles_caprins[Ration]&amp;Règles_caprins[Aliment],0))="c"),
INDEX(Règles_caprins[Valeur 6-12],MATCH(ChoixRationCaprins&amp;$BX159,Règles_caprins[Ration]&amp;Règles_caprins[Aliment],0)),0),0)*jeune_chèvre_6_12_mois*SUM(NbreJoursNourrirCaprins))</f>
        <v>0</v>
      </c>
      <c r="CA159" s="1075">
        <f t="array" ref="CA159">IF(ChoixRationComplèteCaprins=OUI,0,IFERROR(IF(OR(AND(INDEX(Règles_caprins[Specificite],MATCH(ChoixRationCaprins&amp;$BX159,Règles_caprins[Ration]&amp;Règles_caprins[Aliment],0))="s1",IF($BX159=Spécificité1Caprins,1)),
INDEX(Règles_caprins[Specificite],MATCH(ChoixRationCaprins&amp;$BX159,Règles_caprins[Ration]&amp;Règles_caprins[Aliment],0))="c"),
INDEX(Règles_caprins[Valeur 3-6],MATCH(ChoixRationCaprins&amp;$BX159,Règles_caprins[Ration]&amp;Règles_caprins[Aliment],0)),0),0)*chevrette_3_6_mois*SUM(NbreJoursNourrirCaprins))</f>
        <v>0</v>
      </c>
      <c r="CB159" s="1075">
        <f t="array" ref="CB159">IF(ChoixRationComplèteCaprins=OUI,0,IFERROR(IF(OR(AND(INDEX(Règles_caprins[Specificite],MATCH(ChoixRationCaprins&amp;$BX159,Règles_caprins[Ration]&amp;Règles_caprins[Aliment],0))="s1",IF($BX159=Spécificité1Caprins,1)),
INDEX(Règles_caprins[Specificite],MATCH(ChoixRationCaprins&amp;$BX159,Règles_caprins[Ration]&amp;Règles_caprins[Aliment],0))="c"),
INDEX(Règles_caprins[Valeur 0-3],MATCH(ChoixRationCaprins&amp;$BX159,Règles_caprins[Ration]&amp;Règles_caprins[Aliment],0)),0),0)*chevrette_0_3_mois*SUM(NbreJoursNourrirCaprins))</f>
        <v>0</v>
      </c>
      <c r="CC159" s="1075">
        <f t="shared" si="56"/>
        <v>0</v>
      </c>
      <c r="CD159" s="1345"/>
      <c r="CE159" s="1345"/>
      <c r="CF159" s="1345"/>
      <c r="CG159" s="1345"/>
      <c r="CH159" s="1345"/>
      <c r="CI159" s="1321"/>
      <c r="CJ159" s="1076" t="str">
        <f t="shared" si="51"/>
        <v>Orge</v>
      </c>
      <c r="CK159" s="1267">
        <f t="array" ref="CK159">SUM((IF(QualitéAlimentsPorceletMâle_0_1_mois=BONNE,VLOOKUP("Orge",AlimentsRationPorcinsMâles[],6,FALSE),0)+(IF(QualitéAlimentsPorceletFemelle_0_1_mois=BONNE,VLOOKUP("Orge",AlimentsRationPorcinsFemelles[],6,FALSE),0)+(IF(QualitéAlimentsPorceletMâle_1_3_mois=BONNE,VLOOKUP("Orge",AlimentsRationPorcinsMâles[],5,FALSE),0)+(IF(QualitéAlimentsPorceletFemelle_1_3_mois=BONNE,VLOOKUP("Orge",AlimentsRationPorcinsFemelles[],5,FALSE),0)+(IF(QualitéAlimentsJeuneVerrat_3_6_mois=BONNE,VLOOKUP("Orge",AlimentsRationPorcinsMâles[],4,FALSE),0)+(IF(QualitéAlimentsJeuneTruie_3_6_mois=BONNE,VLOOKUP("Orge",AlimentsRationPorcinsFemelles[],4,FALSE),0)+(IF(QualitéAlimentsJeuneVerrat_6_12_mois=BONNE,VLOOKUP("Orge",AlimentsRationPorcinsMâles[],3,FALSE),0)+(IF(QualitéAlimentsJeuneTruie_6_12_mois=BONNE,VLOOKUP("Orge",AlimentsRationPorcinsFemelles[],3,FALSE),0)+(IF(QualitéAlimentsVerrat=BONNE,VLOOKUP("Orge",AlimentsRationPorcinsMâles[],2,FALSE),0)+(IF(QualitéAlimentsTruie=BONNE,VLOOKUP("Orge",AlimentsRationPorcinsFemelles[],2,FALSE),0))))))))))))</f>
        <v>0</v>
      </c>
      <c r="CL159" s="1267">
        <f t="array" ref="CL159">SUM((IF(QualitéAlimentsPorceletMâle_0_1_mois=MOYENNE,VLOOKUP("Orge",AlimentsRationPorcinsMâles[],6,FALSE),0)+(IF(QualitéAlimentsPorceletFemelle_0_1_mois=MOYENNE,VLOOKUP("Orge",AlimentsRationPorcinsFemelles[],6,FALSE),0)+(IF(QualitéAlimentsPorceletMâle_1_3_mois=MOYENNE,VLOOKUP("Orge",AlimentsRationPorcinsMâles[],5,FALSE),0)+(IF(QualitéAlimentsPorceletFemelle_1_3_mois=MOYENNE,VLOOKUP("Orge",AlimentsRationPorcinsFemelles[],5,FALSE),0)+(IF(QualitéAlimentsJeuneVerrat_3_6_mois=MOYENNE,VLOOKUP("Orge",AlimentsRationPorcinsMâles[],4,FALSE),0)+(IF(QualitéAlimentsJeuneTruie_3_6_mois=MOYENNE,VLOOKUP("Orge",AlimentsRationPorcinsFemelles[],4,FALSE),0)+(IF(QualitéAlimentsJeuneVerrat_6_12_mois=MOYENNE,VLOOKUP("Orge",AlimentsRationPorcinsMâles[],3,FALSE),0)+(IF(QualitéAlimentsJeuneTruie_6_12_mois=MOYENNE,VLOOKUP("Orge",AlimentsRationPorcinsFemelles[],3,FALSE),0)+(IF(QualitéAlimentsVerrat=MOYENNE,VLOOKUP("Orge",AlimentsRationPorcinsMâles[],2,FALSE),0)+(IF(QualitéAlimentsTruie=MOYENNE,VLOOKUP("Orge",AlimentsRationPorcinsFemelles[],2,FALSE),0))))))))))))</f>
        <v>0</v>
      </c>
      <c r="CM159" s="1267">
        <f t="array" ref="CM159">SUM((IF(QualitéAlimentsPorceletMâle_0_1_mois=MAUVAISE,VLOOKUP("Orge",AlimentsRationPorcinsMâles[],6,FALSE),0)+(IF(QualitéAlimentsPorceletFemelle_0_1_mois=MAUVAISE,VLOOKUP("Orge",AlimentsRationPorcinsFemelles[],6,FALSE),0)+(IF(QualitéAlimentsPorceletMâle_1_3_mois=MAUVAISE,VLOOKUP("Orge",AlimentsRationPorcinsMâles[],5,FALSE),0)+(IF(QualitéAlimentsPorceletFemelle_1_3_mois=MAUVAISE,VLOOKUP("Orge",AlimentsRationPorcinsFemelles[],5,FALSE),0)+(IF(QualitéAlimentsJeuneVerrat_3_6_mois=MAUVAISE,VLOOKUP("Orge",AlimentsRationPorcinsMâles[],4,FALSE),0)+(IF(QualitéAlimentsJeuneTruie_3_6_mois=MAUVAISE,VLOOKUP("Orge",AlimentsRationPorcinsFemelles[],4,FALSE),0)+(IF(QualitéAlimentsJeuneVerrat_6_12_mois=MAUVAISE,VLOOKUP("Orge",AlimentsRationPorcinsMâles[],3,FALSE),0)+(IF(QualitéAlimentsJeuneTruie_6_12_mois=MAUVAISE,VLOOKUP("Orge",AlimentsRationPorcinsFemelles[],3,FALSE),0)+(IF(QualitéAlimentsVerrat=MAUVAISE,VLOOKUP("Orge",AlimentsRationPorcinsMâles[],2,FALSE),0)+(IF(QualitéAlimentsTruie=MAUVAISE,VLOOKUP("Orge",AlimentsRationPorcinsFemelles[],2,FALSE),0))))))))))))</f>
        <v>0</v>
      </c>
      <c r="CN159" s="1320"/>
      <c r="CO159" s="1320"/>
      <c r="CP159" s="1345"/>
      <c r="CQ159" s="1321"/>
      <c r="CR159" s="1321"/>
      <c r="CS159" s="1076" t="str">
        <f t="shared" si="66"/>
        <v>Chanvre</v>
      </c>
      <c r="CT159" s="1267">
        <f t="array" ref="CT159">SUM((IF(QualitéAlimentsLapereauMâle_0_1_mois=BONNE,VLOOKUP("Chanvre",AlimentsRationLapinsMâles[],4,FALSE),0)+(IF(QualitéAlimentsLapereauFemelle_0_1_mois=BONNE,VLOOKUP("Chanvre",AlimentsRationLapinsFemelles[],4,FALSE),0)+(IF(QualitéAlimentsJeuneLapin=BONNE,VLOOKUP("Chanvre",AlimentsRationLapinsMâles[],3,FALSE),0)+(IF(QualitéAlimentsJeuneLapine=BONNE,VLOOKUP("Chanvre",AlimentsRationLapinsFemelles[],3,FALSE),0)+(IF(QualitéAlimentsLapin=BONNE,VLOOKUP("Chanvre",AlimentsRationLapinsMâles[],2,FALSE),0)+(IF(QualitéAlimentsLapine=BONNE,VLOOKUP("Chanvre",AlimentsRationLapinsFemelles[],2,FALSE),0))))))))</f>
        <v>0</v>
      </c>
      <c r="CU159" s="1267">
        <f t="array" ref="CU159">SUM((IF(QualitéAlimentsLapereauMâle_0_1_mois=MOYENNE,VLOOKUP("Chanvre",AlimentsRationLapinsMâles[],4,FALSE),0)+(IF(QualitéAlimentsLapereauFemelle_0_1_mois=MOYENNE,VLOOKUP("Chanvre",AlimentsRationLapinsFemelles[],4,FALSE),0)+(IF(QualitéAlimentsJeuneLapin=MOYENNE,VLOOKUP("Chanvre",AlimentsRationLapinsMâles[],3,FALSE),0)+(IF(QualitéAlimentsJeuneLapine=MOYENNE,VLOOKUP("Chanvre",AlimentsRationLapinsFemelles[],3,FALSE),0)+(IF(QualitéAlimentsLapin=MOYENNE,VLOOKUP("Chanvre",AlimentsRationLapinsMâles[],2,FALSE),0)+(IF(QualitéAlimentsLapine=MOYENNE,VLOOKUP("Chanvre",AlimentsRationLapinsFemelles[],2,FALSE),0))))))))</f>
        <v>0</v>
      </c>
      <c r="CV159" s="1267">
        <f t="array" ref="CV159">SUM((IF(QualitéAlimentsLapereauMâle_0_1_mois=MAUVAISE,VLOOKUP("Chanvre",AlimentsRationLapinsMâles[],4,FALSE),0)+(IF(QualitéAlimentsLapereauFemelle_0_1_mois=MAUVAISE,VLOOKUP("Chanvre",AlimentsRationLapinsFemelles[],4,FALSE),0)+(IF(QualitéAlimentsJeuneLapin=MAUVAISE,VLOOKUP("Chanvre",AlimentsRationLapinsMâles[],3,FALSE),0)+(IF(QualitéAlimentsJeuneLapine=MAUVAISE,VLOOKUP("Chanvre",AlimentsRationLapinsFemelles[],3,FALSE),0)+(IF(QualitéAlimentsLapin=MAUVAISE,VLOOKUP("Chanvre",AlimentsRationLapinsMâles[],2,FALSE),0)+(IF(QualitéAlimentsLapine=MAUVAISE,VLOOKUP("Chanvre",AlimentsRationLapinsFemelles[],2,FALSE),0))))))))</f>
        <v>0</v>
      </c>
      <c r="CW159" s="1321"/>
      <c r="CX159" s="1321"/>
      <c r="CY159" s="1321"/>
      <c r="CZ159" s="1075" t="str">
        <f t="shared" si="65"/>
        <v>Canola</v>
      </c>
      <c r="DA159" s="1269">
        <f t="array" ref="DA159">SUM((IF(QualitéAlimentsPoussinMâle_0_1_mois=BONNE,VLOOKUP("Canola",AlimentsRationVolaillesMâles[],4,FALSE),0)+(IF(QualitéAlimentsPoussinFemelle_0_1_mois=BONNE,VLOOKUP("Canola",AlimentsRationVolaillesFemelles[],4,FALSE),0)+(IF(QualitéAlimentsJeuneCoq=BONNE,VLOOKUP("Canola",AlimentsRationVolaillesMâles[],3,FALSE),0)+(IF(QualitéAlimentsJeunePoule=BONNE,VLOOKUP("Canola",AlimentsRationVolaillesFemelles[],3,FALSE),0)+(IF(QualitéAlimentsCoq=BONNE,VLOOKUP("Canola",AlimentsRationVolaillesMâles[],2,FALSE),0)+(IF(QualitéAlimentsPoule=BONNE,VLOOKUP("Canola",AlimentsRationVolaillesFemelles[],2,FALSE),0))))))))</f>
        <v>0</v>
      </c>
      <c r="DB159" s="1269">
        <f t="array" ref="DB159">SUM((IF(QualitéAlimentsPoussinMâle_0_1_mois=MOYENNE,VLOOKUP("Canola",AlimentsRationVolaillesMâles[],4,FALSE),0)+(IF(QualitéAlimentsPoussinFemelle_0_1_mois=MOYENNE,VLOOKUP("Canola",AlimentsRationVolaillesFemelles[],4,FALSE),0)+(IF(QualitéAlimentsJeuneCoq=MOYENNE,VLOOKUP("Canola",AlimentsRationVolaillesMâles[],3,FALSE),0)+(IF(QualitéAlimentsJeunePoule=MOYENNE,VLOOKUP("Canola",AlimentsRationVolaillesFemelles[],3,FALSE),0)+(IF(QualitéAlimentsCoq=MOYENNE,VLOOKUP("Canola",AlimentsRationVolaillesMâles[],2,FALSE),0)+(IF(QualitéAlimentsPoule=MOYENNE,VLOOKUP("Canola",AlimentsRationVolaillesFemelles[],2,FALSE),0))))))))</f>
        <v>0</v>
      </c>
      <c r="DC159" s="1269">
        <f t="array" ref="DC159">SUM((IF(QualitéAlimentsPoussinMâle_0_1_mois=MAUVAISE,VLOOKUP("Canola",AlimentsRationVolaillesMâles[],4,FALSE),0)+(IF(QualitéAlimentsPoussinFemelle_0_1_mois=MAUVAISE,VLOOKUP("Canola",AlimentsRationVolaillesFemelles[],4,FALSE),0)+(IF(QualitéAlimentsJeuneCoq=MAUVAISE,VLOOKUP("Canola",AlimentsRationVolaillesMâles[],3,FALSE),0)+(IF(QualitéAlimentsJeunePoule=MAUVAISE,VLOOKUP("Canola",AlimentsRationVolaillesFemelles[],3,FALSE),0)+(IF(QualitéAlimentsCoq=MAUVAISE,VLOOKUP("Canola",AlimentsRationVolaillesMâles[],2,FALSE),0)+(IF(QualitéAlimentsPoule=MAUVAISE,VLOOKUP("Canola",AlimentsRationVolaillesFemelles[],2,FALSE),0))))))))</f>
        <v>0</v>
      </c>
      <c r="DD159" s="1321"/>
      <c r="DE159" s="1321"/>
      <c r="DF159" s="1321"/>
      <c r="DG159" s="1075" t="str">
        <f t="shared" si="58"/>
        <v>Haricot vert</v>
      </c>
      <c r="DH159" s="1269">
        <f t="array" ref="DH159">SUM((IF(QualitéAlimentsPintadeauMâle_0_1_mois=BONNE,VLOOKUP("Haricot vert",AlimentsRationPintadesMâles[],4,FALSE),0)+(IF(QualitéAlimentsPintadeauFemelle_0_1_mois=BONNE,VLOOKUP("Haricot vert",AlimentsRationPintadesFemelles[],4,FALSE),0)+(IF(QualitéAlimentsJeunePintadeMâle=BONNE,VLOOKUP("Haricot vert",AlimentsRationPintadesMâles[],3,FALSE),0)+(IF(QualitéAlimentsJeunePintadeFemelle=BONNE,VLOOKUP("Haricot vert",AlimentsRationPintadesFemelles[],3,FALSE),0)+(IF(QualitéAlimentsPintadeMâle=BONNE,VLOOKUP("Haricot vert",AlimentsRationPintadesMâles[],2,FALSE),0)+(IF(QualitéAlimentsPintadeFemelle=BONNE,VLOOKUP("Haricot vert",AlimentsRationPintadesFemelles[],2,FALSE),0))))))))</f>
        <v>0</v>
      </c>
      <c r="DI159" s="1269">
        <f t="array" ref="DI159">SUM((IF(QualitéAlimentsPintadeauMâle_0_1_mois=MOYENNE,VLOOKUP("Haricot vert",AlimentsRationPintadesMâles[],4,FALSE),0)+(IF(QualitéAlimentsPintadeauFemelle_0_1_mois=MOYENNE,VLOOKUP("Haricot vert",AlimentsRationPintadesFemelles[],4,FALSE),0)+(IF(QualitéAlimentsJeunePintadeMâle=MOYENNE,VLOOKUP("Haricot vert",AlimentsRationPintadesMâles[],3,FALSE),0)+(IF(QualitéAlimentsJeunePintadeFemelle=MOYENNE,VLOOKUP("Haricot vert",AlimentsRationPintadesFemelles[],3,FALSE),0)+(IF(QualitéAlimentsPintadeMâle=MOYENNE,VLOOKUP("Haricot vert",AlimentsRationPintadesMâles[],2,FALSE),0)+(IF(QualitéAlimentsPintadeFemelle=MOYENNE,VLOOKUP("Haricot vert",AlimentsRationPintadesFemelles[],2,FALSE),0))))))))</f>
        <v>0</v>
      </c>
      <c r="DJ159" s="1269">
        <f t="array" ref="DJ159">SUM((IF(QualitéAlimentsPintadeauMâle_0_1_mois=MAUVAISE,VLOOKUP("Haricot vert",AlimentsRationPintadesMâles[],4,FALSE),0)+(IF(QualitéAlimentsPintadeauFemelle_0_1_mois=MAUVAISE,VLOOKUP("Haricot vert",AlimentsRationPintadesFemelles[],4,FALSE),0)+(IF(QualitéAlimentsJeunePintadeMâle=MAUVAISE,VLOOKUP("Haricot vert",AlimentsRationPintadesMâles[],3,FALSE),0)+(IF(QualitéAlimentsJeunePintadeFemelle=MAUVAISE,VLOOKUP("Haricot vert",AlimentsRationPintadesFemelles[],3,FALSE),0)+(IF(QualitéAlimentsPintadeMâle=MAUVAISE,VLOOKUP("Haricot vert",AlimentsRationPintadesMâles[],2,FALSE),0)+(IF(QualitéAlimentsPintadeFemelle=MAUVAISE,VLOOKUP("Haricot vert",AlimentsRationPintadesFemelles[],2,FALSE),0))))))))</f>
        <v>0</v>
      </c>
      <c r="DK159" s="1321"/>
      <c r="DL159" s="1321"/>
      <c r="DM159" s="1321"/>
      <c r="DN159" s="1075" t="s">
        <v>1717</v>
      </c>
      <c r="DO159" s="1269">
        <f t="array" ref="DO159">IF(ChoixRationComplèteOvins=OUI,0,IFERROR(IF(OR(AND(INDEX(Règles_ovins[Specificite],MATCH(ChoixRationOvins&amp;$DN159,Règles_ovins[Ration]&amp;Règles_ovins[Aliment],0))="s1",IF($DN159=Spécificité1Ovins,1)),
AND(INDEX(Règles_ovins[Specificite],MATCH(ChoixRationOvins&amp;$DN159,Règles_ovins[Ration]&amp;Règles_ovins[Aliment],0))="s2",IF($DN159=Spécificité2Ovins,1)),
INDEX(Règles_ovins[Specificite],MATCH(ChoixRationOvins&amp;$DN159,Règles_ovins[Ration]&amp;Règles_ovins[Aliment],0))="c"),
INDEX(Règles_ovins[Valeur 12 et plus],MATCH(ChoixRationOvins&amp;$DN159,Règles_ovins[Ration]&amp;Règles_ovins[Aliment],0)),0),0)*IF(ChoixOvinsPréHiver=OUI,SUM(TotalOvinsAdultesRacesLaitières)*NbreJoursNourrirOvins,TotalBéliers*SUM(NbreJoursNourrirOvins)))</f>
        <v>0</v>
      </c>
      <c r="DP159" s="1269">
        <f t="array" ref="DP159">IF(ChoixRationComplèteOvins=OUI,0,IFERROR(IF(OR(AND(INDEX(Règles_ovins[Specificite],MATCH(ChoixRationOvins&amp;$DN159,Règles_ovins[Ration]&amp;Règles_ovins[Aliment],0))="s1",IF($DN159=Spécificité1Ovins,1)),
AND(INDEX(Règles_ovins[Specificite],MATCH(ChoixRationOvins&amp;$DN159,Règles_ovins[Ration]&amp;Règles_ovins[Aliment],0))="s2",IF($DN159=Spécificité2Ovins,1)),
INDEX(Règles_ovins[Specificite],MATCH(ChoixRationOvins&amp;$DN159,Règles_ovins[Ration]&amp;Règles_ovins[Aliment],0))="c"),
INDEX(Règles_ovins[Valeur 6-12],MATCH(ChoixRationOvins&amp;$DN159,Règles_ovins[Ration]&amp;Règles_ovins[Aliment],0)),0),0)*IF(ChoixOvinsPréHiver=OUI,SUM(TotalJeunesOvinsRacesLaitières)*NbreJoursNourrirOvins,TotalJeune_bélier_6_12_mois*SUM(NbreJoursNourrirOvins)))</f>
        <v>0</v>
      </c>
      <c r="DQ159" s="1269">
        <f t="array" ref="DQ159">IF(ChoixRationComplèteOvins=OUI,0,IFERROR(IF(OR(AND(INDEX(Règles_ovins[Specificite],MATCH(ChoixRationOvins&amp;$DN159,Règles_ovins[Ration]&amp;Règles_ovins[Aliment],0))="s1",IF($DN159=Spécificité1Ovins,1)),
AND(INDEX(Règles_ovins[Specificite],MATCH(ChoixRationOvins&amp;$DN159,Règles_ovins[Ration]&amp;Règles_ovins[Aliment],0))="s2",IF($DN159=Spécificité2Ovins,1)),
INDEX(Règles_ovins[Specificite],MATCH(ChoixRationOvins&amp;$DN159,Règles_ovins[Ration]&amp;Règles_ovins[Aliment],0))="c"),
INDEX(Règles_ovins[Valeur 3-6],MATCH(ChoixRationOvins&amp;$DN159,Règles_ovins[Ration]&amp;Règles_ovins[Aliment],0)),0),0)*IF(ChoixOvinsPréHiver=OUI,SUM(TotalOvins_3_6moisRacesLaitières)*NbreJoursNourrirOvins,TotalAgneau_3_6_mois*SUM(NbreJoursNourrirOvins)))</f>
        <v>0</v>
      </c>
      <c r="DR159" s="1269">
        <f t="array" ref="DR159">IF(ChoixRationComplèteOvins=OUI,0,IFERROR(IF(OR(AND(INDEX(Règles_ovins[Specificite],MATCH(ChoixRationOvins&amp;$DN159,Règles_ovins[Ration]&amp;Règles_ovins[Aliment],0))="s1",IF($DN159=Spécificité1Ovins,1)),
AND(INDEX(Règles_ovins[Specificite],MATCH(ChoixRationOvins&amp;$DN159,Règles_ovins[Ration]&amp;Règles_ovins[Aliment],0))="s2",IF($DN159=Spécificité2Ovins,1)),
INDEX(Règles_ovins[Specificite],MATCH(ChoixRationOvins&amp;$DN159,Règles_ovins[Ration]&amp;Règles_ovins[Aliment],0))="c"),
INDEX(Règles_ovins[Valeur 0-3],MATCH(ChoixRationOvins&amp;$DN159,Règles_ovins[Ration]&amp;Règles_ovins[Aliment],0)),0),0)*IF(ChoixOvinsPréHiver=OUI,SUM(TotalOvins_3_6moisRacesLaitières)*NbreJoursNourrirOvins,TotalAgneau_0_3_mois*SUM(NbreJoursNourrirOvins)))</f>
        <v>0</v>
      </c>
      <c r="DS159" s="1280">
        <f t="shared" si="61"/>
        <v>0</v>
      </c>
      <c r="DT159" s="1346"/>
      <c r="DU159" s="1346"/>
      <c r="DV159" s="1321"/>
      <c r="DW159" s="1321"/>
      <c r="DX159" s="1321"/>
      <c r="DY159" s="1321"/>
      <c r="DZ159" s="1321"/>
      <c r="EA159" s="1321"/>
      <c r="EB159" s="1321"/>
      <c r="EC159" s="1321"/>
      <c r="ED159" s="1345"/>
      <c r="EE159" s="1345"/>
      <c r="EF159" s="1321"/>
      <c r="EG159" s="1075" t="str">
        <f t="shared" si="63"/>
        <v>concentré jeunes porcins</v>
      </c>
      <c r="EH159" s="1269">
        <f t="array" ref="EH159">SUM((IF(QualitéAlimentsOisonMâle_0_3_mois=BONNE,VLOOKUP("Concentré jeunes porcins",AlimentsRationOiesMâles[],4,FALSE),0)+(IF(QualitéAlimentsOisonFemelle_0_3_mois=BONNE,VLOOKUP("Concentré jeunes porcins",AlimentsRationOiesFemelles[],4,FALSE),0)+(IF(QualitéAlimentsJeuneJars=BONNE,VLOOKUP("Concentré jeunes porcins",AlimentsRationOiesMâles[],3,FALSE),0)+(IF(QualitéAlimentsJeuneOie=BONNE,VLOOKUP("Concentré jeunes porcins",AlimentsRationOiesFemelles[],3,FALSE),0)+(IF(QualitéAlimentsJars=BONNE,VLOOKUP("Concentré jeunes porcins",AlimentsRationOiesMâles[],2,FALSE),0)+(IF(QualitéAlimentsOie=BONNE,VLOOKUP("Concentré jeunes porcins",AlimentsRationOiesFemelles[],2,FALSE),0))))))))</f>
        <v>0</v>
      </c>
      <c r="EI159" s="1269">
        <f t="array" ref="EI159">SUM((IF(QualitéAlimentsOisonMâle_0_3_mois=MOYENNE,VLOOKUP("Concentré jeunes porcins",AlimentsRationOiesMâles[],4,FALSE),0)+(IF(QualitéAlimentsOisonFemelle_0_3_mois=MOYENNE,VLOOKUP("Concentré jeunes porcins",AlimentsRationOiesFemelles[],4,FALSE),0)+(IF(QualitéAlimentsJeuneJars=MOYENNE,VLOOKUP("Concentré jeunes porcins",AlimentsRationOiesMâles[],3,FALSE),0)+(IF(QualitéAlimentsJeuneOie=MOYENNE,VLOOKUP("Concentré jeunes porcins",AlimentsRationOiesFemelles[],3,FALSE),0)+(IF(QualitéAlimentsJars=MOYENNE,VLOOKUP("Concentré jeunes porcins",AlimentsRationOiesMâles[],2,FALSE),0)+(IF(QualitéAlimentsOie=MOYENNE,VLOOKUP("Concentré jeunes porcins",AlimentsRationOiesFemelles[],2,FALSE),0))))))))</f>
        <v>0</v>
      </c>
      <c r="EJ159" s="1269">
        <f t="array" ref="EJ159">SUM((IF(QualitéAlimentsOisonMâle_0_3_mois=MAUVAISE,VLOOKUP("Concentré jeunes porcins",AlimentsRationOiesMâles[],4,FALSE),0)+(IF(QualitéAlimentsOisonFemelle_0_3_mois=MAUVAISE,VLOOKUP("Concentré jeunes porcins",AlimentsRationOiesFemelles[],4,FALSE),0)+(IF(QualitéAlimentsJeuneJars=MAUVAISE,VLOOKUP("Concentré jeunes porcins",AlimentsRationOiesMâles[],3,FALSE),0)+(IF(QualitéAlimentsJeuneOie=MAUVAISE,VLOOKUP("Concentré jeunes porcins",AlimentsRationOiesFemelles[],3,FALSE),0)+(IF(QualitéAlimentsJars=MAUVAISE,VLOOKUP("Concentré jeunes porcins",AlimentsRationOiesMâles[],2,FALSE),0)+(IF(QualitéAlimentsOie=MAUVAISE,VLOOKUP("Concentré jeunes porcins",AlimentsRationOiesFemelles[],2,FALSE),0))))))))</f>
        <v>0</v>
      </c>
      <c r="EK159" s="1345"/>
      <c r="EL159" s="1345"/>
      <c r="EM159" s="1321"/>
      <c r="EN159" s="1082" t="str">
        <f t="shared" si="62"/>
        <v>Ensilage d'herbe</v>
      </c>
      <c r="EO159" s="1282">
        <f t="array" ref="EO159">SUM((IF(QualitéAlimentsCanetonMâle=BONNE,VLOOKUP("Ensilage d'herbe",AlimentsRationCanardsMâles,4,FALSE),0)+(IF(QualitéAlimentsCanetonFemelle=BONNE,VLOOKUP("Ensilage d'herbe",AlimentsRationCanardsFemelles,4,FALSE),0)+(IF(QualitéAlimentsJeuneCanard=BONNE,VLOOKUP("Ensilage d'herbe",AlimentsRationCanardsMâles,3,FALSE),0)+(IF(QualitéAlimentsJeuneCane=BONNE,VLOOKUP("Ensilage d'herbe",AlimentsRationCanardsFemelles,3,FALSE),0)+(IF(QualitéAlimentsCanard=BONNE,VLOOKUP("Ensilage d'herbe",AlimentsRationCanardsMâles,2,FALSE),0)+(IF(QualitéAlimentsCane=BONNE,VLOOKUP("Ensilage d'herbe",AlimentsRationCanardsFemelles,2,FALSE),0))))))))</f>
        <v>0</v>
      </c>
      <c r="EP159" s="1282">
        <f t="array" ref="EP159">SUM((IF(QualitéAlimentsCanetonMâle=MOYENNE,VLOOKUP("Ensilage d'herbe",AlimentsRationCanardsMâles,4,FALSE),0)+(IF(QualitéAlimentsCanetonFemelle=MOYENNE,VLOOKUP("Ensilage d'herbe",AlimentsRationCanardsFemelles,4,FALSE),0)+(IF(QualitéAlimentsJeuneCanard=MOYENNE,VLOOKUP("Ensilage d'herbe",AlimentsRationCanardsMâles,3,FALSE),0)+(IF(QualitéAlimentsJeuneCane=MOYENNE,VLOOKUP("Ensilage d'herbe",AlimentsRationCanardsFemelles,3,FALSE),0)+(IF(QualitéAlimentsCanard=MOYENNE,VLOOKUP("Ensilage d'herbe",AlimentsRationCanardsMâles,2,FALSE),0)+(IF(QualitéAlimentsCane=MOYENNE,VLOOKUP("Ensilage d'herbe",AlimentsRationCanardsFemelles,2,FALSE),0))))))))</f>
        <v>0</v>
      </c>
      <c r="EQ159" s="1282">
        <f t="array" ref="EQ159">SUM((IF(QualitéAlimentsCanetonMâle=MAUVAISE,VLOOKUP("Ensilage d'herbe",AlimentsRationCanardsMâles,4,FALSE),0)+(IF(QualitéAlimentsCanetonFemelle=MAUVAISE,VLOOKUP("Ensilage d'herbe",AlimentsRationCanardsFemelles,4,FALSE),0)+(IF(QualitéAlimentsJeuneCanard=MAUVAISE,VLOOKUP("Ensilage d'herbe",AlimentsRationCanardsMâles,3,FALSE),0)+(IF(QualitéAlimentsJeuneCane=MAUVAISE,VLOOKUP("Ensilage d'herbe",AlimentsRationCanardsFemelles,3,FALSE),0)+(IF(QualitéAlimentsCanard=MAUVAISE,VLOOKUP("Ensilage d'herbe",AlimentsRationCanardsMâles,2,FALSE),0)+(IF(QualitéAlimentsCane=MAUVAISE,VLOOKUP("Ensilage d'herbe",AlimentsRationCanardsFemelles,2,FALSE),0))))))))</f>
        <v>0</v>
      </c>
      <c r="ER159" s="1345"/>
      <c r="ES159" s="1345"/>
      <c r="ET159" s="1321"/>
      <c r="EU159" s="1083" t="str">
        <f t="shared" si="60"/>
        <v>Eau</v>
      </c>
      <c r="EV159" s="1283">
        <f t="array" ref="EV159">IF(OR(ChoixRationHivernaleComplèteChevauxSelle=OUI,ChoixRationHivernaleComplèteChevauxSelle="",ChoixChevauxSellePréHiver=NON),0,IFERROR(IF(OR(AND(INDEX(Règles_chevaux_selle[Specificite],MATCH(RationHivernaleAuPréChevauxSelle&amp;$EU159,Règles_chevaux_selle[Ration]&amp;Règles_chevaux_selle[Aliment],0))="s1",IF($EU159=Spécificité1ChevauxSelle,1)),
AND(INDEX(Règles_chevaux_selle[Specificite],MATCH(RationHivernaleAuPréChevauxSelle&amp;$EU159,Règles_chevaux_selle[Ration]&amp;Règles_chevaux_selle[Aliment],0))="s2",IF($EU159=Spécificité2ChevauxSelle,1)),
INDEX(Règles_chevaux_selle[Specificite],MATCH(RationHivernaleAuPréChevauxSelle&amp;$EU159,Règles_chevaux_selle[Ration]&amp;Règles_chevaux_selle[Aliment],0))="c"),
INDEX(Règles_chevaux_selle[Valeur 36 et plus],MATCH(RationHivernaleAuPréChevauxSelle&amp;$EU159,Règles_chevaux_selle[Ration]&amp;Règles_chevaux_selle[Aliment],0)),0),0)*SUM(TotalChevauxSelleAdultes)*21)</f>
        <v>0</v>
      </c>
      <c r="EW159" s="1283">
        <f t="array" ref="EW159">IF(OR(ChoixRationHivernaleComplèteChevauxSelle=OUI,ChoixRationHivernaleComplèteChevauxSelle="",ChoixChevauxSellePréHiver=NON),0,IFERROR(IF(OR(AND(INDEX(Règles_chevaux_selle[Specificite],MATCH(RationHivernaleAuPréChevauxSelle&amp;$EU159,Règles_chevaux_selle[Ration]&amp;Règles_chevaux_selle[Aliment],0))="s1",IF($EU159=Spécificité1ChevauxSelle,1)),
AND(INDEX(Règles_chevaux_selle[Specificite],MATCH(RationHivernaleAuPréChevauxSelle&amp;$EU159,Règles_chevaux_selle[Ration]&amp;Règles_chevaux_selle[Aliment],0))="s2",IF($EU159=Spécificité2ChevauxSelle,1)),
INDEX(Règles_chevaux_selle[Specificite],MATCH(RationHivernaleAuPréChevauxSelle&amp;$EU159,Règles_chevaux_selle[Ration]&amp;Règles_chevaux_selle[Aliment],0))="c"),
INDEX(Règles_chevaux_selle[Valeur 24-36],MATCH(RationHivernaleAuPréChevauxSelle&amp;$EU159,Règles_chevaux_selle[Ration]&amp;Règles_chevaux_selle[Aliment],0)),0),0)*SUM(TotalChevauxSelle_24_36mois)*21)</f>
        <v>0</v>
      </c>
      <c r="EX159" s="1283">
        <f t="array" ref="EX159">IF(OR(ChoixRationHivernaleComplèteChevauxSelle=OUI,ChoixRationHivernaleComplèteChevauxSelle="",ChoixChevauxSellePréHiver=NON),0,IFERROR(IF(OR(AND(INDEX(Règles_chevaux_selle[Specificite],MATCH(RationHivernaleAuPréChevauxSelle&amp;$EU159,Règles_chevaux_selle[Ration]&amp;Règles_chevaux_selle[Aliment],0))="s1",IF($EU159=Spécificité1ChevauxSelle,1)),
AND(INDEX(Règles_chevaux_selle[Specificite],MATCH(RationHivernaleAuPréChevauxSelle&amp;$EU159,Règles_chevaux_selle[Ration]&amp;Règles_chevaux_selle[Aliment],0))="s2",IF($EU159=Spécificité2ChevauxSelle,1)),
INDEX(Règles_chevaux_selle[Specificite],MATCH(RationHivernaleAuPréChevauxSelle&amp;$EU159,Règles_chevaux_selle[Ration]&amp;Règles_chevaux_selle[Aliment],0))="c"),
INDEX(Règles_chevaux_selle[Valeur 12-24],MATCH(RationHivernaleAuPréChevauxSelle&amp;$EU159,Règles_chevaux_selle[Ration]&amp;Règles_chevaux_selle[Aliment],0)),0),0)*SUM(TotalChevauxSelle_12_24mois)*21)</f>
        <v>0</v>
      </c>
      <c r="EY159" s="1286">
        <f t="array" ref="EY159">IF(OR(ChoixRationHivernaleComplèteChevauxSelle=OUI,ChoixRationHivernaleComplèteChevauxSelle="",ChoixChevauxSellePréHiver=NON),0,IFERROR(IF(OR(AND(INDEX(Règles_chevaux_selle[Specificite],MATCH(RationHivernaleAuPréChevauxSelle&amp;$EU159,Règles_chevaux_selle[Ration]&amp;Règles_chevaux_selle[Aliment],0))="s1",IF($EU159=Spécificité1ChevauxSelle,1)),
AND(INDEX(Règles_chevaux_selle[Specificite],MATCH(RationHivernaleAuPréChevauxSelle&amp;$EU159,Règles_chevaux_selle[Ration]&amp;Règles_chevaux_selle[Aliment],0))="s2",IF($EU159=Spécificité2ChevauxSelle,1)),
INDEX(Règles_chevaux_selle[Specificite],MATCH(RationHivernaleAuPréChevauxSelle&amp;$EU159,Règles_chevaux_selle[Ration]&amp;Règles_chevaux_selle[Aliment],0))="c"),
INDEX(Règles_chevaux_selle[Valeur 0-12],MATCH(RationHivernaleAuPréChevauxSelle&amp;$EU159,Règles_chevaux_selle[Ration]&amp;Règles_chevaux_selle[Aliment],0)),0),0)*SUM(TotalPoulainsSelle)*21)</f>
        <v>0</v>
      </c>
      <c r="EZ159" s="1286">
        <f t="shared" si="59"/>
        <v>0</v>
      </c>
      <c r="FA159" s="1345"/>
      <c r="FB159" s="1345"/>
      <c r="FC159" s="1321"/>
      <c r="FD159" s="1083" t="str">
        <f t="shared" si="55"/>
        <v>Maïs ensilé</v>
      </c>
      <c r="FE159" s="1283">
        <f t="array" ref="FE159">IF(OR(ChoixRationHivernaleComplèteChevauxTrait=OUI,ChoixRationHivernaleComplèteChevauxTrait="",ChoixChevauxTraitPréHiver=NON),0,IFERROR(IF(OR(AND(INDEX(Règles_chevaux_trait[Specificite],MATCH(RationHivernaleAuPréChevauxTrait&amp;$FD159,Règles_chevaux_trait[Ration]&amp;Règles_chevaux_trait[Aliment],0))="s1",IF($FD159=Spécificité1ChevauxTrait,1)),
AND(INDEX(Règles_chevaux_trait[Specificite],MATCH(RationHivernaleAuPréChevauxTrait&amp;$FD159,Règles_chevaux_trait[Ration]&amp;Règles_chevaux_trait[Aliment],0))="s2",IF($FD159=Spécificité2ChevauxTrait,1)),
INDEX(Règles_chevaux_trait[Specificite],MATCH(RationHivernaleAuPréChevauxTrait&amp;$FD159,Règles_chevaux_trait[Ration]&amp;Règles_chevaux_trait[Aliment],0))="c"),
INDEX(Règles_chevaux_trait[Valeur 36 et plus],MATCH(RationHivernaleAuPréChevauxTrait&amp;$FD159,Règles_chevaux_trait[Ration]&amp;Règles_chevaux_trait[Aliment],0)),0),0)*SUM(TotalChevauxTraitAdultes)*21)</f>
        <v>0</v>
      </c>
      <c r="FF159" s="1283">
        <f t="array" ref="FF159">IF(OR(ChoixRationHivernaleComplèteChevauxTrait=OUI,ChoixRationHivernaleComplèteChevauxTrait="",ChoixChevauxTraitPréHiver=NON),0,IFERROR(IF(OR(AND(INDEX(Règles_chevaux_trait[Specificite],MATCH(RationHivernaleAuPréChevauxTrait&amp;$FD159,Règles_chevaux_trait[Ration]&amp;Règles_chevaux_trait[Aliment],0))="s1",IF($FD159=Spécificité1ChevauxTrait,1)),
AND(INDEX(Règles_chevaux_trait[Specificite],MATCH(RationHivernaleAuPréChevauxTrait&amp;$FD159,Règles_chevaux_trait[Ration]&amp;Règles_chevaux_trait[Aliment],0))="s2",IF($FD159=Spécificité2ChevauxTrait,1)),
INDEX(Règles_chevaux_trait[Specificite],MATCH(RationHivernaleAuPréChevauxTrait&amp;$FD159,Règles_chevaux_trait[Ration]&amp;Règles_chevaux_trait[Aliment],0))="c"),
INDEX(Règles_chevaux_trait[Valeur 24-36],MATCH(RationHivernaleAuPréChevauxTrait&amp;$FD159,Règles_chevaux_trait[Ration]&amp;Règles_chevaux_trait[Aliment],0)),0),0)*SUM(TotalChevauxTrait_24_36mois)*21)</f>
        <v>0</v>
      </c>
      <c r="FG159" s="1283">
        <f t="array" ref="FG159">IF(OR(ChoixRationHivernaleComplèteChevauxTrait=OUI,ChoixRationHivernaleComplèteChevauxTrait="",ChoixChevauxTraitPréHiver=NON),0,IFERROR(IF(OR(AND(INDEX(Règles_chevaux_trait[Specificite],MATCH(RationHivernaleAuPréChevauxTrait&amp;$FD159,Règles_chevaux_trait[Ration]&amp;Règles_chevaux_trait[Aliment],0))="s1",IF($FD159=Spécificité1ChevauxTrait,1)),
AND(INDEX(Règles_chevaux_trait[Specificite],MATCH(RationHivernaleAuPréChevauxTrait&amp;$FD159,Règles_chevaux_trait[Ration]&amp;Règles_chevaux_trait[Aliment],0))="s2",IF($FD159=Spécificité2ChevauxTrait,1)),
INDEX(Règles_chevaux_trait[Specificite],MATCH(RationHivernaleAuPréChevauxTrait&amp;$FD159,Règles_chevaux_trait[Ration]&amp;Règles_chevaux_trait[Aliment],0))="c"),
INDEX(Règles_chevaux_trait[Valeur 12-24],MATCH(RationHivernaleAuPréChevauxTrait&amp;$FD159,Règles_chevaux_trait[Ration]&amp;Règles_chevaux_trait[Aliment],0)),0),0)*SUM(TotalChevauxTrait_12_24mois)*21)</f>
        <v>0</v>
      </c>
      <c r="FH159" s="1286">
        <f t="array" ref="FH159">IF(OR(ChoixRationHivernaleComplèteChevauxTrait=OUI,ChoixRationHivernaleComplèteChevauxTrait="",ChoixChevauxTraitPréHiver=NON),0,IFERROR(IF(OR(AND(INDEX(Règles_chevaux_trait[Specificite],MATCH(RationHivernaleAuPréChevauxTrait&amp;$FD159,Règles_chevaux_trait[Ration]&amp;Règles_chevaux_trait[Aliment],0))="s1",IF($FD159=Spécificité1ChevauxTrait,1)),
AND(INDEX(Règles_chevaux_trait[Specificite],MATCH(RationHivernaleAuPréChevauxTrait&amp;$FD159,Règles_chevaux_trait[Ration]&amp;Règles_chevaux_trait[Aliment],0))="s2",IF($FD159=Spécificité2ChevauxTrait,1)),
INDEX(Règles_chevaux_trait[Specificite],MATCH(RationHivernaleAuPréChevauxTrait&amp;$FD159,Règles_chevaux_trait[Ration]&amp;Règles_chevaux_trait[Aliment],0))="c"),
INDEX(Règles_chevaux_trait[Valeur 0-12],MATCH(RationHivernaleAuPréChevauxTrait&amp;$FD159,Règles_chevaux_trait[Ration]&amp;Règles_chevaux_trait[Aliment],0)),0),0)*SUM(TotalPoulainsTrait)*21)</f>
        <v>0</v>
      </c>
      <c r="FI159" s="1286">
        <f t="shared" si="53"/>
        <v>0</v>
      </c>
      <c r="FJ159" s="1345"/>
      <c r="FK159" s="1345"/>
      <c r="FL159" s="1345"/>
      <c r="FM159" s="1321"/>
      <c r="FN159" s="1082" t="str">
        <f t="shared" si="54"/>
        <v>Maïs grain</v>
      </c>
      <c r="FO159" s="1282">
        <f t="array" ref="FO159">IF(OR(ChoixRationHivernaleComplètePoneys=OUI,ChoixRationHivernaleComplètePoneys="",ChoixPoneysPréHiver=NON),0,IFERROR(IF(OR(AND(INDEX(Règles_poneys[Specificite],MATCH(RationHivernaleAuPréPoneys&amp;$FN159,Règles_poneys[Ration]&amp;Règles_poneys[Aliment],0))="s1",IF($FN159=Spécificité1Poneys,1)),
AND(INDEX(Règles_poneys[Specificite],MATCH(RationHivernaleAuPréPoneys&amp;$FN159,Règles_poneys[Ration]&amp;Règles_poneys[Aliment],0))="s2",IF($FN159=Spécificité2Poneys,1)),
INDEX(Règles_poneys[Specificite],MATCH(RationHivernaleAuPréPoneys&amp;$FN159,Règles_poneys[Ration]&amp;Règles_poneys[Aliment],0))="c"),
INDEX(Règles_poneys[Valeur 36 et plus],MATCH(RationHivernaleAuPréPoneys&amp;$FN159,Règles_poneys[Ration]&amp;Règles_poneys[Aliment],0)),0),0)*SUM(TotalPoneysAdultes)*21)</f>
        <v>0</v>
      </c>
      <c r="FP159" s="1282">
        <f t="array" ref="FP159">IF(OR(ChoixRationHivernaleComplètePoneys=OUI,ChoixRationHivernaleComplètePoneys="",ChoixPoneysPréHiver=NON),0,IFERROR(IF(OR(AND(INDEX(Règles_poneys[Specificite],MATCH(RationHivernaleAuPréPoneys&amp;$FN159,Règles_poneys[Ration]&amp;Règles_poneys[Aliment],0))="s1",IF($FN159=Spécificité1Poneys,1)),
AND(INDEX(Règles_poneys[Specificite],MATCH(RationHivernaleAuPréPoneys&amp;$FN159,Règles_poneys[Ration]&amp;Règles_poneys[Aliment],0))="s2",IF($FN159=Spécificité2Poneys,1)),
INDEX(Règles_poneys[Specificite],MATCH(RationHivernaleAuPréPoneys&amp;$FN159,Règles_poneys[Ration]&amp;Règles_poneys[Aliment],0))="c"),
INDEX(Règles_poneys[Valeur 24-36],MATCH(RationHivernaleAuPréPoneys&amp;$FN159,Règles_poneys[Ration]&amp;Règles_poneys[Aliment],0)),0),0)*SUM(TotalPoneys_24_36mois)*21)</f>
        <v>0</v>
      </c>
      <c r="FQ159" s="1282">
        <f t="array" ref="FQ159">IF(OR(ChoixRationHivernaleComplètePoneys=OUI,ChoixRationHivernaleComplètePoneys="",ChoixPoneysPréHiver=NON),0,IFERROR(IF(OR(AND(INDEX(Règles_poneys[Specificite],MATCH(RationHivernaleAuPréPoneys&amp;$FN159,Règles_poneys[Ration]&amp;Règles_poneys[Aliment],0))="s1",IF($FN159=Spécificité1Poneys,1)),
AND(INDEX(Règles_poneys[Specificite],MATCH(RationHivernaleAuPréPoneys&amp;$FN159,Règles_poneys[Ration]&amp;Règles_poneys[Aliment],0))="s2",IF($FN159=Spécificité2Poneys,1)),
INDEX(Règles_poneys[Specificite],MATCH(RationHivernaleAuPréPoneys&amp;$FN159,Règles_poneys[Ration]&amp;Règles_poneys[Aliment],0))="c"),
INDEX(Règles_poneys[Valeur 12-24],MATCH(RationHivernaleAuPréPoneys&amp;$FN159,Règles_poneys[Ration]&amp;Règles_poneys[Aliment],0)),0),0)*SUM(TotalPoneys_12_24mois)*21)</f>
        <v>0</v>
      </c>
      <c r="FR159" s="1285">
        <f t="array" ref="FR159">IF(OR(ChoixRationHivernaleComplètePoneys=OUI,ChoixRationHivernaleComplètePoneys="",ChoixPoneysPréHiver=NON),0,IFERROR(IF(OR(AND(INDEX(Règles_poneys[Specificite],MATCH(RationHivernaleAuPréPoneys&amp;$FN159,Règles_poneys[Ration]&amp;Règles_poneys[Aliment],0))="s1",IF($FN159=Spécificité1Poneys,1)),
AND(INDEX(Règles_poneys[Specificite],MATCH(RationHivernaleAuPréPoneys&amp;$FN159,Règles_poneys[Ration]&amp;Règles_poneys[Aliment],0))="s2",IF($FN159=Spécificité2Poneys,1)),
INDEX(Règles_poneys[Specificite],MATCH(RationHivernaleAuPréPoneys&amp;$FN159,Règles_poneys[Ration]&amp;Règles_poneys[Aliment],0))="c"),
INDEX(Règles_poneys[Valeur 0-12],MATCH(RationHivernaleAuPréPoneys&amp;$FN159,Règles_poneys[Ration]&amp;Règles_poneys[Aliment],0)),0),0)*SUM(TotalPoulainsPoneys)*21)</f>
        <v>0</v>
      </c>
      <c r="FS159" s="1285">
        <f t="shared" si="52"/>
        <v>0</v>
      </c>
      <c r="FT159" s="1345"/>
      <c r="FU159" s="1345"/>
      <c r="FV159" s="1345"/>
      <c r="FW159" s="1083" t="str">
        <f t="shared" si="49"/>
        <v>Pomme de terre</v>
      </c>
      <c r="FX159" s="1283">
        <f t="array" ref="FX159">SUM((IF(QualitéAlimentsGavageOison_0_1_mois=BONNE,VLOOKUP("Pomme de terre",AlimentsGavageOies[],5,FALSE),0)+(IF(QualitéAlimentsGavageCaneton_0_1_mois=BONNE,VLOOKUP("Pomme de terre",AlimentsGavageCanards[],5,FALSE),0)+(IF(QualitéAlimentsGavageOison_1_2_mois=BONNE,VLOOKUP("Pomme de terre",AlimentsGavageOies[],4,FALSE),0)+(IF(QualitéAlimentsGavageCaneton_1_2_mois=BONNE,VLOOKUP("Pomme de terre",AlimentsGavageCanards[],4,FALSE),0)+(IF(QualitéAlimentsGavageOison_2_3_mois=BONNE,VLOOKUP("Pomme de terre",AlimentsGavageOies[],3,FALSE),0)+(IF(QualitéAlimentsGavageCaneton_2_3_mois=BONNE,VLOOKUP("Pomme de terre",AlimentsGavageCanards[],3,FALSE),0)+(IF(QualitéAlimentsGavageJeunesOies=BONNE,VLOOKUP("Pomme de terre",AlimentsGavageOies[],2,FALSE),0)+(IF(QualitéAlimentsGavageJeuneCanard=BONNE,VLOOKUP("Pomme de terre",AlimentsGavageCanards[],2,FALSE),0))))))))))</f>
        <v>0</v>
      </c>
      <c r="FY159" s="1283">
        <f t="array" ref="FY159">SUM((IF(QualitéAlimentsGavageOison_0_1_mois=MOYENNE,VLOOKUP("Pomme de terre",AlimentsGavageOies[],5,FALSE),0)+(IF(QualitéAlimentsGavageCaneton_0_1_mois=MOYENNE,VLOOKUP("Pomme de terre",AlimentsGavageCanards[],5,FALSE),0)+(IF(QualitéAlimentsGavageOison_1_2_mois=MOYENNE,VLOOKUP("Pomme de terre",AlimentsGavageOies[],4,FALSE),0)+(IF(QualitéAlimentsGavageCaneton_1_2_mois=MOYENNE,VLOOKUP("Pomme de terre",AlimentsGavageCanards[],4,FALSE),0)+(IF(QualitéAlimentsGavageOison_2_3_mois=MOYENNE,VLOOKUP("Pomme de terre",AlimentsGavageOies[],3,FALSE),0)+(IF(QualitéAlimentsGavageCaneton_2_3_mois=MOYENNE,VLOOKUP("Pomme de terre",AlimentsGavageCanards[],3,FALSE),0)+(IF(QualitéAlimentsGavageJeunesOies=MOYENNE,VLOOKUP("Pomme de terre",AlimentsGavageOies[],2,FALSE),0)+(IF(QualitéAlimentsGavageJeuneCanard=MOYENNE,VLOOKUP("Pomme de terre",AlimentsGavageCanards[],2,FALSE),0))))))))))</f>
        <v>0</v>
      </c>
      <c r="FZ159" s="1283">
        <f t="array" ref="FZ159">SUM((IF(QualitéAlimentsGavageOison_0_1_mois=MAUVAISE,VLOOKUP("Pomme de terre",AlimentsGavageOies[],5,FALSE),0)+(IF(QualitéAlimentsGavageCaneton_0_1_mois=MAUVAISE,VLOOKUP("Pomme de terre",AlimentsGavageCanards[],5,FALSE),0)+(IF(QualitéAlimentsGavageOison_1_2_mois=MAUVAISE,VLOOKUP("Pomme de terre",AlimentsGavageOies[],4,FALSE),0)+(IF(QualitéAlimentsGavageCaneton_1_2_mois=MAUVAISE,VLOOKUP("Pomme de terre",AlimentsGavageCanards[],4,FALSE),0)+(IF(QualitéAlimentsGavageOison_2_3_mois=MAUVAISE,VLOOKUP("Pomme de terre",AlimentsGavageOies[],3,FALSE),0)+(IF(QualitéAlimentsGavageCaneton_2_3_mois=MAUVAISE,VLOOKUP("Pomme de terre",AlimentsGavageCanards[],3,FALSE),0)+(IF(QualitéAlimentsGavageJeunesOies=MAUVAISE,VLOOKUP("Pomme de terre",AlimentsGavageOies[],2,FALSE),0)+(IF(QualitéAlimentsGavageJeuneCanard=MAUVAISE,VLOOKUP("Pomme de terre",AlimentsGavageCanards[],2,FALSE),0))))))))))</f>
        <v>0</v>
      </c>
      <c r="GA159" s="1345"/>
      <c r="GB159" s="1345"/>
      <c r="GC159" s="1321"/>
      <c r="GD159" s="1321"/>
      <c r="GE159" s="1321"/>
      <c r="GF159" s="1321"/>
      <c r="GG159" s="1321" t="s">
        <v>1349</v>
      </c>
      <c r="GH159" s="1321" t="s">
        <v>1349</v>
      </c>
      <c r="GI159" s="1321" t="s">
        <v>1349</v>
      </c>
      <c r="GJ159" s="1321" t="s">
        <v>1349</v>
      </c>
      <c r="GK159" s="1321" t="s">
        <v>1349</v>
      </c>
      <c r="GL159" s="1321" t="s">
        <v>1349</v>
      </c>
      <c r="GM159" s="1321" t="s">
        <v>1349</v>
      </c>
      <c r="GN159" s="1321" t="s">
        <v>1349</v>
      </c>
      <c r="GO159" s="1321" t="s">
        <v>1349</v>
      </c>
      <c r="GP159" s="1321" t="s">
        <v>1349</v>
      </c>
      <c r="GQ159" s="1321" t="s">
        <v>1349</v>
      </c>
      <c r="GR159" s="1321" t="s">
        <v>1349</v>
      </c>
      <c r="GS159" s="1321" t="s">
        <v>1349</v>
      </c>
      <c r="GT159" s="1321" t="s">
        <v>1349</v>
      </c>
      <c r="GU159" s="1321" t="s">
        <v>1349</v>
      </c>
      <c r="GV159" s="1321" t="s">
        <v>1349</v>
      </c>
      <c r="GW159" s="1321"/>
      <c r="GX159" s="1321"/>
      <c r="GY159" s="1321"/>
      <c r="GZ159" s="1321"/>
      <c r="HA159" s="1321"/>
      <c r="HB159" s="1321"/>
      <c r="HC159" s="1321"/>
      <c r="HD159" s="1321"/>
      <c r="HE159" s="1321"/>
      <c r="HF159" s="1321"/>
      <c r="HG159" s="1321"/>
      <c r="HH159" s="1321"/>
      <c r="HI159" s="1321"/>
      <c r="HJ159" s="1321"/>
      <c r="HK159" s="1321"/>
      <c r="HL159" s="1321"/>
      <c r="HM159" s="1321"/>
      <c r="HN159" s="1321"/>
      <c r="HO159" s="1321"/>
      <c r="HP159" s="1321"/>
      <c r="HQ159" s="1321"/>
      <c r="HR159" s="1321"/>
      <c r="HS159" s="1321"/>
      <c r="HT159" s="1321"/>
      <c r="HU159" s="1321"/>
      <c r="HV159" s="1321"/>
      <c r="HW159" s="1321"/>
      <c r="HX159" s="1321"/>
      <c r="HY159" s="1321"/>
      <c r="HZ159" s="1321"/>
      <c r="IA159" s="1321"/>
      <c r="IB159" s="1321"/>
      <c r="IC159" s="1321"/>
      <c r="ID159" s="1321"/>
      <c r="IE159" s="1321"/>
      <c r="IF159" s="1321"/>
      <c r="IG159" s="1321"/>
      <c r="IH159" s="1321"/>
      <c r="II159" s="1321"/>
      <c r="IJ159" s="1321"/>
      <c r="IK159" s="1321"/>
      <c r="IL159" s="1321"/>
      <c r="IM159" s="1321"/>
      <c r="IN159" s="1368"/>
    </row>
    <row r="160" spans="1:248" ht="12.75" customHeight="1" x14ac:dyDescent="0.2">
      <c r="A160" s="1307" t="s">
        <v>205</v>
      </c>
      <c r="B160" s="1209">
        <v>4</v>
      </c>
      <c r="C160" s="1321"/>
      <c r="D160" s="1321"/>
      <c r="E160" s="1321"/>
      <c r="F160" s="1143" t="s">
        <v>295</v>
      </c>
      <c r="G160" s="1143">
        <v>25</v>
      </c>
      <c r="H160" s="1321"/>
      <c r="I160" s="1076" t="str">
        <f t="shared" si="64"/>
        <v>80-89,99</v>
      </c>
      <c r="J160" s="1081">
        <f>IF(gains!F$4=BDD!O$127,10,IF(gains!F$4=BDD!P$127,20,IF(gains!F$4=BDD!Q$127,30,0)))</f>
        <v>10</v>
      </c>
      <c r="K160" s="1081">
        <f>IF(gains!$G$9=K$127,1,0)</f>
        <v>0</v>
      </c>
      <c r="L160" s="1081">
        <f>IF(gains!$G$9=L$127,2,0)</f>
        <v>0</v>
      </c>
      <c r="M160" s="1081">
        <f>IF(gains!$G$9=M$127,3,0)</f>
        <v>0</v>
      </c>
      <c r="N160" s="1081">
        <f>IF(gains!$G$9=N$127,4,0)</f>
        <v>0</v>
      </c>
      <c r="O160" s="1081">
        <f>IF(AND(J160=10,SUM(K160:N160)=1),gains!$F$40,IF(AND(J160=10,SUM(K160:N160)=2),gains!$F$40*2,IF(AND(J160=10,SUM(K160:N160)=3),gains!$F$40*3,IF(AND(J160=10,SUM(K160:N160)=4),gains!$F$40*4,0))))</f>
        <v>0</v>
      </c>
      <c r="P160" s="1081">
        <f>IF(AND(J160=20,SUM(K160:N160)=1),gains!$F$40*7,IF(AND(J160=20,SUM(K160:N160)=2),gains!$F$40*7*2,IF(AND(J160=20,SUM(K160:N160)=3),gains!$F$40*7*3,IF(AND(J160=20,SUM(K160:N160)=4),gains!$F$40*7*4,0))))</f>
        <v>0</v>
      </c>
      <c r="Q160" s="1081">
        <f>IF(AND(J160=30,SUM(K160:N160)=1),gains!$F$40*7*12,IF(AND(J160=30,SUM(K160:N160)=2),gains!$F$40*7*12*2,IF(AND(J160=30,SUM(K160:N160)=3),gains!$F$40*7*12*3,IF(AND(J160=30,SUM(K160:N160)=4),gains!$F$40*7*12*4,0))))</f>
        <v>0</v>
      </c>
      <c r="R160" s="1321"/>
      <c r="S160" s="1321"/>
      <c r="T160" s="1321"/>
      <c r="U160" s="1321"/>
      <c r="V160" s="1321"/>
      <c r="W160" s="1321"/>
      <c r="X160" s="1321"/>
      <c r="Y160" s="1321"/>
      <c r="Z160" s="1321"/>
      <c r="AA160" s="1321"/>
      <c r="AB160" s="1321"/>
      <c r="AC160" s="1321"/>
      <c r="AD160" s="1321"/>
      <c r="AE160" s="1321"/>
      <c r="AF160" s="1321"/>
      <c r="AG160" s="1321"/>
      <c r="AH160" s="1321"/>
      <c r="AI160" s="1321"/>
      <c r="AJ160" s="1321"/>
      <c r="AK160" s="1321"/>
      <c r="AL160" s="1321"/>
      <c r="AM160" s="1321"/>
      <c r="AN160" s="1321"/>
      <c r="AO160" s="1321"/>
      <c r="AP160" s="1321"/>
      <c r="AQ160" s="1321"/>
      <c r="AR160" s="1321"/>
      <c r="AS160" s="1321"/>
      <c r="AT160" s="1321"/>
      <c r="AU160" s="1321"/>
      <c r="AV160" s="1321"/>
      <c r="AW160" s="1321"/>
      <c r="AX160" s="1321"/>
      <c r="AY160" s="1321"/>
      <c r="AZ160" s="1321"/>
      <c r="BA160" s="1321"/>
      <c r="BB160" s="1236" t="s">
        <v>1315</v>
      </c>
      <c r="BC160" s="1190" t="s">
        <v>723</v>
      </c>
      <c r="BD160" s="1190" t="s">
        <v>1277</v>
      </c>
      <c r="BE160" s="1237">
        <v>83</v>
      </c>
      <c r="BF160" s="1237">
        <v>71</v>
      </c>
      <c r="BG160" s="1237">
        <v>55</v>
      </c>
      <c r="BH160" s="1237">
        <v>42</v>
      </c>
      <c r="BI160" s="1237">
        <v>28</v>
      </c>
      <c r="BJ160" s="1237">
        <v>14</v>
      </c>
      <c r="BK160" s="1238">
        <v>0</v>
      </c>
      <c r="BL160" s="1348"/>
      <c r="BM160" s="1346"/>
      <c r="BN160" s="1321"/>
      <c r="BO160" s="1321"/>
      <c r="BP160" s="1321"/>
      <c r="BQ160" s="1321"/>
      <c r="BR160" s="1321"/>
      <c r="BS160" s="1321"/>
      <c r="BT160" s="1321"/>
      <c r="BU160" s="1321"/>
      <c r="BV160" s="1345"/>
      <c r="BW160" s="1345"/>
      <c r="BX160" s="1076" t="str">
        <f t="shared" si="57"/>
        <v>Lentille</v>
      </c>
      <c r="BY160" s="1076">
        <f t="array" ref="BY160">IF(ChoixRationComplèteCaprins=OUI,0,IFERROR(IF(OR(AND(INDEX(Règles_caprins[Specificite],MATCH(ChoixRationCaprins&amp;$BX160,Règles_caprins[Ration]&amp;Règles_caprins[Aliment],0))="s1",IF($BX160=Spécificité1Caprins,1)),
INDEX(Règles_caprins[Specificite],MATCH(ChoixRationCaprins&amp;$BX160,Règles_caprins[Ration]&amp;Règles_caprins[Aliment],0))="c"),
INDEX(Règles_caprins[Valeur 12 et plus],MATCH(ChoixRationCaprins&amp;$BX160,Règles_caprins[Ration]&amp;Règles_caprins[Aliment],0)),0),0)*TotalChèvres*SUM(NbreJoursNourrirCaprins))</f>
        <v>0</v>
      </c>
      <c r="BZ160" s="1076">
        <f t="array" ref="BZ160">IF(ChoixRationComplèteCaprins=OUI,0,IFERROR(IF(OR(AND(INDEX(Règles_caprins[Specificite],MATCH(ChoixRationCaprins&amp;$BX160,Règles_caprins[Ration]&amp;Règles_caprins[Aliment],0))="s1",IF($BX160=Spécificité1Caprins,1)),
INDEX(Règles_caprins[Specificite],MATCH(ChoixRationCaprins&amp;$BX160,Règles_caprins[Ration]&amp;Règles_caprins[Aliment],0))="c"),
INDEX(Règles_caprins[Valeur 6-12],MATCH(ChoixRationCaprins&amp;$BX160,Règles_caprins[Ration]&amp;Règles_caprins[Aliment],0)),0),0)*jeune_chèvre_6_12_mois*SUM(NbreJoursNourrirCaprins))</f>
        <v>0</v>
      </c>
      <c r="CA160" s="1076">
        <f t="array" ref="CA160">IF(ChoixRationComplèteCaprins=OUI,0,IFERROR(IF(OR(AND(INDEX(Règles_caprins[Specificite],MATCH(ChoixRationCaprins&amp;$BX160,Règles_caprins[Ration]&amp;Règles_caprins[Aliment],0))="s1",IF($BX160=Spécificité1Caprins,1)),
INDEX(Règles_caprins[Specificite],MATCH(ChoixRationCaprins&amp;$BX160,Règles_caprins[Ration]&amp;Règles_caprins[Aliment],0))="c"),
INDEX(Règles_caprins[Valeur 3-6],MATCH(ChoixRationCaprins&amp;$BX160,Règles_caprins[Ration]&amp;Règles_caprins[Aliment],0)),0),0)*chevrette_3_6_mois*SUM(NbreJoursNourrirCaprins))</f>
        <v>0</v>
      </c>
      <c r="CB160" s="1076">
        <f t="array" ref="CB160">IF(ChoixRationComplèteCaprins=OUI,0,IFERROR(IF(OR(AND(INDEX(Règles_caprins[Specificite],MATCH(ChoixRationCaprins&amp;$BX160,Règles_caprins[Ration]&amp;Règles_caprins[Aliment],0))="s1",IF($BX160=Spécificité1Caprins,1)),
INDEX(Règles_caprins[Specificite],MATCH(ChoixRationCaprins&amp;$BX160,Règles_caprins[Ration]&amp;Règles_caprins[Aliment],0))="c"),
INDEX(Règles_caprins[Valeur 0-3],MATCH(ChoixRationCaprins&amp;$BX160,Règles_caprins[Ration]&amp;Règles_caprins[Aliment],0)),0),0)*chevrette_0_3_mois*SUM(NbreJoursNourrirCaprins))</f>
        <v>0</v>
      </c>
      <c r="CC160" s="1076">
        <f t="shared" si="56"/>
        <v>0</v>
      </c>
      <c r="CD160" s="1345"/>
      <c r="CE160" s="1345"/>
      <c r="CF160" s="1345"/>
      <c r="CG160" s="1345"/>
      <c r="CH160" s="1345"/>
      <c r="CI160" s="1321"/>
      <c r="CJ160" s="1075" t="str">
        <f t="shared" si="51"/>
        <v>Paille</v>
      </c>
      <c r="CK160" s="1269">
        <f t="array" ref="CK160">SUM((IF(QualitéAlimentsPorceletMâle_0_1_mois=BONNE,VLOOKUP("Paille",AlimentsRationPorcinsMâles[],6,FALSE),0)+(IF(QualitéAlimentsPorceletFemelle_0_1_mois=BONNE,VLOOKUP("Paille",AlimentsRationPorcinsFemelles[],6,FALSE),0)+(IF(QualitéAlimentsPorceletMâle_1_3_mois=BONNE,VLOOKUP("Paille",AlimentsRationPorcinsMâles[],5,FALSE),0)+(IF(QualitéAlimentsPorceletFemelle_1_3_mois=BONNE,VLOOKUP("Paille",AlimentsRationPorcinsFemelles[],5,FALSE),0)+(IF(QualitéAlimentsJeuneVerrat_3_6_mois=BONNE,VLOOKUP("Paille",AlimentsRationPorcinsMâles[],4,FALSE),0)+(IF(QualitéAlimentsJeuneTruie_3_6_mois=BONNE,VLOOKUP("Paille",AlimentsRationPorcinsFemelles[],4,FALSE),0)+(IF(QualitéAlimentsJeuneVerrat_6_12_mois=BONNE,VLOOKUP("Paille",AlimentsRationPorcinsMâles[],3,FALSE),0)+(IF(QualitéAlimentsJeuneTruie_6_12_mois=BONNE,VLOOKUP("Paille",AlimentsRationPorcinsFemelles[],3,FALSE),0)+(IF(QualitéAlimentsVerrat=BONNE,VLOOKUP("Paille",AlimentsRationPorcinsMâles[],2,FALSE),0)+(IF(QualitéAlimentsTruie=BONNE,VLOOKUP("Paille",AlimentsRationPorcinsFemelles[],2,FALSE),0))))))))))))</f>
        <v>0</v>
      </c>
      <c r="CL160" s="1269">
        <f t="array" ref="CL160">SUM((IF(QualitéAlimentsPorceletMâle_0_1_mois=MOYENNE,VLOOKUP("Paille",AlimentsRationPorcinsMâles[],6,FALSE),0)+(IF(QualitéAlimentsPorceletFemelle_0_1_mois=MOYENNE,VLOOKUP("Paille",AlimentsRationPorcinsFemelles[],6,FALSE),0)+(IF(QualitéAlimentsPorceletMâle_1_3_mois=MOYENNE,VLOOKUP("Paille",AlimentsRationPorcinsMâles[],5,FALSE),0)+(IF(QualitéAlimentsPorceletFemelle_1_3_mois=MOYENNE,VLOOKUP("Paille",AlimentsRationPorcinsFemelles[],5,FALSE),0)+(IF(QualitéAlimentsJeuneVerrat_3_6_mois=MOYENNE,VLOOKUP("Paille",AlimentsRationPorcinsMâles[],4,FALSE),0)+(IF(QualitéAlimentsJeuneTruie_3_6_mois=MOYENNE,VLOOKUP("Paille",AlimentsRationPorcinsFemelles[],4,FALSE),0)+(IF(QualitéAlimentsJeuneVerrat_6_12_mois=MOYENNE,VLOOKUP("Paille",AlimentsRationPorcinsMâles[],3,FALSE),0)+(IF(QualitéAlimentsJeuneTruie_6_12_mois=MOYENNE,VLOOKUP("Paille",AlimentsRationPorcinsFemelles[],3,FALSE),0)+(IF(QualitéAlimentsVerrat=MOYENNE,VLOOKUP("Paille",AlimentsRationPorcinsMâles[],2,FALSE),0)+(IF(QualitéAlimentsTruie=MOYENNE,VLOOKUP("Paille",AlimentsRationPorcinsFemelles[],2,FALSE),0))))))))))))</f>
        <v>0</v>
      </c>
      <c r="CM160" s="1269">
        <f t="array" ref="CM160">SUM((IF(QualitéAlimentsPorceletMâle_0_1_mois=MAUVAISE,VLOOKUP("Paille",AlimentsRationPorcinsMâles[],6,FALSE),0)+(IF(QualitéAlimentsPorceletFemelle_0_1_mois=MAUVAISE,VLOOKUP("Paille",AlimentsRationPorcinsFemelles[],6,FALSE),0)+(IF(QualitéAlimentsPorceletMâle_1_3_mois=MAUVAISE,VLOOKUP("Paille",AlimentsRationPorcinsMâles[],5,FALSE),0)+(IF(QualitéAlimentsPorceletFemelle_1_3_mois=MAUVAISE,VLOOKUP("Paille",AlimentsRationPorcinsFemelles[],5,FALSE),0)+(IF(QualitéAlimentsJeuneVerrat_3_6_mois=MAUVAISE,VLOOKUP("Paille",AlimentsRationPorcinsMâles[],4,FALSE),0)+(IF(QualitéAlimentsJeuneTruie_3_6_mois=MAUVAISE,VLOOKUP("Paille",AlimentsRationPorcinsFemelles[],4,FALSE),0)+(IF(QualitéAlimentsJeuneVerrat_6_12_mois=MAUVAISE,VLOOKUP("Paille",AlimentsRationPorcinsMâles[],3,FALSE),0)+(IF(QualitéAlimentsJeuneTruie_6_12_mois=MAUVAISE,VLOOKUP("Paille",AlimentsRationPorcinsFemelles[],3,FALSE),0)+(IF(QualitéAlimentsVerrat=MAUVAISE,VLOOKUP("Paille",AlimentsRationPorcinsMâles[],2,FALSE),0)+(IF(QualitéAlimentsTruie=MAUVAISE,VLOOKUP("Paille",AlimentsRationPorcinsFemelles[],2,FALSE),0)+LitièrePorcins[[#Totals],[litière]])))))))))))</f>
        <v>0</v>
      </c>
      <c r="CN160" s="1320"/>
      <c r="CO160" s="1320"/>
      <c r="CP160" s="1345"/>
      <c r="CQ160" s="1321"/>
      <c r="CR160" s="1321"/>
      <c r="CS160" s="1075" t="str">
        <f t="shared" si="66"/>
        <v>Canola</v>
      </c>
      <c r="CT160" s="1269">
        <f t="array" ref="CT160">SUM((IF(QualitéAlimentsLapereauMâle_0_1_mois=BONNE,VLOOKUP("Canola",AlimentsRationLapinsMâles[],4,FALSE),0)+(IF(QualitéAlimentsLapereauFemelle_0_1_mois=BONNE,VLOOKUP("Canola",AlimentsRationLapinsFemelles[],4,FALSE),0)+(IF(QualitéAlimentsJeuneLapin=BONNE,VLOOKUP("Canola",AlimentsRationLapinsMâles[],3,FALSE),0)+(IF(QualitéAlimentsJeuneLapine=BONNE,VLOOKUP("Canola",AlimentsRationLapinsFemelles[],3,FALSE),0)+(IF(QualitéAlimentsLapin=BONNE,VLOOKUP("Canola",AlimentsRationLapinsMâles[],2,FALSE),0)+(IF(QualitéAlimentsLapine=BONNE,VLOOKUP("Canola",AlimentsRationLapinsFemelles[],2,FALSE),0))))))))</f>
        <v>0</v>
      </c>
      <c r="CU160" s="1269">
        <f t="array" ref="CU160">SUM((IF(QualitéAlimentsLapereauMâle_0_1_mois=MOYENNE,VLOOKUP("Canola",AlimentsRationLapinsMâles[],4,FALSE),0)+(IF(QualitéAlimentsLapereauFemelle_0_1_mois=MOYENNE,VLOOKUP("Canola",AlimentsRationLapinsFemelles[],4,FALSE),0)+(IF(QualitéAlimentsJeuneLapin=MOYENNE,VLOOKUP("Canola",AlimentsRationLapinsMâles[],3,FALSE),0)+(IF(QualitéAlimentsJeuneLapine=MOYENNE,VLOOKUP("Canola",AlimentsRationLapinsFemelles[],3,FALSE),0)+(IF(QualitéAlimentsLapin=MOYENNE,VLOOKUP("Canola",AlimentsRationLapinsMâles[],2,FALSE),0)+(IF(QualitéAlimentsLapine=MOYENNE,VLOOKUP("Canola",AlimentsRationLapinsFemelles[],2,FALSE),0))))))))</f>
        <v>0</v>
      </c>
      <c r="CV160" s="1269">
        <f t="array" ref="CV160">SUM((IF(QualitéAlimentsLapereauMâle_0_1_mois=MAUVAISE,VLOOKUP("Canola",AlimentsRationLapinsMâles[],4,FALSE),0)+(IF(QualitéAlimentsLapereauFemelle_0_1_mois=MAUVAISE,VLOOKUP("Canola",AlimentsRationLapinsFemelles[],4,FALSE),0)+(IF(QualitéAlimentsJeuneLapin=MAUVAISE,VLOOKUP("Canola",AlimentsRationLapinsMâles[],3,FALSE),0)+(IF(QualitéAlimentsJeuneLapine=MAUVAISE,VLOOKUP("Canola",AlimentsRationLapinsFemelles[],3,FALSE),0)+(IF(QualitéAlimentsLapin=MAUVAISE,VLOOKUP("Canola",AlimentsRationLapinsMâles[],2,FALSE),0)+(IF(QualitéAlimentsLapine=MAUVAISE,VLOOKUP("Canola",AlimentsRationLapinsFemelles[],2,FALSE),0))))))))</f>
        <v>0</v>
      </c>
      <c r="CW160" s="1321"/>
      <c r="CX160" s="1321"/>
      <c r="CY160" s="1321"/>
      <c r="CZ160" s="1076" t="str">
        <f t="shared" si="65"/>
        <v>Colza</v>
      </c>
      <c r="DA160" s="1267">
        <f t="array" ref="DA160">SUM((IF(QualitéAlimentsPoussinMâle_0_1_mois=BONNE,VLOOKUP("Colza",AlimentsRationVolaillesMâles[],4,FALSE),0)+(IF(QualitéAlimentsPoussinFemelle_0_1_mois=BONNE,VLOOKUP("Colza",AlimentsRationVolaillesFemelles[],4,FALSE),0)+(IF(QualitéAlimentsJeuneCoq=BONNE,VLOOKUP("Colza",AlimentsRationVolaillesMâles[],3,FALSE),0)+(IF(QualitéAlimentsJeunePoule=BONNE,VLOOKUP("Colza",AlimentsRationVolaillesFemelles[],3,FALSE),0)+(IF(QualitéAlimentsCoq=BONNE,VLOOKUP("Colza",AlimentsRationVolaillesMâles[],2,FALSE),0)+(IF(QualitéAlimentsPoule=BONNE,VLOOKUP("Colza",AlimentsRationVolaillesFemelles[],2,FALSE),0))))))))</f>
        <v>0</v>
      </c>
      <c r="DB160" s="1267">
        <f t="array" ref="DB160">SUM((IF(QualitéAlimentsPoussinMâle_0_1_mois=MOYENNE,VLOOKUP("Colza",AlimentsRationVolaillesMâles[],4,FALSE),0)+(IF(QualitéAlimentsPoussinFemelle_0_1_mois=MOYENNE,VLOOKUP("Colza",AlimentsRationVolaillesFemelles[],4,FALSE),0)+(IF(QualitéAlimentsJeuneCoq=MOYENNE,VLOOKUP("Colza",AlimentsRationVolaillesMâles[],3,FALSE),0)+(IF(QualitéAlimentsJeunePoule=MOYENNE,VLOOKUP("Colza",AlimentsRationVolaillesFemelles[],3,FALSE),0)+(IF(QualitéAlimentsCoq=MOYENNE,VLOOKUP("Colza",AlimentsRationVolaillesMâles[],2,FALSE),0)+(IF(QualitéAlimentsPoule=MOYENNE,VLOOKUP("Colza",AlimentsRationVolaillesFemelles[],2,FALSE),0))))))))</f>
        <v>0</v>
      </c>
      <c r="DC160" s="1267">
        <f t="array" ref="DC160">SUM((IF(QualitéAlimentsPoussinMâle_0_1_mois=MAUVAISE,VLOOKUP("Colza",AlimentsRationVolaillesMâles[],4,FALSE),0)+(IF(QualitéAlimentsPoussinFemelle_0_1_mois=MAUVAISE,VLOOKUP("Colza",AlimentsRationVolaillesFemelles[],4,FALSE),0)+(IF(QualitéAlimentsJeuneCoq=MAUVAISE,VLOOKUP("Colza",AlimentsRationVolaillesMâles[],3,FALSE),0)+(IF(QualitéAlimentsJeunePoule=MAUVAISE,VLOOKUP("Colza",AlimentsRationVolaillesFemelles[],3,FALSE),0)+(IF(QualitéAlimentsCoq=MAUVAISE,VLOOKUP("Colza",AlimentsRationVolaillesMâles[],2,FALSE),0)+(IF(QualitéAlimentsPoule=MAUVAISE,VLOOKUP("Colza",AlimentsRationVolaillesFemelles[],2,FALSE),0))))))))</f>
        <v>0</v>
      </c>
      <c r="DD160" s="1321"/>
      <c r="DE160" s="1321"/>
      <c r="DF160" s="1321"/>
      <c r="DG160" s="1076" t="str">
        <f t="shared" si="58"/>
        <v>Lentille</v>
      </c>
      <c r="DH160" s="1267">
        <f t="array" ref="DH160">SUM((IF(QualitéAlimentsPintadeauMâle_0_1_mois=BONNE,VLOOKUP("Lentille",AlimentsRationPintadesMâles[],4,FALSE),0)+(IF(QualitéAlimentsPintadeauFemelle_0_1_mois=BONNE,VLOOKUP("Lentille",AlimentsRationPintadesFemelles[],4,FALSE),0)+(IF(QualitéAlimentsJeunePintadeMâle=BONNE,VLOOKUP("Lentille",AlimentsRationPintadesMâles[],3,FALSE),0)+(IF(QualitéAlimentsJeunePintadeFemelle=BONNE,VLOOKUP("Lentille",AlimentsRationPintadesFemelles[],3,FALSE),0)+(IF(QualitéAlimentsPintadeMâle=BONNE,VLOOKUP("Lentille",AlimentsRationPintadesMâles[],2,FALSE),0)+(IF(QualitéAlimentsPintadeFemelle=BONNE,VLOOKUP("Lentille",AlimentsRationPintadesFemelles[],2,FALSE),0))))))))</f>
        <v>0</v>
      </c>
      <c r="DI160" s="1267">
        <f t="array" ref="DI160">SUM((IF(QualitéAlimentsPintadeauMâle_0_1_mois=MOYENNE,VLOOKUP("Lentille",AlimentsRationPintadesMâles[],4,FALSE),0)+(IF(QualitéAlimentsPintadeauFemelle_0_1_mois=MOYENNE,VLOOKUP("Lentille",AlimentsRationPintadesFemelles[],4,FALSE),0)+(IF(QualitéAlimentsJeunePintadeMâle=MOYENNE,VLOOKUP("Lentille",AlimentsRationPintadesMâles[],3,FALSE),0)+(IF(QualitéAlimentsJeunePintadeFemelle=MOYENNE,VLOOKUP("Lentille",AlimentsRationPintadesFemelles[],3,FALSE),0)+(IF(QualitéAlimentsPintadeMâle=MOYENNE,VLOOKUP("Lentille",AlimentsRationPintadesMâles[],2,FALSE),0)+(IF(QualitéAlimentsPintadeFemelle=MOYENNE,VLOOKUP("Lentille",AlimentsRationPintadesFemelles[],2,FALSE),0))))))))</f>
        <v>0</v>
      </c>
      <c r="DJ160" s="1267">
        <f t="array" ref="DJ160">SUM((IF(QualitéAlimentsPintadeauMâle_0_1_mois=MAUVAISE,VLOOKUP("Lentille",AlimentsRationPintadesMâles[],4,FALSE),0)+(IF(QualitéAlimentsPintadeauFemelle_0_1_mois=MAUVAISE,VLOOKUP("Lentille",AlimentsRationPintadesFemelles[],4,FALSE),0)+(IF(QualitéAlimentsJeunePintadeMâle=MAUVAISE,VLOOKUP("Lentille",AlimentsRationPintadesMâles[],3,FALSE),0)+(IF(QualitéAlimentsJeunePintadeFemelle=MAUVAISE,VLOOKUP("Lentille",AlimentsRationPintadesFemelles[],3,FALSE),0)+(IF(QualitéAlimentsPintadeMâle=MAUVAISE,VLOOKUP("Lentille",AlimentsRationPintadesMâles[],2,FALSE),0)+(IF(QualitéAlimentsPintadeFemelle=MAUVAISE,VLOOKUP("Lentille",AlimentsRationPintadesFemelles[],2,FALSE),0))))))))</f>
        <v>0</v>
      </c>
      <c r="DK160" s="1321"/>
      <c r="DL160" s="1321"/>
      <c r="DM160" s="1321"/>
      <c r="DN160" s="1076" t="s">
        <v>728</v>
      </c>
      <c r="DO160" s="1267">
        <f t="array" ref="DO160">IF(ChoixRationComplèteOvins=OUI,0,IFERROR(IF(OR(AND(INDEX(Règles_ovins[Specificite],MATCH(ChoixRationOvins&amp;$DN160,Règles_ovins[Ration]&amp;Règles_ovins[Aliment],0))="s1",IF($DN160=Spécificité1Ovins,1)),
AND(INDEX(Règles_ovins[Specificite],MATCH(ChoixRationOvins&amp;$DN160,Règles_ovins[Ration]&amp;Règles_ovins[Aliment],0))="s2",IF($DN160=Spécificité2Ovins,1)),
INDEX(Règles_ovins[Specificite],MATCH(ChoixRationOvins&amp;$DN160,Règles_ovins[Ration]&amp;Règles_ovins[Aliment],0))="c"),
INDEX(Règles_ovins[Valeur 12 et plus],MATCH(ChoixRationOvins&amp;$DN160,Règles_ovins[Ration]&amp;Règles_ovins[Aliment],0)),0),0)*IF(ChoixOvinsPréHiver=OUI,SUM(TotalOvinsAdultesRacesLaitières)*NbreJoursNourrirOvins,TotalBéliers*SUM(NbreJoursNourrirOvins)))</f>
        <v>0</v>
      </c>
      <c r="DP160" s="1267">
        <f t="array" ref="DP160">IF(ChoixRationComplèteOvins=OUI,0,IFERROR(IF(OR(AND(INDEX(Règles_ovins[Specificite],MATCH(ChoixRationOvins&amp;$DN160,Règles_ovins[Ration]&amp;Règles_ovins[Aliment],0))="s1",IF($DN160=Spécificité1Ovins,1)),
AND(INDEX(Règles_ovins[Specificite],MATCH(ChoixRationOvins&amp;$DN160,Règles_ovins[Ration]&amp;Règles_ovins[Aliment],0))="s2",IF($DN160=Spécificité2Ovins,1)),
INDEX(Règles_ovins[Specificite],MATCH(ChoixRationOvins&amp;$DN160,Règles_ovins[Ration]&amp;Règles_ovins[Aliment],0))="c"),
INDEX(Règles_ovins[Valeur 6-12],MATCH(ChoixRationOvins&amp;$DN160,Règles_ovins[Ration]&amp;Règles_ovins[Aliment],0)),0),0)*IF(ChoixOvinsPréHiver=OUI,SUM(TotalJeunesOvinsRacesLaitières)*NbreJoursNourrirOvins,TotalJeune_bélier_6_12_mois*SUM(NbreJoursNourrirOvins)))</f>
        <v>0</v>
      </c>
      <c r="DQ160" s="1267">
        <f t="array" ref="DQ160">IF(ChoixRationComplèteOvins=OUI,0,IFERROR(IF(OR(AND(INDEX(Règles_ovins[Specificite],MATCH(ChoixRationOvins&amp;$DN160,Règles_ovins[Ration]&amp;Règles_ovins[Aliment],0))="s1",IF($DN160=Spécificité1Ovins,1)),
AND(INDEX(Règles_ovins[Specificite],MATCH(ChoixRationOvins&amp;$DN160,Règles_ovins[Ration]&amp;Règles_ovins[Aliment],0))="s2",IF($DN160=Spécificité2Ovins,1)),
INDEX(Règles_ovins[Specificite],MATCH(ChoixRationOvins&amp;$DN160,Règles_ovins[Ration]&amp;Règles_ovins[Aliment],0))="c"),
INDEX(Règles_ovins[Valeur 3-6],MATCH(ChoixRationOvins&amp;$DN160,Règles_ovins[Ration]&amp;Règles_ovins[Aliment],0)),0),0)*IF(ChoixOvinsPréHiver=OUI,SUM(TotalOvins_3_6moisRacesLaitières)*NbreJoursNourrirOvins,TotalAgneau_3_6_mois*SUM(NbreJoursNourrirOvins)))</f>
        <v>0</v>
      </c>
      <c r="DR160" s="1267">
        <f t="array" ref="DR160">IF(ChoixRationComplèteOvins=OUI,0,IFERROR(IF(OR(AND(INDEX(Règles_ovins[Specificite],MATCH(ChoixRationOvins&amp;$DN160,Règles_ovins[Ration]&amp;Règles_ovins[Aliment],0))="s1",IF($DN160=Spécificité1Ovins,1)),
AND(INDEX(Règles_ovins[Specificite],MATCH(ChoixRationOvins&amp;$DN160,Règles_ovins[Ration]&amp;Règles_ovins[Aliment],0))="s2",IF($DN160=Spécificité2Ovins,1)),
INDEX(Règles_ovins[Specificite],MATCH(ChoixRationOvins&amp;$DN160,Règles_ovins[Ration]&amp;Règles_ovins[Aliment],0))="c"),
INDEX(Règles_ovins[Valeur 0-3],MATCH(ChoixRationOvins&amp;$DN160,Règles_ovins[Ration]&amp;Règles_ovins[Aliment],0)),0),0)*IF(ChoixOvinsPréHiver=OUI,SUM(TotalOvins_3_6moisRacesLaitières)*NbreJoursNourrirOvins,TotalAgneau_0_3_mois*SUM(NbreJoursNourrirOvins)))</f>
        <v>0</v>
      </c>
      <c r="DS160" s="1279">
        <f t="shared" si="61"/>
        <v>0</v>
      </c>
      <c r="DT160" s="1346"/>
      <c r="DU160" s="1346"/>
      <c r="DV160" s="1321"/>
      <c r="DW160" s="1321"/>
      <c r="DX160" s="1321"/>
      <c r="DY160" s="1321"/>
      <c r="DZ160" s="1321"/>
      <c r="EA160" s="1321"/>
      <c r="EB160" s="1321"/>
      <c r="EC160" s="1321"/>
      <c r="ED160" s="1345"/>
      <c r="EE160" s="1345"/>
      <c r="EF160" s="1321"/>
      <c r="EG160" s="1076" t="str">
        <f t="shared" si="63"/>
        <v>Ensilage d'herbe</v>
      </c>
      <c r="EH160" s="1267">
        <f t="array" ref="EH160">SUM((IF(QualitéAlimentsOisonMâle_0_3_mois=BONNE,VLOOKUP("Ensilage d'herbe",AlimentsRationOiesMâles[],4,FALSE),0)+(IF(QualitéAlimentsOisonFemelle_0_3_mois=BONNE,VLOOKUP("Ensilage d'herbe",AlimentsRationOiesFemelles[],4,FALSE),0)+(IF(QualitéAlimentsJeuneJars=BONNE,VLOOKUP("Ensilage d'herbe",AlimentsRationOiesMâles[],3,FALSE),0)+(IF(QualitéAlimentsJeuneOie=BONNE,VLOOKUP("Ensilage d'herbe",AlimentsRationOiesFemelles[],3,FALSE),0)+(IF(QualitéAlimentsJars=BONNE,VLOOKUP("Ensilage d'herbe",AlimentsRationOiesMâles[],2,FALSE),0)+(IF(QualitéAlimentsOie=BONNE,VLOOKUP("Ensilage d'herbe",AlimentsRationOiesFemelles[],2,FALSE),0))))))))</f>
        <v>0</v>
      </c>
      <c r="EI160" s="1267">
        <f t="array" ref="EI160">SUM((IF(QualitéAlimentsOisonMâle_0_3_mois=MOYENNE,VLOOKUP("Ensilage d'herbe",AlimentsRationOiesMâles[],4,FALSE),0)+(IF(QualitéAlimentsOisonFemelle_0_3_mois=MOYENNE,VLOOKUP("Ensilage d'herbe",AlimentsRationOiesFemelles[],4,FALSE),0)+(IF(QualitéAlimentsJeuneJars=MOYENNE,VLOOKUP("Ensilage d'herbe",AlimentsRationOiesMâles[],3,FALSE),0)+(IF(QualitéAlimentsJeuneOie=MOYENNE,VLOOKUP("Ensilage d'herbe",AlimentsRationOiesFemelles[],3,FALSE),0)+(IF(QualitéAlimentsJars=MOYENNE,VLOOKUP("Ensilage d'herbe",AlimentsRationOiesMâles[],2,FALSE),0)+(IF(QualitéAlimentsOie=MOYENNE,VLOOKUP("Ensilage d'herbe",AlimentsRationOiesFemelles[],2,FALSE),0))))))))</f>
        <v>0</v>
      </c>
      <c r="EJ160" s="1267">
        <f t="array" ref="EJ160">SUM((IF(QualitéAlimentsOisonMâle_0_3_mois=MAUVAISE,VLOOKUP("Ensilage d'herbe",AlimentsRationOiesMâles[],4,FALSE),0)+(IF(QualitéAlimentsOisonFemelle_0_3_mois=MAUVAISE,VLOOKUP("Ensilage d'herbe",AlimentsRationOiesFemelles[],4,FALSE),0)+(IF(QualitéAlimentsJeuneJars=MAUVAISE,VLOOKUP("Ensilage d'herbe",AlimentsRationOiesMâles[],3,FALSE),0)+(IF(QualitéAlimentsJeuneOie=MAUVAISE,VLOOKUP("Ensilage d'herbe",AlimentsRationOiesFemelles[],3,FALSE),0)+(IF(QualitéAlimentsJars=MAUVAISE,VLOOKUP("Ensilage d'herbe",AlimentsRationOiesMâles[],2,FALSE),0)+(IF(QualitéAlimentsOie=MAUVAISE,VLOOKUP("Ensilage d'herbe",AlimentsRationOiesFemelles[],2,FALSE),0))))))))</f>
        <v>0</v>
      </c>
      <c r="EK160" s="1345"/>
      <c r="EL160" s="1345"/>
      <c r="EM160" s="1321"/>
      <c r="EN160" s="1083" t="str">
        <f t="shared" si="62"/>
        <v>Eau</v>
      </c>
      <c r="EO160" s="1283">
        <f t="array" ref="EO160">SUM((IF(QualitéAlimentsCanetonMâle=BONNE,VLOOKUP("Eau",AlimentsRationCanardsMâles,4,FALSE),0)+(IF(QualitéAlimentsCanetonFemelle=BONNE,VLOOKUP("Eau",AlimentsRationCanardsFemelles,4,FALSE),0)+(IF(QualitéAlimentsJeuneCanard=BONNE,VLOOKUP("Eau",AlimentsRationCanardsMâles,3,FALSE),0)+(IF(QualitéAlimentsJeuneCane=BONNE,VLOOKUP("Eau",AlimentsRationCanardsFemelles,3,FALSE),0)+(IF(QualitéAlimentsCanard=BONNE,VLOOKUP("Eau",AlimentsRationCanardsMâles,2,FALSE),0)+(IF(QualitéAlimentsCane=BONNE,VLOOKUP("Eau",AlimentsRationCanardsFemelles,2,FALSE),0))))))))</f>
        <v>0</v>
      </c>
      <c r="EP160" s="1283">
        <f t="array" ref="EP160">SUM((IF(QualitéAlimentsCanetonMâle=MOYENNE,VLOOKUP("Eau",AlimentsRationCanardsMâles,4,FALSE),0)+(IF(QualitéAlimentsCanetonFemelle=MOYENNE,VLOOKUP("Eau",AlimentsRationCanardsFemelles,4,FALSE),0)+(IF(QualitéAlimentsJeuneCanard=MOYENNE,VLOOKUP("Eau",AlimentsRationCanardsMâles,3,FALSE),0)+(IF(QualitéAlimentsJeuneCane=MOYENNE,VLOOKUP("Eau",AlimentsRationCanardsFemelles,3,FALSE),0)+(IF(QualitéAlimentsCanard=MOYENNE,VLOOKUP("Eau",AlimentsRationCanardsMâles,2,FALSE),0)+(IF(QualitéAlimentsCane=MOYENNE,VLOOKUP("Eau",AlimentsRationCanardsFemelles,2,FALSE),0))))))))</f>
        <v>0</v>
      </c>
      <c r="EQ160" s="1283">
        <f t="array" ref="EQ160">SUM((IF(QualitéAlimentsCanetonMâle=MAUVAISE,VLOOKUP("Eau",AlimentsRationCanardsMâles,4,FALSE),0)+(IF(QualitéAlimentsCanetonFemelle=MAUVAISE,VLOOKUP("Eau",AlimentsRationCanardsFemelles,4,FALSE),0)+(IF(QualitéAlimentsJeuneCanard=MAUVAISE,VLOOKUP("Eau",AlimentsRationCanardsMâles,3,FALSE),0)+(IF(QualitéAlimentsJeuneCane=MAUVAISE,VLOOKUP("Eau",AlimentsRationCanardsFemelles,3,FALSE),0)+(IF(QualitéAlimentsCanard=MAUVAISE,VLOOKUP("Eau",AlimentsRationCanardsMâles,2,FALSE),0)+(IF(QualitéAlimentsCane=MAUVAISE,VLOOKUP("Eau",AlimentsRationCanardsFemelles,2,FALSE),0))))))))</f>
        <v>0</v>
      </c>
      <c r="ER160" s="1345"/>
      <c r="ES160" s="1345"/>
      <c r="ET160" s="1321"/>
      <c r="EU160" s="1082" t="str">
        <f t="shared" si="60"/>
        <v>Epinard</v>
      </c>
      <c r="EV160" s="1282">
        <f t="array" ref="EV160">IF(OR(ChoixRationHivernaleComplèteChevauxSelle=OUI,ChoixRationHivernaleComplèteChevauxSelle="",ChoixChevauxSellePréHiver=NON),0,IFERROR(IF(OR(AND(INDEX(Règles_chevaux_selle[Specificite],MATCH(RationHivernaleAuPréChevauxSelle&amp;$EU160,Règles_chevaux_selle[Ration]&amp;Règles_chevaux_selle[Aliment],0))="s1",IF($EU160=Spécificité1ChevauxSelle,1)),
AND(INDEX(Règles_chevaux_selle[Specificite],MATCH(RationHivernaleAuPréChevauxSelle&amp;$EU160,Règles_chevaux_selle[Ration]&amp;Règles_chevaux_selle[Aliment],0))="s2",IF($EU160=Spécificité2ChevauxSelle,1)),
INDEX(Règles_chevaux_selle[Specificite],MATCH(RationHivernaleAuPréChevauxSelle&amp;$EU160,Règles_chevaux_selle[Ration]&amp;Règles_chevaux_selle[Aliment],0))="c"),
INDEX(Règles_chevaux_selle[Valeur 36 et plus],MATCH(RationHivernaleAuPréChevauxSelle&amp;$EU160,Règles_chevaux_selle[Ration]&amp;Règles_chevaux_selle[Aliment],0)),0),0)*SUM(TotalChevauxSelleAdultes)*21)</f>
        <v>0</v>
      </c>
      <c r="EW160" s="1282">
        <f t="array" ref="EW160">IF(OR(ChoixRationHivernaleComplèteChevauxSelle=OUI,ChoixRationHivernaleComplèteChevauxSelle="",ChoixChevauxSellePréHiver=NON),0,IFERROR(IF(OR(AND(INDEX(Règles_chevaux_selle[Specificite],MATCH(RationHivernaleAuPréChevauxSelle&amp;$EU160,Règles_chevaux_selle[Ration]&amp;Règles_chevaux_selle[Aliment],0))="s1",IF($EU160=Spécificité1ChevauxSelle,1)),
AND(INDEX(Règles_chevaux_selle[Specificite],MATCH(RationHivernaleAuPréChevauxSelle&amp;$EU160,Règles_chevaux_selle[Ration]&amp;Règles_chevaux_selle[Aliment],0))="s2",IF($EU160=Spécificité2ChevauxSelle,1)),
INDEX(Règles_chevaux_selle[Specificite],MATCH(RationHivernaleAuPréChevauxSelle&amp;$EU160,Règles_chevaux_selle[Ration]&amp;Règles_chevaux_selle[Aliment],0))="c"),
INDEX(Règles_chevaux_selle[Valeur 24-36],MATCH(RationHivernaleAuPréChevauxSelle&amp;$EU160,Règles_chevaux_selle[Ration]&amp;Règles_chevaux_selle[Aliment],0)),0),0)*SUM(TotalChevauxSelle_24_36mois)*21)</f>
        <v>0</v>
      </c>
      <c r="EX160" s="1282">
        <f t="array" ref="EX160">IF(OR(ChoixRationHivernaleComplèteChevauxSelle=OUI,ChoixRationHivernaleComplèteChevauxSelle="",ChoixChevauxSellePréHiver=NON),0,IFERROR(IF(OR(AND(INDEX(Règles_chevaux_selle[Specificite],MATCH(RationHivernaleAuPréChevauxSelle&amp;$EU160,Règles_chevaux_selle[Ration]&amp;Règles_chevaux_selle[Aliment],0))="s1",IF($EU160=Spécificité1ChevauxSelle,1)),
AND(INDEX(Règles_chevaux_selle[Specificite],MATCH(RationHivernaleAuPréChevauxSelle&amp;$EU160,Règles_chevaux_selle[Ration]&amp;Règles_chevaux_selle[Aliment],0))="s2",IF($EU160=Spécificité2ChevauxSelle,1)),
INDEX(Règles_chevaux_selle[Specificite],MATCH(RationHivernaleAuPréChevauxSelle&amp;$EU160,Règles_chevaux_selle[Ration]&amp;Règles_chevaux_selle[Aliment],0))="c"),
INDEX(Règles_chevaux_selle[Valeur 12-24],MATCH(RationHivernaleAuPréChevauxSelle&amp;$EU160,Règles_chevaux_selle[Ration]&amp;Règles_chevaux_selle[Aliment],0)),0),0)*SUM(TotalChevauxSelle_12_24mois)*21)</f>
        <v>0</v>
      </c>
      <c r="EY160" s="1285">
        <f t="array" ref="EY160">IF(OR(ChoixRationHivernaleComplèteChevauxSelle=OUI,ChoixRationHivernaleComplèteChevauxSelle="",ChoixChevauxSellePréHiver=NON),0,IFERROR(IF(OR(AND(INDEX(Règles_chevaux_selle[Specificite],MATCH(RationHivernaleAuPréChevauxSelle&amp;$EU160,Règles_chevaux_selle[Ration]&amp;Règles_chevaux_selle[Aliment],0))="s1",IF($EU160=Spécificité1ChevauxSelle,1)),
AND(INDEX(Règles_chevaux_selle[Specificite],MATCH(RationHivernaleAuPréChevauxSelle&amp;$EU160,Règles_chevaux_selle[Ration]&amp;Règles_chevaux_selle[Aliment],0))="s2",IF($EU160=Spécificité2ChevauxSelle,1)),
INDEX(Règles_chevaux_selle[Specificite],MATCH(RationHivernaleAuPréChevauxSelle&amp;$EU160,Règles_chevaux_selle[Ration]&amp;Règles_chevaux_selle[Aliment],0))="c"),
INDEX(Règles_chevaux_selle[Valeur 0-12],MATCH(RationHivernaleAuPréChevauxSelle&amp;$EU160,Règles_chevaux_selle[Ration]&amp;Règles_chevaux_selle[Aliment],0)),0),0)*SUM(TotalPoulainsSelle)*21)</f>
        <v>0</v>
      </c>
      <c r="EZ160" s="1285">
        <f t="shared" si="59"/>
        <v>0</v>
      </c>
      <c r="FA160" s="1345"/>
      <c r="FB160" s="1345"/>
      <c r="FC160" s="1321"/>
      <c r="FD160" s="1082" t="str">
        <f t="shared" si="55"/>
        <v>Maïs grain</v>
      </c>
      <c r="FE160" s="1282">
        <f t="array" ref="FE160">IF(OR(ChoixRationHivernaleComplèteChevauxTrait=OUI,ChoixRationHivernaleComplèteChevauxTrait="",ChoixChevauxTraitPréHiver=NON),0,IFERROR(IF(OR(AND(INDEX(Règles_chevaux_trait[Specificite],MATCH(RationHivernaleAuPréChevauxTrait&amp;$FD160,Règles_chevaux_trait[Ration]&amp;Règles_chevaux_trait[Aliment],0))="s1",IF($FD160=Spécificité1ChevauxTrait,1)),
AND(INDEX(Règles_chevaux_trait[Specificite],MATCH(RationHivernaleAuPréChevauxTrait&amp;$FD160,Règles_chevaux_trait[Ration]&amp;Règles_chevaux_trait[Aliment],0))="s2",IF($FD160=Spécificité2ChevauxTrait,1)),
INDEX(Règles_chevaux_trait[Specificite],MATCH(RationHivernaleAuPréChevauxTrait&amp;$FD160,Règles_chevaux_trait[Ration]&amp;Règles_chevaux_trait[Aliment],0))="c"),
INDEX(Règles_chevaux_trait[Valeur 36 et plus],MATCH(RationHivernaleAuPréChevauxTrait&amp;$FD160,Règles_chevaux_trait[Ration]&amp;Règles_chevaux_trait[Aliment],0)),0),0)*SUM(TotalChevauxTraitAdultes)*21)</f>
        <v>0</v>
      </c>
      <c r="FF160" s="1282">
        <f t="array" ref="FF160">IF(OR(ChoixRationHivernaleComplèteChevauxTrait=OUI,ChoixRationHivernaleComplèteChevauxTrait="",ChoixChevauxTraitPréHiver=NON),0,IFERROR(IF(OR(AND(INDEX(Règles_chevaux_trait[Specificite],MATCH(RationHivernaleAuPréChevauxTrait&amp;$FD160,Règles_chevaux_trait[Ration]&amp;Règles_chevaux_trait[Aliment],0))="s1",IF($FD160=Spécificité1ChevauxTrait,1)),
AND(INDEX(Règles_chevaux_trait[Specificite],MATCH(RationHivernaleAuPréChevauxTrait&amp;$FD160,Règles_chevaux_trait[Ration]&amp;Règles_chevaux_trait[Aliment],0))="s2",IF($FD160=Spécificité2ChevauxTrait,1)),
INDEX(Règles_chevaux_trait[Specificite],MATCH(RationHivernaleAuPréChevauxTrait&amp;$FD160,Règles_chevaux_trait[Ration]&amp;Règles_chevaux_trait[Aliment],0))="c"),
INDEX(Règles_chevaux_trait[Valeur 24-36],MATCH(RationHivernaleAuPréChevauxTrait&amp;$FD160,Règles_chevaux_trait[Ration]&amp;Règles_chevaux_trait[Aliment],0)),0),0)*SUM(TotalChevauxTrait_24_36mois)*21)</f>
        <v>0</v>
      </c>
      <c r="FG160" s="1282">
        <f t="array" ref="FG160">IF(OR(ChoixRationHivernaleComplèteChevauxTrait=OUI,ChoixRationHivernaleComplèteChevauxTrait="",ChoixChevauxTraitPréHiver=NON),0,IFERROR(IF(OR(AND(INDEX(Règles_chevaux_trait[Specificite],MATCH(RationHivernaleAuPréChevauxTrait&amp;$FD160,Règles_chevaux_trait[Ration]&amp;Règles_chevaux_trait[Aliment],0))="s1",IF($FD160=Spécificité1ChevauxTrait,1)),
AND(INDEX(Règles_chevaux_trait[Specificite],MATCH(RationHivernaleAuPréChevauxTrait&amp;$FD160,Règles_chevaux_trait[Ration]&amp;Règles_chevaux_trait[Aliment],0))="s2",IF($FD160=Spécificité2ChevauxTrait,1)),
INDEX(Règles_chevaux_trait[Specificite],MATCH(RationHivernaleAuPréChevauxTrait&amp;$FD160,Règles_chevaux_trait[Ration]&amp;Règles_chevaux_trait[Aliment],0))="c"),
INDEX(Règles_chevaux_trait[Valeur 12-24],MATCH(RationHivernaleAuPréChevauxTrait&amp;$FD160,Règles_chevaux_trait[Ration]&amp;Règles_chevaux_trait[Aliment],0)),0),0)*SUM(TotalChevauxTrait_12_24mois)*21)</f>
        <v>0</v>
      </c>
      <c r="FH160" s="1285">
        <f t="array" ref="FH160">IF(OR(ChoixRationHivernaleComplèteChevauxTrait=OUI,ChoixRationHivernaleComplèteChevauxTrait="",ChoixChevauxTraitPréHiver=NON),0,IFERROR(IF(OR(AND(INDEX(Règles_chevaux_trait[Specificite],MATCH(RationHivernaleAuPréChevauxTrait&amp;$FD160,Règles_chevaux_trait[Ration]&amp;Règles_chevaux_trait[Aliment],0))="s1",IF($FD160=Spécificité1ChevauxTrait,1)),
AND(INDEX(Règles_chevaux_trait[Specificite],MATCH(RationHivernaleAuPréChevauxTrait&amp;$FD160,Règles_chevaux_trait[Ration]&amp;Règles_chevaux_trait[Aliment],0))="s2",IF($FD160=Spécificité2ChevauxTrait,1)),
INDEX(Règles_chevaux_trait[Specificite],MATCH(RationHivernaleAuPréChevauxTrait&amp;$FD160,Règles_chevaux_trait[Ration]&amp;Règles_chevaux_trait[Aliment],0))="c"),
INDEX(Règles_chevaux_trait[Valeur 0-12],MATCH(RationHivernaleAuPréChevauxTrait&amp;$FD160,Règles_chevaux_trait[Ration]&amp;Règles_chevaux_trait[Aliment],0)),0),0)*SUM(TotalPoulainsTrait)*21)</f>
        <v>0</v>
      </c>
      <c r="FI160" s="1285">
        <f t="shared" si="53"/>
        <v>0</v>
      </c>
      <c r="FJ160" s="1345"/>
      <c r="FK160" s="1345"/>
      <c r="FL160" s="1345"/>
      <c r="FM160" s="1321"/>
      <c r="FN160" s="1083" t="str">
        <f t="shared" si="54"/>
        <v>Minéraux + vitamines</v>
      </c>
      <c r="FO160" s="1283">
        <f t="array" ref="FO160">IF(OR(ChoixRationHivernaleComplètePoneys=OUI,ChoixRationHivernaleComplètePoneys="",ChoixPoneysPréHiver=NON),0,IFERROR(IF(OR(AND(INDEX(Règles_poneys[Specificite],MATCH(RationHivernaleAuPréPoneys&amp;$FN160,Règles_poneys[Ration]&amp;Règles_poneys[Aliment],0))="s1",IF($FN160=Spécificité1Poneys,1)),
AND(INDEX(Règles_poneys[Specificite],MATCH(RationHivernaleAuPréPoneys&amp;$FN160,Règles_poneys[Ration]&amp;Règles_poneys[Aliment],0))="s2",IF($FN160=Spécificité2Poneys,1)),
INDEX(Règles_poneys[Specificite],MATCH(RationHivernaleAuPréPoneys&amp;$FN160,Règles_poneys[Ration]&amp;Règles_poneys[Aliment],0))="c"),
INDEX(Règles_poneys[Valeur 36 et plus],MATCH(RationHivernaleAuPréPoneys&amp;$FN160,Règles_poneys[Ration]&amp;Règles_poneys[Aliment],0)),0),0)*SUM(TotalPoneysAdultes)*21)</f>
        <v>0</v>
      </c>
      <c r="FP160" s="1283">
        <f t="array" ref="FP160">IF(OR(ChoixRationHivernaleComplètePoneys=OUI,ChoixRationHivernaleComplètePoneys="",ChoixPoneysPréHiver=NON),0,IFERROR(IF(OR(AND(INDEX(Règles_poneys[Specificite],MATCH(RationHivernaleAuPréPoneys&amp;$FN160,Règles_poneys[Ration]&amp;Règles_poneys[Aliment],0))="s1",IF($FN160=Spécificité1Poneys,1)),
AND(INDEX(Règles_poneys[Specificite],MATCH(RationHivernaleAuPréPoneys&amp;$FN160,Règles_poneys[Ration]&amp;Règles_poneys[Aliment],0))="s2",IF($FN160=Spécificité2Poneys,1)),
INDEX(Règles_poneys[Specificite],MATCH(RationHivernaleAuPréPoneys&amp;$FN160,Règles_poneys[Ration]&amp;Règles_poneys[Aliment],0))="c"),
INDEX(Règles_poneys[Valeur 24-36],MATCH(RationHivernaleAuPréPoneys&amp;$FN160,Règles_poneys[Ration]&amp;Règles_poneys[Aliment],0)),0),0)*SUM(TotalPoneys_24_36mois)*21)</f>
        <v>0</v>
      </c>
      <c r="FQ160" s="1283">
        <f t="array" ref="FQ160">IF(OR(ChoixRationHivernaleComplètePoneys=OUI,ChoixRationHivernaleComplètePoneys="",ChoixPoneysPréHiver=NON),0,IFERROR(IF(OR(AND(INDEX(Règles_poneys[Specificite],MATCH(RationHivernaleAuPréPoneys&amp;$FN160,Règles_poneys[Ration]&amp;Règles_poneys[Aliment],0))="s1",IF($FN160=Spécificité1Poneys,1)),
AND(INDEX(Règles_poneys[Specificite],MATCH(RationHivernaleAuPréPoneys&amp;$FN160,Règles_poneys[Ration]&amp;Règles_poneys[Aliment],0))="s2",IF($FN160=Spécificité2Poneys,1)),
INDEX(Règles_poneys[Specificite],MATCH(RationHivernaleAuPréPoneys&amp;$FN160,Règles_poneys[Ration]&amp;Règles_poneys[Aliment],0))="c"),
INDEX(Règles_poneys[Valeur 12-24],MATCH(RationHivernaleAuPréPoneys&amp;$FN160,Règles_poneys[Ration]&amp;Règles_poneys[Aliment],0)),0),0)*SUM(TotalPoneys_12_24mois)*21)</f>
        <v>0</v>
      </c>
      <c r="FR160" s="1286">
        <f t="array" ref="FR160">IF(OR(ChoixRationHivernaleComplètePoneys=OUI,ChoixRationHivernaleComplètePoneys="",ChoixPoneysPréHiver=NON),0,IFERROR(IF(OR(AND(INDEX(Règles_poneys[Specificite],MATCH(RationHivernaleAuPréPoneys&amp;$FN160,Règles_poneys[Ration]&amp;Règles_poneys[Aliment],0))="s1",IF($FN160=Spécificité1Poneys,1)),
AND(INDEX(Règles_poneys[Specificite],MATCH(RationHivernaleAuPréPoneys&amp;$FN160,Règles_poneys[Ration]&amp;Règles_poneys[Aliment],0))="s2",IF($FN160=Spécificité2Poneys,1)),
INDEX(Règles_poneys[Specificite],MATCH(RationHivernaleAuPréPoneys&amp;$FN160,Règles_poneys[Ration]&amp;Règles_poneys[Aliment],0))="c"),
INDEX(Règles_poneys[Valeur 0-12],MATCH(RationHivernaleAuPréPoneys&amp;$FN160,Règles_poneys[Ration]&amp;Règles_poneys[Aliment],0)),0),0)*SUM(TotalPoulainsPoneys)*21)</f>
        <v>0</v>
      </c>
      <c r="FS160" s="1286">
        <f t="shared" si="52"/>
        <v>0</v>
      </c>
      <c r="FT160" s="1345"/>
      <c r="FU160" s="1345"/>
      <c r="FV160" s="1345"/>
      <c r="FW160" s="1082" t="str">
        <f t="shared" si="49"/>
        <v>Pulpe déshydratée de betterave</v>
      </c>
      <c r="FX160" s="1282">
        <f t="array" ref="FX160">SUM((IF(QualitéAlimentsGavageOison_0_1_mois=BONNE,VLOOKUP("Pulpe déshydratée de betterave",AlimentsGavageOies[],5,FALSE),0)+(IF(QualitéAlimentsGavageCaneton_0_1_mois=BONNE,VLOOKUP("Pulpe déshydratée de betterave",AlimentsGavageCanards[],5,FALSE),0)+(IF(QualitéAlimentsGavageOison_1_2_mois=BONNE,VLOOKUP("Pulpe déshydratée de betterave",AlimentsGavageOies[],4,FALSE),0)+(IF(QualitéAlimentsGavageCaneton_1_2_mois=BONNE,VLOOKUP("Pulpe déshydratée de betterave",AlimentsGavageCanards[],4,FALSE),0)+(IF(QualitéAlimentsGavageOison_2_3_mois=BONNE,VLOOKUP("Pulpe déshydratée de betterave",AlimentsGavageOies[],3,FALSE),0)+(IF(QualitéAlimentsGavageCaneton_2_3_mois=BONNE,VLOOKUP("Pulpe déshydratée de betterave",AlimentsGavageCanards[],3,FALSE),0)+(IF(QualitéAlimentsGavageJeunesOies=BONNE,VLOOKUP("Pulpe déshydratée de betterave",AlimentsGavageOies[],2,FALSE),0)+(IF(QualitéAlimentsGavageJeuneCanard=BONNE,VLOOKUP("Pulpe déshydratée de betterave",AlimentsGavageCanards[],2,FALSE),0))))))))))</f>
        <v>0</v>
      </c>
      <c r="FY160" s="1282">
        <f t="array" ref="FY160">SUM((IF(QualitéAlimentsGavageOison_0_1_mois=MOYENNE,VLOOKUP("Pulpe déshydratée de betterave",AlimentsGavageOies[],5,FALSE),0)+(IF(QualitéAlimentsGavageCaneton_0_1_mois=MOYENNE,VLOOKUP("Pulpe déshydratée de betterave",AlimentsGavageCanards[],5,FALSE),0)+(IF(QualitéAlimentsGavageOison_1_2_mois=MOYENNE,VLOOKUP("Pulpe déshydratée de betterave",AlimentsGavageOies[],4,FALSE),0)+(IF(QualitéAlimentsGavageCaneton_1_2_mois=MOYENNE,VLOOKUP("Pulpe déshydratée de betterave",AlimentsGavageCanards[],4,FALSE),0)+(IF(QualitéAlimentsGavageOison_2_3_mois=MOYENNE,VLOOKUP("Pulpe déshydratée de betterave",AlimentsGavageOies[],3,FALSE),0)+(IF(QualitéAlimentsGavageCaneton_2_3_mois=MOYENNE,VLOOKUP("Pulpe déshydratée de betterave",AlimentsGavageCanards[],3,FALSE),0)+(IF(QualitéAlimentsGavageJeunesOies=MOYENNE,VLOOKUP("Pulpe déshydratée de betterave",AlimentsGavageOies[],2,FALSE),0)+(IF(QualitéAlimentsGavageJeuneCanard=MOYENNE,VLOOKUP("Pulpe déshydratée de betterave",AlimentsGavageCanards[],2,FALSE),0))))))))))</f>
        <v>0</v>
      </c>
      <c r="FZ160" s="1282">
        <f t="array" ref="FZ160">SUM((IF(QualitéAlimentsGavageOison_0_1_mois=MAUVAISE,VLOOKUP("Pulpe déshydratée de betterave",AlimentsGavageOies[],5,FALSE),0)+(IF(QualitéAlimentsGavageCaneton_0_1_mois=MAUVAISE,VLOOKUP("Pulpe déshydratée de betterave",AlimentsGavageCanards[],5,FALSE),0)+(IF(QualitéAlimentsGavageOison_1_2_mois=MAUVAISE,VLOOKUP("Pulpe déshydratée de betterave",AlimentsGavageOies[],4,FALSE),0)+(IF(QualitéAlimentsGavageCaneton_1_2_mois=MAUVAISE,VLOOKUP("Pulpe déshydratée de betterave",AlimentsGavageCanards[],4,FALSE),0)+(IF(QualitéAlimentsGavageOison_2_3_mois=MAUVAISE,VLOOKUP("Pulpe déshydratée de betterave",AlimentsGavageOies[],3,FALSE),0)+(IF(QualitéAlimentsGavageCaneton_2_3_mois=MAUVAISE,VLOOKUP("Pulpe déshydratée de betterave",AlimentsGavageCanards[],3,FALSE),0)+(IF(QualitéAlimentsGavageJeunesOies=MAUVAISE,VLOOKUP("Pulpe déshydratée de betterave",AlimentsGavageOies[],2,FALSE),0)+(IF(QualitéAlimentsGavageJeuneCanard=MAUVAISE,VLOOKUP("Pulpe déshydratée de betterave",AlimentsGavageCanards[],2,FALSE),0))))))))))</f>
        <v>0</v>
      </c>
      <c r="GA160" s="1345"/>
      <c r="GB160" s="1345"/>
      <c r="GC160" s="1321"/>
      <c r="GD160" s="1321"/>
      <c r="GE160" s="1321"/>
      <c r="GF160" s="1321"/>
      <c r="GG160" s="1321" t="s">
        <v>1349</v>
      </c>
      <c r="GH160" s="1321" t="s">
        <v>1349</v>
      </c>
      <c r="GI160" s="1321" t="s">
        <v>1349</v>
      </c>
      <c r="GJ160" s="1321" t="s">
        <v>1349</v>
      </c>
      <c r="GK160" s="1321" t="s">
        <v>1349</v>
      </c>
      <c r="GL160" s="1321" t="s">
        <v>1349</v>
      </c>
      <c r="GM160" s="1321" t="s">
        <v>1349</v>
      </c>
      <c r="GN160" s="1321" t="s">
        <v>1349</v>
      </c>
      <c r="GO160" s="1321" t="s">
        <v>1349</v>
      </c>
      <c r="GP160" s="1321" t="s">
        <v>1349</v>
      </c>
      <c r="GQ160" s="1321" t="s">
        <v>1349</v>
      </c>
      <c r="GR160" s="1321" t="s">
        <v>1349</v>
      </c>
      <c r="GS160" s="1321" t="s">
        <v>1349</v>
      </c>
      <c r="GT160" s="1321" t="s">
        <v>1349</v>
      </c>
      <c r="GU160" s="1321" t="s">
        <v>1349</v>
      </c>
      <c r="GV160" s="1321" t="s">
        <v>1349</v>
      </c>
      <c r="GW160" s="1321"/>
      <c r="GX160" s="1321"/>
      <c r="GY160" s="1321"/>
      <c r="GZ160" s="1321"/>
      <c r="HA160" s="1321"/>
      <c r="HB160" s="1321"/>
      <c r="HC160" s="1321"/>
      <c r="HD160" s="1321"/>
      <c r="HE160" s="1321"/>
      <c r="HF160" s="1321"/>
      <c r="HG160" s="1321"/>
      <c r="HH160" s="1321"/>
      <c r="HI160" s="1321"/>
      <c r="HJ160" s="1321"/>
      <c r="HK160" s="1321"/>
      <c r="HL160" s="1321"/>
      <c r="HM160" s="1321"/>
      <c r="HN160" s="1321"/>
      <c r="HO160" s="1321"/>
      <c r="HP160" s="1321"/>
      <c r="HQ160" s="1321"/>
      <c r="HR160" s="1321"/>
      <c r="HS160" s="1321"/>
      <c r="HT160" s="1321"/>
      <c r="HU160" s="1321"/>
      <c r="HV160" s="1321"/>
      <c r="HW160" s="1321"/>
      <c r="HX160" s="1321"/>
      <c r="HY160" s="1321"/>
      <c r="HZ160" s="1321"/>
      <c r="IA160" s="1321"/>
      <c r="IB160" s="1321"/>
      <c r="IC160" s="1321"/>
      <c r="ID160" s="1321"/>
      <c r="IE160" s="1321"/>
      <c r="IF160" s="1321"/>
      <c r="IG160" s="1321"/>
      <c r="IH160" s="1321"/>
      <c r="II160" s="1321"/>
      <c r="IJ160" s="1321"/>
      <c r="IK160" s="1321"/>
      <c r="IL160" s="1321"/>
      <c r="IM160" s="1321"/>
      <c r="IN160" s="1368"/>
    </row>
    <row r="161" spans="1:248" ht="12.75" customHeight="1" x14ac:dyDescent="0.2">
      <c r="A161" s="1307" t="s">
        <v>288</v>
      </c>
      <c r="B161" s="1209">
        <v>5.0000000000000001E-3</v>
      </c>
      <c r="C161" s="1321"/>
      <c r="D161" s="1321"/>
      <c r="E161" s="1321"/>
      <c r="F161" s="1149" t="s">
        <v>30</v>
      </c>
      <c r="G161" s="1149">
        <v>25</v>
      </c>
      <c r="H161" s="1321"/>
      <c r="I161" s="1075" t="str">
        <f t="shared" si="64"/>
        <v>90-100</v>
      </c>
      <c r="J161" s="1080">
        <f>IF(gains!F$4=BDD!O$127,10,IF(gains!F$4=BDD!P$127,20,IF(gains!F$4=BDD!Q$127,30,0)))</f>
        <v>10</v>
      </c>
      <c r="K161" s="1080">
        <f>IF(gains!$G$9=K$127,1,0)</f>
        <v>0</v>
      </c>
      <c r="L161" s="1080">
        <f>IF(gains!$G$9=L$127,2,0)</f>
        <v>0</v>
      </c>
      <c r="M161" s="1080">
        <f>IF(gains!$G$9=M$127,3,0)</f>
        <v>0</v>
      </c>
      <c r="N161" s="1080">
        <f>IF(gains!$G$9=N$127,4,0)</f>
        <v>0</v>
      </c>
      <c r="O161" s="1080">
        <f>IF(AND(J161=10,SUM(K161:N161)=1),gains!$F$40,IF(AND(J161=10,SUM(K161:N161)=2),gains!$F$40*2,IF(AND(J161=10,SUM(K161:N161)=3),gains!$F$40*3,IF(AND(J161=10,SUM(K161:N161)=4),gains!$F$40*4,0))))</f>
        <v>0</v>
      </c>
      <c r="P161" s="1080">
        <f>IF(AND(J161=20,SUM(K161:N161)=1),gains!$F$40*7,IF(AND(J161=20,SUM(K161:N161)=2),gains!$F$40*7*2,IF(AND(J161=20,SUM(K161:N161)=3),gains!$F$40*7*3,IF(AND(J161=20,SUM(K161:N161)=4),gains!$F$40*7*4,0))))</f>
        <v>0</v>
      </c>
      <c r="Q161" s="1080">
        <f>IF(AND(J161=30,SUM(K161:N161)=1),gains!$F$40*7*12,IF(AND(J161=30,SUM(K161:N161)=2),gains!$F$40*7*12*2,IF(AND(J161=30,SUM(K161:N161)=3),gains!$F$40*7*12*3,IF(AND(J161=30,SUM(K161:N161)=4),gains!$F$40*7*12*4,0))))</f>
        <v>0</v>
      </c>
      <c r="R161" s="1321"/>
      <c r="S161" s="1321"/>
      <c r="T161" s="1321"/>
      <c r="U161" s="1321"/>
      <c r="V161" s="1321"/>
      <c r="W161" s="1321"/>
      <c r="X161" s="1321"/>
      <c r="Y161" s="1321"/>
      <c r="Z161" s="1321"/>
      <c r="AA161" s="1321"/>
      <c r="AB161" s="1321"/>
      <c r="AC161" s="1321"/>
      <c r="AD161" s="1321"/>
      <c r="AE161" s="1321"/>
      <c r="AF161" s="1321"/>
      <c r="AG161" s="1321"/>
      <c r="AH161" s="1321"/>
      <c r="AI161" s="1321"/>
      <c r="AJ161" s="1321"/>
      <c r="AK161" s="1321"/>
      <c r="AL161" s="1321"/>
      <c r="AM161" s="1321"/>
      <c r="AN161" s="1321"/>
      <c r="AO161" s="1321"/>
      <c r="AP161" s="1321"/>
      <c r="AQ161" s="1321"/>
      <c r="AR161" s="1321"/>
      <c r="AS161" s="1321"/>
      <c r="AT161" s="1321"/>
      <c r="AU161" s="1321"/>
      <c r="AV161" s="1321"/>
      <c r="AW161" s="1321"/>
      <c r="AX161" s="1321"/>
      <c r="AY161" s="1321"/>
      <c r="AZ161" s="1321"/>
      <c r="BA161" s="1321"/>
      <c r="BB161" s="1236" t="s">
        <v>1315</v>
      </c>
      <c r="BC161" s="1190" t="s">
        <v>340</v>
      </c>
      <c r="BD161" s="1190" t="s">
        <v>1252</v>
      </c>
      <c r="BE161" s="1237">
        <v>30</v>
      </c>
      <c r="BF161" s="1237">
        <v>27</v>
      </c>
      <c r="BG161" s="1237">
        <v>24</v>
      </c>
      <c r="BH161" s="1237">
        <v>21</v>
      </c>
      <c r="BI161" s="1237">
        <v>18</v>
      </c>
      <c r="BJ161" s="1237">
        <v>15</v>
      </c>
      <c r="BK161" s="1238">
        <v>0</v>
      </c>
      <c r="BL161" s="1348"/>
      <c r="BM161" s="1346"/>
      <c r="BN161" s="1321"/>
      <c r="BO161" s="1321"/>
      <c r="BP161" s="1321"/>
      <c r="BQ161" s="1321"/>
      <c r="BR161" s="1321"/>
      <c r="BS161" s="1321"/>
      <c r="BT161" s="1321"/>
      <c r="BU161" s="1321"/>
      <c r="BV161" s="1345"/>
      <c r="BW161" s="1345"/>
      <c r="BX161" s="1075" t="str">
        <f t="shared" si="57"/>
        <v>Maïs ensilé</v>
      </c>
      <c r="BY161" s="1075">
        <f t="array" ref="BY161">IF(ChoixRationComplèteCaprins=OUI,0,IFERROR(IF(OR(AND(INDEX(Règles_caprins[Specificite],MATCH(ChoixRationCaprins&amp;$BX161,Règles_caprins[Ration]&amp;Règles_caprins[Aliment],0))="s1",IF($BX161=Spécificité1Caprins,1)),
INDEX(Règles_caprins[Specificite],MATCH(ChoixRationCaprins&amp;$BX161,Règles_caprins[Ration]&amp;Règles_caprins[Aliment],0))="c"),
INDEX(Règles_caprins[Valeur 12 et plus],MATCH(ChoixRationCaprins&amp;$BX161,Règles_caprins[Ration]&amp;Règles_caprins[Aliment],0)),0),0)*TotalChèvres*SUM(NbreJoursNourrirCaprins))</f>
        <v>0</v>
      </c>
      <c r="BZ161" s="1075">
        <f t="array" ref="BZ161">IF(ChoixRationComplèteCaprins=OUI,0,IFERROR(IF(OR(AND(INDEX(Règles_caprins[Specificite],MATCH(ChoixRationCaprins&amp;$BX161,Règles_caprins[Ration]&amp;Règles_caprins[Aliment],0))="s1",IF($BX161=Spécificité1Caprins,1)),
INDEX(Règles_caprins[Specificite],MATCH(ChoixRationCaprins&amp;$BX161,Règles_caprins[Ration]&amp;Règles_caprins[Aliment],0))="c"),
INDEX(Règles_caprins[Valeur 6-12],MATCH(ChoixRationCaprins&amp;$BX161,Règles_caprins[Ration]&amp;Règles_caprins[Aliment],0)),0),0)*jeune_chèvre_6_12_mois*SUM(NbreJoursNourrirCaprins))</f>
        <v>0</v>
      </c>
      <c r="CA161" s="1075">
        <f t="array" ref="CA161">IF(ChoixRationComplèteCaprins=OUI,0,IFERROR(IF(OR(AND(INDEX(Règles_caprins[Specificite],MATCH(ChoixRationCaprins&amp;$BX161,Règles_caprins[Ration]&amp;Règles_caprins[Aliment],0))="s1",IF($BX161=Spécificité1Caprins,1)),
INDEX(Règles_caprins[Specificite],MATCH(ChoixRationCaprins&amp;$BX161,Règles_caprins[Ration]&amp;Règles_caprins[Aliment],0))="c"),
INDEX(Règles_caprins[Valeur 3-6],MATCH(ChoixRationCaprins&amp;$BX161,Règles_caprins[Ration]&amp;Règles_caprins[Aliment],0)),0),0)*chevrette_3_6_mois*SUM(NbreJoursNourrirCaprins))</f>
        <v>0</v>
      </c>
      <c r="CB161" s="1075">
        <f t="array" ref="CB161">IF(ChoixRationComplèteCaprins=OUI,0,IFERROR(IF(OR(AND(INDEX(Règles_caprins[Specificite],MATCH(ChoixRationCaprins&amp;$BX161,Règles_caprins[Ration]&amp;Règles_caprins[Aliment],0))="s1",IF($BX161=Spécificité1Caprins,1)),
INDEX(Règles_caprins[Specificite],MATCH(ChoixRationCaprins&amp;$BX161,Règles_caprins[Ration]&amp;Règles_caprins[Aliment],0))="c"),
INDEX(Règles_caprins[Valeur 0-3],MATCH(ChoixRationCaprins&amp;$BX161,Règles_caprins[Ration]&amp;Règles_caprins[Aliment],0)),0),0)*chevrette_0_3_mois*SUM(NbreJoursNourrirCaprins))</f>
        <v>0</v>
      </c>
      <c r="CC161" s="1075">
        <f t="shared" si="56"/>
        <v>0</v>
      </c>
      <c r="CD161" s="1345"/>
      <c r="CE161" s="1345"/>
      <c r="CF161" s="1345"/>
      <c r="CG161" s="1345"/>
      <c r="CH161" s="1345"/>
      <c r="CI161" s="1321"/>
      <c r="CJ161" s="1076" t="str">
        <f t="shared" si="51"/>
        <v>Pois</v>
      </c>
      <c r="CK161" s="1267">
        <f t="array" ref="CK161">SUM((IF(QualitéAlimentsPorceletMâle_0_1_mois=BONNE,VLOOKUP("Pois",AlimentsRationPorcinsMâles[],6,FALSE),0)+(IF(QualitéAlimentsPorceletFemelle_0_1_mois=BONNE,VLOOKUP("Pois",AlimentsRationPorcinsFemelles[],6,FALSE),0)+(IF(QualitéAlimentsPorceletMâle_1_3_mois=BONNE,VLOOKUP("Pois",AlimentsRationPorcinsMâles[],5,FALSE),0)+(IF(QualitéAlimentsPorceletFemelle_1_3_mois=BONNE,VLOOKUP("Pois",AlimentsRationPorcinsFemelles[],5,FALSE),0)+(IF(QualitéAlimentsJeuneVerrat_3_6_mois=BONNE,VLOOKUP("Pois",AlimentsRationPorcinsMâles[],4,FALSE),0)+(IF(QualitéAlimentsJeuneTruie_3_6_mois=BONNE,VLOOKUP("Pois",AlimentsRationPorcinsFemelles[],4,FALSE),0)+(IF(QualitéAlimentsJeuneVerrat_6_12_mois=BONNE,VLOOKUP("Pois",AlimentsRationPorcinsMâles[],3,FALSE),0)+(IF(QualitéAlimentsJeuneTruie_6_12_mois=BONNE,VLOOKUP("Pois",AlimentsRationPorcinsFemelles[],3,FALSE),0)+(IF(QualitéAlimentsVerrat=BONNE,VLOOKUP("Pois",AlimentsRationPorcinsMâles[],2,FALSE),0)+(IF(QualitéAlimentsTruie=BONNE,VLOOKUP("Pois",AlimentsRationPorcinsFemelles[],2,FALSE),0))))))))))))</f>
        <v>0</v>
      </c>
      <c r="CL161" s="1267">
        <f t="array" ref="CL161">SUM((IF(QualitéAlimentsPorceletMâle_0_1_mois=MOYENNE,VLOOKUP("Pois",AlimentsRationPorcinsMâles[],6,FALSE),0)+(IF(QualitéAlimentsPorceletFemelle_0_1_mois=MOYENNE,VLOOKUP("Pois",AlimentsRationPorcinsFemelles[],6,FALSE),0)+(IF(QualitéAlimentsPorceletMâle_1_3_mois=MOYENNE,VLOOKUP("Pois",AlimentsRationPorcinsMâles[],5,FALSE),0)+(IF(QualitéAlimentsPorceletFemelle_1_3_mois=MOYENNE,VLOOKUP("Pois",AlimentsRationPorcinsFemelles[],5,FALSE),0)+(IF(QualitéAlimentsJeuneVerrat_3_6_mois=MOYENNE,VLOOKUP("Pois",AlimentsRationPorcinsMâles[],4,FALSE),0)+(IF(QualitéAlimentsJeuneTruie_3_6_mois=MOYENNE,VLOOKUP("Pois",AlimentsRationPorcinsFemelles[],4,FALSE),0)+(IF(QualitéAlimentsJeuneVerrat_6_12_mois=MOYENNE,VLOOKUP("Pois",AlimentsRationPorcinsMâles[],3,FALSE),0)+(IF(QualitéAlimentsJeuneTruie_6_12_mois=MOYENNE,VLOOKUP("Pois",AlimentsRationPorcinsFemelles[],3,FALSE),0)+(IF(QualitéAlimentsVerrat=MOYENNE,VLOOKUP("Pois",AlimentsRationPorcinsMâles[],2,FALSE),0)+(IF(QualitéAlimentsTruie=MOYENNE,VLOOKUP("Pois",AlimentsRationPorcinsFemelles[],2,FALSE),0))))))))))))</f>
        <v>0</v>
      </c>
      <c r="CM161" s="1267">
        <f t="array" ref="CM161">SUM((IF(QualitéAlimentsPorceletMâle_0_1_mois=MAUVAISE,VLOOKUP("Pois",AlimentsRationPorcinsMâles[],6,FALSE),0)+(IF(QualitéAlimentsPorceletFemelle_0_1_mois=MAUVAISE,VLOOKUP("Pois",AlimentsRationPorcinsFemelles[],6,FALSE),0)+(IF(QualitéAlimentsPorceletMâle_1_3_mois=MAUVAISE,VLOOKUP("Pois",AlimentsRationPorcinsMâles[],5,FALSE),0)+(IF(QualitéAlimentsPorceletFemelle_1_3_mois=MAUVAISE,VLOOKUP("Pois",AlimentsRationPorcinsFemelles[],5,FALSE),0)+(IF(QualitéAlimentsJeuneVerrat_3_6_mois=MAUVAISE,VLOOKUP("Pois",AlimentsRationPorcinsMâles[],4,FALSE),0)+(IF(QualitéAlimentsJeuneTruie_3_6_mois=MAUVAISE,VLOOKUP("Pois",AlimentsRationPorcinsFemelles[],4,FALSE),0)+(IF(QualitéAlimentsJeuneVerrat_6_12_mois=MAUVAISE,VLOOKUP("Pois",AlimentsRationPorcinsMâles[],3,FALSE),0)+(IF(QualitéAlimentsJeuneTruie_6_12_mois=MAUVAISE,VLOOKUP("Pois",AlimentsRationPorcinsFemelles[],3,FALSE),0)+(IF(QualitéAlimentsVerrat=MAUVAISE,VLOOKUP("Pois",AlimentsRationPorcinsMâles[],2,FALSE),0)+(IF(QualitéAlimentsTruie=MAUVAISE,VLOOKUP("Pois",AlimentsRationPorcinsFemelles[],2,FALSE),0))))))))))))</f>
        <v>0</v>
      </c>
      <c r="CN161" s="1320"/>
      <c r="CO161" s="1320"/>
      <c r="CP161" s="1345"/>
      <c r="CQ161" s="1321"/>
      <c r="CR161" s="1321"/>
      <c r="CS161" s="1076" t="str">
        <f t="shared" si="66"/>
        <v>Colza</v>
      </c>
      <c r="CT161" s="1267">
        <f t="array" ref="CT161">SUM((IF(QualitéAlimentsLapereauMâle_0_1_mois=BONNE,VLOOKUP("Colza",AlimentsRationLapinsMâles[],4,FALSE),0)+(IF(QualitéAlimentsLapereauFemelle_0_1_mois=BONNE,VLOOKUP("Colza",AlimentsRationLapinsFemelles[],4,FALSE),0)+(IF(QualitéAlimentsJeuneLapin=BONNE,VLOOKUP("Colza",AlimentsRationLapinsMâles[],3,FALSE),0)+(IF(QualitéAlimentsJeuneLapine=BONNE,VLOOKUP("Colza",AlimentsRationLapinsFemelles[],3,FALSE),0)+(IF(QualitéAlimentsLapin=BONNE,VLOOKUP("Colza",AlimentsRationLapinsMâles[],2,FALSE),0)+(IF(QualitéAlimentsLapine=BONNE,VLOOKUP("Colza",AlimentsRationLapinsFemelles[],2,FALSE),0))))))))</f>
        <v>0</v>
      </c>
      <c r="CU161" s="1267">
        <f t="array" ref="CU161">SUM((IF(QualitéAlimentsLapereauMâle_0_1_mois=MOYENNE,VLOOKUP("Colza",AlimentsRationLapinsMâles[],4,FALSE),0)+(IF(QualitéAlimentsLapereauFemelle_0_1_mois=MOYENNE,VLOOKUP("Colza",AlimentsRationLapinsFemelles[],4,FALSE),0)+(IF(QualitéAlimentsJeuneLapin=MOYENNE,VLOOKUP("Colza",AlimentsRationLapinsMâles[],3,FALSE),0)+(IF(QualitéAlimentsJeuneLapine=MOYENNE,VLOOKUP("Colza",AlimentsRationLapinsFemelles[],3,FALSE),0)+(IF(QualitéAlimentsLapin=MOYENNE,VLOOKUP("Colza",AlimentsRationLapinsMâles[],2,FALSE),0)+(IF(QualitéAlimentsLapine=MOYENNE,VLOOKUP("Colza",AlimentsRationLapinsFemelles[],2,FALSE),0))))))))</f>
        <v>0</v>
      </c>
      <c r="CV161" s="1267">
        <f t="array" ref="CV161">SUM((IF(QualitéAlimentsLapereauMâle_0_1_mois=MAUVAISE,VLOOKUP("Colza",AlimentsRationLapinsMâles[],4,FALSE),0)+(IF(QualitéAlimentsLapereauFemelle_0_1_mois=MAUVAISE,VLOOKUP("Colza",AlimentsRationLapinsFemelles[],4,FALSE),0)+(IF(QualitéAlimentsJeuneLapin=MAUVAISE,VLOOKUP("Colza",AlimentsRationLapinsMâles[],3,FALSE),0)+(IF(QualitéAlimentsJeuneLapine=MAUVAISE,VLOOKUP("Colza",AlimentsRationLapinsFemelles[],3,FALSE),0)+(IF(QualitéAlimentsLapin=MAUVAISE,VLOOKUP("Colza",AlimentsRationLapinsMâles[],2,FALSE),0)+(IF(QualitéAlimentsLapine=MAUVAISE,VLOOKUP("Colza",AlimentsRationLapinsFemelles[],2,FALSE),0))))))))</f>
        <v>0</v>
      </c>
      <c r="CW161" s="1321"/>
      <c r="CX161" s="1321"/>
      <c r="CY161" s="1321"/>
      <c r="CZ161" s="1075" t="str">
        <f t="shared" si="65"/>
        <v>concentré jeunes bovins</v>
      </c>
      <c r="DA161" s="1269">
        <f t="array" ref="DA161">SUM((IF(QualitéAlimentsPoussinMâle_0_1_mois=BONNE,VLOOKUP("Concentré jeunes bovins",AlimentsRationVolaillesMâles[],4,FALSE),0)+(IF(QualitéAlimentsPoussinFemelle_0_1_mois=BONNE,VLOOKUP("Concentré jeunes bovins",AlimentsRationVolaillesFemelles[],4,FALSE),0)+(IF(QualitéAlimentsJeuneCoq=BONNE,VLOOKUP("Concentré jeunes bovins",AlimentsRationVolaillesMâles[],3,FALSE),0)+(IF(QualitéAlimentsJeunePoule=BONNE,VLOOKUP("Concentré jeunes bovins",AlimentsRationVolaillesFemelles[],3,FALSE),0)+(IF(QualitéAlimentsCoq=BONNE,VLOOKUP("Concentré jeunes bovins",AlimentsRationVolaillesMâles[],2,FALSE),0)+(IF(QualitéAlimentsPoule=BONNE,VLOOKUP("Concentré jeunes bovins",AlimentsRationVolaillesFemelles[],2,FALSE),0))))))))</f>
        <v>0</v>
      </c>
      <c r="DB161" s="1269">
        <f t="array" ref="DB161">SUM((IF(QualitéAlimentsPoussinMâle_0_1_mois=MOYENNE,VLOOKUP("Concentré jeunes bovins",AlimentsRationVolaillesMâles[],4,FALSE),0)+(IF(QualitéAlimentsPoussinFemelle_0_1_mois=MOYENNE,VLOOKUP("Concentré jeunes bovins",AlimentsRationVolaillesFemelles[],4,FALSE),0)+(IF(QualitéAlimentsJeuneCoq=MOYENNE,VLOOKUP("Concentré jeunes bovins",AlimentsRationVolaillesMâles[],3,FALSE),0)+(IF(QualitéAlimentsJeunePoule=MOYENNE,VLOOKUP("Concentré jeunes bovins",AlimentsRationVolaillesFemelles[],3,FALSE),0)+(IF(QualitéAlimentsCoq=MOYENNE,VLOOKUP("Concentré jeunes bovins",AlimentsRationVolaillesMâles[],2,FALSE),0)+(IF(QualitéAlimentsPoule=MOYENNE,VLOOKUP("Concentré jeunes bovins",AlimentsRationVolaillesFemelles[],2,FALSE),0))))))))</f>
        <v>0</v>
      </c>
      <c r="DC161" s="1269">
        <f t="array" ref="DC161">SUM((IF(QualitéAlimentsPoussinMâle_0_1_mois=MAUVAISE,VLOOKUP("Concentré jeunes bovins",AlimentsRationVolaillesMâles[],4,FALSE),0)+(IF(QualitéAlimentsPoussinFemelle_0_1_mois=MAUVAISE,VLOOKUP("Concentré jeunes bovins",AlimentsRationVolaillesFemelles[],4,FALSE),0)+(IF(QualitéAlimentsJeuneCoq=MAUVAISE,VLOOKUP("Concentré jeunes bovins",AlimentsRationVolaillesMâles[],3,FALSE),0)+(IF(QualitéAlimentsJeunePoule=MAUVAISE,VLOOKUP("Concentré jeunes bovins",AlimentsRationVolaillesFemelles[],3,FALSE),0)+(IF(QualitéAlimentsCoq=MAUVAISE,VLOOKUP("Concentré jeunes bovins",AlimentsRationVolaillesMâles[],2,FALSE),0)+(IF(QualitéAlimentsPoule=MAUVAISE,VLOOKUP("Concentré jeunes bovins",AlimentsRationVolaillesFemelles[],2,FALSE),0))))))))</f>
        <v>0</v>
      </c>
      <c r="DD161" s="1320"/>
      <c r="DE161" s="1321"/>
      <c r="DF161" s="1321"/>
      <c r="DG161" s="1075" t="str">
        <f t="shared" si="58"/>
        <v>Maïs ensilé</v>
      </c>
      <c r="DH161" s="1269">
        <f t="array" ref="DH161">SUM((IF(QualitéAlimentsPintadeauMâle_0_1_mois=BONNE,VLOOKUP("Maïs ensilé",AlimentsRationPintadesMâles[],4,FALSE),0)+(IF(QualitéAlimentsPintadeauFemelle_0_1_mois=BONNE,VLOOKUP("Maïs ensilé",AlimentsRationPintadesFemelles[],4,FALSE),0)+(IF(QualitéAlimentsJeunePintadeMâle=BONNE,VLOOKUP("Maïs ensilé",AlimentsRationPintadesMâles[],3,FALSE),0)+(IF(QualitéAlimentsJeunePintadeFemelle=BONNE,VLOOKUP("Maïs ensilé",AlimentsRationPintadesFemelles[],3,FALSE),0)+(IF(QualitéAlimentsPintadeMâle=BONNE,VLOOKUP("Maïs ensilé",AlimentsRationPintadesMâles[],2,FALSE),0)+(IF(QualitéAlimentsPintadeFemelle=BONNE,VLOOKUP("Maïs ensilé",AlimentsRationPintadesFemelles[],2,FALSE),0))))))))</f>
        <v>0</v>
      </c>
      <c r="DI161" s="1269">
        <f t="array" ref="DI161">SUM((IF(QualitéAlimentsPintadeauMâle_0_1_mois=MOYENNE,VLOOKUP("Maïs ensilé",AlimentsRationPintadesMâles[],4,FALSE),0)+(IF(QualitéAlimentsPintadeauFemelle_0_1_mois=MOYENNE,VLOOKUP("Maïs ensilé",AlimentsRationPintadesFemelles[],4,FALSE),0)+(IF(QualitéAlimentsJeunePintadeMâle=MOYENNE,VLOOKUP("Maïs ensilé",AlimentsRationPintadesMâles[],3,FALSE),0)+(IF(QualitéAlimentsJeunePintadeFemelle=MOYENNE,VLOOKUP("Maïs ensilé",AlimentsRationPintadesFemelles[],3,FALSE),0)+(IF(QualitéAlimentsPintadeMâle=MOYENNE,VLOOKUP("Maïs ensilé",AlimentsRationPintadesMâles[],2,FALSE),0)+(IF(QualitéAlimentsPintadeFemelle=MOYENNE,VLOOKUP("Maïs ensilé",AlimentsRationPintadesFemelles[],2,FALSE),0))))))))</f>
        <v>0</v>
      </c>
      <c r="DJ161" s="1269">
        <f t="array" ref="DJ161">SUM((IF(QualitéAlimentsPintadeauMâle_0_1_mois=MAUVAISE,VLOOKUP("Maïs ensilé",AlimentsRationPintadesMâles[],4,FALSE),0)+(IF(QualitéAlimentsPintadeauFemelle_0_1_mois=MAUVAISE,VLOOKUP("Maïs ensilé",AlimentsRationPintadesFemelles[],4,FALSE),0)+(IF(QualitéAlimentsJeunePintadeMâle=MAUVAISE,VLOOKUP("Maïs ensilé",AlimentsRationPintadesMâles[],3,FALSE),0)+(IF(QualitéAlimentsJeunePintadeFemelle=MAUVAISE,VLOOKUP("Maïs ensilé",AlimentsRationPintadesFemelles[],3,FALSE),0)+(IF(QualitéAlimentsPintadeMâle=MAUVAISE,VLOOKUP("Maïs ensilé",AlimentsRationPintadesMâles[],2,FALSE),0)+(IF(QualitéAlimentsPintadeFemelle=MAUVAISE,VLOOKUP("Maïs ensilé",AlimentsRationPintadesFemelles[],2,FALSE),0))))))))</f>
        <v>0</v>
      </c>
      <c r="DK161" s="1321"/>
      <c r="DL161" s="1321"/>
      <c r="DM161" s="1321"/>
      <c r="DN161" s="1075" t="s">
        <v>733</v>
      </c>
      <c r="DO161" s="1269">
        <f t="array" ref="DO161">IFERROR(IF(OR(AND(INDEX(Règles_ovins[Specificite],MATCH(ChoixRationOvins&amp;$DN161,Règles_ovins[Ration]&amp;Règles_ovins[Aliment],0))="s1",IF($DN161=Spécificité1Ovins,1)),
AND(INDEX(Règles_ovins[Specificite],MATCH(ChoixRationOvins&amp;$DN161,Règles_ovins[Ration]&amp;Règles_ovins[Aliment],0))="s2",IF($DN161=Spécificité2Ovins,1)),
INDEX(Règles_ovins[Specificite],MATCH(ChoixRationOvins&amp;$DN161,Règles_ovins[Ration]&amp;Règles_ovins[Aliment],0))="c"),
INDEX(Règles_ovins[Valeur 12 et plus],MATCH(ChoixRationOvins&amp;$DN161,Règles_ovins[Ration]&amp;Règles_ovins[Aliment],0)),0),0)*IF(ChoixOvinsPréHiver=OUI,SUM(TotalOvinsAdultesRacesLaitières)*NbreJoursNourrirOvins,TotalBéliers*SUM(NbreJoursNourrirOvins))</f>
        <v>0</v>
      </c>
      <c r="DP161" s="1269">
        <f t="array" ref="DP161">IFERROR(IF(OR(AND(INDEX(Règles_ovins[Specificite],MATCH(ChoixRationOvins&amp;$DN161,Règles_ovins[Ration]&amp;Règles_ovins[Aliment],0))="s1",IF($DN161=Spécificité1Ovins,1)),
AND(INDEX(Règles_ovins[Specificite],MATCH(ChoixRationOvins&amp;$DN161,Règles_ovins[Ration]&amp;Règles_ovins[Aliment],0))="s2",IF($DN161=Spécificité2Ovins,1)),
INDEX(Règles_ovins[Specificite],MATCH(ChoixRationOvins&amp;$DN161,Règles_ovins[Ration]&amp;Règles_ovins[Aliment],0))="c"),
INDEX(Règles_ovins[Valeur 6-12],MATCH(ChoixRationOvins&amp;$DN161,Règles_ovins[Ration]&amp;Règles_ovins[Aliment],0)),0),0)*IF(ChoixOvinsPréHiver=OUI,SUM(TotalJeunesOvinsRacesLaitières)*NbreJoursNourrirOvins,TotalJeune_bélier_6_12_mois*SUM(NbreJoursNourrirOvins))</f>
        <v>0</v>
      </c>
      <c r="DQ161" s="1269">
        <f t="array" ref="DQ161">IFERROR(IF(OR(AND(INDEX(Règles_ovins[Specificite],MATCH(ChoixRationOvins&amp;$DN161,Règles_ovins[Ration]&amp;Règles_ovins[Aliment],0))="s1",IF($DN161=Spécificité1Ovins,1)),
AND(INDEX(Règles_ovins[Specificite],MATCH(ChoixRationOvins&amp;$DN161,Règles_ovins[Ration]&amp;Règles_ovins[Aliment],0))="s2",IF($DN161=Spécificité2Ovins,1)),
INDEX(Règles_ovins[Specificite],MATCH(ChoixRationOvins&amp;$DN161,Règles_ovins[Ration]&amp;Règles_ovins[Aliment],0))="c"),
INDEX(Règles_ovins[Valeur 3-6],MATCH(ChoixRationOvins&amp;$DN161,Règles_ovins[Ration]&amp;Règles_ovins[Aliment],0)),0),0)*IF(ChoixOvinsPréHiver=OUI,SUM(TotalOvins_3_6moisRacesLaitières)*NbreJoursNourrirOvins,TotalAgneau_3_6_mois*SUM(NbreJoursNourrirOvins))</f>
        <v>0</v>
      </c>
      <c r="DR161" s="1269">
        <f t="array" ref="DR161">IFERROR(IF(OR(AND(INDEX(Règles_ovins[Specificite],MATCH(ChoixRationOvins&amp;$DN161,Règles_ovins[Ration]&amp;Règles_ovins[Aliment],0))="s1",IF($DN161=Spécificité1Ovins,1)),
AND(INDEX(Règles_ovins[Specificite],MATCH(ChoixRationOvins&amp;$DN161,Règles_ovins[Ration]&amp;Règles_ovins[Aliment],0))="s2",IF($DN161=Spécificité2Ovins,1)),
INDEX(Règles_ovins[Specificite],MATCH(ChoixRationOvins&amp;$DN161,Règles_ovins[Ration]&amp;Règles_ovins[Aliment],0))="c"),
INDEX(Règles_ovins[Valeur 0-3],MATCH(ChoixRationOvins&amp;$DN161,Règles_ovins[Ration]&amp;Règles_ovins[Aliment],0)),0),0)*IF(ChoixOvinsPréHiver=OUI,SUM(TotalOvins_3_6moisRacesLaitières)*NbreJoursNourrirOvins,TotalAgneau_0_3_mois*SUM(NbreJoursNourrirOvins))</f>
        <v>0</v>
      </c>
      <c r="DS161" s="1280">
        <f t="shared" si="61"/>
        <v>0</v>
      </c>
      <c r="DT161" s="1346"/>
      <c r="DU161" s="1346"/>
      <c r="DV161" s="1321"/>
      <c r="DW161" s="1321"/>
      <c r="DX161" s="1321"/>
      <c r="DY161" s="1321"/>
      <c r="DZ161" s="1321"/>
      <c r="EA161" s="1321"/>
      <c r="EB161" s="1321"/>
      <c r="EC161" s="1321"/>
      <c r="ED161" s="1345"/>
      <c r="EE161" s="1345"/>
      <c r="EF161" s="1321"/>
      <c r="EG161" s="1075" t="str">
        <f t="shared" si="63"/>
        <v>Eau</v>
      </c>
      <c r="EH161" s="1269">
        <f t="array" ref="EH161">SUM((IF(QualitéAlimentsOisonMâle_0_3_mois=BONNE,VLOOKUP("Eau",AlimentsRationOiesMâles[],4,FALSE),0)+(IF(QualitéAlimentsOisonFemelle_0_3_mois=BONNE,VLOOKUP("Eau",AlimentsRationOiesFemelles[],4,FALSE),0)+(IF(QualitéAlimentsJeuneJars=BONNE,VLOOKUP("Eau",AlimentsRationOiesMâles[],3,FALSE),0)+(IF(QualitéAlimentsJeuneOie=BONNE,VLOOKUP("Eau",AlimentsRationOiesFemelles[],3,FALSE),0)+(IF(QualitéAlimentsJars=BONNE,VLOOKUP("Eau",AlimentsRationOiesMâles[],2,FALSE),0)+(IF(QualitéAlimentsOie=BONNE,VLOOKUP("Eau",AlimentsRationOiesFemelles[],2,FALSE),0))))))))</f>
        <v>0</v>
      </c>
      <c r="EI161" s="1269">
        <f t="array" ref="EI161">SUM((IF(QualitéAlimentsOisonMâle_0_3_mois=MOYENNE,VLOOKUP("Eau",AlimentsRationOiesMâles[],4,FALSE),0)+(IF(QualitéAlimentsOisonFemelle_0_3_mois=MOYENNE,VLOOKUP("Eau",AlimentsRationOiesFemelles[],4,FALSE),0)+(IF(QualitéAlimentsJeuneJars=MOYENNE,VLOOKUP("Eau",AlimentsRationOiesMâles[],3,FALSE),0)+(IF(QualitéAlimentsJeuneOie=MOYENNE,VLOOKUP("Eau",AlimentsRationOiesFemelles[],3,FALSE),0)+(IF(QualitéAlimentsJars=MOYENNE,VLOOKUP("Eau",AlimentsRationOiesMâles[],2,FALSE),0)+(IF(QualitéAlimentsOie=MOYENNE,VLOOKUP("Eau",AlimentsRationOiesFemelles[],2,FALSE),0))))))))</f>
        <v>0</v>
      </c>
      <c r="EJ161" s="1269">
        <f t="array" ref="EJ161">SUM((IF(QualitéAlimentsOisonMâle_0_3_mois=MAUVAISE,VLOOKUP("Eau",AlimentsRationOiesMâles[],4,FALSE),0)+(IF(QualitéAlimentsOisonFemelle_0_3_mois=MAUVAISE,VLOOKUP("Eau",AlimentsRationOiesFemelles[],4,FALSE),0)+(IF(QualitéAlimentsJeuneJars=MAUVAISE,VLOOKUP("Eau",AlimentsRationOiesMâles[],3,FALSE),0)+(IF(QualitéAlimentsJeuneOie=MAUVAISE,VLOOKUP("Eau",AlimentsRationOiesFemelles[],3,FALSE),0)+(IF(QualitéAlimentsJars=MAUVAISE,VLOOKUP("Eau",AlimentsRationOiesMâles[],2,FALSE),0)+(IF(QualitéAlimentsOie=MAUVAISE,VLOOKUP("Eau",AlimentsRationOiesFemelles[],2,FALSE),0))))))))</f>
        <v>0</v>
      </c>
      <c r="EK161" s="1345"/>
      <c r="EL161" s="1345"/>
      <c r="EM161" s="1321"/>
      <c r="EN161" s="1082" t="str">
        <f t="shared" si="62"/>
        <v>Epinard</v>
      </c>
      <c r="EO161" s="1282">
        <f t="array" ref="EO161">SUM((IF(QualitéAlimentsCanetonMâle=BONNE,VLOOKUP("Epinard",AlimentsRationCanardsMâles,4,FALSE),0)+(IF(QualitéAlimentsCanetonFemelle=BONNE,VLOOKUP("Epinard",AlimentsRationCanardsFemelles,4,FALSE),0)+(IF(QualitéAlimentsJeuneCanard=BONNE,VLOOKUP("Epinard",AlimentsRationCanardsMâles,3,FALSE),0)+(IF(QualitéAlimentsJeuneCane=BONNE,VLOOKUP("Epinard",AlimentsRationCanardsFemelles,3,FALSE),0)+(IF(QualitéAlimentsCanard=BONNE,VLOOKUP("Epinard",AlimentsRationCanardsMâles,2,FALSE),0)+(IF(QualitéAlimentsCane=BONNE,VLOOKUP("Epinard",AlimentsRationCanardsFemelles,2,FALSE),0))))))))</f>
        <v>0</v>
      </c>
      <c r="EP161" s="1282">
        <f t="array" ref="EP161">SUM((IF(QualitéAlimentsCanetonMâle=MOYENNE,VLOOKUP("Epinard",AlimentsRationCanardsMâles,4,FALSE),0)+(IF(QualitéAlimentsCanetonFemelle=MOYENNE,VLOOKUP("Epinard",AlimentsRationCanardsFemelles,4,FALSE),0)+(IF(QualitéAlimentsJeuneCanard=MOYENNE,VLOOKUP("Epinard",AlimentsRationCanardsMâles,3,FALSE),0)+(IF(QualitéAlimentsJeuneCane=MOYENNE,VLOOKUP("Epinard",AlimentsRationCanardsFemelles,3,FALSE),0)+(IF(QualitéAlimentsCanard=MOYENNE,VLOOKUP("Epinard",AlimentsRationCanardsMâles,2,FALSE),0)+(IF(QualitéAlimentsCane=MOYENNE,VLOOKUP("Epinard",AlimentsRationCanardsFemelles,2,FALSE),0))))))))</f>
        <v>0</v>
      </c>
      <c r="EQ161" s="1282">
        <f t="array" ref="EQ161">SUM((IF(QualitéAlimentsCanetonMâle=MAUVAISE,VLOOKUP("Epinard",AlimentsRationCanardsMâles,4,FALSE),0)+(IF(QualitéAlimentsCanetonFemelle=MAUVAISE,VLOOKUP("Epinard",AlimentsRationCanardsFemelles,4,FALSE),0)+(IF(QualitéAlimentsJeuneCanard=MAUVAISE,VLOOKUP("Epinard",AlimentsRationCanardsMâles,3,FALSE),0)+(IF(QualitéAlimentsJeuneCane=MAUVAISE,VLOOKUP("Epinard",AlimentsRationCanardsFemelles,3,FALSE),0)+(IF(QualitéAlimentsCanard=MAUVAISE,VLOOKUP("Epinard",AlimentsRationCanardsMâles,2,FALSE),0)+(IF(QualitéAlimentsCane=MAUVAISE,VLOOKUP("Epinard",AlimentsRationCanardsFemelles,2,FALSE),0))))))))</f>
        <v>0</v>
      </c>
      <c r="ER161" s="1345"/>
      <c r="ES161" s="1345"/>
      <c r="ET161" s="1321"/>
      <c r="EU161" s="1083" t="str">
        <f t="shared" si="60"/>
        <v>Féverole</v>
      </c>
      <c r="EV161" s="1283">
        <f t="array" ref="EV161">IF(OR(ChoixRationHivernaleComplèteChevauxSelle=OUI,ChoixRationHivernaleComplèteChevauxSelle="",ChoixChevauxSellePréHiver=NON),0,IFERROR(IF(OR(AND(INDEX(Règles_chevaux_selle[Specificite],MATCH(RationHivernaleAuPréChevauxSelle&amp;$EU161,Règles_chevaux_selle[Ration]&amp;Règles_chevaux_selle[Aliment],0))="s1",IF($EU161=Spécificité1ChevauxSelle,1)),
AND(INDEX(Règles_chevaux_selle[Specificite],MATCH(RationHivernaleAuPréChevauxSelle&amp;$EU161,Règles_chevaux_selle[Ration]&amp;Règles_chevaux_selle[Aliment],0))="s2",IF($EU161=Spécificité2ChevauxSelle,1)),
INDEX(Règles_chevaux_selle[Specificite],MATCH(RationHivernaleAuPréChevauxSelle&amp;$EU161,Règles_chevaux_selle[Ration]&amp;Règles_chevaux_selle[Aliment],0))="c"),
INDEX(Règles_chevaux_selle[Valeur 36 et plus],MATCH(RationHivernaleAuPréChevauxSelle&amp;$EU161,Règles_chevaux_selle[Ration]&amp;Règles_chevaux_selle[Aliment],0)),0),0)*SUM(TotalChevauxSelleAdultes)*21)</f>
        <v>0</v>
      </c>
      <c r="EW161" s="1283">
        <f t="array" ref="EW161">IF(OR(ChoixRationHivernaleComplèteChevauxSelle=OUI,ChoixRationHivernaleComplèteChevauxSelle="",ChoixChevauxSellePréHiver=NON),0,IFERROR(IF(OR(AND(INDEX(Règles_chevaux_selle[Specificite],MATCH(RationHivernaleAuPréChevauxSelle&amp;$EU161,Règles_chevaux_selle[Ration]&amp;Règles_chevaux_selle[Aliment],0))="s1",IF($EU161=Spécificité1ChevauxSelle,1)),
AND(INDEX(Règles_chevaux_selle[Specificite],MATCH(RationHivernaleAuPréChevauxSelle&amp;$EU161,Règles_chevaux_selle[Ration]&amp;Règles_chevaux_selle[Aliment],0))="s2",IF($EU161=Spécificité2ChevauxSelle,1)),
INDEX(Règles_chevaux_selle[Specificite],MATCH(RationHivernaleAuPréChevauxSelle&amp;$EU161,Règles_chevaux_selle[Ration]&amp;Règles_chevaux_selle[Aliment],0))="c"),
INDEX(Règles_chevaux_selle[Valeur 24-36],MATCH(RationHivernaleAuPréChevauxSelle&amp;$EU161,Règles_chevaux_selle[Ration]&amp;Règles_chevaux_selle[Aliment],0)),0),0)*SUM(TotalChevauxSelle_24_36mois)*21)</f>
        <v>0</v>
      </c>
      <c r="EX161" s="1283">
        <f t="array" ref="EX161">IF(OR(ChoixRationHivernaleComplèteChevauxSelle=OUI,ChoixRationHivernaleComplèteChevauxSelle="",ChoixChevauxSellePréHiver=NON),0,IFERROR(IF(OR(AND(INDEX(Règles_chevaux_selle[Specificite],MATCH(RationHivernaleAuPréChevauxSelle&amp;$EU161,Règles_chevaux_selle[Ration]&amp;Règles_chevaux_selle[Aliment],0))="s1",IF($EU161=Spécificité1ChevauxSelle,1)),
AND(INDEX(Règles_chevaux_selle[Specificite],MATCH(RationHivernaleAuPréChevauxSelle&amp;$EU161,Règles_chevaux_selle[Ration]&amp;Règles_chevaux_selle[Aliment],0))="s2",IF($EU161=Spécificité2ChevauxSelle,1)),
INDEX(Règles_chevaux_selle[Specificite],MATCH(RationHivernaleAuPréChevauxSelle&amp;$EU161,Règles_chevaux_selle[Ration]&amp;Règles_chevaux_selle[Aliment],0))="c"),
INDEX(Règles_chevaux_selle[Valeur 12-24],MATCH(RationHivernaleAuPréChevauxSelle&amp;$EU161,Règles_chevaux_selle[Ration]&amp;Règles_chevaux_selle[Aliment],0)),0),0)*SUM(TotalChevauxSelle_12_24mois)*21)</f>
        <v>0</v>
      </c>
      <c r="EY161" s="1286">
        <f t="array" ref="EY161">IF(OR(ChoixRationHivernaleComplèteChevauxSelle=OUI,ChoixRationHivernaleComplèteChevauxSelle="",ChoixChevauxSellePréHiver=NON),0,IFERROR(IF(OR(AND(INDEX(Règles_chevaux_selle[Specificite],MATCH(RationHivernaleAuPréChevauxSelle&amp;$EU161,Règles_chevaux_selle[Ration]&amp;Règles_chevaux_selle[Aliment],0))="s1",IF($EU161=Spécificité1ChevauxSelle,1)),
AND(INDEX(Règles_chevaux_selle[Specificite],MATCH(RationHivernaleAuPréChevauxSelle&amp;$EU161,Règles_chevaux_selle[Ration]&amp;Règles_chevaux_selle[Aliment],0))="s2",IF($EU161=Spécificité2ChevauxSelle,1)),
INDEX(Règles_chevaux_selle[Specificite],MATCH(RationHivernaleAuPréChevauxSelle&amp;$EU161,Règles_chevaux_selle[Ration]&amp;Règles_chevaux_selle[Aliment],0))="c"),
INDEX(Règles_chevaux_selle[Valeur 0-12],MATCH(RationHivernaleAuPréChevauxSelle&amp;$EU161,Règles_chevaux_selle[Ration]&amp;Règles_chevaux_selle[Aliment],0)),0),0)*SUM(TotalPoulainsSelle)*21)</f>
        <v>0</v>
      </c>
      <c r="EZ161" s="1286">
        <f t="shared" si="59"/>
        <v>0</v>
      </c>
      <c r="FA161" s="1345"/>
      <c r="FB161" s="1345"/>
      <c r="FC161" s="1321"/>
      <c r="FD161" s="1083" t="str">
        <f t="shared" si="55"/>
        <v>Minéraux + vitamines</v>
      </c>
      <c r="FE161" s="1283">
        <f t="array" ref="FE161">IF(OR(ChoixRationHivernaleComplèteChevauxTrait=OUI,ChoixRationHivernaleComplèteChevauxTrait="",ChoixChevauxTraitPréHiver=NON),0,IFERROR(IF(OR(AND(INDEX(Règles_chevaux_trait[Specificite],MATCH(RationHivernaleAuPréChevauxTrait&amp;$FD161,Règles_chevaux_trait[Ration]&amp;Règles_chevaux_trait[Aliment],0))="s1",IF($FD161=Spécificité1ChevauxTrait,1)),
AND(INDEX(Règles_chevaux_trait[Specificite],MATCH(RationHivernaleAuPréChevauxTrait&amp;$FD161,Règles_chevaux_trait[Ration]&amp;Règles_chevaux_trait[Aliment],0))="s2",IF($FD161=Spécificité2ChevauxTrait,1)),
INDEX(Règles_chevaux_trait[Specificite],MATCH(RationHivernaleAuPréChevauxTrait&amp;$FD161,Règles_chevaux_trait[Ration]&amp;Règles_chevaux_trait[Aliment],0))="c"),
INDEX(Règles_chevaux_trait[Valeur 36 et plus],MATCH(RationHivernaleAuPréChevauxTrait&amp;$FD161,Règles_chevaux_trait[Ration]&amp;Règles_chevaux_trait[Aliment],0)),0),0)*SUM(TotalChevauxTraitAdultes)*21)</f>
        <v>0</v>
      </c>
      <c r="FF161" s="1283">
        <f t="array" ref="FF161">IF(OR(ChoixRationHivernaleComplèteChevauxTrait=OUI,ChoixRationHivernaleComplèteChevauxTrait="",ChoixChevauxTraitPréHiver=NON),0,IFERROR(IF(OR(AND(INDEX(Règles_chevaux_trait[Specificite],MATCH(RationHivernaleAuPréChevauxTrait&amp;$FD161,Règles_chevaux_trait[Ration]&amp;Règles_chevaux_trait[Aliment],0))="s1",IF($FD161=Spécificité1ChevauxTrait,1)),
AND(INDEX(Règles_chevaux_trait[Specificite],MATCH(RationHivernaleAuPréChevauxTrait&amp;$FD161,Règles_chevaux_trait[Ration]&amp;Règles_chevaux_trait[Aliment],0))="s2",IF($FD161=Spécificité2ChevauxTrait,1)),
INDEX(Règles_chevaux_trait[Specificite],MATCH(RationHivernaleAuPréChevauxTrait&amp;$FD161,Règles_chevaux_trait[Ration]&amp;Règles_chevaux_trait[Aliment],0))="c"),
INDEX(Règles_chevaux_trait[Valeur 24-36],MATCH(RationHivernaleAuPréChevauxTrait&amp;$FD161,Règles_chevaux_trait[Ration]&amp;Règles_chevaux_trait[Aliment],0)),0),0)*SUM(TotalChevauxTrait_24_36mois)*21)</f>
        <v>0</v>
      </c>
      <c r="FG161" s="1283">
        <f t="array" ref="FG161">IF(OR(ChoixRationHivernaleComplèteChevauxTrait=OUI,ChoixRationHivernaleComplèteChevauxTrait="",ChoixChevauxTraitPréHiver=NON),0,IFERROR(IF(OR(AND(INDEX(Règles_chevaux_trait[Specificite],MATCH(RationHivernaleAuPréChevauxTrait&amp;$FD161,Règles_chevaux_trait[Ration]&amp;Règles_chevaux_trait[Aliment],0))="s1",IF($FD161=Spécificité1ChevauxTrait,1)),
AND(INDEX(Règles_chevaux_trait[Specificite],MATCH(RationHivernaleAuPréChevauxTrait&amp;$FD161,Règles_chevaux_trait[Ration]&amp;Règles_chevaux_trait[Aliment],0))="s2",IF($FD161=Spécificité2ChevauxTrait,1)),
INDEX(Règles_chevaux_trait[Specificite],MATCH(RationHivernaleAuPréChevauxTrait&amp;$FD161,Règles_chevaux_trait[Ration]&amp;Règles_chevaux_trait[Aliment],0))="c"),
INDEX(Règles_chevaux_trait[Valeur 12-24],MATCH(RationHivernaleAuPréChevauxTrait&amp;$FD161,Règles_chevaux_trait[Ration]&amp;Règles_chevaux_trait[Aliment],0)),0),0)*SUM(TotalChevauxTrait_12_24mois)*21)</f>
        <v>0</v>
      </c>
      <c r="FH161" s="1286">
        <f t="array" ref="FH161">IF(OR(ChoixRationHivernaleComplèteChevauxTrait=OUI,ChoixRationHivernaleComplèteChevauxTrait="",ChoixChevauxTraitPréHiver=NON),0,IFERROR(IF(OR(AND(INDEX(Règles_chevaux_trait[Specificite],MATCH(RationHivernaleAuPréChevauxTrait&amp;$FD161,Règles_chevaux_trait[Ration]&amp;Règles_chevaux_trait[Aliment],0))="s1",IF($FD161=Spécificité1ChevauxTrait,1)),
AND(INDEX(Règles_chevaux_trait[Specificite],MATCH(RationHivernaleAuPréChevauxTrait&amp;$FD161,Règles_chevaux_trait[Ration]&amp;Règles_chevaux_trait[Aliment],0))="s2",IF($FD161=Spécificité2ChevauxTrait,1)),
INDEX(Règles_chevaux_trait[Specificite],MATCH(RationHivernaleAuPréChevauxTrait&amp;$FD161,Règles_chevaux_trait[Ration]&amp;Règles_chevaux_trait[Aliment],0))="c"),
INDEX(Règles_chevaux_trait[Valeur 0-12],MATCH(RationHivernaleAuPréChevauxTrait&amp;$FD161,Règles_chevaux_trait[Ration]&amp;Règles_chevaux_trait[Aliment],0)),0),0)*SUM(TotalPoulainsTrait)*21)</f>
        <v>0</v>
      </c>
      <c r="FI161" s="1286">
        <f t="shared" si="53"/>
        <v>0</v>
      </c>
      <c r="FJ161" s="1345"/>
      <c r="FK161" s="1345"/>
      <c r="FL161" s="1345"/>
      <c r="FM161" s="1321"/>
      <c r="FN161" s="1082" t="str">
        <f t="shared" si="54"/>
        <v>Orge</v>
      </c>
      <c r="FO161" s="1282">
        <f t="array" ref="FO161">IF(OR(ChoixRationHivernaleComplètePoneys=OUI,ChoixRationHivernaleComplètePoneys="",ChoixPoneysPréHiver=NON),0,IFERROR(IF(OR(AND(INDEX(Règles_poneys[Specificite],MATCH(RationHivernaleAuPréPoneys&amp;$FN161,Règles_poneys[Ration]&amp;Règles_poneys[Aliment],0))="s1",IF($FN161=Spécificité1Poneys,1)),
AND(INDEX(Règles_poneys[Specificite],MATCH(RationHivernaleAuPréPoneys&amp;$FN161,Règles_poneys[Ration]&amp;Règles_poneys[Aliment],0))="s2",IF($FN161=Spécificité2Poneys,1)),
INDEX(Règles_poneys[Specificite],MATCH(RationHivernaleAuPréPoneys&amp;$FN161,Règles_poneys[Ration]&amp;Règles_poneys[Aliment],0))="c"),
INDEX(Règles_poneys[Valeur 36 et plus],MATCH(RationHivernaleAuPréPoneys&amp;$FN161,Règles_poneys[Ration]&amp;Règles_poneys[Aliment],0)),0),0)*SUM(TotalPoneysAdultes)*21)</f>
        <v>0</v>
      </c>
      <c r="FP161" s="1282">
        <f t="array" ref="FP161">IF(OR(ChoixRationHivernaleComplètePoneys=OUI,ChoixRationHivernaleComplètePoneys="",ChoixPoneysPréHiver=NON),0,IFERROR(IF(OR(AND(INDEX(Règles_poneys[Specificite],MATCH(RationHivernaleAuPréPoneys&amp;$FN161,Règles_poneys[Ration]&amp;Règles_poneys[Aliment],0))="s1",IF($FN161=Spécificité1Poneys,1)),
AND(INDEX(Règles_poneys[Specificite],MATCH(RationHivernaleAuPréPoneys&amp;$FN161,Règles_poneys[Ration]&amp;Règles_poneys[Aliment],0))="s2",IF($FN161=Spécificité2Poneys,1)),
INDEX(Règles_poneys[Specificite],MATCH(RationHivernaleAuPréPoneys&amp;$FN161,Règles_poneys[Ration]&amp;Règles_poneys[Aliment],0))="c"),
INDEX(Règles_poneys[Valeur 24-36],MATCH(RationHivernaleAuPréPoneys&amp;$FN161,Règles_poneys[Ration]&amp;Règles_poneys[Aliment],0)),0),0)*SUM(TotalPoneys_24_36mois)*21)</f>
        <v>0</v>
      </c>
      <c r="FQ161" s="1282">
        <f t="array" ref="FQ161">IF(OR(ChoixRationHivernaleComplètePoneys=OUI,ChoixRationHivernaleComplètePoneys="",ChoixPoneysPréHiver=NON),0,IFERROR(IF(OR(AND(INDEX(Règles_poneys[Specificite],MATCH(RationHivernaleAuPréPoneys&amp;$FN161,Règles_poneys[Ration]&amp;Règles_poneys[Aliment],0))="s1",IF($FN161=Spécificité1Poneys,1)),
AND(INDEX(Règles_poneys[Specificite],MATCH(RationHivernaleAuPréPoneys&amp;$FN161,Règles_poneys[Ration]&amp;Règles_poneys[Aliment],0))="s2",IF($FN161=Spécificité2Poneys,1)),
INDEX(Règles_poneys[Specificite],MATCH(RationHivernaleAuPréPoneys&amp;$FN161,Règles_poneys[Ration]&amp;Règles_poneys[Aliment],0))="c"),
INDEX(Règles_poneys[Valeur 12-24],MATCH(RationHivernaleAuPréPoneys&amp;$FN161,Règles_poneys[Ration]&amp;Règles_poneys[Aliment],0)),0),0)*SUM(TotalPoneys_12_24mois)*21)</f>
        <v>0</v>
      </c>
      <c r="FR161" s="1285">
        <f t="array" ref="FR161">IF(OR(ChoixRationHivernaleComplètePoneys=OUI,ChoixRationHivernaleComplètePoneys="",ChoixPoneysPréHiver=NON),0,IFERROR(IF(OR(AND(INDEX(Règles_poneys[Specificite],MATCH(RationHivernaleAuPréPoneys&amp;$FN161,Règles_poneys[Ration]&amp;Règles_poneys[Aliment],0))="s1",IF($FN161=Spécificité1Poneys,1)),
AND(INDEX(Règles_poneys[Specificite],MATCH(RationHivernaleAuPréPoneys&amp;$FN161,Règles_poneys[Ration]&amp;Règles_poneys[Aliment],0))="s2",IF($FN161=Spécificité2Poneys,1)),
INDEX(Règles_poneys[Specificite],MATCH(RationHivernaleAuPréPoneys&amp;$FN161,Règles_poneys[Ration]&amp;Règles_poneys[Aliment],0))="c"),
INDEX(Règles_poneys[Valeur 0-12],MATCH(RationHivernaleAuPréPoneys&amp;$FN161,Règles_poneys[Ration]&amp;Règles_poneys[Aliment],0)),0),0)*SUM(TotalPoulainsPoneys)*21)</f>
        <v>0</v>
      </c>
      <c r="FS161" s="1285">
        <f t="shared" si="52"/>
        <v>0</v>
      </c>
      <c r="FT161" s="1345"/>
      <c r="FU161" s="1345"/>
      <c r="FV161" s="1345"/>
      <c r="FW161" s="1083" t="str">
        <f t="shared" si="49"/>
        <v>Ration complète</v>
      </c>
      <c r="FX161" s="1269">
        <f>IF(AND(ChoixRationComplèteFoieGrasCanards&lt;&gt;OUI,ChoixRationComplèteFoieGrasOies&lt;&gt;OUI),0,SUM(IF(QualitéRationComplèteGavageOies=BONNE,Ration_complète_gavage_oies[somme],0)+IF(QualitéRationComplèteGavageCanards=BONNE,Ration_complète_gavage_canards[somme],0)))</f>
        <v>0</v>
      </c>
      <c r="FY161" s="1269">
        <f>IF(AND(ChoixRationComplèteFoieGrasCanards&lt;&gt;OUI,ChoixRationComplèteFoieGrasOies&lt;&gt;OUI),0,SUM(IF(QualitéRationComplèteGavageOies=MOYENNE,Ration_complète_gavage_oies[somme],0)+IF(QualitéRationComplèteGavageCanards=MOYENNE,Ration_complète_gavage_canards[somme],0)))</f>
        <v>0</v>
      </c>
      <c r="FZ161" s="1269">
        <f>IF(AND(ChoixRationComplèteFoieGrasCanards&lt;&gt;OUI,ChoixRationComplèteFoieGrasOies&lt;&gt;OUI),0,SUM(IF(QualitéRationComplèteGavageOies=MAUVAISE,Ration_complète_gavage_oies[somme],0)+IF(QualitéRationComplèteGavageCanards=MAUVAISE,Ration_complète_gavage_canards[somme],0)))</f>
        <v>0</v>
      </c>
      <c r="GA161" s="1345"/>
      <c r="GB161" s="1345"/>
      <c r="GC161" s="1321"/>
      <c r="GD161" s="1321"/>
      <c r="GE161" s="1321"/>
      <c r="GF161" s="1321"/>
      <c r="GG161" s="1321" t="s">
        <v>1349</v>
      </c>
      <c r="GH161" s="1321" t="s">
        <v>1349</v>
      </c>
      <c r="GI161" s="1321" t="s">
        <v>1349</v>
      </c>
      <c r="GJ161" s="1321" t="s">
        <v>1349</v>
      </c>
      <c r="GK161" s="1321" t="s">
        <v>1349</v>
      </c>
      <c r="GL161" s="1321" t="s">
        <v>1349</v>
      </c>
      <c r="GM161" s="1321" t="s">
        <v>1349</v>
      </c>
      <c r="GN161" s="1321" t="s">
        <v>1349</v>
      </c>
      <c r="GO161" s="1321" t="s">
        <v>1349</v>
      </c>
      <c r="GP161" s="1321" t="s">
        <v>1349</v>
      </c>
      <c r="GQ161" s="1321" t="s">
        <v>1349</v>
      </c>
      <c r="GR161" s="1321" t="s">
        <v>1349</v>
      </c>
      <c r="GS161" s="1321" t="s">
        <v>1349</v>
      </c>
      <c r="GT161" s="1321" t="s">
        <v>1349</v>
      </c>
      <c r="GU161" s="1321" t="s">
        <v>1349</v>
      </c>
      <c r="GV161" s="1321" t="s">
        <v>1349</v>
      </c>
      <c r="GW161" s="1321"/>
      <c r="GX161" s="1321"/>
      <c r="GY161" s="1321"/>
      <c r="GZ161" s="1321"/>
      <c r="HA161" s="1321"/>
      <c r="HB161" s="1321"/>
      <c r="HC161" s="1321"/>
      <c r="HD161" s="1321"/>
      <c r="HE161" s="1321"/>
      <c r="HF161" s="1321"/>
      <c r="HG161" s="1321"/>
      <c r="HH161" s="1321"/>
      <c r="HI161" s="1321"/>
      <c r="HJ161" s="1321"/>
      <c r="HK161" s="1321"/>
      <c r="HL161" s="1321"/>
      <c r="HM161" s="1321"/>
      <c r="HN161" s="1321"/>
      <c r="HO161" s="1321"/>
      <c r="HP161" s="1321"/>
      <c r="HQ161" s="1321"/>
      <c r="HR161" s="1321"/>
      <c r="HS161" s="1321"/>
      <c r="HT161" s="1321"/>
      <c r="HU161" s="1321"/>
      <c r="HV161" s="1321"/>
      <c r="HW161" s="1321"/>
      <c r="HX161" s="1321"/>
      <c r="HY161" s="1321"/>
      <c r="HZ161" s="1321"/>
      <c r="IA161" s="1321"/>
      <c r="IB161" s="1321"/>
      <c r="IC161" s="1321"/>
      <c r="ID161" s="1321"/>
      <c r="IE161" s="1321"/>
      <c r="IF161" s="1321"/>
      <c r="IG161" s="1321"/>
      <c r="IH161" s="1321"/>
      <c r="II161" s="1321"/>
      <c r="IJ161" s="1321"/>
      <c r="IK161" s="1321"/>
      <c r="IL161" s="1321"/>
      <c r="IM161" s="1321"/>
      <c r="IN161" s="1368"/>
    </row>
    <row r="162" spans="1:248" ht="12.75" customHeight="1" x14ac:dyDescent="0.2">
      <c r="A162" s="1307" t="s">
        <v>289</v>
      </c>
      <c r="B162" s="1209">
        <v>5.0000000000000001E-3</v>
      </c>
      <c r="C162" s="1321"/>
      <c r="D162" s="1321"/>
      <c r="E162" s="1321"/>
      <c r="F162" s="1143" t="s">
        <v>55</v>
      </c>
      <c r="G162" s="1143">
        <v>15</v>
      </c>
      <c r="H162" s="1321"/>
      <c r="I162" s="1336"/>
      <c r="J162" s="1336"/>
      <c r="K162" s="1336"/>
      <c r="L162" s="1336"/>
      <c r="M162" s="1336"/>
      <c r="N162" s="1336"/>
      <c r="O162" s="1336"/>
      <c r="P162" s="1336"/>
      <c r="Q162" s="1336"/>
      <c r="R162" s="1321"/>
      <c r="S162" s="1321"/>
      <c r="T162" s="1321"/>
      <c r="U162" s="1321"/>
      <c r="V162" s="1321"/>
      <c r="W162" s="1321"/>
      <c r="X162" s="1321"/>
      <c r="Y162" s="1321"/>
      <c r="Z162" s="1321"/>
      <c r="AA162" s="1321"/>
      <c r="AB162" s="1321"/>
      <c r="AC162" s="1321"/>
      <c r="AD162" s="1321"/>
      <c r="AE162" s="1321"/>
      <c r="AF162" s="1321"/>
      <c r="AG162" s="1321"/>
      <c r="AH162" s="1321"/>
      <c r="AI162" s="1321"/>
      <c r="AJ162" s="1321"/>
      <c r="AK162" s="1321"/>
      <c r="AL162" s="1321"/>
      <c r="AM162" s="1321"/>
      <c r="AN162" s="1321"/>
      <c r="AO162" s="1321"/>
      <c r="AP162" s="1321"/>
      <c r="AQ162" s="1321"/>
      <c r="AR162" s="1321"/>
      <c r="AS162" s="1321"/>
      <c r="AT162" s="1321"/>
      <c r="AU162" s="1321"/>
      <c r="AV162" s="1321"/>
      <c r="AW162" s="1321"/>
      <c r="AX162" s="1321"/>
      <c r="AY162" s="1321"/>
      <c r="AZ162" s="1321"/>
      <c r="BA162" s="1321"/>
      <c r="BB162" s="1236" t="s">
        <v>1315</v>
      </c>
      <c r="BC162" s="1190" t="s">
        <v>671</v>
      </c>
      <c r="BD162" s="1190" t="s">
        <v>1252</v>
      </c>
      <c r="BE162" s="1237">
        <v>30</v>
      </c>
      <c r="BF162" s="1237">
        <v>27</v>
      </c>
      <c r="BG162" s="1237">
        <v>24</v>
      </c>
      <c r="BH162" s="1237">
        <v>21</v>
      </c>
      <c r="BI162" s="1237">
        <v>18</v>
      </c>
      <c r="BJ162" s="1237">
        <v>15</v>
      </c>
      <c r="BK162" s="1238">
        <v>0</v>
      </c>
      <c r="BL162" s="1348"/>
      <c r="BM162" s="1346"/>
      <c r="BN162" s="1321"/>
      <c r="BO162" s="1321"/>
      <c r="BP162" s="1321"/>
      <c r="BQ162" s="1321"/>
      <c r="BR162" s="1321"/>
      <c r="BS162" s="1321"/>
      <c r="BT162" s="1321"/>
      <c r="BU162" s="1321"/>
      <c r="BV162" s="1345"/>
      <c r="BW162" s="1345"/>
      <c r="BX162" s="1076" t="str">
        <f t="shared" si="57"/>
        <v>Maïs grain</v>
      </c>
      <c r="BY162" s="1076">
        <f t="array" ref="BY162">IF(ChoixRationComplèteCaprins=OUI,0,IFERROR(IF(OR(AND(INDEX(Règles_caprins[Specificite],MATCH(ChoixRationCaprins&amp;$BX162,Règles_caprins[Ration]&amp;Règles_caprins[Aliment],0))="s1",IF($BX162=Spécificité1Caprins,1)),
INDEX(Règles_caprins[Specificite],MATCH(ChoixRationCaprins&amp;$BX162,Règles_caprins[Ration]&amp;Règles_caprins[Aliment],0))="c"),
INDEX(Règles_caprins[Valeur 12 et plus],MATCH(ChoixRationCaprins&amp;$BX162,Règles_caprins[Ration]&amp;Règles_caprins[Aliment],0)),0),0)*TotalChèvres*SUM(NbreJoursNourrirCaprins))</f>
        <v>0</v>
      </c>
      <c r="BZ162" s="1076">
        <f t="array" ref="BZ162">IF(ChoixRationComplèteCaprins=OUI,0,IFERROR(IF(OR(AND(INDEX(Règles_caprins[Specificite],MATCH(ChoixRationCaprins&amp;$BX162,Règles_caprins[Ration]&amp;Règles_caprins[Aliment],0))="s1",IF($BX162=Spécificité1Caprins,1)),
INDEX(Règles_caprins[Specificite],MATCH(ChoixRationCaprins&amp;$BX162,Règles_caprins[Ration]&amp;Règles_caprins[Aliment],0))="c"),
INDEX(Règles_caprins[Valeur 6-12],MATCH(ChoixRationCaprins&amp;$BX162,Règles_caprins[Ration]&amp;Règles_caprins[Aliment],0)),0),0)*jeune_chèvre_6_12_mois*SUM(NbreJoursNourrirCaprins))</f>
        <v>0</v>
      </c>
      <c r="CA162" s="1076">
        <f t="array" ref="CA162">IF(ChoixRationComplèteCaprins=OUI,0,IFERROR(IF(OR(AND(INDEX(Règles_caprins[Specificite],MATCH(ChoixRationCaprins&amp;$BX162,Règles_caprins[Ration]&amp;Règles_caprins[Aliment],0))="s1",IF($BX162=Spécificité1Caprins,1)),
INDEX(Règles_caprins[Specificite],MATCH(ChoixRationCaprins&amp;$BX162,Règles_caprins[Ration]&amp;Règles_caprins[Aliment],0))="c"),
INDEX(Règles_caprins[Valeur 3-6],MATCH(ChoixRationCaprins&amp;$BX162,Règles_caprins[Ration]&amp;Règles_caprins[Aliment],0)),0),0)*chevrette_3_6_mois*SUM(NbreJoursNourrirCaprins))</f>
        <v>0</v>
      </c>
      <c r="CB162" s="1076">
        <f t="array" ref="CB162">IF(ChoixRationComplèteCaprins=OUI,0,IFERROR(IF(OR(AND(INDEX(Règles_caprins[Specificite],MATCH(ChoixRationCaprins&amp;$BX162,Règles_caprins[Ration]&amp;Règles_caprins[Aliment],0))="s1",IF($BX162=Spécificité1Caprins,1)),
INDEX(Règles_caprins[Specificite],MATCH(ChoixRationCaprins&amp;$BX162,Règles_caprins[Ration]&amp;Règles_caprins[Aliment],0))="c"),
INDEX(Règles_caprins[Valeur 0-3],MATCH(ChoixRationCaprins&amp;$BX162,Règles_caprins[Ration]&amp;Règles_caprins[Aliment],0)),0),0)*chevrette_0_3_mois*SUM(NbreJoursNourrirCaprins))</f>
        <v>0</v>
      </c>
      <c r="CC162" s="1076">
        <f t="shared" si="56"/>
        <v>0</v>
      </c>
      <c r="CD162" s="1345"/>
      <c r="CE162" s="1345"/>
      <c r="CF162" s="1345"/>
      <c r="CG162" s="1345"/>
      <c r="CH162" s="1345"/>
      <c r="CI162" s="1321"/>
      <c r="CJ162" s="1075" t="str">
        <f t="shared" si="51"/>
        <v>Pomme de terre</v>
      </c>
      <c r="CK162" s="1269">
        <f t="array" ref="CK162">SUM((IF(QualitéAlimentsPorceletMâle_0_1_mois=BONNE,VLOOKUP("Pomme de terre",AlimentsRationPorcinsMâles[],6,FALSE),0)+(IF(QualitéAlimentsPorceletFemelle_0_1_mois=BONNE,VLOOKUP("Pomme de terre",AlimentsRationPorcinsFemelles[],6,FALSE),0)+(IF(QualitéAlimentsPorceletMâle_1_3_mois=BONNE,VLOOKUP("Pomme de terre",AlimentsRationPorcinsMâles[],5,FALSE),0)+(IF(QualitéAlimentsPorceletFemelle_1_3_mois=BONNE,VLOOKUP("Pomme de terre",AlimentsRationPorcinsFemelles[],5,FALSE),0)+(IF(QualitéAlimentsJeuneVerrat_3_6_mois=BONNE,VLOOKUP("Pomme de terre",AlimentsRationPorcinsMâles[],4,FALSE),0)+(IF(QualitéAlimentsJeuneTruie_3_6_mois=BONNE,VLOOKUP("Pomme de terre",AlimentsRationPorcinsFemelles[],4,FALSE),0)+(IF(QualitéAlimentsJeuneVerrat_6_12_mois=BONNE,VLOOKUP("Pomme de terre",AlimentsRationPorcinsMâles[],3,FALSE),0)+(IF(QualitéAlimentsJeuneTruie_6_12_mois=BONNE,VLOOKUP("Pomme de terre",AlimentsRationPorcinsFemelles[],3,FALSE),0)+(IF(QualitéAlimentsVerrat=BONNE,VLOOKUP("Pomme de terre",AlimentsRationPorcinsMâles[],2,FALSE),0)+(IF(QualitéAlimentsTruie=BONNE,VLOOKUP("Pomme de terre",AlimentsRationPorcinsFemelles[],2,FALSE),0))))))))))))</f>
        <v>0</v>
      </c>
      <c r="CL162" s="1269">
        <f t="array" ref="CL162">SUM((IF(QualitéAlimentsPorceletMâle_0_1_mois=MOYENNE,VLOOKUP("Pomme de terre",AlimentsRationPorcinsMâles[],6,FALSE),0)+(IF(QualitéAlimentsPorceletFemelle_0_1_mois=MOYENNE,VLOOKUP("Pomme de terre",AlimentsRationPorcinsFemelles[],6,FALSE),0)+(IF(QualitéAlimentsPorceletMâle_1_3_mois=MOYENNE,VLOOKUP("Pomme de terre",AlimentsRationPorcinsMâles[],5,FALSE),0)+(IF(QualitéAlimentsPorceletFemelle_1_3_mois=MOYENNE,VLOOKUP("Pomme de terre",AlimentsRationPorcinsFemelles[],5,FALSE),0)+(IF(QualitéAlimentsJeuneVerrat_3_6_mois=MOYENNE,VLOOKUP("Pomme de terre",AlimentsRationPorcinsMâles[],4,FALSE),0)+(IF(QualitéAlimentsJeuneTruie_3_6_mois=MOYENNE,VLOOKUP("Pomme de terre",AlimentsRationPorcinsFemelles[],4,FALSE),0)+(IF(QualitéAlimentsJeuneVerrat_6_12_mois=MOYENNE,VLOOKUP("Pomme de terre",AlimentsRationPorcinsMâles[],3,FALSE),0)+(IF(QualitéAlimentsJeuneTruie_6_12_mois=MOYENNE,VLOOKUP("Pomme de terre",AlimentsRationPorcinsFemelles[],3,FALSE),0)+(IF(QualitéAlimentsVerrat=MOYENNE,VLOOKUP("Pomme de terre",AlimentsRationPorcinsMâles[],2,FALSE),0)+(IF(QualitéAlimentsTruie=MOYENNE,VLOOKUP("Pomme de terre",AlimentsRationPorcinsFemelles[],2,FALSE),0))))))))))))</f>
        <v>0</v>
      </c>
      <c r="CM162" s="1269">
        <f t="array" ref="CM162">SUM((IF(QualitéAlimentsPorceletMâle_0_1_mois=MAUVAISE,VLOOKUP("Pomme de terre",AlimentsRationPorcinsMâles[],6,FALSE),0)+(IF(QualitéAlimentsPorceletFemelle_0_1_mois=MAUVAISE,VLOOKUP("Pomme de terre",AlimentsRationPorcinsFemelles[],6,FALSE),0)+(IF(QualitéAlimentsPorceletMâle_1_3_mois=MAUVAISE,VLOOKUP("Pomme de terre",AlimentsRationPorcinsMâles[],5,FALSE),0)+(IF(QualitéAlimentsPorceletFemelle_1_3_mois=MAUVAISE,VLOOKUP("Pomme de terre",AlimentsRationPorcinsFemelles[],5,FALSE),0)+(IF(QualitéAlimentsJeuneVerrat_3_6_mois=MAUVAISE,VLOOKUP("Pomme de terre",AlimentsRationPorcinsMâles[],4,FALSE),0)+(IF(QualitéAlimentsJeuneTruie_3_6_mois=MAUVAISE,VLOOKUP("Pomme de terre",AlimentsRationPorcinsFemelles[],4,FALSE),0)+(IF(QualitéAlimentsJeuneVerrat_6_12_mois=MAUVAISE,VLOOKUP("Pomme de terre",AlimentsRationPorcinsMâles[],3,FALSE),0)+(IF(QualitéAlimentsJeuneTruie_6_12_mois=MAUVAISE,VLOOKUP("Pomme de terre",AlimentsRationPorcinsFemelles[],3,FALSE),0)+(IF(QualitéAlimentsVerrat=MAUVAISE,VLOOKUP("Pomme de terre",AlimentsRationPorcinsMâles[],2,FALSE),0)+(IF(QualitéAlimentsTruie=MAUVAISE,VLOOKUP("Pomme de terre",AlimentsRationPorcinsFemelles[],2,FALSE),0))))))))))))</f>
        <v>0</v>
      </c>
      <c r="CN162" s="1320"/>
      <c r="CO162" s="1320"/>
      <c r="CP162" s="1345"/>
      <c r="CQ162" s="1321"/>
      <c r="CR162" s="1321"/>
      <c r="CS162" s="1075" t="str">
        <f t="shared" si="66"/>
        <v>concentré jeunes bovins</v>
      </c>
      <c r="CT162" s="1269">
        <f t="array" ref="CT162">SUM((IF(QualitéAlimentsLapereauMâle_0_1_mois=BONNE,VLOOKUP("Concentré jeunes bovins",AlimentsRationLapinsMâles[],4,FALSE),0)+(IF(QualitéAlimentsLapereauFemelle_0_1_mois=BONNE,VLOOKUP("Concentré jeunes bovins",AlimentsRationLapinsFemelles[],4,FALSE),0)+(IF(QualitéAlimentsJeuneLapin=BONNE,VLOOKUP("Concentré jeunes bovins",AlimentsRationLapinsMâles[],3,FALSE),0)+(IF(QualitéAlimentsJeuneLapine=BONNE,VLOOKUP("Concentré jeunes bovins",AlimentsRationLapinsFemelles[],3,FALSE),0)+(IF(QualitéAlimentsLapin=BONNE,VLOOKUP("Concentré jeunes bovins",AlimentsRationLapinsMâles[],2,FALSE),0)+(IF(QualitéAlimentsLapine=BONNE,VLOOKUP("Concentré jeunes bovins",AlimentsRationLapinsFemelles[],2,FALSE),0))))))))</f>
        <v>0</v>
      </c>
      <c r="CU162" s="1269">
        <f t="array" ref="CU162">SUM((IF(QualitéAlimentsLapereauMâle_0_1_mois=MOYENNE,VLOOKUP("Concentré jeunes bovins",AlimentsRationLapinsMâles[],4,FALSE),0)+(IF(QualitéAlimentsLapereauFemelle_0_1_mois=MOYENNE,VLOOKUP("Concentré jeunes bovins",AlimentsRationLapinsFemelles[],4,FALSE),0)+(IF(QualitéAlimentsJeuneLapin=MOYENNE,VLOOKUP("Concentré jeunes bovins",AlimentsRationLapinsMâles[],3,FALSE),0)+(IF(QualitéAlimentsJeuneLapine=MOYENNE,VLOOKUP("Concentré jeunes bovins",AlimentsRationLapinsFemelles[],3,FALSE),0)+(IF(QualitéAlimentsLapin=MOYENNE,VLOOKUP("Concentré jeunes bovins",AlimentsRationLapinsMâles[],2,FALSE),0)+(IF(QualitéAlimentsLapine=MOYENNE,VLOOKUP("Concentré jeunes bovins",AlimentsRationLapinsFemelles[],2,FALSE),0))))))))</f>
        <v>0</v>
      </c>
      <c r="CV162" s="1269">
        <f t="array" ref="CV162">SUM((IF(QualitéAlimentsLapereauMâle_0_1_mois=MAUVAISE,VLOOKUP("Concentré jeunes bovins",AlimentsRationLapinsMâles[],4,FALSE),0)+(IF(QualitéAlimentsLapereauFemelle_0_1_mois=MAUVAISE,VLOOKUP("Concentré jeunes bovins",AlimentsRationLapinsFemelles[],4,FALSE),0)+(IF(QualitéAlimentsJeuneLapin=MAUVAISE,VLOOKUP("Concentré jeunes bovins",AlimentsRationLapinsMâles[],3,FALSE),0)+(IF(QualitéAlimentsJeuneLapine=MAUVAISE,VLOOKUP("Concentré jeunes bovins",AlimentsRationLapinsFemelles[],3,FALSE),0)+(IF(QualitéAlimentsLapin=MAUVAISE,VLOOKUP("Concentré jeunes bovins",AlimentsRationLapinsMâles[],2,FALSE),0)+(IF(QualitéAlimentsLapine=MAUVAISE,VLOOKUP("Concentré jeunes bovins",AlimentsRationLapinsFemelles[],2,FALSE),0))))))))</f>
        <v>0</v>
      </c>
      <c r="CW162" s="1321"/>
      <c r="CX162" s="1321"/>
      <c r="CY162" s="1321"/>
      <c r="CZ162" s="1076" t="str">
        <f t="shared" si="65"/>
        <v>concentré jeunes lapins</v>
      </c>
      <c r="DA162" s="1267">
        <f t="array" ref="DA162">SUM((IF(QualitéAlimentsPoussinMâle_0_1_mois=BONNE,VLOOKUP("Concentré jeunes lapins",AlimentsRationVolaillesMâles[],4,FALSE),0)+(IF(QualitéAlimentsPoussinFemelle_0_1_mois=BONNE,VLOOKUP("Concentré jeunes lapins",AlimentsRationVolaillesFemelles[],4,FALSE),0)+(IF(QualitéAlimentsJeuneCoq=BONNE,VLOOKUP("Concentré jeunes lapins",AlimentsRationVolaillesMâles[],3,FALSE),0)+(IF(QualitéAlimentsJeunePoule=BONNE,VLOOKUP("Concentré jeunes lapins",AlimentsRationVolaillesFemelles[],3,FALSE),0)+(IF(QualitéAlimentsCoq=BONNE,VLOOKUP("Concentré jeunes lapins",AlimentsRationVolaillesMâles[],2,FALSE),0)+(IF(QualitéAlimentsPoule=BONNE,VLOOKUP("Concentré jeunes lapins",AlimentsRationVolaillesFemelles[],2,FALSE),0))))))))</f>
        <v>0</v>
      </c>
      <c r="DB162" s="1267">
        <f t="array" ref="DB162">SUM((IF(QualitéAlimentsPoussinMâle_0_1_mois=MOYENNE,VLOOKUP("Concentré jeunes lapins",AlimentsRationVolaillesMâles[],4,FALSE),0)+(IF(QualitéAlimentsPoussinFemelle_0_1_mois=MOYENNE,VLOOKUP("Concentré jeunes lapins",AlimentsRationVolaillesFemelles[],4,FALSE),0)+(IF(QualitéAlimentsJeuneCoq=MOYENNE,VLOOKUP("Concentré jeunes lapins",AlimentsRationVolaillesMâles[],3,FALSE),0)+(IF(QualitéAlimentsJeunePoule=MOYENNE,VLOOKUP("Concentré jeunes lapins",AlimentsRationVolaillesFemelles[],3,FALSE),0)+(IF(QualitéAlimentsCoq=MOYENNE,VLOOKUP("Concentré jeunes lapins",AlimentsRationVolaillesMâles[],2,FALSE),0)+(IF(QualitéAlimentsPoule=MOYENNE,VLOOKUP("Concentré jeunes lapins",AlimentsRationVolaillesFemelles[],2,FALSE),0))))))))</f>
        <v>0</v>
      </c>
      <c r="DC162" s="1267">
        <f t="array" ref="DC162">SUM((IF(QualitéAlimentsPoussinMâle_0_1_mois=MAUVAISE,VLOOKUP("Concentré jeunes lapins",AlimentsRationVolaillesMâles[],4,FALSE),0)+(IF(QualitéAlimentsPoussinFemelle_0_1_mois=MAUVAISE,VLOOKUP("Concentré jeunes lapins",AlimentsRationVolaillesFemelles[],4,FALSE),0)+(IF(QualitéAlimentsJeuneCoq=MAUVAISE,VLOOKUP("Concentré jeunes lapins",AlimentsRationVolaillesMâles[],3,FALSE),0)+(IF(QualitéAlimentsJeunePoule=MAUVAISE,VLOOKUP("Concentré jeunes lapins",AlimentsRationVolaillesFemelles[],3,FALSE),0)+(IF(QualitéAlimentsCoq=MAUVAISE,VLOOKUP("Concentré jeunes lapins",AlimentsRationVolaillesMâles[],2,FALSE),0)+(IF(QualitéAlimentsPoule=MAUVAISE,VLOOKUP("Concentré jeunes lapins",AlimentsRationVolaillesFemelles[],2,FALSE),0))))))))</f>
        <v>0</v>
      </c>
      <c r="DD162" s="1320"/>
      <c r="DE162" s="1321"/>
      <c r="DF162" s="1321"/>
      <c r="DG162" s="1076" t="str">
        <f t="shared" si="58"/>
        <v>Maïs grain</v>
      </c>
      <c r="DH162" s="1267">
        <f t="array" ref="DH162">SUM((IF(QualitéAlimentsPintadeauMâle_0_1_mois=BONNE,VLOOKUP("Maïs grain",AlimentsRationPintadesMâles[],4,FALSE),0)+(IF(QualitéAlimentsPintadeauFemelle_0_1_mois=BONNE,VLOOKUP("Maïs grain",AlimentsRationPintadesFemelles[],4,FALSE),0)+(IF(QualitéAlimentsJeunePintadeMâle=BONNE,VLOOKUP("Maïs grain",AlimentsRationPintadesMâles[],3,FALSE),0)+(IF(QualitéAlimentsJeunePintadeFemelle=BONNE,VLOOKUP("Maïs grain",AlimentsRationPintadesFemelles[],3,FALSE),0)+(IF(QualitéAlimentsPintadeMâle=BONNE,VLOOKUP("Maïs grain",AlimentsRationPintadesMâles[],2,FALSE),0)+(IF(QualitéAlimentsPintadeFemelle=BONNE,VLOOKUP("Maïs grain",AlimentsRationPintadesFemelles[],2,FALSE),0))))))))</f>
        <v>0</v>
      </c>
      <c r="DI162" s="1267">
        <f t="array" ref="DI162">SUM((IF(QualitéAlimentsPintadeauMâle_0_1_mois=MOYENNE,VLOOKUP("Maïs grain",AlimentsRationPintadesMâles[],4,FALSE),0)+(IF(QualitéAlimentsPintadeauFemelle_0_1_mois=MOYENNE,VLOOKUP("Maïs grain",AlimentsRationPintadesFemelles[],4,FALSE),0)+(IF(QualitéAlimentsJeunePintadeMâle=MOYENNE,VLOOKUP("Maïs grain",AlimentsRationPintadesMâles[],3,FALSE),0)+(IF(QualitéAlimentsJeunePintadeFemelle=MOYENNE,VLOOKUP("Maïs grain",AlimentsRationPintadesFemelles[],3,FALSE),0)+(IF(QualitéAlimentsPintadeMâle=MOYENNE,VLOOKUP("Maïs grain",AlimentsRationPintadesMâles[],2,FALSE),0)+(IF(QualitéAlimentsPintadeFemelle=MOYENNE,VLOOKUP("Maïs grain",AlimentsRationPintadesFemelles[],2,FALSE),0))))))))</f>
        <v>0</v>
      </c>
      <c r="DJ162" s="1267">
        <f t="array" ref="DJ162">SUM((IF(QualitéAlimentsPintadeauMâle_0_1_mois=MAUVAISE,VLOOKUP("Maïs grain",AlimentsRationPintadesMâles[],4,FALSE),0)+(IF(QualitéAlimentsPintadeauFemelle_0_1_mois=MAUVAISE,VLOOKUP("Maïs grain",AlimentsRationPintadesFemelles[],4,FALSE),0)+(IF(QualitéAlimentsJeunePintadeMâle=MAUVAISE,VLOOKUP("Maïs grain",AlimentsRationPintadesMâles[],3,FALSE),0)+(IF(QualitéAlimentsJeunePintadeFemelle=MAUVAISE,VLOOKUP("Maïs grain",AlimentsRationPintadesFemelles[],3,FALSE),0)+(IF(QualitéAlimentsPintadeMâle=MAUVAISE,VLOOKUP("Maïs grain",AlimentsRationPintadesMâles[],2,FALSE),0)+(IF(QualitéAlimentsPintadeFemelle=MAUVAISE,VLOOKUP("Maïs grain",AlimentsRationPintadesFemelles[],2,FALSE),0))))))))</f>
        <v>0</v>
      </c>
      <c r="DK162" s="1321"/>
      <c r="DL162" s="1321"/>
      <c r="DM162" s="1321"/>
      <c r="DN162" s="1076" t="s">
        <v>331</v>
      </c>
      <c r="DO162" s="1267">
        <f t="array" ref="DO162">IF(ChoixRationComplèteOvins=OUI,0,IFERROR(IF(OR(AND(INDEX(Règles_ovins[Specificite],MATCH(ChoixRationOvins&amp;$DN162,Règles_ovins[Ration]&amp;Règles_ovins[Aliment],0))="s1",IF($DN162=Spécificité1Ovins,1)),
AND(INDEX(Règles_ovins[Specificite],MATCH(ChoixRationOvins&amp;$DN162,Règles_ovins[Ration]&amp;Règles_ovins[Aliment],0))="s2",IF($DN162=Spécificité2Ovins,1)),
INDEX(Règles_ovins[Specificite],MATCH(ChoixRationOvins&amp;$DN162,Règles_ovins[Ration]&amp;Règles_ovins[Aliment],0))="c"),
INDEX(Règles_ovins[Valeur 12 et plus],MATCH(ChoixRationOvins&amp;$DN162,Règles_ovins[Ration]&amp;Règles_ovins[Aliment],0)),0),0)*IF(ChoixOvinsPréHiver=OUI,SUM(TotalOvinsAdultesRacesLaitières)*NbreJoursNourrirOvins,TotalBéliers*SUM(NbreJoursNourrirOvins)))</f>
        <v>0</v>
      </c>
      <c r="DP162" s="1267">
        <f t="array" ref="DP162">IF(ChoixRationComplèteOvins=OUI,0,IFERROR(IF(OR(AND(INDEX(Règles_ovins[Specificite],MATCH(ChoixRationOvins&amp;$DN162,Règles_ovins[Ration]&amp;Règles_ovins[Aliment],0))="s1",IF($DN162=Spécificité1Ovins,1)),
AND(INDEX(Règles_ovins[Specificite],MATCH(ChoixRationOvins&amp;$DN162,Règles_ovins[Ration]&amp;Règles_ovins[Aliment],0))="s2",IF($DN162=Spécificité2Ovins,1)),
INDEX(Règles_ovins[Specificite],MATCH(ChoixRationOvins&amp;$DN162,Règles_ovins[Ration]&amp;Règles_ovins[Aliment],0))="c"),
INDEX(Règles_ovins[Valeur 6-12],MATCH(ChoixRationOvins&amp;$DN162,Règles_ovins[Ration]&amp;Règles_ovins[Aliment],0)),0),0)*IF(ChoixOvinsPréHiver=OUI,SUM(TotalJeunesOvinsRacesLaitières)*NbreJoursNourrirOvins,TotalJeune_bélier_6_12_mois*SUM(NbreJoursNourrirOvins)))</f>
        <v>0</v>
      </c>
      <c r="DQ162" s="1267">
        <f t="array" ref="DQ162">IF(ChoixRationComplèteOvins=OUI,0,IFERROR(IF(OR(AND(INDEX(Règles_ovins[Specificite],MATCH(ChoixRationOvins&amp;$DN162,Règles_ovins[Ration]&amp;Règles_ovins[Aliment],0))="s1",IF($DN162=Spécificité1Ovins,1)),
AND(INDEX(Règles_ovins[Specificite],MATCH(ChoixRationOvins&amp;$DN162,Règles_ovins[Ration]&amp;Règles_ovins[Aliment],0))="s2",IF($DN162=Spécificité2Ovins,1)),
INDEX(Règles_ovins[Specificite],MATCH(ChoixRationOvins&amp;$DN162,Règles_ovins[Ration]&amp;Règles_ovins[Aliment],0))="c"),
INDEX(Règles_ovins[Valeur 3-6],MATCH(ChoixRationOvins&amp;$DN162,Règles_ovins[Ration]&amp;Règles_ovins[Aliment],0)),0),0)*IF(ChoixOvinsPréHiver=OUI,SUM(TotalOvins_3_6moisRacesLaitières)*NbreJoursNourrirOvins,TotalAgneau_3_6_mois*SUM(NbreJoursNourrirOvins)))</f>
        <v>0</v>
      </c>
      <c r="DR162" s="1267">
        <f t="array" ref="DR162">IF(ChoixRationComplèteOvins=OUI,0,IFERROR(IF(OR(AND(INDEX(Règles_ovins[Specificite],MATCH(ChoixRationOvins&amp;$DN162,Règles_ovins[Ration]&amp;Règles_ovins[Aliment],0))="s1",IF($DN162=Spécificité1Ovins,1)),
AND(INDEX(Règles_ovins[Specificite],MATCH(ChoixRationOvins&amp;$DN162,Règles_ovins[Ration]&amp;Règles_ovins[Aliment],0))="s2",IF($DN162=Spécificité2Ovins,1)),
INDEX(Règles_ovins[Specificite],MATCH(ChoixRationOvins&amp;$DN162,Règles_ovins[Ration]&amp;Règles_ovins[Aliment],0))="c"),
INDEX(Règles_ovins[Valeur 0-3],MATCH(ChoixRationOvins&amp;$DN162,Règles_ovins[Ration]&amp;Règles_ovins[Aliment],0)),0),0)*IF(ChoixOvinsPréHiver=OUI,SUM(TotalOvins_3_6moisRacesLaitières)*NbreJoursNourrirOvins,TotalAgneau_0_3_mois*SUM(NbreJoursNourrirOvins)))</f>
        <v>0</v>
      </c>
      <c r="DS162" s="1279">
        <f t="shared" si="61"/>
        <v>0</v>
      </c>
      <c r="DT162" s="1346"/>
      <c r="DU162" s="1346"/>
      <c r="DV162" s="1321"/>
      <c r="DW162" s="1321"/>
      <c r="DX162" s="1321"/>
      <c r="DY162" s="1321"/>
      <c r="DZ162" s="1321"/>
      <c r="EA162" s="1321"/>
      <c r="EB162" s="1321"/>
      <c r="EC162" s="1321"/>
      <c r="ED162" s="1345"/>
      <c r="EE162" s="1345"/>
      <c r="EF162" s="1321"/>
      <c r="EG162" s="1076" t="str">
        <f t="shared" si="63"/>
        <v>Epinard</v>
      </c>
      <c r="EH162" s="1267">
        <f t="array" ref="EH162">SUM((IF(QualitéAlimentsOisonMâle_0_3_mois=BONNE,VLOOKUP("Epinard",AlimentsRationOiesMâles[],4,FALSE),0)+(IF(QualitéAlimentsOisonFemelle_0_3_mois=BONNE,VLOOKUP("Epinard",AlimentsRationOiesFemelles[],4,FALSE),0)+(IF(QualitéAlimentsJeuneJars=BONNE,VLOOKUP("Epinard",AlimentsRationOiesMâles[],3,FALSE),0)+(IF(QualitéAlimentsJeuneOie=BONNE,VLOOKUP("Epinard",AlimentsRationOiesFemelles[],3,FALSE),0)+(IF(QualitéAlimentsJars=BONNE,VLOOKUP("Epinard",AlimentsRationOiesMâles[],2,FALSE),0)+(IF(QualitéAlimentsOie=BONNE,VLOOKUP("Epinard",AlimentsRationOiesFemelles[],2,FALSE),0))))))))</f>
        <v>0</v>
      </c>
      <c r="EI162" s="1267">
        <f t="array" ref="EI162">SUM((IF(QualitéAlimentsOisonMâle_0_3_mois=MOYENNE,VLOOKUP("Epinard",AlimentsRationOiesMâles[],4,FALSE),0)+(IF(QualitéAlimentsOisonFemelle_0_3_mois=MOYENNE,VLOOKUP("Epinard",AlimentsRationOiesFemelles[],4,FALSE),0)+(IF(QualitéAlimentsJeuneJars=MOYENNE,VLOOKUP("Epinard",AlimentsRationOiesMâles[],3,FALSE),0)+(IF(QualitéAlimentsJeuneOie=MOYENNE,VLOOKUP("Epinard",AlimentsRationOiesFemelles[],3,FALSE),0)+(IF(QualitéAlimentsJars=MOYENNE,VLOOKUP("Epinard",AlimentsRationOiesMâles[],2,FALSE),0)+(IF(QualitéAlimentsOie=MOYENNE,VLOOKUP("Epinard",AlimentsRationOiesFemelles[],2,FALSE),0))))))))</f>
        <v>0</v>
      </c>
      <c r="EJ162" s="1267">
        <f t="array" ref="EJ162">SUM((IF(QualitéAlimentsOisonMâle_0_3_mois=MAUVAISE,VLOOKUP("Epinard",AlimentsRationOiesMâles[],4,FALSE),0)+(IF(QualitéAlimentsOisonFemelle_0_3_mois=MAUVAISE,VLOOKUP("Epinard",AlimentsRationOiesFemelles[],4,FALSE),0)+(IF(QualitéAlimentsJeuneJars=MAUVAISE,VLOOKUP("Epinard",AlimentsRationOiesMâles[],3,FALSE),0)+(IF(QualitéAlimentsJeuneOie=MAUVAISE,VLOOKUP("Epinard",AlimentsRationOiesFemelles[],3,FALSE),0)+(IF(QualitéAlimentsJars=MAUVAISE,VLOOKUP("Epinard",AlimentsRationOiesMâles[],2,FALSE),0)+(IF(QualitéAlimentsOie=MAUVAISE,VLOOKUP("Epinard",AlimentsRationOiesFemelles[],2,FALSE),0))))))))</f>
        <v>0</v>
      </c>
      <c r="EK162" s="1345"/>
      <c r="EL162" s="1345"/>
      <c r="EM162" s="1321"/>
      <c r="EN162" s="1083" t="str">
        <f t="shared" si="62"/>
        <v>Féverole</v>
      </c>
      <c r="EO162" s="1283">
        <f t="array" ref="EO162">SUM((IF(QualitéAlimentsCanetonMâle=BONNE,VLOOKUP("Féverole",AlimentsRationCanardsMâles,4,FALSE),0)+(IF(QualitéAlimentsCanetonFemelle=BONNE,VLOOKUP("Féverole",AlimentsRationCanardsFemelles,4,FALSE),0)+(IF(QualitéAlimentsJeuneCanard=BONNE,VLOOKUP("Féverole",AlimentsRationCanardsMâles,3,FALSE),0)+(IF(QualitéAlimentsJeuneCane=BONNE,VLOOKUP("Féverole",AlimentsRationCanardsFemelles,3,FALSE),0)+(IF(QualitéAlimentsCanard=BONNE,VLOOKUP("Féverole",AlimentsRationCanardsMâles,2,FALSE),0)+(IF(QualitéAlimentsCane=BONNE,VLOOKUP("Féverole",AlimentsRationCanardsFemelles,2,FALSE),0))))))))</f>
        <v>0</v>
      </c>
      <c r="EP162" s="1283">
        <f t="array" ref="EP162">SUM((IF(QualitéAlimentsCanetonMâle=MOYENNE,VLOOKUP("Féverole",AlimentsRationCanardsMâles,4,FALSE),0)+(IF(QualitéAlimentsCanetonFemelle=MOYENNE,VLOOKUP("Féverole",AlimentsRationCanardsFemelles,4,FALSE),0)+(IF(QualitéAlimentsJeuneCanard=MOYENNE,VLOOKUP("Féverole",AlimentsRationCanardsMâles,3,FALSE),0)+(IF(QualitéAlimentsJeuneCane=MOYENNE,VLOOKUP("Féverole",AlimentsRationCanardsFemelles,3,FALSE),0)+(IF(QualitéAlimentsCanard=MOYENNE,VLOOKUP("Féverole",AlimentsRationCanardsMâles,2,FALSE),0)+(IF(QualitéAlimentsCane=MOYENNE,VLOOKUP("Féverole",AlimentsRationCanardsFemelles,2,FALSE),0))))))))</f>
        <v>0</v>
      </c>
      <c r="EQ162" s="1283">
        <f t="array" ref="EQ162">SUM((IF(QualitéAlimentsCanetonMâle=MAUVAISE,VLOOKUP("Féverole",AlimentsRationCanardsMâles,4,FALSE),0)+(IF(QualitéAlimentsCanetonFemelle=MAUVAISE,VLOOKUP("Féverole",AlimentsRationCanardsFemelles,4,FALSE),0)+(IF(QualitéAlimentsJeuneCanard=MAUVAISE,VLOOKUP("Féverole",AlimentsRationCanardsMâles,3,FALSE),0)+(IF(QualitéAlimentsJeuneCane=MAUVAISE,VLOOKUP("Féverole",AlimentsRationCanardsFemelles,3,FALSE),0)+(IF(QualitéAlimentsCanard=MAUVAISE,VLOOKUP("Féverole",AlimentsRationCanardsMâles,2,FALSE),0)+(IF(QualitéAlimentsCane=MAUVAISE,VLOOKUP("Féverole",AlimentsRationCanardsFemelles,2,FALSE),0))))))))</f>
        <v>0</v>
      </c>
      <c r="ER162" s="1345"/>
      <c r="ES162" s="1345"/>
      <c r="ET162" s="1321"/>
      <c r="EU162" s="1082" t="str">
        <f t="shared" si="60"/>
        <v>Foin</v>
      </c>
      <c r="EV162" s="1282">
        <f t="array" ref="EV162">IF(OR(ChoixRationHivernaleComplèteChevauxSelle=OUI,ChoixRationHivernaleComplèteChevauxSelle="",ChoixChevauxSellePréHiver=NON),0,IFERROR(IF(OR(AND(INDEX(Règles_chevaux_selle[Specificite],MATCH(RationHivernaleAuPréChevauxSelle&amp;$EU162,Règles_chevaux_selle[Ration]&amp;Règles_chevaux_selle[Aliment],0))="s1",IF($EU162=Spécificité1ChevauxSelle,1)),
AND(INDEX(Règles_chevaux_selle[Specificite],MATCH(RationHivernaleAuPréChevauxSelle&amp;$EU162,Règles_chevaux_selle[Ration]&amp;Règles_chevaux_selle[Aliment],0))="s2",IF($EU162=Spécificité2ChevauxSelle,1)),
INDEX(Règles_chevaux_selle[Specificite],MATCH(RationHivernaleAuPréChevauxSelle&amp;$EU162,Règles_chevaux_selle[Ration]&amp;Règles_chevaux_selle[Aliment],0))="c"),
INDEX(Règles_chevaux_selle[Valeur 36 et plus],MATCH(RationHivernaleAuPréChevauxSelle&amp;$EU162,Règles_chevaux_selle[Ration]&amp;Règles_chevaux_selle[Aliment],0)),0),0)*SUM(TotalChevauxSelleAdultes)*21)</f>
        <v>0</v>
      </c>
      <c r="EW162" s="1282">
        <f t="array" ref="EW162">IF(OR(ChoixRationHivernaleComplèteChevauxSelle=OUI,ChoixRationHivernaleComplèteChevauxSelle="",ChoixChevauxSellePréHiver=NON),0,IFERROR(IF(OR(AND(INDEX(Règles_chevaux_selle[Specificite],MATCH(RationHivernaleAuPréChevauxSelle&amp;$EU162,Règles_chevaux_selle[Ration]&amp;Règles_chevaux_selle[Aliment],0))="s1",IF($EU162=Spécificité1ChevauxSelle,1)),
AND(INDEX(Règles_chevaux_selle[Specificite],MATCH(RationHivernaleAuPréChevauxSelle&amp;$EU162,Règles_chevaux_selle[Ration]&amp;Règles_chevaux_selle[Aliment],0))="s2",IF($EU162=Spécificité2ChevauxSelle,1)),
INDEX(Règles_chevaux_selle[Specificite],MATCH(RationHivernaleAuPréChevauxSelle&amp;$EU162,Règles_chevaux_selle[Ration]&amp;Règles_chevaux_selle[Aliment],0))="c"),
INDEX(Règles_chevaux_selle[Valeur 24-36],MATCH(RationHivernaleAuPréChevauxSelle&amp;$EU162,Règles_chevaux_selle[Ration]&amp;Règles_chevaux_selle[Aliment],0)),0),0)*SUM(TotalChevauxSelle_24_36mois)*21)</f>
        <v>0</v>
      </c>
      <c r="EX162" s="1282">
        <f t="array" ref="EX162">IF(OR(ChoixRationHivernaleComplèteChevauxSelle=OUI,ChoixRationHivernaleComplèteChevauxSelle="",ChoixChevauxSellePréHiver=NON),0,IFERROR(IF(OR(AND(INDEX(Règles_chevaux_selle[Specificite],MATCH(RationHivernaleAuPréChevauxSelle&amp;$EU162,Règles_chevaux_selle[Ration]&amp;Règles_chevaux_selle[Aliment],0))="s1",IF($EU162=Spécificité1ChevauxSelle,1)),
AND(INDEX(Règles_chevaux_selle[Specificite],MATCH(RationHivernaleAuPréChevauxSelle&amp;$EU162,Règles_chevaux_selle[Ration]&amp;Règles_chevaux_selle[Aliment],0))="s2",IF($EU162=Spécificité2ChevauxSelle,1)),
INDEX(Règles_chevaux_selle[Specificite],MATCH(RationHivernaleAuPréChevauxSelle&amp;$EU162,Règles_chevaux_selle[Ration]&amp;Règles_chevaux_selle[Aliment],0))="c"),
INDEX(Règles_chevaux_selle[Valeur 12-24],MATCH(RationHivernaleAuPréChevauxSelle&amp;$EU162,Règles_chevaux_selle[Ration]&amp;Règles_chevaux_selle[Aliment],0)),0),0)*SUM(TotalChevauxSelle_12_24mois)*21)</f>
        <v>0</v>
      </c>
      <c r="EY162" s="1285">
        <f t="array" ref="EY162">IF(OR(ChoixRationHivernaleComplèteChevauxSelle=OUI,ChoixRationHivernaleComplèteChevauxSelle="",ChoixChevauxSellePréHiver=NON),0,IFERROR(IF(OR(AND(INDEX(Règles_chevaux_selle[Specificite],MATCH(RationHivernaleAuPréChevauxSelle&amp;$EU162,Règles_chevaux_selle[Ration]&amp;Règles_chevaux_selle[Aliment],0))="s1",IF($EU162=Spécificité1ChevauxSelle,1)),
AND(INDEX(Règles_chevaux_selle[Specificite],MATCH(RationHivernaleAuPréChevauxSelle&amp;$EU162,Règles_chevaux_selle[Ration]&amp;Règles_chevaux_selle[Aliment],0))="s2",IF($EU162=Spécificité2ChevauxSelle,1)),
INDEX(Règles_chevaux_selle[Specificite],MATCH(RationHivernaleAuPréChevauxSelle&amp;$EU162,Règles_chevaux_selle[Ration]&amp;Règles_chevaux_selle[Aliment],0))="c"),
INDEX(Règles_chevaux_selle[Valeur 0-12],MATCH(RationHivernaleAuPréChevauxSelle&amp;$EU162,Règles_chevaux_selle[Ration]&amp;Règles_chevaux_selle[Aliment],0)),0),0)*SUM(TotalPoulainsSelle)*21)</f>
        <v>0</v>
      </c>
      <c r="EZ162" s="1285">
        <f t="shared" si="59"/>
        <v>0</v>
      </c>
      <c r="FA162" s="1345"/>
      <c r="FB162" s="1345"/>
      <c r="FC162" s="1321"/>
      <c r="FD162" s="1082" t="str">
        <f t="shared" si="55"/>
        <v>Orge</v>
      </c>
      <c r="FE162" s="1282">
        <f t="array" ref="FE162">IF(OR(ChoixRationHivernaleComplèteChevauxTrait=OUI,ChoixRationHivernaleComplèteChevauxTrait="",ChoixChevauxTraitPréHiver=NON),0,IFERROR(IF(OR(AND(INDEX(Règles_chevaux_trait[Specificite],MATCH(RationHivernaleAuPréChevauxTrait&amp;$FD162,Règles_chevaux_trait[Ration]&amp;Règles_chevaux_trait[Aliment],0))="s1",IF($FD162=Spécificité1ChevauxTrait,1)),
AND(INDEX(Règles_chevaux_trait[Specificite],MATCH(RationHivernaleAuPréChevauxTrait&amp;$FD162,Règles_chevaux_trait[Ration]&amp;Règles_chevaux_trait[Aliment],0))="s2",IF($FD162=Spécificité2ChevauxTrait,1)),
INDEX(Règles_chevaux_trait[Specificite],MATCH(RationHivernaleAuPréChevauxTrait&amp;$FD162,Règles_chevaux_trait[Ration]&amp;Règles_chevaux_trait[Aliment],0))="c"),
INDEX(Règles_chevaux_trait[Valeur 36 et plus],MATCH(RationHivernaleAuPréChevauxTrait&amp;$FD162,Règles_chevaux_trait[Ration]&amp;Règles_chevaux_trait[Aliment],0)),0),0)*SUM(TotalChevauxTraitAdultes)*21)</f>
        <v>0</v>
      </c>
      <c r="FF162" s="1282">
        <f t="array" ref="FF162">IF(OR(ChoixRationHivernaleComplèteChevauxTrait=OUI,ChoixRationHivernaleComplèteChevauxTrait="",ChoixChevauxTraitPréHiver=NON),0,IFERROR(IF(OR(AND(INDEX(Règles_chevaux_trait[Specificite],MATCH(RationHivernaleAuPréChevauxTrait&amp;$FD162,Règles_chevaux_trait[Ration]&amp;Règles_chevaux_trait[Aliment],0))="s1",IF($FD162=Spécificité1ChevauxTrait,1)),
AND(INDEX(Règles_chevaux_trait[Specificite],MATCH(RationHivernaleAuPréChevauxTrait&amp;$FD162,Règles_chevaux_trait[Ration]&amp;Règles_chevaux_trait[Aliment],0))="s2",IF($FD162=Spécificité2ChevauxTrait,1)),
INDEX(Règles_chevaux_trait[Specificite],MATCH(RationHivernaleAuPréChevauxTrait&amp;$FD162,Règles_chevaux_trait[Ration]&amp;Règles_chevaux_trait[Aliment],0))="c"),
INDEX(Règles_chevaux_trait[Valeur 24-36],MATCH(RationHivernaleAuPréChevauxTrait&amp;$FD162,Règles_chevaux_trait[Ration]&amp;Règles_chevaux_trait[Aliment],0)),0),0)*SUM(TotalChevauxTrait_24_36mois)*21)</f>
        <v>0</v>
      </c>
      <c r="FG162" s="1282">
        <f t="array" ref="FG162">IF(OR(ChoixRationHivernaleComplèteChevauxTrait=OUI,ChoixRationHivernaleComplèteChevauxTrait="",ChoixChevauxTraitPréHiver=NON),0,IFERROR(IF(OR(AND(INDEX(Règles_chevaux_trait[Specificite],MATCH(RationHivernaleAuPréChevauxTrait&amp;$FD162,Règles_chevaux_trait[Ration]&amp;Règles_chevaux_trait[Aliment],0))="s1",IF($FD162=Spécificité1ChevauxTrait,1)),
AND(INDEX(Règles_chevaux_trait[Specificite],MATCH(RationHivernaleAuPréChevauxTrait&amp;$FD162,Règles_chevaux_trait[Ration]&amp;Règles_chevaux_trait[Aliment],0))="s2",IF($FD162=Spécificité2ChevauxTrait,1)),
INDEX(Règles_chevaux_trait[Specificite],MATCH(RationHivernaleAuPréChevauxTrait&amp;$FD162,Règles_chevaux_trait[Ration]&amp;Règles_chevaux_trait[Aliment],0))="c"),
INDEX(Règles_chevaux_trait[Valeur 12-24],MATCH(RationHivernaleAuPréChevauxTrait&amp;$FD162,Règles_chevaux_trait[Ration]&amp;Règles_chevaux_trait[Aliment],0)),0),0)*SUM(TotalChevauxTrait_12_24mois)*21)</f>
        <v>0</v>
      </c>
      <c r="FH162" s="1285">
        <f t="array" ref="FH162">IF(OR(ChoixRationHivernaleComplèteChevauxTrait=OUI,ChoixRationHivernaleComplèteChevauxTrait="",ChoixChevauxTraitPréHiver=NON),0,IFERROR(IF(OR(AND(INDEX(Règles_chevaux_trait[Specificite],MATCH(RationHivernaleAuPréChevauxTrait&amp;$FD162,Règles_chevaux_trait[Ration]&amp;Règles_chevaux_trait[Aliment],0))="s1",IF($FD162=Spécificité1ChevauxTrait,1)),
AND(INDEX(Règles_chevaux_trait[Specificite],MATCH(RationHivernaleAuPréChevauxTrait&amp;$FD162,Règles_chevaux_trait[Ration]&amp;Règles_chevaux_trait[Aliment],0))="s2",IF($FD162=Spécificité2ChevauxTrait,1)),
INDEX(Règles_chevaux_trait[Specificite],MATCH(RationHivernaleAuPréChevauxTrait&amp;$FD162,Règles_chevaux_trait[Ration]&amp;Règles_chevaux_trait[Aliment],0))="c"),
INDEX(Règles_chevaux_trait[Valeur 0-12],MATCH(RationHivernaleAuPréChevauxTrait&amp;$FD162,Règles_chevaux_trait[Ration]&amp;Règles_chevaux_trait[Aliment],0)),0),0)*SUM(TotalPoulainsTrait)*21)</f>
        <v>0</v>
      </c>
      <c r="FI162" s="1285">
        <f t="shared" si="53"/>
        <v>0</v>
      </c>
      <c r="FJ162" s="1345"/>
      <c r="FK162" s="1345"/>
      <c r="FL162" s="1345"/>
      <c r="FM162" s="1321"/>
      <c r="FN162" s="1083" t="str">
        <f t="shared" si="54"/>
        <v>Paille</v>
      </c>
      <c r="FO162" s="1283">
        <f t="array" ref="FO162">IF(OR(ChoixRationHivernaleComplètePoneys=OUI,ChoixRationHivernaleComplètePoneys="",ChoixPoneysPréHiver=NON),0,IFERROR(IF(OR(AND(INDEX(Règles_poneys[Specificite],MATCH(RationHivernaleAuPréPoneys&amp;$FN162,Règles_poneys[Ration]&amp;Règles_poneys[Aliment],0))="s1",IF($FN162=Spécificité1Poneys,1)),
AND(INDEX(Règles_poneys[Specificite],MATCH(RationHivernaleAuPréPoneys&amp;$FN162,Règles_poneys[Ration]&amp;Règles_poneys[Aliment],0))="s2",IF($FN162=Spécificité2Poneys,1)),
INDEX(Règles_poneys[Specificite],MATCH(RationHivernaleAuPréPoneys&amp;$FN162,Règles_poneys[Ration]&amp;Règles_poneys[Aliment],0))="c"),
INDEX(Règles_poneys[Valeur 36 et plus],MATCH(RationHivernaleAuPréPoneys&amp;$FN162,Règles_poneys[Ration]&amp;Règles_poneys[Aliment],0)),0),0)*SUM(TotalPoneysAdultes)*21)</f>
        <v>0</v>
      </c>
      <c r="FP162" s="1283">
        <f t="array" ref="FP162">IF(OR(ChoixRationHivernaleComplètePoneys=OUI,ChoixRationHivernaleComplètePoneys="",ChoixPoneysPréHiver=NON),0,IFERROR(IF(OR(AND(INDEX(Règles_poneys[Specificite],MATCH(RationHivernaleAuPréPoneys&amp;$FN162,Règles_poneys[Ration]&amp;Règles_poneys[Aliment],0))="s1",IF($FN162=Spécificité1Poneys,1)),
AND(INDEX(Règles_poneys[Specificite],MATCH(RationHivernaleAuPréPoneys&amp;$FN162,Règles_poneys[Ration]&amp;Règles_poneys[Aliment],0))="s2",IF($FN162=Spécificité2Poneys,1)),
INDEX(Règles_poneys[Specificite],MATCH(RationHivernaleAuPréPoneys&amp;$FN162,Règles_poneys[Ration]&amp;Règles_poneys[Aliment],0))="c"),
INDEX(Règles_poneys[Valeur 24-36],MATCH(RationHivernaleAuPréPoneys&amp;$FN162,Règles_poneys[Ration]&amp;Règles_poneys[Aliment],0)),0),0)*SUM(TotalPoneys_24_36mois)*21)</f>
        <v>0</v>
      </c>
      <c r="FQ162" s="1283">
        <f t="array" ref="FQ162">IF(OR(ChoixRationHivernaleComplètePoneys=OUI,ChoixRationHivernaleComplètePoneys="",ChoixPoneysPréHiver=NON),0,IFERROR(IF(OR(AND(INDEX(Règles_poneys[Specificite],MATCH(RationHivernaleAuPréPoneys&amp;$FN162,Règles_poneys[Ration]&amp;Règles_poneys[Aliment],0))="s1",IF($FN162=Spécificité1Poneys,1)),
AND(INDEX(Règles_poneys[Specificite],MATCH(RationHivernaleAuPréPoneys&amp;$FN162,Règles_poneys[Ration]&amp;Règles_poneys[Aliment],0))="s2",IF($FN162=Spécificité2Poneys,1)),
INDEX(Règles_poneys[Specificite],MATCH(RationHivernaleAuPréPoneys&amp;$FN162,Règles_poneys[Ration]&amp;Règles_poneys[Aliment],0))="c"),
INDEX(Règles_poneys[Valeur 12-24],MATCH(RationHivernaleAuPréPoneys&amp;$FN162,Règles_poneys[Ration]&amp;Règles_poneys[Aliment],0)),0),0)*SUM(TotalPoneys_12_24mois)*21)</f>
        <v>0</v>
      </c>
      <c r="FR162" s="1286">
        <f t="array" ref="FR162">IF(OR(ChoixRationHivernaleComplètePoneys=OUI,ChoixRationHivernaleComplètePoneys="",ChoixPoneysPréHiver=NON),0,IFERROR(IF(OR(AND(INDEX(Règles_poneys[Specificite],MATCH(RationHivernaleAuPréPoneys&amp;$FN162,Règles_poneys[Ration]&amp;Règles_poneys[Aliment],0))="s1",IF($FN162=Spécificité1Poneys,1)),
AND(INDEX(Règles_poneys[Specificite],MATCH(RationHivernaleAuPréPoneys&amp;$FN162,Règles_poneys[Ration]&amp;Règles_poneys[Aliment],0))="s2",IF($FN162=Spécificité2Poneys,1)),
INDEX(Règles_poneys[Specificite],MATCH(RationHivernaleAuPréPoneys&amp;$FN162,Règles_poneys[Ration]&amp;Règles_poneys[Aliment],0))="c"),
INDEX(Règles_poneys[Valeur 0-12],MATCH(RationHivernaleAuPréPoneys&amp;$FN162,Règles_poneys[Ration]&amp;Règles_poneys[Aliment],0)),0),0)*SUM(TotalPoulainsPoneys)*21)</f>
        <v>0</v>
      </c>
      <c r="FS162" s="1286">
        <f t="shared" si="52"/>
        <v>0</v>
      </c>
      <c r="FT162" s="1345"/>
      <c r="FU162" s="1345"/>
      <c r="FV162" s="1345"/>
      <c r="FW162" s="1082" t="str">
        <f t="shared" si="49"/>
        <v>Seigle</v>
      </c>
      <c r="FX162" s="1282">
        <f t="array" ref="FX162">SUM((IF(QualitéAlimentsGavageOison_0_1_mois=BONNE,VLOOKUP("Seigle",AlimentsGavageOies[],5,FALSE),0)+(IF(QualitéAlimentsGavageCaneton_0_1_mois=BONNE,VLOOKUP("Seigle",AlimentsGavageCanards[],5,FALSE),0)+(IF(QualitéAlimentsGavageOison_1_2_mois=BONNE,VLOOKUP("Seigle",AlimentsGavageOies[],4,FALSE),0)+(IF(QualitéAlimentsGavageCaneton_1_2_mois=BONNE,VLOOKUP("Seigle",AlimentsGavageCanards[],4,FALSE),0)+(IF(QualitéAlimentsGavageOison_2_3_mois=BONNE,VLOOKUP("Seigle",AlimentsGavageOies[],3,FALSE),0)+(IF(QualitéAlimentsGavageCaneton_2_3_mois=BONNE,VLOOKUP("Seigle",AlimentsGavageCanards[],3,FALSE),0)+(IF(QualitéAlimentsGavageJeunesOies=BONNE,VLOOKUP("Seigle",AlimentsGavageOies[],2,FALSE),0)+(IF(QualitéAlimentsGavageJeuneCanard=BONNE,VLOOKUP("Seigle",AlimentsGavageCanards[],2,FALSE),0))))))))))</f>
        <v>0</v>
      </c>
      <c r="FY162" s="1282">
        <f t="array" ref="FY162">SUM((IF(QualitéAlimentsGavageOison_0_1_mois=MOYENNE,VLOOKUP("Seigle",AlimentsGavageOies[],5,FALSE),0)+(IF(QualitéAlimentsGavageCaneton_0_1_mois=MOYENNE,VLOOKUP("Seigle",AlimentsGavageCanards[],5,FALSE),0)+(IF(QualitéAlimentsGavageOison_1_2_mois=MOYENNE,VLOOKUP("Seigle",AlimentsGavageOies[],4,FALSE),0)+(IF(QualitéAlimentsGavageCaneton_1_2_mois=MOYENNE,VLOOKUP("Seigle",AlimentsGavageCanards[],4,FALSE),0)+(IF(QualitéAlimentsGavageOison_2_3_mois=MOYENNE,VLOOKUP("Seigle",AlimentsGavageOies[],3,FALSE),0)+(IF(QualitéAlimentsGavageCaneton_2_3_mois=MOYENNE,VLOOKUP("Seigle",AlimentsGavageCanards[],3,FALSE),0)+(IF(QualitéAlimentsGavageJeunesOies=MOYENNE,VLOOKUP("Seigle",AlimentsGavageOies[],2,FALSE),0)+(IF(QualitéAlimentsGavageJeuneCanard=MOYENNE,VLOOKUP("Seigle",AlimentsGavageCanards[],2,FALSE),0))))))))))</f>
        <v>0</v>
      </c>
      <c r="FZ162" s="1282">
        <f t="array" ref="FZ162">SUM((IF(QualitéAlimentsGavageOison_0_1_mois=MAUVAISE,VLOOKUP("Seigle",AlimentsGavageOies[],5,FALSE),0)+(IF(QualitéAlimentsGavageCaneton_0_1_mois=MAUVAISE,VLOOKUP("Seigle",AlimentsGavageCanards[],5,FALSE),0)+(IF(QualitéAlimentsGavageOison_1_2_mois=MAUVAISE,VLOOKUP("Seigle",AlimentsGavageOies[],4,FALSE),0)+(IF(QualitéAlimentsGavageCaneton_1_2_mois=MAUVAISE,VLOOKUP("Seigle",AlimentsGavageCanards[],4,FALSE),0)+(IF(QualitéAlimentsGavageOison_2_3_mois=MAUVAISE,VLOOKUP("Seigle",AlimentsGavageOies[],3,FALSE),0)+(IF(QualitéAlimentsGavageCaneton_2_3_mois=MAUVAISE,VLOOKUP("Seigle",AlimentsGavageCanards[],3,FALSE),0)+(IF(QualitéAlimentsGavageJeunesOies=MAUVAISE,VLOOKUP("Seigle",AlimentsGavageOies[],2,FALSE),0)+(IF(QualitéAlimentsGavageJeuneCanard=MAUVAISE,VLOOKUP("Seigle",AlimentsGavageCanards[],2,FALSE),0))))))))))</f>
        <v>0</v>
      </c>
      <c r="GA162" s="1345"/>
      <c r="GB162" s="1345"/>
      <c r="GC162" s="1321"/>
      <c r="GD162" s="1321"/>
      <c r="GE162" s="1321"/>
      <c r="GF162" s="1321"/>
      <c r="GG162" s="1321" t="s">
        <v>1349</v>
      </c>
      <c r="GH162" s="1321" t="s">
        <v>1349</v>
      </c>
      <c r="GI162" s="1321" t="s">
        <v>1349</v>
      </c>
      <c r="GJ162" s="1321" t="s">
        <v>1349</v>
      </c>
      <c r="GK162" s="1321" t="s">
        <v>1349</v>
      </c>
      <c r="GL162" s="1321" t="s">
        <v>1349</v>
      </c>
      <c r="GM162" s="1321" t="s">
        <v>1349</v>
      </c>
      <c r="GN162" s="1321" t="s">
        <v>1349</v>
      </c>
      <c r="GO162" s="1321" t="s">
        <v>1349</v>
      </c>
      <c r="GP162" s="1321" t="s">
        <v>1349</v>
      </c>
      <c r="GQ162" s="1321" t="s">
        <v>1349</v>
      </c>
      <c r="GR162" s="1321" t="s">
        <v>1349</v>
      </c>
      <c r="GS162" s="1321" t="s">
        <v>1349</v>
      </c>
      <c r="GT162" s="1321" t="s">
        <v>1349</v>
      </c>
      <c r="GU162" s="1321" t="s">
        <v>1349</v>
      </c>
      <c r="GV162" s="1321" t="s">
        <v>1349</v>
      </c>
      <c r="GW162" s="1321"/>
      <c r="GX162" s="1321"/>
      <c r="GY162" s="1321"/>
      <c r="GZ162" s="1321"/>
      <c r="HA162" s="1321"/>
      <c r="HB162" s="1321"/>
      <c r="HC162" s="1321"/>
      <c r="HD162" s="1321"/>
      <c r="HE162" s="1321"/>
      <c r="HF162" s="1321"/>
      <c r="HG162" s="1321"/>
      <c r="HH162" s="1321"/>
      <c r="HI162" s="1321"/>
      <c r="HJ162" s="1321"/>
      <c r="HK162" s="1321"/>
      <c r="HL162" s="1321"/>
      <c r="HM162" s="1321"/>
      <c r="HN162" s="1321"/>
      <c r="HO162" s="1321"/>
      <c r="HP162" s="1321"/>
      <c r="HQ162" s="1321"/>
      <c r="HR162" s="1321"/>
      <c r="HS162" s="1321"/>
      <c r="HT162" s="1321"/>
      <c r="HU162" s="1321"/>
      <c r="HV162" s="1321"/>
      <c r="HW162" s="1321"/>
      <c r="HX162" s="1321"/>
      <c r="HY162" s="1321"/>
      <c r="HZ162" s="1321"/>
      <c r="IA162" s="1321"/>
      <c r="IB162" s="1321"/>
      <c r="IC162" s="1321"/>
      <c r="ID162" s="1321"/>
      <c r="IE162" s="1321"/>
      <c r="IF162" s="1321"/>
      <c r="IG162" s="1321"/>
      <c r="IH162" s="1321"/>
      <c r="II162" s="1321"/>
      <c r="IJ162" s="1321"/>
      <c r="IK162" s="1321"/>
      <c r="IL162" s="1321"/>
      <c r="IM162" s="1321"/>
      <c r="IN162" s="1368"/>
    </row>
    <row r="163" spans="1:248" ht="12.75" customHeight="1" x14ac:dyDescent="0.2">
      <c r="A163" s="1307" t="s">
        <v>67</v>
      </c>
      <c r="B163" s="1209">
        <v>5.0000000000000001E-3</v>
      </c>
      <c r="C163" s="1321"/>
      <c r="D163" s="1321"/>
      <c r="E163" s="1321"/>
      <c r="F163" s="1149" t="s">
        <v>315</v>
      </c>
      <c r="G163" s="1149">
        <v>25</v>
      </c>
      <c r="H163" s="1321"/>
      <c r="I163" s="1336"/>
      <c r="J163" s="1336"/>
      <c r="K163" s="1336"/>
      <c r="L163" s="1336"/>
      <c r="M163" s="1336"/>
      <c r="N163" s="1336"/>
      <c r="O163" s="1336"/>
      <c r="P163" s="1336"/>
      <c r="Q163" s="1336"/>
      <c r="R163" s="1321"/>
      <c r="S163" s="1321"/>
      <c r="T163" s="1321"/>
      <c r="U163" s="1321"/>
      <c r="V163" s="1321"/>
      <c r="W163" s="1321"/>
      <c r="X163" s="1321"/>
      <c r="Y163" s="1321"/>
      <c r="Z163" s="1321"/>
      <c r="AA163" s="1321"/>
      <c r="AB163" s="1321"/>
      <c r="AC163" s="1321"/>
      <c r="AD163" s="1321"/>
      <c r="AE163" s="1321"/>
      <c r="AF163" s="1321"/>
      <c r="AG163" s="1321"/>
      <c r="AH163" s="1321"/>
      <c r="AI163" s="1321"/>
      <c r="AJ163" s="1321"/>
      <c r="AK163" s="1321"/>
      <c r="AL163" s="1321"/>
      <c r="AM163" s="1321"/>
      <c r="AN163" s="1321"/>
      <c r="AO163" s="1321"/>
      <c r="AP163" s="1321"/>
      <c r="AQ163" s="1321"/>
      <c r="AR163" s="1321"/>
      <c r="AS163" s="1321"/>
      <c r="AT163" s="1321"/>
      <c r="AU163" s="1321"/>
      <c r="AV163" s="1321"/>
      <c r="AW163" s="1321"/>
      <c r="AX163" s="1321"/>
      <c r="AY163" s="1321"/>
      <c r="AZ163" s="1321"/>
      <c r="BA163" s="1321"/>
      <c r="BB163" s="1236" t="s">
        <v>1315</v>
      </c>
      <c r="BC163" s="1190" t="s">
        <v>730</v>
      </c>
      <c r="BD163" s="1190" t="s">
        <v>1252</v>
      </c>
      <c r="BE163" s="1237">
        <v>10</v>
      </c>
      <c r="BF163" s="1237">
        <v>9</v>
      </c>
      <c r="BG163" s="1237">
        <v>8</v>
      </c>
      <c r="BH163" s="1237">
        <v>7</v>
      </c>
      <c r="BI163" s="1237">
        <v>6</v>
      </c>
      <c r="BJ163" s="1237">
        <v>5</v>
      </c>
      <c r="BK163" s="1238">
        <v>0</v>
      </c>
      <c r="BL163" s="1348"/>
      <c r="BM163" s="1346"/>
      <c r="BN163" s="1321"/>
      <c r="BO163" s="1321"/>
      <c r="BP163" s="1321"/>
      <c r="BQ163" s="1321"/>
      <c r="BR163" s="1321"/>
      <c r="BS163" s="1321"/>
      <c r="BT163" s="1321"/>
      <c r="BU163" s="1321"/>
      <c r="BV163" s="1345"/>
      <c r="BW163" s="1345"/>
      <c r="BX163" s="1075" t="str">
        <f t="shared" si="57"/>
        <v>Minéraux + vitamines</v>
      </c>
      <c r="BY163" s="1075">
        <f t="array" ref="BY163">IF(ChoixRationComplèteCaprins=OUI,0,IFERROR(IF(OR(AND(INDEX(Règles_caprins[Specificite],MATCH(ChoixRationCaprins&amp;$BX163,Règles_caprins[Ration]&amp;Règles_caprins[Aliment],0))="s1",IF($BX163=Spécificité1Caprins,1)),
INDEX(Règles_caprins[Specificite],MATCH(ChoixRationCaprins&amp;$BX163,Règles_caprins[Ration]&amp;Règles_caprins[Aliment],0))="c"),
INDEX(Règles_caprins[Valeur 12 et plus],MATCH(ChoixRationCaprins&amp;$BX163,Règles_caprins[Ration]&amp;Règles_caprins[Aliment],0)),0),0)*TotalChèvres*SUM(NbreJoursNourrirCaprins))</f>
        <v>0</v>
      </c>
      <c r="BZ163" s="1075">
        <f t="array" ref="BZ163">IF(ChoixRationComplèteCaprins=OUI,0,IFERROR(IF(OR(AND(INDEX(Règles_caprins[Specificite],MATCH(ChoixRationCaprins&amp;$BX163,Règles_caprins[Ration]&amp;Règles_caprins[Aliment],0))="s1",IF($BX163=Spécificité1Caprins,1)),
INDEX(Règles_caprins[Specificite],MATCH(ChoixRationCaprins&amp;$BX163,Règles_caprins[Ration]&amp;Règles_caprins[Aliment],0))="c"),
INDEX(Règles_caprins[Valeur 6-12],MATCH(ChoixRationCaprins&amp;$BX163,Règles_caprins[Ration]&amp;Règles_caprins[Aliment],0)),0),0)*jeune_chèvre_6_12_mois*SUM(NbreJoursNourrirCaprins))</f>
        <v>0</v>
      </c>
      <c r="CA163" s="1075">
        <f t="array" ref="CA163">IF(ChoixRationComplèteCaprins=OUI,0,IFERROR(IF(OR(AND(INDEX(Règles_caprins[Specificite],MATCH(ChoixRationCaprins&amp;$BX163,Règles_caprins[Ration]&amp;Règles_caprins[Aliment],0))="s1",IF($BX163=Spécificité1Caprins,1)),
INDEX(Règles_caprins[Specificite],MATCH(ChoixRationCaprins&amp;$BX163,Règles_caprins[Ration]&amp;Règles_caprins[Aliment],0))="c"),
INDEX(Règles_caprins[Valeur 3-6],MATCH(ChoixRationCaprins&amp;$BX163,Règles_caprins[Ration]&amp;Règles_caprins[Aliment],0)),0),0)*chevrette_3_6_mois*SUM(NbreJoursNourrirCaprins))</f>
        <v>0</v>
      </c>
      <c r="CB163" s="1075">
        <f t="array" ref="CB163">IF(ChoixRationComplèteCaprins=OUI,0,IFERROR(IF(OR(AND(INDEX(Règles_caprins[Specificite],MATCH(ChoixRationCaprins&amp;$BX163,Règles_caprins[Ration]&amp;Règles_caprins[Aliment],0))="s1",IF($BX163=Spécificité1Caprins,1)),
INDEX(Règles_caprins[Specificite],MATCH(ChoixRationCaprins&amp;$BX163,Règles_caprins[Ration]&amp;Règles_caprins[Aliment],0))="c"),
INDEX(Règles_caprins[Valeur 0-3],MATCH(ChoixRationCaprins&amp;$BX163,Règles_caprins[Ration]&amp;Règles_caprins[Aliment],0)),0),0)*chevrette_0_3_mois*SUM(NbreJoursNourrirCaprins))</f>
        <v>0</v>
      </c>
      <c r="CC163" s="1075">
        <f t="shared" si="56"/>
        <v>0</v>
      </c>
      <c r="CD163" s="1345"/>
      <c r="CE163" s="1345"/>
      <c r="CF163" s="1345"/>
      <c r="CG163" s="1345"/>
      <c r="CH163" s="1345"/>
      <c r="CI163" s="1321"/>
      <c r="CJ163" s="1076" t="str">
        <f t="shared" si="51"/>
        <v>Pulpe déshydratée de betterave</v>
      </c>
      <c r="CK163" s="1267">
        <f t="array" ref="CK163">SUM((IF(QualitéAlimentsPorceletMâle_0_1_mois=BONNE,VLOOKUP("Pulpe déshydratée de betterave",AlimentsRationPorcinsMâles[],6,FALSE),0)+(IF(QualitéAlimentsPorceletFemelle_0_1_mois=BONNE,VLOOKUP("Pulpe déshydratée de betterave",AlimentsRationPorcinsFemelles[],6,FALSE),0)+(IF(QualitéAlimentsPorceletMâle_1_3_mois=BONNE,VLOOKUP("Pulpe déshydratée de betterave",AlimentsRationPorcinsMâles[],5,FALSE),0)+(IF(QualitéAlimentsPorceletFemelle_1_3_mois=BONNE,VLOOKUP("Pulpe déshydratée de betterave",AlimentsRationPorcinsFemelles[],5,FALSE),0)+(IF(QualitéAlimentsJeuneVerrat_3_6_mois=BONNE,VLOOKUP("Pulpe déshydratée de betterave",AlimentsRationPorcinsMâles[],4,FALSE),0)+(IF(QualitéAlimentsJeuneTruie_3_6_mois=BONNE,VLOOKUP("Pulpe déshydratée de betterave",AlimentsRationPorcinsFemelles[],4,FALSE),0)+(IF(QualitéAlimentsJeuneVerrat_6_12_mois=BONNE,VLOOKUP("Pulpe déshydratée de betterave",AlimentsRationPorcinsMâles[],3,FALSE),0)+(IF(QualitéAlimentsJeuneTruie_6_12_mois=BONNE,VLOOKUP("Pulpe déshydratée de betterave",AlimentsRationPorcinsFemelles[],3,FALSE),0)+(IF(QualitéAlimentsVerrat=BONNE,VLOOKUP("Pulpe déshydratée de betterave",AlimentsRationPorcinsMâles[],2,FALSE),0)+(IF(QualitéAlimentsTruie=BONNE,VLOOKUP("Pulpe déshydratée de betterave",AlimentsRationPorcinsFemelles[],2,FALSE),0))))))))))))</f>
        <v>0</v>
      </c>
      <c r="CL163" s="1267">
        <f t="array" ref="CL163">SUM((IF(QualitéAlimentsPorceletMâle_0_1_mois=MOYENNE,VLOOKUP("Pulpe déshydratée de betterave",AlimentsRationPorcinsMâles[],6,FALSE),0)+(IF(QualitéAlimentsPorceletFemelle_0_1_mois=MOYENNE,VLOOKUP("Pulpe déshydratée de betterave",AlimentsRationPorcinsFemelles[],6,FALSE),0)+(IF(QualitéAlimentsPorceletMâle_1_3_mois=MOYENNE,VLOOKUP("Pulpe déshydratée de betterave",AlimentsRationPorcinsMâles[],5,FALSE),0)+(IF(QualitéAlimentsPorceletFemelle_1_3_mois=MOYENNE,VLOOKUP("Pulpe déshydratée de betterave",AlimentsRationPorcinsFemelles[],5,FALSE),0)+(IF(QualitéAlimentsJeuneVerrat_3_6_mois=MOYENNE,VLOOKUP("Pulpe déshydratée de betterave",AlimentsRationPorcinsMâles[],4,FALSE),0)+(IF(QualitéAlimentsJeuneTruie_3_6_mois=MOYENNE,VLOOKUP("Pulpe déshydratée de betterave",AlimentsRationPorcinsFemelles[],4,FALSE),0)+(IF(QualitéAlimentsJeuneVerrat_6_12_mois=MOYENNE,VLOOKUP("Pulpe déshydratée de betterave",AlimentsRationPorcinsMâles[],3,FALSE),0)+(IF(QualitéAlimentsJeuneTruie_6_12_mois=MOYENNE,VLOOKUP("Pulpe déshydratée de betterave",AlimentsRationPorcinsFemelles[],3,FALSE),0)+(IF(QualitéAlimentsVerrat=MOYENNE,VLOOKUP("Pulpe déshydratée de betterave",AlimentsRationPorcinsMâles[],2,FALSE),0)+(IF(QualitéAlimentsTruie=MOYENNE,VLOOKUP("Pulpe déshydratée de betterave",AlimentsRationPorcinsFemelles[],2,FALSE),0))))))))))))</f>
        <v>0</v>
      </c>
      <c r="CM163" s="1267">
        <f t="array" ref="CM163">SUM((IF(QualitéAlimentsPorceletMâle_0_1_mois=MAUVAISE,VLOOKUP("Pulpe déshydratée de betterave",AlimentsRationPorcinsMâles[],6,FALSE),0)+(IF(QualitéAlimentsPorceletFemelle_0_1_mois=MAUVAISE,VLOOKUP("Pulpe déshydratée de betterave",AlimentsRationPorcinsFemelles[],6,FALSE),0)+(IF(QualitéAlimentsPorceletMâle_1_3_mois=MAUVAISE,VLOOKUP("Pulpe déshydratée de betterave",AlimentsRationPorcinsMâles[],5,FALSE),0)+(IF(QualitéAlimentsPorceletFemelle_1_3_mois=MAUVAISE,VLOOKUP("Pulpe déshydratée de betterave",AlimentsRationPorcinsFemelles[],5,FALSE),0)+(IF(QualitéAlimentsJeuneVerrat_3_6_mois=MAUVAISE,VLOOKUP("Pulpe déshydratée de betterave",AlimentsRationPorcinsMâles[],4,FALSE),0)+(IF(QualitéAlimentsJeuneTruie_3_6_mois=MAUVAISE,VLOOKUP("Pulpe déshydratée de betterave",AlimentsRationPorcinsFemelles[],4,FALSE),0)+(IF(QualitéAlimentsJeuneVerrat_6_12_mois=MAUVAISE,VLOOKUP("Pulpe déshydratée de betterave",AlimentsRationPorcinsMâles[],3,FALSE),0)+(IF(QualitéAlimentsJeuneTruie_6_12_mois=MAUVAISE,VLOOKUP("Pulpe déshydratée de betterave",AlimentsRationPorcinsFemelles[],3,FALSE),0)+(IF(QualitéAlimentsVerrat=MAUVAISE,VLOOKUP("Pulpe déshydratée de betterave",AlimentsRationPorcinsMâles[],2,FALSE),0)+(IF(QualitéAlimentsTruie=MAUVAISE,VLOOKUP("Pulpe déshydratée de betterave",AlimentsRationPorcinsFemelles[],2,FALSE),0))))))))))))</f>
        <v>0</v>
      </c>
      <c r="CN163" s="1320"/>
      <c r="CO163" s="1320"/>
      <c r="CP163" s="1345"/>
      <c r="CQ163" s="1321"/>
      <c r="CR163" s="1321"/>
      <c r="CS163" s="1076" t="str">
        <f t="shared" si="66"/>
        <v>concentré jeunes lapins</v>
      </c>
      <c r="CT163" s="1267">
        <f t="array" ref="CT163">SUM((IF(QualitéAlimentsLapereauMâle_0_1_mois=BONNE,VLOOKUP("Concentré jeunes lapins",AlimentsRationLapinsMâles[],4,FALSE),0)+(IF(QualitéAlimentsLapereauFemelle_0_1_mois=BONNE,VLOOKUP("Concentré jeunes lapins",AlimentsRationLapinsFemelles[],4,FALSE),0)+(IF(QualitéAlimentsJeuneLapin=BONNE,VLOOKUP("Concentré jeunes lapins",AlimentsRationLapinsMâles[],3,FALSE),0)+(IF(QualitéAlimentsJeuneLapine=BONNE,VLOOKUP("Concentré jeunes lapins",AlimentsRationLapinsFemelles[],3,FALSE),0)+(IF(QualitéAlimentsLapin=BONNE,VLOOKUP("Concentré jeunes lapins",AlimentsRationLapinsMâles[],2,FALSE),0)+(IF(QualitéAlimentsLapine=BONNE,VLOOKUP("Concentré jeunes lapins",AlimentsRationLapinsFemelles[],2,FALSE),0))))))))</f>
        <v>0</v>
      </c>
      <c r="CU163" s="1267">
        <f t="array" ref="CU163">SUM((IF(QualitéAlimentsLapereauMâle_0_1_mois=MOYENNE,VLOOKUP("Concentré jeunes lapins",AlimentsRationLapinsMâles[],4,FALSE),0)+(IF(QualitéAlimentsLapereauFemelle_0_1_mois=MOYENNE,VLOOKUP("Concentré jeunes lapins",AlimentsRationLapinsFemelles[],4,FALSE),0)+(IF(QualitéAlimentsJeuneLapin=MOYENNE,VLOOKUP("Concentré jeunes lapins",AlimentsRationLapinsMâles[],3,FALSE),0)+(IF(QualitéAlimentsJeuneLapine=MOYENNE,VLOOKUP("Concentré jeunes lapins",AlimentsRationLapinsFemelles[],3,FALSE),0)+(IF(QualitéAlimentsLapin=MOYENNE,VLOOKUP("Concentré jeunes lapins",AlimentsRationLapinsMâles[],2,FALSE),0)+(IF(QualitéAlimentsLapine=MOYENNE,VLOOKUP("Concentré jeunes lapins",AlimentsRationLapinsFemelles[],2,FALSE),0))))))))</f>
        <v>0</v>
      </c>
      <c r="CV163" s="1267">
        <f t="array" ref="CV163">SUM((IF(QualitéAlimentsLapereauMâle_0_1_mois=MAUVAISE,VLOOKUP("Concentré jeunes lapins",AlimentsRationLapinsMâles[],4,FALSE),0)+(IF(QualitéAlimentsLapereauFemelle_0_1_mois=MAUVAISE,VLOOKUP("Concentré jeunes lapins",AlimentsRationLapinsFemelles[],4,FALSE),0)+(IF(QualitéAlimentsJeuneLapin=MAUVAISE,VLOOKUP("Concentré jeunes lapins",AlimentsRationLapinsMâles[],3,FALSE),0)+(IF(QualitéAlimentsJeuneLapine=MAUVAISE,VLOOKUP("Concentré jeunes lapins",AlimentsRationLapinsFemelles[],3,FALSE),0)+(IF(QualitéAlimentsLapin=MAUVAISE,VLOOKUP("Concentré jeunes lapins",AlimentsRationLapinsMâles[],2,FALSE),0)+(IF(QualitéAlimentsLapine=MAUVAISE,VLOOKUP("Concentré jeunes lapins",AlimentsRationLapinsFemelles[],2,FALSE),0))))))))</f>
        <v>0</v>
      </c>
      <c r="CW163" s="1321"/>
      <c r="CX163" s="1321"/>
      <c r="CY163" s="1321"/>
      <c r="CZ163" s="1075" t="str">
        <f t="shared" si="65"/>
        <v>concentré jeunes porcins</v>
      </c>
      <c r="DA163" s="1269">
        <f t="array" ref="DA163">SUM((IF(QualitéAlimentsPoussinMâle_0_1_mois=BONNE,VLOOKUP("Concentré jeunes porcins",AlimentsRationVolaillesMâles[],4,FALSE),0)+(IF(QualitéAlimentsPoussinFemelle_0_1_mois=BONNE,VLOOKUP("Concentré jeunes porcins",AlimentsRationVolaillesFemelles[],4,FALSE),0)+(IF(QualitéAlimentsJeuneCoq=BONNE,VLOOKUP("Concentré jeunes porcins",AlimentsRationVolaillesMâles[],3,FALSE),0)+(IF(QualitéAlimentsJeunePoule=BONNE,VLOOKUP("Concentré jeunes porcins",AlimentsRationVolaillesFemelles[],3,FALSE),0)+(IF(QualitéAlimentsCoq=BONNE,VLOOKUP("Concentré jeunes porcins",AlimentsRationVolaillesMâles[],2,FALSE),0)+(IF(QualitéAlimentsPoule=BONNE,VLOOKUP("Concentré jeunes porcins",AlimentsRationVolaillesFemelles[],2,FALSE),0))))))))</f>
        <v>0</v>
      </c>
      <c r="DB163" s="1269">
        <f t="array" ref="DB163">SUM((IF(QualitéAlimentsPoussinMâle_0_1_mois=MOYENNE,VLOOKUP("Concentré jeunes porcins",AlimentsRationVolaillesMâles[],4,FALSE),0)+(IF(QualitéAlimentsPoussinFemelle_0_1_mois=MOYENNE,VLOOKUP("Concentré jeunes porcins",AlimentsRationVolaillesFemelles[],4,FALSE),0)+(IF(QualitéAlimentsJeuneCoq=MOYENNE,VLOOKUP("Concentré jeunes porcins",AlimentsRationVolaillesMâles[],3,FALSE),0)+(IF(QualitéAlimentsJeunePoule=MOYENNE,VLOOKUP("Concentré jeunes porcins",AlimentsRationVolaillesFemelles[],3,FALSE),0)+(IF(QualitéAlimentsCoq=MOYENNE,VLOOKUP("Concentré jeunes porcins",AlimentsRationVolaillesMâles[],2,FALSE),0)+(IF(QualitéAlimentsPoule=MOYENNE,VLOOKUP("Concentré jeunes porcins",AlimentsRationVolaillesFemelles[],2,FALSE),0))))))))</f>
        <v>0</v>
      </c>
      <c r="DC163" s="1269">
        <f t="array" ref="DC163">SUM((IF(QualitéAlimentsPoussinMâle_0_1_mois=MAUVAISE,VLOOKUP("Concentré jeunes porcins",AlimentsRationVolaillesMâles[],4,FALSE),0)+(IF(QualitéAlimentsPoussinFemelle_0_1_mois=MAUVAISE,VLOOKUP("Concentré jeunes porcins",AlimentsRationVolaillesFemelles[],4,FALSE),0)+(IF(QualitéAlimentsJeuneCoq=MAUVAISE,VLOOKUP("Concentré jeunes porcins",AlimentsRationVolaillesMâles[],3,FALSE),0)+(IF(QualitéAlimentsJeunePoule=MAUVAISE,VLOOKUP("Concentré jeunes porcins",AlimentsRationVolaillesFemelles[],3,FALSE),0)+(IF(QualitéAlimentsCoq=MAUVAISE,VLOOKUP("Concentré jeunes porcins",AlimentsRationVolaillesMâles[],2,FALSE),0)+(IF(QualitéAlimentsPoule=MAUVAISE,VLOOKUP("Concentré jeunes porcins",AlimentsRationVolaillesFemelles[],2,FALSE),0))))))))</f>
        <v>0</v>
      </c>
      <c r="DD163" s="1320"/>
      <c r="DE163" s="1321"/>
      <c r="DF163" s="1321"/>
      <c r="DG163" s="1075" t="str">
        <f t="shared" si="58"/>
        <v>Minéraux + vitamines</v>
      </c>
      <c r="DH163" s="1269">
        <f t="array" ref="DH163">SUM((IF(QualitéAlimentsPintadeauMâle_0_1_mois=BONNE,VLOOKUP("Minéraux + vitamines",AlimentsRationPintadesMâles[],4,FALSE),0)+(IF(QualitéAlimentsPintadeauFemelle_0_1_mois=BONNE,VLOOKUP("Minéraux + vitamines",AlimentsRationPintadesFemelles[],4,FALSE),0)+(IF(QualitéAlimentsJeunePintadeMâle=BONNE,VLOOKUP("Minéraux + vitamines",AlimentsRationPintadesMâles[],3,FALSE),0)+(IF(QualitéAlimentsJeunePintadeFemelle=BONNE,VLOOKUP("Minéraux + vitamines",AlimentsRationPintadesFemelles[],3,FALSE),0)+(IF(QualitéAlimentsPintadeMâle=BONNE,VLOOKUP("Minéraux + vitamines",AlimentsRationPintadesMâles[],2,FALSE),0)+(IF(QualitéAlimentsPintadeFemelle=BONNE,VLOOKUP("Minéraux + vitamines",AlimentsRationPintadesFemelles[],2,FALSE),0))))))))</f>
        <v>0</v>
      </c>
      <c r="DI163" s="1269">
        <f t="array" ref="DI163">SUM((IF(QualitéAlimentsPintadeauMâle_0_1_mois=MOYENNE,VLOOKUP("Minéraux + vitamines",AlimentsRationPintadesMâles[],4,FALSE),0)+(IF(QualitéAlimentsPintadeauFemelle_0_1_mois=MOYENNE,VLOOKUP("Minéraux + vitamines",AlimentsRationPintadesFemelles[],4,FALSE),0)+(IF(QualitéAlimentsJeunePintadeMâle=MOYENNE,VLOOKUP("Minéraux + vitamines",AlimentsRationPintadesMâles[],3,FALSE),0)+(IF(QualitéAlimentsJeunePintadeFemelle=MOYENNE,VLOOKUP("Minéraux + vitamines",AlimentsRationPintadesFemelles[],3,FALSE),0)+(IF(QualitéAlimentsPintadeMâle=MOYENNE,VLOOKUP("Minéraux + vitamines",AlimentsRationPintadesMâles[],2,FALSE),0)+(IF(QualitéAlimentsPintadeFemelle=MOYENNE,VLOOKUP("Minéraux + vitamines",AlimentsRationPintadesFemelles[],2,FALSE),0))))))))</f>
        <v>0</v>
      </c>
      <c r="DJ163" s="1269">
        <f t="array" ref="DJ163">SUM((IF(QualitéAlimentsPintadeauMâle_0_1_mois=MAUVAISE,VLOOKUP("Minéraux + vitamines",AlimentsRationPintadesMâles[],4,FALSE),0)+(IF(QualitéAlimentsPintadeauFemelle_0_1_mois=MAUVAISE,VLOOKUP("Minéraux + vitamines",AlimentsRationPintadesFemelles[],4,FALSE),0)+(IF(QualitéAlimentsJeunePintadeMâle=MAUVAISE,VLOOKUP("Minéraux + vitamines",AlimentsRationPintadesMâles[],3,FALSE),0)+(IF(QualitéAlimentsJeunePintadeFemelle=MAUVAISE,VLOOKUP("Minéraux + vitamines",AlimentsRationPintadesFemelles[],3,FALSE),0)+(IF(QualitéAlimentsPintadeMâle=MAUVAISE,VLOOKUP("Minéraux + vitamines",AlimentsRationPintadesMâles[],2,FALSE),0)+(IF(QualitéAlimentsPintadeFemelle=MAUVAISE,VLOOKUP("Minéraux + vitamines",AlimentsRationPintadesFemelles[],2,FALSE),0))))))))</f>
        <v>0</v>
      </c>
      <c r="DK163" s="1321"/>
      <c r="DL163" s="1321"/>
      <c r="DM163" s="1321"/>
      <c r="DN163" s="1075" t="s">
        <v>298</v>
      </c>
      <c r="DO163" s="1269">
        <f t="array" ref="DO163">IF(ChoixRationComplèteOvins=OUI,0,IFERROR(IF(OR(AND(INDEX(Règles_ovins[Specificite],MATCH(ChoixRationOvins&amp;$DN163,Règles_ovins[Ration]&amp;Règles_ovins[Aliment],0))="s1",IF($DN163=Spécificité1Ovins,1)),
AND(INDEX(Règles_ovins[Specificite],MATCH(ChoixRationOvins&amp;$DN163,Règles_ovins[Ration]&amp;Règles_ovins[Aliment],0))="s2",IF($DN163=Spécificité2Ovins,1)),
INDEX(Règles_ovins[Specificite],MATCH(ChoixRationOvins&amp;$DN163,Règles_ovins[Ration]&amp;Règles_ovins[Aliment],0))="c"),
INDEX(Règles_ovins[Valeur 12 et plus],MATCH(ChoixRationOvins&amp;$DN163,Règles_ovins[Ration]&amp;Règles_ovins[Aliment],0)),0),0)*IF(ChoixOvinsPréHiver=OUI,SUM(TotalOvinsAdultesRacesLaitières)*NbreJoursNourrirOvins,TotalBéliers*SUM(NbreJoursNourrirOvins)))</f>
        <v>0</v>
      </c>
      <c r="DP163" s="1269">
        <f t="array" ref="DP163">IF(ChoixRationComplèteOvins=OUI,0,IFERROR(IF(OR(AND(INDEX(Règles_ovins[Specificite],MATCH(ChoixRationOvins&amp;$DN163,Règles_ovins[Ration]&amp;Règles_ovins[Aliment],0))="s1",IF($DN163=Spécificité1Ovins,1)),
AND(INDEX(Règles_ovins[Specificite],MATCH(ChoixRationOvins&amp;$DN163,Règles_ovins[Ration]&amp;Règles_ovins[Aliment],0))="s2",IF($DN163=Spécificité2Ovins,1)),
INDEX(Règles_ovins[Specificite],MATCH(ChoixRationOvins&amp;$DN163,Règles_ovins[Ration]&amp;Règles_ovins[Aliment],0))="c"),
INDEX(Règles_ovins[Valeur 6-12],MATCH(ChoixRationOvins&amp;$DN163,Règles_ovins[Ration]&amp;Règles_ovins[Aliment],0)),0),0)*IF(ChoixOvinsPréHiver=OUI,SUM(TotalJeunesOvinsRacesLaitières)*NbreJoursNourrirOvins,TotalJeune_bélier_6_12_mois*SUM(NbreJoursNourrirOvins)))</f>
        <v>0</v>
      </c>
      <c r="DQ163" s="1269">
        <f t="array" ref="DQ163">IF(ChoixRationComplèteOvins=OUI,0,IFERROR(IF(OR(AND(INDEX(Règles_ovins[Specificite],MATCH(ChoixRationOvins&amp;$DN163,Règles_ovins[Ration]&amp;Règles_ovins[Aliment],0))="s1",IF($DN163=Spécificité1Ovins,1)),
AND(INDEX(Règles_ovins[Specificite],MATCH(ChoixRationOvins&amp;$DN163,Règles_ovins[Ration]&amp;Règles_ovins[Aliment],0))="s2",IF($DN163=Spécificité2Ovins,1)),
INDEX(Règles_ovins[Specificite],MATCH(ChoixRationOvins&amp;$DN163,Règles_ovins[Ration]&amp;Règles_ovins[Aliment],0))="c"),
INDEX(Règles_ovins[Valeur 3-6],MATCH(ChoixRationOvins&amp;$DN163,Règles_ovins[Ration]&amp;Règles_ovins[Aliment],0)),0),0)*IF(ChoixOvinsPréHiver=OUI,SUM(TotalOvins_3_6moisRacesLaitières)*NbreJoursNourrirOvins,TotalAgneau_3_6_mois*SUM(NbreJoursNourrirOvins)))</f>
        <v>0</v>
      </c>
      <c r="DR163" s="1269">
        <f t="array" ref="DR163">IF(ChoixRationComplèteOvins=OUI,0,IFERROR(IF(OR(AND(INDEX(Règles_ovins[Specificite],MATCH(ChoixRationOvins&amp;$DN163,Règles_ovins[Ration]&amp;Règles_ovins[Aliment],0))="s1",IF($DN163=Spécificité1Ovins,1)),
AND(INDEX(Règles_ovins[Specificite],MATCH(ChoixRationOvins&amp;$DN163,Règles_ovins[Ration]&amp;Règles_ovins[Aliment],0))="s2",IF($DN163=Spécificité2Ovins,1)),
INDEX(Règles_ovins[Specificite],MATCH(ChoixRationOvins&amp;$DN163,Règles_ovins[Ration]&amp;Règles_ovins[Aliment],0))="c"),
INDEX(Règles_ovins[Valeur 0-3],MATCH(ChoixRationOvins&amp;$DN163,Règles_ovins[Ration]&amp;Règles_ovins[Aliment],0)),0),0)*IF(ChoixOvinsPréHiver=OUI,SUM(TotalOvins_3_6moisRacesLaitières)*NbreJoursNourrirOvins,TotalAgneau_0_3_mois*SUM(NbreJoursNourrirOvins)))</f>
        <v>0</v>
      </c>
      <c r="DS163" s="1280">
        <f t="shared" si="61"/>
        <v>0</v>
      </c>
      <c r="DT163" s="1346"/>
      <c r="DU163" s="1346"/>
      <c r="DV163" s="1321"/>
      <c r="DW163" s="1321"/>
      <c r="DX163" s="1321"/>
      <c r="DY163" s="1321"/>
      <c r="DZ163" s="1321"/>
      <c r="EA163" s="1321"/>
      <c r="EB163" s="1321"/>
      <c r="EC163" s="1321"/>
      <c r="ED163" s="1345"/>
      <c r="EE163" s="1345"/>
      <c r="EF163" s="1321"/>
      <c r="EG163" s="1075" t="str">
        <f t="shared" si="63"/>
        <v>Féverole</v>
      </c>
      <c r="EH163" s="1269">
        <f t="array" ref="EH163">SUM((IF(QualitéAlimentsOisonMâle_0_3_mois=BONNE,VLOOKUP("Féverole",AlimentsRationOiesMâles[],4,FALSE),0)+(IF(QualitéAlimentsOisonFemelle_0_3_mois=BONNE,VLOOKUP("Féverole",AlimentsRationOiesFemelles[],4,FALSE),0)+(IF(QualitéAlimentsJeuneJars=BONNE,VLOOKUP("Féverole",AlimentsRationOiesMâles[],3,FALSE),0)+(IF(QualitéAlimentsJeuneOie=BONNE,VLOOKUP("Féverole",AlimentsRationOiesFemelles[],3,FALSE),0)+(IF(QualitéAlimentsJars=BONNE,VLOOKUP("Féverole",AlimentsRationOiesMâles[],2,FALSE),0)+(IF(QualitéAlimentsOie=BONNE,VLOOKUP("Féverole",AlimentsRationOiesFemelles[],2,FALSE),0))))))))</f>
        <v>0</v>
      </c>
      <c r="EI163" s="1269">
        <f t="array" ref="EI163">SUM((IF(QualitéAlimentsOisonMâle_0_3_mois=MOYENNE,VLOOKUP("Féverole",AlimentsRationOiesMâles[],4,FALSE),0)+(IF(QualitéAlimentsOisonFemelle_0_3_mois=MOYENNE,VLOOKUP("Féverole",AlimentsRationOiesFemelles[],4,FALSE),0)+(IF(QualitéAlimentsJeuneJars=MOYENNE,VLOOKUP("Féverole",AlimentsRationOiesMâles[],3,FALSE),0)+(IF(QualitéAlimentsJeuneOie=MOYENNE,VLOOKUP("Féverole",AlimentsRationOiesFemelles[],3,FALSE),0)+(IF(QualitéAlimentsJars=MOYENNE,VLOOKUP("Féverole",AlimentsRationOiesMâles[],2,FALSE),0)+(IF(QualitéAlimentsOie=MOYENNE,VLOOKUP("Féverole",AlimentsRationOiesFemelles[],2,FALSE),0))))))))</f>
        <v>0</v>
      </c>
      <c r="EJ163" s="1269">
        <f t="array" ref="EJ163">SUM((IF(QualitéAlimentsOisonMâle_0_3_mois=MAUVAISE,VLOOKUP("Féverole",AlimentsRationOiesMâles[],4,FALSE),0)+(IF(QualitéAlimentsOisonFemelle_0_3_mois=MAUVAISE,VLOOKUP("Féverole",AlimentsRationOiesFemelles[],4,FALSE),0)+(IF(QualitéAlimentsJeuneJars=MAUVAISE,VLOOKUP("Féverole",AlimentsRationOiesMâles[],3,FALSE),0)+(IF(QualitéAlimentsJeuneOie=MAUVAISE,VLOOKUP("Féverole",AlimentsRationOiesFemelles[],3,FALSE),0)+(IF(QualitéAlimentsJars=MAUVAISE,VLOOKUP("Féverole",AlimentsRationOiesMâles[],2,FALSE),0)+(IF(QualitéAlimentsOie=MAUVAISE,VLOOKUP("Féverole",AlimentsRationOiesFemelles[],2,FALSE),0))))))))</f>
        <v>0</v>
      </c>
      <c r="EK163" s="1345"/>
      <c r="EL163" s="1345"/>
      <c r="EM163" s="1321"/>
      <c r="EN163" s="1082" t="str">
        <f t="shared" si="62"/>
        <v>Foin</v>
      </c>
      <c r="EO163" s="1282">
        <f t="array" ref="EO163">SUM((IF(QualitéAlimentsCanetonMâle=BONNE,VLOOKUP("Foin",AlimentsRationCanardsMâles,4,FALSE),0)+(IF(QualitéAlimentsCanetonFemelle=BONNE,VLOOKUP("Foin",AlimentsRationCanardsFemelles,4,FALSE),0)+(IF(QualitéAlimentsJeuneCanard=BONNE,VLOOKUP("Foin",AlimentsRationCanardsMâles,3,FALSE),0)+(IF(QualitéAlimentsJeuneCane=BONNE,VLOOKUP("Foin",AlimentsRationCanardsFemelles,3,FALSE),0)+(IF(QualitéAlimentsCanard=BONNE,VLOOKUP("Foin",AlimentsRationCanardsMâles,2,FALSE),0)+(IF(QualitéAlimentsCane=BONNE,VLOOKUP("Foin",AlimentsRationCanardsFemelles,2,FALSE),0))))))))</f>
        <v>0</v>
      </c>
      <c r="EP163" s="1282">
        <f t="array" ref="EP163">SUM((IF(QualitéAlimentsCanetonMâle=MOYENNE,VLOOKUP("Foin",AlimentsRationCanardsMâles,4,FALSE),0)+(IF(QualitéAlimentsCanetonFemelle=MOYENNE,VLOOKUP("Foin",AlimentsRationCanardsFemelles,4,FALSE),0)+(IF(QualitéAlimentsJeuneCanard=MOYENNE,VLOOKUP("Foin",AlimentsRationCanardsMâles,3,FALSE),0)+(IF(QualitéAlimentsJeuneCane=MOYENNE,VLOOKUP("Foin",AlimentsRationCanardsFemelles,3,FALSE),0)+(IF(QualitéAlimentsCanard=MOYENNE,VLOOKUP("Foin",AlimentsRationCanardsMâles,2,FALSE),0)+(IF(QualitéAlimentsCane=MOYENNE,VLOOKUP("Foin",AlimentsRationCanardsFemelles,2,FALSE),0))))))))</f>
        <v>0</v>
      </c>
      <c r="EQ163" s="1282">
        <f t="array" ref="EQ163">SUM((IF(QualitéAlimentsCanetonMâle=MAUVAISE,VLOOKUP("Foin",AlimentsRationCanardsMâles,4,FALSE),0)+(IF(QualitéAlimentsCanetonFemelle=MAUVAISE,VLOOKUP("Foin",AlimentsRationCanardsFemelles,4,FALSE),0)+(IF(QualitéAlimentsJeuneCanard=MAUVAISE,VLOOKUP("Foin",AlimentsRationCanardsMâles,3,FALSE),0)+(IF(QualitéAlimentsJeuneCane=MAUVAISE,VLOOKUP("Foin",AlimentsRationCanardsFemelles,3,FALSE),0)+(IF(QualitéAlimentsCanard=MAUVAISE,VLOOKUP("Foin",AlimentsRationCanardsMâles,2,FALSE),0)+(IF(QualitéAlimentsCane=MAUVAISE,VLOOKUP("Foin",AlimentsRationCanardsFemelles,2,FALSE),0))))))))</f>
        <v>0</v>
      </c>
      <c r="ER163" s="1345"/>
      <c r="ES163" s="1345"/>
      <c r="ET163" s="1321"/>
      <c r="EU163" s="1083" t="str">
        <f t="shared" si="60"/>
        <v>Haricot vert</v>
      </c>
      <c r="EV163" s="1283">
        <f t="array" ref="EV163">IF(OR(ChoixRationHivernaleComplèteChevauxSelle=OUI,ChoixRationHivernaleComplèteChevauxSelle="",ChoixChevauxSellePréHiver=NON),0,IFERROR(IF(OR(AND(INDEX(Règles_chevaux_selle[Specificite],MATCH(RationHivernaleAuPréChevauxSelle&amp;$EU163,Règles_chevaux_selle[Ration]&amp;Règles_chevaux_selle[Aliment],0))="s1",IF($EU163=Spécificité1ChevauxSelle,1)),
AND(INDEX(Règles_chevaux_selle[Specificite],MATCH(RationHivernaleAuPréChevauxSelle&amp;$EU163,Règles_chevaux_selle[Ration]&amp;Règles_chevaux_selle[Aliment],0))="s2",IF($EU163=Spécificité2ChevauxSelle,1)),
INDEX(Règles_chevaux_selle[Specificite],MATCH(RationHivernaleAuPréChevauxSelle&amp;$EU163,Règles_chevaux_selle[Ration]&amp;Règles_chevaux_selle[Aliment],0))="c"),
INDEX(Règles_chevaux_selle[Valeur 36 et plus],MATCH(RationHivernaleAuPréChevauxSelle&amp;$EU163,Règles_chevaux_selle[Ration]&amp;Règles_chevaux_selle[Aliment],0)),0),0)*SUM(TotalChevauxSelleAdultes)*21)</f>
        <v>0</v>
      </c>
      <c r="EW163" s="1283">
        <f t="array" ref="EW163">IF(OR(ChoixRationHivernaleComplèteChevauxSelle=OUI,ChoixRationHivernaleComplèteChevauxSelle="",ChoixChevauxSellePréHiver=NON),0,IFERROR(IF(OR(AND(INDEX(Règles_chevaux_selle[Specificite],MATCH(RationHivernaleAuPréChevauxSelle&amp;$EU163,Règles_chevaux_selle[Ration]&amp;Règles_chevaux_selle[Aliment],0))="s1",IF($EU163=Spécificité1ChevauxSelle,1)),
AND(INDEX(Règles_chevaux_selle[Specificite],MATCH(RationHivernaleAuPréChevauxSelle&amp;$EU163,Règles_chevaux_selle[Ration]&amp;Règles_chevaux_selle[Aliment],0))="s2",IF($EU163=Spécificité2ChevauxSelle,1)),
INDEX(Règles_chevaux_selle[Specificite],MATCH(RationHivernaleAuPréChevauxSelle&amp;$EU163,Règles_chevaux_selle[Ration]&amp;Règles_chevaux_selle[Aliment],0))="c"),
INDEX(Règles_chevaux_selle[Valeur 24-36],MATCH(RationHivernaleAuPréChevauxSelle&amp;$EU163,Règles_chevaux_selle[Ration]&amp;Règles_chevaux_selle[Aliment],0)),0),0)*SUM(TotalChevauxSelle_24_36mois)*21)</f>
        <v>0</v>
      </c>
      <c r="EX163" s="1283">
        <f t="array" ref="EX163">IF(OR(ChoixRationHivernaleComplèteChevauxSelle=OUI,ChoixRationHivernaleComplèteChevauxSelle="",ChoixChevauxSellePréHiver=NON),0,IFERROR(IF(OR(AND(INDEX(Règles_chevaux_selle[Specificite],MATCH(RationHivernaleAuPréChevauxSelle&amp;$EU163,Règles_chevaux_selle[Ration]&amp;Règles_chevaux_selle[Aliment],0))="s1",IF($EU163=Spécificité1ChevauxSelle,1)),
AND(INDEX(Règles_chevaux_selle[Specificite],MATCH(RationHivernaleAuPréChevauxSelle&amp;$EU163,Règles_chevaux_selle[Ration]&amp;Règles_chevaux_selle[Aliment],0))="s2",IF($EU163=Spécificité2ChevauxSelle,1)),
INDEX(Règles_chevaux_selle[Specificite],MATCH(RationHivernaleAuPréChevauxSelle&amp;$EU163,Règles_chevaux_selle[Ration]&amp;Règles_chevaux_selle[Aliment],0))="c"),
INDEX(Règles_chevaux_selle[Valeur 12-24],MATCH(RationHivernaleAuPréChevauxSelle&amp;$EU163,Règles_chevaux_selle[Ration]&amp;Règles_chevaux_selle[Aliment],0)),0),0)*SUM(TotalChevauxSelle_12_24mois)*21)</f>
        <v>0</v>
      </c>
      <c r="EY163" s="1286">
        <f t="array" ref="EY163">IF(OR(ChoixRationHivernaleComplèteChevauxSelle=OUI,ChoixRationHivernaleComplèteChevauxSelle="",ChoixChevauxSellePréHiver=NON),0,IFERROR(IF(OR(AND(INDEX(Règles_chevaux_selle[Specificite],MATCH(RationHivernaleAuPréChevauxSelle&amp;$EU163,Règles_chevaux_selle[Ration]&amp;Règles_chevaux_selle[Aliment],0))="s1",IF($EU163=Spécificité1ChevauxSelle,1)),
AND(INDEX(Règles_chevaux_selle[Specificite],MATCH(RationHivernaleAuPréChevauxSelle&amp;$EU163,Règles_chevaux_selle[Ration]&amp;Règles_chevaux_selle[Aliment],0))="s2",IF($EU163=Spécificité2ChevauxSelle,1)),
INDEX(Règles_chevaux_selle[Specificite],MATCH(RationHivernaleAuPréChevauxSelle&amp;$EU163,Règles_chevaux_selle[Ration]&amp;Règles_chevaux_selle[Aliment],0))="c"),
INDEX(Règles_chevaux_selle[Valeur 0-12],MATCH(RationHivernaleAuPréChevauxSelle&amp;$EU163,Règles_chevaux_selle[Ration]&amp;Règles_chevaux_selle[Aliment],0)),0),0)*SUM(TotalPoulainsSelle)*21)</f>
        <v>0</v>
      </c>
      <c r="EZ163" s="1286">
        <f t="shared" si="59"/>
        <v>0</v>
      </c>
      <c r="FA163" s="1345">
        <f>EY159/21</f>
        <v>0</v>
      </c>
      <c r="FB163" s="1345"/>
      <c r="FC163" s="1321"/>
      <c r="FD163" s="1083" t="str">
        <f t="shared" si="55"/>
        <v>Paille</v>
      </c>
      <c r="FE163" s="1283">
        <f t="array" ref="FE163">IF(OR(ChoixRationHivernaleComplèteChevauxTrait=OUI,ChoixRationHivernaleComplèteChevauxTrait="",ChoixChevauxTraitPréHiver=NON),0,IFERROR(IF(OR(AND(INDEX(Règles_chevaux_trait[Specificite],MATCH(RationHivernaleAuPréChevauxTrait&amp;$FD163,Règles_chevaux_trait[Ration]&amp;Règles_chevaux_trait[Aliment],0))="s1",IF($FD163=Spécificité1ChevauxTrait,1)),
AND(INDEX(Règles_chevaux_trait[Specificite],MATCH(RationHivernaleAuPréChevauxTrait&amp;$FD163,Règles_chevaux_trait[Ration]&amp;Règles_chevaux_trait[Aliment],0))="s2",IF($FD163=Spécificité2ChevauxTrait,1)),
INDEX(Règles_chevaux_trait[Specificite],MATCH(RationHivernaleAuPréChevauxTrait&amp;$FD163,Règles_chevaux_trait[Ration]&amp;Règles_chevaux_trait[Aliment],0))="c"),
INDEX(Règles_chevaux_trait[Valeur 36 et plus],MATCH(RationHivernaleAuPréChevauxTrait&amp;$FD163,Règles_chevaux_trait[Ration]&amp;Règles_chevaux_trait[Aliment],0)),0),0)*SUM(TotalChevauxTraitAdultes)*21)</f>
        <v>0</v>
      </c>
      <c r="FF163" s="1283">
        <f t="array" ref="FF163">IF(OR(ChoixRationHivernaleComplèteChevauxTrait=OUI,ChoixRationHivernaleComplèteChevauxTrait="",ChoixChevauxTraitPréHiver=NON),0,IFERROR(IF(OR(AND(INDEX(Règles_chevaux_trait[Specificite],MATCH(RationHivernaleAuPréChevauxTrait&amp;$FD163,Règles_chevaux_trait[Ration]&amp;Règles_chevaux_trait[Aliment],0))="s1",IF($FD163=Spécificité1ChevauxTrait,1)),
AND(INDEX(Règles_chevaux_trait[Specificite],MATCH(RationHivernaleAuPréChevauxTrait&amp;$FD163,Règles_chevaux_trait[Ration]&amp;Règles_chevaux_trait[Aliment],0))="s2",IF($FD163=Spécificité2ChevauxTrait,1)),
INDEX(Règles_chevaux_trait[Specificite],MATCH(RationHivernaleAuPréChevauxTrait&amp;$FD163,Règles_chevaux_trait[Ration]&amp;Règles_chevaux_trait[Aliment],0))="c"),
INDEX(Règles_chevaux_trait[Valeur 24-36],MATCH(RationHivernaleAuPréChevauxTrait&amp;$FD163,Règles_chevaux_trait[Ration]&amp;Règles_chevaux_trait[Aliment],0)),0),0)*SUM(TotalChevauxTrait_24_36mois)*21)</f>
        <v>0</v>
      </c>
      <c r="FG163" s="1283">
        <f t="array" ref="FG163">IF(OR(ChoixRationHivernaleComplèteChevauxTrait=OUI,ChoixRationHivernaleComplèteChevauxTrait="",ChoixChevauxTraitPréHiver=NON),0,IFERROR(IF(OR(AND(INDEX(Règles_chevaux_trait[Specificite],MATCH(RationHivernaleAuPréChevauxTrait&amp;$FD163,Règles_chevaux_trait[Ration]&amp;Règles_chevaux_trait[Aliment],0))="s1",IF($FD163=Spécificité1ChevauxTrait,1)),
AND(INDEX(Règles_chevaux_trait[Specificite],MATCH(RationHivernaleAuPréChevauxTrait&amp;$FD163,Règles_chevaux_trait[Ration]&amp;Règles_chevaux_trait[Aliment],0))="s2",IF($FD163=Spécificité2ChevauxTrait,1)),
INDEX(Règles_chevaux_trait[Specificite],MATCH(RationHivernaleAuPréChevauxTrait&amp;$FD163,Règles_chevaux_trait[Ration]&amp;Règles_chevaux_trait[Aliment],0))="c"),
INDEX(Règles_chevaux_trait[Valeur 12-24],MATCH(RationHivernaleAuPréChevauxTrait&amp;$FD163,Règles_chevaux_trait[Ration]&amp;Règles_chevaux_trait[Aliment],0)),0),0)*SUM(TotalChevauxTrait_12_24mois)*21)</f>
        <v>0</v>
      </c>
      <c r="FH163" s="1286">
        <f t="array" ref="FH163">IF(OR(ChoixRationHivernaleComplèteChevauxTrait=OUI,ChoixRationHivernaleComplèteChevauxTrait="",ChoixChevauxTraitPréHiver=NON),0,IFERROR(IF(OR(AND(INDEX(Règles_chevaux_trait[Specificite],MATCH(RationHivernaleAuPréChevauxTrait&amp;$FD163,Règles_chevaux_trait[Ration]&amp;Règles_chevaux_trait[Aliment],0))="s1",IF($FD163=Spécificité1ChevauxTrait,1)),
AND(INDEX(Règles_chevaux_trait[Specificite],MATCH(RationHivernaleAuPréChevauxTrait&amp;$FD163,Règles_chevaux_trait[Ration]&amp;Règles_chevaux_trait[Aliment],0))="s2",IF($FD163=Spécificité2ChevauxTrait,1)),
INDEX(Règles_chevaux_trait[Specificite],MATCH(RationHivernaleAuPréChevauxTrait&amp;$FD163,Règles_chevaux_trait[Ration]&amp;Règles_chevaux_trait[Aliment],0))="c"),
INDEX(Règles_chevaux_trait[Valeur 0-12],MATCH(RationHivernaleAuPréChevauxTrait&amp;$FD163,Règles_chevaux_trait[Ration]&amp;Règles_chevaux_trait[Aliment],0)),0),0)*SUM(TotalPoulainsTrait)*21)</f>
        <v>0</v>
      </c>
      <c r="FI163" s="1286">
        <f t="shared" si="53"/>
        <v>0</v>
      </c>
      <c r="FJ163" s="1345"/>
      <c r="FK163" s="1345"/>
      <c r="FL163" s="1345"/>
      <c r="FM163" s="1321"/>
      <c r="FN163" s="1082" t="str">
        <f t="shared" si="54"/>
        <v>Pois</v>
      </c>
      <c r="FO163" s="1282">
        <f t="array" ref="FO163">IF(OR(ChoixRationHivernaleComplètePoneys=OUI,ChoixRationHivernaleComplètePoneys="",ChoixPoneysPréHiver=NON),0,IFERROR(IF(OR(AND(INDEX(Règles_poneys[Specificite],MATCH(RationHivernaleAuPréPoneys&amp;$FN163,Règles_poneys[Ration]&amp;Règles_poneys[Aliment],0))="s1",IF($FN163=Spécificité1Poneys,1)),
AND(INDEX(Règles_poneys[Specificite],MATCH(RationHivernaleAuPréPoneys&amp;$FN163,Règles_poneys[Ration]&amp;Règles_poneys[Aliment],0))="s2",IF($FN163=Spécificité2Poneys,1)),
INDEX(Règles_poneys[Specificite],MATCH(RationHivernaleAuPréPoneys&amp;$FN163,Règles_poneys[Ration]&amp;Règles_poneys[Aliment],0))="c"),
INDEX(Règles_poneys[Valeur 36 et plus],MATCH(RationHivernaleAuPréPoneys&amp;$FN163,Règles_poneys[Ration]&amp;Règles_poneys[Aliment],0)),0),0)*SUM(TotalPoneysAdultes)*21)</f>
        <v>0</v>
      </c>
      <c r="FP163" s="1282">
        <f t="array" ref="FP163">IF(OR(ChoixRationHivernaleComplètePoneys=OUI,ChoixRationHivernaleComplètePoneys="",ChoixPoneysPréHiver=NON),0,IFERROR(IF(OR(AND(INDEX(Règles_poneys[Specificite],MATCH(RationHivernaleAuPréPoneys&amp;$FN163,Règles_poneys[Ration]&amp;Règles_poneys[Aliment],0))="s1",IF($FN163=Spécificité1Poneys,1)),
AND(INDEX(Règles_poneys[Specificite],MATCH(RationHivernaleAuPréPoneys&amp;$FN163,Règles_poneys[Ration]&amp;Règles_poneys[Aliment],0))="s2",IF($FN163=Spécificité2Poneys,1)),
INDEX(Règles_poneys[Specificite],MATCH(RationHivernaleAuPréPoneys&amp;$FN163,Règles_poneys[Ration]&amp;Règles_poneys[Aliment],0))="c"),
INDEX(Règles_poneys[Valeur 24-36],MATCH(RationHivernaleAuPréPoneys&amp;$FN163,Règles_poneys[Ration]&amp;Règles_poneys[Aliment],0)),0),0)*SUM(TotalPoneys_24_36mois)*21)</f>
        <v>0</v>
      </c>
      <c r="FQ163" s="1282">
        <f t="array" ref="FQ163">IF(OR(ChoixRationHivernaleComplètePoneys=OUI,ChoixRationHivernaleComplètePoneys="",ChoixPoneysPréHiver=NON),0,IFERROR(IF(OR(AND(INDEX(Règles_poneys[Specificite],MATCH(RationHivernaleAuPréPoneys&amp;$FN163,Règles_poneys[Ration]&amp;Règles_poneys[Aliment],0))="s1",IF($FN163=Spécificité1Poneys,1)),
AND(INDEX(Règles_poneys[Specificite],MATCH(RationHivernaleAuPréPoneys&amp;$FN163,Règles_poneys[Ration]&amp;Règles_poneys[Aliment],0))="s2",IF($FN163=Spécificité2Poneys,1)),
INDEX(Règles_poneys[Specificite],MATCH(RationHivernaleAuPréPoneys&amp;$FN163,Règles_poneys[Ration]&amp;Règles_poneys[Aliment],0))="c"),
INDEX(Règles_poneys[Valeur 12-24],MATCH(RationHivernaleAuPréPoneys&amp;$FN163,Règles_poneys[Ration]&amp;Règles_poneys[Aliment],0)),0),0)*SUM(TotalPoneys_12_24mois)*21)</f>
        <v>0</v>
      </c>
      <c r="FR163" s="1285">
        <f t="array" ref="FR163">IF(OR(ChoixRationHivernaleComplètePoneys=OUI,ChoixRationHivernaleComplètePoneys="",ChoixPoneysPréHiver=NON),0,IFERROR(IF(OR(AND(INDEX(Règles_poneys[Specificite],MATCH(RationHivernaleAuPréPoneys&amp;$FN163,Règles_poneys[Ration]&amp;Règles_poneys[Aliment],0))="s1",IF($FN163=Spécificité1Poneys,1)),
AND(INDEX(Règles_poneys[Specificite],MATCH(RationHivernaleAuPréPoneys&amp;$FN163,Règles_poneys[Ration]&amp;Règles_poneys[Aliment],0))="s2",IF($FN163=Spécificité2Poneys,1)),
INDEX(Règles_poneys[Specificite],MATCH(RationHivernaleAuPréPoneys&amp;$FN163,Règles_poneys[Ration]&amp;Règles_poneys[Aliment],0))="c"),
INDEX(Règles_poneys[Valeur 0-12],MATCH(RationHivernaleAuPréPoneys&amp;$FN163,Règles_poneys[Ration]&amp;Règles_poneys[Aliment],0)),0),0)*SUM(TotalPoulainsPoneys)*21)</f>
        <v>0</v>
      </c>
      <c r="FS163" s="1285">
        <f t="shared" si="52"/>
        <v>0</v>
      </c>
      <c r="FT163" s="1345"/>
      <c r="FU163" s="1345"/>
      <c r="FV163" s="1345"/>
      <c r="FW163" s="1083" t="str">
        <f t="shared" si="49"/>
        <v>Soja</v>
      </c>
      <c r="FX163" s="1283">
        <f t="array" ref="FX163">SUM((IF(QualitéAlimentsGavageOison_0_1_mois=BONNE,VLOOKUP("Soja",AlimentsGavageOies[],5,FALSE),0)+(IF(QualitéAlimentsGavageCaneton_0_1_mois=BONNE,VLOOKUP("Soja",AlimentsGavageCanards[],5,FALSE),0)+(IF(QualitéAlimentsGavageOison_1_2_mois=BONNE,VLOOKUP("Soja",AlimentsGavageOies[],4,FALSE),0)+(IF(QualitéAlimentsGavageCaneton_1_2_mois=BONNE,VLOOKUP("Soja",AlimentsGavageCanards[],4,FALSE),0)+(IF(QualitéAlimentsGavageOison_2_3_mois=BONNE,VLOOKUP("Soja",AlimentsGavageOies[],3,FALSE),0)+(IF(QualitéAlimentsGavageCaneton_2_3_mois=BONNE,VLOOKUP("Soja",AlimentsGavageCanards[],3,FALSE),0)+(IF(QualitéAlimentsGavageJeunesOies=BONNE,VLOOKUP("Soja",AlimentsGavageOies[],2,FALSE),0)+(IF(QualitéAlimentsGavageJeuneCanard=BONNE,VLOOKUP("Soja",AlimentsGavageCanards[],2,FALSE),0))))))))))</f>
        <v>0</v>
      </c>
      <c r="FY163" s="1283">
        <f t="array" ref="FY163">SUM((IF(QualitéAlimentsGavageOison_0_1_mois=MOYENNE,VLOOKUP("Soja",AlimentsGavageOies[],5,FALSE),0)+(IF(QualitéAlimentsGavageCaneton_0_1_mois=MOYENNE,VLOOKUP("Soja",AlimentsGavageCanards[],5,FALSE),0)+(IF(QualitéAlimentsGavageOison_1_2_mois=MOYENNE,VLOOKUP("Soja",AlimentsGavageOies[],4,FALSE),0)+(IF(QualitéAlimentsGavageCaneton_1_2_mois=MOYENNE,VLOOKUP("Soja",AlimentsGavageCanards[],4,FALSE),0)+(IF(QualitéAlimentsGavageOison_2_3_mois=MOYENNE,VLOOKUP("Soja",AlimentsGavageOies[],3,FALSE),0)+(IF(QualitéAlimentsGavageCaneton_2_3_mois=MOYENNE,VLOOKUP("Soja",AlimentsGavageCanards[],3,FALSE),0)+(IF(QualitéAlimentsGavageJeunesOies=MOYENNE,VLOOKUP("Soja",AlimentsGavageOies[],2,FALSE),0)+(IF(QualitéAlimentsGavageJeuneCanard=MOYENNE,VLOOKUP("Soja",AlimentsGavageCanards[],2,FALSE),0))))))))))</f>
        <v>0</v>
      </c>
      <c r="FZ163" s="1283">
        <f t="array" ref="FZ163">SUM((IF(QualitéAlimentsGavageOison_0_1_mois=MAUVAISE,VLOOKUP("Soja",AlimentsGavageOies[],5,FALSE),0)+(IF(QualitéAlimentsGavageCaneton_0_1_mois=MAUVAISE,VLOOKUP("Soja",AlimentsGavageCanards[],5,FALSE),0)+(IF(QualitéAlimentsGavageOison_1_2_mois=MAUVAISE,VLOOKUP("Soja",AlimentsGavageOies[],4,FALSE),0)+(IF(QualitéAlimentsGavageCaneton_1_2_mois=MAUVAISE,VLOOKUP("Soja",AlimentsGavageCanards[],4,FALSE),0)+(IF(QualitéAlimentsGavageOison_2_3_mois=MAUVAISE,VLOOKUP("Soja",AlimentsGavageOies[],3,FALSE),0)+(IF(QualitéAlimentsGavageCaneton_2_3_mois=MAUVAISE,VLOOKUP("Soja",AlimentsGavageCanards[],3,FALSE),0)+(IF(QualitéAlimentsGavageJeunesOies=MAUVAISE,VLOOKUP("Soja",AlimentsGavageOies[],2,FALSE),0)+(IF(QualitéAlimentsGavageJeuneCanard=MAUVAISE,VLOOKUP("Soja",AlimentsGavageCanards[],2,FALSE),0))))))))))</f>
        <v>0</v>
      </c>
      <c r="GA163" s="1345"/>
      <c r="GB163" s="1345"/>
      <c r="GC163" s="1321"/>
      <c r="GD163" s="1321"/>
      <c r="GE163" s="1321"/>
      <c r="GF163" s="1321"/>
      <c r="GG163" s="1321" t="s">
        <v>1349</v>
      </c>
      <c r="GH163" s="1321" t="s">
        <v>1349</v>
      </c>
      <c r="GI163" s="1321" t="s">
        <v>1349</v>
      </c>
      <c r="GJ163" s="1321" t="s">
        <v>1349</v>
      </c>
      <c r="GK163" s="1321" t="s">
        <v>1349</v>
      </c>
      <c r="GL163" s="1321" t="s">
        <v>1349</v>
      </c>
      <c r="GM163" s="1321" t="s">
        <v>1349</v>
      </c>
      <c r="GN163" s="1321" t="s">
        <v>1349</v>
      </c>
      <c r="GO163" s="1321" t="s">
        <v>1349</v>
      </c>
      <c r="GP163" s="1321" t="s">
        <v>1349</v>
      </c>
      <c r="GQ163" s="1321" t="s">
        <v>1349</v>
      </c>
      <c r="GR163" s="1321" t="s">
        <v>1349</v>
      </c>
      <c r="GS163" s="1321" t="s">
        <v>1349</v>
      </c>
      <c r="GT163" s="1321" t="s">
        <v>1349</v>
      </c>
      <c r="GU163" s="1321" t="s">
        <v>1349</v>
      </c>
      <c r="GV163" s="1321" t="s">
        <v>1349</v>
      </c>
      <c r="GW163" s="1321"/>
      <c r="GX163" s="1321"/>
      <c r="GY163" s="1321"/>
      <c r="GZ163" s="1321"/>
      <c r="HA163" s="1321"/>
      <c r="HB163" s="1321"/>
      <c r="HC163" s="1321"/>
      <c r="HD163" s="1321"/>
      <c r="HE163" s="1321"/>
      <c r="HF163" s="1321"/>
      <c r="HG163" s="1321"/>
      <c r="HH163" s="1321"/>
      <c r="HI163" s="1321"/>
      <c r="HJ163" s="1321"/>
      <c r="HK163" s="1321"/>
      <c r="HL163" s="1321"/>
      <c r="HM163" s="1321"/>
      <c r="HN163" s="1321"/>
      <c r="HO163" s="1321"/>
      <c r="HP163" s="1321"/>
      <c r="HQ163" s="1321"/>
      <c r="HR163" s="1321"/>
      <c r="HS163" s="1321"/>
      <c r="HT163" s="1321"/>
      <c r="HU163" s="1321"/>
      <c r="HV163" s="1321"/>
      <c r="HW163" s="1321"/>
      <c r="HX163" s="1321"/>
      <c r="HY163" s="1321"/>
      <c r="HZ163" s="1321"/>
      <c r="IA163" s="1321"/>
      <c r="IB163" s="1321"/>
      <c r="IC163" s="1321"/>
      <c r="ID163" s="1321"/>
      <c r="IE163" s="1321"/>
      <c r="IF163" s="1321"/>
      <c r="IG163" s="1321"/>
      <c r="IH163" s="1321"/>
      <c r="II163" s="1321"/>
      <c r="IJ163" s="1321"/>
      <c r="IK163" s="1321"/>
      <c r="IL163" s="1321"/>
      <c r="IM163" s="1321"/>
      <c r="IN163" s="1368"/>
    </row>
    <row r="164" spans="1:248" ht="12.75" customHeight="1" x14ac:dyDescent="0.2">
      <c r="A164" s="1307" t="s">
        <v>13</v>
      </c>
      <c r="B164" s="1209">
        <v>5.0000000000000001E-3</v>
      </c>
      <c r="C164" s="1321"/>
      <c r="D164" s="1321"/>
      <c r="E164" s="1321"/>
      <c r="F164" s="1321"/>
      <c r="G164" s="1321"/>
      <c r="H164" s="1321"/>
      <c r="I164" s="1077" t="s">
        <v>1875</v>
      </c>
      <c r="J164" s="1077"/>
      <c r="K164" s="1077" t="s">
        <v>1840</v>
      </c>
      <c r="L164" s="1077" t="s">
        <v>1841</v>
      </c>
      <c r="M164" s="1077" t="s">
        <v>1842</v>
      </c>
      <c r="N164" s="1077" t="s">
        <v>1843</v>
      </c>
      <c r="O164" s="1336"/>
      <c r="P164" s="1336"/>
      <c r="Q164" s="1336"/>
      <c r="R164" s="1321"/>
      <c r="S164" s="1321"/>
      <c r="T164" s="1321"/>
      <c r="U164" s="1321"/>
      <c r="V164" s="1321"/>
      <c r="W164" s="1321"/>
      <c r="X164" s="1321"/>
      <c r="Y164" s="1321"/>
      <c r="Z164" s="1321"/>
      <c r="AA164" s="1321"/>
      <c r="AB164" s="1321"/>
      <c r="AC164" s="1321"/>
      <c r="AD164" s="1321"/>
      <c r="AE164" s="1321"/>
      <c r="AF164" s="1321"/>
      <c r="AG164" s="1321"/>
      <c r="AH164" s="1321"/>
      <c r="AI164" s="1321"/>
      <c r="AJ164" s="1321"/>
      <c r="AK164" s="1321"/>
      <c r="AL164" s="1321"/>
      <c r="AM164" s="1321"/>
      <c r="AN164" s="1321"/>
      <c r="AO164" s="1321"/>
      <c r="AP164" s="1321"/>
      <c r="AQ164" s="1321"/>
      <c r="AR164" s="1321"/>
      <c r="AS164" s="1321"/>
      <c r="AT164" s="1321"/>
      <c r="AU164" s="1321"/>
      <c r="AV164" s="1321"/>
      <c r="AW164" s="1321"/>
      <c r="AX164" s="1321"/>
      <c r="AY164" s="1321"/>
      <c r="AZ164" s="1321"/>
      <c r="BA164" s="1321"/>
      <c r="BB164" s="1236" t="s">
        <v>1315</v>
      </c>
      <c r="BC164" s="1190" t="s">
        <v>672</v>
      </c>
      <c r="BD164" s="1190" t="s">
        <v>1253</v>
      </c>
      <c r="BE164" s="1237">
        <v>7.2</v>
      </c>
      <c r="BF164" s="1237">
        <v>6</v>
      </c>
      <c r="BG164" s="1237">
        <v>4</v>
      </c>
      <c r="BH164" s="1237">
        <v>2</v>
      </c>
      <c r="BI164" s="1237">
        <v>1.2</v>
      </c>
      <c r="BJ164" s="1237">
        <v>0.6</v>
      </c>
      <c r="BK164" s="1238">
        <v>0</v>
      </c>
      <c r="BL164" s="1348"/>
      <c r="BM164" s="1346"/>
      <c r="BN164" s="1321"/>
      <c r="BO164" s="1321"/>
      <c r="BP164" s="1321"/>
      <c r="BQ164" s="1321"/>
      <c r="BR164" s="1321"/>
      <c r="BS164" s="1321"/>
      <c r="BT164" s="1321"/>
      <c r="BU164" s="1321"/>
      <c r="BV164" s="1345"/>
      <c r="BW164" s="1345"/>
      <c r="BX164" s="1076" t="str">
        <f t="shared" si="57"/>
        <v>Orge</v>
      </c>
      <c r="BY164" s="1076">
        <f t="array" ref="BY164">IF(ChoixRationComplèteCaprins=OUI,0,IFERROR(IF(OR(AND(INDEX(Règles_caprins[Specificite],MATCH(ChoixRationCaprins&amp;$BX164,Règles_caprins[Ration]&amp;Règles_caprins[Aliment],0))="s1",IF($BX164=Spécificité1Caprins,1)),
INDEX(Règles_caprins[Specificite],MATCH(ChoixRationCaprins&amp;$BX164,Règles_caprins[Ration]&amp;Règles_caprins[Aliment],0))="c"),
INDEX(Règles_caprins[Valeur 12 et plus],MATCH(ChoixRationCaprins&amp;$BX164,Règles_caprins[Ration]&amp;Règles_caprins[Aliment],0)),0),0)*TotalChèvres*SUM(NbreJoursNourrirCaprins))</f>
        <v>0</v>
      </c>
      <c r="BZ164" s="1076">
        <f t="array" ref="BZ164">IF(ChoixRationComplèteCaprins=OUI,0,IFERROR(IF(OR(AND(INDEX(Règles_caprins[Specificite],MATCH(ChoixRationCaprins&amp;$BX164,Règles_caprins[Ration]&amp;Règles_caprins[Aliment],0))="s1",IF($BX164=Spécificité1Caprins,1)),
INDEX(Règles_caprins[Specificite],MATCH(ChoixRationCaprins&amp;$BX164,Règles_caprins[Ration]&amp;Règles_caprins[Aliment],0))="c"),
INDEX(Règles_caprins[Valeur 6-12],MATCH(ChoixRationCaprins&amp;$BX164,Règles_caprins[Ration]&amp;Règles_caprins[Aliment],0)),0),0)*jeune_chèvre_6_12_mois*SUM(NbreJoursNourrirCaprins))</f>
        <v>0</v>
      </c>
      <c r="CA164" s="1076">
        <f t="array" ref="CA164">IF(ChoixRationComplèteCaprins=OUI,0,IFERROR(IF(OR(AND(INDEX(Règles_caprins[Specificite],MATCH(ChoixRationCaprins&amp;$BX164,Règles_caprins[Ration]&amp;Règles_caprins[Aliment],0))="s1",IF($BX164=Spécificité1Caprins,1)),
INDEX(Règles_caprins[Specificite],MATCH(ChoixRationCaprins&amp;$BX164,Règles_caprins[Ration]&amp;Règles_caprins[Aliment],0))="c"),
INDEX(Règles_caprins[Valeur 3-6],MATCH(ChoixRationCaprins&amp;$BX164,Règles_caprins[Ration]&amp;Règles_caprins[Aliment],0)),0),0)*chevrette_3_6_mois*SUM(NbreJoursNourrirCaprins))</f>
        <v>0</v>
      </c>
      <c r="CB164" s="1076">
        <f t="array" ref="CB164">IF(ChoixRationComplèteCaprins=OUI,0,IFERROR(IF(OR(AND(INDEX(Règles_caprins[Specificite],MATCH(ChoixRationCaprins&amp;$BX164,Règles_caprins[Ration]&amp;Règles_caprins[Aliment],0))="s1",IF($BX164=Spécificité1Caprins,1)),
INDEX(Règles_caprins[Specificite],MATCH(ChoixRationCaprins&amp;$BX164,Règles_caprins[Ration]&amp;Règles_caprins[Aliment],0))="c"),
INDEX(Règles_caprins[Valeur 0-3],MATCH(ChoixRationCaprins&amp;$BX164,Règles_caprins[Ration]&amp;Règles_caprins[Aliment],0)),0),0)*chevrette_0_3_mois*SUM(NbreJoursNourrirCaprins))</f>
        <v>0</v>
      </c>
      <c r="CC164" s="1076">
        <f t="shared" si="56"/>
        <v>0</v>
      </c>
      <c r="CD164" s="1345"/>
      <c r="CE164" s="1345"/>
      <c r="CF164" s="1345"/>
      <c r="CG164" s="1345"/>
      <c r="CH164" s="1345"/>
      <c r="CI164" s="1321"/>
      <c r="CJ164" s="1075" t="str">
        <f t="shared" si="51"/>
        <v>Ration complète</v>
      </c>
      <c r="CK164" s="1269">
        <f>IF(ChoixRationComplètePorcins&lt;&gt;OUI,0,IF(QualitéRationComplètePorcins=BONNE,Ration_complète_porcins[somme],0))</f>
        <v>0</v>
      </c>
      <c r="CL164" s="1269">
        <f>IF(ChoixRationComplètePorcins&lt;&gt;OUI,0,IF(QualitéRationComplètePorcins=MOYENNE,Ration_complète_porcins[somme],0))</f>
        <v>0</v>
      </c>
      <c r="CM164" s="1269">
        <f>IF(ChoixRationComplètePorcins&lt;&gt;OUI,0,IF(QualitéRationComplètePorcins=MAUVAISE,Ration_complète_porcins[somme],0))</f>
        <v>0</v>
      </c>
      <c r="CN164" s="1320"/>
      <c r="CO164" s="1321"/>
      <c r="CP164" s="1321"/>
      <c r="CQ164" s="1321"/>
      <c r="CR164" s="1321"/>
      <c r="CS164" s="1075" t="str">
        <f t="shared" si="66"/>
        <v>concentré jeunes porcins</v>
      </c>
      <c r="CT164" s="1269">
        <f t="array" ref="CT164">SUM((IF(QualitéAlimentsLapereauMâle_0_1_mois=BONNE,VLOOKUP("Concentré jeunes porcins",AlimentsRationLapinsMâles[],4,FALSE),0)+(IF(QualitéAlimentsLapereauFemelle_0_1_mois=BONNE,VLOOKUP("Concentré jeunes porcins",AlimentsRationLapinsFemelles[],4,FALSE),0)+(IF(QualitéAlimentsJeuneLapin=BONNE,VLOOKUP("Concentré jeunes porcins",AlimentsRationLapinsMâles[],3,FALSE),0)+(IF(QualitéAlimentsJeuneLapine=BONNE,VLOOKUP("Concentré jeunes porcins",AlimentsRationLapinsFemelles[],3,FALSE),0)+(IF(QualitéAlimentsLapin=BONNE,VLOOKUP("Concentré jeunes porcins",AlimentsRationLapinsMâles[],2,FALSE),0)+(IF(QualitéAlimentsLapine=BONNE,VLOOKUP("Concentré jeunes porcins",AlimentsRationLapinsFemelles[],2,FALSE),0))))))))</f>
        <v>0</v>
      </c>
      <c r="CU164" s="1269">
        <f t="array" ref="CU164">SUM((IF(QualitéAlimentsLapereauMâle_0_1_mois=MOYENNE,VLOOKUP("Concentré jeunes porcins",AlimentsRationLapinsMâles[],4,FALSE),0)+(IF(QualitéAlimentsLapereauFemelle_0_1_mois=MOYENNE,VLOOKUP("Concentré jeunes porcins",AlimentsRationLapinsFemelles[],4,FALSE),0)+(IF(QualitéAlimentsJeuneLapin=MOYENNE,VLOOKUP("Concentré jeunes porcins",AlimentsRationLapinsMâles[],3,FALSE),0)+(IF(QualitéAlimentsJeuneLapine=MOYENNE,VLOOKUP("Concentré jeunes porcins",AlimentsRationLapinsFemelles[],3,FALSE),0)+(IF(QualitéAlimentsLapin=MOYENNE,VLOOKUP("Concentré jeunes porcins",AlimentsRationLapinsMâles[],2,FALSE),0)+(IF(QualitéAlimentsLapine=MOYENNE,VLOOKUP("Concentré jeunes porcins",AlimentsRationLapinsFemelles[],2,FALSE),0))))))))</f>
        <v>0</v>
      </c>
      <c r="CV164" s="1269">
        <f t="array" ref="CV164">SUM((IF(QualitéAlimentsLapereauMâle_0_1_mois=MAUVAISE,VLOOKUP("Concentré jeunes porcins",AlimentsRationLapinsMâles[],4,FALSE),0)+(IF(QualitéAlimentsLapereauFemelle_0_1_mois=MAUVAISE,VLOOKUP("Concentré jeunes porcins",AlimentsRationLapinsFemelles[],4,FALSE),0)+(IF(QualitéAlimentsJeuneLapin=MAUVAISE,VLOOKUP("Concentré jeunes porcins",AlimentsRationLapinsMâles[],3,FALSE),0)+(IF(QualitéAlimentsJeuneLapine=MAUVAISE,VLOOKUP("Concentré jeunes porcins",AlimentsRationLapinsFemelles[],3,FALSE),0)+(IF(QualitéAlimentsLapin=MAUVAISE,VLOOKUP("Concentré jeunes porcins",AlimentsRationLapinsMâles[],2,FALSE),0)+(IF(QualitéAlimentsLapine=MAUVAISE,VLOOKUP("Concentré jeunes porcins",AlimentsRationLapinsFemelles[],2,FALSE),0))))))))</f>
        <v>0</v>
      </c>
      <c r="CW164" s="1321"/>
      <c r="CX164" s="1321"/>
      <c r="CY164" s="1321"/>
      <c r="CZ164" s="1076" t="str">
        <f t="shared" si="65"/>
        <v>Ensilage d'herbe</v>
      </c>
      <c r="DA164" s="1267">
        <f t="array" ref="DA164">SUM((IF(QualitéAlimentsPoussinMâle_0_1_mois=BONNE,VLOOKUP("Ensilage d'herbe",AlimentsRationVolaillesMâles[],4,FALSE),0)+(IF(QualitéAlimentsPoussinFemelle_0_1_mois=BONNE,VLOOKUP("Ensilage d'herbe",AlimentsRationVolaillesFemelles[],4,FALSE),0)+(IF(QualitéAlimentsJeuneCoq=BONNE,VLOOKUP("Ensilage d'herbe",AlimentsRationVolaillesMâles[],3,FALSE),0)+(IF(QualitéAlimentsJeunePoule=BONNE,VLOOKUP("Ensilage d'herbe",AlimentsRationVolaillesFemelles[],3,FALSE),0)+(IF(QualitéAlimentsCoq=BONNE,VLOOKUP("Ensilage d'herbe",AlimentsRationVolaillesMâles[],2,FALSE),0)+(IF(QualitéAlimentsPoule=BONNE,VLOOKUP("Ensilage d'herbe",AlimentsRationVolaillesFemelles[],2,FALSE),0))))))))</f>
        <v>0</v>
      </c>
      <c r="DB164" s="1267">
        <f t="array" ref="DB164">SUM((IF(QualitéAlimentsPoussinMâle_0_1_mois=MOYENNE,VLOOKUP("Ensilage d'herbe",AlimentsRationVolaillesMâles[],4,FALSE),0)+(IF(QualitéAlimentsPoussinFemelle_0_1_mois=MOYENNE,VLOOKUP("Ensilage d'herbe",AlimentsRationVolaillesFemelles[],4,FALSE),0)+(IF(QualitéAlimentsJeuneCoq=MOYENNE,VLOOKUP("Ensilage d'herbe",AlimentsRationVolaillesMâles[],3,FALSE),0)+(IF(QualitéAlimentsJeunePoule=MOYENNE,VLOOKUP("Ensilage d'herbe",AlimentsRationVolaillesFemelles[],3,FALSE),0)+(IF(QualitéAlimentsCoq=MOYENNE,VLOOKUP("Ensilage d'herbe",AlimentsRationVolaillesMâles[],2,FALSE),0)+(IF(QualitéAlimentsPoule=MOYENNE,VLOOKUP("Ensilage d'herbe",AlimentsRationVolaillesFemelles[],2,FALSE),0))))))))</f>
        <v>0</v>
      </c>
      <c r="DC164" s="1267">
        <f t="array" ref="DC164">SUM((IF(QualitéAlimentsPoussinMâle_0_1_mois=MAUVAISE,VLOOKUP("Ensilage d'herbe",AlimentsRationVolaillesMâles[],4,FALSE),0)+(IF(QualitéAlimentsPoussinFemelle_0_1_mois=MAUVAISE,VLOOKUP("Ensilage d'herbe",AlimentsRationVolaillesFemelles[],4,FALSE),0)+(IF(QualitéAlimentsJeuneCoq=MAUVAISE,VLOOKUP("Ensilage d'herbe",AlimentsRationVolaillesMâles[],3,FALSE),0)+(IF(QualitéAlimentsJeunePoule=MAUVAISE,VLOOKUP("Ensilage d'herbe",AlimentsRationVolaillesFemelles[],3,FALSE),0)+(IF(QualitéAlimentsCoq=MAUVAISE,VLOOKUP("Ensilage d'herbe",AlimentsRationVolaillesMâles[],2,FALSE),0)+(IF(QualitéAlimentsPoule=MAUVAISE,VLOOKUP("Ensilage d'herbe",AlimentsRationVolaillesFemelles[],2,FALSE),0))))))))</f>
        <v>0</v>
      </c>
      <c r="DD164" s="1320"/>
      <c r="DE164" s="1321"/>
      <c r="DF164" s="1321"/>
      <c r="DG164" s="1076" t="str">
        <f t="shared" si="58"/>
        <v>Orge</v>
      </c>
      <c r="DH164" s="1267">
        <f t="array" ref="DH164">SUM((IF(QualitéAlimentsPintadeauMâle_0_1_mois=BONNE,VLOOKUP("Orge",AlimentsRationPintadesMâles[],4,FALSE),0)+(IF(QualitéAlimentsPintadeauFemelle_0_1_mois=BONNE,VLOOKUP("Orge",AlimentsRationPintadesFemelles[],4,FALSE),0)+(IF(QualitéAlimentsJeunePintadeMâle=BONNE,VLOOKUP("Orge",AlimentsRationPintadesMâles[],3,FALSE),0)+(IF(QualitéAlimentsJeunePintadeFemelle=BONNE,VLOOKUP("Orge",AlimentsRationPintadesFemelles[],3,FALSE),0)+(IF(QualitéAlimentsPintadeMâle=BONNE,VLOOKUP("Orge",AlimentsRationPintadesMâles[],2,FALSE),0)+(IF(QualitéAlimentsPintadeFemelle=BONNE,VLOOKUP("Orge",AlimentsRationPintadesFemelles[],2,FALSE),0))))))))</f>
        <v>0</v>
      </c>
      <c r="DI164" s="1267">
        <f t="array" ref="DI164">SUM((IF(QualitéAlimentsPintadeauMâle_0_1_mois=MOYENNE,VLOOKUP("Orge",AlimentsRationPintadesMâles[],4,FALSE),0)+(IF(QualitéAlimentsPintadeauFemelle_0_1_mois=MOYENNE,VLOOKUP("Orge",AlimentsRationPintadesFemelles[],4,FALSE),0)+(IF(QualitéAlimentsJeunePintadeMâle=MOYENNE,VLOOKUP("Orge",AlimentsRationPintadesMâles[],3,FALSE),0)+(IF(QualitéAlimentsJeunePintadeFemelle=MOYENNE,VLOOKUP("Orge",AlimentsRationPintadesFemelles[],3,FALSE),0)+(IF(QualitéAlimentsPintadeMâle=MOYENNE,VLOOKUP("Orge",AlimentsRationPintadesMâles[],2,FALSE),0)+(IF(QualitéAlimentsPintadeFemelle=MOYENNE,VLOOKUP("Orge",AlimentsRationPintadesFemelles[],2,FALSE),0))))))))</f>
        <v>0</v>
      </c>
      <c r="DJ164" s="1267">
        <f t="array" ref="DJ164">SUM((IF(QualitéAlimentsPintadeauMâle_0_1_mois=MAUVAISE,VLOOKUP("Orge",AlimentsRationPintadesMâles[],4,FALSE),0)+(IF(QualitéAlimentsPintadeauFemelle_0_1_mois=MAUVAISE,VLOOKUP("Orge",AlimentsRationPintadesFemelles[],4,FALSE),0)+(IF(QualitéAlimentsJeunePintadeMâle=MAUVAISE,VLOOKUP("Orge",AlimentsRationPintadesMâles[],3,FALSE),0)+(IF(QualitéAlimentsJeunePintadeFemelle=MAUVAISE,VLOOKUP("Orge",AlimentsRationPintadesFemelles[],3,FALSE),0)+(IF(QualitéAlimentsPintadeMâle=MAUVAISE,VLOOKUP("Orge",AlimentsRationPintadesMâles[],2,FALSE),0)+(IF(QualitéAlimentsPintadeFemelle=MAUVAISE,VLOOKUP("Orge",AlimentsRationPintadesFemelles[],2,FALSE),0))))))))</f>
        <v>0</v>
      </c>
      <c r="DK164" s="1321"/>
      <c r="DL164" s="1321"/>
      <c r="DM164" s="1321"/>
      <c r="DN164" s="1076" t="s">
        <v>219</v>
      </c>
      <c r="DO164" s="1267">
        <f t="array" ref="DO164">IF(ChoixRationComplèteOvins=OUI,0,IFERROR(IF(OR(AND(INDEX(Règles_ovins[Specificite],MATCH(ChoixRationOvins&amp;$DN164,Règles_ovins[Ration]&amp;Règles_ovins[Aliment],0))="s1",IF($DN164=Spécificité1Ovins,1)),
AND(INDEX(Règles_ovins[Specificite],MATCH(ChoixRationOvins&amp;$DN164,Règles_ovins[Ration]&amp;Règles_ovins[Aliment],0))="s2",IF($DN164=Spécificité2Ovins,1)),
INDEX(Règles_ovins[Specificite],MATCH(ChoixRationOvins&amp;$DN164,Règles_ovins[Ration]&amp;Règles_ovins[Aliment],0))="c"),
INDEX(Règles_ovins[Valeur 12 et plus],MATCH(ChoixRationOvins&amp;$DN164,Règles_ovins[Ration]&amp;Règles_ovins[Aliment],0)),0),0)*IF(ChoixOvinsPréHiver=OUI,SUM(TotalOvinsAdultesRacesLaitières)*NbreJoursNourrirOvins,TotalBéliers*SUM(NbreJoursNourrirOvins)))</f>
        <v>0</v>
      </c>
      <c r="DP164" s="1267">
        <f t="array" ref="DP164">IF(ChoixRationComplèteOvins=OUI,0,IFERROR(IF(OR(AND(INDEX(Règles_ovins[Specificite],MATCH(ChoixRationOvins&amp;$DN164,Règles_ovins[Ration]&amp;Règles_ovins[Aliment],0))="s1",IF($DN164=Spécificité1Ovins,1)),
AND(INDEX(Règles_ovins[Specificite],MATCH(ChoixRationOvins&amp;$DN164,Règles_ovins[Ration]&amp;Règles_ovins[Aliment],0))="s2",IF($DN164=Spécificité2Ovins,1)),
INDEX(Règles_ovins[Specificite],MATCH(ChoixRationOvins&amp;$DN164,Règles_ovins[Ration]&amp;Règles_ovins[Aliment],0))="c"),
INDEX(Règles_ovins[Valeur 6-12],MATCH(ChoixRationOvins&amp;$DN164,Règles_ovins[Ration]&amp;Règles_ovins[Aliment],0)),0),0)*IF(ChoixOvinsPréHiver=OUI,SUM(TotalJeunesOvinsRacesLaitières)*NbreJoursNourrirOvins,TotalJeune_bélier_6_12_mois*SUM(NbreJoursNourrirOvins)))</f>
        <v>0</v>
      </c>
      <c r="DQ164" s="1267">
        <f t="array" ref="DQ164">IF(ChoixRationComplèteOvins=OUI,0,IFERROR(IF(OR(AND(INDEX(Règles_ovins[Specificite],MATCH(ChoixRationOvins&amp;$DN164,Règles_ovins[Ration]&amp;Règles_ovins[Aliment],0))="s1",IF($DN164=Spécificité1Ovins,1)),
AND(INDEX(Règles_ovins[Specificite],MATCH(ChoixRationOvins&amp;$DN164,Règles_ovins[Ration]&amp;Règles_ovins[Aliment],0))="s2",IF($DN164=Spécificité2Ovins,1)),
INDEX(Règles_ovins[Specificite],MATCH(ChoixRationOvins&amp;$DN164,Règles_ovins[Ration]&amp;Règles_ovins[Aliment],0))="c"),
INDEX(Règles_ovins[Valeur 3-6],MATCH(ChoixRationOvins&amp;$DN164,Règles_ovins[Ration]&amp;Règles_ovins[Aliment],0)),0),0)*IF(ChoixOvinsPréHiver=OUI,SUM(TotalOvins_3_6moisRacesLaitières)*NbreJoursNourrirOvins,TotalAgneau_3_6_mois*SUM(NbreJoursNourrirOvins)))</f>
        <v>0</v>
      </c>
      <c r="DR164" s="1267">
        <f t="array" ref="DR164">IF(ChoixRationComplèteOvins=OUI,0,IFERROR(IF(OR(AND(INDEX(Règles_ovins[Specificite],MATCH(ChoixRationOvins&amp;$DN164,Règles_ovins[Ration]&amp;Règles_ovins[Aliment],0))="s1",IF($DN164=Spécificité1Ovins,1)),
AND(INDEX(Règles_ovins[Specificite],MATCH(ChoixRationOvins&amp;$DN164,Règles_ovins[Ration]&amp;Règles_ovins[Aliment],0))="s2",IF($DN164=Spécificité2Ovins,1)),
INDEX(Règles_ovins[Specificite],MATCH(ChoixRationOvins&amp;$DN164,Règles_ovins[Ration]&amp;Règles_ovins[Aliment],0))="c"),
INDEX(Règles_ovins[Valeur 0-3],MATCH(ChoixRationOvins&amp;$DN164,Règles_ovins[Ration]&amp;Règles_ovins[Aliment],0)),0),0)*IF(ChoixOvinsPréHiver=OUI,SUM(TotalOvins_3_6moisRacesLaitières)*NbreJoursNourrirOvins,TotalAgneau_0_3_mois*SUM(NbreJoursNourrirOvins)))</f>
        <v>0</v>
      </c>
      <c r="DS164" s="1279">
        <f t="shared" si="61"/>
        <v>0</v>
      </c>
      <c r="DT164" s="1346"/>
      <c r="DU164" s="1346"/>
      <c r="DV164" s="1321"/>
      <c r="DW164" s="1321"/>
      <c r="DX164" s="1321"/>
      <c r="DY164" s="1321"/>
      <c r="DZ164" s="1321"/>
      <c r="EA164" s="1321"/>
      <c r="EB164" s="1321"/>
      <c r="EC164" s="1321"/>
      <c r="ED164" s="1345"/>
      <c r="EE164" s="1345"/>
      <c r="EF164" s="1321"/>
      <c r="EG164" s="1076" t="str">
        <f t="shared" si="63"/>
        <v>Foin</v>
      </c>
      <c r="EH164" s="1267">
        <f t="array" ref="EH164">SUM((IF(QualitéAlimentsOisonMâle_0_3_mois=BONNE,VLOOKUP("Foin",AlimentsRationOiesMâles[],4,FALSE),0)+(IF(QualitéAlimentsOisonFemelle_0_3_mois=BONNE,VLOOKUP("Foin",AlimentsRationOiesFemelles[],4,FALSE),0)+(IF(QualitéAlimentsJeuneJars=BONNE,VLOOKUP("Foin",AlimentsRationOiesMâles[],3,FALSE),0)+(IF(QualitéAlimentsJeuneOie=BONNE,VLOOKUP("Foin",AlimentsRationOiesFemelles[],3,FALSE),0)+(IF(QualitéAlimentsJars=BONNE,VLOOKUP("Foin",AlimentsRationOiesMâles[],2,FALSE),0)+(IF(QualitéAlimentsOie=BONNE,VLOOKUP("Foin",AlimentsRationOiesFemelles[],2,FALSE),0))))))))</f>
        <v>0</v>
      </c>
      <c r="EI164" s="1267">
        <f t="array" ref="EI164">SUM((IF(QualitéAlimentsOisonMâle_0_3_mois=MOYENNE,VLOOKUP("Foin",AlimentsRationOiesMâles[],4,FALSE),0)+(IF(QualitéAlimentsOisonFemelle_0_3_mois=MOYENNE,VLOOKUP("Foin",AlimentsRationOiesFemelles[],4,FALSE),0)+(IF(QualitéAlimentsJeuneJars=MOYENNE,VLOOKUP("Foin",AlimentsRationOiesMâles[],3,FALSE),0)+(IF(QualitéAlimentsJeuneOie=MOYENNE,VLOOKUP("Foin",AlimentsRationOiesFemelles[],3,FALSE),0)+(IF(QualitéAlimentsJars=MOYENNE,VLOOKUP("Foin",AlimentsRationOiesMâles[],2,FALSE),0)+(IF(QualitéAlimentsOie=MOYENNE,VLOOKUP("Foin",AlimentsRationOiesFemelles[],2,FALSE),0))))))))</f>
        <v>0</v>
      </c>
      <c r="EJ164" s="1267">
        <f t="array" ref="EJ164">SUM((IF(QualitéAlimentsOisonMâle_0_3_mois=MAUVAISE,VLOOKUP("Foin",AlimentsRationOiesMâles[],4,FALSE),0)+(IF(QualitéAlimentsOisonFemelle_0_3_mois=MAUVAISE,VLOOKUP("Foin",AlimentsRationOiesFemelles[],4,FALSE),0)+(IF(QualitéAlimentsJeuneJars=MAUVAISE,VLOOKUP("Foin",AlimentsRationOiesMâles[],3,FALSE),0)+(IF(QualitéAlimentsJeuneOie=MAUVAISE,VLOOKUP("Foin",AlimentsRationOiesFemelles[],3,FALSE),0)+(IF(QualitéAlimentsJars=MAUVAISE,VLOOKUP("Foin",AlimentsRationOiesMâles[],2,FALSE),0)+(IF(QualitéAlimentsOie=MAUVAISE,VLOOKUP("Foin",AlimentsRationOiesFemelles[],2,FALSE),0))))))))</f>
        <v>0</v>
      </c>
      <c r="EK164" s="1345"/>
      <c r="EL164" s="1345"/>
      <c r="EM164" s="1321"/>
      <c r="EN164" s="1083" t="str">
        <f t="shared" si="62"/>
        <v>Haricot vert</v>
      </c>
      <c r="EO164" s="1283">
        <f t="array" ref="EO164">SUM((IF(QualitéAlimentsCanetonMâle=BONNE,VLOOKUP("Haricot vert",AlimentsRationCanardsMâles,4,FALSE),0)+(IF(QualitéAlimentsCanetonFemelle=BONNE,VLOOKUP("Haricot vert",AlimentsRationCanardsFemelles,4,FALSE),0)+(IF(QualitéAlimentsJeuneCanard=BONNE,VLOOKUP("Haricot vert",AlimentsRationCanardsMâles,3,FALSE),0)+(IF(QualitéAlimentsJeuneCane=BONNE,VLOOKUP("Haricot vert",AlimentsRationCanardsFemelles,3,FALSE),0)+(IF(QualitéAlimentsCanard=BONNE,VLOOKUP("Haricot vert",AlimentsRationCanardsMâles,2,FALSE),0)+(IF(QualitéAlimentsCane=BONNE,VLOOKUP("Haricot vert",AlimentsRationCanardsFemelles,2,FALSE),0))))))))</f>
        <v>0</v>
      </c>
      <c r="EP164" s="1283">
        <f t="array" ref="EP164">SUM((IF(QualitéAlimentsCanetonMâle=MOYENNE,VLOOKUP("Haricot vert",AlimentsRationCanardsMâles,4,FALSE),0)+(IF(QualitéAlimentsCanetonFemelle=MOYENNE,VLOOKUP("Haricot vert",AlimentsRationCanardsFemelles,4,FALSE),0)+(IF(QualitéAlimentsJeuneCanard=MOYENNE,VLOOKUP("Haricot vert",AlimentsRationCanardsMâles,3,FALSE),0)+(IF(QualitéAlimentsJeuneCane=MOYENNE,VLOOKUP("Haricot vert",AlimentsRationCanardsFemelles,3,FALSE),0)+(IF(QualitéAlimentsCanard=MOYENNE,VLOOKUP("Haricot vert",AlimentsRationCanardsMâles,2,FALSE),0)+(IF(QualitéAlimentsCane=MOYENNE,VLOOKUP("Haricot vert",AlimentsRationCanardsFemelles,2,FALSE),0))))))))</f>
        <v>0</v>
      </c>
      <c r="EQ164" s="1283">
        <f t="array" ref="EQ164">SUM((IF(QualitéAlimentsCanetonMâle=MAUVAISE,VLOOKUP("Haricot vert",AlimentsRationCanardsMâles,4,FALSE),0)+(IF(QualitéAlimentsCanetonFemelle=MAUVAISE,VLOOKUP("Haricot vert",AlimentsRationCanardsFemelles,4,FALSE),0)+(IF(QualitéAlimentsJeuneCanard=MAUVAISE,VLOOKUP("Haricot vert",AlimentsRationCanardsMâles,3,FALSE),0)+(IF(QualitéAlimentsJeuneCane=MAUVAISE,VLOOKUP("Haricot vert",AlimentsRationCanardsFemelles,3,FALSE),0)+(IF(QualitéAlimentsCanard=MAUVAISE,VLOOKUP("Haricot vert",AlimentsRationCanardsMâles,2,FALSE),0)+(IF(QualitéAlimentsCane=MAUVAISE,VLOOKUP("Haricot vert",AlimentsRationCanardsFemelles,2,FALSE),0))))))))</f>
        <v>0</v>
      </c>
      <c r="ER164" s="1345"/>
      <c r="ES164" s="1345"/>
      <c r="ET164" s="1321"/>
      <c r="EU164" s="1082" t="str">
        <f t="shared" si="60"/>
        <v>Lentille</v>
      </c>
      <c r="EV164" s="1282">
        <f t="array" ref="EV164">IF(OR(ChoixRationHivernaleComplèteChevauxSelle=OUI,ChoixRationHivernaleComplèteChevauxSelle="",ChoixChevauxSellePréHiver=NON),0,IFERROR(IF(OR(AND(INDEX(Règles_chevaux_selle[Specificite],MATCH(RationHivernaleAuPréChevauxSelle&amp;$EU164,Règles_chevaux_selle[Ration]&amp;Règles_chevaux_selle[Aliment],0))="s1",IF($EU164=Spécificité1ChevauxSelle,1)),
AND(INDEX(Règles_chevaux_selle[Specificite],MATCH(RationHivernaleAuPréChevauxSelle&amp;$EU164,Règles_chevaux_selle[Ration]&amp;Règles_chevaux_selle[Aliment],0))="s2",IF($EU164=Spécificité2ChevauxSelle,1)),
INDEX(Règles_chevaux_selle[Specificite],MATCH(RationHivernaleAuPréChevauxSelle&amp;$EU164,Règles_chevaux_selle[Ration]&amp;Règles_chevaux_selle[Aliment],0))="c"),
INDEX(Règles_chevaux_selle[Valeur 36 et plus],MATCH(RationHivernaleAuPréChevauxSelle&amp;$EU164,Règles_chevaux_selle[Ration]&amp;Règles_chevaux_selle[Aliment],0)),0),0)*SUM(TotalChevauxSelleAdultes)*21)</f>
        <v>0</v>
      </c>
      <c r="EW164" s="1282">
        <f t="array" ref="EW164">IF(OR(ChoixRationHivernaleComplèteChevauxSelle=OUI,ChoixRationHivernaleComplèteChevauxSelle="",ChoixChevauxSellePréHiver=NON),0,IFERROR(IF(OR(AND(INDEX(Règles_chevaux_selle[Specificite],MATCH(RationHivernaleAuPréChevauxSelle&amp;$EU164,Règles_chevaux_selle[Ration]&amp;Règles_chevaux_selle[Aliment],0))="s1",IF($EU164=Spécificité1ChevauxSelle,1)),
AND(INDEX(Règles_chevaux_selle[Specificite],MATCH(RationHivernaleAuPréChevauxSelle&amp;$EU164,Règles_chevaux_selle[Ration]&amp;Règles_chevaux_selle[Aliment],0))="s2",IF($EU164=Spécificité2ChevauxSelle,1)),
INDEX(Règles_chevaux_selle[Specificite],MATCH(RationHivernaleAuPréChevauxSelle&amp;$EU164,Règles_chevaux_selle[Ration]&amp;Règles_chevaux_selle[Aliment],0))="c"),
INDEX(Règles_chevaux_selle[Valeur 24-36],MATCH(RationHivernaleAuPréChevauxSelle&amp;$EU164,Règles_chevaux_selle[Ration]&amp;Règles_chevaux_selle[Aliment],0)),0),0)*SUM(TotalChevauxSelle_24_36mois)*21)</f>
        <v>0</v>
      </c>
      <c r="EX164" s="1282">
        <f t="array" ref="EX164">IF(OR(ChoixRationHivernaleComplèteChevauxSelle=OUI,ChoixRationHivernaleComplèteChevauxSelle="",ChoixChevauxSellePréHiver=NON),0,IFERROR(IF(OR(AND(INDEX(Règles_chevaux_selle[Specificite],MATCH(RationHivernaleAuPréChevauxSelle&amp;$EU164,Règles_chevaux_selle[Ration]&amp;Règles_chevaux_selle[Aliment],0))="s1",IF($EU164=Spécificité1ChevauxSelle,1)),
AND(INDEX(Règles_chevaux_selle[Specificite],MATCH(RationHivernaleAuPréChevauxSelle&amp;$EU164,Règles_chevaux_selle[Ration]&amp;Règles_chevaux_selle[Aliment],0))="s2",IF($EU164=Spécificité2ChevauxSelle,1)),
INDEX(Règles_chevaux_selle[Specificite],MATCH(RationHivernaleAuPréChevauxSelle&amp;$EU164,Règles_chevaux_selle[Ration]&amp;Règles_chevaux_selle[Aliment],0))="c"),
INDEX(Règles_chevaux_selle[Valeur 12-24],MATCH(RationHivernaleAuPréChevauxSelle&amp;$EU164,Règles_chevaux_selle[Ration]&amp;Règles_chevaux_selle[Aliment],0)),0),0)*SUM(TotalChevauxSelle_12_24mois)*21)</f>
        <v>0</v>
      </c>
      <c r="EY164" s="1285">
        <f t="array" ref="EY164">IF(OR(ChoixRationHivernaleComplèteChevauxSelle=OUI,ChoixRationHivernaleComplèteChevauxSelle="",ChoixChevauxSellePréHiver=NON),0,IFERROR(IF(OR(AND(INDEX(Règles_chevaux_selle[Specificite],MATCH(RationHivernaleAuPréChevauxSelle&amp;$EU164,Règles_chevaux_selle[Ration]&amp;Règles_chevaux_selle[Aliment],0))="s1",IF($EU164=Spécificité1ChevauxSelle,1)),
AND(INDEX(Règles_chevaux_selle[Specificite],MATCH(RationHivernaleAuPréChevauxSelle&amp;$EU164,Règles_chevaux_selle[Ration]&amp;Règles_chevaux_selle[Aliment],0))="s2",IF($EU164=Spécificité2ChevauxSelle,1)),
INDEX(Règles_chevaux_selle[Specificite],MATCH(RationHivernaleAuPréChevauxSelle&amp;$EU164,Règles_chevaux_selle[Ration]&amp;Règles_chevaux_selle[Aliment],0))="c"),
INDEX(Règles_chevaux_selle[Valeur 0-12],MATCH(RationHivernaleAuPréChevauxSelle&amp;$EU164,Règles_chevaux_selle[Ration]&amp;Règles_chevaux_selle[Aliment],0)),0),0)*SUM(TotalPoulainsSelle)*21)</f>
        <v>0</v>
      </c>
      <c r="EZ164" s="1285">
        <f t="shared" si="59"/>
        <v>0</v>
      </c>
      <c r="FA164" s="1345"/>
      <c r="FB164" s="1345"/>
      <c r="FC164" s="1321"/>
      <c r="FD164" s="1082" t="str">
        <f t="shared" si="55"/>
        <v>Pois</v>
      </c>
      <c r="FE164" s="1282">
        <f t="array" ref="FE164">IF(OR(ChoixRationHivernaleComplèteChevauxTrait=OUI,ChoixRationHivernaleComplèteChevauxTrait="",ChoixChevauxTraitPréHiver=NON),0,IFERROR(IF(OR(AND(INDEX(Règles_chevaux_trait[Specificite],MATCH(RationHivernaleAuPréChevauxTrait&amp;$FD164,Règles_chevaux_trait[Ration]&amp;Règles_chevaux_trait[Aliment],0))="s1",IF($FD164=Spécificité1ChevauxTrait,1)),
AND(INDEX(Règles_chevaux_trait[Specificite],MATCH(RationHivernaleAuPréChevauxTrait&amp;$FD164,Règles_chevaux_trait[Ration]&amp;Règles_chevaux_trait[Aliment],0))="s2",IF($FD164=Spécificité2ChevauxTrait,1)),
INDEX(Règles_chevaux_trait[Specificite],MATCH(RationHivernaleAuPréChevauxTrait&amp;$FD164,Règles_chevaux_trait[Ration]&amp;Règles_chevaux_trait[Aliment],0))="c"),
INDEX(Règles_chevaux_trait[Valeur 36 et plus],MATCH(RationHivernaleAuPréChevauxTrait&amp;$FD164,Règles_chevaux_trait[Ration]&amp;Règles_chevaux_trait[Aliment],0)),0),0)*SUM(TotalChevauxTraitAdultes)*21)</f>
        <v>0</v>
      </c>
      <c r="FF164" s="1282">
        <f t="array" ref="FF164">IF(OR(ChoixRationHivernaleComplèteChevauxTrait=OUI,ChoixRationHivernaleComplèteChevauxTrait="",ChoixChevauxTraitPréHiver=NON),0,IFERROR(IF(OR(AND(INDEX(Règles_chevaux_trait[Specificite],MATCH(RationHivernaleAuPréChevauxTrait&amp;$FD164,Règles_chevaux_trait[Ration]&amp;Règles_chevaux_trait[Aliment],0))="s1",IF($FD164=Spécificité1ChevauxTrait,1)),
AND(INDEX(Règles_chevaux_trait[Specificite],MATCH(RationHivernaleAuPréChevauxTrait&amp;$FD164,Règles_chevaux_trait[Ration]&amp;Règles_chevaux_trait[Aliment],0))="s2",IF($FD164=Spécificité2ChevauxTrait,1)),
INDEX(Règles_chevaux_trait[Specificite],MATCH(RationHivernaleAuPréChevauxTrait&amp;$FD164,Règles_chevaux_trait[Ration]&amp;Règles_chevaux_trait[Aliment],0))="c"),
INDEX(Règles_chevaux_trait[Valeur 24-36],MATCH(RationHivernaleAuPréChevauxTrait&amp;$FD164,Règles_chevaux_trait[Ration]&amp;Règles_chevaux_trait[Aliment],0)),0),0)*SUM(TotalChevauxTrait_24_36mois)*21)</f>
        <v>0</v>
      </c>
      <c r="FG164" s="1282">
        <f t="array" ref="FG164">IF(OR(ChoixRationHivernaleComplèteChevauxTrait=OUI,ChoixRationHivernaleComplèteChevauxTrait="",ChoixChevauxTraitPréHiver=NON),0,IFERROR(IF(OR(AND(INDEX(Règles_chevaux_trait[Specificite],MATCH(RationHivernaleAuPréChevauxTrait&amp;$FD164,Règles_chevaux_trait[Ration]&amp;Règles_chevaux_trait[Aliment],0))="s1",IF($FD164=Spécificité1ChevauxTrait,1)),
AND(INDEX(Règles_chevaux_trait[Specificite],MATCH(RationHivernaleAuPréChevauxTrait&amp;$FD164,Règles_chevaux_trait[Ration]&amp;Règles_chevaux_trait[Aliment],0))="s2",IF($FD164=Spécificité2ChevauxTrait,1)),
INDEX(Règles_chevaux_trait[Specificite],MATCH(RationHivernaleAuPréChevauxTrait&amp;$FD164,Règles_chevaux_trait[Ration]&amp;Règles_chevaux_trait[Aliment],0))="c"),
INDEX(Règles_chevaux_trait[Valeur 12-24],MATCH(RationHivernaleAuPréChevauxTrait&amp;$FD164,Règles_chevaux_trait[Ration]&amp;Règles_chevaux_trait[Aliment],0)),0),0)*SUM(TotalChevauxTrait_12_24mois)*21)</f>
        <v>0</v>
      </c>
      <c r="FH164" s="1285">
        <f t="array" ref="FH164">IF(OR(ChoixRationHivernaleComplèteChevauxTrait=OUI,ChoixRationHivernaleComplèteChevauxTrait="",ChoixChevauxTraitPréHiver=NON),0,IFERROR(IF(OR(AND(INDEX(Règles_chevaux_trait[Specificite],MATCH(RationHivernaleAuPréChevauxTrait&amp;$FD164,Règles_chevaux_trait[Ration]&amp;Règles_chevaux_trait[Aliment],0))="s1",IF($FD164=Spécificité1ChevauxTrait,1)),
AND(INDEX(Règles_chevaux_trait[Specificite],MATCH(RationHivernaleAuPréChevauxTrait&amp;$FD164,Règles_chevaux_trait[Ration]&amp;Règles_chevaux_trait[Aliment],0))="s2",IF($FD164=Spécificité2ChevauxTrait,1)),
INDEX(Règles_chevaux_trait[Specificite],MATCH(RationHivernaleAuPréChevauxTrait&amp;$FD164,Règles_chevaux_trait[Ration]&amp;Règles_chevaux_trait[Aliment],0))="c"),
INDEX(Règles_chevaux_trait[Valeur 0-12],MATCH(RationHivernaleAuPréChevauxTrait&amp;$FD164,Règles_chevaux_trait[Ration]&amp;Règles_chevaux_trait[Aliment],0)),0),0)*SUM(TotalPoulainsTrait)*21)</f>
        <v>0</v>
      </c>
      <c r="FI164" s="1285">
        <f t="shared" si="53"/>
        <v>0</v>
      </c>
      <c r="FJ164" s="1345"/>
      <c r="FK164" s="1345"/>
      <c r="FL164" s="1345"/>
      <c r="FM164" s="1321"/>
      <c r="FN164" s="1083" t="str">
        <f t="shared" si="54"/>
        <v>Pomme de terre</v>
      </c>
      <c r="FO164" s="1283">
        <f t="array" ref="FO164">IF(OR(ChoixRationHivernaleComplètePoneys=OUI,ChoixRationHivernaleComplètePoneys="",ChoixPoneysPréHiver=NON),0,IFERROR(IF(OR(AND(INDEX(Règles_poneys[Specificite],MATCH(RationHivernaleAuPréPoneys&amp;$FN164,Règles_poneys[Ration]&amp;Règles_poneys[Aliment],0))="s1",IF($FN164=Spécificité1Poneys,1)),
AND(INDEX(Règles_poneys[Specificite],MATCH(RationHivernaleAuPréPoneys&amp;$FN164,Règles_poneys[Ration]&amp;Règles_poneys[Aliment],0))="s2",IF($FN164=Spécificité2Poneys,1)),
INDEX(Règles_poneys[Specificite],MATCH(RationHivernaleAuPréPoneys&amp;$FN164,Règles_poneys[Ration]&amp;Règles_poneys[Aliment],0))="c"),
INDEX(Règles_poneys[Valeur 36 et plus],MATCH(RationHivernaleAuPréPoneys&amp;$FN164,Règles_poneys[Ration]&amp;Règles_poneys[Aliment],0)),0),0)*SUM(TotalPoneysAdultes)*21)</f>
        <v>0</v>
      </c>
      <c r="FP164" s="1283">
        <f t="array" ref="FP164">IF(OR(ChoixRationHivernaleComplètePoneys=OUI,ChoixRationHivernaleComplètePoneys="",ChoixPoneysPréHiver=NON),0,IFERROR(IF(OR(AND(INDEX(Règles_poneys[Specificite],MATCH(RationHivernaleAuPréPoneys&amp;$FN164,Règles_poneys[Ration]&amp;Règles_poneys[Aliment],0))="s1",IF($FN164=Spécificité1Poneys,1)),
AND(INDEX(Règles_poneys[Specificite],MATCH(RationHivernaleAuPréPoneys&amp;$FN164,Règles_poneys[Ration]&amp;Règles_poneys[Aliment],0))="s2",IF($FN164=Spécificité2Poneys,1)),
INDEX(Règles_poneys[Specificite],MATCH(RationHivernaleAuPréPoneys&amp;$FN164,Règles_poneys[Ration]&amp;Règles_poneys[Aliment],0))="c"),
INDEX(Règles_poneys[Valeur 24-36],MATCH(RationHivernaleAuPréPoneys&amp;$FN164,Règles_poneys[Ration]&amp;Règles_poneys[Aliment],0)),0),0)*SUM(TotalPoneys_24_36mois)*21)</f>
        <v>0</v>
      </c>
      <c r="FQ164" s="1283">
        <f t="array" ref="FQ164">IF(OR(ChoixRationHivernaleComplètePoneys=OUI,ChoixRationHivernaleComplètePoneys="",ChoixPoneysPréHiver=NON),0,IFERROR(IF(OR(AND(INDEX(Règles_poneys[Specificite],MATCH(RationHivernaleAuPréPoneys&amp;$FN164,Règles_poneys[Ration]&amp;Règles_poneys[Aliment],0))="s1",IF($FN164=Spécificité1Poneys,1)),
AND(INDEX(Règles_poneys[Specificite],MATCH(RationHivernaleAuPréPoneys&amp;$FN164,Règles_poneys[Ration]&amp;Règles_poneys[Aliment],0))="s2",IF($FN164=Spécificité2Poneys,1)),
INDEX(Règles_poneys[Specificite],MATCH(RationHivernaleAuPréPoneys&amp;$FN164,Règles_poneys[Ration]&amp;Règles_poneys[Aliment],0))="c"),
INDEX(Règles_poneys[Valeur 12-24],MATCH(RationHivernaleAuPréPoneys&amp;$FN164,Règles_poneys[Ration]&amp;Règles_poneys[Aliment],0)),0),0)*SUM(TotalPoneys_12_24mois)*21)</f>
        <v>0</v>
      </c>
      <c r="FR164" s="1286">
        <f t="array" ref="FR164">IF(OR(ChoixRationHivernaleComplètePoneys=OUI,ChoixRationHivernaleComplètePoneys="",ChoixPoneysPréHiver=NON),0,IFERROR(IF(OR(AND(INDEX(Règles_poneys[Specificite],MATCH(RationHivernaleAuPréPoneys&amp;$FN164,Règles_poneys[Ration]&amp;Règles_poneys[Aliment],0))="s1",IF($FN164=Spécificité1Poneys,1)),
AND(INDEX(Règles_poneys[Specificite],MATCH(RationHivernaleAuPréPoneys&amp;$FN164,Règles_poneys[Ration]&amp;Règles_poneys[Aliment],0))="s2",IF($FN164=Spécificité2Poneys,1)),
INDEX(Règles_poneys[Specificite],MATCH(RationHivernaleAuPréPoneys&amp;$FN164,Règles_poneys[Ration]&amp;Règles_poneys[Aliment],0))="c"),
INDEX(Règles_poneys[Valeur 0-12],MATCH(RationHivernaleAuPréPoneys&amp;$FN164,Règles_poneys[Ration]&amp;Règles_poneys[Aliment],0)),0),0)*SUM(TotalPoulainsPoneys)*21)</f>
        <v>0</v>
      </c>
      <c r="FS164" s="1286">
        <f t="shared" si="52"/>
        <v>0</v>
      </c>
      <c r="FT164" s="1345"/>
      <c r="FU164" s="1345"/>
      <c r="FV164" s="1345"/>
      <c r="FW164" s="1082" t="str">
        <f t="shared" si="49"/>
        <v>Sorgho ensilé</v>
      </c>
      <c r="FX164" s="1282">
        <f t="array" ref="FX164">SUM((IF(QualitéAlimentsGavageOison_0_1_mois=BONNE,VLOOKUP("Sorgho ensilé",AlimentsGavageOies[],5,FALSE),0)+(IF(QualitéAlimentsGavageCaneton_0_1_mois=BONNE,VLOOKUP("Sorgho ensilé",AlimentsGavageCanards[],5,FALSE),0)+(IF(QualitéAlimentsGavageOison_1_2_mois=BONNE,VLOOKUP("Sorgho ensilé",AlimentsGavageOies[],4,FALSE),0)+(IF(QualitéAlimentsGavageCaneton_1_2_mois=BONNE,VLOOKUP("Sorgho ensilé",AlimentsGavageCanards[],4,FALSE),0)+(IF(QualitéAlimentsGavageOison_2_3_mois=BONNE,VLOOKUP("Sorgho ensilé",AlimentsGavageOies[],3,FALSE),0)+(IF(QualitéAlimentsGavageCaneton_2_3_mois=BONNE,VLOOKUP("Sorgho ensilé",AlimentsGavageCanards[],3,FALSE),0)+(IF(QualitéAlimentsGavageJeunesOies=BONNE,VLOOKUP("Sorgho ensilé",AlimentsGavageOies[],2,FALSE),0)+(IF(QualitéAlimentsGavageJeuneCanard=BONNE,VLOOKUP("Sorgho ensilé",AlimentsGavageCanards[],2,FALSE),0))))))))))</f>
        <v>0</v>
      </c>
      <c r="FY164" s="1282">
        <f t="array" ref="FY164">SUM((IF(QualitéAlimentsGavageOison_0_1_mois=MOYENNE,VLOOKUP("Sorgho ensilé",AlimentsGavageOies[],5,FALSE),0)+(IF(QualitéAlimentsGavageCaneton_0_1_mois=MOYENNE,VLOOKUP("Sorgho ensilé",AlimentsGavageCanards[],5,FALSE),0)+(IF(QualitéAlimentsGavageOison_1_2_mois=MOYENNE,VLOOKUP("Sorgho ensilé",AlimentsGavageOies[],4,FALSE),0)+(IF(QualitéAlimentsGavageCaneton_1_2_mois=MOYENNE,VLOOKUP("Sorgho ensilé",AlimentsGavageCanards[],4,FALSE),0)+(IF(QualitéAlimentsGavageOison_2_3_mois=MOYENNE,VLOOKUP("Sorgho ensilé",AlimentsGavageOies[],3,FALSE),0)+(IF(QualitéAlimentsGavageCaneton_2_3_mois=MOYENNE,VLOOKUP("Sorgho ensilé",AlimentsGavageCanards[],3,FALSE),0)+(IF(QualitéAlimentsGavageJeunesOies=MOYENNE,VLOOKUP("Sorgho ensilé",AlimentsGavageOies[],2,FALSE),0)+(IF(QualitéAlimentsGavageJeuneCanard=MOYENNE,VLOOKUP("Sorgho ensilé",AlimentsGavageCanards[],2,FALSE),0))))))))))</f>
        <v>0</v>
      </c>
      <c r="FZ164" s="1282">
        <f t="array" ref="FZ164">SUM((IF(QualitéAlimentsGavageOison_0_1_mois=MAUVAISE,VLOOKUP("Sorgho ensilé",AlimentsGavageOies[],5,FALSE),0)+(IF(QualitéAlimentsGavageCaneton_0_1_mois=MAUVAISE,VLOOKUP("Sorgho ensilé",AlimentsGavageCanards[],5,FALSE),0)+(IF(QualitéAlimentsGavageOison_1_2_mois=MAUVAISE,VLOOKUP("Sorgho ensilé",AlimentsGavageOies[],4,FALSE),0)+(IF(QualitéAlimentsGavageCaneton_1_2_mois=MAUVAISE,VLOOKUP("Sorgho ensilé",AlimentsGavageCanards[],4,FALSE),0)+(IF(QualitéAlimentsGavageOison_2_3_mois=MAUVAISE,VLOOKUP("Sorgho ensilé",AlimentsGavageOies[],3,FALSE),0)+(IF(QualitéAlimentsGavageCaneton_2_3_mois=MAUVAISE,VLOOKUP("Sorgho ensilé",AlimentsGavageCanards[],3,FALSE),0)+(IF(QualitéAlimentsGavageJeunesOies=MAUVAISE,VLOOKUP("Sorgho ensilé",AlimentsGavageOies[],2,FALSE),0)+(IF(QualitéAlimentsGavageJeuneCanard=MAUVAISE,VLOOKUP("Sorgho ensilé",AlimentsGavageCanards[],2,FALSE),0))))))))))</f>
        <v>0</v>
      </c>
      <c r="GA164" s="1345"/>
      <c r="GB164" s="1345"/>
      <c r="GC164" s="1321"/>
      <c r="GD164" s="1321"/>
      <c r="GE164" s="1321"/>
      <c r="GF164" s="1321"/>
      <c r="GG164" s="1321" t="s">
        <v>1349</v>
      </c>
      <c r="GH164" s="1321" t="s">
        <v>1349</v>
      </c>
      <c r="GI164" s="1321" t="s">
        <v>1349</v>
      </c>
      <c r="GJ164" s="1321" t="s">
        <v>1349</v>
      </c>
      <c r="GK164" s="1321" t="s">
        <v>1349</v>
      </c>
      <c r="GL164" s="1321" t="s">
        <v>1349</v>
      </c>
      <c r="GM164" s="1321" t="s">
        <v>1349</v>
      </c>
      <c r="GN164" s="1321" t="s">
        <v>1349</v>
      </c>
      <c r="GO164" s="1321" t="s">
        <v>1349</v>
      </c>
      <c r="GP164" s="1321" t="s">
        <v>1349</v>
      </c>
      <c r="GQ164" s="1321" t="s">
        <v>1349</v>
      </c>
      <c r="GR164" s="1321" t="s">
        <v>1349</v>
      </c>
      <c r="GS164" s="1321" t="s">
        <v>1349</v>
      </c>
      <c r="GT164" s="1321" t="s">
        <v>1349</v>
      </c>
      <c r="GU164" s="1321" t="s">
        <v>1349</v>
      </c>
      <c r="GV164" s="1321" t="s">
        <v>1349</v>
      </c>
      <c r="GW164" s="1321"/>
      <c r="GX164" s="1321"/>
      <c r="GY164" s="1321"/>
      <c r="GZ164" s="1321"/>
      <c r="HA164" s="1321"/>
      <c r="HB164" s="1321"/>
      <c r="HC164" s="1321"/>
      <c r="HD164" s="1321"/>
      <c r="HE164" s="1321"/>
      <c r="HF164" s="1321"/>
      <c r="HG164" s="1321"/>
      <c r="HH164" s="1321"/>
      <c r="HI164" s="1321"/>
      <c r="HJ164" s="1321"/>
      <c r="HK164" s="1321"/>
      <c r="HL164" s="1321"/>
      <c r="HM164" s="1321"/>
      <c r="HN164" s="1321"/>
      <c r="HO164" s="1321"/>
      <c r="HP164" s="1321"/>
      <c r="HQ164" s="1321"/>
      <c r="HR164" s="1321"/>
      <c r="HS164" s="1321"/>
      <c r="HT164" s="1321"/>
      <c r="HU164" s="1321"/>
      <c r="HV164" s="1321"/>
      <c r="HW164" s="1321"/>
      <c r="HX164" s="1321"/>
      <c r="HY164" s="1321"/>
      <c r="HZ164" s="1321"/>
      <c r="IA164" s="1321"/>
      <c r="IB164" s="1321"/>
      <c r="IC164" s="1321"/>
      <c r="ID164" s="1321"/>
      <c r="IE164" s="1321"/>
      <c r="IF164" s="1321"/>
      <c r="IG164" s="1321"/>
      <c r="IH164" s="1321"/>
      <c r="II164" s="1321"/>
      <c r="IJ164" s="1321"/>
      <c r="IK164" s="1321"/>
      <c r="IL164" s="1321"/>
      <c r="IM164" s="1321"/>
      <c r="IN164" s="1368"/>
    </row>
    <row r="165" spans="1:248" ht="12.75" customHeight="1" x14ac:dyDescent="0.2">
      <c r="A165" s="1307" t="s">
        <v>14</v>
      </c>
      <c r="B165" s="1209">
        <v>5.0000000000000001E-3</v>
      </c>
      <c r="C165" s="1321"/>
      <c r="D165" s="1321"/>
      <c r="E165" s="1321"/>
      <c r="F165" s="1321"/>
      <c r="G165" s="1321"/>
      <c r="H165" s="1321"/>
      <c r="I165" s="1076"/>
      <c r="J165" s="1076">
        <f>SUM(gains!$BA$174:$BA$176)</f>
        <v>0</v>
      </c>
      <c r="K165" s="1076">
        <f>IF(gains!BC157=K164,1,0)</f>
        <v>0</v>
      </c>
      <c r="L165" s="1076">
        <f>IF(gains!BC157=L164,2,0)</f>
        <v>0</v>
      </c>
      <c r="M165" s="1076">
        <f>IF(gains!BC157=M164,3,0)</f>
        <v>0</v>
      </c>
      <c r="N165" s="1076">
        <f>IF(gains!BC157=N164,4,0)</f>
        <v>0</v>
      </c>
      <c r="O165" s="1076">
        <f>IF(AND(J165=10,SUM(K165:N165)=1),#REF!,IF(AND(J165=10,SUM(K165:N165)=2),#REF!,IF(AND(J165=10,SUM(K165:N165)=3),#REF!,IF(AND(J165=10,SUM(K165:N165)=4),#REF!,0))))</f>
        <v>0</v>
      </c>
      <c r="P165" s="1076">
        <f>IF(AND(J165=20,SUM(K165:N165)=1),#REF!*7,IF(AND(J165=20,SUM(K165:N165)=2),#REF!*7,IF(AND(J165=20,SUM(K165:N165)=3),#REF!*7,IF(AND(J165=20,SUM(K165:N165)=4),#REF!*7,0))))</f>
        <v>0</v>
      </c>
      <c r="Q165" s="1076">
        <f>IF(AND(J165=30,SUM(K165:N165)=1),#REF!*7*12,IF(AND(J165=30,SUM(K165:N165)=2),#REF!*7*12,IF(AND(J165=30,SUM(K165:N165)=3),#REF!*7*12,IF(AND(J165=30,SUM(K165:N165)=4),#REF!*7*12,0))))</f>
        <v>0</v>
      </c>
      <c r="R165" s="1321"/>
      <c r="S165" s="1321"/>
      <c r="T165" s="1321"/>
      <c r="U165" s="1321"/>
      <c r="V165" s="1321"/>
      <c r="W165" s="1321"/>
      <c r="X165" s="1321"/>
      <c r="Y165" s="1321"/>
      <c r="Z165" s="1321"/>
      <c r="AA165" s="1321"/>
      <c r="AB165" s="1321"/>
      <c r="AC165" s="1321"/>
      <c r="AD165" s="1321"/>
      <c r="AE165" s="1321"/>
      <c r="AF165" s="1321"/>
      <c r="AG165" s="1321"/>
      <c r="AH165" s="1321"/>
      <c r="AI165" s="1321"/>
      <c r="AJ165" s="1321"/>
      <c r="AK165" s="1321"/>
      <c r="AL165" s="1321"/>
      <c r="AM165" s="1321"/>
      <c r="AN165" s="1321"/>
      <c r="AO165" s="1321"/>
      <c r="AP165" s="1321"/>
      <c r="AQ165" s="1321"/>
      <c r="AR165" s="1321"/>
      <c r="AS165" s="1321"/>
      <c r="AT165" s="1321"/>
      <c r="AU165" s="1321"/>
      <c r="AV165" s="1321"/>
      <c r="AW165" s="1321"/>
      <c r="AX165" s="1321"/>
      <c r="AY165" s="1321"/>
      <c r="AZ165" s="1321"/>
      <c r="BA165" s="1321"/>
      <c r="BB165" s="1236" t="s">
        <v>1315</v>
      </c>
      <c r="BC165" s="1190" t="s">
        <v>285</v>
      </c>
      <c r="BD165" s="1190" t="s">
        <v>1253</v>
      </c>
      <c r="BE165" s="1237">
        <v>7.2</v>
      </c>
      <c r="BF165" s="1237">
        <v>6</v>
      </c>
      <c r="BG165" s="1237">
        <v>4</v>
      </c>
      <c r="BH165" s="1237">
        <v>2</v>
      </c>
      <c r="BI165" s="1237">
        <v>1.2</v>
      </c>
      <c r="BJ165" s="1237">
        <v>0.6</v>
      </c>
      <c r="BK165" s="1238">
        <v>0</v>
      </c>
      <c r="BL165" s="1348"/>
      <c r="BM165" s="1346"/>
      <c r="BN165" s="1321"/>
      <c r="BO165" s="1321"/>
      <c r="BP165" s="1321"/>
      <c r="BQ165" s="1321"/>
      <c r="BR165" s="1321"/>
      <c r="BS165" s="1321"/>
      <c r="BT165" s="1321"/>
      <c r="BU165" s="1321"/>
      <c r="BV165" s="1345"/>
      <c r="BW165" s="1345"/>
      <c r="BX165" s="1075" t="str">
        <f t="shared" si="57"/>
        <v>Paille</v>
      </c>
      <c r="BY165" s="1075">
        <f t="array" ref="BY165">IF(ChoixRationComplèteCaprins=OUI,0,IFERROR(IF(OR(AND(INDEX(Règles_caprins[Specificite],MATCH(ChoixRationCaprins&amp;$BX165,Règles_caprins[Ration]&amp;Règles_caprins[Aliment],0))="s1",IF($BX165=Spécificité1Caprins,1)),
INDEX(Règles_caprins[Specificite],MATCH(ChoixRationCaprins&amp;$BX165,Règles_caprins[Ration]&amp;Règles_caprins[Aliment],0))="c"),
INDEX(Règles_caprins[Valeur 12 et plus],MATCH(ChoixRationCaprins&amp;$BX165,Règles_caprins[Ration]&amp;Règles_caprins[Aliment],0)),0),0)*TotalChèvres*SUM(NbreJoursNourrirCaprins))</f>
        <v>0</v>
      </c>
      <c r="BZ165" s="1075">
        <f t="array" ref="BZ165">IF(ChoixRationComplèteCaprins=OUI,0,IFERROR(IF(OR(AND(INDEX(Règles_caprins[Specificite],MATCH(ChoixRationCaprins&amp;$BX165,Règles_caprins[Ration]&amp;Règles_caprins[Aliment],0))="s1",IF($BX165=Spécificité1Caprins,1)),
INDEX(Règles_caprins[Specificite],MATCH(ChoixRationCaprins&amp;$BX165,Règles_caprins[Ration]&amp;Règles_caprins[Aliment],0))="c"),
INDEX(Règles_caprins[Valeur 6-12],MATCH(ChoixRationCaprins&amp;$BX165,Règles_caprins[Ration]&amp;Règles_caprins[Aliment],0)),0),0)*jeune_chèvre_6_12_mois*SUM(NbreJoursNourrirCaprins))</f>
        <v>0</v>
      </c>
      <c r="CA165" s="1075">
        <f t="array" ref="CA165">IF(ChoixRationComplèteCaprins=OUI,0,IFERROR(IF(OR(AND(INDEX(Règles_caprins[Specificite],MATCH(ChoixRationCaprins&amp;$BX165,Règles_caprins[Ration]&amp;Règles_caprins[Aliment],0))="s1",IF($BX165=Spécificité1Caprins,1)),
INDEX(Règles_caprins[Specificite],MATCH(ChoixRationCaprins&amp;$BX165,Règles_caprins[Ration]&amp;Règles_caprins[Aliment],0))="c"),
INDEX(Règles_caprins[Valeur 3-6],MATCH(ChoixRationCaprins&amp;$BX165,Règles_caprins[Ration]&amp;Règles_caprins[Aliment],0)),0),0)*chevrette_3_6_mois*SUM(NbreJoursNourrirCaprins))</f>
        <v>0</v>
      </c>
      <c r="CB165" s="1075">
        <f t="array" ref="CB165">IF(ChoixRationComplèteCaprins=OUI,0,IFERROR(IF(OR(AND(INDEX(Règles_caprins[Specificite],MATCH(ChoixRationCaprins&amp;$BX165,Règles_caprins[Ration]&amp;Règles_caprins[Aliment],0))="s1",IF($BX165=Spécificité1Caprins,1)),
INDEX(Règles_caprins[Specificite],MATCH(ChoixRationCaprins&amp;$BX165,Règles_caprins[Ration]&amp;Règles_caprins[Aliment],0))="c"),
INDEX(Règles_caprins[Valeur 0-3],MATCH(ChoixRationCaprins&amp;$BX165,Règles_caprins[Ration]&amp;Règles_caprins[Aliment],0)),0),0)*chevrette_0_3_mois*SUM(NbreJoursNourrirCaprins))</f>
        <v>0</v>
      </c>
      <c r="CC165" s="1075">
        <f t="shared" si="56"/>
        <v>0</v>
      </c>
      <c r="CD165" s="1345"/>
      <c r="CE165" s="1345"/>
      <c r="CF165" s="1345"/>
      <c r="CG165" s="1345"/>
      <c r="CH165" s="1345"/>
      <c r="CI165" s="1321"/>
      <c r="CJ165" s="1076" t="str">
        <f t="shared" si="51"/>
        <v>Seigle</v>
      </c>
      <c r="CK165" s="1267">
        <f t="array" ref="CK165">SUM((IF(QualitéAlimentsPorceletMâle_0_1_mois=BONNE,VLOOKUP("Seigle",AlimentsRationPorcinsMâles[],6,FALSE),0)+(IF(QualitéAlimentsPorceletFemelle_0_1_mois=BONNE,VLOOKUP("Seigle",AlimentsRationPorcinsFemelles[],6,FALSE),0)+(IF(QualitéAlimentsPorceletMâle_1_3_mois=BONNE,VLOOKUP("Seigle",AlimentsRationPorcinsMâles[],5,FALSE),0)+(IF(QualitéAlimentsPorceletFemelle_1_3_mois=BONNE,VLOOKUP("Seigle",AlimentsRationPorcinsFemelles[],5,FALSE),0)+(IF(QualitéAlimentsJeuneVerrat_3_6_mois=BONNE,VLOOKUP("Seigle",AlimentsRationPorcinsMâles[],4,FALSE),0)+(IF(QualitéAlimentsJeuneTruie_3_6_mois=BONNE,VLOOKUP("Seigle",AlimentsRationPorcinsFemelles[],4,FALSE),0)+(IF(QualitéAlimentsJeuneVerrat_6_12_mois=BONNE,VLOOKUP("Seigle",AlimentsRationPorcinsMâles[],3,FALSE),0)+(IF(QualitéAlimentsJeuneTruie_6_12_mois=BONNE,VLOOKUP("Seigle",AlimentsRationPorcinsFemelles[],3,FALSE),0)+(IF(QualitéAlimentsVerrat=BONNE,VLOOKUP("Seigle",AlimentsRationPorcinsMâles[],2,FALSE),0)+(IF(QualitéAlimentsTruie=BONNE,VLOOKUP("Seigle",AlimentsRationPorcinsFemelles[],2,FALSE),0))))))))))))</f>
        <v>0</v>
      </c>
      <c r="CL165" s="1267">
        <f t="array" ref="CL165">SUM((IF(QualitéAlimentsPorceletMâle_0_1_mois=MOYENNE,VLOOKUP("Seigle",AlimentsRationPorcinsMâles[],6,FALSE),0)+(IF(QualitéAlimentsPorceletFemelle_0_1_mois=MOYENNE,VLOOKUP("Seigle",AlimentsRationPorcinsFemelles[],6,FALSE),0)+(IF(QualitéAlimentsPorceletMâle_1_3_mois=MOYENNE,VLOOKUP("Seigle",AlimentsRationPorcinsMâles[],5,FALSE),0)+(IF(QualitéAlimentsPorceletFemelle_1_3_mois=MOYENNE,VLOOKUP("Seigle",AlimentsRationPorcinsFemelles[],5,FALSE),0)+(IF(QualitéAlimentsJeuneVerrat_3_6_mois=MOYENNE,VLOOKUP("Seigle",AlimentsRationPorcinsMâles[],4,FALSE),0)+(IF(QualitéAlimentsJeuneTruie_3_6_mois=MOYENNE,VLOOKUP("Seigle",AlimentsRationPorcinsFemelles[],4,FALSE),0)+(IF(QualitéAlimentsJeuneVerrat_6_12_mois=MOYENNE,VLOOKUP("Seigle",AlimentsRationPorcinsMâles[],3,FALSE),0)+(IF(QualitéAlimentsJeuneTruie_6_12_mois=MOYENNE,VLOOKUP("Seigle",AlimentsRationPorcinsFemelles[],3,FALSE),0)+(IF(QualitéAlimentsVerrat=MOYENNE,VLOOKUP("Seigle",AlimentsRationPorcinsMâles[],2,FALSE),0)+(IF(QualitéAlimentsTruie=MOYENNE,VLOOKUP("Seigle",AlimentsRationPorcinsFemelles[],2,FALSE),0))))))))))))</f>
        <v>0</v>
      </c>
      <c r="CM165" s="1267">
        <f t="array" ref="CM165">SUM((IF(QualitéAlimentsPorceletMâle_0_1_mois=MAUVAISE,VLOOKUP("Seigle",AlimentsRationPorcinsMâles[],6,FALSE),0)+(IF(QualitéAlimentsPorceletFemelle_0_1_mois=MAUVAISE,VLOOKUP("Seigle",AlimentsRationPorcinsFemelles[],6,FALSE),0)+(IF(QualitéAlimentsPorceletMâle_1_3_mois=MAUVAISE,VLOOKUP("Seigle",AlimentsRationPorcinsMâles[],5,FALSE),0)+(IF(QualitéAlimentsPorceletFemelle_1_3_mois=MAUVAISE,VLOOKUP("Seigle",AlimentsRationPorcinsFemelles[],5,FALSE),0)+(IF(QualitéAlimentsJeuneVerrat_3_6_mois=MAUVAISE,VLOOKUP("Seigle",AlimentsRationPorcinsMâles[],4,FALSE),0)+(IF(QualitéAlimentsJeuneTruie_3_6_mois=MAUVAISE,VLOOKUP("Seigle",AlimentsRationPorcinsFemelles[],4,FALSE),0)+(IF(QualitéAlimentsJeuneVerrat_6_12_mois=MAUVAISE,VLOOKUP("Seigle",AlimentsRationPorcinsMâles[],3,FALSE),0)+(IF(QualitéAlimentsJeuneTruie_6_12_mois=MAUVAISE,VLOOKUP("Seigle",AlimentsRationPorcinsFemelles[],3,FALSE),0)+(IF(QualitéAlimentsVerrat=MAUVAISE,VLOOKUP("Seigle",AlimentsRationPorcinsMâles[],2,FALSE),0)+(IF(QualitéAlimentsTruie=MAUVAISE,VLOOKUP("Seigle",AlimentsRationPorcinsFemelles[],2,FALSE),0))))))))))))</f>
        <v>0</v>
      </c>
      <c r="CN165" s="1320"/>
      <c r="CO165" s="1321"/>
      <c r="CP165" s="1321"/>
      <c r="CQ165" s="1321"/>
      <c r="CR165" s="1321"/>
      <c r="CS165" s="1076" t="str">
        <f t="shared" si="66"/>
        <v>Ensilage d'herbe</v>
      </c>
      <c r="CT165" s="1267">
        <f t="array" ref="CT165">SUM((IF(QualitéAlimentsLapereauMâle_0_1_mois=BONNE,VLOOKUP("Ensilage d'herbe",AlimentsRationLapinsMâles[],4,FALSE),0)+(IF(QualitéAlimentsLapereauFemelle_0_1_mois=BONNE,VLOOKUP("Ensilage d'herbe",AlimentsRationLapinsFemelles[],4,FALSE),0)+(IF(QualitéAlimentsJeuneLapin=BONNE,VLOOKUP("Ensilage d'herbe",AlimentsRationLapinsMâles[],3,FALSE),0)+(IF(QualitéAlimentsJeuneLapine=BONNE,VLOOKUP("Ensilage d'herbe",AlimentsRationLapinsFemelles[],3,FALSE),0)+(IF(QualitéAlimentsLapin=BONNE,VLOOKUP("Ensilage d'herbe",AlimentsRationLapinsMâles[],2,FALSE),0)+(IF(QualitéAlimentsLapine=BONNE,VLOOKUP("Ensilage d'herbe",AlimentsRationLapinsFemelles[],2,FALSE),0))))))))</f>
        <v>0</v>
      </c>
      <c r="CU165" s="1267">
        <f t="array" ref="CU165">SUM((IF(QualitéAlimentsLapereauMâle_0_1_mois=MOYENNE,VLOOKUP("Ensilage d'herbe",AlimentsRationLapinsMâles[],4,FALSE),0)+(IF(QualitéAlimentsLapereauFemelle_0_1_mois=MOYENNE,VLOOKUP("Ensilage d'herbe",AlimentsRationLapinsFemelles[],4,FALSE),0)+(IF(QualitéAlimentsJeuneLapin=MOYENNE,VLOOKUP("Ensilage d'herbe",AlimentsRationLapinsMâles[],3,FALSE),0)+(IF(QualitéAlimentsJeuneLapine=MOYENNE,VLOOKUP("Ensilage d'herbe",AlimentsRationLapinsFemelles[],3,FALSE),0)+(IF(QualitéAlimentsLapin=MOYENNE,VLOOKUP("Ensilage d'herbe",AlimentsRationLapinsMâles[],2,FALSE),0)+(IF(QualitéAlimentsLapine=MOYENNE,VLOOKUP("Ensilage d'herbe",AlimentsRationLapinsFemelles[],2,FALSE),0))))))))</f>
        <v>0</v>
      </c>
      <c r="CV165" s="1267">
        <f t="array" ref="CV165">SUM((IF(QualitéAlimentsLapereauMâle_0_1_mois=MAUVAISE,VLOOKUP("Ensilage d'herbe",AlimentsRationLapinsMâles[],4,FALSE),0)+(IF(QualitéAlimentsLapereauFemelle_0_1_mois=MAUVAISE,VLOOKUP("Ensilage d'herbe",AlimentsRationLapinsFemelles[],4,FALSE),0)+(IF(QualitéAlimentsJeuneLapin=MAUVAISE,VLOOKUP("Ensilage d'herbe",AlimentsRationLapinsMâles[],3,FALSE),0)+(IF(QualitéAlimentsJeuneLapine=MAUVAISE,VLOOKUP("Ensilage d'herbe",AlimentsRationLapinsFemelles[],3,FALSE),0)+(IF(QualitéAlimentsLapin=MAUVAISE,VLOOKUP("Ensilage d'herbe",AlimentsRationLapinsMâles[],2,FALSE),0)+(IF(QualitéAlimentsLapine=MAUVAISE,VLOOKUP("Ensilage d'herbe",AlimentsRationLapinsFemelles[],2,FALSE),0))))))))</f>
        <v>0</v>
      </c>
      <c r="CW165" s="1321"/>
      <c r="CX165" s="1321"/>
      <c r="CY165" s="1321"/>
      <c r="CZ165" s="1075" t="str">
        <f t="shared" si="65"/>
        <v>Eau</v>
      </c>
      <c r="DA165" s="1269">
        <f t="array" ref="DA165">SUM((IF(QualitéAlimentsPoussinMâle_0_1_mois=BONNE,VLOOKUP("Eau",AlimentsRationVolaillesMâles[],4,FALSE),0)+(IF(QualitéAlimentsPoussinFemelle_0_1_mois=BONNE,VLOOKUP("Eau",AlimentsRationVolaillesFemelles[],4,FALSE),0)+(IF(QualitéAlimentsJeuneCoq=BONNE,VLOOKUP("Eau",AlimentsRationVolaillesMâles[],3,FALSE),0)+(IF(QualitéAlimentsJeunePoule=BONNE,VLOOKUP("Eau",AlimentsRationVolaillesFemelles[],3,FALSE),0)+(IF(QualitéAlimentsCoq=BONNE,VLOOKUP("Eau",AlimentsRationVolaillesMâles[],2,FALSE),0)+(IF(QualitéAlimentsPoule=BONNE,VLOOKUP("Eau",AlimentsRationVolaillesFemelles[],2,FALSE),0))))))))</f>
        <v>0</v>
      </c>
      <c r="DB165" s="1269">
        <f t="array" ref="DB165">SUM((IF(QualitéAlimentsPoussinMâle_0_1_mois=MOYENNE,VLOOKUP("Eau",AlimentsRationVolaillesMâles[],4,FALSE),0)+(IF(QualitéAlimentsPoussinFemelle_0_1_mois=MOYENNE,VLOOKUP("Eau",AlimentsRationVolaillesFemelles[],4,FALSE),0)+(IF(QualitéAlimentsJeuneCoq=MOYENNE,VLOOKUP("Eau",AlimentsRationVolaillesMâles[],3,FALSE),0)+(IF(QualitéAlimentsJeunePoule=MOYENNE,VLOOKUP("Eau",AlimentsRationVolaillesFemelles[],3,FALSE),0)+(IF(QualitéAlimentsCoq=MOYENNE,VLOOKUP("Eau",AlimentsRationVolaillesMâles[],2,FALSE),0)+(IF(QualitéAlimentsPoule=MOYENNE,VLOOKUP("Eau",AlimentsRationVolaillesFemelles[],2,FALSE),0))))))))</f>
        <v>0</v>
      </c>
      <c r="DC165" s="1269">
        <f t="array" ref="DC165">SUM((IF(QualitéAlimentsPoussinMâle_0_1_mois=MAUVAISE,VLOOKUP("Eau",AlimentsRationVolaillesMâles[],4,FALSE),0)+(IF(QualitéAlimentsPoussinFemelle_0_1_mois=MAUVAISE,VLOOKUP("Eau",AlimentsRationVolaillesFemelles[],4,FALSE),0)+(IF(QualitéAlimentsJeuneCoq=MAUVAISE,VLOOKUP("Eau",AlimentsRationVolaillesMâles[],3,FALSE),0)+(IF(QualitéAlimentsJeunePoule=MAUVAISE,VLOOKUP("Eau",AlimentsRationVolaillesFemelles[],3,FALSE),0)+(IF(QualitéAlimentsCoq=MAUVAISE,VLOOKUP("Eau",AlimentsRationVolaillesMâles[],2,FALSE),0)+(IF(QualitéAlimentsPoule=MAUVAISE,VLOOKUP("Eau",AlimentsRationVolaillesFemelles[],2,FALSE),0))))))))</f>
        <v>0</v>
      </c>
      <c r="DD165" s="1320"/>
      <c r="DE165" s="1321"/>
      <c r="DF165" s="1321"/>
      <c r="DG165" s="1075" t="str">
        <f t="shared" si="58"/>
        <v>Paille</v>
      </c>
      <c r="DH165" s="1269">
        <f t="array" ref="DH165">SUM((IF(QualitéAlimentsPintadeauMâle_0_1_mois=BONNE,VLOOKUP("Paille",AlimentsRationPintadesMâles[],4,FALSE),0)+(IF(QualitéAlimentsPintadeauFemelle_0_1_mois=BONNE,VLOOKUP("Paille",AlimentsRationPintadesFemelles[],4,FALSE),0)+(IF(QualitéAlimentsJeunePintadeMâle=BONNE,VLOOKUP("Paille",AlimentsRationPintadesMâles[],3,FALSE),0)+(IF(QualitéAlimentsJeunePintadeFemelle=BONNE,VLOOKUP("Paille",AlimentsRationPintadesFemelles[],3,FALSE),0)+(IF(QualitéAlimentsPintadeMâle=BONNE,VLOOKUP("Paille",AlimentsRationPintadesMâles[],2,FALSE),0)+(IF(QualitéAlimentsPintadeFemelle=BONNE,VLOOKUP("Paille",AlimentsRationPintadesFemelles[],2,FALSE),0))))))))</f>
        <v>0</v>
      </c>
      <c r="DI165" s="1269">
        <f t="array" ref="DI165">SUM((IF(QualitéAlimentsPintadeauMâle_0_1_mois=MOYENNE,VLOOKUP("Paille",AlimentsRationPintadesMâles[],4,FALSE),0)+(IF(QualitéAlimentsPintadeauFemelle_0_1_mois=MOYENNE,VLOOKUP("Paille",AlimentsRationPintadesFemelles[],4,FALSE),0)+(IF(QualitéAlimentsJeunePintadeMâle=MOYENNE,VLOOKUP("Paille",AlimentsRationPintadesMâles[],3,FALSE),0)+(IF(QualitéAlimentsJeunePintadeFemelle=MOYENNE,VLOOKUP("Paille",AlimentsRationPintadesFemelles[],3,FALSE),0)+(IF(QualitéAlimentsPintadeMâle=MOYENNE,VLOOKUP("Paille",AlimentsRationPintadesMâles[],2,FALSE),0)+(IF(QualitéAlimentsPintadeFemelle=MOYENNE,VLOOKUP("Paille",AlimentsRationPintadesFemelles[],2,FALSE),0))))))))</f>
        <v>0</v>
      </c>
      <c r="DJ165" s="1269">
        <f t="array" ref="DJ165">SUM((IF(QualitéAlimentsPintadeauMâle_0_1_mois=MAUVAISE,VLOOKUP("Paille",AlimentsRationPintadesMâles[],4,FALSE),0)+(IF(QualitéAlimentsPintadeauFemelle_0_1_mois=MAUVAISE,VLOOKUP("Paille",AlimentsRationPintadesFemelles[],4,FALSE),0)+(IF(QualitéAlimentsJeunePintadeMâle=MAUVAISE,VLOOKUP("Paille",AlimentsRationPintadesMâles[],3,FALSE),0)+(IF(QualitéAlimentsJeunePintadeFemelle=MAUVAISE,VLOOKUP("Paille",AlimentsRationPintadesFemelles[],3,FALSE),0)+(IF(QualitéAlimentsPintadeMâle=MAUVAISE,VLOOKUP("Paille",AlimentsRationPintadesMâles[],2,FALSE),0)+(IF(QualitéAlimentsPintadeFemelle=MAUVAISE,VLOOKUP("Paille",AlimentsRationPintadesFemelles[],2,FALSE),0)+LitièrePintades[[#Totals],[litière]])))))))</f>
        <v>0</v>
      </c>
      <c r="DK165" s="1321"/>
      <c r="DL165" s="1321"/>
      <c r="DM165" s="1321"/>
      <c r="DN165" s="1075" t="s">
        <v>332</v>
      </c>
      <c r="DO165" s="1269">
        <f t="array" ref="DO165">IF(ChoixRationComplèteOvins=OUI,0,IFERROR(IF(OR(AND(INDEX(Règles_ovins[Specificite],MATCH(ChoixRationOvins&amp;$DN165,Règles_ovins[Ration]&amp;Règles_ovins[Aliment],0))="s1",IF($DN165=Spécificité1Ovins,1)),
AND(INDEX(Règles_ovins[Specificite],MATCH(ChoixRationOvins&amp;$DN165,Règles_ovins[Ration]&amp;Règles_ovins[Aliment],0))="s2",IF($DN165=Spécificité2Ovins,1)),
INDEX(Règles_ovins[Specificite],MATCH(ChoixRationOvins&amp;$DN165,Règles_ovins[Ration]&amp;Règles_ovins[Aliment],0))="c"),
INDEX(Règles_ovins[Valeur 12 et plus],MATCH(ChoixRationOvins&amp;$DN165,Règles_ovins[Ration]&amp;Règles_ovins[Aliment],0)),0),0)*IF(ChoixOvinsPréHiver=OUI,SUM(TotalOvinsAdultesRacesLaitières)*NbreJoursNourrirOvins,TotalBéliers*SUM(NbreJoursNourrirOvins)))</f>
        <v>0</v>
      </c>
      <c r="DP165" s="1269">
        <f t="array" ref="DP165">IF(ChoixRationComplèteOvins=OUI,0,IFERROR(IF(OR(AND(INDEX(Règles_ovins[Specificite],MATCH(ChoixRationOvins&amp;$DN165,Règles_ovins[Ration]&amp;Règles_ovins[Aliment],0))="s1",IF($DN165=Spécificité1Ovins,1)),
AND(INDEX(Règles_ovins[Specificite],MATCH(ChoixRationOvins&amp;$DN165,Règles_ovins[Ration]&amp;Règles_ovins[Aliment],0))="s2",IF($DN165=Spécificité2Ovins,1)),
INDEX(Règles_ovins[Specificite],MATCH(ChoixRationOvins&amp;$DN165,Règles_ovins[Ration]&amp;Règles_ovins[Aliment],0))="c"),
INDEX(Règles_ovins[Valeur 6-12],MATCH(ChoixRationOvins&amp;$DN165,Règles_ovins[Ration]&amp;Règles_ovins[Aliment],0)),0),0)*IF(ChoixOvinsPréHiver=OUI,SUM(TotalJeunesOvinsRacesLaitières)*NbreJoursNourrirOvins,TotalJeune_bélier_6_12_mois*SUM(NbreJoursNourrirOvins)))</f>
        <v>0</v>
      </c>
      <c r="DQ165" s="1269">
        <f t="array" ref="DQ165">IF(ChoixRationComplèteOvins=OUI,0,IFERROR(IF(OR(AND(INDEX(Règles_ovins[Specificite],MATCH(ChoixRationOvins&amp;$DN165,Règles_ovins[Ration]&amp;Règles_ovins[Aliment],0))="s1",IF($DN165=Spécificité1Ovins,1)),
AND(INDEX(Règles_ovins[Specificite],MATCH(ChoixRationOvins&amp;$DN165,Règles_ovins[Ration]&amp;Règles_ovins[Aliment],0))="s2",IF($DN165=Spécificité2Ovins,1)),
INDEX(Règles_ovins[Specificite],MATCH(ChoixRationOvins&amp;$DN165,Règles_ovins[Ration]&amp;Règles_ovins[Aliment],0))="c"),
INDEX(Règles_ovins[Valeur 3-6],MATCH(ChoixRationOvins&amp;$DN165,Règles_ovins[Ration]&amp;Règles_ovins[Aliment],0)),0),0)*IF(ChoixOvinsPréHiver=OUI,SUM(TotalOvins_3_6moisRacesLaitières)*NbreJoursNourrirOvins,TotalAgneau_3_6_mois*SUM(NbreJoursNourrirOvins)))</f>
        <v>0</v>
      </c>
      <c r="DR165" s="1269">
        <f t="array" ref="DR165">IF(ChoixRationComplèteOvins=OUI,0,IFERROR(IF(OR(AND(INDEX(Règles_ovins[Specificite],MATCH(ChoixRationOvins&amp;$DN165,Règles_ovins[Ration]&amp;Règles_ovins[Aliment],0))="s1",IF($DN165=Spécificité1Ovins,1)),
AND(INDEX(Règles_ovins[Specificite],MATCH(ChoixRationOvins&amp;$DN165,Règles_ovins[Ration]&amp;Règles_ovins[Aliment],0))="s2",IF($DN165=Spécificité2Ovins,1)),
INDEX(Règles_ovins[Specificite],MATCH(ChoixRationOvins&amp;$DN165,Règles_ovins[Ration]&amp;Règles_ovins[Aliment],0))="c"),
INDEX(Règles_ovins[Valeur 0-3],MATCH(ChoixRationOvins&amp;$DN165,Règles_ovins[Ration]&amp;Règles_ovins[Aliment],0)),0),0)*IF(ChoixOvinsPréHiver=OUI,SUM(TotalOvins_3_6moisRacesLaitières)*NbreJoursNourrirOvins,TotalAgneau_0_3_mois*SUM(NbreJoursNourrirOvins)))</f>
        <v>0</v>
      </c>
      <c r="DS165" s="1280">
        <f t="shared" si="61"/>
        <v>0</v>
      </c>
      <c r="DT165" s="1346"/>
      <c r="DU165" s="1346"/>
      <c r="DV165" s="1321"/>
      <c r="DW165" s="1321"/>
      <c r="DX165" s="1321"/>
      <c r="DY165" s="1321"/>
      <c r="DZ165" s="1321"/>
      <c r="EA165" s="1321"/>
      <c r="EB165" s="1321"/>
      <c r="EC165" s="1321"/>
      <c r="ED165" s="1345"/>
      <c r="EE165" s="1345"/>
      <c r="EF165" s="1321"/>
      <c r="EG165" s="1075" t="str">
        <f t="shared" si="63"/>
        <v>Haricot vert</v>
      </c>
      <c r="EH165" s="1269">
        <f t="array" ref="EH165">SUM((IF(QualitéAlimentsOisonMâle_0_3_mois=BONNE,VLOOKUP("Haricot vert",AlimentsRationOiesMâles[],4,FALSE),0)+(IF(QualitéAlimentsOisonFemelle_0_3_mois=BONNE,VLOOKUP("Haricot vert",AlimentsRationOiesFemelles[],4,FALSE),0)+(IF(QualitéAlimentsJeuneJars=BONNE,VLOOKUP("Haricot vert",AlimentsRationOiesMâles[],3,FALSE),0)+(IF(QualitéAlimentsJeuneOie=BONNE,VLOOKUP("Haricot vert",AlimentsRationOiesFemelles[],3,FALSE),0)+(IF(QualitéAlimentsJars=BONNE,VLOOKUP("Haricot vert",AlimentsRationOiesMâles[],2,FALSE),0)+(IF(QualitéAlimentsOie=BONNE,VLOOKUP("Haricot vert",AlimentsRationOiesFemelles[],2,FALSE),0))))))))</f>
        <v>0</v>
      </c>
      <c r="EI165" s="1269">
        <f t="array" ref="EI165">SUM((IF(QualitéAlimentsOisonMâle_0_3_mois=MOYENNE,VLOOKUP("Haricot vert",AlimentsRationOiesMâles[],4,FALSE),0)+(IF(QualitéAlimentsOisonFemelle_0_3_mois=MOYENNE,VLOOKUP("Haricot vert",AlimentsRationOiesFemelles[],4,FALSE),0)+(IF(QualitéAlimentsJeuneJars=MOYENNE,VLOOKUP("Haricot vert",AlimentsRationOiesMâles[],3,FALSE),0)+(IF(QualitéAlimentsJeuneOie=MOYENNE,VLOOKUP("Haricot vert",AlimentsRationOiesFemelles[],3,FALSE),0)+(IF(QualitéAlimentsJars=MOYENNE,VLOOKUP("Haricot vert",AlimentsRationOiesMâles[],2,FALSE),0)+(IF(QualitéAlimentsOie=MOYENNE,VLOOKUP("Haricot vert",AlimentsRationOiesFemelles[],2,FALSE),0))))))))</f>
        <v>0</v>
      </c>
      <c r="EJ165" s="1269">
        <f t="array" ref="EJ165">SUM((IF(QualitéAlimentsOisonMâle_0_3_mois=MAUVAISE,VLOOKUP("Haricot vert",AlimentsRationOiesMâles[],4,FALSE),0)+(IF(QualitéAlimentsOisonFemelle_0_3_mois=MAUVAISE,VLOOKUP("Haricot vert",AlimentsRationOiesFemelles[],4,FALSE),0)+(IF(QualitéAlimentsJeuneJars=MAUVAISE,VLOOKUP("Haricot vert",AlimentsRationOiesMâles[],3,FALSE),0)+(IF(QualitéAlimentsJeuneOie=MAUVAISE,VLOOKUP("Haricot vert",AlimentsRationOiesFemelles[],3,FALSE),0)+(IF(QualitéAlimentsJars=MAUVAISE,VLOOKUP("Haricot vert",AlimentsRationOiesMâles[],2,FALSE),0)+(IF(QualitéAlimentsOie=MAUVAISE,VLOOKUP("Haricot vert",AlimentsRationOiesFemelles[],2,FALSE),0))))))))</f>
        <v>0</v>
      </c>
      <c r="EK165" s="1345"/>
      <c r="EL165" s="1345"/>
      <c r="EM165" s="1321"/>
      <c r="EN165" s="1082" t="str">
        <f t="shared" si="62"/>
        <v>Lentille</v>
      </c>
      <c r="EO165" s="1282">
        <f t="array" ref="EO165">SUM((IF(QualitéAlimentsCanetonMâle=BONNE,VLOOKUP("Lentille",AlimentsRationCanardsMâles,4,FALSE),0)+(IF(QualitéAlimentsCanetonFemelle=BONNE,VLOOKUP("Lentille",AlimentsRationCanardsFemelles,4,FALSE),0)+(IF(QualitéAlimentsJeuneCanard=BONNE,VLOOKUP("Lentille",AlimentsRationCanardsMâles,3,FALSE),0)+(IF(QualitéAlimentsJeuneCane=BONNE,VLOOKUP("Lentille",AlimentsRationCanardsFemelles,3,FALSE),0)+(IF(QualitéAlimentsCanard=BONNE,VLOOKUP("Lentille",AlimentsRationCanardsMâles,2,FALSE),0)+(IF(QualitéAlimentsCane=BONNE,VLOOKUP("Lentille",AlimentsRationCanardsFemelles,2,FALSE),0))))))))</f>
        <v>0</v>
      </c>
      <c r="EP165" s="1282">
        <f t="array" ref="EP165">SUM((IF(QualitéAlimentsCanetonMâle=MOYENNE,VLOOKUP("Lentille",AlimentsRationCanardsMâles,4,FALSE),0)+(IF(QualitéAlimentsCanetonFemelle=MOYENNE,VLOOKUP("Lentille",AlimentsRationCanardsFemelles,4,FALSE),0)+(IF(QualitéAlimentsJeuneCanard=MOYENNE,VLOOKUP("Lentille",AlimentsRationCanardsMâles,3,FALSE),0)+(IF(QualitéAlimentsJeuneCane=MOYENNE,VLOOKUP("Lentille",AlimentsRationCanardsFemelles,3,FALSE),0)+(IF(QualitéAlimentsCanard=MOYENNE,VLOOKUP("Lentille",AlimentsRationCanardsMâles,2,FALSE),0)+(IF(QualitéAlimentsCane=MOYENNE,VLOOKUP("Lentille",AlimentsRationCanardsFemelles,2,FALSE),0))))))))</f>
        <v>0</v>
      </c>
      <c r="EQ165" s="1282">
        <f t="array" ref="EQ165">SUM((IF(QualitéAlimentsCanetonMâle=MAUVAISE,VLOOKUP("Lentille",AlimentsRationCanardsMâles,4,FALSE),0)+(IF(QualitéAlimentsCanetonFemelle=MAUVAISE,VLOOKUP("Lentille",AlimentsRationCanardsFemelles,4,FALSE),0)+(IF(QualitéAlimentsJeuneCanard=MAUVAISE,VLOOKUP("Lentille",AlimentsRationCanardsMâles,3,FALSE),0)+(IF(QualitéAlimentsJeuneCane=MAUVAISE,VLOOKUP("Lentille",AlimentsRationCanardsFemelles,3,FALSE),0)+(IF(QualitéAlimentsCanard=MAUVAISE,VLOOKUP("Lentille",AlimentsRationCanardsMâles,2,FALSE),0)+(IF(QualitéAlimentsCane=MAUVAISE,VLOOKUP("Lentille",AlimentsRationCanardsFemelles,2,FALSE),0))))))))</f>
        <v>0</v>
      </c>
      <c r="ER165" s="1345"/>
      <c r="ES165" s="1345"/>
      <c r="ET165" s="1321"/>
      <c r="EU165" s="1083" t="str">
        <f t="shared" si="60"/>
        <v>Maïs ensilé</v>
      </c>
      <c r="EV165" s="1283">
        <f t="array" ref="EV165">IF(OR(ChoixRationHivernaleComplèteChevauxSelle=OUI,ChoixRationHivernaleComplèteChevauxSelle="",ChoixChevauxSellePréHiver=NON),0,IFERROR(IF(OR(AND(INDEX(Règles_chevaux_selle[Specificite],MATCH(RationHivernaleAuPréChevauxSelle&amp;$EU165,Règles_chevaux_selle[Ration]&amp;Règles_chevaux_selle[Aliment],0))="s1",IF($EU165=Spécificité1ChevauxSelle,1)),
AND(INDEX(Règles_chevaux_selle[Specificite],MATCH(RationHivernaleAuPréChevauxSelle&amp;$EU165,Règles_chevaux_selle[Ration]&amp;Règles_chevaux_selle[Aliment],0))="s2",IF($EU165=Spécificité2ChevauxSelle,1)),
INDEX(Règles_chevaux_selle[Specificite],MATCH(RationHivernaleAuPréChevauxSelle&amp;$EU165,Règles_chevaux_selle[Ration]&amp;Règles_chevaux_selle[Aliment],0))="c"),
INDEX(Règles_chevaux_selle[Valeur 36 et plus],MATCH(RationHivernaleAuPréChevauxSelle&amp;$EU165,Règles_chevaux_selle[Ration]&amp;Règles_chevaux_selle[Aliment],0)),0),0)*SUM(TotalChevauxSelleAdultes)*21)</f>
        <v>0</v>
      </c>
      <c r="EW165" s="1283">
        <f t="array" ref="EW165">IF(OR(ChoixRationHivernaleComplèteChevauxSelle=OUI,ChoixRationHivernaleComplèteChevauxSelle="",ChoixChevauxSellePréHiver=NON),0,IFERROR(IF(OR(AND(INDEX(Règles_chevaux_selle[Specificite],MATCH(RationHivernaleAuPréChevauxSelle&amp;$EU165,Règles_chevaux_selle[Ration]&amp;Règles_chevaux_selle[Aliment],0))="s1",IF($EU165=Spécificité1ChevauxSelle,1)),
AND(INDEX(Règles_chevaux_selle[Specificite],MATCH(RationHivernaleAuPréChevauxSelle&amp;$EU165,Règles_chevaux_selle[Ration]&amp;Règles_chevaux_selle[Aliment],0))="s2",IF($EU165=Spécificité2ChevauxSelle,1)),
INDEX(Règles_chevaux_selle[Specificite],MATCH(RationHivernaleAuPréChevauxSelle&amp;$EU165,Règles_chevaux_selle[Ration]&amp;Règles_chevaux_selle[Aliment],0))="c"),
INDEX(Règles_chevaux_selle[Valeur 24-36],MATCH(RationHivernaleAuPréChevauxSelle&amp;$EU165,Règles_chevaux_selle[Ration]&amp;Règles_chevaux_selle[Aliment],0)),0),0)*SUM(TotalChevauxSelle_24_36mois)*21)</f>
        <v>0</v>
      </c>
      <c r="EX165" s="1283">
        <f t="array" ref="EX165">IF(OR(ChoixRationHivernaleComplèteChevauxSelle=OUI,ChoixRationHivernaleComplèteChevauxSelle="",ChoixChevauxSellePréHiver=NON),0,IFERROR(IF(OR(AND(INDEX(Règles_chevaux_selle[Specificite],MATCH(RationHivernaleAuPréChevauxSelle&amp;$EU165,Règles_chevaux_selle[Ration]&amp;Règles_chevaux_selle[Aliment],0))="s1",IF($EU165=Spécificité1ChevauxSelle,1)),
AND(INDEX(Règles_chevaux_selle[Specificite],MATCH(RationHivernaleAuPréChevauxSelle&amp;$EU165,Règles_chevaux_selle[Ration]&amp;Règles_chevaux_selle[Aliment],0))="s2",IF($EU165=Spécificité2ChevauxSelle,1)),
INDEX(Règles_chevaux_selle[Specificite],MATCH(RationHivernaleAuPréChevauxSelle&amp;$EU165,Règles_chevaux_selle[Ration]&amp;Règles_chevaux_selle[Aliment],0))="c"),
INDEX(Règles_chevaux_selle[Valeur 12-24],MATCH(RationHivernaleAuPréChevauxSelle&amp;$EU165,Règles_chevaux_selle[Ration]&amp;Règles_chevaux_selle[Aliment],0)),0),0)*SUM(TotalChevauxSelle_12_24mois)*21)</f>
        <v>0</v>
      </c>
      <c r="EY165" s="1286">
        <f t="array" ref="EY165">IF(OR(ChoixRationHivernaleComplèteChevauxSelle=OUI,ChoixRationHivernaleComplèteChevauxSelle="",ChoixChevauxSellePréHiver=NON),0,IFERROR(IF(OR(AND(INDEX(Règles_chevaux_selle[Specificite],MATCH(RationHivernaleAuPréChevauxSelle&amp;$EU165,Règles_chevaux_selle[Ration]&amp;Règles_chevaux_selle[Aliment],0))="s1",IF($EU165=Spécificité1ChevauxSelle,1)),
AND(INDEX(Règles_chevaux_selle[Specificite],MATCH(RationHivernaleAuPréChevauxSelle&amp;$EU165,Règles_chevaux_selle[Ration]&amp;Règles_chevaux_selle[Aliment],0))="s2",IF($EU165=Spécificité2ChevauxSelle,1)),
INDEX(Règles_chevaux_selle[Specificite],MATCH(RationHivernaleAuPréChevauxSelle&amp;$EU165,Règles_chevaux_selle[Ration]&amp;Règles_chevaux_selle[Aliment],0))="c"),
INDEX(Règles_chevaux_selle[Valeur 0-12],MATCH(RationHivernaleAuPréChevauxSelle&amp;$EU165,Règles_chevaux_selle[Ration]&amp;Règles_chevaux_selle[Aliment],0)),0),0)*SUM(TotalPoulainsSelle)*21)</f>
        <v>0</v>
      </c>
      <c r="EZ165" s="1286">
        <f t="shared" si="59"/>
        <v>0</v>
      </c>
      <c r="FA165" s="1345"/>
      <c r="FB165" s="1345"/>
      <c r="FC165" s="1321"/>
      <c r="FD165" s="1083" t="str">
        <f t="shared" si="55"/>
        <v>Pomme de terre</v>
      </c>
      <c r="FE165" s="1283">
        <f t="array" ref="FE165">IF(OR(ChoixRationHivernaleComplèteChevauxTrait=OUI,ChoixRationHivernaleComplèteChevauxTrait="",ChoixChevauxTraitPréHiver=NON),0,IFERROR(IF(OR(AND(INDEX(Règles_chevaux_trait[Specificite],MATCH(RationHivernaleAuPréChevauxTrait&amp;$FD165,Règles_chevaux_trait[Ration]&amp;Règles_chevaux_trait[Aliment],0))="s1",IF($FD165=Spécificité1ChevauxTrait,1)),
AND(INDEX(Règles_chevaux_trait[Specificite],MATCH(RationHivernaleAuPréChevauxTrait&amp;$FD165,Règles_chevaux_trait[Ration]&amp;Règles_chevaux_trait[Aliment],0))="s2",IF($FD165=Spécificité2ChevauxTrait,1)),
INDEX(Règles_chevaux_trait[Specificite],MATCH(RationHivernaleAuPréChevauxTrait&amp;$FD165,Règles_chevaux_trait[Ration]&amp;Règles_chevaux_trait[Aliment],0))="c"),
INDEX(Règles_chevaux_trait[Valeur 36 et plus],MATCH(RationHivernaleAuPréChevauxTrait&amp;$FD165,Règles_chevaux_trait[Ration]&amp;Règles_chevaux_trait[Aliment],0)),0),0)*SUM(TotalChevauxTraitAdultes)*21)</f>
        <v>0</v>
      </c>
      <c r="FF165" s="1283">
        <f t="array" ref="FF165">IF(OR(ChoixRationHivernaleComplèteChevauxTrait=OUI,ChoixRationHivernaleComplèteChevauxTrait="",ChoixChevauxTraitPréHiver=NON),0,IFERROR(IF(OR(AND(INDEX(Règles_chevaux_trait[Specificite],MATCH(RationHivernaleAuPréChevauxTrait&amp;$FD165,Règles_chevaux_trait[Ration]&amp;Règles_chevaux_trait[Aliment],0))="s1",IF($FD165=Spécificité1ChevauxTrait,1)),
AND(INDEX(Règles_chevaux_trait[Specificite],MATCH(RationHivernaleAuPréChevauxTrait&amp;$FD165,Règles_chevaux_trait[Ration]&amp;Règles_chevaux_trait[Aliment],0))="s2",IF($FD165=Spécificité2ChevauxTrait,1)),
INDEX(Règles_chevaux_trait[Specificite],MATCH(RationHivernaleAuPréChevauxTrait&amp;$FD165,Règles_chevaux_trait[Ration]&amp;Règles_chevaux_trait[Aliment],0))="c"),
INDEX(Règles_chevaux_trait[Valeur 24-36],MATCH(RationHivernaleAuPréChevauxTrait&amp;$FD165,Règles_chevaux_trait[Ration]&amp;Règles_chevaux_trait[Aliment],0)),0),0)*SUM(TotalChevauxTrait_24_36mois)*21)</f>
        <v>0</v>
      </c>
      <c r="FG165" s="1283">
        <f t="array" ref="FG165">IF(OR(ChoixRationHivernaleComplèteChevauxTrait=OUI,ChoixRationHivernaleComplèteChevauxTrait="",ChoixChevauxTraitPréHiver=NON),0,IFERROR(IF(OR(AND(INDEX(Règles_chevaux_trait[Specificite],MATCH(RationHivernaleAuPréChevauxTrait&amp;$FD165,Règles_chevaux_trait[Ration]&amp;Règles_chevaux_trait[Aliment],0))="s1",IF($FD165=Spécificité1ChevauxTrait,1)),
AND(INDEX(Règles_chevaux_trait[Specificite],MATCH(RationHivernaleAuPréChevauxTrait&amp;$FD165,Règles_chevaux_trait[Ration]&amp;Règles_chevaux_trait[Aliment],0))="s2",IF($FD165=Spécificité2ChevauxTrait,1)),
INDEX(Règles_chevaux_trait[Specificite],MATCH(RationHivernaleAuPréChevauxTrait&amp;$FD165,Règles_chevaux_trait[Ration]&amp;Règles_chevaux_trait[Aliment],0))="c"),
INDEX(Règles_chevaux_trait[Valeur 12-24],MATCH(RationHivernaleAuPréChevauxTrait&amp;$FD165,Règles_chevaux_trait[Ration]&amp;Règles_chevaux_trait[Aliment],0)),0),0)*SUM(TotalChevauxTrait_12_24mois)*21)</f>
        <v>0</v>
      </c>
      <c r="FH165" s="1286">
        <f t="array" ref="FH165">IF(OR(ChoixRationHivernaleComplèteChevauxTrait=OUI,ChoixRationHivernaleComplèteChevauxTrait="",ChoixChevauxTraitPréHiver=NON),0,IFERROR(IF(OR(AND(INDEX(Règles_chevaux_trait[Specificite],MATCH(RationHivernaleAuPréChevauxTrait&amp;$FD165,Règles_chevaux_trait[Ration]&amp;Règles_chevaux_trait[Aliment],0))="s1",IF($FD165=Spécificité1ChevauxTrait,1)),
AND(INDEX(Règles_chevaux_trait[Specificite],MATCH(RationHivernaleAuPréChevauxTrait&amp;$FD165,Règles_chevaux_trait[Ration]&amp;Règles_chevaux_trait[Aliment],0))="s2",IF($FD165=Spécificité2ChevauxTrait,1)),
INDEX(Règles_chevaux_trait[Specificite],MATCH(RationHivernaleAuPréChevauxTrait&amp;$FD165,Règles_chevaux_trait[Ration]&amp;Règles_chevaux_trait[Aliment],0))="c"),
INDEX(Règles_chevaux_trait[Valeur 0-12],MATCH(RationHivernaleAuPréChevauxTrait&amp;$FD165,Règles_chevaux_trait[Ration]&amp;Règles_chevaux_trait[Aliment],0)),0),0)*SUM(TotalPoulainsTrait)*21)</f>
        <v>0</v>
      </c>
      <c r="FI165" s="1286">
        <f t="shared" si="53"/>
        <v>0</v>
      </c>
      <c r="FJ165" s="1345"/>
      <c r="FK165" s="1345"/>
      <c r="FL165" s="1345"/>
      <c r="FM165" s="1321"/>
      <c r="FN165" s="1082" t="str">
        <f t="shared" si="54"/>
        <v>Pulpe déshydratée de betterave</v>
      </c>
      <c r="FO165" s="1282">
        <f t="array" ref="FO165">IF(OR(ChoixRationHivernaleComplètePoneys=OUI,ChoixRationHivernaleComplètePoneys="",ChoixPoneysPréHiver=NON),0,IFERROR(IF(OR(AND(INDEX(Règles_poneys[Specificite],MATCH(RationHivernaleAuPréPoneys&amp;$FN165,Règles_poneys[Ration]&amp;Règles_poneys[Aliment],0))="s1",IF($FN165=Spécificité1Poneys,1)),
AND(INDEX(Règles_poneys[Specificite],MATCH(RationHivernaleAuPréPoneys&amp;$FN165,Règles_poneys[Ration]&amp;Règles_poneys[Aliment],0))="s2",IF($FN165=Spécificité2Poneys,1)),
INDEX(Règles_poneys[Specificite],MATCH(RationHivernaleAuPréPoneys&amp;$FN165,Règles_poneys[Ration]&amp;Règles_poneys[Aliment],0))="c"),
INDEX(Règles_poneys[Valeur 36 et plus],MATCH(RationHivernaleAuPréPoneys&amp;$FN165,Règles_poneys[Ration]&amp;Règles_poneys[Aliment],0)),0),0)*SUM(TotalPoneysAdultes)*21)</f>
        <v>0</v>
      </c>
      <c r="FP165" s="1282">
        <f t="array" ref="FP165">IF(OR(ChoixRationHivernaleComplètePoneys=OUI,ChoixRationHivernaleComplètePoneys="",ChoixPoneysPréHiver=NON),0,IFERROR(IF(OR(AND(INDEX(Règles_poneys[Specificite],MATCH(RationHivernaleAuPréPoneys&amp;$FN165,Règles_poneys[Ration]&amp;Règles_poneys[Aliment],0))="s1",IF($FN165=Spécificité1Poneys,1)),
AND(INDEX(Règles_poneys[Specificite],MATCH(RationHivernaleAuPréPoneys&amp;$FN165,Règles_poneys[Ration]&amp;Règles_poneys[Aliment],0))="s2",IF($FN165=Spécificité2Poneys,1)),
INDEX(Règles_poneys[Specificite],MATCH(RationHivernaleAuPréPoneys&amp;$FN165,Règles_poneys[Ration]&amp;Règles_poneys[Aliment],0))="c"),
INDEX(Règles_poneys[Valeur 24-36],MATCH(RationHivernaleAuPréPoneys&amp;$FN165,Règles_poneys[Ration]&amp;Règles_poneys[Aliment],0)),0),0)*SUM(TotalPoneys_24_36mois)*21)</f>
        <v>0</v>
      </c>
      <c r="FQ165" s="1282">
        <f t="array" ref="FQ165">IF(OR(ChoixRationHivernaleComplètePoneys=OUI,ChoixRationHivernaleComplètePoneys="",ChoixPoneysPréHiver=NON),0,IFERROR(IF(OR(AND(INDEX(Règles_poneys[Specificite],MATCH(RationHivernaleAuPréPoneys&amp;$FN165,Règles_poneys[Ration]&amp;Règles_poneys[Aliment],0))="s1",IF($FN165=Spécificité1Poneys,1)),
AND(INDEX(Règles_poneys[Specificite],MATCH(RationHivernaleAuPréPoneys&amp;$FN165,Règles_poneys[Ration]&amp;Règles_poneys[Aliment],0))="s2",IF($FN165=Spécificité2Poneys,1)),
INDEX(Règles_poneys[Specificite],MATCH(RationHivernaleAuPréPoneys&amp;$FN165,Règles_poneys[Ration]&amp;Règles_poneys[Aliment],0))="c"),
INDEX(Règles_poneys[Valeur 12-24],MATCH(RationHivernaleAuPréPoneys&amp;$FN165,Règles_poneys[Ration]&amp;Règles_poneys[Aliment],0)),0),0)*SUM(TotalPoneys_12_24mois)*21)</f>
        <v>0</v>
      </c>
      <c r="FR165" s="1285">
        <f t="array" ref="FR165">IF(OR(ChoixRationHivernaleComplètePoneys=OUI,ChoixRationHivernaleComplètePoneys="",ChoixPoneysPréHiver=NON),0,IFERROR(IF(OR(AND(INDEX(Règles_poneys[Specificite],MATCH(RationHivernaleAuPréPoneys&amp;$FN165,Règles_poneys[Ration]&amp;Règles_poneys[Aliment],0))="s1",IF($FN165=Spécificité1Poneys,1)),
AND(INDEX(Règles_poneys[Specificite],MATCH(RationHivernaleAuPréPoneys&amp;$FN165,Règles_poneys[Ration]&amp;Règles_poneys[Aliment],0))="s2",IF($FN165=Spécificité2Poneys,1)),
INDEX(Règles_poneys[Specificite],MATCH(RationHivernaleAuPréPoneys&amp;$FN165,Règles_poneys[Ration]&amp;Règles_poneys[Aliment],0))="c"),
INDEX(Règles_poneys[Valeur 0-12],MATCH(RationHivernaleAuPréPoneys&amp;$FN165,Règles_poneys[Ration]&amp;Règles_poneys[Aliment],0)),0),0)*SUM(TotalPoulainsPoneys)*21)</f>
        <v>0</v>
      </c>
      <c r="FS165" s="1285">
        <f t="shared" si="52"/>
        <v>0</v>
      </c>
      <c r="FT165" s="1345"/>
      <c r="FU165" s="1345"/>
      <c r="FV165" s="1345"/>
      <c r="FW165" s="1083" t="str">
        <f t="shared" si="49"/>
        <v>Tournesol</v>
      </c>
      <c r="FX165" s="1283">
        <f t="array" ref="FX165">SUM((IF(QualitéAlimentsGavageOison_0_1_mois=BONNE,VLOOKUP("Tournesol",AlimentsGavageOies[],5,FALSE),0)+(IF(QualitéAlimentsGavageCaneton_0_1_mois=BONNE,VLOOKUP("Tournesol",AlimentsGavageCanards[],5,FALSE),0)+(IF(QualitéAlimentsGavageOison_1_2_mois=BONNE,VLOOKUP("Tournesol",AlimentsGavageOies[],4,FALSE),0)+(IF(QualitéAlimentsGavageCaneton_1_2_mois=BONNE,VLOOKUP("Tournesol",AlimentsGavageCanards[],4,FALSE),0)+(IF(QualitéAlimentsGavageOison_2_3_mois=BONNE,VLOOKUP("Tournesol",AlimentsGavageOies[],3,FALSE),0)+(IF(QualitéAlimentsGavageCaneton_2_3_mois=BONNE,VLOOKUP("Tournesol",AlimentsGavageCanards[],3,FALSE),0)+(IF(QualitéAlimentsGavageJeunesOies=BONNE,VLOOKUP("Tournesol",AlimentsGavageOies[],2,FALSE),0)+(IF(QualitéAlimentsGavageJeuneCanard=BONNE,VLOOKUP("Tournesol",AlimentsGavageCanards[],2,FALSE),0))))))))))</f>
        <v>0</v>
      </c>
      <c r="FY165" s="1283">
        <f t="array" ref="FY165">SUM((IF(QualitéAlimentsGavageOison_0_1_mois=MOYENNE,VLOOKUP("Tournesol",AlimentsGavageOies[],5,FALSE),0)+(IF(QualitéAlimentsGavageCaneton_0_1_mois=MOYENNE,VLOOKUP("Tournesol",AlimentsGavageCanards[],5,FALSE),0)+(IF(QualitéAlimentsGavageOison_1_2_mois=MOYENNE,VLOOKUP("Tournesol",AlimentsGavageOies[],4,FALSE),0)+(IF(QualitéAlimentsGavageCaneton_1_2_mois=MOYENNE,VLOOKUP("Tournesol",AlimentsGavageCanards[],4,FALSE),0)+(IF(QualitéAlimentsGavageOison_2_3_mois=MOYENNE,VLOOKUP("Tournesol",AlimentsGavageOies[],3,FALSE),0)+(IF(QualitéAlimentsGavageCaneton_2_3_mois=MOYENNE,VLOOKUP("Tournesol",AlimentsGavageCanards[],3,FALSE),0)+(IF(QualitéAlimentsGavageJeunesOies=MOYENNE,VLOOKUP("Tournesol",AlimentsGavageOies[],2,FALSE),0)+(IF(QualitéAlimentsGavageJeuneCanard=MOYENNE,VLOOKUP("Tournesol",AlimentsGavageCanards[],2,FALSE),0))))))))))</f>
        <v>0</v>
      </c>
      <c r="FZ165" s="1283">
        <f t="array" ref="FZ165">SUM((IF(QualitéAlimentsGavageOison_0_1_mois=MAUVAISE,VLOOKUP("Tournesol",AlimentsGavageOies[],5,FALSE),0)+(IF(QualitéAlimentsGavageCaneton_0_1_mois=MAUVAISE,VLOOKUP("Tournesol",AlimentsGavageCanards[],5,FALSE),0)+(IF(QualitéAlimentsGavageOison_1_2_mois=MAUVAISE,VLOOKUP("Tournesol",AlimentsGavageOies[],4,FALSE),0)+(IF(QualitéAlimentsGavageCaneton_1_2_mois=MAUVAISE,VLOOKUP("Tournesol",AlimentsGavageCanards[],4,FALSE),0)+(IF(QualitéAlimentsGavageOison_2_3_mois=MAUVAISE,VLOOKUP("Tournesol",AlimentsGavageOies[],3,FALSE),0)+(IF(QualitéAlimentsGavageCaneton_2_3_mois=MAUVAISE,VLOOKUP("Tournesol",AlimentsGavageCanards[],3,FALSE),0)+(IF(QualitéAlimentsGavageJeunesOies=MAUVAISE,VLOOKUP("Tournesol",AlimentsGavageOies[],2,FALSE),0)+(IF(QualitéAlimentsGavageJeuneCanard=MAUVAISE,VLOOKUP("Tournesol",AlimentsGavageCanards[],2,FALSE),0))))))))))</f>
        <v>0</v>
      </c>
      <c r="GA165" s="1345"/>
      <c r="GB165" s="1345"/>
      <c r="GC165" s="1321"/>
      <c r="GD165" s="1321"/>
      <c r="GE165" s="1321"/>
      <c r="GF165" s="1321"/>
      <c r="GG165" s="1321" t="s">
        <v>1349</v>
      </c>
      <c r="GH165" s="1321" t="s">
        <v>1349</v>
      </c>
      <c r="GI165" s="1321" t="s">
        <v>1349</v>
      </c>
      <c r="GJ165" s="1321" t="s">
        <v>1349</v>
      </c>
      <c r="GK165" s="1321" t="s">
        <v>1349</v>
      </c>
      <c r="GL165" s="1321" t="s">
        <v>1349</v>
      </c>
      <c r="GM165" s="1321" t="s">
        <v>1349</v>
      </c>
      <c r="GN165" s="1321" t="s">
        <v>1349</v>
      </c>
      <c r="GO165" s="1321" t="s">
        <v>1349</v>
      </c>
      <c r="GP165" s="1321" t="s">
        <v>1349</v>
      </c>
      <c r="GQ165" s="1321" t="s">
        <v>1349</v>
      </c>
      <c r="GR165" s="1321" t="s">
        <v>1349</v>
      </c>
      <c r="GS165" s="1321" t="s">
        <v>1349</v>
      </c>
      <c r="GT165" s="1321" t="s">
        <v>1349</v>
      </c>
      <c r="GU165" s="1321" t="s">
        <v>1349</v>
      </c>
      <c r="GV165" s="1321" t="s">
        <v>1349</v>
      </c>
      <c r="GW165" s="1321"/>
      <c r="GX165" s="1321"/>
      <c r="GY165" s="1321"/>
      <c r="GZ165" s="1321"/>
      <c r="HA165" s="1321"/>
      <c r="HB165" s="1321"/>
      <c r="HC165" s="1321"/>
      <c r="HD165" s="1321"/>
      <c r="HE165" s="1321"/>
      <c r="HF165" s="1321"/>
      <c r="HG165" s="1321"/>
      <c r="HH165" s="1321"/>
      <c r="HI165" s="1321"/>
      <c r="HJ165" s="1321"/>
      <c r="HK165" s="1321"/>
      <c r="HL165" s="1321"/>
      <c r="HM165" s="1321"/>
      <c r="HN165" s="1321"/>
      <c r="HO165" s="1321"/>
      <c r="HP165" s="1321"/>
      <c r="HQ165" s="1321"/>
      <c r="HR165" s="1321"/>
      <c r="HS165" s="1321"/>
      <c r="HT165" s="1321"/>
      <c r="HU165" s="1321"/>
      <c r="HV165" s="1321"/>
      <c r="HW165" s="1321"/>
      <c r="HX165" s="1321"/>
      <c r="HY165" s="1321"/>
      <c r="HZ165" s="1321"/>
      <c r="IA165" s="1321"/>
      <c r="IB165" s="1321"/>
      <c r="IC165" s="1321"/>
      <c r="ID165" s="1321"/>
      <c r="IE165" s="1321"/>
      <c r="IF165" s="1321"/>
      <c r="IG165" s="1321"/>
      <c r="IH165" s="1321"/>
      <c r="II165" s="1321"/>
      <c r="IJ165" s="1321"/>
      <c r="IK165" s="1321"/>
      <c r="IL165" s="1321"/>
      <c r="IM165" s="1321"/>
      <c r="IN165" s="1368"/>
    </row>
    <row r="166" spans="1:248" ht="12.75" customHeight="1" x14ac:dyDescent="0.2">
      <c r="A166" s="1307" t="s">
        <v>621</v>
      </c>
      <c r="B166" s="1209">
        <v>0.01</v>
      </c>
      <c r="C166" s="1321"/>
      <c r="D166" s="1321"/>
      <c r="E166" s="1321"/>
      <c r="F166" s="1321"/>
      <c r="G166" s="1321"/>
      <c r="H166" s="1321"/>
      <c r="I166" s="1321"/>
      <c r="J166" s="1321"/>
      <c r="K166" s="1321"/>
      <c r="L166" s="1321"/>
      <c r="M166" s="1321"/>
      <c r="N166" s="1321"/>
      <c r="O166" s="1321"/>
      <c r="P166" s="1321"/>
      <c r="Q166" s="1321"/>
      <c r="R166" s="1321"/>
      <c r="S166" s="1321"/>
      <c r="T166" s="1321"/>
      <c r="U166" s="1321"/>
      <c r="V166" s="1321"/>
      <c r="W166" s="1321"/>
      <c r="X166" s="1321"/>
      <c r="Y166" s="1321"/>
      <c r="Z166" s="1321"/>
      <c r="AA166" s="1321"/>
      <c r="AB166" s="1321"/>
      <c r="AC166" s="1321"/>
      <c r="AD166" s="1321"/>
      <c r="AE166" s="1321"/>
      <c r="AF166" s="1321"/>
      <c r="AG166" s="1321"/>
      <c r="AH166" s="1321"/>
      <c r="AI166" s="1321"/>
      <c r="AJ166" s="1321"/>
      <c r="AK166" s="1321"/>
      <c r="AL166" s="1321"/>
      <c r="AM166" s="1321"/>
      <c r="AN166" s="1321"/>
      <c r="AO166" s="1321"/>
      <c r="AP166" s="1321"/>
      <c r="AQ166" s="1321"/>
      <c r="AR166" s="1321"/>
      <c r="AS166" s="1321"/>
      <c r="AT166" s="1321"/>
      <c r="AU166" s="1321"/>
      <c r="AV166" s="1321"/>
      <c r="AW166" s="1321"/>
      <c r="AX166" s="1321"/>
      <c r="AY166" s="1321"/>
      <c r="AZ166" s="1321"/>
      <c r="BA166" s="1321"/>
      <c r="BB166" s="1236" t="s">
        <v>1315</v>
      </c>
      <c r="BC166" s="1190" t="s">
        <v>76</v>
      </c>
      <c r="BD166" s="1190" t="s">
        <v>1253</v>
      </c>
      <c r="BE166" s="1237">
        <v>7.2</v>
      </c>
      <c r="BF166" s="1237">
        <v>6</v>
      </c>
      <c r="BG166" s="1237">
        <v>4</v>
      </c>
      <c r="BH166" s="1237">
        <v>2</v>
      </c>
      <c r="BI166" s="1237">
        <v>1.2</v>
      </c>
      <c r="BJ166" s="1237">
        <v>0.6</v>
      </c>
      <c r="BK166" s="1238">
        <v>0</v>
      </c>
      <c r="BL166" s="1348"/>
      <c r="BM166" s="1346"/>
      <c r="BN166" s="1321"/>
      <c r="BO166" s="1321"/>
      <c r="BP166" s="1321"/>
      <c r="BQ166" s="1321"/>
      <c r="BR166" s="1321"/>
      <c r="BS166" s="1321"/>
      <c r="BT166" s="1321"/>
      <c r="BU166" s="1321"/>
      <c r="BV166" s="1345"/>
      <c r="BW166" s="1345"/>
      <c r="BX166" s="1076" t="str">
        <f t="shared" si="57"/>
        <v>Pois</v>
      </c>
      <c r="BY166" s="1076">
        <f t="array" ref="BY166">IF(ChoixRationComplèteCaprins=OUI,0,IFERROR(IF(OR(AND(INDEX(Règles_caprins[Specificite],MATCH(ChoixRationCaprins&amp;$BX166,Règles_caprins[Ration]&amp;Règles_caprins[Aliment],0))="s1",IF($BX166=Spécificité1Caprins,1)),
INDEX(Règles_caprins[Specificite],MATCH(ChoixRationCaprins&amp;$BX166,Règles_caprins[Ration]&amp;Règles_caprins[Aliment],0))="c"),
INDEX(Règles_caprins[Valeur 12 et plus],MATCH(ChoixRationCaprins&amp;$BX166,Règles_caprins[Ration]&amp;Règles_caprins[Aliment],0)),0),0)*TotalChèvres*SUM(NbreJoursNourrirCaprins))</f>
        <v>0</v>
      </c>
      <c r="BZ166" s="1076">
        <f t="array" ref="BZ166">IF(ChoixRationComplèteCaprins=OUI,0,IFERROR(IF(OR(AND(INDEX(Règles_caprins[Specificite],MATCH(ChoixRationCaprins&amp;$BX166,Règles_caprins[Ration]&amp;Règles_caprins[Aliment],0))="s1",IF($BX166=Spécificité1Caprins,1)),
INDEX(Règles_caprins[Specificite],MATCH(ChoixRationCaprins&amp;$BX166,Règles_caprins[Ration]&amp;Règles_caprins[Aliment],0))="c"),
INDEX(Règles_caprins[Valeur 6-12],MATCH(ChoixRationCaprins&amp;$BX166,Règles_caprins[Ration]&amp;Règles_caprins[Aliment],0)),0),0)*jeune_chèvre_6_12_mois*SUM(NbreJoursNourrirCaprins))</f>
        <v>0</v>
      </c>
      <c r="CA166" s="1076">
        <f t="array" ref="CA166">IF(ChoixRationComplèteCaprins=OUI,0,IFERROR(IF(OR(AND(INDEX(Règles_caprins[Specificite],MATCH(ChoixRationCaprins&amp;$BX166,Règles_caprins[Ration]&amp;Règles_caprins[Aliment],0))="s1",IF($BX166=Spécificité1Caprins,1)),
INDEX(Règles_caprins[Specificite],MATCH(ChoixRationCaprins&amp;$BX166,Règles_caprins[Ration]&amp;Règles_caprins[Aliment],0))="c"),
INDEX(Règles_caprins[Valeur 3-6],MATCH(ChoixRationCaprins&amp;$BX166,Règles_caprins[Ration]&amp;Règles_caprins[Aliment],0)),0),0)*chevrette_3_6_mois*SUM(NbreJoursNourrirCaprins))</f>
        <v>0</v>
      </c>
      <c r="CB166" s="1076">
        <f t="array" ref="CB166">IF(ChoixRationComplèteCaprins=OUI,0,IFERROR(IF(OR(AND(INDEX(Règles_caprins[Specificite],MATCH(ChoixRationCaprins&amp;$BX166,Règles_caprins[Ration]&amp;Règles_caprins[Aliment],0))="s1",IF($BX166=Spécificité1Caprins,1)),
INDEX(Règles_caprins[Specificite],MATCH(ChoixRationCaprins&amp;$BX166,Règles_caprins[Ration]&amp;Règles_caprins[Aliment],0))="c"),
INDEX(Règles_caprins[Valeur 0-3],MATCH(ChoixRationCaprins&amp;$BX166,Règles_caprins[Ration]&amp;Règles_caprins[Aliment],0)),0),0)*chevrette_0_3_mois*SUM(NbreJoursNourrirCaprins))</f>
        <v>0</v>
      </c>
      <c r="CC166" s="1076">
        <f t="shared" si="56"/>
        <v>0</v>
      </c>
      <c r="CD166" s="1345"/>
      <c r="CE166" s="1345"/>
      <c r="CF166" s="1345"/>
      <c r="CG166" s="1345"/>
      <c r="CH166" s="1345"/>
      <c r="CI166" s="1321"/>
      <c r="CJ166" s="1075" t="str">
        <f t="shared" si="51"/>
        <v>Soja</v>
      </c>
      <c r="CK166" s="1269">
        <f t="array" ref="CK166">SUM((IF(QualitéAlimentsPorceletMâle_0_1_mois=BONNE,VLOOKUP("Soja",AlimentsRationPorcinsMâles[],6,FALSE),0)+(IF(QualitéAlimentsPorceletFemelle_0_1_mois=BONNE,VLOOKUP("Soja",AlimentsRationPorcinsFemelles[],6,FALSE),0)+(IF(QualitéAlimentsPorceletMâle_1_3_mois=BONNE,VLOOKUP("Soja",AlimentsRationPorcinsMâles[],5,FALSE),0)+(IF(QualitéAlimentsPorceletFemelle_1_3_mois=BONNE,VLOOKUP("Soja",AlimentsRationPorcinsFemelles[],5,FALSE),0)+(IF(QualitéAlimentsJeuneVerrat_3_6_mois=BONNE,VLOOKUP("Soja",AlimentsRationPorcinsMâles[],4,FALSE),0)+(IF(QualitéAlimentsJeuneTruie_3_6_mois=BONNE,VLOOKUP("Soja",AlimentsRationPorcinsFemelles[],4,FALSE),0)+(IF(QualitéAlimentsJeuneVerrat_6_12_mois=BONNE,VLOOKUP("Soja",AlimentsRationPorcinsMâles[],3,FALSE),0)+(IF(QualitéAlimentsJeuneTruie_6_12_mois=BONNE,VLOOKUP("Soja",AlimentsRationPorcinsFemelles[],3,FALSE),0)+(IF(QualitéAlimentsVerrat=BONNE,VLOOKUP("Soja",AlimentsRationPorcinsMâles[],2,FALSE),0)+(IF(QualitéAlimentsTruie=BONNE,VLOOKUP("Soja",AlimentsRationPorcinsFemelles[],2,FALSE),0))))))))))))</f>
        <v>0</v>
      </c>
      <c r="CL166" s="1269">
        <f t="array" ref="CL166">SUM((IF(QualitéAlimentsPorceletMâle_0_1_mois=MOYENNE,VLOOKUP("Soja",AlimentsRationPorcinsMâles[],6,FALSE),0)+(IF(QualitéAlimentsPorceletFemelle_0_1_mois=MOYENNE,VLOOKUP("Soja",AlimentsRationPorcinsFemelles[],6,FALSE),0)+(IF(QualitéAlimentsPorceletMâle_1_3_mois=MOYENNE,VLOOKUP("Soja",AlimentsRationPorcinsMâles[],5,FALSE),0)+(IF(QualitéAlimentsPorceletFemelle_1_3_mois=MOYENNE,VLOOKUP("Soja",AlimentsRationPorcinsFemelles[],5,FALSE),0)+(IF(QualitéAlimentsJeuneVerrat_3_6_mois=MOYENNE,VLOOKUP("Soja",AlimentsRationPorcinsMâles[],4,FALSE),0)+(IF(QualitéAlimentsJeuneTruie_3_6_mois=MOYENNE,VLOOKUP("Soja",AlimentsRationPorcinsFemelles[],4,FALSE),0)+(IF(QualitéAlimentsJeuneVerrat_6_12_mois=MOYENNE,VLOOKUP("Soja",AlimentsRationPorcinsMâles[],3,FALSE),0)+(IF(QualitéAlimentsJeuneTruie_6_12_mois=MOYENNE,VLOOKUP("Soja",AlimentsRationPorcinsFemelles[],3,FALSE),0)+(IF(QualitéAlimentsVerrat=MOYENNE,VLOOKUP("Soja",AlimentsRationPorcinsMâles[],2,FALSE),0)+(IF(QualitéAlimentsTruie=MOYENNE,VLOOKUP("Soja",AlimentsRationPorcinsFemelles[],2,FALSE),0))))))))))))</f>
        <v>0</v>
      </c>
      <c r="CM166" s="1269">
        <f t="array" ref="CM166">SUM((IF(QualitéAlimentsPorceletMâle_0_1_mois=MAUVAISE,VLOOKUP("Soja",AlimentsRationPorcinsMâles[],6,FALSE),0)+(IF(QualitéAlimentsPorceletFemelle_0_1_mois=MAUVAISE,VLOOKUP("Soja",AlimentsRationPorcinsFemelles[],6,FALSE),0)+(IF(QualitéAlimentsPorceletMâle_1_3_mois=MAUVAISE,VLOOKUP("Soja",AlimentsRationPorcinsMâles[],5,FALSE),0)+(IF(QualitéAlimentsPorceletFemelle_1_3_mois=MAUVAISE,VLOOKUP("Soja",AlimentsRationPorcinsFemelles[],5,FALSE),0)+(IF(QualitéAlimentsJeuneVerrat_3_6_mois=MAUVAISE,VLOOKUP("Soja",AlimentsRationPorcinsMâles[],4,FALSE),0)+(IF(QualitéAlimentsJeuneTruie_3_6_mois=MAUVAISE,VLOOKUP("Soja",AlimentsRationPorcinsFemelles[],4,FALSE),0)+(IF(QualitéAlimentsJeuneVerrat_6_12_mois=MAUVAISE,VLOOKUP("Soja",AlimentsRationPorcinsMâles[],3,FALSE),0)+(IF(QualitéAlimentsJeuneTruie_6_12_mois=MAUVAISE,VLOOKUP("Soja",AlimentsRationPorcinsFemelles[],3,FALSE),0)+(IF(QualitéAlimentsVerrat=MAUVAISE,VLOOKUP("Soja",AlimentsRationPorcinsMâles[],2,FALSE),0)+(IF(QualitéAlimentsTruie=MAUVAISE,VLOOKUP("Soja",AlimentsRationPorcinsFemelles[],2,FALSE),0))))))))))))</f>
        <v>0</v>
      </c>
      <c r="CN166" s="1320"/>
      <c r="CO166" s="1321"/>
      <c r="CP166" s="1321"/>
      <c r="CQ166" s="1321"/>
      <c r="CR166" s="1321"/>
      <c r="CS166" s="1075" t="str">
        <f t="shared" si="66"/>
        <v>Eau</v>
      </c>
      <c r="CT166" s="1269">
        <f t="array" ref="CT166">SUM((IF(QualitéAlimentsLapereauMâle_0_1_mois=BONNE,VLOOKUP("Eau",AlimentsRationLapinsMâles[],4,FALSE),0)+(IF(QualitéAlimentsLapereauFemelle_0_1_mois=BONNE,VLOOKUP("Eau",AlimentsRationLapinsFemelles[],4,FALSE),0)+(IF(QualitéAlimentsJeuneLapin=BONNE,VLOOKUP("Eau",AlimentsRationLapinsMâles[],3,FALSE),0)+(IF(QualitéAlimentsJeuneLapine=BONNE,VLOOKUP("Eau",AlimentsRationLapinsFemelles[],3,FALSE),0)+(IF(QualitéAlimentsLapin=BONNE,VLOOKUP("Eau",AlimentsRationLapinsMâles[],2,FALSE),0)+(IF(QualitéAlimentsLapine=BONNE,VLOOKUP("Eau",AlimentsRationLapinsFemelles[],2,FALSE),0))))))))</f>
        <v>0</v>
      </c>
      <c r="CU166" s="1269">
        <f t="array" ref="CU166">SUM((IF(QualitéAlimentsLapereauMâle_0_1_mois=MOYENNE,VLOOKUP("Eau",AlimentsRationLapinsMâles[],4,FALSE),0)+(IF(QualitéAlimentsLapereauFemelle_0_1_mois=MOYENNE,VLOOKUP("Eau",AlimentsRationLapinsFemelles[],4,FALSE),0)+(IF(QualitéAlimentsJeuneLapin=MOYENNE,VLOOKUP("Eau",AlimentsRationLapinsMâles[],3,FALSE),0)+(IF(QualitéAlimentsJeuneLapine=MOYENNE,VLOOKUP("Eau",AlimentsRationLapinsFemelles[],3,FALSE),0)+(IF(QualitéAlimentsLapin=MOYENNE,VLOOKUP("Eau",AlimentsRationLapinsMâles[],2,FALSE),0)+(IF(QualitéAlimentsLapine=MOYENNE,VLOOKUP("Eau",AlimentsRationLapinsFemelles[],2,FALSE),0))))))))</f>
        <v>0</v>
      </c>
      <c r="CV166" s="1269">
        <f t="array" ref="CV166">SUM((IF(QualitéAlimentsLapereauMâle_0_1_mois=MAUVAISE,VLOOKUP("Eau",AlimentsRationLapinsMâles[],4,FALSE),0)+(IF(QualitéAlimentsLapereauFemelle_0_1_mois=MAUVAISE,VLOOKUP("Eau",AlimentsRationLapinsFemelles[],4,FALSE),0)+(IF(QualitéAlimentsJeuneLapin=MAUVAISE,VLOOKUP("Eau",AlimentsRationLapinsMâles[],3,FALSE),0)+(IF(QualitéAlimentsJeuneLapine=MAUVAISE,VLOOKUP("Eau",AlimentsRationLapinsFemelles[],3,FALSE),0)+(IF(QualitéAlimentsLapin=MAUVAISE,VLOOKUP("Eau",AlimentsRationLapinsMâles[],2,FALSE),0)+(IF(QualitéAlimentsLapine=MAUVAISE,VLOOKUP("Eau",AlimentsRationLapinsFemelles[],2,FALSE),0))))))))</f>
        <v>0</v>
      </c>
      <c r="CW166" s="1321"/>
      <c r="CX166" s="1321"/>
      <c r="CY166" s="1321"/>
      <c r="CZ166" s="1076" t="str">
        <f t="shared" si="65"/>
        <v>Epinard</v>
      </c>
      <c r="DA166" s="1267">
        <f t="array" ref="DA166">SUM((IF(QualitéAlimentsPoussinMâle_0_1_mois=BONNE,VLOOKUP("Epinard",AlimentsRationVolaillesMâles[],4,FALSE),0)+(IF(QualitéAlimentsPoussinFemelle_0_1_mois=BONNE,VLOOKUP("Epinard",AlimentsRationVolaillesFemelles[],4,FALSE),0)+(IF(QualitéAlimentsJeuneCoq=BONNE,VLOOKUP("Epinard",AlimentsRationVolaillesMâles[],3,FALSE),0)+(IF(QualitéAlimentsJeunePoule=BONNE,VLOOKUP("Epinard",AlimentsRationVolaillesFemelles[],3,FALSE),0)+(IF(QualitéAlimentsCoq=BONNE,VLOOKUP("Epinard",AlimentsRationVolaillesMâles[],2,FALSE),0)+(IF(QualitéAlimentsPoule=BONNE,VLOOKUP("Epinard",AlimentsRationVolaillesFemelles[],2,FALSE),0))))))))</f>
        <v>0</v>
      </c>
      <c r="DB166" s="1267">
        <f t="array" ref="DB166">SUM((IF(QualitéAlimentsPoussinMâle_0_1_mois=MOYENNE,VLOOKUP("Epinard",AlimentsRationVolaillesMâles[],4,FALSE),0)+(IF(QualitéAlimentsPoussinFemelle_0_1_mois=MOYENNE,VLOOKUP("Epinard",AlimentsRationVolaillesFemelles[],4,FALSE),0)+(IF(QualitéAlimentsJeuneCoq=MOYENNE,VLOOKUP("Epinard",AlimentsRationVolaillesMâles[],3,FALSE),0)+(IF(QualitéAlimentsJeunePoule=MOYENNE,VLOOKUP("Epinard",AlimentsRationVolaillesFemelles[],3,FALSE),0)+(IF(QualitéAlimentsCoq=MOYENNE,VLOOKUP("Epinard",AlimentsRationVolaillesMâles[],2,FALSE),0)+(IF(QualitéAlimentsPoule=MOYENNE,VLOOKUP("Epinard",AlimentsRationVolaillesFemelles[],2,FALSE),0))))))))</f>
        <v>0</v>
      </c>
      <c r="DC166" s="1267">
        <f t="array" ref="DC166">SUM((IF(QualitéAlimentsPoussinMâle_0_1_mois=MAUVAISE,VLOOKUP("Epinard",AlimentsRationVolaillesMâles[],4,FALSE),0)+(IF(QualitéAlimentsPoussinFemelle_0_1_mois=MAUVAISE,VLOOKUP("Epinard",AlimentsRationVolaillesFemelles[],4,FALSE),0)+(IF(QualitéAlimentsJeuneCoq=MAUVAISE,VLOOKUP("Epinard",AlimentsRationVolaillesMâles[],3,FALSE),0)+(IF(QualitéAlimentsJeunePoule=MAUVAISE,VLOOKUP("Epinard",AlimentsRationVolaillesFemelles[],3,FALSE),0)+(IF(QualitéAlimentsCoq=MAUVAISE,VLOOKUP("Epinard",AlimentsRationVolaillesMâles[],2,FALSE),0)+(IF(QualitéAlimentsPoule=MAUVAISE,VLOOKUP("Epinard",AlimentsRationVolaillesFemelles[],2,FALSE),0))))))))</f>
        <v>0</v>
      </c>
      <c r="DD166" s="1320"/>
      <c r="DE166" s="1321"/>
      <c r="DF166" s="1321"/>
      <c r="DG166" s="1076" t="str">
        <f t="shared" si="58"/>
        <v>Pois</v>
      </c>
      <c r="DH166" s="1267">
        <f t="array" ref="DH166">SUM((IF(QualitéAlimentsPintadeauMâle_0_1_mois=BONNE,VLOOKUP("Pois",AlimentsRationPintadesMâles[],4,FALSE),0)+(IF(QualitéAlimentsPintadeauFemelle_0_1_mois=BONNE,VLOOKUP("Pois",AlimentsRationPintadesFemelles[],4,FALSE),0)+(IF(QualitéAlimentsJeunePintadeMâle=BONNE,VLOOKUP("Pois",AlimentsRationPintadesMâles[],3,FALSE),0)+(IF(QualitéAlimentsJeunePintadeFemelle=BONNE,VLOOKUP("Pois",AlimentsRationPintadesFemelles[],3,FALSE),0)+(IF(QualitéAlimentsPintadeMâle=BONNE,VLOOKUP("Pois",AlimentsRationPintadesMâles[],2,FALSE),0)+(IF(QualitéAlimentsPintadeFemelle=BONNE,VLOOKUP("Pois",AlimentsRationPintadesFemelles[],2,FALSE),0))))))))</f>
        <v>0</v>
      </c>
      <c r="DI166" s="1267">
        <f t="array" ref="DI166">SUM((IF(QualitéAlimentsPintadeauMâle_0_1_mois=MOYENNE,VLOOKUP("Pois",AlimentsRationPintadesMâles[],4,FALSE),0)+(IF(QualitéAlimentsPintadeauFemelle_0_1_mois=MOYENNE,VLOOKUP("Pois",AlimentsRationPintadesFemelles[],4,FALSE),0)+(IF(QualitéAlimentsJeunePintadeMâle=MOYENNE,VLOOKUP("Pois",AlimentsRationPintadesMâles[],3,FALSE),0)+(IF(QualitéAlimentsJeunePintadeFemelle=MOYENNE,VLOOKUP("Pois",AlimentsRationPintadesFemelles[],3,FALSE),0)+(IF(QualitéAlimentsPintadeMâle=MOYENNE,VLOOKUP("Pois",AlimentsRationPintadesMâles[],2,FALSE),0)+(IF(QualitéAlimentsPintadeFemelle=MOYENNE,VLOOKUP("Pois",AlimentsRationPintadesFemelles[],2,FALSE),0))))))))</f>
        <v>0</v>
      </c>
      <c r="DJ166" s="1267">
        <f t="array" ref="DJ166">SUM((IF(QualitéAlimentsPintadeauMâle_0_1_mois=MAUVAISE,VLOOKUP("Pois",AlimentsRationPintadesMâles[],4,FALSE),0)+(IF(QualitéAlimentsPintadeauFemelle_0_1_mois=MAUVAISE,VLOOKUP("Pois",AlimentsRationPintadesFemelles[],4,FALSE),0)+(IF(QualitéAlimentsJeunePintadeMâle=MAUVAISE,VLOOKUP("Pois",AlimentsRationPintadesMâles[],3,FALSE),0)+(IF(QualitéAlimentsJeunePintadeFemelle=MAUVAISE,VLOOKUP("Pois",AlimentsRationPintadesFemelles[],3,FALSE),0)+(IF(QualitéAlimentsPintadeMâle=MAUVAISE,VLOOKUP("Pois",AlimentsRationPintadesMâles[],2,FALSE),0)+(IF(QualitéAlimentsPintadeFemelle=MAUVAISE,VLOOKUP("Pois",AlimentsRationPintadesFemelles[],2,FALSE),0))))))))</f>
        <v>0</v>
      </c>
      <c r="DK166" s="1321"/>
      <c r="DL166" s="1321"/>
      <c r="DM166" s="1321"/>
      <c r="DN166" s="1076" t="s">
        <v>333</v>
      </c>
      <c r="DO166" s="1267">
        <f t="array" ref="DO166">IF(ChoixRationComplèteOvins=OUI,0,IFERROR(IF(OR(AND(INDEX(Règles_ovins[Specificite],MATCH(ChoixRationOvins&amp;$DN166,Règles_ovins[Ration]&amp;Règles_ovins[Aliment],0))="s1",IF($DN166=Spécificité1Ovins,1)),
AND(INDEX(Règles_ovins[Specificite],MATCH(ChoixRationOvins&amp;$DN166,Règles_ovins[Ration]&amp;Règles_ovins[Aliment],0))="s2",IF($DN166=Spécificité2Ovins,1)),
INDEX(Règles_ovins[Specificite],MATCH(ChoixRationOvins&amp;$DN166,Règles_ovins[Ration]&amp;Règles_ovins[Aliment],0))="c"),
INDEX(Règles_ovins[Valeur 12 et plus],MATCH(ChoixRationOvins&amp;$DN166,Règles_ovins[Ration]&amp;Règles_ovins[Aliment],0)),0),0)*IF(ChoixOvinsPréHiver=OUI,SUM(TotalOvinsAdultesRacesLaitières)*NbreJoursNourrirOvins,TotalBéliers*SUM(NbreJoursNourrirOvins)))</f>
        <v>0</v>
      </c>
      <c r="DP166" s="1267">
        <f t="array" ref="DP166">IF(ChoixRationComplèteOvins=OUI,0,IFERROR(IF(OR(AND(INDEX(Règles_ovins[Specificite],MATCH(ChoixRationOvins&amp;$DN166,Règles_ovins[Ration]&amp;Règles_ovins[Aliment],0))="s1",IF($DN166=Spécificité1Ovins,1)),
AND(INDEX(Règles_ovins[Specificite],MATCH(ChoixRationOvins&amp;$DN166,Règles_ovins[Ration]&amp;Règles_ovins[Aliment],0))="s2",IF($DN166=Spécificité2Ovins,1)),
INDEX(Règles_ovins[Specificite],MATCH(ChoixRationOvins&amp;$DN166,Règles_ovins[Ration]&amp;Règles_ovins[Aliment],0))="c"),
INDEX(Règles_ovins[Valeur 6-12],MATCH(ChoixRationOvins&amp;$DN166,Règles_ovins[Ration]&amp;Règles_ovins[Aliment],0)),0),0)*IF(ChoixOvinsPréHiver=OUI,SUM(TotalJeunesOvinsRacesLaitières)*NbreJoursNourrirOvins,TotalJeune_bélier_6_12_mois*SUM(NbreJoursNourrirOvins)))</f>
        <v>0</v>
      </c>
      <c r="DQ166" s="1267">
        <f t="array" ref="DQ166">IF(ChoixRationComplèteOvins=OUI,0,IFERROR(IF(OR(AND(INDEX(Règles_ovins[Specificite],MATCH(ChoixRationOvins&amp;$DN166,Règles_ovins[Ration]&amp;Règles_ovins[Aliment],0))="s1",IF($DN166=Spécificité1Ovins,1)),
AND(INDEX(Règles_ovins[Specificite],MATCH(ChoixRationOvins&amp;$DN166,Règles_ovins[Ration]&amp;Règles_ovins[Aliment],0))="s2",IF($DN166=Spécificité2Ovins,1)),
INDEX(Règles_ovins[Specificite],MATCH(ChoixRationOvins&amp;$DN166,Règles_ovins[Ration]&amp;Règles_ovins[Aliment],0))="c"),
INDEX(Règles_ovins[Valeur 3-6],MATCH(ChoixRationOvins&amp;$DN166,Règles_ovins[Ration]&amp;Règles_ovins[Aliment],0)),0),0)*IF(ChoixOvinsPréHiver=OUI,SUM(TotalOvins_3_6moisRacesLaitières)*NbreJoursNourrirOvins,TotalAgneau_3_6_mois*SUM(NbreJoursNourrirOvins)))</f>
        <v>0</v>
      </c>
      <c r="DR166" s="1267">
        <f t="array" ref="DR166">IF(ChoixRationComplèteOvins=OUI,0,IFERROR(IF(OR(AND(INDEX(Règles_ovins[Specificite],MATCH(ChoixRationOvins&amp;$DN166,Règles_ovins[Ration]&amp;Règles_ovins[Aliment],0))="s1",IF($DN166=Spécificité1Ovins,1)),
AND(INDEX(Règles_ovins[Specificite],MATCH(ChoixRationOvins&amp;$DN166,Règles_ovins[Ration]&amp;Règles_ovins[Aliment],0))="s2",IF($DN166=Spécificité2Ovins,1)),
INDEX(Règles_ovins[Specificite],MATCH(ChoixRationOvins&amp;$DN166,Règles_ovins[Ration]&amp;Règles_ovins[Aliment],0))="c"),
INDEX(Règles_ovins[Valeur 0-3],MATCH(ChoixRationOvins&amp;$DN166,Règles_ovins[Ration]&amp;Règles_ovins[Aliment],0)),0),0)*IF(ChoixOvinsPréHiver=OUI,SUM(TotalOvins_3_6moisRacesLaitières)*NbreJoursNourrirOvins,TotalAgneau_0_3_mois*SUM(NbreJoursNourrirOvins)))</f>
        <v>0</v>
      </c>
      <c r="DS166" s="1279">
        <f t="shared" si="61"/>
        <v>0</v>
      </c>
      <c r="DT166" s="1346"/>
      <c r="DU166" s="1346"/>
      <c r="DV166" s="1321"/>
      <c r="DW166" s="1321"/>
      <c r="DX166" s="1321"/>
      <c r="DY166" s="1321"/>
      <c r="DZ166" s="1321"/>
      <c r="EA166" s="1321"/>
      <c r="EB166" s="1321"/>
      <c r="EC166" s="1321"/>
      <c r="ED166" s="1345"/>
      <c r="EE166" s="1345"/>
      <c r="EF166" s="1321"/>
      <c r="EG166" s="1076" t="str">
        <f t="shared" si="63"/>
        <v>Lentille</v>
      </c>
      <c r="EH166" s="1267">
        <f t="array" ref="EH166">SUM((IF(QualitéAlimentsOisonMâle_0_3_mois=BONNE,VLOOKUP("Lentille",AlimentsRationOiesMâles[],4,FALSE),0)+(IF(QualitéAlimentsOisonFemelle_0_3_mois=BONNE,VLOOKUP("Lentille",AlimentsRationOiesFemelles[],4,FALSE),0)+(IF(QualitéAlimentsJeuneJars=BONNE,VLOOKUP("Lentille",AlimentsRationOiesMâles[],3,FALSE),0)+(IF(QualitéAlimentsJeuneOie=BONNE,VLOOKUP("Lentille",AlimentsRationOiesFemelles[],3,FALSE),0)+(IF(QualitéAlimentsJars=BONNE,VLOOKUP("Lentille",AlimentsRationOiesMâles[],2,FALSE),0)+(IF(QualitéAlimentsOie=BONNE,VLOOKUP("Lentille",AlimentsRationOiesFemelles[],2,FALSE),0))))))))</f>
        <v>0</v>
      </c>
      <c r="EI166" s="1267">
        <f t="array" ref="EI166">SUM((IF(QualitéAlimentsOisonMâle_0_3_mois=MOYENNE,VLOOKUP("Lentille",AlimentsRationOiesMâles[],4,FALSE),0)+(IF(QualitéAlimentsOisonFemelle_0_3_mois=MOYENNE,VLOOKUP("Lentille",AlimentsRationOiesFemelles[],4,FALSE),0)+(IF(QualitéAlimentsJeuneJars=MOYENNE,VLOOKUP("Lentille",AlimentsRationOiesMâles[],3,FALSE),0)+(IF(QualitéAlimentsJeuneOie=MOYENNE,VLOOKUP("Lentille",AlimentsRationOiesFemelles[],3,FALSE),0)+(IF(QualitéAlimentsJars=MOYENNE,VLOOKUP("Lentille",AlimentsRationOiesMâles[],2,FALSE),0)+(IF(QualitéAlimentsOie=MOYENNE,VLOOKUP("Lentille",AlimentsRationOiesFemelles[],2,FALSE),0))))))))</f>
        <v>0</v>
      </c>
      <c r="EJ166" s="1267">
        <f t="array" ref="EJ166">SUM((IF(QualitéAlimentsOisonMâle_0_3_mois=MAUVAISE,VLOOKUP("Lentille",AlimentsRationOiesMâles[],4,FALSE),0)+(IF(QualitéAlimentsOisonFemelle_0_3_mois=MAUVAISE,VLOOKUP("Lentille",AlimentsRationOiesFemelles[],4,FALSE),0)+(IF(QualitéAlimentsJeuneJars=MAUVAISE,VLOOKUP("Lentille",AlimentsRationOiesMâles[],3,FALSE),0)+(IF(QualitéAlimentsJeuneOie=MAUVAISE,VLOOKUP("Lentille",AlimentsRationOiesFemelles[],3,FALSE),0)+(IF(QualitéAlimentsJars=MAUVAISE,VLOOKUP("Lentille",AlimentsRationOiesMâles[],2,FALSE),0)+(IF(QualitéAlimentsOie=MAUVAISE,VLOOKUP("Lentille",AlimentsRationOiesFemelles[],2,FALSE),0))))))))</f>
        <v>0</v>
      </c>
      <c r="EK166" s="1345"/>
      <c r="EL166" s="1345"/>
      <c r="EM166" s="1321"/>
      <c r="EN166" s="1083" t="str">
        <f t="shared" si="62"/>
        <v>Maïs ensilé</v>
      </c>
      <c r="EO166" s="1283">
        <f t="array" ref="EO166">SUM((IF(QualitéAlimentsCanetonMâle=BONNE,VLOOKUP("Maïs ensilé",AlimentsRationCanardsMâles,4,FALSE),0)+(IF(QualitéAlimentsCanetonFemelle=BONNE,VLOOKUP("Maïs ensilé",AlimentsRationCanardsFemelles,4,FALSE),0)+(IF(QualitéAlimentsJeuneCanard=BONNE,VLOOKUP("Maïs ensilé",AlimentsRationCanardsMâles,3,FALSE),0)+(IF(QualitéAlimentsJeuneCane=BONNE,VLOOKUP("Maïs ensilé",AlimentsRationCanardsFemelles,3,FALSE),0)+(IF(QualitéAlimentsCanard=BONNE,VLOOKUP("Maïs ensilé",AlimentsRationCanardsMâles,2,FALSE),0)+(IF(QualitéAlimentsCane=BONNE,VLOOKUP("Maïs ensilé",AlimentsRationCanardsFemelles,2,FALSE),0))))))))</f>
        <v>0</v>
      </c>
      <c r="EP166" s="1283">
        <f t="array" ref="EP166">SUM((IF(QualitéAlimentsCanetonMâle=MOYENNE,VLOOKUP("Maïs ensilé",AlimentsRationCanardsMâles,4,FALSE),0)+(IF(QualitéAlimentsCanetonFemelle=MOYENNE,VLOOKUP("Maïs ensilé",AlimentsRationCanardsFemelles,4,FALSE),0)+(IF(QualitéAlimentsJeuneCanard=MOYENNE,VLOOKUP("Maïs ensilé",AlimentsRationCanardsMâles,3,FALSE),0)+(IF(QualitéAlimentsJeuneCane=MOYENNE,VLOOKUP("Maïs ensilé",AlimentsRationCanardsFemelles,3,FALSE),0)+(IF(QualitéAlimentsCanard=MOYENNE,VLOOKUP("Maïs ensilé",AlimentsRationCanardsMâles,2,FALSE),0)+(IF(QualitéAlimentsCane=MOYENNE,VLOOKUP("Maïs ensilé",AlimentsRationCanardsFemelles,2,FALSE),0))))))))</f>
        <v>0</v>
      </c>
      <c r="EQ166" s="1283">
        <f t="array" ref="EQ166">SUM((IF(QualitéAlimentsCanetonMâle=MAUVAISE,VLOOKUP("Maïs ensilé",AlimentsRationCanardsMâles,4,FALSE),0)+(IF(QualitéAlimentsCanetonFemelle=MAUVAISE,VLOOKUP("Maïs ensilé",AlimentsRationCanardsFemelles,4,FALSE),0)+(IF(QualitéAlimentsJeuneCanard=MAUVAISE,VLOOKUP("Maïs ensilé",AlimentsRationCanardsMâles,3,FALSE),0)+(IF(QualitéAlimentsJeuneCane=MAUVAISE,VLOOKUP("Maïs ensilé",AlimentsRationCanardsFemelles,3,FALSE),0)+(IF(QualitéAlimentsCanard=MAUVAISE,VLOOKUP("Maïs ensilé",AlimentsRationCanardsMâles,2,FALSE),0)+(IF(QualitéAlimentsCane=MAUVAISE,VLOOKUP("Maïs ensilé",AlimentsRationCanardsFemelles,2,FALSE),0))))))))</f>
        <v>0</v>
      </c>
      <c r="ER166" s="1345"/>
      <c r="ES166" s="1345"/>
      <c r="ET166" s="1321"/>
      <c r="EU166" s="1082" t="str">
        <f t="shared" si="60"/>
        <v>Maïs grain</v>
      </c>
      <c r="EV166" s="1282">
        <f t="array" ref="EV166">IF(OR(ChoixRationHivernaleComplèteChevauxSelle=OUI,ChoixRationHivernaleComplèteChevauxSelle="",ChoixChevauxSellePréHiver=NON),0,IFERROR(IF(OR(AND(INDEX(Règles_chevaux_selle[Specificite],MATCH(RationHivernaleAuPréChevauxSelle&amp;$EU166,Règles_chevaux_selle[Ration]&amp;Règles_chevaux_selle[Aliment],0))="s1",IF($EU166=Spécificité1ChevauxSelle,1)),
AND(INDEX(Règles_chevaux_selle[Specificite],MATCH(RationHivernaleAuPréChevauxSelle&amp;$EU166,Règles_chevaux_selle[Ration]&amp;Règles_chevaux_selle[Aliment],0))="s2",IF($EU166=Spécificité2ChevauxSelle,1)),
INDEX(Règles_chevaux_selle[Specificite],MATCH(RationHivernaleAuPréChevauxSelle&amp;$EU166,Règles_chevaux_selle[Ration]&amp;Règles_chevaux_selle[Aliment],0))="c"),
INDEX(Règles_chevaux_selle[Valeur 36 et plus],MATCH(RationHivernaleAuPréChevauxSelle&amp;$EU166,Règles_chevaux_selle[Ration]&amp;Règles_chevaux_selle[Aliment],0)),0),0)*SUM(TotalChevauxSelleAdultes)*21)</f>
        <v>0</v>
      </c>
      <c r="EW166" s="1282">
        <f t="array" ref="EW166">IF(OR(ChoixRationHivernaleComplèteChevauxSelle=OUI,ChoixRationHivernaleComplèteChevauxSelle="",ChoixChevauxSellePréHiver=NON),0,IFERROR(IF(OR(AND(INDEX(Règles_chevaux_selle[Specificite],MATCH(RationHivernaleAuPréChevauxSelle&amp;$EU166,Règles_chevaux_selle[Ration]&amp;Règles_chevaux_selle[Aliment],0))="s1",IF($EU166=Spécificité1ChevauxSelle,1)),
AND(INDEX(Règles_chevaux_selle[Specificite],MATCH(RationHivernaleAuPréChevauxSelle&amp;$EU166,Règles_chevaux_selle[Ration]&amp;Règles_chevaux_selle[Aliment],0))="s2",IF($EU166=Spécificité2ChevauxSelle,1)),
INDEX(Règles_chevaux_selle[Specificite],MATCH(RationHivernaleAuPréChevauxSelle&amp;$EU166,Règles_chevaux_selle[Ration]&amp;Règles_chevaux_selle[Aliment],0))="c"),
INDEX(Règles_chevaux_selle[Valeur 24-36],MATCH(RationHivernaleAuPréChevauxSelle&amp;$EU166,Règles_chevaux_selle[Ration]&amp;Règles_chevaux_selle[Aliment],0)),0),0)*SUM(TotalChevauxSelle_24_36mois)*21)</f>
        <v>0</v>
      </c>
      <c r="EX166" s="1282">
        <f t="array" ref="EX166">IF(OR(ChoixRationHivernaleComplèteChevauxSelle=OUI,ChoixRationHivernaleComplèteChevauxSelle="",ChoixChevauxSellePréHiver=NON),0,IFERROR(IF(OR(AND(INDEX(Règles_chevaux_selle[Specificite],MATCH(RationHivernaleAuPréChevauxSelle&amp;$EU166,Règles_chevaux_selle[Ration]&amp;Règles_chevaux_selle[Aliment],0))="s1",IF($EU166=Spécificité1ChevauxSelle,1)),
AND(INDEX(Règles_chevaux_selle[Specificite],MATCH(RationHivernaleAuPréChevauxSelle&amp;$EU166,Règles_chevaux_selle[Ration]&amp;Règles_chevaux_selle[Aliment],0))="s2",IF($EU166=Spécificité2ChevauxSelle,1)),
INDEX(Règles_chevaux_selle[Specificite],MATCH(RationHivernaleAuPréChevauxSelle&amp;$EU166,Règles_chevaux_selle[Ration]&amp;Règles_chevaux_selle[Aliment],0))="c"),
INDEX(Règles_chevaux_selle[Valeur 12-24],MATCH(RationHivernaleAuPréChevauxSelle&amp;$EU166,Règles_chevaux_selle[Ration]&amp;Règles_chevaux_selle[Aliment],0)),0),0)*SUM(TotalChevauxSelle_12_24mois)*21)</f>
        <v>0</v>
      </c>
      <c r="EY166" s="1285">
        <f t="array" ref="EY166">IF(OR(ChoixRationHivernaleComplèteChevauxSelle=OUI,ChoixRationHivernaleComplèteChevauxSelle="",ChoixChevauxSellePréHiver=NON),0,IFERROR(IF(OR(AND(INDEX(Règles_chevaux_selle[Specificite],MATCH(RationHivernaleAuPréChevauxSelle&amp;$EU166,Règles_chevaux_selle[Ration]&amp;Règles_chevaux_selle[Aliment],0))="s1",IF($EU166=Spécificité1ChevauxSelle,1)),
AND(INDEX(Règles_chevaux_selle[Specificite],MATCH(RationHivernaleAuPréChevauxSelle&amp;$EU166,Règles_chevaux_selle[Ration]&amp;Règles_chevaux_selle[Aliment],0))="s2",IF($EU166=Spécificité2ChevauxSelle,1)),
INDEX(Règles_chevaux_selle[Specificite],MATCH(RationHivernaleAuPréChevauxSelle&amp;$EU166,Règles_chevaux_selle[Ration]&amp;Règles_chevaux_selle[Aliment],0))="c"),
INDEX(Règles_chevaux_selle[Valeur 0-12],MATCH(RationHivernaleAuPréChevauxSelle&amp;$EU166,Règles_chevaux_selle[Ration]&amp;Règles_chevaux_selle[Aliment],0)),0),0)*SUM(TotalPoulainsSelle)*21)</f>
        <v>0</v>
      </c>
      <c r="EZ166" s="1285">
        <f t="shared" si="59"/>
        <v>0</v>
      </c>
      <c r="FA166" s="1345"/>
      <c r="FB166" s="1345"/>
      <c r="FC166" s="1321"/>
      <c r="FD166" s="1082" t="str">
        <f t="shared" si="55"/>
        <v>Pulpe déshydratée de betterave</v>
      </c>
      <c r="FE166" s="1282">
        <f t="array" ref="FE166">IF(OR(ChoixRationHivernaleComplèteChevauxTrait=OUI,ChoixRationHivernaleComplèteChevauxTrait="",ChoixChevauxTraitPréHiver=NON),0,IFERROR(IF(OR(AND(INDEX(Règles_chevaux_trait[Specificite],MATCH(RationHivernaleAuPréChevauxTrait&amp;$FD166,Règles_chevaux_trait[Ration]&amp;Règles_chevaux_trait[Aliment],0))="s1",IF($FD166=Spécificité1ChevauxTrait,1)),
AND(INDEX(Règles_chevaux_trait[Specificite],MATCH(RationHivernaleAuPréChevauxTrait&amp;$FD166,Règles_chevaux_trait[Ration]&amp;Règles_chevaux_trait[Aliment],0))="s2",IF($FD166=Spécificité2ChevauxTrait,1)),
INDEX(Règles_chevaux_trait[Specificite],MATCH(RationHivernaleAuPréChevauxTrait&amp;$FD166,Règles_chevaux_trait[Ration]&amp;Règles_chevaux_trait[Aliment],0))="c"),
INDEX(Règles_chevaux_trait[Valeur 36 et plus],MATCH(RationHivernaleAuPréChevauxTrait&amp;$FD166,Règles_chevaux_trait[Ration]&amp;Règles_chevaux_trait[Aliment],0)),0),0)*SUM(TotalChevauxTraitAdultes)*21)</f>
        <v>0</v>
      </c>
      <c r="FF166" s="1282">
        <f t="array" ref="FF166">IF(OR(ChoixRationHivernaleComplèteChevauxTrait=OUI,ChoixRationHivernaleComplèteChevauxTrait="",ChoixChevauxTraitPréHiver=NON),0,IFERROR(IF(OR(AND(INDEX(Règles_chevaux_trait[Specificite],MATCH(RationHivernaleAuPréChevauxTrait&amp;$FD166,Règles_chevaux_trait[Ration]&amp;Règles_chevaux_trait[Aliment],0))="s1",IF($FD166=Spécificité1ChevauxTrait,1)),
AND(INDEX(Règles_chevaux_trait[Specificite],MATCH(RationHivernaleAuPréChevauxTrait&amp;$FD166,Règles_chevaux_trait[Ration]&amp;Règles_chevaux_trait[Aliment],0))="s2",IF($FD166=Spécificité2ChevauxTrait,1)),
INDEX(Règles_chevaux_trait[Specificite],MATCH(RationHivernaleAuPréChevauxTrait&amp;$FD166,Règles_chevaux_trait[Ration]&amp;Règles_chevaux_trait[Aliment],0))="c"),
INDEX(Règles_chevaux_trait[Valeur 24-36],MATCH(RationHivernaleAuPréChevauxTrait&amp;$FD166,Règles_chevaux_trait[Ration]&amp;Règles_chevaux_trait[Aliment],0)),0),0)*SUM(TotalChevauxTrait_24_36mois)*21)</f>
        <v>0</v>
      </c>
      <c r="FG166" s="1282">
        <f t="array" ref="FG166">IF(OR(ChoixRationHivernaleComplèteChevauxTrait=OUI,ChoixRationHivernaleComplèteChevauxTrait="",ChoixChevauxTraitPréHiver=NON),0,IFERROR(IF(OR(AND(INDEX(Règles_chevaux_trait[Specificite],MATCH(RationHivernaleAuPréChevauxTrait&amp;$FD166,Règles_chevaux_trait[Ration]&amp;Règles_chevaux_trait[Aliment],0))="s1",IF($FD166=Spécificité1ChevauxTrait,1)),
AND(INDEX(Règles_chevaux_trait[Specificite],MATCH(RationHivernaleAuPréChevauxTrait&amp;$FD166,Règles_chevaux_trait[Ration]&amp;Règles_chevaux_trait[Aliment],0))="s2",IF($FD166=Spécificité2ChevauxTrait,1)),
INDEX(Règles_chevaux_trait[Specificite],MATCH(RationHivernaleAuPréChevauxTrait&amp;$FD166,Règles_chevaux_trait[Ration]&amp;Règles_chevaux_trait[Aliment],0))="c"),
INDEX(Règles_chevaux_trait[Valeur 12-24],MATCH(RationHivernaleAuPréChevauxTrait&amp;$FD166,Règles_chevaux_trait[Ration]&amp;Règles_chevaux_trait[Aliment],0)),0),0)*SUM(TotalChevauxTrait_12_24mois)*21)</f>
        <v>0</v>
      </c>
      <c r="FH166" s="1285">
        <f t="array" ref="FH166">IF(OR(ChoixRationHivernaleComplèteChevauxTrait=OUI,ChoixRationHivernaleComplèteChevauxTrait="",ChoixChevauxTraitPréHiver=NON),0,IFERROR(IF(OR(AND(INDEX(Règles_chevaux_trait[Specificite],MATCH(RationHivernaleAuPréChevauxTrait&amp;$FD166,Règles_chevaux_trait[Ration]&amp;Règles_chevaux_trait[Aliment],0))="s1",IF($FD166=Spécificité1ChevauxTrait,1)),
AND(INDEX(Règles_chevaux_trait[Specificite],MATCH(RationHivernaleAuPréChevauxTrait&amp;$FD166,Règles_chevaux_trait[Ration]&amp;Règles_chevaux_trait[Aliment],0))="s2",IF($FD166=Spécificité2ChevauxTrait,1)),
INDEX(Règles_chevaux_trait[Specificite],MATCH(RationHivernaleAuPréChevauxTrait&amp;$FD166,Règles_chevaux_trait[Ration]&amp;Règles_chevaux_trait[Aliment],0))="c"),
INDEX(Règles_chevaux_trait[Valeur 0-12],MATCH(RationHivernaleAuPréChevauxTrait&amp;$FD166,Règles_chevaux_trait[Ration]&amp;Règles_chevaux_trait[Aliment],0)),0),0)*SUM(TotalPoulainsTrait)*21)</f>
        <v>0</v>
      </c>
      <c r="FI166" s="1285">
        <f t="shared" si="53"/>
        <v>0</v>
      </c>
      <c r="FJ166" s="1345"/>
      <c r="FK166" s="1345"/>
      <c r="FL166" s="1345"/>
      <c r="FM166" s="1321"/>
      <c r="FN166" s="1083" t="str">
        <f t="shared" si="54"/>
        <v>Ration complète</v>
      </c>
      <c r="FO166" s="1283">
        <f t="array" ref="FO166">IF(OR(ChoixRationHivernaleComplètePoneys=OUI,ChoixRationHivernaleComplètePoneys="",ChoixPoneysPréHiver=NON),0,IFERROR(IF(OR(AND(INDEX(Règles_poneys[Specificite],MATCH(RationHivernaleAuPréPoneys&amp;$FN166,Règles_poneys[Ration]&amp;Règles_poneys[Aliment],0))="s1",IF($FN166=Spécificité1Poneys,1)),
AND(INDEX(Règles_poneys[Specificite],MATCH(RationHivernaleAuPréPoneys&amp;$FN166,Règles_poneys[Ration]&amp;Règles_poneys[Aliment],0))="s2",IF($FN166=Spécificité2Poneys,1)),
INDEX(Règles_poneys[Specificite],MATCH(RationHivernaleAuPréPoneys&amp;$FN166,Règles_poneys[Ration]&amp;Règles_poneys[Aliment],0))="c"),
INDEX(Règles_poneys[Valeur 36 et plus],MATCH(RationHivernaleAuPréPoneys&amp;$FN166,Règles_poneys[Ration]&amp;Règles_poneys[Aliment],0)),0),0)*SUM(TotalPoneysAdultes)*21)</f>
        <v>0</v>
      </c>
      <c r="FP166" s="1283">
        <f t="array" ref="FP166">IF(OR(ChoixRationHivernaleComplètePoneys=OUI,ChoixRationHivernaleComplètePoneys="",ChoixPoneysPréHiver=NON),0,IFERROR(IF(OR(AND(INDEX(Règles_poneys[Specificite],MATCH(RationHivernaleAuPréPoneys&amp;$FN166,Règles_poneys[Ration]&amp;Règles_poneys[Aliment],0))="s1",IF($FN166=Spécificité1Poneys,1)),
AND(INDEX(Règles_poneys[Specificite],MATCH(RationHivernaleAuPréPoneys&amp;$FN166,Règles_poneys[Ration]&amp;Règles_poneys[Aliment],0))="s2",IF($FN166=Spécificité2Poneys,1)),
INDEX(Règles_poneys[Specificite],MATCH(RationHivernaleAuPréPoneys&amp;$FN166,Règles_poneys[Ration]&amp;Règles_poneys[Aliment],0))="c"),
INDEX(Règles_poneys[Valeur 24-36],MATCH(RationHivernaleAuPréPoneys&amp;$FN166,Règles_poneys[Ration]&amp;Règles_poneys[Aliment],0)),0),0)*SUM(TotalPoneys_24_36mois)*21)</f>
        <v>0</v>
      </c>
      <c r="FQ166" s="1283">
        <f t="array" ref="FQ166">IF(OR(ChoixRationHivernaleComplètePoneys=OUI,ChoixRationHivernaleComplètePoneys="",ChoixPoneysPréHiver=NON),0,IFERROR(IF(OR(AND(INDEX(Règles_poneys[Specificite],MATCH(RationHivernaleAuPréPoneys&amp;$FN166,Règles_poneys[Ration]&amp;Règles_poneys[Aliment],0))="s1",IF($FN166=Spécificité1Poneys,1)),
AND(INDEX(Règles_poneys[Specificite],MATCH(RationHivernaleAuPréPoneys&amp;$FN166,Règles_poneys[Ration]&amp;Règles_poneys[Aliment],0))="s2",IF($FN166=Spécificité2Poneys,1)),
INDEX(Règles_poneys[Specificite],MATCH(RationHivernaleAuPréPoneys&amp;$FN166,Règles_poneys[Ration]&amp;Règles_poneys[Aliment],0))="c"),
INDEX(Règles_poneys[Valeur 12-24],MATCH(RationHivernaleAuPréPoneys&amp;$FN166,Règles_poneys[Ration]&amp;Règles_poneys[Aliment],0)),0),0)*SUM(TotalPoneys_12_24mois)*21)</f>
        <v>0</v>
      </c>
      <c r="FR166" s="1286">
        <f t="array" ref="FR166">IF(OR(ChoixRationHivernaleComplètePoneys=OUI,ChoixRationHivernaleComplètePoneys="",ChoixPoneysPréHiver=NON),0,IFERROR(IF(OR(AND(INDEX(Règles_poneys[Specificite],MATCH(RationHivernaleAuPréPoneys&amp;$FN166,Règles_poneys[Ration]&amp;Règles_poneys[Aliment],0))="s1",IF($FN166=Spécificité1Poneys,1)),
AND(INDEX(Règles_poneys[Specificite],MATCH(RationHivernaleAuPréPoneys&amp;$FN166,Règles_poneys[Ration]&amp;Règles_poneys[Aliment],0))="s2",IF($FN166=Spécificité2Poneys,1)),
INDEX(Règles_poneys[Specificite],MATCH(RationHivernaleAuPréPoneys&amp;$FN166,Règles_poneys[Ration]&amp;Règles_poneys[Aliment],0))="c"),
INDEX(Règles_poneys[Valeur 0-12],MATCH(RationHivernaleAuPréPoneys&amp;$FN166,Règles_poneys[Ration]&amp;Règles_poneys[Aliment],0)),0),0)*SUM(TotalPoulainsPoneys)*21)</f>
        <v>0</v>
      </c>
      <c r="FS166" s="1286">
        <f t="shared" si="52"/>
        <v>0</v>
      </c>
      <c r="FT166" s="1345"/>
      <c r="FU166" s="1345"/>
      <c r="FV166" s="1345"/>
      <c r="FW166" s="1082" t="str">
        <f t="shared" si="49"/>
        <v>Tourteau de colza</v>
      </c>
      <c r="FX166" s="1282">
        <f t="array" ref="FX166">SUM((IF(QualitéAlimentsGavageOison_0_1_mois=BONNE,VLOOKUP("Tourteau de colza",AlimentsGavageOies[],5,FALSE),0)+(IF(QualitéAlimentsGavageCaneton_0_1_mois=BONNE,VLOOKUP("Tourteau de colza",AlimentsGavageCanards[],5,FALSE),0)+(IF(QualitéAlimentsGavageOison_1_2_mois=BONNE,VLOOKUP("Tourteau de colza",AlimentsGavageOies[],4,FALSE),0)+(IF(QualitéAlimentsGavageCaneton_1_2_mois=BONNE,VLOOKUP("Tourteau de colza",AlimentsGavageCanards[],4,FALSE),0)+(IF(QualitéAlimentsGavageOison_2_3_mois=BONNE,VLOOKUP("Tourteau de colza",AlimentsGavageOies[],3,FALSE),0)+(IF(QualitéAlimentsGavageCaneton_2_3_mois=BONNE,VLOOKUP("Tourteau de colza",AlimentsGavageCanards[],3,FALSE),0)+(IF(QualitéAlimentsGavageJeunesOies=BONNE,VLOOKUP("Tourteau de colza",AlimentsGavageOies[],2,FALSE),0)+(IF(QualitéAlimentsGavageJeuneCanard=BONNE,VLOOKUP("Tourteau de colza",AlimentsGavageCanards[],2,FALSE),0))))))))))</f>
        <v>0</v>
      </c>
      <c r="FY166" s="1282">
        <f t="array" ref="FY166">SUM((IF(QualitéAlimentsGavageOison_0_1_mois=MOYENNE,VLOOKUP("Tourteau de colza",AlimentsGavageOies[],5,FALSE),0)+(IF(QualitéAlimentsGavageCaneton_0_1_mois=MOYENNE,VLOOKUP("Tourteau de colza",AlimentsGavageCanards[],5,FALSE),0)+(IF(QualitéAlimentsGavageOison_1_2_mois=MOYENNE,VLOOKUP("Tourteau de colza",AlimentsGavageOies[],4,FALSE),0)+(IF(QualitéAlimentsGavageCaneton_1_2_mois=MOYENNE,VLOOKUP("Tourteau de colza",AlimentsGavageCanards[],4,FALSE),0)+(IF(QualitéAlimentsGavageOison_2_3_mois=MOYENNE,VLOOKUP("Tourteau de colza",AlimentsGavageOies[],3,FALSE),0)+(IF(QualitéAlimentsGavageCaneton_2_3_mois=MOYENNE,VLOOKUP("Tourteau de colza",AlimentsGavageCanards[],3,FALSE),0)+(IF(QualitéAlimentsGavageJeunesOies=MOYENNE,VLOOKUP("Tourteau de colza",AlimentsGavageOies[],2,FALSE),0)+(IF(QualitéAlimentsGavageJeuneCanard=MOYENNE,VLOOKUP("Tourteau de colza",AlimentsGavageCanards[],2,FALSE),0))))))))))</f>
        <v>0</v>
      </c>
      <c r="FZ166" s="1282">
        <f t="array" ref="FZ166">SUM((IF(QualitéAlimentsGavageOison_0_1_mois=MAUVAISE,VLOOKUP("Tourteau de colza",AlimentsGavageOies[],5,FALSE),0)+(IF(QualitéAlimentsGavageCaneton_0_1_mois=MAUVAISE,VLOOKUP("Tourteau de colza",AlimentsGavageCanards[],5,FALSE),0)+(IF(QualitéAlimentsGavageOison_1_2_mois=MAUVAISE,VLOOKUP("Tourteau de colza",AlimentsGavageOies[],4,FALSE),0)+(IF(QualitéAlimentsGavageCaneton_1_2_mois=MAUVAISE,VLOOKUP("Tourteau de colza",AlimentsGavageCanards[],4,FALSE),0)+(IF(QualitéAlimentsGavageOison_2_3_mois=MAUVAISE,VLOOKUP("Tourteau de colza",AlimentsGavageOies[],3,FALSE),0)+(IF(QualitéAlimentsGavageCaneton_2_3_mois=MAUVAISE,VLOOKUP("Tourteau de colza",AlimentsGavageCanards[],3,FALSE),0)+(IF(QualitéAlimentsGavageJeunesOies=MAUVAISE,VLOOKUP("Tourteau de colza",AlimentsGavageOies[],2,FALSE),0)+(IF(QualitéAlimentsGavageJeuneCanard=MAUVAISE,VLOOKUP("Tourteau de colza",AlimentsGavageCanards[],2,FALSE),0))))))))))</f>
        <v>0</v>
      </c>
      <c r="GA166" s="1345"/>
      <c r="GB166" s="1345"/>
      <c r="GC166" s="1321"/>
      <c r="GD166" s="1321"/>
      <c r="GE166" s="1321"/>
      <c r="GF166" s="1321"/>
      <c r="GG166" s="1321" t="s">
        <v>1349</v>
      </c>
      <c r="GH166" s="1321" t="s">
        <v>1349</v>
      </c>
      <c r="GI166" s="1321" t="s">
        <v>1349</v>
      </c>
      <c r="GJ166" s="1321" t="s">
        <v>1349</v>
      </c>
      <c r="GK166" s="1321" t="s">
        <v>1349</v>
      </c>
      <c r="GL166" s="1321" t="s">
        <v>1349</v>
      </c>
      <c r="GM166" s="1321" t="s">
        <v>1349</v>
      </c>
      <c r="GN166" s="1321" t="s">
        <v>1349</v>
      </c>
      <c r="GO166" s="1321" t="s">
        <v>1349</v>
      </c>
      <c r="GP166" s="1321" t="s">
        <v>1349</v>
      </c>
      <c r="GQ166" s="1321" t="s">
        <v>1349</v>
      </c>
      <c r="GR166" s="1321" t="s">
        <v>1349</v>
      </c>
      <c r="GS166" s="1321" t="s">
        <v>1349</v>
      </c>
      <c r="GT166" s="1321" t="s">
        <v>1349</v>
      </c>
      <c r="GU166" s="1321" t="s">
        <v>1349</v>
      </c>
      <c r="GV166" s="1321" t="s">
        <v>1349</v>
      </c>
      <c r="GW166" s="1321"/>
      <c r="GX166" s="1321"/>
      <c r="GY166" s="1321"/>
      <c r="GZ166" s="1321"/>
      <c r="HA166" s="1321"/>
      <c r="HB166" s="1321"/>
      <c r="HC166" s="1321"/>
      <c r="HD166" s="1321"/>
      <c r="HE166" s="1321"/>
      <c r="HF166" s="1321"/>
      <c r="HG166" s="1321"/>
      <c r="HH166" s="1321"/>
      <c r="HI166" s="1321"/>
      <c r="HJ166" s="1321"/>
      <c r="HK166" s="1321"/>
      <c r="HL166" s="1321"/>
      <c r="HM166" s="1321"/>
      <c r="HN166" s="1321"/>
      <c r="HO166" s="1321"/>
      <c r="HP166" s="1321"/>
      <c r="HQ166" s="1321"/>
      <c r="HR166" s="1321"/>
      <c r="HS166" s="1321"/>
      <c r="HT166" s="1321"/>
      <c r="HU166" s="1321"/>
      <c r="HV166" s="1321"/>
      <c r="HW166" s="1321"/>
      <c r="HX166" s="1321"/>
      <c r="HY166" s="1321"/>
      <c r="HZ166" s="1321"/>
      <c r="IA166" s="1321"/>
      <c r="IB166" s="1321"/>
      <c r="IC166" s="1321"/>
      <c r="ID166" s="1321"/>
      <c r="IE166" s="1321"/>
      <c r="IF166" s="1321"/>
      <c r="IG166" s="1321"/>
      <c r="IH166" s="1321"/>
      <c r="II166" s="1321"/>
      <c r="IJ166" s="1321"/>
      <c r="IK166" s="1321"/>
      <c r="IL166" s="1321"/>
      <c r="IM166" s="1321"/>
      <c r="IN166" s="1368"/>
    </row>
    <row r="167" spans="1:248" ht="12.75" customHeight="1" x14ac:dyDescent="0.2">
      <c r="A167" s="1307" t="s">
        <v>620</v>
      </c>
      <c r="B167" s="1209">
        <v>0.01</v>
      </c>
      <c r="C167" s="1321"/>
      <c r="D167" s="1316" t="s">
        <v>1793</v>
      </c>
      <c r="E167" s="1317" t="s">
        <v>1970</v>
      </c>
      <c r="F167" s="1321"/>
      <c r="G167" s="1321"/>
      <c r="H167" s="1321"/>
      <c r="I167" s="1321"/>
      <c r="J167" s="1321"/>
      <c r="K167" s="1321"/>
      <c r="L167" s="1321"/>
      <c r="M167" s="1321"/>
      <c r="N167" s="1321"/>
      <c r="O167" s="1321"/>
      <c r="P167" s="1321"/>
      <c r="Q167" s="1321"/>
      <c r="R167" s="1321"/>
      <c r="S167" s="1321"/>
      <c r="T167" s="1321"/>
      <c r="U167" s="1321"/>
      <c r="V167" s="1321"/>
      <c r="W167" s="1321"/>
      <c r="X167" s="1321"/>
      <c r="Y167" s="1321"/>
      <c r="Z167" s="1321"/>
      <c r="AA167" s="1321"/>
      <c r="AB167" s="1321"/>
      <c r="AC167" s="1321"/>
      <c r="AD167" s="1321"/>
      <c r="AE167" s="1321"/>
      <c r="AF167" s="1321"/>
      <c r="AG167" s="1321"/>
      <c r="AH167" s="1321"/>
      <c r="AI167" s="1321"/>
      <c r="AJ167" s="1321"/>
      <c r="AK167" s="1321"/>
      <c r="AL167" s="1321"/>
      <c r="AM167" s="1321"/>
      <c r="AN167" s="1321"/>
      <c r="AO167" s="1321"/>
      <c r="AP167" s="1321"/>
      <c r="AQ167" s="1321"/>
      <c r="AR167" s="1321"/>
      <c r="AS167" s="1321"/>
      <c r="AT167" s="1321"/>
      <c r="AU167" s="1321"/>
      <c r="AV167" s="1321"/>
      <c r="AW167" s="1321"/>
      <c r="AX167" s="1321"/>
      <c r="AY167" s="1321"/>
      <c r="AZ167" s="1321"/>
      <c r="BA167" s="1321"/>
      <c r="BB167" s="1236" t="s">
        <v>1315</v>
      </c>
      <c r="BC167" s="1190" t="s">
        <v>1273</v>
      </c>
      <c r="BD167" s="1190" t="s">
        <v>1254</v>
      </c>
      <c r="BE167" s="1237">
        <v>4.8</v>
      </c>
      <c r="BF167" s="1237">
        <v>4</v>
      </c>
      <c r="BG167" s="1237">
        <v>4</v>
      </c>
      <c r="BH167" s="1237">
        <v>4</v>
      </c>
      <c r="BI167" s="1237">
        <v>2</v>
      </c>
      <c r="BJ167" s="1237">
        <v>1.2</v>
      </c>
      <c r="BK167" s="1238">
        <v>0</v>
      </c>
      <c r="BL167" s="1348"/>
      <c r="BM167" s="1346"/>
      <c r="BN167" s="1321"/>
      <c r="BO167" s="1321"/>
      <c r="BP167" s="1321"/>
      <c r="BQ167" s="1321"/>
      <c r="BR167" s="1321"/>
      <c r="BS167" s="1321"/>
      <c r="BT167" s="1321"/>
      <c r="BU167" s="1321"/>
      <c r="BV167" s="1345"/>
      <c r="BW167" s="1345"/>
      <c r="BX167" s="1075" t="str">
        <f t="shared" si="57"/>
        <v>Pomme de terre</v>
      </c>
      <c r="BY167" s="1075">
        <f t="array" ref="BY167">IF(ChoixRationComplèteCaprins=OUI,0,IFERROR(IF(OR(AND(INDEX(Règles_caprins[Specificite],MATCH(ChoixRationCaprins&amp;$BX167,Règles_caprins[Ration]&amp;Règles_caprins[Aliment],0))="s1",IF($BX167=Spécificité1Caprins,1)),
INDEX(Règles_caprins[Specificite],MATCH(ChoixRationCaprins&amp;$BX167,Règles_caprins[Ration]&amp;Règles_caprins[Aliment],0))="c"),
INDEX(Règles_caprins[Valeur 12 et plus],MATCH(ChoixRationCaprins&amp;$BX167,Règles_caprins[Ration]&amp;Règles_caprins[Aliment],0)),0),0)*TotalChèvres*SUM(NbreJoursNourrirCaprins))</f>
        <v>0</v>
      </c>
      <c r="BZ167" s="1075">
        <f t="array" ref="BZ167">IF(ChoixRationComplèteCaprins=OUI,0,IFERROR(IF(OR(AND(INDEX(Règles_caprins[Specificite],MATCH(ChoixRationCaprins&amp;$BX167,Règles_caprins[Ration]&amp;Règles_caprins[Aliment],0))="s1",IF($BX167=Spécificité1Caprins,1)),
INDEX(Règles_caprins[Specificite],MATCH(ChoixRationCaprins&amp;$BX167,Règles_caprins[Ration]&amp;Règles_caprins[Aliment],0))="c"),
INDEX(Règles_caprins[Valeur 6-12],MATCH(ChoixRationCaprins&amp;$BX167,Règles_caprins[Ration]&amp;Règles_caprins[Aliment],0)),0),0)*jeune_chèvre_6_12_mois*SUM(NbreJoursNourrirCaprins))</f>
        <v>0</v>
      </c>
      <c r="CA167" s="1075">
        <f t="array" ref="CA167">IF(ChoixRationComplèteCaprins=OUI,0,IFERROR(IF(OR(AND(INDEX(Règles_caprins[Specificite],MATCH(ChoixRationCaprins&amp;$BX167,Règles_caprins[Ration]&amp;Règles_caprins[Aliment],0))="s1",IF($BX167=Spécificité1Caprins,1)),
INDEX(Règles_caprins[Specificite],MATCH(ChoixRationCaprins&amp;$BX167,Règles_caprins[Ration]&amp;Règles_caprins[Aliment],0))="c"),
INDEX(Règles_caprins[Valeur 3-6],MATCH(ChoixRationCaprins&amp;$BX167,Règles_caprins[Ration]&amp;Règles_caprins[Aliment],0)),0),0)*chevrette_3_6_mois*SUM(NbreJoursNourrirCaprins))</f>
        <v>0</v>
      </c>
      <c r="CB167" s="1075">
        <f t="array" ref="CB167">IF(ChoixRationComplèteCaprins=OUI,0,IFERROR(IF(OR(AND(INDEX(Règles_caprins[Specificite],MATCH(ChoixRationCaprins&amp;$BX167,Règles_caprins[Ration]&amp;Règles_caprins[Aliment],0))="s1",IF($BX167=Spécificité1Caprins,1)),
INDEX(Règles_caprins[Specificite],MATCH(ChoixRationCaprins&amp;$BX167,Règles_caprins[Ration]&amp;Règles_caprins[Aliment],0))="c"),
INDEX(Règles_caprins[Valeur 0-3],MATCH(ChoixRationCaprins&amp;$BX167,Règles_caprins[Ration]&amp;Règles_caprins[Aliment],0)),0),0)*chevrette_0_3_mois*SUM(NbreJoursNourrirCaprins))</f>
        <v>0</v>
      </c>
      <c r="CC167" s="1075">
        <f t="shared" si="56"/>
        <v>0</v>
      </c>
      <c r="CD167" s="1345"/>
      <c r="CE167" s="1345"/>
      <c r="CF167" s="1345"/>
      <c r="CG167" s="1345"/>
      <c r="CH167" s="1345"/>
      <c r="CI167" s="1321"/>
      <c r="CJ167" s="1076" t="str">
        <f t="shared" si="51"/>
        <v>Sorgho ensilé</v>
      </c>
      <c r="CK167" s="1267">
        <f>SUM((IF(QualitéAlimentsPorceletMâle_0_1_mois=BONNE,VLOOKUP("Sorgho ensilé",AlimentsRationPorcinsMâles[],6,FALSE),0)+(IF(QualitéAlimentsPorceletFemelle_0_1_mois=BONNE,VLOOKUP("Sorgho ensilé",AlimentsRationPorcinsFemelles[],6,FALSE),0)+(IF(QualitéAlimentsPorceletMâle_1_3_mois=BONNE,VLOOKUP("Sorgho ensilé",AlimentsRationPorcinsMâles[],5,FALSE),0)+(IF(QualitéAlimentsPorceletFemelle_1_3_mois=BONNE,VLOOKUP("Sorgho ensilé",AlimentsRationPorcinsFemelles[],5,FALSE),0)+(IF(QualitéAlimentsJeuneVerrat_3_6_mois=BONNE,VLOOKUP("Sorgho ensilé",AlimentsRationPorcinsMâles[],4,FALSE),0)+(IF(QualitéAlimentsJeuneTruie_3_6_mois=BONNE,VLOOKUP("Sorgho ensilé",AlimentsRationPorcinsFemelles[],4,FALSE),0)+(IF(QualitéAlimentsJeuneVerrat_6_12_mois=BONNE,VLOOKUP("Sorgho ensilé",AlimentsRationPorcinsMâles[],3,FALSE),0)+(IF(QualitéAlimentsJeuneTruie_6_12_mois=BONNE,VLOOKUP("Sorgho ensilé",AlimentsRationPorcinsFemelles[],3,FALSE),0)+(IF(QualitéAlimentsVerrat=BONNE,VLOOKUP("Sorgho ensilé",AlimentsRationPorcinsMâles[],2,FALSE),0)+(IF(QualitéAlimentsTruie=BONNE,VLOOKUP("Sorgho ensilé",AlimentsRationPorcinsFemelles[],2,FALSE),0))))))))))))</f>
        <v>0</v>
      </c>
      <c r="CL167" s="1267">
        <f t="array" ref="CL167">SUM((IF(QualitéAlimentsPorceletMâle_0_1_mois=MOYENNE,VLOOKUP("Sorgho ensilé",AlimentsRationPorcinsMâles[],6,FALSE),0)+(IF(QualitéAlimentsPorceletFemelle_0_1_mois=MOYENNE,VLOOKUP("Sorgho ensilé",AlimentsRationPorcinsFemelles[],6,FALSE),0)+(IF(QualitéAlimentsPorceletMâle_1_3_mois=MOYENNE,VLOOKUP("Sorgho ensilé",AlimentsRationPorcinsMâles[],5,FALSE),0)+(IF(QualitéAlimentsPorceletFemelle_1_3_mois=MOYENNE,VLOOKUP("Sorgho ensilé",AlimentsRationPorcinsFemelles[],5,FALSE),0)+(IF(QualitéAlimentsJeuneVerrat_3_6_mois=MOYENNE,VLOOKUP("Sorgho ensilé",AlimentsRationPorcinsMâles[],4,FALSE),0)+(IF(QualitéAlimentsJeuneTruie_3_6_mois=MOYENNE,VLOOKUP("Sorgho ensilé",AlimentsRationPorcinsFemelles[],4,FALSE),0)+(IF(QualitéAlimentsJeuneVerrat_6_12_mois=MOYENNE,VLOOKUP("Sorgho ensilé",AlimentsRationPorcinsMâles[],3,FALSE),0)+(IF(QualitéAlimentsJeuneTruie_6_12_mois=MOYENNE,VLOOKUP("Sorgho ensilé",AlimentsRationPorcinsFemelles[],3,FALSE),0)+(IF(QualitéAlimentsVerrat=MOYENNE,VLOOKUP("Sorgho ensilé",AlimentsRationPorcinsMâles[],2,FALSE),0)+(IF(QualitéAlimentsTruie=MOYENNE,VLOOKUP("Sorgho ensilé",AlimentsRationPorcinsFemelles[],2,FALSE),0))))))))))))</f>
        <v>0</v>
      </c>
      <c r="CM167" s="1267">
        <f t="array" ref="CM167">SUM((IF(QualitéAlimentsPorceletMâle_0_1_mois=MAUVAISE,VLOOKUP("Sorgho ensilé",AlimentsRationPorcinsMâles[],6,FALSE),0)+(IF(QualitéAlimentsPorceletFemelle_0_1_mois=MAUVAISE,VLOOKUP("Sorgho ensilé",AlimentsRationPorcinsFemelles[],6,FALSE),0)+(IF(QualitéAlimentsPorceletMâle_1_3_mois=MAUVAISE,VLOOKUP("Sorgho ensilé",AlimentsRationPorcinsMâles[],5,FALSE),0)+(IF(QualitéAlimentsPorceletFemelle_1_3_mois=MAUVAISE,VLOOKUP("Sorgho ensilé",AlimentsRationPorcinsFemelles[],5,FALSE),0)+(IF(QualitéAlimentsJeuneVerrat_3_6_mois=MAUVAISE,VLOOKUP("Sorgho ensilé",AlimentsRationPorcinsMâles[],4,FALSE),0)+(IF(QualitéAlimentsJeuneTruie_3_6_mois=MAUVAISE,VLOOKUP("Sorgho ensilé",AlimentsRationPorcinsFemelles[],4,FALSE),0)+(IF(QualitéAlimentsJeuneVerrat_6_12_mois=MAUVAISE,VLOOKUP("Sorgho ensilé",AlimentsRationPorcinsMâles[],3,FALSE),0)+(IF(QualitéAlimentsJeuneTruie_6_12_mois=MAUVAISE,VLOOKUP("Sorgho ensilé",AlimentsRationPorcinsFemelles[],3,FALSE),0)+(IF(QualitéAlimentsVerrat=MAUVAISE,VLOOKUP("Sorgho ensilé",AlimentsRationPorcinsMâles[],2,FALSE),0)+(IF(QualitéAlimentsTruie=MAUVAISE,VLOOKUP("Sorgho ensilé",AlimentsRationPorcinsFemelles[],2,FALSE),0))))))))))))</f>
        <v>0</v>
      </c>
      <c r="CN167" s="1320"/>
      <c r="CO167" s="1321"/>
      <c r="CP167" s="1321"/>
      <c r="CQ167" s="1321"/>
      <c r="CR167" s="1321"/>
      <c r="CS167" s="1076" t="str">
        <f t="shared" si="66"/>
        <v>Epinard</v>
      </c>
      <c r="CT167" s="1267">
        <f t="array" ref="CT167">SUM((IF(QualitéAlimentsLapereauMâle_0_1_mois=BONNE,VLOOKUP("Epinard",AlimentsRationLapinsMâles[],4,FALSE),0)+(IF(QualitéAlimentsLapereauFemelle_0_1_mois=BONNE,VLOOKUP("Epinard",AlimentsRationLapinsFemelles[],4,FALSE),0)+(IF(QualitéAlimentsJeuneLapin=BONNE,VLOOKUP("Epinard",AlimentsRationLapinsMâles[],3,FALSE),0)+(IF(QualitéAlimentsJeuneLapine=BONNE,VLOOKUP("Epinard",AlimentsRationLapinsFemelles[],3,FALSE),0)+(IF(QualitéAlimentsLapin=BONNE,VLOOKUP("Epinard",AlimentsRationLapinsMâles[],2,FALSE),0)+(IF(QualitéAlimentsLapine=BONNE,VLOOKUP("Epinard",AlimentsRationLapinsFemelles[],2,FALSE),0))))))))</f>
        <v>0</v>
      </c>
      <c r="CU167" s="1267">
        <f t="array" ref="CU167">SUM((IF(QualitéAlimentsLapereauMâle_0_1_mois=MOYENNE,VLOOKUP("Epinard",AlimentsRationLapinsMâles[],4,FALSE),0)+(IF(QualitéAlimentsLapereauFemelle_0_1_mois=MOYENNE,VLOOKUP("Epinard",AlimentsRationLapinsFemelles[],4,FALSE),0)+(IF(QualitéAlimentsJeuneLapin=MOYENNE,VLOOKUP("Epinard",AlimentsRationLapinsMâles[],3,FALSE),0)+(IF(QualitéAlimentsJeuneLapine=MOYENNE,VLOOKUP("Epinard",AlimentsRationLapinsFemelles[],3,FALSE),0)+(IF(QualitéAlimentsLapin=MOYENNE,VLOOKUP("Epinard",AlimentsRationLapinsMâles[],2,FALSE),0)+(IF(QualitéAlimentsLapine=MOYENNE,VLOOKUP("Epinard",AlimentsRationLapinsFemelles[],2,FALSE),0))))))))</f>
        <v>0</v>
      </c>
      <c r="CV167" s="1267">
        <f t="array" ref="CV167">SUM((IF(QualitéAlimentsLapereauMâle_0_1_mois=MAUVAISE,VLOOKUP("Epinard",AlimentsRationLapinsMâles[],4,FALSE),0)+(IF(QualitéAlimentsLapereauFemelle_0_1_mois=MAUVAISE,VLOOKUP("Epinard",AlimentsRationLapinsFemelles[],4,FALSE),0)+(IF(QualitéAlimentsJeuneLapin=MAUVAISE,VLOOKUP("Epinard",AlimentsRationLapinsMâles[],3,FALSE),0)+(IF(QualitéAlimentsJeuneLapine=MAUVAISE,VLOOKUP("Epinard",AlimentsRationLapinsFemelles[],3,FALSE),0)+(IF(QualitéAlimentsLapin=MAUVAISE,VLOOKUP("Epinard",AlimentsRationLapinsMâles[],2,FALSE),0)+(IF(QualitéAlimentsLapine=MAUVAISE,VLOOKUP("Epinard",AlimentsRationLapinsFemelles[],2,FALSE),0))))))))</f>
        <v>0</v>
      </c>
      <c r="CW167" s="1321"/>
      <c r="CX167" s="1321"/>
      <c r="CY167" s="1321"/>
      <c r="CZ167" s="1075" t="str">
        <f t="shared" si="65"/>
        <v>Féverole</v>
      </c>
      <c r="DA167" s="1269">
        <f t="array" ref="DA167">SUM((IF(QualitéAlimentsPoussinMâle_0_1_mois=BONNE,VLOOKUP("Féverole",AlimentsRationVolaillesMâles[],4,FALSE),0)+(IF(QualitéAlimentsPoussinFemelle_0_1_mois=BONNE,VLOOKUP("Féverole",AlimentsRationVolaillesFemelles[],4,FALSE),0)+(IF(QualitéAlimentsJeuneCoq=BONNE,VLOOKUP("Féverole",AlimentsRationVolaillesMâles[],3,FALSE),0)+(IF(QualitéAlimentsJeunePoule=BONNE,VLOOKUP("Féverole",AlimentsRationVolaillesFemelles[],3,FALSE),0)+(IF(QualitéAlimentsCoq=BONNE,VLOOKUP("Féverole",AlimentsRationVolaillesMâles[],2,FALSE),0)+(IF(QualitéAlimentsPoule=BONNE,VLOOKUP("Féverole",AlimentsRationVolaillesFemelles[],2,FALSE),0))))))))</f>
        <v>0</v>
      </c>
      <c r="DB167" s="1269">
        <f t="array" ref="DB167">SUM((IF(QualitéAlimentsPoussinMâle_0_1_mois=MOYENNE,VLOOKUP("Féverole",AlimentsRationVolaillesMâles[],4,FALSE),0)+(IF(QualitéAlimentsPoussinFemelle_0_1_mois=MOYENNE,VLOOKUP("Féverole",AlimentsRationVolaillesFemelles[],4,FALSE),0)+(IF(QualitéAlimentsJeuneCoq=MOYENNE,VLOOKUP("Féverole",AlimentsRationVolaillesMâles[],3,FALSE),0)+(IF(QualitéAlimentsJeunePoule=MOYENNE,VLOOKUP("Féverole",AlimentsRationVolaillesFemelles[],3,FALSE),0)+(IF(QualitéAlimentsCoq=MOYENNE,VLOOKUP("Féverole",AlimentsRationVolaillesMâles[],2,FALSE),0)+(IF(QualitéAlimentsPoule=MOYENNE,VLOOKUP("Féverole",AlimentsRationVolaillesFemelles[],2,FALSE),0))))))))</f>
        <v>0</v>
      </c>
      <c r="DC167" s="1269">
        <f t="array" ref="DC167">SUM((IF(QualitéAlimentsPoussinMâle_0_1_mois=MAUVAISE,VLOOKUP("Féverole",AlimentsRationVolaillesMâles[],4,FALSE),0)+(IF(QualitéAlimentsPoussinFemelle_0_1_mois=MAUVAISE,VLOOKUP("Féverole",AlimentsRationVolaillesFemelles[],4,FALSE),0)+(IF(QualitéAlimentsJeuneCoq=MAUVAISE,VLOOKUP("Féverole",AlimentsRationVolaillesMâles[],3,FALSE),0)+(IF(QualitéAlimentsJeunePoule=MAUVAISE,VLOOKUP("Féverole",AlimentsRationVolaillesFemelles[],3,FALSE),0)+(IF(QualitéAlimentsCoq=MAUVAISE,VLOOKUP("Féverole",AlimentsRationVolaillesMâles[],2,FALSE),0)+(IF(QualitéAlimentsPoule=MAUVAISE,VLOOKUP("Féverole",AlimentsRationVolaillesFemelles[],2,FALSE),0))))))))</f>
        <v>0</v>
      </c>
      <c r="DD167" s="1320"/>
      <c r="DE167" s="1321"/>
      <c r="DF167" s="1321"/>
      <c r="DG167" s="1075" t="str">
        <f t="shared" si="58"/>
        <v>Pomme de terre</v>
      </c>
      <c r="DH167" s="1269">
        <f t="array" ref="DH167">SUM((IF(QualitéAlimentsPintadeauMâle_0_1_mois=BONNE,VLOOKUP("Pomme de terre",AlimentsRationPintadesMâles[],4,FALSE),0)+(IF(QualitéAlimentsPintadeauFemelle_0_1_mois=BONNE,VLOOKUP("Pomme de terre",AlimentsRationPintadesFemelles[],4,FALSE),0)+(IF(QualitéAlimentsJeunePintadeMâle=BONNE,VLOOKUP("Pomme de terre",AlimentsRationPintadesMâles[],3,FALSE),0)+(IF(QualitéAlimentsJeunePintadeFemelle=BONNE,VLOOKUP("Pomme de terre",AlimentsRationPintadesFemelles[],3,FALSE),0)+(IF(QualitéAlimentsPintadeMâle=BONNE,VLOOKUP("Pomme de terre",AlimentsRationPintadesMâles[],2,FALSE),0)+(IF(QualitéAlimentsPintadeFemelle=BONNE,VLOOKUP("Pomme de terre",AlimentsRationPintadesFemelles[],2,FALSE),0))))))))</f>
        <v>0</v>
      </c>
      <c r="DI167" s="1269">
        <f t="array" ref="DI167">SUM((IF(QualitéAlimentsPintadeauMâle_0_1_mois=MOYENNE,VLOOKUP("Pomme de terre",AlimentsRationPintadesMâles[],4,FALSE),0)+(IF(QualitéAlimentsPintadeauFemelle_0_1_mois=MOYENNE,VLOOKUP("Pomme de terre",AlimentsRationPintadesFemelles[],4,FALSE),0)+(IF(QualitéAlimentsJeunePintadeMâle=MOYENNE,VLOOKUP("Pomme de terre",AlimentsRationPintadesMâles[],3,FALSE),0)+(IF(QualitéAlimentsJeunePintadeFemelle=MOYENNE,VLOOKUP("Pomme de terre",AlimentsRationPintadesFemelles[],3,FALSE),0)+(IF(QualitéAlimentsPintadeMâle=MOYENNE,VLOOKUP("Pomme de terre",AlimentsRationPintadesMâles[],2,FALSE),0)+(IF(QualitéAlimentsPintadeFemelle=MOYENNE,VLOOKUP("Pomme de terre",AlimentsRationPintadesFemelles[],2,FALSE),0))))))))</f>
        <v>0</v>
      </c>
      <c r="DJ167" s="1269">
        <f t="array" ref="DJ167">SUM((IF(QualitéAlimentsPintadeauMâle_0_1_mois=MAUVAISE,VLOOKUP("Pomme de terre",AlimentsRationPintadesMâles[],4,FALSE),0)+(IF(QualitéAlimentsPintadeauFemelle_0_1_mois=MAUVAISE,VLOOKUP("Pomme de terre",AlimentsRationPintadesFemelles[],4,FALSE),0)+(IF(QualitéAlimentsJeunePintadeMâle=MAUVAISE,VLOOKUP("Pomme de terre",AlimentsRationPintadesMâles[],3,FALSE),0)+(IF(QualitéAlimentsJeunePintadeFemelle=MAUVAISE,VLOOKUP("Pomme de terre",AlimentsRationPintadesFemelles[],3,FALSE),0)+(IF(QualitéAlimentsPintadeMâle=MAUVAISE,VLOOKUP("Pomme de terre",AlimentsRationPintadesMâles[],2,FALSE),0)+(IF(QualitéAlimentsPintadeFemelle=MAUVAISE,VLOOKUP("Pomme de terre",AlimentsRationPintadesFemelles[],2,FALSE),0))))))))</f>
        <v>0</v>
      </c>
      <c r="DK167" s="1321"/>
      <c r="DL167" s="1321"/>
      <c r="DM167" s="1321"/>
      <c r="DN167" s="1075" t="s">
        <v>340</v>
      </c>
      <c r="DO167" s="1269">
        <f t="array" ref="DO167">IF(ChoixRationComplèteOvins=OUI,0,IFERROR(IF(OR(AND(INDEX(Règles_ovins[Specificite],MATCH(ChoixRationOvins&amp;$DN167,Règles_ovins[Ration]&amp;Règles_ovins[Aliment],0))="s1",IF($DN167=Spécificité1Ovins,1)),
AND(INDEX(Règles_ovins[Specificite],MATCH(ChoixRationOvins&amp;$DN167,Règles_ovins[Ration]&amp;Règles_ovins[Aliment],0))="s2",IF($DN167=Spécificité2Ovins,1)),
INDEX(Règles_ovins[Specificite],MATCH(ChoixRationOvins&amp;$DN167,Règles_ovins[Ration]&amp;Règles_ovins[Aliment],0))="c"),
INDEX(Règles_ovins[Valeur 12 et plus],MATCH(ChoixRationOvins&amp;$DN167,Règles_ovins[Ration]&amp;Règles_ovins[Aliment],0)),0),0)*IF(ChoixOvinsPréHiver=OUI,SUM(TotalOvinsAdultesRacesLaitières)*NbreJoursNourrirOvins,TotalBéliers*SUM(NbreJoursNourrirOvins)))</f>
        <v>0</v>
      </c>
      <c r="DP167" s="1269">
        <f t="array" ref="DP167">IF(ChoixRationComplèteOvins=OUI,0,IFERROR(IF(OR(AND(INDEX(Règles_ovins[Specificite],MATCH(ChoixRationOvins&amp;$DN167,Règles_ovins[Ration]&amp;Règles_ovins[Aliment],0))="s1",IF($DN167=Spécificité1Ovins,1)),
AND(INDEX(Règles_ovins[Specificite],MATCH(ChoixRationOvins&amp;$DN167,Règles_ovins[Ration]&amp;Règles_ovins[Aliment],0))="s2",IF($DN167=Spécificité2Ovins,1)),
INDEX(Règles_ovins[Specificite],MATCH(ChoixRationOvins&amp;$DN167,Règles_ovins[Ration]&amp;Règles_ovins[Aliment],0))="c"),
INDEX(Règles_ovins[Valeur 6-12],MATCH(ChoixRationOvins&amp;$DN167,Règles_ovins[Ration]&amp;Règles_ovins[Aliment],0)),0),0)*IF(ChoixOvinsPréHiver=OUI,SUM(TotalJeunesOvinsRacesLaitières)*NbreJoursNourrirOvins,TotalJeune_bélier_6_12_mois*SUM(NbreJoursNourrirOvins)))</f>
        <v>0</v>
      </c>
      <c r="DQ167" s="1269">
        <f t="array" ref="DQ167">IF(ChoixRationComplèteOvins=OUI,0,IFERROR(IF(OR(AND(INDEX(Règles_ovins[Specificite],MATCH(ChoixRationOvins&amp;$DN167,Règles_ovins[Ration]&amp;Règles_ovins[Aliment],0))="s1",IF($DN167=Spécificité1Ovins,1)),
AND(INDEX(Règles_ovins[Specificite],MATCH(ChoixRationOvins&amp;$DN167,Règles_ovins[Ration]&amp;Règles_ovins[Aliment],0))="s2",IF($DN167=Spécificité2Ovins,1)),
INDEX(Règles_ovins[Specificite],MATCH(ChoixRationOvins&amp;$DN167,Règles_ovins[Ration]&amp;Règles_ovins[Aliment],0))="c"),
INDEX(Règles_ovins[Valeur 3-6],MATCH(ChoixRationOvins&amp;$DN167,Règles_ovins[Ration]&amp;Règles_ovins[Aliment],0)),0),0)*IF(ChoixOvinsPréHiver=OUI,SUM(TotalOvins_3_6moisRacesLaitières)*NbreJoursNourrirOvins,TotalAgneau_3_6_mois*SUM(NbreJoursNourrirOvins)))</f>
        <v>0</v>
      </c>
      <c r="DR167" s="1269">
        <f t="array" ref="DR167">IF(ChoixRationComplèteOvins=OUI,0,IFERROR(IF(OR(AND(INDEX(Règles_ovins[Specificite],MATCH(ChoixRationOvins&amp;$DN167,Règles_ovins[Ration]&amp;Règles_ovins[Aliment],0))="s1",IF($DN167=Spécificité1Ovins,1)),
AND(INDEX(Règles_ovins[Specificite],MATCH(ChoixRationOvins&amp;$DN167,Règles_ovins[Ration]&amp;Règles_ovins[Aliment],0))="s2",IF($DN167=Spécificité2Ovins,1)),
INDEX(Règles_ovins[Specificite],MATCH(ChoixRationOvins&amp;$DN167,Règles_ovins[Ration]&amp;Règles_ovins[Aliment],0))="c"),
INDEX(Règles_ovins[Valeur 0-3],MATCH(ChoixRationOvins&amp;$DN167,Règles_ovins[Ration]&amp;Règles_ovins[Aliment],0)),0),0)*IF(ChoixOvinsPréHiver=OUI,SUM(TotalOvins_3_6moisRacesLaitières)*NbreJoursNourrirOvins,TotalAgneau_0_3_mois*SUM(NbreJoursNourrirOvins)))</f>
        <v>0</v>
      </c>
      <c r="DS167" s="1280">
        <f t="shared" si="61"/>
        <v>0</v>
      </c>
      <c r="DT167" s="1346"/>
      <c r="DU167" s="1346"/>
      <c r="DV167" s="1321"/>
      <c r="DW167" s="1321"/>
      <c r="DX167" s="1321"/>
      <c r="DY167" s="1321"/>
      <c r="DZ167" s="1321"/>
      <c r="EA167" s="1321"/>
      <c r="EB167" s="1321"/>
      <c r="EC167" s="1321"/>
      <c r="ED167" s="1345"/>
      <c r="EE167" s="1345"/>
      <c r="EF167" s="1321"/>
      <c r="EG167" s="1075" t="str">
        <f t="shared" si="63"/>
        <v>Maïs ensilé</v>
      </c>
      <c r="EH167" s="1269">
        <f t="array" ref="EH167">SUM((IF(QualitéAlimentsOisonMâle_0_3_mois=BONNE,VLOOKUP("Maïs ensilé",AlimentsRationOiesMâles[],4,FALSE),0)+(IF(QualitéAlimentsOisonFemelle_0_3_mois=BONNE,VLOOKUP("Maïs ensilé",AlimentsRationOiesFemelles[],4,FALSE),0)+(IF(QualitéAlimentsJeuneJars=BONNE,VLOOKUP("Maïs ensilé",AlimentsRationOiesMâles[],3,FALSE),0)+(IF(QualitéAlimentsJeuneOie=BONNE,VLOOKUP("Maïs ensilé",AlimentsRationOiesFemelles[],3,FALSE),0)+(IF(QualitéAlimentsJars=BONNE,VLOOKUP("Maïs ensilé",AlimentsRationOiesMâles[],2,FALSE),0)+(IF(QualitéAlimentsOie=BONNE,VLOOKUP("Maïs ensilé",AlimentsRationOiesFemelles[],2,FALSE),0))))))))</f>
        <v>0</v>
      </c>
      <c r="EI167" s="1269">
        <f t="array" ref="EI167">SUM((IF(QualitéAlimentsOisonMâle_0_3_mois=MOYENNE,VLOOKUP("Maïs ensilé",AlimentsRationOiesMâles[],4,FALSE),0)+(IF(QualitéAlimentsOisonFemelle_0_3_mois=MOYENNE,VLOOKUP("Maïs ensilé",AlimentsRationOiesFemelles[],4,FALSE),0)+(IF(QualitéAlimentsJeuneJars=MOYENNE,VLOOKUP("Maïs ensilé",AlimentsRationOiesMâles[],3,FALSE),0)+(IF(QualitéAlimentsJeuneOie=MOYENNE,VLOOKUP("Maïs ensilé",AlimentsRationOiesFemelles[],3,FALSE),0)+(IF(QualitéAlimentsJars=MOYENNE,VLOOKUP("Maïs ensilé",AlimentsRationOiesMâles[],2,FALSE),0)+(IF(QualitéAlimentsOie=MOYENNE,VLOOKUP("Maïs ensilé",AlimentsRationOiesFemelles[],2,FALSE),0))))))))</f>
        <v>0</v>
      </c>
      <c r="EJ167" s="1269">
        <f t="array" ref="EJ167">SUM((IF(QualitéAlimentsOisonMâle_0_3_mois=MAUVAISE,VLOOKUP("Maïs ensilé",AlimentsRationOiesMâles[],4,FALSE),0)+(IF(QualitéAlimentsOisonFemelle_0_3_mois=MAUVAISE,VLOOKUP("Maïs ensilé",AlimentsRationOiesFemelles[],4,FALSE),0)+(IF(QualitéAlimentsJeuneJars=MAUVAISE,VLOOKUP("Maïs ensilé",AlimentsRationOiesMâles[],3,FALSE),0)+(IF(QualitéAlimentsJeuneOie=MAUVAISE,VLOOKUP("Maïs ensilé",AlimentsRationOiesFemelles[],3,FALSE),0)+(IF(QualitéAlimentsJars=MAUVAISE,VLOOKUP("Maïs ensilé",AlimentsRationOiesMâles[],2,FALSE),0)+(IF(QualitéAlimentsOie=MAUVAISE,VLOOKUP("Maïs ensilé",AlimentsRationOiesFemelles[],2,FALSE),0))))))))</f>
        <v>0</v>
      </c>
      <c r="EK167" s="1345"/>
      <c r="EL167" s="1345"/>
      <c r="EM167" s="1321"/>
      <c r="EN167" s="1082" t="str">
        <f t="shared" si="62"/>
        <v>Maïs grain</v>
      </c>
      <c r="EO167" s="1282">
        <f t="array" ref="EO167">SUM((IF(QualitéAlimentsCanetonMâle=BONNE,VLOOKUP("Maïs grain",AlimentsRationCanardsMâles,4,FALSE),0)+(IF(QualitéAlimentsCanetonFemelle=BONNE,VLOOKUP("Maïs grain",AlimentsRationCanardsFemelles,4,FALSE),0)+(IF(QualitéAlimentsJeuneCanard=BONNE,VLOOKUP("Maïs grain",AlimentsRationCanardsMâles,3,FALSE),0)+(IF(QualitéAlimentsJeuneCane=BONNE,VLOOKUP("Maïs grain",AlimentsRationCanardsFemelles,3,FALSE),0)+(IF(QualitéAlimentsCanard=BONNE,VLOOKUP("Maïs grain",AlimentsRationCanardsMâles,2,FALSE),0)+(IF(QualitéAlimentsCane=BONNE,VLOOKUP("Maïs grain",AlimentsRationCanardsFemelles,2,FALSE),0))))))))</f>
        <v>0</v>
      </c>
      <c r="EP167" s="1282">
        <f t="array" ref="EP167">SUM((IF(QualitéAlimentsCanetonMâle=MOYENNE,VLOOKUP("Maïs grain",AlimentsRationCanardsMâles,4,FALSE),0)+(IF(QualitéAlimentsCanetonFemelle=MOYENNE,VLOOKUP("Maïs grain",AlimentsRationCanardsFemelles,4,FALSE),0)+(IF(QualitéAlimentsJeuneCanard=MOYENNE,VLOOKUP("Maïs grain",AlimentsRationCanardsMâles,3,FALSE),0)+(IF(QualitéAlimentsJeuneCane=MOYENNE,VLOOKUP("Maïs grain",AlimentsRationCanardsFemelles,3,FALSE),0)+(IF(QualitéAlimentsCanard=MOYENNE,VLOOKUP("Maïs grain",AlimentsRationCanardsMâles,2,FALSE),0)+(IF(QualitéAlimentsCane=MOYENNE,VLOOKUP("Maïs grain",AlimentsRationCanardsFemelles,2,FALSE),0))))))))</f>
        <v>0</v>
      </c>
      <c r="EQ167" s="1282">
        <f t="array" ref="EQ167">SUM((IF(QualitéAlimentsCanetonMâle=MAUVAISE,VLOOKUP("Maïs grain",AlimentsRationCanardsMâles,4,FALSE),0)+(IF(QualitéAlimentsCanetonFemelle=MAUVAISE,VLOOKUP("Maïs grain",AlimentsRationCanardsFemelles,4,FALSE),0)+(IF(QualitéAlimentsJeuneCanard=MAUVAISE,VLOOKUP("Maïs grain",AlimentsRationCanardsMâles,3,FALSE),0)+(IF(QualitéAlimentsJeuneCane=MAUVAISE,VLOOKUP("Maïs grain",AlimentsRationCanardsFemelles,3,FALSE),0)+(IF(QualitéAlimentsCanard=MAUVAISE,VLOOKUP("Maïs grain",AlimentsRationCanardsMâles,2,FALSE),0)+(IF(QualitéAlimentsCane=MAUVAISE,VLOOKUP("Maïs grain",AlimentsRationCanardsFemelles,2,FALSE),0))))))))</f>
        <v>0</v>
      </c>
      <c r="ER167" s="1345"/>
      <c r="ES167" s="1345"/>
      <c r="ET167" s="1321"/>
      <c r="EU167" s="1083" t="str">
        <f t="shared" si="60"/>
        <v>Minéraux + vitamines</v>
      </c>
      <c r="EV167" s="1283">
        <f t="array" ref="EV167">IF(OR(ChoixRationHivernaleComplèteChevauxSelle=OUI,ChoixRationHivernaleComplèteChevauxSelle="",ChoixChevauxSellePréHiver=NON),0,IFERROR(IF(OR(AND(INDEX(Règles_chevaux_selle[Specificite],MATCH(RationHivernaleAuPréChevauxSelle&amp;$EU167,Règles_chevaux_selle[Ration]&amp;Règles_chevaux_selle[Aliment],0))="s1",IF($EU167=Spécificité1ChevauxSelle,1)),
AND(INDEX(Règles_chevaux_selle[Specificite],MATCH(RationHivernaleAuPréChevauxSelle&amp;$EU167,Règles_chevaux_selle[Ration]&amp;Règles_chevaux_selle[Aliment],0))="s2",IF($EU167=Spécificité2ChevauxSelle,1)),
INDEX(Règles_chevaux_selle[Specificite],MATCH(RationHivernaleAuPréChevauxSelle&amp;$EU167,Règles_chevaux_selle[Ration]&amp;Règles_chevaux_selle[Aliment],0))="c"),
INDEX(Règles_chevaux_selle[Valeur 36 et plus],MATCH(RationHivernaleAuPréChevauxSelle&amp;$EU167,Règles_chevaux_selle[Ration]&amp;Règles_chevaux_selle[Aliment],0)),0),0)*SUM(TotalChevauxSelleAdultes)*21)</f>
        <v>0</v>
      </c>
      <c r="EW167" s="1283">
        <f t="array" ref="EW167">IF(OR(ChoixRationHivernaleComplèteChevauxSelle=OUI,ChoixRationHivernaleComplèteChevauxSelle="",ChoixChevauxSellePréHiver=NON),0,IFERROR(IF(OR(AND(INDEX(Règles_chevaux_selle[Specificite],MATCH(RationHivernaleAuPréChevauxSelle&amp;$EU167,Règles_chevaux_selle[Ration]&amp;Règles_chevaux_selle[Aliment],0))="s1",IF($EU167=Spécificité1ChevauxSelle,1)),
AND(INDEX(Règles_chevaux_selle[Specificite],MATCH(RationHivernaleAuPréChevauxSelle&amp;$EU167,Règles_chevaux_selle[Ration]&amp;Règles_chevaux_selle[Aliment],0))="s2",IF($EU167=Spécificité2ChevauxSelle,1)),
INDEX(Règles_chevaux_selle[Specificite],MATCH(RationHivernaleAuPréChevauxSelle&amp;$EU167,Règles_chevaux_selle[Ration]&amp;Règles_chevaux_selle[Aliment],0))="c"),
INDEX(Règles_chevaux_selle[Valeur 24-36],MATCH(RationHivernaleAuPréChevauxSelle&amp;$EU167,Règles_chevaux_selle[Ration]&amp;Règles_chevaux_selle[Aliment],0)),0),0)*SUM(TotalChevauxSelle_24_36mois)*21)</f>
        <v>0</v>
      </c>
      <c r="EX167" s="1283">
        <f t="array" ref="EX167">IF(OR(ChoixRationHivernaleComplèteChevauxSelle=OUI,ChoixRationHivernaleComplèteChevauxSelle="",ChoixChevauxSellePréHiver=NON),0,IFERROR(IF(OR(AND(INDEX(Règles_chevaux_selle[Specificite],MATCH(RationHivernaleAuPréChevauxSelle&amp;$EU167,Règles_chevaux_selle[Ration]&amp;Règles_chevaux_selle[Aliment],0))="s1",IF($EU167=Spécificité1ChevauxSelle,1)),
AND(INDEX(Règles_chevaux_selle[Specificite],MATCH(RationHivernaleAuPréChevauxSelle&amp;$EU167,Règles_chevaux_selle[Ration]&amp;Règles_chevaux_selle[Aliment],0))="s2",IF($EU167=Spécificité2ChevauxSelle,1)),
INDEX(Règles_chevaux_selle[Specificite],MATCH(RationHivernaleAuPréChevauxSelle&amp;$EU167,Règles_chevaux_selle[Ration]&amp;Règles_chevaux_selle[Aliment],0))="c"),
INDEX(Règles_chevaux_selle[Valeur 12-24],MATCH(RationHivernaleAuPréChevauxSelle&amp;$EU167,Règles_chevaux_selle[Ration]&amp;Règles_chevaux_selle[Aliment],0)),0),0)*SUM(TotalChevauxSelle_12_24mois)*21)</f>
        <v>0</v>
      </c>
      <c r="EY167" s="1286">
        <f t="array" ref="EY167">IF(OR(ChoixRationHivernaleComplèteChevauxSelle=OUI,ChoixRationHivernaleComplèteChevauxSelle="",ChoixChevauxSellePréHiver=NON),0,IFERROR(IF(OR(AND(INDEX(Règles_chevaux_selle[Specificite],MATCH(RationHivernaleAuPréChevauxSelle&amp;$EU167,Règles_chevaux_selle[Ration]&amp;Règles_chevaux_selle[Aliment],0))="s1",IF($EU167=Spécificité1ChevauxSelle,1)),
AND(INDEX(Règles_chevaux_selle[Specificite],MATCH(RationHivernaleAuPréChevauxSelle&amp;$EU167,Règles_chevaux_selle[Ration]&amp;Règles_chevaux_selle[Aliment],0))="s2",IF($EU167=Spécificité2ChevauxSelle,1)),
INDEX(Règles_chevaux_selle[Specificite],MATCH(RationHivernaleAuPréChevauxSelle&amp;$EU167,Règles_chevaux_selle[Ration]&amp;Règles_chevaux_selle[Aliment],0))="c"),
INDEX(Règles_chevaux_selle[Valeur 0-12],MATCH(RationHivernaleAuPréChevauxSelle&amp;$EU167,Règles_chevaux_selle[Ration]&amp;Règles_chevaux_selle[Aliment],0)),0),0)*SUM(TotalPoulainsSelle)*21)</f>
        <v>0</v>
      </c>
      <c r="EZ167" s="1286">
        <f t="shared" si="59"/>
        <v>0</v>
      </c>
      <c r="FA167" s="1345"/>
      <c r="FB167" s="1345"/>
      <c r="FC167" s="1321"/>
      <c r="FD167" s="1083" t="str">
        <f t="shared" si="55"/>
        <v>Ration complète</v>
      </c>
      <c r="FE167" s="1283">
        <f t="array" ref="FE167">IF(OR(ChoixRationHivernaleComplèteChevauxTrait=OUI,ChoixRationHivernaleComplèteChevauxTrait="",ChoixChevauxTraitPréHiver=NON),0,IFERROR(IF(OR(AND(INDEX(Règles_chevaux_trait[Specificite],MATCH(RationHivernaleAuPréChevauxTrait&amp;$FD167,Règles_chevaux_trait[Ration]&amp;Règles_chevaux_trait[Aliment],0))="s1",IF($FD167=Spécificité1ChevauxTrait,1)),
AND(INDEX(Règles_chevaux_trait[Specificite],MATCH(RationHivernaleAuPréChevauxTrait&amp;$FD167,Règles_chevaux_trait[Ration]&amp;Règles_chevaux_trait[Aliment],0))="s2",IF($FD167=Spécificité2ChevauxTrait,1)),
INDEX(Règles_chevaux_trait[Specificite],MATCH(RationHivernaleAuPréChevauxTrait&amp;$FD167,Règles_chevaux_trait[Ration]&amp;Règles_chevaux_trait[Aliment],0))="c"),
INDEX(Règles_chevaux_trait[Valeur 36 et plus],MATCH(RationHivernaleAuPréChevauxTrait&amp;$FD167,Règles_chevaux_trait[Ration]&amp;Règles_chevaux_trait[Aliment],0)),0),0)*SUM(TotalChevauxTraitAdultes)*21)</f>
        <v>0</v>
      </c>
      <c r="FF167" s="1283">
        <f t="array" ref="FF167">IF(OR(ChoixRationHivernaleComplèteChevauxTrait=OUI,ChoixRationHivernaleComplèteChevauxTrait="",ChoixChevauxTraitPréHiver=NON),0,IFERROR(IF(OR(AND(INDEX(Règles_chevaux_trait[Specificite],MATCH(RationHivernaleAuPréChevauxTrait&amp;$FD167,Règles_chevaux_trait[Ration]&amp;Règles_chevaux_trait[Aliment],0))="s1",IF($FD167=Spécificité1ChevauxTrait,1)),
AND(INDEX(Règles_chevaux_trait[Specificite],MATCH(RationHivernaleAuPréChevauxTrait&amp;$FD167,Règles_chevaux_trait[Ration]&amp;Règles_chevaux_trait[Aliment],0))="s2",IF($FD167=Spécificité2ChevauxTrait,1)),
INDEX(Règles_chevaux_trait[Specificite],MATCH(RationHivernaleAuPréChevauxTrait&amp;$FD167,Règles_chevaux_trait[Ration]&amp;Règles_chevaux_trait[Aliment],0))="c"),
INDEX(Règles_chevaux_trait[Valeur 24-36],MATCH(RationHivernaleAuPréChevauxTrait&amp;$FD167,Règles_chevaux_trait[Ration]&amp;Règles_chevaux_trait[Aliment],0)),0),0)*SUM(TotalChevauxTrait_24_36mois)*21)</f>
        <v>0</v>
      </c>
      <c r="FG167" s="1283">
        <f t="array" ref="FG167">IF(OR(ChoixRationHivernaleComplèteChevauxTrait=OUI,ChoixRationHivernaleComplèteChevauxTrait="",ChoixChevauxTraitPréHiver=NON),0,IFERROR(IF(OR(AND(INDEX(Règles_chevaux_trait[Specificite],MATCH(RationHivernaleAuPréChevauxTrait&amp;$FD167,Règles_chevaux_trait[Ration]&amp;Règles_chevaux_trait[Aliment],0))="s1",IF($FD167=Spécificité1ChevauxTrait,1)),
AND(INDEX(Règles_chevaux_trait[Specificite],MATCH(RationHivernaleAuPréChevauxTrait&amp;$FD167,Règles_chevaux_trait[Ration]&amp;Règles_chevaux_trait[Aliment],0))="s2",IF($FD167=Spécificité2ChevauxTrait,1)),
INDEX(Règles_chevaux_trait[Specificite],MATCH(RationHivernaleAuPréChevauxTrait&amp;$FD167,Règles_chevaux_trait[Ration]&amp;Règles_chevaux_trait[Aliment],0))="c"),
INDEX(Règles_chevaux_trait[Valeur 12-24],MATCH(RationHivernaleAuPréChevauxTrait&amp;$FD167,Règles_chevaux_trait[Ration]&amp;Règles_chevaux_trait[Aliment],0)),0),0)*SUM(TotalChevauxTrait_12_24mois)*21)</f>
        <v>0</v>
      </c>
      <c r="FH167" s="1286">
        <f t="array" ref="FH167">IF(OR(ChoixRationHivernaleComplèteChevauxTrait=OUI,ChoixRationHivernaleComplèteChevauxTrait="",ChoixChevauxTraitPréHiver=NON),0,IFERROR(IF(OR(AND(INDEX(Règles_chevaux_trait[Specificite],MATCH(RationHivernaleAuPréChevauxTrait&amp;$FD167,Règles_chevaux_trait[Ration]&amp;Règles_chevaux_trait[Aliment],0))="s1",IF($FD167=Spécificité1ChevauxTrait,1)),
AND(INDEX(Règles_chevaux_trait[Specificite],MATCH(RationHivernaleAuPréChevauxTrait&amp;$FD167,Règles_chevaux_trait[Ration]&amp;Règles_chevaux_trait[Aliment],0))="s2",IF($FD167=Spécificité2ChevauxTrait,1)),
INDEX(Règles_chevaux_trait[Specificite],MATCH(RationHivernaleAuPréChevauxTrait&amp;$FD167,Règles_chevaux_trait[Ration]&amp;Règles_chevaux_trait[Aliment],0))="c"),
INDEX(Règles_chevaux_trait[Valeur 0-12],MATCH(RationHivernaleAuPréChevauxTrait&amp;$FD167,Règles_chevaux_trait[Ration]&amp;Règles_chevaux_trait[Aliment],0)),0),0)*SUM(TotalPoulainsTrait)*21)</f>
        <v>0</v>
      </c>
      <c r="FI167" s="1286">
        <f t="shared" si="53"/>
        <v>0</v>
      </c>
      <c r="FJ167" s="1345"/>
      <c r="FK167" s="1345"/>
      <c r="FL167" s="1345"/>
      <c r="FM167" s="1321"/>
      <c r="FN167" s="1082" t="str">
        <f t="shared" si="54"/>
        <v>Seigle</v>
      </c>
      <c r="FO167" s="1282">
        <f t="array" ref="FO167">IF(OR(ChoixRationHivernaleComplètePoneys=OUI,ChoixRationHivernaleComplètePoneys="",ChoixPoneysPréHiver=NON),0,IFERROR(IF(OR(AND(INDEX(Règles_poneys[Specificite],MATCH(RationHivernaleAuPréPoneys&amp;$FN167,Règles_poneys[Ration]&amp;Règles_poneys[Aliment],0))="s1",IF($FN167=Spécificité1Poneys,1)),
AND(INDEX(Règles_poneys[Specificite],MATCH(RationHivernaleAuPréPoneys&amp;$FN167,Règles_poneys[Ration]&amp;Règles_poneys[Aliment],0))="s2",IF($FN167=Spécificité2Poneys,1)),
INDEX(Règles_poneys[Specificite],MATCH(RationHivernaleAuPréPoneys&amp;$FN167,Règles_poneys[Ration]&amp;Règles_poneys[Aliment],0))="c"),
INDEX(Règles_poneys[Valeur 36 et plus],MATCH(RationHivernaleAuPréPoneys&amp;$FN167,Règles_poneys[Ration]&amp;Règles_poneys[Aliment],0)),0),0)*SUM(TotalPoneysAdultes)*21)</f>
        <v>0</v>
      </c>
      <c r="FP167" s="1282">
        <f t="array" ref="FP167">IF(OR(ChoixRationHivernaleComplètePoneys=OUI,ChoixRationHivernaleComplètePoneys="",ChoixPoneysPréHiver=NON),0,IFERROR(IF(OR(AND(INDEX(Règles_poneys[Specificite],MATCH(RationHivernaleAuPréPoneys&amp;$FN167,Règles_poneys[Ration]&amp;Règles_poneys[Aliment],0))="s1",IF($FN167=Spécificité1Poneys,1)),
AND(INDEX(Règles_poneys[Specificite],MATCH(RationHivernaleAuPréPoneys&amp;$FN167,Règles_poneys[Ration]&amp;Règles_poneys[Aliment],0))="s2",IF($FN167=Spécificité2Poneys,1)),
INDEX(Règles_poneys[Specificite],MATCH(RationHivernaleAuPréPoneys&amp;$FN167,Règles_poneys[Ration]&amp;Règles_poneys[Aliment],0))="c"),
INDEX(Règles_poneys[Valeur 24-36],MATCH(RationHivernaleAuPréPoneys&amp;$FN167,Règles_poneys[Ration]&amp;Règles_poneys[Aliment],0)),0),0)*SUM(TotalPoneys_24_36mois)*21)</f>
        <v>0</v>
      </c>
      <c r="FQ167" s="1282">
        <f t="array" ref="FQ167">IF(OR(ChoixRationHivernaleComplètePoneys=OUI,ChoixRationHivernaleComplètePoneys="",ChoixPoneysPréHiver=NON),0,IFERROR(IF(OR(AND(INDEX(Règles_poneys[Specificite],MATCH(RationHivernaleAuPréPoneys&amp;$FN167,Règles_poneys[Ration]&amp;Règles_poneys[Aliment],0))="s1",IF($FN167=Spécificité1Poneys,1)),
AND(INDEX(Règles_poneys[Specificite],MATCH(RationHivernaleAuPréPoneys&amp;$FN167,Règles_poneys[Ration]&amp;Règles_poneys[Aliment],0))="s2",IF($FN167=Spécificité2Poneys,1)),
INDEX(Règles_poneys[Specificite],MATCH(RationHivernaleAuPréPoneys&amp;$FN167,Règles_poneys[Ration]&amp;Règles_poneys[Aliment],0))="c"),
INDEX(Règles_poneys[Valeur 12-24],MATCH(RationHivernaleAuPréPoneys&amp;$FN167,Règles_poneys[Ration]&amp;Règles_poneys[Aliment],0)),0),0)*SUM(TotalPoneys_12_24mois)*21)</f>
        <v>0</v>
      </c>
      <c r="FR167" s="1285">
        <f t="array" ref="FR167">IF(OR(ChoixRationHivernaleComplètePoneys=OUI,ChoixRationHivernaleComplètePoneys="",ChoixPoneysPréHiver=NON),0,IFERROR(IF(OR(AND(INDEX(Règles_poneys[Specificite],MATCH(RationHivernaleAuPréPoneys&amp;$FN167,Règles_poneys[Ration]&amp;Règles_poneys[Aliment],0))="s1",IF($FN167=Spécificité1Poneys,1)),
AND(INDEX(Règles_poneys[Specificite],MATCH(RationHivernaleAuPréPoneys&amp;$FN167,Règles_poneys[Ration]&amp;Règles_poneys[Aliment],0))="s2",IF($FN167=Spécificité2Poneys,1)),
INDEX(Règles_poneys[Specificite],MATCH(RationHivernaleAuPréPoneys&amp;$FN167,Règles_poneys[Ration]&amp;Règles_poneys[Aliment],0))="c"),
INDEX(Règles_poneys[Valeur 0-12],MATCH(RationHivernaleAuPréPoneys&amp;$FN167,Règles_poneys[Ration]&amp;Règles_poneys[Aliment],0)),0),0)*SUM(TotalPoulainsPoneys)*21)</f>
        <v>0</v>
      </c>
      <c r="FS167" s="1285">
        <f t="shared" si="52"/>
        <v>0</v>
      </c>
      <c r="FT167" s="1345"/>
      <c r="FU167" s="1345"/>
      <c r="FV167" s="1345"/>
      <c r="FW167" s="1083" t="str">
        <f t="shared" si="49"/>
        <v>Tourteau de tournesol</v>
      </c>
      <c r="FX167" s="1283">
        <f t="array" ref="FX167">SUM((IF(QualitéAlimentsGavageOison_0_1_mois=BONNE,VLOOKUP("Tourteau de tournesol",AlimentsGavageOies[],5,FALSE),0)+(IF(QualitéAlimentsGavageCaneton_0_1_mois=BONNE,VLOOKUP("Tourteau de tournesol",AlimentsGavageCanards[],5,FALSE),0)+(IF(QualitéAlimentsGavageOison_1_2_mois=BONNE,VLOOKUP("Tourteau de tournesol",AlimentsGavageOies[],4,FALSE),0)+(IF(QualitéAlimentsGavageCaneton_1_2_mois=BONNE,VLOOKUP("Tourteau de tournesol",AlimentsGavageCanards[],4,FALSE),0)+(IF(QualitéAlimentsGavageOison_2_3_mois=BONNE,VLOOKUP("Tourteau de tournesol",AlimentsGavageOies[],3,FALSE),0)+(IF(QualitéAlimentsGavageCaneton_2_3_mois=BONNE,VLOOKUP("Tourteau de tournesol",AlimentsGavageCanards[],3,FALSE),0)+(IF(QualitéAlimentsGavageJeunesOies=BONNE,VLOOKUP("Tourteau de tournesol",AlimentsGavageOies[],2,FALSE),0)+(IF(QualitéAlimentsGavageJeuneCanard=BONNE,VLOOKUP("Tourteau de tournesol",AlimentsGavageCanards[],2,FALSE),0))))))))))</f>
        <v>0</v>
      </c>
      <c r="FY167" s="1283">
        <f t="array" ref="FY167">SUM((IF(QualitéAlimentsGavageOison_0_1_mois=MOYENNE,VLOOKUP("Tourteau de tournesol",AlimentsGavageOies[],5,FALSE),0)+(IF(QualitéAlimentsGavageCaneton_0_1_mois=MOYENNE,VLOOKUP("Tourteau de tournesol",AlimentsGavageCanards[],5,FALSE),0)+(IF(QualitéAlimentsGavageOison_1_2_mois=MOYENNE,VLOOKUP("Tourteau de tournesol",AlimentsGavageOies[],4,FALSE),0)+(IF(QualitéAlimentsGavageCaneton_1_2_mois=MOYENNE,VLOOKUP("Tourteau de tournesol",AlimentsGavageCanards[],4,FALSE),0)+(IF(QualitéAlimentsGavageOison_2_3_mois=MOYENNE,VLOOKUP("Tourteau de tournesol",AlimentsGavageOies[],3,FALSE),0)+(IF(QualitéAlimentsGavageCaneton_2_3_mois=MOYENNE,VLOOKUP("Tourteau de tournesol",AlimentsGavageCanards[],3,FALSE),0)+(IF(QualitéAlimentsGavageJeunesOies=MOYENNE,VLOOKUP("Tourteau de tournesol",AlimentsGavageOies[],2,FALSE),0)+(IF(QualitéAlimentsGavageJeuneCanard=MOYENNE,VLOOKUP("Tourteau de tournesol",AlimentsGavageCanards[],2,FALSE),0))))))))))</f>
        <v>0</v>
      </c>
      <c r="FZ167" s="1283">
        <f t="array" ref="FZ167">SUM((IF(QualitéAlimentsGavageOison_0_1_mois=MAUVAISE,VLOOKUP("Tourteau de tournesol",AlimentsGavageOies[],5,FALSE),0)+(IF(QualitéAlimentsGavageCaneton_0_1_mois=MAUVAISE,VLOOKUP("Tourteau de tournesol",AlimentsGavageCanards[],5,FALSE),0)+(IF(QualitéAlimentsGavageOison_1_2_mois=MAUVAISE,VLOOKUP("Tourteau de tournesol",AlimentsGavageOies[],4,FALSE),0)+(IF(QualitéAlimentsGavageCaneton_1_2_mois=MAUVAISE,VLOOKUP("Tourteau de tournesol",AlimentsGavageCanards[],4,FALSE),0)+(IF(QualitéAlimentsGavageOison_2_3_mois=MAUVAISE,VLOOKUP("Tourteau de tournesol",AlimentsGavageOies[],3,FALSE),0)+(IF(QualitéAlimentsGavageCaneton_2_3_mois=MAUVAISE,VLOOKUP("Tourteau de tournesol",AlimentsGavageCanards[],3,FALSE),0)+(IF(QualitéAlimentsGavageJeunesOies=MAUVAISE,VLOOKUP("Tourteau de tournesol",AlimentsGavageOies[],2,FALSE),0)+(IF(QualitéAlimentsGavageJeuneCanard=MAUVAISE,VLOOKUP("Tourteau de tournesol",AlimentsGavageCanards[],2,FALSE),0))))))))))</f>
        <v>0</v>
      </c>
      <c r="GA167" s="1345"/>
      <c r="GB167" s="1345"/>
      <c r="GC167" s="1321"/>
      <c r="GD167" s="1321"/>
      <c r="GE167" s="1321"/>
      <c r="GF167" s="1321"/>
      <c r="GG167" s="1321" t="s">
        <v>1349</v>
      </c>
      <c r="GH167" s="1321" t="s">
        <v>1349</v>
      </c>
      <c r="GI167" s="1321" t="s">
        <v>1349</v>
      </c>
      <c r="GJ167" s="1321" t="s">
        <v>1349</v>
      </c>
      <c r="GK167" s="1321" t="s">
        <v>1349</v>
      </c>
      <c r="GL167" s="1321" t="s">
        <v>1349</v>
      </c>
      <c r="GM167" s="1321" t="s">
        <v>1349</v>
      </c>
      <c r="GN167" s="1321" t="s">
        <v>1349</v>
      </c>
      <c r="GO167" s="1321" t="s">
        <v>1349</v>
      </c>
      <c r="GP167" s="1321" t="s">
        <v>1349</v>
      </c>
      <c r="GQ167" s="1321" t="s">
        <v>1349</v>
      </c>
      <c r="GR167" s="1321" t="s">
        <v>1349</v>
      </c>
      <c r="GS167" s="1321" t="s">
        <v>1349</v>
      </c>
      <c r="GT167" s="1321" t="s">
        <v>1349</v>
      </c>
      <c r="GU167" s="1321" t="s">
        <v>1349</v>
      </c>
      <c r="GV167" s="1321" t="s">
        <v>1349</v>
      </c>
      <c r="GW167" s="1321"/>
      <c r="GX167" s="1321"/>
      <c r="GY167" s="1321"/>
      <c r="GZ167" s="1321"/>
      <c r="HA167" s="1321"/>
      <c r="HB167" s="1321"/>
      <c r="HC167" s="1321"/>
      <c r="HD167" s="1321"/>
      <c r="HE167" s="1321"/>
      <c r="HF167" s="1321"/>
      <c r="HG167" s="1321"/>
      <c r="HH167" s="1321"/>
      <c r="HI167" s="1321"/>
      <c r="HJ167" s="1321"/>
      <c r="HK167" s="1321"/>
      <c r="HL167" s="1321"/>
      <c r="HM167" s="1321"/>
      <c r="HN167" s="1321"/>
      <c r="HO167" s="1321"/>
      <c r="HP167" s="1321"/>
      <c r="HQ167" s="1321"/>
      <c r="HR167" s="1321"/>
      <c r="HS167" s="1321"/>
      <c r="HT167" s="1321"/>
      <c r="HU167" s="1321"/>
      <c r="HV167" s="1321"/>
      <c r="HW167" s="1321"/>
      <c r="HX167" s="1321"/>
      <c r="HY167" s="1321"/>
      <c r="HZ167" s="1321"/>
      <c r="IA167" s="1321"/>
      <c r="IB167" s="1321"/>
      <c r="IC167" s="1321"/>
      <c r="ID167" s="1321"/>
      <c r="IE167" s="1321"/>
      <c r="IF167" s="1321"/>
      <c r="IG167" s="1321"/>
      <c r="IH167" s="1321"/>
      <c r="II167" s="1321"/>
      <c r="IJ167" s="1321"/>
      <c r="IK167" s="1321"/>
      <c r="IL167" s="1321"/>
      <c r="IM167" s="1321"/>
      <c r="IN167" s="1368"/>
    </row>
    <row r="168" spans="1:248" ht="12.75" customHeight="1" x14ac:dyDescent="0.2">
      <c r="A168" s="1307" t="s">
        <v>622</v>
      </c>
      <c r="B168" s="1209">
        <v>0.01</v>
      </c>
      <c r="C168" s="1321"/>
      <c r="D168" s="1251" t="s">
        <v>1795</v>
      </c>
      <c r="E168" s="1252">
        <v>10</v>
      </c>
      <c r="F168" s="1321"/>
      <c r="G168" s="1321"/>
      <c r="H168" s="1321"/>
      <c r="I168" s="1321"/>
      <c r="J168" s="1321"/>
      <c r="K168" s="1321"/>
      <c r="L168" s="1321"/>
      <c r="M168" s="1321"/>
      <c r="N168" s="1321"/>
      <c r="O168" s="1321"/>
      <c r="P168" s="1321"/>
      <c r="Q168" s="1321"/>
      <c r="R168" s="1321"/>
      <c r="S168" s="1321"/>
      <c r="T168" s="1321"/>
      <c r="U168" s="1321"/>
      <c r="V168" s="1321"/>
      <c r="W168" s="1321"/>
      <c r="X168" s="1321"/>
      <c r="Y168" s="1321"/>
      <c r="Z168" s="1321"/>
      <c r="AA168" s="1321"/>
      <c r="AB168" s="1321"/>
      <c r="AC168" s="1321"/>
      <c r="AD168" s="1321"/>
      <c r="AE168" s="1321"/>
      <c r="AF168" s="1321"/>
      <c r="AG168" s="1321"/>
      <c r="AH168" s="1321"/>
      <c r="AI168" s="1321"/>
      <c r="AJ168" s="1321"/>
      <c r="AK168" s="1321"/>
      <c r="AL168" s="1321"/>
      <c r="AM168" s="1321"/>
      <c r="AN168" s="1321"/>
      <c r="AO168" s="1321"/>
      <c r="AP168" s="1321"/>
      <c r="AQ168" s="1321"/>
      <c r="AR168" s="1321"/>
      <c r="AS168" s="1321"/>
      <c r="AT168" s="1321"/>
      <c r="AU168" s="1321"/>
      <c r="AV168" s="1321"/>
      <c r="AW168" s="1321"/>
      <c r="AX168" s="1321"/>
      <c r="AY168" s="1321"/>
      <c r="AZ168" s="1321"/>
      <c r="BA168" s="1321"/>
      <c r="BB168" s="1236" t="s">
        <v>1315</v>
      </c>
      <c r="BC168" s="1190" t="s">
        <v>715</v>
      </c>
      <c r="BD168" s="1190" t="s">
        <v>1254</v>
      </c>
      <c r="BE168" s="1237">
        <v>4.8</v>
      </c>
      <c r="BF168" s="1237">
        <v>4</v>
      </c>
      <c r="BG168" s="1237">
        <v>4</v>
      </c>
      <c r="BH168" s="1237">
        <v>4</v>
      </c>
      <c r="BI168" s="1237">
        <v>2</v>
      </c>
      <c r="BJ168" s="1237">
        <v>1.2</v>
      </c>
      <c r="BK168" s="1238">
        <v>0</v>
      </c>
      <c r="BL168" s="1348"/>
      <c r="BM168" s="1346"/>
      <c r="BN168" s="1321"/>
      <c r="BO168" s="1321"/>
      <c r="BP168" s="1321"/>
      <c r="BQ168" s="1321"/>
      <c r="BR168" s="1321"/>
      <c r="BS168" s="1321"/>
      <c r="BT168" s="1321"/>
      <c r="BU168" s="1321"/>
      <c r="BV168" s="1345"/>
      <c r="BW168" s="1345"/>
      <c r="BX168" s="1076" t="str">
        <f t="shared" si="57"/>
        <v>Pulpe déshydratée de betterave</v>
      </c>
      <c r="BY168" s="1076">
        <f t="array" ref="BY168">IF(ChoixRationComplèteCaprins=OUI,0,IFERROR(IF(OR(AND(INDEX(Règles_caprins[Specificite],MATCH(ChoixRationCaprins&amp;$BX168,Règles_caprins[Ration]&amp;Règles_caprins[Aliment],0))="s1",IF($BX168=Spécificité1Caprins,1)),
INDEX(Règles_caprins[Specificite],MATCH(ChoixRationCaprins&amp;$BX168,Règles_caprins[Ration]&amp;Règles_caprins[Aliment],0))="c"),
INDEX(Règles_caprins[Valeur 12 et plus],MATCH(ChoixRationCaprins&amp;$BX168,Règles_caprins[Ration]&amp;Règles_caprins[Aliment],0)),0),0)*TotalChèvres*SUM(NbreJoursNourrirCaprins))</f>
        <v>0</v>
      </c>
      <c r="BZ168" s="1076">
        <f t="array" ref="BZ168">IF(ChoixRationComplèteCaprins=OUI,0,IFERROR(IF(OR(AND(INDEX(Règles_caprins[Specificite],MATCH(ChoixRationCaprins&amp;$BX168,Règles_caprins[Ration]&amp;Règles_caprins[Aliment],0))="s1",IF($BX168=Spécificité1Caprins,1)),
INDEX(Règles_caprins[Specificite],MATCH(ChoixRationCaprins&amp;$BX168,Règles_caprins[Ration]&amp;Règles_caprins[Aliment],0))="c"),
INDEX(Règles_caprins[Valeur 6-12],MATCH(ChoixRationCaprins&amp;$BX168,Règles_caprins[Ration]&amp;Règles_caprins[Aliment],0)),0),0)*jeune_chèvre_6_12_mois*SUM(NbreJoursNourrirCaprins))</f>
        <v>0</v>
      </c>
      <c r="CA168" s="1076">
        <f t="array" ref="CA168">IF(ChoixRationComplèteCaprins=OUI,0,IFERROR(IF(OR(AND(INDEX(Règles_caprins[Specificite],MATCH(ChoixRationCaprins&amp;$BX168,Règles_caprins[Ration]&amp;Règles_caprins[Aliment],0))="s1",IF($BX168=Spécificité1Caprins,1)),
INDEX(Règles_caprins[Specificite],MATCH(ChoixRationCaprins&amp;$BX168,Règles_caprins[Ration]&amp;Règles_caprins[Aliment],0))="c"),
INDEX(Règles_caprins[Valeur 3-6],MATCH(ChoixRationCaprins&amp;$BX168,Règles_caprins[Ration]&amp;Règles_caprins[Aliment],0)),0),0)*chevrette_3_6_mois*SUM(NbreJoursNourrirCaprins))</f>
        <v>0</v>
      </c>
      <c r="CB168" s="1076">
        <f t="array" ref="CB168">IF(ChoixRationComplèteCaprins=OUI,0,IFERROR(IF(OR(AND(INDEX(Règles_caprins[Specificite],MATCH(ChoixRationCaprins&amp;$BX168,Règles_caprins[Ration]&amp;Règles_caprins[Aliment],0))="s1",IF($BX168=Spécificité1Caprins,1)),
INDEX(Règles_caprins[Specificite],MATCH(ChoixRationCaprins&amp;$BX168,Règles_caprins[Ration]&amp;Règles_caprins[Aliment],0))="c"),
INDEX(Règles_caprins[Valeur 0-3],MATCH(ChoixRationCaprins&amp;$BX168,Règles_caprins[Ration]&amp;Règles_caprins[Aliment],0)),0),0)*chevrette_0_3_mois*SUM(NbreJoursNourrirCaprins))</f>
        <v>0</v>
      </c>
      <c r="CC168" s="1076">
        <f t="shared" si="56"/>
        <v>0</v>
      </c>
      <c r="CD168" s="1345"/>
      <c r="CE168" s="1345"/>
      <c r="CF168" s="1345"/>
      <c r="CG168" s="1345"/>
      <c r="CH168" s="1345"/>
      <c r="CI168" s="1321"/>
      <c r="CJ168" s="1075" t="str">
        <f t="shared" si="51"/>
        <v>Tournesol</v>
      </c>
      <c r="CK168" s="1269">
        <f t="array" ref="CK168">SUM((IF(QualitéAlimentsPorceletMâle_0_1_mois=BONNE,VLOOKUP("Tournesol",AlimentsRationPorcinsMâles[],6,FALSE),0)+(IF(QualitéAlimentsPorceletFemelle_0_1_mois=BONNE,VLOOKUP("Tournesol",AlimentsRationPorcinsFemelles[],6,FALSE),0)+(IF(QualitéAlimentsPorceletMâle_1_3_mois=BONNE,VLOOKUP("Tournesol",AlimentsRationPorcinsMâles[],5,FALSE),0)+(IF(QualitéAlimentsPorceletFemelle_1_3_mois=BONNE,VLOOKUP("Tournesol",AlimentsRationPorcinsFemelles[],5,FALSE),0)+(IF(QualitéAlimentsJeuneVerrat_3_6_mois=BONNE,VLOOKUP("Tournesol",AlimentsRationPorcinsMâles[],4,FALSE),0)+(IF(QualitéAlimentsJeuneTruie_3_6_mois=BONNE,VLOOKUP("Tournesol",AlimentsRationPorcinsFemelles[],4,FALSE),0)+(IF(QualitéAlimentsJeuneVerrat_6_12_mois=BONNE,VLOOKUP("Tournesol",AlimentsRationPorcinsMâles[],3,FALSE),0)+(IF(QualitéAlimentsJeuneTruie_6_12_mois=BONNE,VLOOKUP("Tournesol",AlimentsRationPorcinsFemelles[],3,FALSE),0)+(IF(QualitéAlimentsVerrat=BONNE,VLOOKUP("Tournesol",AlimentsRationPorcinsMâles[],2,FALSE),0)+(IF(QualitéAlimentsTruie=BONNE,VLOOKUP("Tournesol",AlimentsRationPorcinsFemelles[],2,FALSE),0))))))))))))</f>
        <v>0</v>
      </c>
      <c r="CL168" s="1269">
        <f t="array" ref="CL168">SUM((IF(QualitéAlimentsPorceletMâle_0_1_mois=MOYENNE,VLOOKUP("Tournesol",AlimentsRationPorcinsMâles[],6,FALSE),0)+(IF(QualitéAlimentsPorceletFemelle_0_1_mois=MOYENNE,VLOOKUP("Tournesol",AlimentsRationPorcinsFemelles[],6,FALSE),0)+(IF(QualitéAlimentsPorceletMâle_1_3_mois=MOYENNE,VLOOKUP("Tournesol",AlimentsRationPorcinsMâles[],5,FALSE),0)+(IF(QualitéAlimentsPorceletFemelle_1_3_mois=MOYENNE,VLOOKUP("Tournesol",AlimentsRationPorcinsFemelles[],5,FALSE),0)+(IF(QualitéAlimentsJeuneVerrat_3_6_mois=MOYENNE,VLOOKUP("Tournesol",AlimentsRationPorcinsMâles[],4,FALSE),0)+(IF(QualitéAlimentsJeuneTruie_3_6_mois=MOYENNE,VLOOKUP("Tournesol",AlimentsRationPorcinsFemelles[],4,FALSE),0)+(IF(QualitéAlimentsJeuneVerrat_6_12_mois=MOYENNE,VLOOKUP("Tournesol",AlimentsRationPorcinsMâles[],3,FALSE),0)+(IF(QualitéAlimentsJeuneTruie_6_12_mois=MOYENNE,VLOOKUP("Tournesol",AlimentsRationPorcinsFemelles[],3,FALSE),0)+(IF(QualitéAlimentsVerrat=MOYENNE,VLOOKUP("Tournesol",AlimentsRationPorcinsMâles[],2,FALSE),0)+(IF(QualitéAlimentsTruie=MOYENNE,VLOOKUP("Tournesol",AlimentsRationPorcinsFemelles[],2,FALSE),0))))))))))))</f>
        <v>0</v>
      </c>
      <c r="CM168" s="1269">
        <f t="array" ref="CM168">SUM((IF(QualitéAlimentsPorceletMâle_0_1_mois=MAUVAISE,VLOOKUP("Tournesol",AlimentsRationPorcinsMâles[],6,FALSE),0)+(IF(QualitéAlimentsPorceletFemelle_0_1_mois=MAUVAISE,VLOOKUP("Tournesol",AlimentsRationPorcinsFemelles[],6,FALSE),0)+(IF(QualitéAlimentsPorceletMâle_1_3_mois=MAUVAISE,VLOOKUP("Tournesol",AlimentsRationPorcinsMâles[],5,FALSE),0)+(IF(QualitéAlimentsPorceletFemelle_1_3_mois=MAUVAISE,VLOOKUP("Tournesol",AlimentsRationPorcinsFemelles[],5,FALSE),0)+(IF(QualitéAlimentsJeuneVerrat_3_6_mois=MAUVAISE,VLOOKUP("Tournesol",AlimentsRationPorcinsMâles[],4,FALSE),0)+(IF(QualitéAlimentsJeuneTruie_3_6_mois=MAUVAISE,VLOOKUP("Tournesol",AlimentsRationPorcinsFemelles[],4,FALSE),0)+(IF(QualitéAlimentsJeuneVerrat_6_12_mois=MAUVAISE,VLOOKUP("Tournesol",AlimentsRationPorcinsMâles[],3,FALSE),0)+(IF(QualitéAlimentsJeuneTruie_6_12_mois=MAUVAISE,VLOOKUP("Tournesol",AlimentsRationPorcinsFemelles[],3,FALSE),0)+(IF(QualitéAlimentsVerrat=MAUVAISE,VLOOKUP("Tournesol",AlimentsRationPorcinsMâles[],2,FALSE),0)+(IF(QualitéAlimentsTruie=MAUVAISE,VLOOKUP("Tournesol",AlimentsRationPorcinsFemelles[],2,FALSE),0))))))))))))</f>
        <v>0</v>
      </c>
      <c r="CN168" s="1320"/>
      <c r="CO168" s="1321"/>
      <c r="CP168" s="1321"/>
      <c r="CQ168" s="1321"/>
      <c r="CR168" s="1321"/>
      <c r="CS168" s="1075" t="str">
        <f t="shared" si="66"/>
        <v>Féverole</v>
      </c>
      <c r="CT168" s="1269">
        <f t="array" ref="CT168">SUM((IF(QualitéAlimentsLapereauMâle_0_1_mois=BONNE,VLOOKUP("Féverole",AlimentsRationLapinsMâles[],4,FALSE),0)+(IF(QualitéAlimentsLapereauFemelle_0_1_mois=BONNE,VLOOKUP("Féverole",AlimentsRationLapinsFemelles[],4,FALSE),0)+(IF(QualitéAlimentsJeuneLapin=BONNE,VLOOKUP("Féverole",AlimentsRationLapinsMâles[],3,FALSE),0)+(IF(QualitéAlimentsJeuneLapine=BONNE,VLOOKUP("Féverole",AlimentsRationLapinsFemelles[],3,FALSE),0)+(IF(QualitéAlimentsLapin=BONNE,VLOOKUP("Féverole",AlimentsRationLapinsMâles[],2,FALSE),0)+(IF(QualitéAlimentsLapine=BONNE,VLOOKUP("Féverole",AlimentsRationLapinsFemelles[],2,FALSE),0))))))))</f>
        <v>0</v>
      </c>
      <c r="CU168" s="1269">
        <f t="array" ref="CU168">SUM((IF(QualitéAlimentsLapereauMâle_0_1_mois=MOYENNE,VLOOKUP("Féverole",AlimentsRationLapinsMâles[],4,FALSE),0)+(IF(QualitéAlimentsLapereauFemelle_0_1_mois=MOYENNE,VLOOKUP("Féverole",AlimentsRationLapinsFemelles[],4,FALSE),0)+(IF(QualitéAlimentsJeuneLapin=MOYENNE,VLOOKUP("Féverole",AlimentsRationLapinsMâles[],3,FALSE),0)+(IF(QualitéAlimentsJeuneLapine=MOYENNE,VLOOKUP("Féverole",AlimentsRationLapinsFemelles[],3,FALSE),0)+(IF(QualitéAlimentsLapin=MOYENNE,VLOOKUP("Féverole",AlimentsRationLapinsMâles[],2,FALSE),0)+(IF(QualitéAlimentsLapine=MOYENNE,VLOOKUP("Féverole",AlimentsRationLapinsFemelles[],2,FALSE),0))))))))</f>
        <v>0</v>
      </c>
      <c r="CV168" s="1269">
        <f t="array" ref="CV168">SUM((IF(QualitéAlimentsLapereauMâle_0_1_mois=MAUVAISE,VLOOKUP("Féverole",AlimentsRationLapinsMâles[],4,FALSE),0)+(IF(QualitéAlimentsLapereauFemelle_0_1_mois=MAUVAISE,VLOOKUP("Féverole",AlimentsRationLapinsFemelles[],4,FALSE),0)+(IF(QualitéAlimentsJeuneLapin=MAUVAISE,VLOOKUP("Féverole",AlimentsRationLapinsMâles[],3,FALSE),0)+(IF(QualitéAlimentsJeuneLapine=MAUVAISE,VLOOKUP("Féverole",AlimentsRationLapinsFemelles[],3,FALSE),0)+(IF(QualitéAlimentsLapin=MAUVAISE,VLOOKUP("Féverole",AlimentsRationLapinsMâles[],2,FALSE),0)+(IF(QualitéAlimentsLapine=MAUVAISE,VLOOKUP("Féverole",AlimentsRationLapinsFemelles[],2,FALSE),0))))))))</f>
        <v>0</v>
      </c>
      <c r="CW168" s="1321"/>
      <c r="CX168" s="1321"/>
      <c r="CY168" s="1321"/>
      <c r="CZ168" s="1076" t="str">
        <f t="shared" si="65"/>
        <v>Foin</v>
      </c>
      <c r="DA168" s="1267">
        <f t="array" ref="DA168">SUM((IF(QualitéAlimentsPoussinMâle_0_1_mois=BONNE,VLOOKUP("Foin",AlimentsRationVolaillesMâles[],4,FALSE),0)+(IF(QualitéAlimentsPoussinFemelle_0_1_mois=BONNE,VLOOKUP("Foin",AlimentsRationVolaillesFemelles[],4,FALSE),0)+(IF(QualitéAlimentsJeuneCoq=BONNE,VLOOKUP("Foin",AlimentsRationVolaillesMâles[],3,FALSE),0)+(IF(QualitéAlimentsJeunePoule=BONNE,VLOOKUP("Foin",AlimentsRationVolaillesFemelles[],3,FALSE),0)+(IF(QualitéAlimentsCoq=BONNE,VLOOKUP("Foin",AlimentsRationVolaillesMâles[],2,FALSE),0)+(IF(QualitéAlimentsPoule=BONNE,VLOOKUP("Foin",AlimentsRationVolaillesFemelles[],2,FALSE),0))))))))</f>
        <v>0</v>
      </c>
      <c r="DB168" s="1267">
        <f t="array" ref="DB168">SUM((IF(QualitéAlimentsPoussinMâle_0_1_mois=MOYENNE,VLOOKUP("Foin",AlimentsRationVolaillesMâles[],4,FALSE),0)+(IF(QualitéAlimentsPoussinFemelle_0_1_mois=MOYENNE,VLOOKUP("Foin",AlimentsRationVolaillesFemelles[],4,FALSE),0)+(IF(QualitéAlimentsJeuneCoq=MOYENNE,VLOOKUP("Foin",AlimentsRationVolaillesMâles[],3,FALSE),0)+(IF(QualitéAlimentsJeunePoule=MOYENNE,VLOOKUP("Foin",AlimentsRationVolaillesFemelles[],3,FALSE),0)+(IF(QualitéAlimentsCoq=MOYENNE,VLOOKUP("Foin",AlimentsRationVolaillesMâles[],2,FALSE),0)+(IF(QualitéAlimentsPoule=MOYENNE,VLOOKUP("Foin",AlimentsRationVolaillesFemelles[],2,FALSE),0))))))))</f>
        <v>0</v>
      </c>
      <c r="DC168" s="1267">
        <f t="array" ref="DC168">SUM((IF(QualitéAlimentsPoussinMâle_0_1_mois=MAUVAISE,VLOOKUP("Foin",AlimentsRationVolaillesMâles[],4,FALSE),0)+(IF(QualitéAlimentsPoussinFemelle_0_1_mois=MAUVAISE,VLOOKUP("Foin",AlimentsRationVolaillesFemelles[],4,FALSE),0)+(IF(QualitéAlimentsJeuneCoq=MAUVAISE,VLOOKUP("Foin",AlimentsRationVolaillesMâles[],3,FALSE),0)+(IF(QualitéAlimentsJeunePoule=MAUVAISE,VLOOKUP("Foin",AlimentsRationVolaillesFemelles[],3,FALSE),0)+(IF(QualitéAlimentsCoq=MAUVAISE,VLOOKUP("Foin",AlimentsRationVolaillesMâles[],2,FALSE),0)+(IF(QualitéAlimentsPoule=MAUVAISE,VLOOKUP("Foin",AlimentsRationVolaillesFemelles[],2,FALSE),0))))))))</f>
        <v>0</v>
      </c>
      <c r="DD168" s="1320"/>
      <c r="DE168" s="1321"/>
      <c r="DF168" s="1321"/>
      <c r="DG168" s="1076" t="str">
        <f t="shared" si="58"/>
        <v>Pulpe déshydratée de betterave</v>
      </c>
      <c r="DH168" s="1267">
        <f t="array" ref="DH168">SUM((IF(QualitéAlimentsPintadeauMâle_0_1_mois=BONNE,VLOOKUP("Pulpe déshydratée de betterave",AlimentsRationPintadesMâles[],4,FALSE),0)+(IF(QualitéAlimentsPintadeauFemelle_0_1_mois=BONNE,VLOOKUP("Pulpe déshydratée de betterave",AlimentsRationPintadesFemelles[],4,FALSE),0)+(IF(QualitéAlimentsJeunePintadeMâle=BONNE,VLOOKUP("Pulpe déshydratée de betterave",AlimentsRationPintadesMâles[],3,FALSE),0)+(IF(QualitéAlimentsJeunePintadeFemelle=BONNE,VLOOKUP("Pulpe déshydratée de betterave",AlimentsRationPintadesFemelles[],3,FALSE),0)+(IF(QualitéAlimentsPintadeMâle=BONNE,VLOOKUP("Pulpe déshydratée de betterave",AlimentsRationPintadesMâles[],2,FALSE),0)+(IF(QualitéAlimentsPintadeFemelle=BONNE,VLOOKUP("Pulpe déshydratée de betterave",AlimentsRationPintadesFemelles[],2,FALSE),0))))))))</f>
        <v>0</v>
      </c>
      <c r="DI168" s="1267">
        <f t="array" ref="DI168">SUM((IF(QualitéAlimentsPintadeauMâle_0_1_mois=MOYENNE,VLOOKUP("Pulpe déshydratée de betterave",AlimentsRationPintadesMâles[],4,FALSE),0)+(IF(QualitéAlimentsPintadeauFemelle_0_1_mois=MOYENNE,VLOOKUP("Pulpe déshydratée de betterave",AlimentsRationPintadesFemelles[],4,FALSE),0)+(IF(QualitéAlimentsJeunePintadeMâle=MOYENNE,VLOOKUP("Pulpe déshydratée de betterave",AlimentsRationPintadesMâles[],3,FALSE),0)+(IF(QualitéAlimentsJeunePintadeFemelle=MOYENNE,VLOOKUP("Pulpe déshydratée de betterave",AlimentsRationPintadesFemelles[],3,FALSE),0)+(IF(QualitéAlimentsPintadeMâle=MOYENNE,VLOOKUP("Pulpe déshydratée de betterave",AlimentsRationPintadesMâles[],2,FALSE),0)+(IF(QualitéAlimentsPintadeFemelle=MOYENNE,VLOOKUP("Pulpe déshydratée de betterave",AlimentsRationPintadesFemelles[],2,FALSE),0))))))))</f>
        <v>0</v>
      </c>
      <c r="DJ168" s="1267">
        <f t="array" ref="DJ168">SUM((IF(QualitéAlimentsPintadeauMâle_0_1_mois=MAUVAISE,VLOOKUP("Pulpe déshydratée de betterave",AlimentsRationPintadesMâles[],4,FALSE),0)+(IF(QualitéAlimentsPintadeauFemelle_0_1_mois=MAUVAISE,VLOOKUP("Pulpe déshydratée de betterave",AlimentsRationPintadesFemelles[],4,FALSE),0)+(IF(QualitéAlimentsJeunePintadeMâle=MAUVAISE,VLOOKUP("Pulpe déshydratée de betterave",AlimentsRationPintadesMâles[],3,FALSE),0)+(IF(QualitéAlimentsJeunePintadeFemelle=MAUVAISE,VLOOKUP("Pulpe déshydratée de betterave",AlimentsRationPintadesFemelles[],3,FALSE),0)+(IF(QualitéAlimentsPintadeMâle=MAUVAISE,VLOOKUP("Pulpe déshydratée de betterave",AlimentsRationPintadesMâles[],2,FALSE),0)+(IF(QualitéAlimentsPintadeFemelle=MAUVAISE,VLOOKUP("Pulpe déshydratée de betterave",AlimentsRationPintadesFemelles[],2,FALSE),0))))))))</f>
        <v>0</v>
      </c>
      <c r="DK168" s="1321"/>
      <c r="DL168" s="1321"/>
      <c r="DM168" s="1321"/>
      <c r="DN168" s="1076" t="s">
        <v>339</v>
      </c>
      <c r="DO168" s="1267">
        <f t="array" ref="DO168">IF(ChoixRationComplèteOvins=OUI,0,IFERROR(IF(OR(AND(INDEX(Règles_ovins[Specificite],MATCH(ChoixRationOvins&amp;$DN168,Règles_ovins[Ration]&amp;Règles_ovins[Aliment],0))="s1",IF($DN168=Spécificité1Ovins,1)),
AND(INDEX(Règles_ovins[Specificite],MATCH(ChoixRationOvins&amp;$DN168,Règles_ovins[Ration]&amp;Règles_ovins[Aliment],0))="s2",IF($DN168=Spécificité2Ovins,1)),
INDEX(Règles_ovins[Specificite],MATCH(ChoixRationOvins&amp;$DN168,Règles_ovins[Ration]&amp;Règles_ovins[Aliment],0))="c"),
INDEX(Règles_ovins[Valeur 12 et plus],MATCH(ChoixRationOvins&amp;$DN168,Règles_ovins[Ration]&amp;Règles_ovins[Aliment],0)),0),0)*IF(ChoixOvinsPréHiver=OUI,SUM(TotalOvinsAdultesRacesLaitières)*NbreJoursNourrirOvins,TotalBéliers*SUM(NbreJoursNourrirOvins)))</f>
        <v>0</v>
      </c>
      <c r="DP168" s="1267">
        <f t="array" ref="DP168">IF(ChoixRationComplèteOvins=OUI,0,IFERROR(IF(OR(AND(INDEX(Règles_ovins[Specificite],MATCH(ChoixRationOvins&amp;$DN168,Règles_ovins[Ration]&amp;Règles_ovins[Aliment],0))="s1",IF($DN168=Spécificité1Ovins,1)),
AND(INDEX(Règles_ovins[Specificite],MATCH(ChoixRationOvins&amp;$DN168,Règles_ovins[Ration]&amp;Règles_ovins[Aliment],0))="s2",IF($DN168=Spécificité2Ovins,1)),
INDEX(Règles_ovins[Specificite],MATCH(ChoixRationOvins&amp;$DN168,Règles_ovins[Ration]&amp;Règles_ovins[Aliment],0))="c"),
INDEX(Règles_ovins[Valeur 6-12],MATCH(ChoixRationOvins&amp;$DN168,Règles_ovins[Ration]&amp;Règles_ovins[Aliment],0)),0),0)*IF(ChoixOvinsPréHiver=OUI,SUM(TotalJeunesOvinsRacesLaitières)*NbreJoursNourrirOvins,TotalJeune_bélier_6_12_mois*SUM(NbreJoursNourrirOvins)))</f>
        <v>0</v>
      </c>
      <c r="DQ168" s="1267">
        <f t="array" ref="DQ168">IF(ChoixRationComplèteOvins=OUI,0,IFERROR(IF(OR(AND(INDEX(Règles_ovins[Specificite],MATCH(ChoixRationOvins&amp;$DN168,Règles_ovins[Ration]&amp;Règles_ovins[Aliment],0))="s1",IF($DN168=Spécificité1Ovins,1)),
AND(INDEX(Règles_ovins[Specificite],MATCH(ChoixRationOvins&amp;$DN168,Règles_ovins[Ration]&amp;Règles_ovins[Aliment],0))="s2",IF($DN168=Spécificité2Ovins,1)),
INDEX(Règles_ovins[Specificite],MATCH(ChoixRationOvins&amp;$DN168,Règles_ovins[Ration]&amp;Règles_ovins[Aliment],0))="c"),
INDEX(Règles_ovins[Valeur 3-6],MATCH(ChoixRationOvins&amp;$DN168,Règles_ovins[Ration]&amp;Règles_ovins[Aliment],0)),0),0)*IF(ChoixOvinsPréHiver=OUI,SUM(TotalOvins_3_6moisRacesLaitières)*NbreJoursNourrirOvins,TotalAgneau_3_6_mois*SUM(NbreJoursNourrirOvins)))</f>
        <v>0</v>
      </c>
      <c r="DR168" s="1267">
        <f t="array" ref="DR168">IF(ChoixRationComplèteOvins=OUI,0,IFERROR(IF(OR(AND(INDEX(Règles_ovins[Specificite],MATCH(ChoixRationOvins&amp;$DN168,Règles_ovins[Ration]&amp;Règles_ovins[Aliment],0))="s1",IF($DN168=Spécificité1Ovins,1)),
AND(INDEX(Règles_ovins[Specificite],MATCH(ChoixRationOvins&amp;$DN168,Règles_ovins[Ration]&amp;Règles_ovins[Aliment],0))="s2",IF($DN168=Spécificité2Ovins,1)),
INDEX(Règles_ovins[Specificite],MATCH(ChoixRationOvins&amp;$DN168,Règles_ovins[Ration]&amp;Règles_ovins[Aliment],0))="c"),
INDEX(Règles_ovins[Valeur 0-3],MATCH(ChoixRationOvins&amp;$DN168,Règles_ovins[Ration]&amp;Règles_ovins[Aliment],0)),0),0)*IF(ChoixOvinsPréHiver=OUI,SUM(TotalOvins_3_6moisRacesLaitières)*NbreJoursNourrirOvins,TotalAgneau_0_3_mois*SUM(NbreJoursNourrirOvins)))</f>
        <v>0</v>
      </c>
      <c r="DS168" s="1279">
        <f t="shared" si="61"/>
        <v>0</v>
      </c>
      <c r="DT168" s="1346"/>
      <c r="DU168" s="1346"/>
      <c r="DV168" s="1321"/>
      <c r="DW168" s="1321"/>
      <c r="DX168" s="1321"/>
      <c r="DY168" s="1321"/>
      <c r="DZ168" s="1321"/>
      <c r="EA168" s="1321"/>
      <c r="EB168" s="1321"/>
      <c r="EC168" s="1321"/>
      <c r="ED168" s="1345"/>
      <c r="EE168" s="1345"/>
      <c r="EF168" s="1321"/>
      <c r="EG168" s="1076" t="str">
        <f t="shared" si="63"/>
        <v>Maïs grain</v>
      </c>
      <c r="EH168" s="1267">
        <f t="array" ref="EH168">SUM((IF(QualitéAlimentsOisonMâle_0_3_mois=BONNE,VLOOKUP("Maïs grain",AlimentsRationOiesMâles[],4,FALSE),0)+(IF(QualitéAlimentsOisonFemelle_0_3_mois=BONNE,VLOOKUP("Maïs grain",AlimentsRationOiesFemelles[],4,FALSE),0)+(IF(QualitéAlimentsJeuneJars=BONNE,VLOOKUP("Maïs grain",AlimentsRationOiesMâles[],3,FALSE),0)+(IF(QualitéAlimentsJeuneOie=BONNE,VLOOKUP("Maïs grain",AlimentsRationOiesFemelles[],3,FALSE),0)+(IF(QualitéAlimentsJars=BONNE,VLOOKUP("Maïs grain",AlimentsRationOiesMâles[],2,FALSE),0)+(IF(QualitéAlimentsOie=BONNE,VLOOKUP("Maïs grain",AlimentsRationOiesFemelles[],2,FALSE),0))))))))</f>
        <v>0</v>
      </c>
      <c r="EI168" s="1267">
        <f t="array" ref="EI168">SUM((IF(QualitéAlimentsOisonMâle_0_3_mois=MOYENNE,VLOOKUP("Maïs grain",AlimentsRationOiesMâles[],4,FALSE),0)+(IF(QualitéAlimentsOisonFemelle_0_3_mois=MOYENNE,VLOOKUP("Maïs grain",AlimentsRationOiesFemelles[],4,FALSE),0)+(IF(QualitéAlimentsJeuneJars=MOYENNE,VLOOKUP("Maïs grain",AlimentsRationOiesMâles[],3,FALSE),0)+(IF(QualitéAlimentsJeuneOie=MOYENNE,VLOOKUP("Maïs grain",AlimentsRationOiesFemelles[],3,FALSE),0)+(IF(QualitéAlimentsJars=MOYENNE,VLOOKUP("Maïs grain",AlimentsRationOiesMâles[],2,FALSE),0)+(IF(QualitéAlimentsOie=MOYENNE,VLOOKUP("Maïs grain",AlimentsRationOiesFemelles[],2,FALSE),0))))))))</f>
        <v>0</v>
      </c>
      <c r="EJ168" s="1267">
        <f t="array" ref="EJ168">SUM((IF(QualitéAlimentsOisonMâle_0_3_mois=MAUVAISE,VLOOKUP("Maïs grain",AlimentsRationOiesMâles[],4,FALSE),0)+(IF(QualitéAlimentsOisonFemelle_0_3_mois=MAUVAISE,VLOOKUP("Maïs grain",AlimentsRationOiesFemelles[],4,FALSE),0)+(IF(QualitéAlimentsJeuneJars=MAUVAISE,VLOOKUP("Maïs grain",AlimentsRationOiesMâles[],3,FALSE),0)+(IF(QualitéAlimentsJeuneOie=MAUVAISE,VLOOKUP("Maïs grain",AlimentsRationOiesFemelles[],3,FALSE),0)+(IF(QualitéAlimentsJars=MAUVAISE,VLOOKUP("Maïs grain",AlimentsRationOiesMâles[],2,FALSE),0)+(IF(QualitéAlimentsOie=MAUVAISE,VLOOKUP("Maïs grain",AlimentsRationOiesFemelles[],2,FALSE),0))))))))</f>
        <v>0</v>
      </c>
      <c r="EK168" s="1345"/>
      <c r="EL168" s="1345"/>
      <c r="EM168" s="1321"/>
      <c r="EN168" s="1083" t="str">
        <f t="shared" si="62"/>
        <v>Minéraux + vitamines</v>
      </c>
      <c r="EO168" s="1283">
        <f t="array" ref="EO168">SUM((IF(QualitéAlimentsCanetonMâle=BONNE,VLOOKUP("Minéraux + vitamines",AlimentsRationCanardsMâles,4,FALSE),0)+(IF(QualitéAlimentsCanetonFemelle=BONNE,VLOOKUP("Minéraux + vitamines",AlimentsRationCanardsFemelles,4,FALSE),0)+(IF(QualitéAlimentsJeuneCanard=BONNE,VLOOKUP("Minéraux + vitamines",AlimentsRationCanardsMâles,3,FALSE),0)+(IF(QualitéAlimentsJeuneCane=BONNE,VLOOKUP("Minéraux + vitamines",AlimentsRationCanardsFemelles,3,FALSE),0)+(IF(QualitéAlimentsCanard=BONNE,VLOOKUP("Minéraux + vitamines",AlimentsRationCanardsMâles,2,FALSE),0)+(IF(QualitéAlimentsCane=BONNE,VLOOKUP("Minéraux + vitamines",AlimentsRationCanardsFemelles,2,FALSE),0))))))))</f>
        <v>0</v>
      </c>
      <c r="EP168" s="1283">
        <f t="array" ref="EP168">SUM((IF(QualitéAlimentsCanetonMâle=MOYENNE,VLOOKUP("Minéraux + vitamines",AlimentsRationCanardsMâles,4,FALSE),0)+(IF(QualitéAlimentsCanetonFemelle=MOYENNE,VLOOKUP("Minéraux + vitamines",AlimentsRationCanardsFemelles,4,FALSE),0)+(IF(QualitéAlimentsJeuneCanard=MOYENNE,VLOOKUP("Minéraux + vitamines",AlimentsRationCanardsMâles,3,FALSE),0)+(IF(QualitéAlimentsJeuneCane=MOYENNE,VLOOKUP("Minéraux + vitamines",AlimentsRationCanardsFemelles,3,FALSE),0)+(IF(QualitéAlimentsCanard=MOYENNE,VLOOKUP("Minéraux + vitamines",AlimentsRationCanardsMâles,2,FALSE),0)+(IF(QualitéAlimentsCane=MOYENNE,VLOOKUP("Minéraux + vitamines",AlimentsRationCanardsFemelles,2,FALSE),0))))))))</f>
        <v>0</v>
      </c>
      <c r="EQ168" s="1283">
        <f t="array" ref="EQ168">SUM((IF(QualitéAlimentsCanetonMâle=MAUVAISE,VLOOKUP("Minéraux + vitamines",AlimentsRationCanardsMâles,4,FALSE),0)+(IF(QualitéAlimentsCanetonFemelle=MAUVAISE,VLOOKUP("Minéraux + vitamines",AlimentsRationCanardsFemelles,4,FALSE),0)+(IF(QualitéAlimentsJeuneCanard=MAUVAISE,VLOOKUP("Minéraux + vitamines",AlimentsRationCanardsMâles,3,FALSE),0)+(IF(QualitéAlimentsJeuneCane=MAUVAISE,VLOOKUP("Minéraux + vitamines",AlimentsRationCanardsFemelles,3,FALSE),0)+(IF(QualitéAlimentsCanard=MAUVAISE,VLOOKUP("Minéraux + vitamines",AlimentsRationCanardsMâles,2,FALSE),0)+(IF(QualitéAlimentsCane=MAUVAISE,VLOOKUP("Minéraux + vitamines",AlimentsRationCanardsFemelles,2,FALSE),0))))))))</f>
        <v>0</v>
      </c>
      <c r="ER168" s="1345"/>
      <c r="ES168" s="1345"/>
      <c r="ET168" s="1321"/>
      <c r="EU168" s="1082" t="str">
        <f t="shared" si="60"/>
        <v>Orge</v>
      </c>
      <c r="EV168" s="1282">
        <f t="array" ref="EV168">IF(OR(ChoixRationHivernaleComplèteChevauxSelle=OUI,ChoixRationHivernaleComplèteChevauxSelle="",ChoixChevauxSellePréHiver=NON),0,IFERROR(IF(OR(AND(INDEX(Règles_chevaux_selle[Specificite],MATCH(RationHivernaleAuPréChevauxSelle&amp;$EU168,Règles_chevaux_selle[Ration]&amp;Règles_chevaux_selle[Aliment],0))="s1",IF($EU168=Spécificité1ChevauxSelle,1)),
AND(INDEX(Règles_chevaux_selle[Specificite],MATCH(RationHivernaleAuPréChevauxSelle&amp;$EU168,Règles_chevaux_selle[Ration]&amp;Règles_chevaux_selle[Aliment],0))="s2",IF($EU168=Spécificité2ChevauxSelle,1)),
INDEX(Règles_chevaux_selle[Specificite],MATCH(RationHivernaleAuPréChevauxSelle&amp;$EU168,Règles_chevaux_selle[Ration]&amp;Règles_chevaux_selle[Aliment],0))="c"),
INDEX(Règles_chevaux_selle[Valeur 36 et plus],MATCH(RationHivernaleAuPréChevauxSelle&amp;$EU168,Règles_chevaux_selle[Ration]&amp;Règles_chevaux_selle[Aliment],0)),0),0)*SUM(TotalChevauxSelleAdultes)*21)</f>
        <v>0</v>
      </c>
      <c r="EW168" s="1282">
        <f t="array" ref="EW168">IF(OR(ChoixRationHivernaleComplèteChevauxSelle=OUI,ChoixRationHivernaleComplèteChevauxSelle="",ChoixChevauxSellePréHiver=NON),0,IFERROR(IF(OR(AND(INDEX(Règles_chevaux_selle[Specificite],MATCH(RationHivernaleAuPréChevauxSelle&amp;$EU168,Règles_chevaux_selle[Ration]&amp;Règles_chevaux_selle[Aliment],0))="s1",IF($EU168=Spécificité1ChevauxSelle,1)),
AND(INDEX(Règles_chevaux_selle[Specificite],MATCH(RationHivernaleAuPréChevauxSelle&amp;$EU168,Règles_chevaux_selle[Ration]&amp;Règles_chevaux_selle[Aliment],0))="s2",IF($EU168=Spécificité2ChevauxSelle,1)),
INDEX(Règles_chevaux_selle[Specificite],MATCH(RationHivernaleAuPréChevauxSelle&amp;$EU168,Règles_chevaux_selle[Ration]&amp;Règles_chevaux_selle[Aliment],0))="c"),
INDEX(Règles_chevaux_selle[Valeur 24-36],MATCH(RationHivernaleAuPréChevauxSelle&amp;$EU168,Règles_chevaux_selle[Ration]&amp;Règles_chevaux_selle[Aliment],0)),0),0)*SUM(TotalChevauxSelle_24_36mois)*21)</f>
        <v>0</v>
      </c>
      <c r="EX168" s="1282">
        <f t="array" ref="EX168">IF(OR(ChoixRationHivernaleComplèteChevauxSelle=OUI,ChoixRationHivernaleComplèteChevauxSelle="",ChoixChevauxSellePréHiver=NON),0,IFERROR(IF(OR(AND(INDEX(Règles_chevaux_selle[Specificite],MATCH(RationHivernaleAuPréChevauxSelle&amp;$EU168,Règles_chevaux_selle[Ration]&amp;Règles_chevaux_selle[Aliment],0))="s1",IF($EU168=Spécificité1ChevauxSelle,1)),
AND(INDEX(Règles_chevaux_selle[Specificite],MATCH(RationHivernaleAuPréChevauxSelle&amp;$EU168,Règles_chevaux_selle[Ration]&amp;Règles_chevaux_selle[Aliment],0))="s2",IF($EU168=Spécificité2ChevauxSelle,1)),
INDEX(Règles_chevaux_selle[Specificite],MATCH(RationHivernaleAuPréChevauxSelle&amp;$EU168,Règles_chevaux_selle[Ration]&amp;Règles_chevaux_selle[Aliment],0))="c"),
INDEX(Règles_chevaux_selle[Valeur 12-24],MATCH(RationHivernaleAuPréChevauxSelle&amp;$EU168,Règles_chevaux_selle[Ration]&amp;Règles_chevaux_selle[Aliment],0)),0),0)*SUM(TotalChevauxSelle_12_24mois)*21)</f>
        <v>0</v>
      </c>
      <c r="EY168" s="1285">
        <f t="array" ref="EY168">IF(OR(ChoixRationHivernaleComplèteChevauxSelle=OUI,ChoixRationHivernaleComplèteChevauxSelle="",ChoixChevauxSellePréHiver=NON),0,IFERROR(IF(OR(AND(INDEX(Règles_chevaux_selle[Specificite],MATCH(RationHivernaleAuPréChevauxSelle&amp;$EU168,Règles_chevaux_selle[Ration]&amp;Règles_chevaux_selle[Aliment],0))="s1",IF($EU168=Spécificité1ChevauxSelle,1)),
AND(INDEX(Règles_chevaux_selle[Specificite],MATCH(RationHivernaleAuPréChevauxSelle&amp;$EU168,Règles_chevaux_selle[Ration]&amp;Règles_chevaux_selle[Aliment],0))="s2",IF($EU168=Spécificité2ChevauxSelle,1)),
INDEX(Règles_chevaux_selle[Specificite],MATCH(RationHivernaleAuPréChevauxSelle&amp;$EU168,Règles_chevaux_selle[Ration]&amp;Règles_chevaux_selle[Aliment],0))="c"),
INDEX(Règles_chevaux_selle[Valeur 0-12],MATCH(RationHivernaleAuPréChevauxSelle&amp;$EU168,Règles_chevaux_selle[Ration]&amp;Règles_chevaux_selle[Aliment],0)),0),0)*SUM(TotalPoulainsSelle)*21)</f>
        <v>0</v>
      </c>
      <c r="EZ168" s="1285">
        <f t="shared" si="59"/>
        <v>0</v>
      </c>
      <c r="FA168" s="1345"/>
      <c r="FB168" s="1345"/>
      <c r="FC168" s="1321"/>
      <c r="FD168" s="1082" t="str">
        <f t="shared" si="55"/>
        <v>Seigle</v>
      </c>
      <c r="FE168" s="1282">
        <f t="array" ref="FE168">IF(OR(ChoixRationHivernaleComplèteChevauxTrait=OUI,ChoixRationHivernaleComplèteChevauxTrait="",ChoixChevauxTraitPréHiver=NON),0,IFERROR(IF(OR(AND(INDEX(Règles_chevaux_trait[Specificite],MATCH(RationHivernaleAuPréChevauxTrait&amp;$FD168,Règles_chevaux_trait[Ration]&amp;Règles_chevaux_trait[Aliment],0))="s1",IF($FD168=Spécificité1ChevauxTrait,1)),
AND(INDEX(Règles_chevaux_trait[Specificite],MATCH(RationHivernaleAuPréChevauxTrait&amp;$FD168,Règles_chevaux_trait[Ration]&amp;Règles_chevaux_trait[Aliment],0))="s2",IF($FD168=Spécificité2ChevauxTrait,1)),
INDEX(Règles_chevaux_trait[Specificite],MATCH(RationHivernaleAuPréChevauxTrait&amp;$FD168,Règles_chevaux_trait[Ration]&amp;Règles_chevaux_trait[Aliment],0))="c"),
INDEX(Règles_chevaux_trait[Valeur 36 et plus],MATCH(RationHivernaleAuPréChevauxTrait&amp;$FD168,Règles_chevaux_trait[Ration]&amp;Règles_chevaux_trait[Aliment],0)),0),0)*SUM(TotalChevauxTraitAdultes)*21)</f>
        <v>0</v>
      </c>
      <c r="FF168" s="1282">
        <f t="array" ref="FF168">IF(OR(ChoixRationHivernaleComplèteChevauxTrait=OUI,ChoixRationHivernaleComplèteChevauxTrait="",ChoixChevauxTraitPréHiver=NON),0,IFERROR(IF(OR(AND(INDEX(Règles_chevaux_trait[Specificite],MATCH(RationHivernaleAuPréChevauxTrait&amp;$FD168,Règles_chevaux_trait[Ration]&amp;Règles_chevaux_trait[Aliment],0))="s1",IF($FD168=Spécificité1ChevauxTrait,1)),
AND(INDEX(Règles_chevaux_trait[Specificite],MATCH(RationHivernaleAuPréChevauxTrait&amp;$FD168,Règles_chevaux_trait[Ration]&amp;Règles_chevaux_trait[Aliment],0))="s2",IF($FD168=Spécificité2ChevauxTrait,1)),
INDEX(Règles_chevaux_trait[Specificite],MATCH(RationHivernaleAuPréChevauxTrait&amp;$FD168,Règles_chevaux_trait[Ration]&amp;Règles_chevaux_trait[Aliment],0))="c"),
INDEX(Règles_chevaux_trait[Valeur 24-36],MATCH(RationHivernaleAuPréChevauxTrait&amp;$FD168,Règles_chevaux_trait[Ration]&amp;Règles_chevaux_trait[Aliment],0)),0),0)*SUM(TotalChevauxTrait_24_36mois)*21)</f>
        <v>0</v>
      </c>
      <c r="FG168" s="1282">
        <f t="array" ref="FG168">IF(OR(ChoixRationHivernaleComplèteChevauxTrait=OUI,ChoixRationHivernaleComplèteChevauxTrait="",ChoixChevauxTraitPréHiver=NON),0,IFERROR(IF(OR(AND(INDEX(Règles_chevaux_trait[Specificite],MATCH(RationHivernaleAuPréChevauxTrait&amp;$FD168,Règles_chevaux_trait[Ration]&amp;Règles_chevaux_trait[Aliment],0))="s1",IF($FD168=Spécificité1ChevauxTrait,1)),
AND(INDEX(Règles_chevaux_trait[Specificite],MATCH(RationHivernaleAuPréChevauxTrait&amp;$FD168,Règles_chevaux_trait[Ration]&amp;Règles_chevaux_trait[Aliment],0))="s2",IF($FD168=Spécificité2ChevauxTrait,1)),
INDEX(Règles_chevaux_trait[Specificite],MATCH(RationHivernaleAuPréChevauxTrait&amp;$FD168,Règles_chevaux_trait[Ration]&amp;Règles_chevaux_trait[Aliment],0))="c"),
INDEX(Règles_chevaux_trait[Valeur 12-24],MATCH(RationHivernaleAuPréChevauxTrait&amp;$FD168,Règles_chevaux_trait[Ration]&amp;Règles_chevaux_trait[Aliment],0)),0),0)*SUM(TotalChevauxTrait_12_24mois)*21)</f>
        <v>0</v>
      </c>
      <c r="FH168" s="1285">
        <f t="array" ref="FH168">IF(OR(ChoixRationHivernaleComplèteChevauxTrait=OUI,ChoixRationHivernaleComplèteChevauxTrait="",ChoixChevauxTraitPréHiver=NON),0,IFERROR(IF(OR(AND(INDEX(Règles_chevaux_trait[Specificite],MATCH(RationHivernaleAuPréChevauxTrait&amp;$FD168,Règles_chevaux_trait[Ration]&amp;Règles_chevaux_trait[Aliment],0))="s1",IF($FD168=Spécificité1ChevauxTrait,1)),
AND(INDEX(Règles_chevaux_trait[Specificite],MATCH(RationHivernaleAuPréChevauxTrait&amp;$FD168,Règles_chevaux_trait[Ration]&amp;Règles_chevaux_trait[Aliment],0))="s2",IF($FD168=Spécificité2ChevauxTrait,1)),
INDEX(Règles_chevaux_trait[Specificite],MATCH(RationHivernaleAuPréChevauxTrait&amp;$FD168,Règles_chevaux_trait[Ration]&amp;Règles_chevaux_trait[Aliment],0))="c"),
INDEX(Règles_chevaux_trait[Valeur 0-12],MATCH(RationHivernaleAuPréChevauxTrait&amp;$FD168,Règles_chevaux_trait[Ration]&amp;Règles_chevaux_trait[Aliment],0)),0),0)*SUM(TotalPoulainsTrait)*21)</f>
        <v>0</v>
      </c>
      <c r="FI168" s="1285">
        <f t="shared" si="53"/>
        <v>0</v>
      </c>
      <c r="FJ168" s="1345"/>
      <c r="FK168" s="1345"/>
      <c r="FL168" s="1345"/>
      <c r="FM168" s="1321"/>
      <c r="FN168" s="1083" t="str">
        <f t="shared" si="54"/>
        <v>Soja</v>
      </c>
      <c r="FO168" s="1283">
        <f t="array" ref="FO168">IF(OR(ChoixRationHivernaleComplètePoneys=OUI,ChoixRationHivernaleComplètePoneys="",ChoixPoneysPréHiver=NON),0,IFERROR(IF(OR(AND(INDEX(Règles_poneys[Specificite],MATCH(RationHivernaleAuPréPoneys&amp;$FN168,Règles_poneys[Ration]&amp;Règles_poneys[Aliment],0))="s1",IF($FN168=Spécificité1Poneys,1)),
AND(INDEX(Règles_poneys[Specificite],MATCH(RationHivernaleAuPréPoneys&amp;$FN168,Règles_poneys[Ration]&amp;Règles_poneys[Aliment],0))="s2",IF($FN168=Spécificité2Poneys,1)),
INDEX(Règles_poneys[Specificite],MATCH(RationHivernaleAuPréPoneys&amp;$FN168,Règles_poneys[Ration]&amp;Règles_poneys[Aliment],0))="c"),
INDEX(Règles_poneys[Valeur 36 et plus],MATCH(RationHivernaleAuPréPoneys&amp;$FN168,Règles_poneys[Ration]&amp;Règles_poneys[Aliment],0)),0),0)*SUM(TotalPoneysAdultes)*21)</f>
        <v>0</v>
      </c>
      <c r="FP168" s="1283">
        <f t="array" ref="FP168">IF(OR(ChoixRationHivernaleComplètePoneys=OUI,ChoixRationHivernaleComplètePoneys="",ChoixPoneysPréHiver=NON),0,IFERROR(IF(OR(AND(INDEX(Règles_poneys[Specificite],MATCH(RationHivernaleAuPréPoneys&amp;$FN168,Règles_poneys[Ration]&amp;Règles_poneys[Aliment],0))="s1",IF($FN168=Spécificité1Poneys,1)),
AND(INDEX(Règles_poneys[Specificite],MATCH(RationHivernaleAuPréPoneys&amp;$FN168,Règles_poneys[Ration]&amp;Règles_poneys[Aliment],0))="s2",IF($FN168=Spécificité2Poneys,1)),
INDEX(Règles_poneys[Specificite],MATCH(RationHivernaleAuPréPoneys&amp;$FN168,Règles_poneys[Ration]&amp;Règles_poneys[Aliment],0))="c"),
INDEX(Règles_poneys[Valeur 24-36],MATCH(RationHivernaleAuPréPoneys&amp;$FN168,Règles_poneys[Ration]&amp;Règles_poneys[Aliment],0)),0),0)*SUM(TotalPoneys_24_36mois)*21)</f>
        <v>0</v>
      </c>
      <c r="FQ168" s="1283">
        <f t="array" ref="FQ168">IF(OR(ChoixRationHivernaleComplètePoneys=OUI,ChoixRationHivernaleComplètePoneys="",ChoixPoneysPréHiver=NON),0,IFERROR(IF(OR(AND(INDEX(Règles_poneys[Specificite],MATCH(RationHivernaleAuPréPoneys&amp;$FN168,Règles_poneys[Ration]&amp;Règles_poneys[Aliment],0))="s1",IF($FN168=Spécificité1Poneys,1)),
AND(INDEX(Règles_poneys[Specificite],MATCH(RationHivernaleAuPréPoneys&amp;$FN168,Règles_poneys[Ration]&amp;Règles_poneys[Aliment],0))="s2",IF($FN168=Spécificité2Poneys,1)),
INDEX(Règles_poneys[Specificite],MATCH(RationHivernaleAuPréPoneys&amp;$FN168,Règles_poneys[Ration]&amp;Règles_poneys[Aliment],0))="c"),
INDEX(Règles_poneys[Valeur 12-24],MATCH(RationHivernaleAuPréPoneys&amp;$FN168,Règles_poneys[Ration]&amp;Règles_poneys[Aliment],0)),0),0)*SUM(TotalPoneys_12_24mois)*21)</f>
        <v>0</v>
      </c>
      <c r="FR168" s="1286">
        <f t="array" ref="FR168">IF(OR(ChoixRationHivernaleComplètePoneys=OUI,ChoixRationHivernaleComplètePoneys="",ChoixPoneysPréHiver=NON),0,IFERROR(IF(OR(AND(INDEX(Règles_poneys[Specificite],MATCH(RationHivernaleAuPréPoneys&amp;$FN168,Règles_poneys[Ration]&amp;Règles_poneys[Aliment],0))="s1",IF($FN168=Spécificité1Poneys,1)),
AND(INDEX(Règles_poneys[Specificite],MATCH(RationHivernaleAuPréPoneys&amp;$FN168,Règles_poneys[Ration]&amp;Règles_poneys[Aliment],0))="s2",IF($FN168=Spécificité2Poneys,1)),
INDEX(Règles_poneys[Specificite],MATCH(RationHivernaleAuPréPoneys&amp;$FN168,Règles_poneys[Ration]&amp;Règles_poneys[Aliment],0))="c"),
INDEX(Règles_poneys[Valeur 0-12],MATCH(RationHivernaleAuPréPoneys&amp;$FN168,Règles_poneys[Ration]&amp;Règles_poneys[Aliment],0)),0),0)*SUM(TotalPoulainsPoneys)*21)</f>
        <v>0</v>
      </c>
      <c r="FS168" s="1286">
        <f t="shared" si="52"/>
        <v>0</v>
      </c>
      <c r="FT168" s="1345"/>
      <c r="FU168" s="1345"/>
      <c r="FV168" s="1345"/>
      <c r="FW168" s="1082" t="str">
        <f t="shared" si="49"/>
        <v>Triticale</v>
      </c>
      <c r="FX168" s="1282">
        <f t="array" ref="FX168">SUM((IF(QualitéAlimentsGavageOison_0_1_mois=BONNE,VLOOKUP("Triticale",AlimentsGavageOies[],5,FALSE),0)+(IF(QualitéAlimentsGavageCaneton_0_1_mois=BONNE,VLOOKUP("Triticale",AlimentsGavageCanards[],5,FALSE),0)+(IF(QualitéAlimentsGavageOison_1_2_mois=BONNE,VLOOKUP("Triticale",AlimentsGavageOies[],4,FALSE),0)+(IF(QualitéAlimentsGavageCaneton_1_2_mois=BONNE,VLOOKUP("Triticale",AlimentsGavageCanards[],4,FALSE),0)+(IF(QualitéAlimentsGavageOison_2_3_mois=BONNE,VLOOKUP("Triticale",AlimentsGavageOies[],3,FALSE),0)+(IF(QualitéAlimentsGavageCaneton_2_3_mois=BONNE,VLOOKUP("Triticale",AlimentsGavageCanards[],3,FALSE),0)+(IF(QualitéAlimentsGavageJeunesOies=BONNE,VLOOKUP("Triticale",AlimentsGavageOies[],2,FALSE),0)+(IF(QualitéAlimentsGavageJeuneCanard=BONNE,VLOOKUP("Triticale",AlimentsGavageCanards[],2,FALSE),0))))))))))</f>
        <v>0</v>
      </c>
      <c r="FY168" s="1282">
        <f t="array" ref="FY168">SUM((IF(QualitéAlimentsGavageOison_0_1_mois=MOYENNE,VLOOKUP("Triticale",AlimentsGavageOies[],5,FALSE),0)+(IF(QualitéAlimentsGavageCaneton_0_1_mois=MOYENNE,VLOOKUP("Triticale",AlimentsGavageCanards[],5,FALSE),0)+(IF(QualitéAlimentsGavageOison_1_2_mois=MOYENNE,VLOOKUP("Triticale",AlimentsGavageOies[],4,FALSE),0)+(IF(QualitéAlimentsGavageCaneton_1_2_mois=MOYENNE,VLOOKUP("Triticale",AlimentsGavageCanards[],4,FALSE),0)+(IF(QualitéAlimentsGavageOison_2_3_mois=MOYENNE,VLOOKUP("Triticale",AlimentsGavageOies[],3,FALSE),0)+(IF(QualitéAlimentsGavageCaneton_2_3_mois=MOYENNE,VLOOKUP("Triticale",AlimentsGavageCanards[],3,FALSE),0)+(IF(QualitéAlimentsGavageJeunesOies=MOYENNE,VLOOKUP("Triticale",AlimentsGavageOies[],2,FALSE),0)+(IF(QualitéAlimentsGavageJeuneCanard=MOYENNE,VLOOKUP("Triticale",AlimentsGavageCanards[],2,FALSE),0))))))))))</f>
        <v>0</v>
      </c>
      <c r="FZ168" s="1282">
        <f t="array" ref="FZ168">SUM((IF(QualitéAlimentsGavageOison_0_1_mois=MAUVAISE,VLOOKUP("Triticale",AlimentsGavageOies[],5,FALSE),0)+(IF(QualitéAlimentsGavageCaneton_0_1_mois=MAUVAISE,VLOOKUP("Triticale",AlimentsGavageCanards[],5,FALSE),0)+(IF(QualitéAlimentsGavageOison_1_2_mois=MAUVAISE,VLOOKUP("Triticale",AlimentsGavageOies[],4,FALSE),0)+(IF(QualitéAlimentsGavageCaneton_1_2_mois=MAUVAISE,VLOOKUP("Triticale",AlimentsGavageCanards[],4,FALSE),0)+(IF(QualitéAlimentsGavageOison_2_3_mois=MAUVAISE,VLOOKUP("Triticale",AlimentsGavageOies[],3,FALSE),0)+(IF(QualitéAlimentsGavageCaneton_2_3_mois=MAUVAISE,VLOOKUP("Triticale",AlimentsGavageCanards[],3,FALSE),0)+(IF(QualitéAlimentsGavageJeunesOies=MAUVAISE,VLOOKUP("Triticale",AlimentsGavageOies[],2,FALSE),0)+(IF(QualitéAlimentsGavageJeuneCanard=MAUVAISE,VLOOKUP("Triticale",AlimentsGavageCanards[],2,FALSE),0))))))))))</f>
        <v>0</v>
      </c>
      <c r="GA168" s="1345"/>
      <c r="GB168" s="1345"/>
      <c r="GC168" s="1321"/>
      <c r="GD168" s="1321"/>
      <c r="GE168" s="1321"/>
      <c r="GF168" s="1321"/>
      <c r="GG168" s="1321" t="s">
        <v>1349</v>
      </c>
      <c r="GH168" s="1321" t="s">
        <v>1349</v>
      </c>
      <c r="GI168" s="1321" t="s">
        <v>1349</v>
      </c>
      <c r="GJ168" s="1321" t="s">
        <v>1349</v>
      </c>
      <c r="GK168" s="1321" t="s">
        <v>1349</v>
      </c>
      <c r="GL168" s="1321" t="s">
        <v>1349</v>
      </c>
      <c r="GM168" s="1321" t="s">
        <v>1349</v>
      </c>
      <c r="GN168" s="1321" t="s">
        <v>1349</v>
      </c>
      <c r="GO168" s="1321" t="s">
        <v>1349</v>
      </c>
      <c r="GP168" s="1321" t="s">
        <v>1349</v>
      </c>
      <c r="GQ168" s="1321" t="s">
        <v>1349</v>
      </c>
      <c r="GR168" s="1321" t="s">
        <v>1349</v>
      </c>
      <c r="GS168" s="1321" t="s">
        <v>1349</v>
      </c>
      <c r="GT168" s="1321" t="s">
        <v>1349</v>
      </c>
      <c r="GU168" s="1321" t="s">
        <v>1349</v>
      </c>
      <c r="GV168" s="1321" t="s">
        <v>1349</v>
      </c>
      <c r="GW168" s="1321"/>
      <c r="GX168" s="1321"/>
      <c r="GY168" s="1321"/>
      <c r="GZ168" s="1321"/>
      <c r="HA168" s="1321"/>
      <c r="HB168" s="1321"/>
      <c r="HC168" s="1321"/>
      <c r="HD168" s="1321"/>
      <c r="HE168" s="1321"/>
      <c r="HF168" s="1321"/>
      <c r="HG168" s="1321"/>
      <c r="HH168" s="1321"/>
      <c r="HI168" s="1321"/>
      <c r="HJ168" s="1321"/>
      <c r="HK168" s="1321"/>
      <c r="HL168" s="1321"/>
      <c r="HM168" s="1321"/>
      <c r="HN168" s="1321"/>
      <c r="HO168" s="1321"/>
      <c r="HP168" s="1321"/>
      <c r="HQ168" s="1321"/>
      <c r="HR168" s="1321"/>
      <c r="HS168" s="1321"/>
      <c r="HT168" s="1321"/>
      <c r="HU168" s="1321"/>
      <c r="HV168" s="1321"/>
      <c r="HW168" s="1321"/>
      <c r="HX168" s="1321"/>
      <c r="HY168" s="1321"/>
      <c r="HZ168" s="1321"/>
      <c r="IA168" s="1321"/>
      <c r="IB168" s="1321"/>
      <c r="IC168" s="1321"/>
      <c r="ID168" s="1321"/>
      <c r="IE168" s="1321"/>
      <c r="IF168" s="1321"/>
      <c r="IG168" s="1321"/>
      <c r="IH168" s="1321"/>
      <c r="II168" s="1321"/>
      <c r="IJ168" s="1321"/>
      <c r="IK168" s="1321"/>
      <c r="IL168" s="1321"/>
      <c r="IM168" s="1321"/>
      <c r="IN168" s="1368"/>
    </row>
    <row r="169" spans="1:248" ht="12.75" customHeight="1" x14ac:dyDescent="0.2">
      <c r="A169" s="1307" t="s">
        <v>623</v>
      </c>
      <c r="B169" s="1209">
        <v>0.01</v>
      </c>
      <c r="C169" s="1321"/>
      <c r="D169" s="1253" t="s">
        <v>1796</v>
      </c>
      <c r="E169" s="1254">
        <v>10</v>
      </c>
      <c r="F169" s="1321"/>
      <c r="G169" s="1321"/>
      <c r="H169" s="1321"/>
      <c r="I169" s="1321"/>
      <c r="J169" s="1321"/>
      <c r="K169" s="1321"/>
      <c r="L169" s="1321"/>
      <c r="M169" s="1321"/>
      <c r="N169" s="1321"/>
      <c r="O169" s="1321"/>
      <c r="P169" s="1321"/>
      <c r="Q169" s="1321"/>
      <c r="R169" s="1321"/>
      <c r="S169" s="1321"/>
      <c r="T169" s="1321"/>
      <c r="U169" s="1321"/>
      <c r="V169" s="1321"/>
      <c r="W169" s="1321"/>
      <c r="X169" s="1321"/>
      <c r="Y169" s="1321"/>
      <c r="Z169" s="1321"/>
      <c r="AA169" s="1321"/>
      <c r="AB169" s="1321"/>
      <c r="AC169" s="1321"/>
      <c r="AD169" s="1321"/>
      <c r="AE169" s="1321"/>
      <c r="AF169" s="1321"/>
      <c r="AG169" s="1321"/>
      <c r="AH169" s="1321"/>
      <c r="AI169" s="1321"/>
      <c r="AJ169" s="1321"/>
      <c r="AK169" s="1321"/>
      <c r="AL169" s="1321"/>
      <c r="AM169" s="1321"/>
      <c r="AN169" s="1321"/>
      <c r="AO169" s="1321"/>
      <c r="AP169" s="1321"/>
      <c r="AQ169" s="1321"/>
      <c r="AR169" s="1321"/>
      <c r="AS169" s="1321"/>
      <c r="AT169" s="1321"/>
      <c r="AU169" s="1321"/>
      <c r="AV169" s="1321"/>
      <c r="AW169" s="1321"/>
      <c r="AX169" s="1321"/>
      <c r="AY169" s="1321"/>
      <c r="AZ169" s="1321"/>
      <c r="BA169" s="1321"/>
      <c r="BB169" s="1236" t="s">
        <v>1315</v>
      </c>
      <c r="BC169" s="1190" t="s">
        <v>63</v>
      </c>
      <c r="BD169" s="1190" t="s">
        <v>1254</v>
      </c>
      <c r="BE169" s="1237">
        <v>4.8</v>
      </c>
      <c r="BF169" s="1237">
        <v>4</v>
      </c>
      <c r="BG169" s="1237">
        <v>4</v>
      </c>
      <c r="BH169" s="1237">
        <v>4</v>
      </c>
      <c r="BI169" s="1237">
        <v>2</v>
      </c>
      <c r="BJ169" s="1237">
        <v>1.2</v>
      </c>
      <c r="BK169" s="1238">
        <v>0</v>
      </c>
      <c r="BL169" s="1348"/>
      <c r="BM169" s="1346"/>
      <c r="BN169" s="1321"/>
      <c r="BO169" s="1321"/>
      <c r="BP169" s="1321"/>
      <c r="BQ169" s="1321"/>
      <c r="BR169" s="1321"/>
      <c r="BS169" s="1321"/>
      <c r="BT169" s="1321"/>
      <c r="BU169" s="1321"/>
      <c r="BV169" s="1345"/>
      <c r="BW169" s="1345"/>
      <c r="BX169" s="1075" t="str">
        <f t="shared" si="57"/>
        <v>Ration complète</v>
      </c>
      <c r="BY169" s="1075">
        <f t="array" ref="BY169">IF(ChoixRationComplèteCaprins=OUI,0,IFERROR(IF(OR(AND(INDEX(Règles_caprins[Specificite],MATCH(ChoixRationCaprins&amp;$BX169,Règles_caprins[Ration]&amp;Règles_caprins[Aliment],0))="s1",IF($BX169=Spécificité1Caprins,1)),
INDEX(Règles_caprins[Specificite],MATCH(ChoixRationCaprins&amp;$BX169,Règles_caprins[Ration]&amp;Règles_caprins[Aliment],0))="c"),
INDEX(Règles_caprins[Valeur 12 et plus],MATCH(ChoixRationCaprins&amp;$BX169,Règles_caprins[Ration]&amp;Règles_caprins[Aliment],0)),0),0)*TotalChèvres*SUM(NbreJoursNourrirCaprins))</f>
        <v>0</v>
      </c>
      <c r="BZ169" s="1075">
        <f t="array" ref="BZ169">IF(ChoixRationComplèteCaprins=OUI,0,IFERROR(IF(OR(AND(INDEX(Règles_caprins[Specificite],MATCH(ChoixRationCaprins&amp;$BX169,Règles_caprins[Ration]&amp;Règles_caprins[Aliment],0))="s1",IF($BX169=Spécificité1Caprins,1)),
INDEX(Règles_caprins[Specificite],MATCH(ChoixRationCaprins&amp;$BX169,Règles_caprins[Ration]&amp;Règles_caprins[Aliment],0))="c"),
INDEX(Règles_caprins[Valeur 6-12],MATCH(ChoixRationCaprins&amp;$BX169,Règles_caprins[Ration]&amp;Règles_caprins[Aliment],0)),0),0)*jeune_chèvre_6_12_mois*SUM(NbreJoursNourrirCaprins))</f>
        <v>0</v>
      </c>
      <c r="CA169" s="1075">
        <f t="array" ref="CA169">IF(ChoixRationComplèteCaprins=OUI,0,IFERROR(IF(OR(AND(INDEX(Règles_caprins[Specificite],MATCH(ChoixRationCaprins&amp;$BX169,Règles_caprins[Ration]&amp;Règles_caprins[Aliment],0))="s1",IF($BX169=Spécificité1Caprins,1)),
INDEX(Règles_caprins[Specificite],MATCH(ChoixRationCaprins&amp;$BX169,Règles_caprins[Ration]&amp;Règles_caprins[Aliment],0))="c"),
INDEX(Règles_caprins[Valeur 3-6],MATCH(ChoixRationCaprins&amp;$BX169,Règles_caprins[Ration]&amp;Règles_caprins[Aliment],0)),0),0)*chevrette_3_6_mois*SUM(NbreJoursNourrirCaprins))</f>
        <v>0</v>
      </c>
      <c r="CB169" s="1075">
        <f t="array" ref="CB169">IF(ChoixRationComplèteCaprins=OUI,0,IFERROR(IF(OR(AND(INDEX(Règles_caprins[Specificite],MATCH(ChoixRationCaprins&amp;$BX169,Règles_caprins[Ration]&amp;Règles_caprins[Aliment],0))="s1",IF($BX169=Spécificité1Caprins,1)),
INDEX(Règles_caprins[Specificite],MATCH(ChoixRationCaprins&amp;$BX169,Règles_caprins[Ration]&amp;Règles_caprins[Aliment],0))="c"),
INDEX(Règles_caprins[Valeur 0-3],MATCH(ChoixRationCaprins&amp;$BX169,Règles_caprins[Ration]&amp;Règles_caprins[Aliment],0)),0),0)*chevrette_0_3_mois*SUM(NbreJoursNourrirCaprins))</f>
        <v>0</v>
      </c>
      <c r="CC169" s="1075">
        <f t="shared" si="56"/>
        <v>0</v>
      </c>
      <c r="CD169" s="1345"/>
      <c r="CE169" s="1345"/>
      <c r="CF169" s="1345"/>
      <c r="CG169" s="1345"/>
      <c r="CH169" s="1345"/>
      <c r="CI169" s="1321"/>
      <c r="CJ169" s="1076" t="str">
        <f t="shared" si="51"/>
        <v>Tourteau de colza</v>
      </c>
      <c r="CK169" s="1267">
        <f t="array" ref="CK169">SUM((IF(QualitéAlimentsPorceletMâle_0_1_mois=BONNE,VLOOKUP("Tourteau de colza",AlimentsRationPorcinsMâles[],6,FALSE),0)+(IF(QualitéAlimentsPorceletFemelle_0_1_mois=BONNE,VLOOKUP("Tourteau de colza",AlimentsRationPorcinsFemelles[],6,FALSE),0)+(IF(QualitéAlimentsPorceletMâle_1_3_mois=BONNE,VLOOKUP("Tourteau de colza",AlimentsRationPorcinsMâles[],5,FALSE),0)+(IF(QualitéAlimentsPorceletFemelle_1_3_mois=BONNE,VLOOKUP("Tourteau de colza",AlimentsRationPorcinsFemelles[],5,FALSE),0)+(IF(QualitéAlimentsJeuneVerrat_3_6_mois=BONNE,VLOOKUP("Tourteau de colza",AlimentsRationPorcinsMâles[],4,FALSE),0)+(IF(QualitéAlimentsJeuneTruie_3_6_mois=BONNE,VLOOKUP("Tourteau de colza",AlimentsRationPorcinsFemelles[],4,FALSE),0)+(IF(QualitéAlimentsJeuneVerrat_6_12_mois=BONNE,VLOOKUP("Tourteau de colza",AlimentsRationPorcinsMâles[],3,FALSE),0)+(IF(QualitéAlimentsJeuneTruie_6_12_mois=BONNE,VLOOKUP("Tourteau de colza",AlimentsRationPorcinsFemelles[],3,FALSE),0)+(IF(QualitéAlimentsVerrat=BONNE,VLOOKUP("Tourteau de colza",AlimentsRationPorcinsMâles[],2,FALSE),0)+(IF(QualitéAlimentsTruie=BONNE,VLOOKUP("Tourteau de colza",AlimentsRationPorcinsFemelles[],2,FALSE),0))))))))))))</f>
        <v>0</v>
      </c>
      <c r="CL169" s="1267">
        <f t="array" ref="CL169">SUM((IF(QualitéAlimentsPorceletMâle_0_1_mois=MOYENNE,VLOOKUP("Tourteau de colza",AlimentsRationPorcinsMâles[],6,FALSE),0)+(IF(QualitéAlimentsPorceletFemelle_0_1_mois=MOYENNE,VLOOKUP("Tourteau de colza",AlimentsRationPorcinsFemelles[],6,FALSE),0)+(IF(QualitéAlimentsPorceletMâle_1_3_mois=MOYENNE,VLOOKUP("Tourteau de colza",AlimentsRationPorcinsMâles[],5,FALSE),0)+(IF(QualitéAlimentsPorceletFemelle_1_3_mois=MOYENNE,VLOOKUP("Tourteau de colza",AlimentsRationPorcinsFemelles[],5,FALSE),0)+(IF(QualitéAlimentsJeuneVerrat_3_6_mois=MOYENNE,VLOOKUP("Tourteau de colza",AlimentsRationPorcinsMâles[],4,FALSE),0)+(IF(QualitéAlimentsJeuneTruie_3_6_mois=MOYENNE,VLOOKUP("Tourteau de colza",AlimentsRationPorcinsFemelles[],4,FALSE),0)+(IF(QualitéAlimentsJeuneVerrat_6_12_mois=MOYENNE,VLOOKUP("Tourteau de colza",AlimentsRationPorcinsMâles[],3,FALSE),0)+(IF(QualitéAlimentsJeuneTruie_6_12_mois=MOYENNE,VLOOKUP("Tourteau de colza",AlimentsRationPorcinsFemelles[],3,FALSE),0)+(IF(QualitéAlimentsVerrat=MOYENNE,VLOOKUP("Tourteau de colza",AlimentsRationPorcinsMâles[],2,FALSE),0)+(IF(QualitéAlimentsTruie=MOYENNE,VLOOKUP("Tourteau de colza",AlimentsRationPorcinsFemelles[],2,FALSE),0))))))))))))</f>
        <v>0</v>
      </c>
      <c r="CM169" s="1267">
        <f t="array" ref="CM169">SUM((IF(QualitéAlimentsPorceletMâle_0_1_mois=MAUVAISE,VLOOKUP("Tourteau de colza",AlimentsRationPorcinsMâles[],6,FALSE),0)+(IF(QualitéAlimentsPorceletFemelle_0_1_mois=MAUVAISE,VLOOKUP("Tourteau de colza",AlimentsRationPorcinsFemelles[],6,FALSE),0)+(IF(QualitéAlimentsPorceletMâle_1_3_mois=MAUVAISE,VLOOKUP("Tourteau de colza",AlimentsRationPorcinsMâles[],5,FALSE),0)+(IF(QualitéAlimentsPorceletFemelle_1_3_mois=MAUVAISE,VLOOKUP("Tourteau de colza",AlimentsRationPorcinsFemelles[],5,FALSE),0)+(IF(QualitéAlimentsJeuneVerrat_3_6_mois=MAUVAISE,VLOOKUP("Tourteau de colza",AlimentsRationPorcinsMâles[],4,FALSE),0)+(IF(QualitéAlimentsJeuneTruie_3_6_mois=MAUVAISE,VLOOKUP("Tourteau de colza",AlimentsRationPorcinsFemelles[],4,FALSE),0)+(IF(QualitéAlimentsJeuneVerrat_6_12_mois=MAUVAISE,VLOOKUP("Tourteau de colza",AlimentsRationPorcinsMâles[],3,FALSE),0)+(IF(QualitéAlimentsJeuneTruie_6_12_mois=MAUVAISE,VLOOKUP("Tourteau de colza",AlimentsRationPorcinsFemelles[],3,FALSE),0)+(IF(QualitéAlimentsVerrat=MAUVAISE,VLOOKUP("Tourteau de colza",AlimentsRationPorcinsMâles[],2,FALSE),0)+(IF(QualitéAlimentsTruie=MAUVAISE,VLOOKUP("Tourteau de colza",AlimentsRationPorcinsFemelles[],2,FALSE),0))))))))))))</f>
        <v>0</v>
      </c>
      <c r="CN169" s="1320"/>
      <c r="CO169" s="1321"/>
      <c r="CP169" s="1321"/>
      <c r="CQ169" s="1321"/>
      <c r="CR169" s="1321"/>
      <c r="CS169" s="1076" t="str">
        <f t="shared" si="66"/>
        <v>Foin</v>
      </c>
      <c r="CT169" s="1267">
        <f t="array" ref="CT169">SUM((IF(QualitéAlimentsLapereauMâle_0_1_mois=BONNE,VLOOKUP("Foin",AlimentsRationLapinsMâles[],4,FALSE),0)+(IF(QualitéAlimentsLapereauFemelle_0_1_mois=BONNE,VLOOKUP("Foin",AlimentsRationLapinsFemelles[],4,FALSE),0)+(IF(QualitéAlimentsJeuneLapin=BONNE,VLOOKUP("Foin",AlimentsRationLapinsMâles[],3,FALSE),0)+(IF(QualitéAlimentsJeuneLapine=BONNE,VLOOKUP("Foin",AlimentsRationLapinsFemelles[],3,FALSE),0)+(IF(QualitéAlimentsLapin=BONNE,VLOOKUP("Foin",AlimentsRationLapinsMâles[],2,FALSE),0)+(IF(QualitéAlimentsLapine=BONNE,VLOOKUP("Foin",AlimentsRationLapinsFemelles[],2,FALSE),0))))))))</f>
        <v>0</v>
      </c>
      <c r="CU169" s="1267">
        <f t="array" ref="CU169">SUM((IF(QualitéAlimentsLapereauMâle_0_1_mois=MOYENNE,VLOOKUP("Foin",AlimentsRationLapinsMâles[],4,FALSE),0)+(IF(QualitéAlimentsLapereauFemelle_0_1_mois=MOYENNE,VLOOKUP("Foin",AlimentsRationLapinsFemelles[],4,FALSE),0)+(IF(QualitéAlimentsJeuneLapin=MOYENNE,VLOOKUP("Foin",AlimentsRationLapinsMâles[],3,FALSE),0)+(IF(QualitéAlimentsJeuneLapine=MOYENNE,VLOOKUP("Foin",AlimentsRationLapinsFemelles[],3,FALSE),0)+(IF(QualitéAlimentsLapin=MOYENNE,VLOOKUP("Foin",AlimentsRationLapinsMâles[],2,FALSE),0)+(IF(QualitéAlimentsLapine=MOYENNE,VLOOKUP("Foin",AlimentsRationLapinsFemelles[],2,FALSE),0))))))))</f>
        <v>0</v>
      </c>
      <c r="CV169" s="1267">
        <f t="array" ref="CV169">SUM((IF(QualitéAlimentsLapereauMâle_0_1_mois=MAUVAISE,VLOOKUP("Foin",AlimentsRationLapinsMâles[],4,FALSE),0)+(IF(QualitéAlimentsLapereauFemelle_0_1_mois=MAUVAISE,VLOOKUP("Foin",AlimentsRationLapinsFemelles[],4,FALSE),0)+(IF(QualitéAlimentsJeuneLapin=MAUVAISE,VLOOKUP("Foin",AlimentsRationLapinsMâles[],3,FALSE),0)+(IF(QualitéAlimentsJeuneLapine=MAUVAISE,VLOOKUP("Foin",AlimentsRationLapinsFemelles[],3,FALSE),0)+(IF(QualitéAlimentsLapin=MAUVAISE,VLOOKUP("Foin",AlimentsRationLapinsMâles[],2,FALSE),0)+(IF(QualitéAlimentsLapine=MAUVAISE,VLOOKUP("Foin",AlimentsRationLapinsFemelles[],2,FALSE),0))))))))</f>
        <v>0</v>
      </c>
      <c r="CW169" s="1321"/>
      <c r="CX169" s="1321"/>
      <c r="CY169" s="1321"/>
      <c r="CZ169" s="1075" t="str">
        <f t="shared" si="65"/>
        <v>Haricot vert</v>
      </c>
      <c r="DA169" s="1269">
        <f t="array" ref="DA169">SUM((IF(QualitéAlimentsPoussinMâle_0_1_mois=BONNE,VLOOKUP("Haricot vert",AlimentsRationVolaillesMâles[],4,FALSE),0)+(IF(QualitéAlimentsPoussinFemelle_0_1_mois=BONNE,VLOOKUP("Haricot vert",AlimentsRationVolaillesFemelles[],4,FALSE),0)+(IF(QualitéAlimentsJeuneCoq=BONNE,VLOOKUP("Haricot vert",AlimentsRationVolaillesMâles[],3,FALSE),0)+(IF(QualitéAlimentsJeunePoule=BONNE,VLOOKUP("Haricot vert",AlimentsRationVolaillesFemelles[],3,FALSE),0)+(IF(QualitéAlimentsCoq=BONNE,VLOOKUP("Haricot vert",AlimentsRationVolaillesMâles[],2,FALSE),0)+(IF(QualitéAlimentsPoule=BONNE,VLOOKUP("Haricot vert",AlimentsRationVolaillesFemelles[],2,FALSE),0))))))))</f>
        <v>0</v>
      </c>
      <c r="DB169" s="1269">
        <f t="array" ref="DB169">SUM((IF(QualitéAlimentsPoussinMâle_0_1_mois=MOYENNE,VLOOKUP("Haricot vert",AlimentsRationVolaillesMâles[],4,FALSE),0)+(IF(QualitéAlimentsPoussinFemelle_0_1_mois=MOYENNE,VLOOKUP("Haricot vert",AlimentsRationVolaillesFemelles[],4,FALSE),0)+(IF(QualitéAlimentsJeuneCoq=MOYENNE,VLOOKUP("Haricot vert",AlimentsRationVolaillesMâles[],3,FALSE),0)+(IF(QualitéAlimentsJeunePoule=MOYENNE,VLOOKUP("Haricot vert",AlimentsRationVolaillesFemelles[],3,FALSE),0)+(IF(QualitéAlimentsCoq=MOYENNE,VLOOKUP("Haricot vert",AlimentsRationVolaillesMâles[],2,FALSE),0)+(IF(QualitéAlimentsPoule=MOYENNE,VLOOKUP("Haricot vert",AlimentsRationVolaillesFemelles[],2,FALSE),0))))))))</f>
        <v>0</v>
      </c>
      <c r="DC169" s="1269">
        <f t="array" ref="DC169">SUM((IF(QualitéAlimentsPoussinMâle_0_1_mois=MAUVAISE,VLOOKUP("Haricot vert",AlimentsRationVolaillesMâles[],4,FALSE),0)+(IF(QualitéAlimentsPoussinFemelle_0_1_mois=MAUVAISE,VLOOKUP("Haricot vert",AlimentsRationVolaillesFemelles[],4,FALSE),0)+(IF(QualitéAlimentsJeuneCoq=MAUVAISE,VLOOKUP("Haricot vert",AlimentsRationVolaillesMâles[],3,FALSE),0)+(IF(QualitéAlimentsJeunePoule=MAUVAISE,VLOOKUP("Haricot vert",AlimentsRationVolaillesFemelles[],3,FALSE),0)+(IF(QualitéAlimentsCoq=MAUVAISE,VLOOKUP("Haricot vert",AlimentsRationVolaillesMâles[],2,FALSE),0)+(IF(QualitéAlimentsPoule=MAUVAISE,VLOOKUP("Haricot vert",AlimentsRationVolaillesFemelles[],2,FALSE),0))))))))</f>
        <v>0</v>
      </c>
      <c r="DD169" s="1320"/>
      <c r="DE169" s="1321"/>
      <c r="DF169" s="1321"/>
      <c r="DG169" s="1075" t="str">
        <f t="shared" si="58"/>
        <v>Ration complète</v>
      </c>
      <c r="DH169" s="1269">
        <f>IF(ChoixRationComplètePintades&lt;&gt;OUI,0,IF(QualitéRationComplètePintades=BONNE,Ration_complète_pintades[somme],0))</f>
        <v>0</v>
      </c>
      <c r="DI169" s="1269">
        <f>IF(ChoixRationComplètePintades&lt;&gt;OUI,0,IF(QualitéRationComplètePintades=MOYENNE,Ration_complète_pintades[somme],0))</f>
        <v>0</v>
      </c>
      <c r="DJ169" s="1269">
        <f>IF(ChoixRationComplètePintades&lt;&gt;OUI,0,IF(QualitéRationComplètePintades=MAUVAISE,Ration_complète_pintades[somme],0))</f>
        <v>0</v>
      </c>
      <c r="DK169" s="1321"/>
      <c r="DL169" s="1321"/>
      <c r="DM169" s="1321"/>
      <c r="DN169" s="1075" t="s">
        <v>1271</v>
      </c>
      <c r="DO169" s="1269">
        <f t="array" ref="DO169">IF(ChoixRationComplèteOvins=OUI,0,IFERROR(IF(OR(AND(INDEX(Règles_ovins[Specificite],MATCH(ChoixRationOvins&amp;$DN169,Règles_ovins[Ration]&amp;Règles_ovins[Aliment],0))="s1",IF($DN169=Spécificité1Ovins,1)),
AND(INDEX(Règles_ovins[Specificite],MATCH(ChoixRationOvins&amp;$DN169,Règles_ovins[Ration]&amp;Règles_ovins[Aliment],0))="s2",IF($DN169=Spécificité2Ovins,1)),
INDEX(Règles_ovins[Specificite],MATCH(ChoixRationOvins&amp;$DN169,Règles_ovins[Ration]&amp;Règles_ovins[Aliment],0))="c"),
INDEX(Règles_ovins[Valeur 12 et plus],MATCH(ChoixRationOvins&amp;$DN169,Règles_ovins[Ration]&amp;Règles_ovins[Aliment],0)),0),0)*IF(ChoixOvinsPréHiver=OUI,SUM(TotalOvinsAdultesRacesLaitières)*NbreJoursNourrirOvins,TotalBéliers*SUM(NbreJoursNourrirOvins)))</f>
        <v>0</v>
      </c>
      <c r="DP169" s="1269">
        <f t="array" ref="DP169">IF(ChoixRationComplèteOvins=OUI,0,IFERROR(IF(OR(AND(INDEX(Règles_ovins[Specificite],MATCH(ChoixRationOvins&amp;$DN169,Règles_ovins[Ration]&amp;Règles_ovins[Aliment],0))="s1",IF($DN169=Spécificité1Ovins,1)),
AND(INDEX(Règles_ovins[Specificite],MATCH(ChoixRationOvins&amp;$DN169,Règles_ovins[Ration]&amp;Règles_ovins[Aliment],0))="s2",IF($DN169=Spécificité2Ovins,1)),
INDEX(Règles_ovins[Specificite],MATCH(ChoixRationOvins&amp;$DN169,Règles_ovins[Ration]&amp;Règles_ovins[Aliment],0))="c"),
INDEX(Règles_ovins[Valeur 6-12],MATCH(ChoixRationOvins&amp;$DN169,Règles_ovins[Ration]&amp;Règles_ovins[Aliment],0)),0),0)*IF(ChoixOvinsPréHiver=OUI,SUM(TotalJeunesOvinsRacesLaitières)*NbreJoursNourrirOvins,TotalJeune_bélier_6_12_mois*SUM(NbreJoursNourrirOvins)))</f>
        <v>0</v>
      </c>
      <c r="DQ169" s="1269">
        <f t="array" ref="DQ169">IF(ChoixRationComplèteOvins=OUI,0,IFERROR(IF(OR(AND(INDEX(Règles_ovins[Specificite],MATCH(ChoixRationOvins&amp;$DN169,Règles_ovins[Ration]&amp;Règles_ovins[Aliment],0))="s1",IF($DN169=Spécificité1Ovins,1)),
AND(INDEX(Règles_ovins[Specificite],MATCH(ChoixRationOvins&amp;$DN169,Règles_ovins[Ration]&amp;Règles_ovins[Aliment],0))="s2",IF($DN169=Spécificité2Ovins,1)),
INDEX(Règles_ovins[Specificite],MATCH(ChoixRationOvins&amp;$DN169,Règles_ovins[Ration]&amp;Règles_ovins[Aliment],0))="c"),
INDEX(Règles_ovins[Valeur 3-6],MATCH(ChoixRationOvins&amp;$DN169,Règles_ovins[Ration]&amp;Règles_ovins[Aliment],0)),0),0)*IF(ChoixOvinsPréHiver=OUI,SUM(TotalOvins_3_6moisRacesLaitières)*NbreJoursNourrirOvins,TotalAgneau_3_6_mois*SUM(NbreJoursNourrirOvins)))</f>
        <v>0</v>
      </c>
      <c r="DR169" s="1269">
        <f t="array" ref="DR169">IF(ChoixRationComplèteOvins=OUI,0,IFERROR(IF(OR(AND(INDEX(Règles_ovins[Specificite],MATCH(ChoixRationOvins&amp;$DN169,Règles_ovins[Ration]&amp;Règles_ovins[Aliment],0))="s1",IF($DN169=Spécificité1Ovins,1)),
AND(INDEX(Règles_ovins[Specificite],MATCH(ChoixRationOvins&amp;$DN169,Règles_ovins[Ration]&amp;Règles_ovins[Aliment],0))="s2",IF($DN169=Spécificité2Ovins,1)),
INDEX(Règles_ovins[Specificite],MATCH(ChoixRationOvins&amp;$DN169,Règles_ovins[Ration]&amp;Règles_ovins[Aliment],0))="c"),
INDEX(Règles_ovins[Valeur 0-3],MATCH(ChoixRationOvins&amp;$DN169,Règles_ovins[Ration]&amp;Règles_ovins[Aliment],0)),0),0)*IF(ChoixOvinsPréHiver=OUI,SUM(TotalOvins_3_6moisRacesLaitières)*NbreJoursNourrirOvins,TotalAgneau_0_3_mois*SUM(NbreJoursNourrirOvins)))</f>
        <v>0</v>
      </c>
      <c r="DS169" s="1280">
        <f t="shared" si="61"/>
        <v>0</v>
      </c>
      <c r="DT169" s="1346"/>
      <c r="DU169" s="1346"/>
      <c r="DV169" s="1321"/>
      <c r="DW169" s="1321"/>
      <c r="DX169" s="1321"/>
      <c r="DY169" s="1321"/>
      <c r="DZ169" s="1321"/>
      <c r="EA169" s="1321"/>
      <c r="EB169" s="1321"/>
      <c r="EC169" s="1321"/>
      <c r="ED169" s="1345"/>
      <c r="EE169" s="1345"/>
      <c r="EF169" s="1321"/>
      <c r="EG169" s="1075" t="str">
        <f t="shared" si="63"/>
        <v>Minéraux + vitamines</v>
      </c>
      <c r="EH169" s="1269">
        <f t="array" ref="EH169">SUM((IF(QualitéAlimentsOisonMâle_0_3_mois=BONNE,VLOOKUP("Minéraux + vitamines",AlimentsRationOiesMâles[],4,FALSE),0)+(IF(QualitéAlimentsOisonFemelle_0_3_mois=BONNE,VLOOKUP("Minéraux + vitamines",AlimentsRationOiesFemelles[],4,FALSE),0)+(IF(QualitéAlimentsJeuneJars=BONNE,VLOOKUP("Minéraux + vitamines",AlimentsRationOiesMâles[],3,FALSE),0)+(IF(QualitéAlimentsJeuneOie=BONNE,VLOOKUP("Minéraux + vitamines",AlimentsRationOiesFemelles[],3,FALSE),0)+(IF(QualitéAlimentsJars=BONNE,VLOOKUP("Minéraux + vitamines",AlimentsRationOiesMâles[],2,FALSE),0)+(IF(QualitéAlimentsOie=BONNE,VLOOKUP("Minéraux + vitamines",AlimentsRationOiesFemelles[],2,FALSE),0))))))))</f>
        <v>0</v>
      </c>
      <c r="EI169" s="1269">
        <f t="array" ref="EI169">SUM((IF(QualitéAlimentsOisonMâle_0_3_mois=MOYENNE,VLOOKUP("Minéraux + vitamines",AlimentsRationOiesMâles[],4,FALSE),0)+(IF(QualitéAlimentsOisonFemelle_0_3_mois=MOYENNE,VLOOKUP("Minéraux + vitamines",AlimentsRationOiesFemelles[],4,FALSE),0)+(IF(QualitéAlimentsJeuneJars=MOYENNE,VLOOKUP("Minéraux + vitamines",AlimentsRationOiesMâles[],3,FALSE),0)+(IF(QualitéAlimentsJeuneOie=MOYENNE,VLOOKUP("Minéraux + vitamines",AlimentsRationOiesFemelles[],3,FALSE),0)+(IF(QualitéAlimentsJars=MOYENNE,VLOOKUP("Minéraux + vitamines",AlimentsRationOiesMâles[],2,FALSE),0)+(IF(QualitéAlimentsOie=MOYENNE,VLOOKUP("Minéraux + vitamines",AlimentsRationOiesFemelles[],2,FALSE),0))))))))</f>
        <v>0</v>
      </c>
      <c r="EJ169" s="1269">
        <f t="array" ref="EJ169">SUM((IF(QualitéAlimentsOisonMâle_0_3_mois=MAUVAISE,VLOOKUP("Minéraux + vitamines",AlimentsRationOiesMâles[],4,FALSE),0)+(IF(QualitéAlimentsOisonFemelle_0_3_mois=MAUVAISE,VLOOKUP("Minéraux + vitamines",AlimentsRationOiesFemelles[],4,FALSE),0)+(IF(QualitéAlimentsJeuneJars=MAUVAISE,VLOOKUP("Minéraux + vitamines",AlimentsRationOiesMâles[],3,FALSE),0)+(IF(QualitéAlimentsJeuneOie=MAUVAISE,VLOOKUP("Minéraux + vitamines",AlimentsRationOiesFemelles[],3,FALSE),0)+(IF(QualitéAlimentsJars=MAUVAISE,VLOOKUP("Minéraux + vitamines",AlimentsRationOiesMâles[],2,FALSE),0)+(IF(QualitéAlimentsOie=MAUVAISE,VLOOKUP("Minéraux + vitamines",AlimentsRationOiesFemelles[],2,FALSE),0))))))))</f>
        <v>0</v>
      </c>
      <c r="EK169" s="1345"/>
      <c r="EL169" s="1345"/>
      <c r="EM169" s="1321"/>
      <c r="EN169" s="1082" t="str">
        <f t="shared" si="62"/>
        <v>Orge</v>
      </c>
      <c r="EO169" s="1282">
        <f t="array" ref="EO169">SUM((IF(QualitéAlimentsCanetonMâle=BONNE,VLOOKUP("Orge",AlimentsRationCanardsMâles,4,FALSE),0)+(IF(QualitéAlimentsCanetonFemelle=BONNE,VLOOKUP("Orge",AlimentsRationCanardsFemelles,4,FALSE),0)+(IF(QualitéAlimentsJeuneCanard=BONNE,VLOOKUP("Orge",AlimentsRationCanardsMâles,3,FALSE),0)+(IF(QualitéAlimentsJeuneCane=BONNE,VLOOKUP("Orge",AlimentsRationCanardsFemelles,3,FALSE),0)+(IF(QualitéAlimentsCanard=BONNE,VLOOKUP("Orge",AlimentsRationCanardsMâles,2,FALSE),0)+(IF(QualitéAlimentsCane=BONNE,VLOOKUP("Orge",AlimentsRationCanardsFemelles,2,FALSE),0))))))))</f>
        <v>0</v>
      </c>
      <c r="EP169" s="1282">
        <f t="array" ref="EP169">SUM((IF(QualitéAlimentsCanetonMâle=MOYENNE,VLOOKUP("Orge",AlimentsRationCanardsMâles,4,FALSE),0)+(IF(QualitéAlimentsCanetonFemelle=MOYENNE,VLOOKUP("Orge",AlimentsRationCanardsFemelles,4,FALSE),0)+(IF(QualitéAlimentsJeuneCanard=MOYENNE,VLOOKUP("Orge",AlimentsRationCanardsMâles,3,FALSE),0)+(IF(QualitéAlimentsJeuneCane=MOYENNE,VLOOKUP("Orge",AlimentsRationCanardsFemelles,3,FALSE),0)+(IF(QualitéAlimentsCanard=MOYENNE,VLOOKUP("Orge",AlimentsRationCanardsMâles,2,FALSE),0)+(IF(QualitéAlimentsCane=MOYENNE,VLOOKUP("Orge",AlimentsRationCanardsFemelles,2,FALSE),0))))))))</f>
        <v>0</v>
      </c>
      <c r="EQ169" s="1282">
        <f t="array" ref="EQ169">SUM((IF(QualitéAlimentsCanetonMâle=MAUVAISE,VLOOKUP("Orge",AlimentsRationCanardsMâles,4,FALSE),0)+(IF(QualitéAlimentsCanetonFemelle=MAUVAISE,VLOOKUP("Orge",AlimentsRationCanardsFemelles,4,FALSE),0)+(IF(QualitéAlimentsJeuneCanard=MAUVAISE,VLOOKUP("Orge",AlimentsRationCanardsMâles,3,FALSE),0)+(IF(QualitéAlimentsJeuneCane=MAUVAISE,VLOOKUP("Orge",AlimentsRationCanardsFemelles,3,FALSE),0)+(IF(QualitéAlimentsCanard=MAUVAISE,VLOOKUP("Orge",AlimentsRationCanardsMâles,2,FALSE),0)+(IF(QualitéAlimentsCane=MAUVAISE,VLOOKUP("Orge",AlimentsRationCanardsFemelles,2,FALSE),0))))))))</f>
        <v>0</v>
      </c>
      <c r="ER169" s="1345"/>
      <c r="ES169" s="1345"/>
      <c r="ET169" s="1321"/>
      <c r="EU169" s="1083" t="str">
        <f t="shared" si="60"/>
        <v>Paille</v>
      </c>
      <c r="EV169" s="1283">
        <f t="array" ref="EV169">IF(OR(ChoixRationHivernaleComplèteChevauxSelle=OUI,ChoixRationHivernaleComplèteChevauxSelle="",ChoixChevauxSellePréHiver=NON),0,IFERROR(IF(OR(AND(INDEX(Règles_chevaux_selle[Specificite],MATCH(RationHivernaleAuPréChevauxSelle&amp;$EU169,Règles_chevaux_selle[Ration]&amp;Règles_chevaux_selle[Aliment],0))="s1",IF($EU169=Spécificité1ChevauxSelle,1)),
AND(INDEX(Règles_chevaux_selle[Specificite],MATCH(RationHivernaleAuPréChevauxSelle&amp;$EU169,Règles_chevaux_selle[Ration]&amp;Règles_chevaux_selle[Aliment],0))="s2",IF($EU169=Spécificité2ChevauxSelle,1)),
INDEX(Règles_chevaux_selle[Specificite],MATCH(RationHivernaleAuPréChevauxSelle&amp;$EU169,Règles_chevaux_selle[Ration]&amp;Règles_chevaux_selle[Aliment],0))="c"),
INDEX(Règles_chevaux_selle[Valeur 36 et plus],MATCH(RationHivernaleAuPréChevauxSelle&amp;$EU169,Règles_chevaux_selle[Ration]&amp;Règles_chevaux_selle[Aliment],0)),0),0)*SUM(TotalChevauxSelleAdultes)*21)</f>
        <v>0</v>
      </c>
      <c r="EW169" s="1283">
        <f t="array" ref="EW169">IF(OR(ChoixRationHivernaleComplèteChevauxSelle=OUI,ChoixRationHivernaleComplèteChevauxSelle="",ChoixChevauxSellePréHiver=NON),0,IFERROR(IF(OR(AND(INDEX(Règles_chevaux_selle[Specificite],MATCH(RationHivernaleAuPréChevauxSelle&amp;$EU169,Règles_chevaux_selle[Ration]&amp;Règles_chevaux_selle[Aliment],0))="s1",IF($EU169=Spécificité1ChevauxSelle,1)),
AND(INDEX(Règles_chevaux_selle[Specificite],MATCH(RationHivernaleAuPréChevauxSelle&amp;$EU169,Règles_chevaux_selle[Ration]&amp;Règles_chevaux_selle[Aliment],0))="s2",IF($EU169=Spécificité2ChevauxSelle,1)),
INDEX(Règles_chevaux_selle[Specificite],MATCH(RationHivernaleAuPréChevauxSelle&amp;$EU169,Règles_chevaux_selle[Ration]&amp;Règles_chevaux_selle[Aliment],0))="c"),
INDEX(Règles_chevaux_selle[Valeur 24-36],MATCH(RationHivernaleAuPréChevauxSelle&amp;$EU169,Règles_chevaux_selle[Ration]&amp;Règles_chevaux_selle[Aliment],0)),0),0)*SUM(TotalChevauxSelle_24_36mois)*21)</f>
        <v>0</v>
      </c>
      <c r="EX169" s="1283">
        <f t="array" ref="EX169">IF(OR(ChoixRationHivernaleComplèteChevauxSelle=OUI,ChoixRationHivernaleComplèteChevauxSelle="",ChoixChevauxSellePréHiver=NON),0,IFERROR(IF(OR(AND(INDEX(Règles_chevaux_selle[Specificite],MATCH(RationHivernaleAuPréChevauxSelle&amp;$EU169,Règles_chevaux_selle[Ration]&amp;Règles_chevaux_selle[Aliment],0))="s1",IF($EU169=Spécificité1ChevauxSelle,1)),
AND(INDEX(Règles_chevaux_selle[Specificite],MATCH(RationHivernaleAuPréChevauxSelle&amp;$EU169,Règles_chevaux_selle[Ration]&amp;Règles_chevaux_selle[Aliment],0))="s2",IF($EU169=Spécificité2ChevauxSelle,1)),
INDEX(Règles_chevaux_selle[Specificite],MATCH(RationHivernaleAuPréChevauxSelle&amp;$EU169,Règles_chevaux_selle[Ration]&amp;Règles_chevaux_selle[Aliment],0))="c"),
INDEX(Règles_chevaux_selle[Valeur 12-24],MATCH(RationHivernaleAuPréChevauxSelle&amp;$EU169,Règles_chevaux_selle[Ration]&amp;Règles_chevaux_selle[Aliment],0)),0),0)*SUM(TotalChevauxSelle_12_24mois)*21)</f>
        <v>0</v>
      </c>
      <c r="EY169" s="1286">
        <f t="array" ref="EY169">IF(OR(ChoixRationHivernaleComplèteChevauxSelle=OUI,ChoixRationHivernaleComplèteChevauxSelle="",ChoixChevauxSellePréHiver=NON),0,IFERROR(IF(OR(AND(INDEX(Règles_chevaux_selle[Specificite],MATCH(RationHivernaleAuPréChevauxSelle&amp;$EU169,Règles_chevaux_selle[Ration]&amp;Règles_chevaux_selle[Aliment],0))="s1",IF($EU169=Spécificité1ChevauxSelle,1)),
AND(INDEX(Règles_chevaux_selle[Specificite],MATCH(RationHivernaleAuPréChevauxSelle&amp;$EU169,Règles_chevaux_selle[Ration]&amp;Règles_chevaux_selle[Aliment],0))="s2",IF($EU169=Spécificité2ChevauxSelle,1)),
INDEX(Règles_chevaux_selle[Specificite],MATCH(RationHivernaleAuPréChevauxSelle&amp;$EU169,Règles_chevaux_selle[Ration]&amp;Règles_chevaux_selle[Aliment],0))="c"),
INDEX(Règles_chevaux_selle[Valeur 0-12],MATCH(RationHivernaleAuPréChevauxSelle&amp;$EU169,Règles_chevaux_selle[Ration]&amp;Règles_chevaux_selle[Aliment],0)),0),0)*SUM(TotalPoulainsSelle)*21)</f>
        <v>0</v>
      </c>
      <c r="EZ169" s="1286">
        <f t="shared" si="59"/>
        <v>0</v>
      </c>
      <c r="FA169" s="1345"/>
      <c r="FB169" s="1345"/>
      <c r="FC169" s="1321"/>
      <c r="FD169" s="1083" t="str">
        <f t="shared" si="55"/>
        <v>Soja</v>
      </c>
      <c r="FE169" s="1283">
        <f t="array" ref="FE169">IF(OR(ChoixRationHivernaleComplèteChevauxTrait=OUI,ChoixRationHivernaleComplèteChevauxTrait="",ChoixChevauxTraitPréHiver=NON),0,IFERROR(IF(OR(AND(INDEX(Règles_chevaux_trait[Specificite],MATCH(RationHivernaleAuPréChevauxTrait&amp;$FD169,Règles_chevaux_trait[Ration]&amp;Règles_chevaux_trait[Aliment],0))="s1",IF($FD169=Spécificité1ChevauxTrait,1)),
AND(INDEX(Règles_chevaux_trait[Specificite],MATCH(RationHivernaleAuPréChevauxTrait&amp;$FD169,Règles_chevaux_trait[Ration]&amp;Règles_chevaux_trait[Aliment],0))="s2",IF($FD169=Spécificité2ChevauxTrait,1)),
INDEX(Règles_chevaux_trait[Specificite],MATCH(RationHivernaleAuPréChevauxTrait&amp;$FD169,Règles_chevaux_trait[Ration]&amp;Règles_chevaux_trait[Aliment],0))="c"),
INDEX(Règles_chevaux_trait[Valeur 36 et plus],MATCH(RationHivernaleAuPréChevauxTrait&amp;$FD169,Règles_chevaux_trait[Ration]&amp;Règles_chevaux_trait[Aliment],0)),0),0)*SUM(TotalChevauxTraitAdultes)*21)</f>
        <v>0</v>
      </c>
      <c r="FF169" s="1283">
        <f t="array" ref="FF169">IF(OR(ChoixRationHivernaleComplèteChevauxTrait=OUI,ChoixRationHivernaleComplèteChevauxTrait="",ChoixChevauxTraitPréHiver=NON),0,IFERROR(IF(OR(AND(INDEX(Règles_chevaux_trait[Specificite],MATCH(RationHivernaleAuPréChevauxTrait&amp;$FD169,Règles_chevaux_trait[Ration]&amp;Règles_chevaux_trait[Aliment],0))="s1",IF($FD169=Spécificité1ChevauxTrait,1)),
AND(INDEX(Règles_chevaux_trait[Specificite],MATCH(RationHivernaleAuPréChevauxTrait&amp;$FD169,Règles_chevaux_trait[Ration]&amp;Règles_chevaux_trait[Aliment],0))="s2",IF($FD169=Spécificité2ChevauxTrait,1)),
INDEX(Règles_chevaux_trait[Specificite],MATCH(RationHivernaleAuPréChevauxTrait&amp;$FD169,Règles_chevaux_trait[Ration]&amp;Règles_chevaux_trait[Aliment],0))="c"),
INDEX(Règles_chevaux_trait[Valeur 24-36],MATCH(RationHivernaleAuPréChevauxTrait&amp;$FD169,Règles_chevaux_trait[Ration]&amp;Règles_chevaux_trait[Aliment],0)),0),0)*SUM(TotalChevauxTrait_24_36mois)*21)</f>
        <v>0</v>
      </c>
      <c r="FG169" s="1283">
        <f t="array" ref="FG169">IF(OR(ChoixRationHivernaleComplèteChevauxTrait=OUI,ChoixRationHivernaleComplèteChevauxTrait="",ChoixChevauxTraitPréHiver=NON),0,IFERROR(IF(OR(AND(INDEX(Règles_chevaux_trait[Specificite],MATCH(RationHivernaleAuPréChevauxTrait&amp;$FD169,Règles_chevaux_trait[Ration]&amp;Règles_chevaux_trait[Aliment],0))="s1",IF($FD169=Spécificité1ChevauxTrait,1)),
AND(INDEX(Règles_chevaux_trait[Specificite],MATCH(RationHivernaleAuPréChevauxTrait&amp;$FD169,Règles_chevaux_trait[Ration]&amp;Règles_chevaux_trait[Aliment],0))="s2",IF($FD169=Spécificité2ChevauxTrait,1)),
INDEX(Règles_chevaux_trait[Specificite],MATCH(RationHivernaleAuPréChevauxTrait&amp;$FD169,Règles_chevaux_trait[Ration]&amp;Règles_chevaux_trait[Aliment],0))="c"),
INDEX(Règles_chevaux_trait[Valeur 12-24],MATCH(RationHivernaleAuPréChevauxTrait&amp;$FD169,Règles_chevaux_trait[Ration]&amp;Règles_chevaux_trait[Aliment],0)),0),0)*SUM(TotalChevauxTrait_12_24mois)*21)</f>
        <v>0</v>
      </c>
      <c r="FH169" s="1286">
        <f t="array" ref="FH169">IF(OR(ChoixRationHivernaleComplèteChevauxTrait=OUI,ChoixRationHivernaleComplèteChevauxTrait="",ChoixChevauxTraitPréHiver=NON),0,IFERROR(IF(OR(AND(INDEX(Règles_chevaux_trait[Specificite],MATCH(RationHivernaleAuPréChevauxTrait&amp;$FD169,Règles_chevaux_trait[Ration]&amp;Règles_chevaux_trait[Aliment],0))="s1",IF($FD169=Spécificité1ChevauxTrait,1)),
AND(INDEX(Règles_chevaux_trait[Specificite],MATCH(RationHivernaleAuPréChevauxTrait&amp;$FD169,Règles_chevaux_trait[Ration]&amp;Règles_chevaux_trait[Aliment],0))="s2",IF($FD169=Spécificité2ChevauxTrait,1)),
INDEX(Règles_chevaux_trait[Specificite],MATCH(RationHivernaleAuPréChevauxTrait&amp;$FD169,Règles_chevaux_trait[Ration]&amp;Règles_chevaux_trait[Aliment],0))="c"),
INDEX(Règles_chevaux_trait[Valeur 0-12],MATCH(RationHivernaleAuPréChevauxTrait&amp;$FD169,Règles_chevaux_trait[Ration]&amp;Règles_chevaux_trait[Aliment],0)),0),0)*SUM(TotalPoulainsTrait)*21)</f>
        <v>0</v>
      </c>
      <c r="FI169" s="1286">
        <f t="shared" si="53"/>
        <v>0</v>
      </c>
      <c r="FJ169" s="1345"/>
      <c r="FK169" s="1345"/>
      <c r="FL169" s="1345"/>
      <c r="FM169" s="1321"/>
      <c r="FN169" s="1082" t="str">
        <f t="shared" si="54"/>
        <v>Sorgho ensilé</v>
      </c>
      <c r="FO169" s="1282">
        <f t="array" ref="FO169">IF(OR(ChoixRationHivernaleComplètePoneys=OUI,ChoixRationHivernaleComplètePoneys="",ChoixPoneysPréHiver=NON),0,IFERROR(IF(OR(AND(INDEX(Règles_poneys[Specificite],MATCH(RationHivernaleAuPréPoneys&amp;$FN169,Règles_poneys[Ration]&amp;Règles_poneys[Aliment],0))="s1",IF($FN169=Spécificité1Poneys,1)),
AND(INDEX(Règles_poneys[Specificite],MATCH(RationHivernaleAuPréPoneys&amp;$FN169,Règles_poneys[Ration]&amp;Règles_poneys[Aliment],0))="s2",IF($FN169=Spécificité2Poneys,1)),
INDEX(Règles_poneys[Specificite],MATCH(RationHivernaleAuPréPoneys&amp;$FN169,Règles_poneys[Ration]&amp;Règles_poneys[Aliment],0))="c"),
INDEX(Règles_poneys[Valeur 36 et plus],MATCH(RationHivernaleAuPréPoneys&amp;$FN169,Règles_poneys[Ration]&amp;Règles_poneys[Aliment],0)),0),0)*SUM(TotalPoneysAdultes)*21)</f>
        <v>0</v>
      </c>
      <c r="FP169" s="1282">
        <f t="array" ref="FP169">IF(OR(ChoixRationHivernaleComplètePoneys=OUI,ChoixRationHivernaleComplètePoneys="",ChoixPoneysPréHiver=NON),0,IFERROR(IF(OR(AND(INDEX(Règles_poneys[Specificite],MATCH(RationHivernaleAuPréPoneys&amp;$FN169,Règles_poneys[Ration]&amp;Règles_poneys[Aliment],0))="s1",IF($FN169=Spécificité1Poneys,1)),
AND(INDEX(Règles_poneys[Specificite],MATCH(RationHivernaleAuPréPoneys&amp;$FN169,Règles_poneys[Ration]&amp;Règles_poneys[Aliment],0))="s2",IF($FN169=Spécificité2Poneys,1)),
INDEX(Règles_poneys[Specificite],MATCH(RationHivernaleAuPréPoneys&amp;$FN169,Règles_poneys[Ration]&amp;Règles_poneys[Aliment],0))="c"),
INDEX(Règles_poneys[Valeur 24-36],MATCH(RationHivernaleAuPréPoneys&amp;$FN169,Règles_poneys[Ration]&amp;Règles_poneys[Aliment],0)),0),0)*SUM(TotalPoneys_24_36mois)*21)</f>
        <v>0</v>
      </c>
      <c r="FQ169" s="1282">
        <f t="array" ref="FQ169">IF(OR(ChoixRationHivernaleComplètePoneys=OUI,ChoixRationHivernaleComplètePoneys="",ChoixPoneysPréHiver=NON),0,IFERROR(IF(OR(AND(INDEX(Règles_poneys[Specificite],MATCH(RationHivernaleAuPréPoneys&amp;$FN169,Règles_poneys[Ration]&amp;Règles_poneys[Aliment],0))="s1",IF($FN169=Spécificité1Poneys,1)),
AND(INDEX(Règles_poneys[Specificite],MATCH(RationHivernaleAuPréPoneys&amp;$FN169,Règles_poneys[Ration]&amp;Règles_poneys[Aliment],0))="s2",IF($FN169=Spécificité2Poneys,1)),
INDEX(Règles_poneys[Specificite],MATCH(RationHivernaleAuPréPoneys&amp;$FN169,Règles_poneys[Ration]&amp;Règles_poneys[Aliment],0))="c"),
INDEX(Règles_poneys[Valeur 12-24],MATCH(RationHivernaleAuPréPoneys&amp;$FN169,Règles_poneys[Ration]&amp;Règles_poneys[Aliment],0)),0),0)*SUM(TotalPoneys_12_24mois)*21)</f>
        <v>0</v>
      </c>
      <c r="FR169" s="1285">
        <f t="array" ref="FR169">IF(OR(ChoixRationHivernaleComplètePoneys=OUI,ChoixRationHivernaleComplètePoneys="",ChoixPoneysPréHiver=NON),0,IFERROR(IF(OR(AND(INDEX(Règles_poneys[Specificite],MATCH(RationHivernaleAuPréPoneys&amp;$FN169,Règles_poneys[Ration]&amp;Règles_poneys[Aliment],0))="s1",IF($FN169=Spécificité1Poneys,1)),
AND(INDEX(Règles_poneys[Specificite],MATCH(RationHivernaleAuPréPoneys&amp;$FN169,Règles_poneys[Ration]&amp;Règles_poneys[Aliment],0))="s2",IF($FN169=Spécificité2Poneys,1)),
INDEX(Règles_poneys[Specificite],MATCH(RationHivernaleAuPréPoneys&amp;$FN169,Règles_poneys[Ration]&amp;Règles_poneys[Aliment],0))="c"),
INDEX(Règles_poneys[Valeur 0-12],MATCH(RationHivernaleAuPréPoneys&amp;$FN169,Règles_poneys[Ration]&amp;Règles_poneys[Aliment],0)),0),0)*SUM(TotalPoulainsPoneys)*21)</f>
        <v>0</v>
      </c>
      <c r="FS169" s="1285">
        <f t="shared" si="52"/>
        <v>0</v>
      </c>
      <c r="FT169" s="1345"/>
      <c r="FU169" s="1345"/>
      <c r="FV169" s="1345"/>
      <c r="FW169" s="1083">
        <f t="shared" si="49"/>
        <v>0</v>
      </c>
      <c r="FX169" s="1283"/>
      <c r="FY169" s="1283"/>
      <c r="FZ169" s="1283"/>
      <c r="GA169" s="1345"/>
      <c r="GB169" s="1345"/>
      <c r="GC169" s="1321"/>
      <c r="GD169" s="1321"/>
      <c r="GE169" s="1321"/>
      <c r="GF169" s="1321"/>
      <c r="GG169" s="1321" t="s">
        <v>1349</v>
      </c>
      <c r="GH169" s="1321" t="s">
        <v>1349</v>
      </c>
      <c r="GI169" s="1321" t="s">
        <v>1349</v>
      </c>
      <c r="GJ169" s="1321" t="s">
        <v>1349</v>
      </c>
      <c r="GK169" s="1321" t="s">
        <v>1349</v>
      </c>
      <c r="GL169" s="1321" t="s">
        <v>1349</v>
      </c>
      <c r="GM169" s="1321" t="s">
        <v>1349</v>
      </c>
      <c r="GN169" s="1321" t="s">
        <v>1349</v>
      </c>
      <c r="GO169" s="1321" t="s">
        <v>1349</v>
      </c>
      <c r="GP169" s="1321" t="s">
        <v>1349</v>
      </c>
      <c r="GQ169" s="1321" t="s">
        <v>1349</v>
      </c>
      <c r="GR169" s="1321" t="s">
        <v>1349</v>
      </c>
      <c r="GS169" s="1321" t="s">
        <v>1349</v>
      </c>
      <c r="GT169" s="1321" t="s">
        <v>1349</v>
      </c>
      <c r="GU169" s="1321" t="s">
        <v>1349</v>
      </c>
      <c r="GV169" s="1321" t="s">
        <v>1349</v>
      </c>
      <c r="GW169" s="1321"/>
      <c r="GX169" s="1321"/>
      <c r="GY169" s="1321"/>
      <c r="GZ169" s="1321"/>
      <c r="HA169" s="1321"/>
      <c r="HB169" s="1321"/>
      <c r="HC169" s="1321"/>
      <c r="HD169" s="1321"/>
      <c r="HE169" s="1321"/>
      <c r="HF169" s="1321"/>
      <c r="HG169" s="1321"/>
      <c r="HH169" s="1321"/>
      <c r="HI169" s="1321"/>
      <c r="HJ169" s="1321"/>
      <c r="HK169" s="1321"/>
      <c r="HL169" s="1321"/>
      <c r="HM169" s="1321"/>
      <c r="HN169" s="1321"/>
      <c r="HO169" s="1321"/>
      <c r="HP169" s="1321"/>
      <c r="HQ169" s="1321"/>
      <c r="HR169" s="1321"/>
      <c r="HS169" s="1321"/>
      <c r="HT169" s="1321"/>
      <c r="HU169" s="1321"/>
      <c r="HV169" s="1321"/>
      <c r="HW169" s="1321"/>
      <c r="HX169" s="1321"/>
      <c r="HY169" s="1321"/>
      <c r="HZ169" s="1321"/>
      <c r="IA169" s="1321"/>
      <c r="IB169" s="1321"/>
      <c r="IC169" s="1321"/>
      <c r="ID169" s="1321"/>
      <c r="IE169" s="1321"/>
      <c r="IF169" s="1321"/>
      <c r="IG169" s="1321"/>
      <c r="IH169" s="1321"/>
      <c r="II169" s="1321"/>
      <c r="IJ169" s="1321"/>
      <c r="IK169" s="1321"/>
      <c r="IL169" s="1321"/>
      <c r="IM169" s="1321"/>
      <c r="IN169" s="1368"/>
    </row>
    <row r="170" spans="1:248" ht="12.75" customHeight="1" x14ac:dyDescent="0.2">
      <c r="A170" s="1307" t="s">
        <v>625</v>
      </c>
      <c r="B170" s="1209">
        <v>0.01</v>
      </c>
      <c r="C170" s="1321"/>
      <c r="D170" s="1251" t="s">
        <v>1797</v>
      </c>
      <c r="E170" s="1252">
        <v>20</v>
      </c>
      <c r="F170" s="1321"/>
      <c r="G170" s="1321"/>
      <c r="H170" s="1321"/>
      <c r="I170" s="1321"/>
      <c r="J170" s="1321"/>
      <c r="K170" s="1321"/>
      <c r="L170" s="1321"/>
      <c r="M170" s="1321"/>
      <c r="N170" s="1321"/>
      <c r="O170" s="1321"/>
      <c r="P170" s="1321"/>
      <c r="Q170" s="1321"/>
      <c r="R170" s="1321"/>
      <c r="S170" s="1321"/>
      <c r="T170" s="1321"/>
      <c r="U170" s="1321"/>
      <c r="V170" s="1321"/>
      <c r="W170" s="1321"/>
      <c r="X170" s="1321"/>
      <c r="Y170" s="1321"/>
      <c r="Z170" s="1321"/>
      <c r="AA170" s="1321"/>
      <c r="AB170" s="1321"/>
      <c r="AC170" s="1321"/>
      <c r="AD170" s="1321"/>
      <c r="AE170" s="1321"/>
      <c r="AF170" s="1321"/>
      <c r="AG170" s="1321"/>
      <c r="AH170" s="1321"/>
      <c r="AI170" s="1321"/>
      <c r="AJ170" s="1321"/>
      <c r="AK170" s="1321"/>
      <c r="AL170" s="1321"/>
      <c r="AM170" s="1321"/>
      <c r="AN170" s="1321"/>
      <c r="AO170" s="1321"/>
      <c r="AP170" s="1321"/>
      <c r="AQ170" s="1321"/>
      <c r="AR170" s="1321"/>
      <c r="AS170" s="1321"/>
      <c r="AT170" s="1321"/>
      <c r="AU170" s="1321"/>
      <c r="AV170" s="1321"/>
      <c r="AW170" s="1321"/>
      <c r="AX170" s="1321"/>
      <c r="AY170" s="1321"/>
      <c r="AZ170" s="1321"/>
      <c r="BA170" s="1321"/>
      <c r="BB170" s="1236" t="s">
        <v>1315</v>
      </c>
      <c r="BC170" s="1190" t="s">
        <v>1271</v>
      </c>
      <c r="BD170" s="1190" t="s">
        <v>1252</v>
      </c>
      <c r="BE170" s="1237">
        <v>1</v>
      </c>
      <c r="BF170" s="1237">
        <v>0.8</v>
      </c>
      <c r="BG170" s="1237">
        <v>0.6</v>
      </c>
      <c r="BH170" s="1237">
        <v>0.4</v>
      </c>
      <c r="BI170" s="1237">
        <v>0.4</v>
      </c>
      <c r="BJ170" s="1237">
        <v>0.4</v>
      </c>
      <c r="BK170" s="1238">
        <v>0</v>
      </c>
      <c r="BL170" s="1348"/>
      <c r="BM170" s="1346"/>
      <c r="BN170" s="1321"/>
      <c r="BO170" s="1321"/>
      <c r="BP170" s="1321"/>
      <c r="BQ170" s="1321"/>
      <c r="BR170" s="1321"/>
      <c r="BS170" s="1321"/>
      <c r="BT170" s="1321"/>
      <c r="BU170" s="1321"/>
      <c r="BV170" s="1345"/>
      <c r="BW170" s="1345"/>
      <c r="BX170" s="1076" t="str">
        <f t="shared" si="57"/>
        <v>Seigle</v>
      </c>
      <c r="BY170" s="1076">
        <f t="array" ref="BY170">IF(ChoixRationComplèteCaprins=OUI,0,IFERROR(IF(OR(AND(INDEX(Règles_caprins[Specificite],MATCH(ChoixRationCaprins&amp;$BX170,Règles_caprins[Ration]&amp;Règles_caprins[Aliment],0))="s1",IF($BX170=Spécificité1Caprins,1)),
INDEX(Règles_caprins[Specificite],MATCH(ChoixRationCaprins&amp;$BX170,Règles_caprins[Ration]&amp;Règles_caprins[Aliment],0))="c"),
INDEX(Règles_caprins[Valeur 12 et plus],MATCH(ChoixRationCaprins&amp;$BX170,Règles_caprins[Ration]&amp;Règles_caprins[Aliment],0)),0),0)*TotalChèvres*SUM(NbreJoursNourrirCaprins))</f>
        <v>0</v>
      </c>
      <c r="BZ170" s="1076">
        <f t="array" ref="BZ170">IF(ChoixRationComplèteCaprins=OUI,0,IFERROR(IF(OR(AND(INDEX(Règles_caprins[Specificite],MATCH(ChoixRationCaprins&amp;$BX170,Règles_caprins[Ration]&amp;Règles_caprins[Aliment],0))="s1",IF($BX170=Spécificité1Caprins,1)),
INDEX(Règles_caprins[Specificite],MATCH(ChoixRationCaprins&amp;$BX170,Règles_caprins[Ration]&amp;Règles_caprins[Aliment],0))="c"),
INDEX(Règles_caprins[Valeur 6-12],MATCH(ChoixRationCaprins&amp;$BX170,Règles_caprins[Ration]&amp;Règles_caprins[Aliment],0)),0),0)*jeune_chèvre_6_12_mois*SUM(NbreJoursNourrirCaprins))</f>
        <v>0</v>
      </c>
      <c r="CA170" s="1076">
        <f t="array" ref="CA170">IF(ChoixRationComplèteCaprins=OUI,0,IFERROR(IF(OR(AND(INDEX(Règles_caprins[Specificite],MATCH(ChoixRationCaprins&amp;$BX170,Règles_caprins[Ration]&amp;Règles_caprins[Aliment],0))="s1",IF($BX170=Spécificité1Caprins,1)),
INDEX(Règles_caprins[Specificite],MATCH(ChoixRationCaprins&amp;$BX170,Règles_caprins[Ration]&amp;Règles_caprins[Aliment],0))="c"),
INDEX(Règles_caprins[Valeur 3-6],MATCH(ChoixRationCaprins&amp;$BX170,Règles_caprins[Ration]&amp;Règles_caprins[Aliment],0)),0),0)*chevrette_3_6_mois*SUM(NbreJoursNourrirCaprins))</f>
        <v>0</v>
      </c>
      <c r="CB170" s="1076">
        <f t="array" ref="CB170">IF(ChoixRationComplèteCaprins=OUI,0,IFERROR(IF(OR(AND(INDEX(Règles_caprins[Specificite],MATCH(ChoixRationCaprins&amp;$BX170,Règles_caprins[Ration]&amp;Règles_caprins[Aliment],0))="s1",IF($BX170=Spécificité1Caprins,1)),
INDEX(Règles_caprins[Specificite],MATCH(ChoixRationCaprins&amp;$BX170,Règles_caprins[Ration]&amp;Règles_caprins[Aliment],0))="c"),
INDEX(Règles_caprins[Valeur 0-3],MATCH(ChoixRationCaprins&amp;$BX170,Règles_caprins[Ration]&amp;Règles_caprins[Aliment],0)),0),0)*chevrette_0_3_mois*SUM(NbreJoursNourrirCaprins))</f>
        <v>0</v>
      </c>
      <c r="CC170" s="1076">
        <f t="shared" si="56"/>
        <v>0</v>
      </c>
      <c r="CD170" s="1345"/>
      <c r="CE170" s="1345"/>
      <c r="CF170" s="1345"/>
      <c r="CG170" s="1345"/>
      <c r="CH170" s="1345"/>
      <c r="CI170" s="1321"/>
      <c r="CJ170" s="1075" t="str">
        <f t="shared" si="51"/>
        <v>Tourteau de tournesol</v>
      </c>
      <c r="CK170" s="1269">
        <f t="array" ref="CK170">SUM((IF(QualitéAlimentsPorceletMâle_0_1_mois=BONNE,VLOOKUP("Tourteau de tournesol",AlimentsRationPorcinsMâles[],6,FALSE),0)+(IF(QualitéAlimentsPorceletFemelle_0_1_mois=BONNE,VLOOKUP("Tourteau de tournesol",AlimentsRationPorcinsFemelles[],6,FALSE),0)+(IF(QualitéAlimentsPorceletMâle_1_3_mois=BONNE,VLOOKUP("Tourteau de tournesol",AlimentsRationPorcinsMâles[],5,FALSE),0)+(IF(QualitéAlimentsPorceletFemelle_1_3_mois=BONNE,VLOOKUP("Tourteau de tournesol",AlimentsRationPorcinsFemelles[],5,FALSE),0)+(IF(QualitéAlimentsJeuneVerrat_3_6_mois=BONNE,VLOOKUP("Tourteau de tournesol",AlimentsRationPorcinsMâles[],4,FALSE),0)+(IF(QualitéAlimentsJeuneTruie_3_6_mois=BONNE,VLOOKUP("Tourteau de tournesol",AlimentsRationPorcinsFemelles[],4,FALSE),0)+(IF(QualitéAlimentsJeuneVerrat_6_12_mois=BONNE,VLOOKUP("Tourteau de tournesol",AlimentsRationPorcinsMâles[],3,FALSE),0)+(IF(QualitéAlimentsJeuneTruie_6_12_mois=BONNE,VLOOKUP("Tourteau de tournesol",AlimentsRationPorcinsFemelles[],3,FALSE),0)+(IF(QualitéAlimentsVerrat=BONNE,VLOOKUP("Tourteau de tournesol",AlimentsRationPorcinsMâles[],2,FALSE),0)+(IF(QualitéAlimentsTruie=BONNE,VLOOKUP("Tourteau de tournesol",AlimentsRationPorcinsFemelles[],2,FALSE),0))))))))))))</f>
        <v>0</v>
      </c>
      <c r="CL170" s="1269">
        <f t="array" ref="CL170">SUM((IF(QualitéAlimentsPorceletMâle_0_1_mois=MOYENNE,VLOOKUP("Tourteau de tournesol",AlimentsRationPorcinsMâles[],6,FALSE),0)+(IF(QualitéAlimentsPorceletFemelle_0_1_mois=MOYENNE,VLOOKUP("Tourteau de tournesol",AlimentsRationPorcinsFemelles[],6,FALSE),0)+(IF(QualitéAlimentsPorceletMâle_1_3_mois=MOYENNE,VLOOKUP("Tourteau de tournesol",AlimentsRationPorcinsMâles[],5,FALSE),0)+(IF(QualitéAlimentsPorceletFemelle_1_3_mois=MOYENNE,VLOOKUP("Tourteau de tournesol",AlimentsRationPorcinsFemelles[],5,FALSE),0)+(IF(QualitéAlimentsJeuneVerrat_3_6_mois=MOYENNE,VLOOKUP("Tourteau de tournesol",AlimentsRationPorcinsMâles[],4,FALSE),0)+(IF(QualitéAlimentsJeuneTruie_3_6_mois=MOYENNE,VLOOKUP("Tourteau de tournesol",AlimentsRationPorcinsFemelles[],4,FALSE),0)+(IF(QualitéAlimentsJeuneVerrat_6_12_mois=MOYENNE,VLOOKUP("Tourteau de tournesol",AlimentsRationPorcinsMâles[],3,FALSE),0)+(IF(QualitéAlimentsJeuneTruie_6_12_mois=MOYENNE,VLOOKUP("Tourteau de tournesol",AlimentsRationPorcinsFemelles[],3,FALSE),0)+(IF(QualitéAlimentsVerrat=MOYENNE,VLOOKUP("Tourteau de tournesol",AlimentsRationPorcinsMâles[],2,FALSE),0)+(IF(QualitéAlimentsTruie=MOYENNE,VLOOKUP("Tourteau de tournesol",AlimentsRationPorcinsFemelles[],2,FALSE),0))))))))))))</f>
        <v>0</v>
      </c>
      <c r="CM170" s="1269">
        <f t="array" ref="CM170">SUM((IF(QualitéAlimentsPorceletMâle_0_1_mois=MAUVAISE,VLOOKUP("Tourteau de tournesol",AlimentsRationPorcinsMâles[],6,FALSE),0)+(IF(QualitéAlimentsPorceletFemelle_0_1_mois=MAUVAISE,VLOOKUP("Tourteau de tournesol",AlimentsRationPorcinsFemelles[],6,FALSE),0)+(IF(QualitéAlimentsPorceletMâle_1_3_mois=MAUVAISE,VLOOKUP("Tourteau de tournesol",AlimentsRationPorcinsMâles[],5,FALSE),0)+(IF(QualitéAlimentsPorceletFemelle_1_3_mois=MAUVAISE,VLOOKUP("Tourteau de tournesol",AlimentsRationPorcinsFemelles[],5,FALSE),0)+(IF(QualitéAlimentsJeuneVerrat_3_6_mois=MAUVAISE,VLOOKUP("Tourteau de tournesol",AlimentsRationPorcinsMâles[],4,FALSE),0)+(IF(QualitéAlimentsJeuneTruie_3_6_mois=MAUVAISE,VLOOKUP("Tourteau de tournesol",AlimentsRationPorcinsFemelles[],4,FALSE),0)+(IF(QualitéAlimentsJeuneVerrat_6_12_mois=MAUVAISE,VLOOKUP("Tourteau de tournesol",AlimentsRationPorcinsMâles[],3,FALSE),0)+(IF(QualitéAlimentsJeuneTruie_6_12_mois=MAUVAISE,VLOOKUP("Tourteau de tournesol",AlimentsRationPorcinsFemelles[],3,FALSE),0)+(IF(QualitéAlimentsVerrat=MAUVAISE,VLOOKUP("Tourteau de tournesol",AlimentsRationPorcinsMâles[],2,FALSE),0)+(IF(QualitéAlimentsTruie=MAUVAISE,VLOOKUP("Tourteau de tournesol",AlimentsRationPorcinsFemelles[],2,FALSE),0))))))))))))</f>
        <v>0</v>
      </c>
      <c r="CN170" s="1320"/>
      <c r="CO170" s="1321"/>
      <c r="CP170" s="1321"/>
      <c r="CQ170" s="1321"/>
      <c r="CR170" s="1321"/>
      <c r="CS170" s="1075" t="str">
        <f t="shared" si="66"/>
        <v>Haricot vert</v>
      </c>
      <c r="CT170" s="1269">
        <f t="array" ref="CT170">SUM((IF(QualitéAlimentsLapereauMâle_0_1_mois=BONNE,VLOOKUP("Haricot vert",AlimentsRationLapinsMâles[],4,FALSE),0)+(IF(QualitéAlimentsLapereauFemelle_0_1_mois=BONNE,VLOOKUP("Haricot vert",AlimentsRationLapinsFemelles[],4,FALSE),0)+(IF(QualitéAlimentsJeuneLapin=BONNE,VLOOKUP("Haricot vert",AlimentsRationLapinsMâles[],3,FALSE),0)+(IF(QualitéAlimentsJeuneLapine=BONNE,VLOOKUP("Haricot vert",AlimentsRationLapinsFemelles[],3,FALSE),0)+(IF(QualitéAlimentsLapin=BONNE,VLOOKUP("Haricot vert",AlimentsRationLapinsMâles[],2,FALSE),0)+(IF(QualitéAlimentsLapine=BONNE,VLOOKUP("Haricot vert",AlimentsRationLapinsFemelles[],2,FALSE),0))))))))</f>
        <v>0</v>
      </c>
      <c r="CU170" s="1269">
        <f t="array" ref="CU170">SUM((IF(QualitéAlimentsLapereauMâle_0_1_mois=MOYENNE,VLOOKUP("Haricot vert",AlimentsRationLapinsMâles[],4,FALSE),0)+(IF(QualitéAlimentsLapereauFemelle_0_1_mois=MOYENNE,VLOOKUP("Haricot vert",AlimentsRationLapinsFemelles[],4,FALSE),0)+(IF(QualitéAlimentsJeuneLapin=MOYENNE,VLOOKUP("Haricot vert",AlimentsRationLapinsMâles[],3,FALSE),0)+(IF(QualitéAlimentsJeuneLapine=MOYENNE,VLOOKUP("Haricot vert",AlimentsRationLapinsFemelles[],3,FALSE),0)+(IF(QualitéAlimentsLapin=MOYENNE,VLOOKUP("Haricot vert",AlimentsRationLapinsMâles[],2,FALSE),0)+(IF(QualitéAlimentsLapine=MOYENNE,VLOOKUP("Haricot vert",AlimentsRationLapinsFemelles[],2,FALSE),0))))))))</f>
        <v>0</v>
      </c>
      <c r="CV170" s="1269">
        <f t="array" ref="CV170">SUM((IF(QualitéAlimentsLapereauMâle_0_1_mois=MAUVAISE,VLOOKUP("Haricot vert",AlimentsRationLapinsMâles[],4,FALSE),0)+(IF(QualitéAlimentsLapereauFemelle_0_1_mois=MAUVAISE,VLOOKUP("Haricot vert",AlimentsRationLapinsFemelles[],4,FALSE),0)+(IF(QualitéAlimentsJeuneLapin=MAUVAISE,VLOOKUP("Haricot vert",AlimentsRationLapinsMâles[],3,FALSE),0)+(IF(QualitéAlimentsJeuneLapine=MAUVAISE,VLOOKUP("Haricot vert",AlimentsRationLapinsFemelles[],3,FALSE),0)+(IF(QualitéAlimentsLapin=MAUVAISE,VLOOKUP("Haricot vert",AlimentsRationLapinsMâles[],2,FALSE),0)+(IF(QualitéAlimentsLapine=MAUVAISE,VLOOKUP("Haricot vert",AlimentsRationLapinsFemelles[],2,FALSE),0))))))))</f>
        <v>0</v>
      </c>
      <c r="CW170" s="1321"/>
      <c r="CX170" s="1321"/>
      <c r="CY170" s="1321"/>
      <c r="CZ170" s="1076" t="str">
        <f t="shared" si="65"/>
        <v>Lentille</v>
      </c>
      <c r="DA170" s="1267">
        <f t="array" ref="DA170">SUM((IF(QualitéAlimentsPoussinMâle_0_1_mois=BONNE,VLOOKUP("Lentille",AlimentsRationVolaillesMâles[],4,FALSE),0)+(IF(QualitéAlimentsPoussinFemelle_0_1_mois=BONNE,VLOOKUP("Lentille",AlimentsRationVolaillesFemelles[],4,FALSE),0)+(IF(QualitéAlimentsJeuneCoq=BONNE,VLOOKUP("Lentille",AlimentsRationVolaillesMâles[],3,FALSE),0)+(IF(QualitéAlimentsJeunePoule=BONNE,VLOOKUP("Lentille",AlimentsRationVolaillesFemelles[],3,FALSE),0)+(IF(QualitéAlimentsCoq=BONNE,VLOOKUP("Lentille",AlimentsRationVolaillesMâles[],2,FALSE),0)+(IF(QualitéAlimentsPoule=BONNE,VLOOKUP("Lentille",AlimentsRationVolaillesFemelles[],2,FALSE),0))))))))</f>
        <v>0</v>
      </c>
      <c r="DB170" s="1267">
        <f t="array" ref="DB170">SUM((IF(QualitéAlimentsPoussinMâle_0_1_mois=MOYENNE,VLOOKUP("Lentille",AlimentsRationVolaillesMâles[],4,FALSE),0)+(IF(QualitéAlimentsPoussinFemelle_0_1_mois=MOYENNE,VLOOKUP("Lentille",AlimentsRationVolaillesFemelles[],4,FALSE),0)+(IF(QualitéAlimentsJeuneCoq=MOYENNE,VLOOKUP("Lentille",AlimentsRationVolaillesMâles[],3,FALSE),0)+(IF(QualitéAlimentsJeunePoule=MOYENNE,VLOOKUP("Lentille",AlimentsRationVolaillesFemelles[],3,FALSE),0)+(IF(QualitéAlimentsCoq=MOYENNE,VLOOKUP("Lentille",AlimentsRationVolaillesMâles[],2,FALSE),0)+(IF(QualitéAlimentsPoule=MOYENNE,VLOOKUP("Lentille",AlimentsRationVolaillesFemelles[],2,FALSE),0))))))))</f>
        <v>0</v>
      </c>
      <c r="DC170" s="1267">
        <f t="array" ref="DC170">SUM((IF(QualitéAlimentsPoussinMâle_0_1_mois=MAUVAISE,VLOOKUP("Lentille",AlimentsRationVolaillesMâles[],4,FALSE),0)+(IF(QualitéAlimentsPoussinFemelle_0_1_mois=MAUVAISE,VLOOKUP("Lentille",AlimentsRationVolaillesFemelles[],4,FALSE),0)+(IF(QualitéAlimentsJeuneCoq=MAUVAISE,VLOOKUP("Lentille",AlimentsRationVolaillesMâles[],3,FALSE),0)+(IF(QualitéAlimentsJeunePoule=MAUVAISE,VLOOKUP("Lentille",AlimentsRationVolaillesFemelles[],3,FALSE),0)+(IF(QualitéAlimentsCoq=MAUVAISE,VLOOKUP("Lentille",AlimentsRationVolaillesMâles[],2,FALSE),0)+(IF(QualitéAlimentsPoule=MAUVAISE,VLOOKUP("Lentille",AlimentsRationVolaillesFemelles[],2,FALSE),0))))))))</f>
        <v>0</v>
      </c>
      <c r="DD170" s="1321"/>
      <c r="DE170" s="1321"/>
      <c r="DF170" s="1321"/>
      <c r="DG170" s="1076" t="str">
        <f t="shared" si="58"/>
        <v>Seigle</v>
      </c>
      <c r="DH170" s="1267">
        <f t="array" ref="DH170">SUM((IF(QualitéAlimentsPintadeauMâle_0_1_mois=BONNE,VLOOKUP("Seigle",AlimentsRationPintadesMâles[],4,FALSE),0)+(IF(QualitéAlimentsPintadeauFemelle_0_1_mois=BONNE,VLOOKUP("Seigle",AlimentsRationPintadesFemelles[],4,FALSE),0)+(IF(QualitéAlimentsJeunePintadeMâle=BONNE,VLOOKUP("Seigle",AlimentsRationPintadesMâles[],3,FALSE),0)+(IF(QualitéAlimentsJeunePintadeFemelle=BONNE,VLOOKUP("Seigle",AlimentsRationPintadesFemelles[],3,FALSE),0)+(IF(QualitéAlimentsPintadeMâle=BONNE,VLOOKUP("Seigle",AlimentsRationPintadesMâles[],2,FALSE),0)+(IF(QualitéAlimentsPintadeFemelle=BONNE,VLOOKUP("Seigle",AlimentsRationPintadesFemelles[],2,FALSE),0))))))))</f>
        <v>0</v>
      </c>
      <c r="DI170" s="1267">
        <f t="array" ref="DI170">SUM((IF(QualitéAlimentsPintadeauMâle_0_1_mois=MOYENNE,VLOOKUP("Seigle",AlimentsRationPintadesMâles[],4,FALSE),0)+(IF(QualitéAlimentsPintadeauFemelle_0_1_mois=MOYENNE,VLOOKUP("Seigle",AlimentsRationPintadesFemelles[],4,FALSE),0)+(IF(QualitéAlimentsJeunePintadeMâle=MOYENNE,VLOOKUP("Seigle",AlimentsRationPintadesMâles[],3,FALSE),0)+(IF(QualitéAlimentsJeunePintadeFemelle=MOYENNE,VLOOKUP("Seigle",AlimentsRationPintadesFemelles[],3,FALSE),0)+(IF(QualitéAlimentsPintadeMâle=MOYENNE,VLOOKUP("Seigle",AlimentsRationPintadesMâles[],2,FALSE),0)+(IF(QualitéAlimentsPintadeFemelle=MOYENNE,VLOOKUP("Seigle",AlimentsRationPintadesFemelles[],2,FALSE),0))))))))</f>
        <v>0</v>
      </c>
      <c r="DJ170" s="1267">
        <f t="array" ref="DJ170">SUM((IF(QualitéAlimentsPintadeauMâle_0_1_mois=MAUVAISE,VLOOKUP("Seigle",AlimentsRationPintadesMâles[],4,FALSE),0)+(IF(QualitéAlimentsPintadeauFemelle_0_1_mois=MAUVAISE,VLOOKUP("Seigle",AlimentsRationPintadesFemelles[],4,FALSE),0)+(IF(QualitéAlimentsJeunePintadeMâle=MAUVAISE,VLOOKUP("Seigle",AlimentsRationPintadesMâles[],3,FALSE),0)+(IF(QualitéAlimentsJeunePintadeFemelle=MAUVAISE,VLOOKUP("Seigle",AlimentsRationPintadesFemelles[],3,FALSE),0)+(IF(QualitéAlimentsPintadeMâle=MAUVAISE,VLOOKUP("Seigle",AlimentsRationPintadesMâles[],2,FALSE),0)+(IF(QualitéAlimentsPintadeFemelle=MAUVAISE,VLOOKUP("Seigle",AlimentsRationPintadesFemelles[],2,FALSE),0))))))))</f>
        <v>0</v>
      </c>
      <c r="DK170" s="1321"/>
      <c r="DL170" s="1321"/>
      <c r="DM170" s="1321"/>
      <c r="DN170" s="1076" t="s">
        <v>672</v>
      </c>
      <c r="DO170" s="1267">
        <f t="array" ref="DO170">IF(ChoixRationComplèteOvins=OUI,0,IFERROR(IF(OR(AND(INDEX(Règles_ovins[Specificite],MATCH(ChoixRationOvins&amp;$DN170,Règles_ovins[Ration]&amp;Règles_ovins[Aliment],0))="s1",IF($DN170=Spécificité1Ovins,1)),
AND(INDEX(Règles_ovins[Specificite],MATCH(ChoixRationOvins&amp;$DN170,Règles_ovins[Ration]&amp;Règles_ovins[Aliment],0))="s2",IF($DN170=Spécificité2Ovins,1)),
INDEX(Règles_ovins[Specificite],MATCH(ChoixRationOvins&amp;$DN170,Règles_ovins[Ration]&amp;Règles_ovins[Aliment],0))="c"),
INDEX(Règles_ovins[Valeur 12 et plus],MATCH(ChoixRationOvins&amp;$DN170,Règles_ovins[Ration]&amp;Règles_ovins[Aliment],0)),0),0)*IF(ChoixOvinsPréHiver=OUI,SUM(TotalOvinsAdultesRacesLaitières)*NbreJoursNourrirOvins,TotalBéliers*SUM(NbreJoursNourrirOvins)))</f>
        <v>0</v>
      </c>
      <c r="DP170" s="1267">
        <f t="array" ref="DP170">IF(ChoixRationComplèteOvins=OUI,0,IFERROR(IF(OR(AND(INDEX(Règles_ovins[Specificite],MATCH(ChoixRationOvins&amp;$DN170,Règles_ovins[Ration]&amp;Règles_ovins[Aliment],0))="s1",IF($DN170=Spécificité1Ovins,1)),
AND(INDEX(Règles_ovins[Specificite],MATCH(ChoixRationOvins&amp;$DN170,Règles_ovins[Ration]&amp;Règles_ovins[Aliment],0))="s2",IF($DN170=Spécificité2Ovins,1)),
INDEX(Règles_ovins[Specificite],MATCH(ChoixRationOvins&amp;$DN170,Règles_ovins[Ration]&amp;Règles_ovins[Aliment],0))="c"),
INDEX(Règles_ovins[Valeur 6-12],MATCH(ChoixRationOvins&amp;$DN170,Règles_ovins[Ration]&amp;Règles_ovins[Aliment],0)),0),0)*IF(ChoixOvinsPréHiver=OUI,SUM(TotalJeunesOvinsRacesLaitières)*NbreJoursNourrirOvins,TotalJeune_bélier_6_12_mois*SUM(NbreJoursNourrirOvins)))</f>
        <v>0</v>
      </c>
      <c r="DQ170" s="1267">
        <f t="array" ref="DQ170">IF(ChoixRationComplèteOvins=OUI,0,IFERROR(IF(OR(AND(INDEX(Règles_ovins[Specificite],MATCH(ChoixRationOvins&amp;$DN170,Règles_ovins[Ration]&amp;Règles_ovins[Aliment],0))="s1",IF($DN170=Spécificité1Ovins,1)),
AND(INDEX(Règles_ovins[Specificite],MATCH(ChoixRationOvins&amp;$DN170,Règles_ovins[Ration]&amp;Règles_ovins[Aliment],0))="s2",IF($DN170=Spécificité2Ovins,1)),
INDEX(Règles_ovins[Specificite],MATCH(ChoixRationOvins&amp;$DN170,Règles_ovins[Ration]&amp;Règles_ovins[Aliment],0))="c"),
INDEX(Règles_ovins[Valeur 3-6],MATCH(ChoixRationOvins&amp;$DN170,Règles_ovins[Ration]&amp;Règles_ovins[Aliment],0)),0),0)*IF(ChoixOvinsPréHiver=OUI,SUM(TotalOvins_3_6moisRacesLaitières)*NbreJoursNourrirOvins,TotalAgneau_3_6_mois*SUM(NbreJoursNourrirOvins)))</f>
        <v>0</v>
      </c>
      <c r="DR170" s="1267">
        <f t="array" ref="DR170">IF(ChoixRationComplèteOvins=OUI,0,IFERROR(IF(OR(AND(INDEX(Règles_ovins[Specificite],MATCH(ChoixRationOvins&amp;$DN170,Règles_ovins[Ration]&amp;Règles_ovins[Aliment],0))="s1",IF($DN170=Spécificité1Ovins,1)),
AND(INDEX(Règles_ovins[Specificite],MATCH(ChoixRationOvins&amp;$DN170,Règles_ovins[Ration]&amp;Règles_ovins[Aliment],0))="s2",IF($DN170=Spécificité2Ovins,1)),
INDEX(Règles_ovins[Specificite],MATCH(ChoixRationOvins&amp;$DN170,Règles_ovins[Ration]&amp;Règles_ovins[Aliment],0))="c"),
INDEX(Règles_ovins[Valeur 0-3],MATCH(ChoixRationOvins&amp;$DN170,Règles_ovins[Ration]&amp;Règles_ovins[Aliment],0)),0),0)*IF(ChoixOvinsPréHiver=OUI,SUM(TotalOvins_3_6moisRacesLaitières)*NbreJoursNourrirOvins,TotalAgneau_0_3_mois*SUM(NbreJoursNourrirOvins)))</f>
        <v>0</v>
      </c>
      <c r="DS170" s="1279">
        <f t="shared" si="61"/>
        <v>0</v>
      </c>
      <c r="DT170" s="1346"/>
      <c r="DU170" s="1346"/>
      <c r="DV170" s="1321"/>
      <c r="DW170" s="1321"/>
      <c r="DX170" s="1321"/>
      <c r="DY170" s="1321"/>
      <c r="DZ170" s="1321"/>
      <c r="EA170" s="1321"/>
      <c r="EB170" s="1321"/>
      <c r="EC170" s="1321"/>
      <c r="ED170" s="1345"/>
      <c r="EE170" s="1345"/>
      <c r="EF170" s="1321"/>
      <c r="EG170" s="1076" t="str">
        <f t="shared" si="63"/>
        <v>Orge</v>
      </c>
      <c r="EH170" s="1267">
        <f t="array" ref="EH170">SUM((IF(QualitéAlimentsOisonMâle_0_3_mois=BONNE,VLOOKUP("Orge",AlimentsRationOiesMâles[],4,FALSE),0)+(IF(QualitéAlimentsOisonFemelle_0_3_mois=BONNE,VLOOKUP("Orge",AlimentsRationOiesFemelles[],4,FALSE),0)+(IF(QualitéAlimentsJeuneJars=BONNE,VLOOKUP("Orge",AlimentsRationOiesMâles[],3,FALSE),0)+(IF(QualitéAlimentsJeuneOie=BONNE,VLOOKUP("Orge",AlimentsRationOiesFemelles[],3,FALSE),0)+(IF(QualitéAlimentsJars=BONNE,VLOOKUP("Orge",AlimentsRationOiesMâles[],2,FALSE),0)+(IF(QualitéAlimentsOie=BONNE,VLOOKUP("Orge",AlimentsRationOiesFemelles[],2,FALSE),0))))))))</f>
        <v>0</v>
      </c>
      <c r="EI170" s="1267">
        <f t="array" ref="EI170">SUM((IF(QualitéAlimentsOisonMâle_0_3_mois=MOYENNE,VLOOKUP("Orge",AlimentsRationOiesMâles[],4,FALSE),0)+(IF(QualitéAlimentsOisonFemelle_0_3_mois=MOYENNE,VLOOKUP("Orge",AlimentsRationOiesFemelles[],4,FALSE),0)+(IF(QualitéAlimentsJeuneJars=MOYENNE,VLOOKUP("Orge",AlimentsRationOiesMâles[],3,FALSE),0)+(IF(QualitéAlimentsJeuneOie=MOYENNE,VLOOKUP("Orge",AlimentsRationOiesFemelles[],3,FALSE),0)+(IF(QualitéAlimentsJars=MOYENNE,VLOOKUP("Orge",AlimentsRationOiesMâles[],2,FALSE),0)+(IF(QualitéAlimentsOie=MOYENNE,VLOOKUP("Orge",AlimentsRationOiesFemelles[],2,FALSE),0))))))))</f>
        <v>0</v>
      </c>
      <c r="EJ170" s="1267">
        <f t="array" ref="EJ170">SUM((IF(QualitéAlimentsOisonMâle_0_3_mois=MAUVAISE,VLOOKUP("Orge",AlimentsRationOiesMâles[],4,FALSE),0)+(IF(QualitéAlimentsOisonFemelle_0_3_mois=MAUVAISE,VLOOKUP("Orge",AlimentsRationOiesFemelles[],4,FALSE),0)+(IF(QualitéAlimentsJeuneJars=MAUVAISE,VLOOKUP("Orge",AlimentsRationOiesMâles[],3,FALSE),0)+(IF(QualitéAlimentsJeuneOie=MAUVAISE,VLOOKUP("Orge",AlimentsRationOiesFemelles[],3,FALSE),0)+(IF(QualitéAlimentsJars=MAUVAISE,VLOOKUP("Orge",AlimentsRationOiesMâles[],2,FALSE),0)+(IF(QualitéAlimentsOie=MAUVAISE,VLOOKUP("Orge",AlimentsRationOiesFemelles[],2,FALSE),0))))))))</f>
        <v>0</v>
      </c>
      <c r="EK170" s="1345"/>
      <c r="EL170" s="1345"/>
      <c r="EM170" s="1321"/>
      <c r="EN170" s="1083" t="str">
        <f t="shared" si="62"/>
        <v>Paille</v>
      </c>
      <c r="EO170" s="1283">
        <f t="array" ref="EO170">SUM((IF(QualitéAlimentsCanetonMâle=BONNE,VLOOKUP("Paille",AlimentsRationCanardsMâles,4,FALSE),0)+(IF(QualitéAlimentsCanetonFemelle=BONNE,VLOOKUP("Paille",AlimentsRationCanardsFemelles,4,FALSE),0)+(IF(QualitéAlimentsJeuneCanard=BONNE,VLOOKUP("Paille",AlimentsRationCanardsMâles,3,FALSE),0)+(IF(QualitéAlimentsJeuneCane=BONNE,VLOOKUP("Paille",AlimentsRationCanardsFemelles,3,FALSE),0)+(IF(QualitéAlimentsCanard=BONNE,VLOOKUP("Paille",AlimentsRationCanardsMâles,2,FALSE),0)+(IF(QualitéAlimentsCane=BONNE,VLOOKUP("Paille",AlimentsRationCanardsFemelles,2,FALSE),0))))))))</f>
        <v>0</v>
      </c>
      <c r="EP170" s="1283">
        <f t="array" ref="EP170">SUM((IF(QualitéAlimentsCanetonMâle=MOYENNE,VLOOKUP("Paille",AlimentsRationCanardsMâles,4,FALSE),0)+(IF(QualitéAlimentsCanetonFemelle=MOYENNE,VLOOKUP("Paille",AlimentsRationCanardsFemelles,4,FALSE),0)+(IF(QualitéAlimentsJeuneCanard=MOYENNE,VLOOKUP("Paille",AlimentsRationCanardsMâles,3,FALSE),0)+(IF(QualitéAlimentsJeuneCane=MOYENNE,VLOOKUP("Paille",AlimentsRationCanardsFemelles,3,FALSE),0)+(IF(QualitéAlimentsCanard=MOYENNE,VLOOKUP("Paille",AlimentsRationCanardsMâles,2,FALSE),0)+(IF(QualitéAlimentsCane=MOYENNE,VLOOKUP("Paille",AlimentsRationCanardsFemelles,2,FALSE),0))))))))</f>
        <v>0</v>
      </c>
      <c r="EQ170" s="1283">
        <f t="array" ref="EQ170">SUM((IF(QualitéAlimentsCanetonMâle=MAUVAISE,VLOOKUP("Paille",AlimentsRationCanardsMâles,4,FALSE),0)+(IF(QualitéAlimentsCanetonFemelle=MAUVAISE,VLOOKUP("Paille",AlimentsRationCanardsFemelles,4,FALSE),0)+(IF(QualitéAlimentsJeuneCanard=MAUVAISE,VLOOKUP("Paille",AlimentsRationCanardsMâles,3,FALSE),0)+(IF(QualitéAlimentsJeuneCane=MAUVAISE,VLOOKUP("Paille",AlimentsRationCanardsFemelles,3,FALSE),0)+(IF(QualitéAlimentsCanard=MAUVAISE,VLOOKUP("Paille",AlimentsRationCanardsMâles,2,FALSE),0)+(IF(QualitéAlimentsCane=MAUVAISE,VLOOKUP("Paille",AlimentsRationCanardsFemelles,2,FALSE),0)+LitièreCanards[[#Totals],[litière]])))))))</f>
        <v>0</v>
      </c>
      <c r="ER170" s="1345"/>
      <c r="ES170" s="1345"/>
      <c r="ET170" s="1321"/>
      <c r="EU170" s="1082" t="str">
        <f t="shared" si="60"/>
        <v>Pois</v>
      </c>
      <c r="EV170" s="1282">
        <f t="array" ref="EV170">IF(OR(ChoixRationHivernaleComplèteChevauxSelle=OUI,ChoixRationHivernaleComplèteChevauxSelle="",ChoixChevauxSellePréHiver=NON),0,IFERROR(IF(OR(AND(INDEX(Règles_chevaux_selle[Specificite],MATCH(RationHivernaleAuPréChevauxSelle&amp;$EU170,Règles_chevaux_selle[Ration]&amp;Règles_chevaux_selle[Aliment],0))="s1",IF($EU170=Spécificité1ChevauxSelle,1)),
AND(INDEX(Règles_chevaux_selle[Specificite],MATCH(RationHivernaleAuPréChevauxSelle&amp;$EU170,Règles_chevaux_selle[Ration]&amp;Règles_chevaux_selle[Aliment],0))="s2",IF($EU170=Spécificité2ChevauxSelle,1)),
INDEX(Règles_chevaux_selle[Specificite],MATCH(RationHivernaleAuPréChevauxSelle&amp;$EU170,Règles_chevaux_selle[Ration]&amp;Règles_chevaux_selle[Aliment],0))="c"),
INDEX(Règles_chevaux_selle[Valeur 36 et plus],MATCH(RationHivernaleAuPréChevauxSelle&amp;$EU170,Règles_chevaux_selle[Ration]&amp;Règles_chevaux_selle[Aliment],0)),0),0)*SUM(TotalChevauxSelleAdultes)*21)</f>
        <v>0</v>
      </c>
      <c r="EW170" s="1282">
        <f t="array" ref="EW170">IF(OR(ChoixRationHivernaleComplèteChevauxSelle=OUI,ChoixRationHivernaleComplèteChevauxSelle="",ChoixChevauxSellePréHiver=NON),0,IFERROR(IF(OR(AND(INDEX(Règles_chevaux_selle[Specificite],MATCH(RationHivernaleAuPréChevauxSelle&amp;$EU170,Règles_chevaux_selle[Ration]&amp;Règles_chevaux_selle[Aliment],0))="s1",IF($EU170=Spécificité1ChevauxSelle,1)),
AND(INDEX(Règles_chevaux_selle[Specificite],MATCH(RationHivernaleAuPréChevauxSelle&amp;$EU170,Règles_chevaux_selle[Ration]&amp;Règles_chevaux_selle[Aliment],0))="s2",IF($EU170=Spécificité2ChevauxSelle,1)),
INDEX(Règles_chevaux_selle[Specificite],MATCH(RationHivernaleAuPréChevauxSelle&amp;$EU170,Règles_chevaux_selle[Ration]&amp;Règles_chevaux_selle[Aliment],0))="c"),
INDEX(Règles_chevaux_selle[Valeur 24-36],MATCH(RationHivernaleAuPréChevauxSelle&amp;$EU170,Règles_chevaux_selle[Ration]&amp;Règles_chevaux_selle[Aliment],0)),0),0)*SUM(TotalChevauxSelle_24_36mois)*21)</f>
        <v>0</v>
      </c>
      <c r="EX170" s="1282">
        <f t="array" ref="EX170">IF(OR(ChoixRationHivernaleComplèteChevauxSelle=OUI,ChoixRationHivernaleComplèteChevauxSelle="",ChoixChevauxSellePréHiver=NON),0,IFERROR(IF(OR(AND(INDEX(Règles_chevaux_selle[Specificite],MATCH(RationHivernaleAuPréChevauxSelle&amp;$EU170,Règles_chevaux_selle[Ration]&amp;Règles_chevaux_selle[Aliment],0))="s1",IF($EU170=Spécificité1ChevauxSelle,1)),
AND(INDEX(Règles_chevaux_selle[Specificite],MATCH(RationHivernaleAuPréChevauxSelle&amp;$EU170,Règles_chevaux_selle[Ration]&amp;Règles_chevaux_selle[Aliment],0))="s2",IF($EU170=Spécificité2ChevauxSelle,1)),
INDEX(Règles_chevaux_selle[Specificite],MATCH(RationHivernaleAuPréChevauxSelle&amp;$EU170,Règles_chevaux_selle[Ration]&amp;Règles_chevaux_selle[Aliment],0))="c"),
INDEX(Règles_chevaux_selle[Valeur 12-24],MATCH(RationHivernaleAuPréChevauxSelle&amp;$EU170,Règles_chevaux_selle[Ration]&amp;Règles_chevaux_selle[Aliment],0)),0),0)*SUM(TotalChevauxSelle_12_24mois)*21)</f>
        <v>0</v>
      </c>
      <c r="EY170" s="1285">
        <f t="array" ref="EY170">IF(OR(ChoixRationHivernaleComplèteChevauxSelle=OUI,ChoixRationHivernaleComplèteChevauxSelle="",ChoixChevauxSellePréHiver=NON),0,IFERROR(IF(OR(AND(INDEX(Règles_chevaux_selle[Specificite],MATCH(RationHivernaleAuPréChevauxSelle&amp;$EU170,Règles_chevaux_selle[Ration]&amp;Règles_chevaux_selle[Aliment],0))="s1",IF($EU170=Spécificité1ChevauxSelle,1)),
AND(INDEX(Règles_chevaux_selle[Specificite],MATCH(RationHivernaleAuPréChevauxSelle&amp;$EU170,Règles_chevaux_selle[Ration]&amp;Règles_chevaux_selle[Aliment],0))="s2",IF($EU170=Spécificité2ChevauxSelle,1)),
INDEX(Règles_chevaux_selle[Specificite],MATCH(RationHivernaleAuPréChevauxSelle&amp;$EU170,Règles_chevaux_selle[Ration]&amp;Règles_chevaux_selle[Aliment],0))="c"),
INDEX(Règles_chevaux_selle[Valeur 0-12],MATCH(RationHivernaleAuPréChevauxSelle&amp;$EU170,Règles_chevaux_selle[Ration]&amp;Règles_chevaux_selle[Aliment],0)),0),0)*SUM(TotalPoulainsSelle)*21)</f>
        <v>0</v>
      </c>
      <c r="EZ170" s="1285">
        <f t="shared" si="59"/>
        <v>0</v>
      </c>
      <c r="FA170" s="1345"/>
      <c r="FB170" s="1345"/>
      <c r="FC170" s="1321"/>
      <c r="FD170" s="1082" t="str">
        <f t="shared" si="55"/>
        <v>Sorgho ensilé</v>
      </c>
      <c r="FE170" s="1282">
        <f t="array" ref="FE170">IF(OR(ChoixRationHivernaleComplèteChevauxTrait=OUI,ChoixRationHivernaleComplèteChevauxTrait="",ChoixChevauxTraitPréHiver=NON),0,IFERROR(IF(OR(AND(INDEX(Règles_chevaux_trait[Specificite],MATCH(RationHivernaleAuPréChevauxTrait&amp;$FD170,Règles_chevaux_trait[Ration]&amp;Règles_chevaux_trait[Aliment],0))="s1",IF($FD170=Spécificité1ChevauxTrait,1)),
AND(INDEX(Règles_chevaux_trait[Specificite],MATCH(RationHivernaleAuPréChevauxTrait&amp;$FD170,Règles_chevaux_trait[Ration]&amp;Règles_chevaux_trait[Aliment],0))="s2",IF($FD170=Spécificité2ChevauxTrait,1)),
INDEX(Règles_chevaux_trait[Specificite],MATCH(RationHivernaleAuPréChevauxTrait&amp;$FD170,Règles_chevaux_trait[Ration]&amp;Règles_chevaux_trait[Aliment],0))="c"),
INDEX(Règles_chevaux_trait[Valeur 36 et plus],MATCH(RationHivernaleAuPréChevauxTrait&amp;$FD170,Règles_chevaux_trait[Ration]&amp;Règles_chevaux_trait[Aliment],0)),0),0)*SUM(TotalChevauxTraitAdultes)*21)</f>
        <v>0</v>
      </c>
      <c r="FF170" s="1282">
        <f t="array" ref="FF170">IF(OR(ChoixRationHivernaleComplèteChevauxTrait=OUI,ChoixRationHivernaleComplèteChevauxTrait="",ChoixChevauxTraitPréHiver=NON),0,IFERROR(IF(OR(AND(INDEX(Règles_chevaux_trait[Specificite],MATCH(RationHivernaleAuPréChevauxTrait&amp;$FD170,Règles_chevaux_trait[Ration]&amp;Règles_chevaux_trait[Aliment],0))="s1",IF($FD170=Spécificité1ChevauxTrait,1)),
AND(INDEX(Règles_chevaux_trait[Specificite],MATCH(RationHivernaleAuPréChevauxTrait&amp;$FD170,Règles_chevaux_trait[Ration]&amp;Règles_chevaux_trait[Aliment],0))="s2",IF($FD170=Spécificité2ChevauxTrait,1)),
INDEX(Règles_chevaux_trait[Specificite],MATCH(RationHivernaleAuPréChevauxTrait&amp;$FD170,Règles_chevaux_trait[Ration]&amp;Règles_chevaux_trait[Aliment],0))="c"),
INDEX(Règles_chevaux_trait[Valeur 24-36],MATCH(RationHivernaleAuPréChevauxTrait&amp;$FD170,Règles_chevaux_trait[Ration]&amp;Règles_chevaux_trait[Aliment],0)),0),0)*SUM(TotalChevauxTrait_24_36mois)*21)</f>
        <v>0</v>
      </c>
      <c r="FG170" s="1282">
        <f t="array" ref="FG170">IF(OR(ChoixRationHivernaleComplèteChevauxTrait=OUI,ChoixRationHivernaleComplèteChevauxTrait="",ChoixChevauxTraitPréHiver=NON),0,IFERROR(IF(OR(AND(INDEX(Règles_chevaux_trait[Specificite],MATCH(RationHivernaleAuPréChevauxTrait&amp;$FD170,Règles_chevaux_trait[Ration]&amp;Règles_chevaux_trait[Aliment],0))="s1",IF($FD170=Spécificité1ChevauxTrait,1)),
AND(INDEX(Règles_chevaux_trait[Specificite],MATCH(RationHivernaleAuPréChevauxTrait&amp;$FD170,Règles_chevaux_trait[Ration]&amp;Règles_chevaux_trait[Aliment],0))="s2",IF($FD170=Spécificité2ChevauxTrait,1)),
INDEX(Règles_chevaux_trait[Specificite],MATCH(RationHivernaleAuPréChevauxTrait&amp;$FD170,Règles_chevaux_trait[Ration]&amp;Règles_chevaux_trait[Aliment],0))="c"),
INDEX(Règles_chevaux_trait[Valeur 12-24],MATCH(RationHivernaleAuPréChevauxTrait&amp;$FD170,Règles_chevaux_trait[Ration]&amp;Règles_chevaux_trait[Aliment],0)),0),0)*SUM(TotalChevauxTrait_12_24mois)*21)</f>
        <v>0</v>
      </c>
      <c r="FH170" s="1285">
        <f t="array" ref="FH170">IF(OR(ChoixRationHivernaleComplèteChevauxTrait=OUI,ChoixRationHivernaleComplèteChevauxTrait="",ChoixChevauxTraitPréHiver=NON),0,IFERROR(IF(OR(AND(INDEX(Règles_chevaux_trait[Specificite],MATCH(RationHivernaleAuPréChevauxTrait&amp;$FD170,Règles_chevaux_trait[Ration]&amp;Règles_chevaux_trait[Aliment],0))="s1",IF($FD170=Spécificité1ChevauxTrait,1)),
AND(INDEX(Règles_chevaux_trait[Specificite],MATCH(RationHivernaleAuPréChevauxTrait&amp;$FD170,Règles_chevaux_trait[Ration]&amp;Règles_chevaux_trait[Aliment],0))="s2",IF($FD170=Spécificité2ChevauxTrait,1)),
INDEX(Règles_chevaux_trait[Specificite],MATCH(RationHivernaleAuPréChevauxTrait&amp;$FD170,Règles_chevaux_trait[Ration]&amp;Règles_chevaux_trait[Aliment],0))="c"),
INDEX(Règles_chevaux_trait[Valeur 0-12],MATCH(RationHivernaleAuPréChevauxTrait&amp;$FD170,Règles_chevaux_trait[Ration]&amp;Règles_chevaux_trait[Aliment],0)),0),0)*SUM(TotalPoulainsTrait)*21)</f>
        <v>0</v>
      </c>
      <c r="FI170" s="1285">
        <f t="shared" si="53"/>
        <v>0</v>
      </c>
      <c r="FJ170" s="1345"/>
      <c r="FK170" s="1345"/>
      <c r="FL170" s="1345"/>
      <c r="FM170" s="1321"/>
      <c r="FN170" s="1083" t="str">
        <f t="shared" si="54"/>
        <v>Tournesol</v>
      </c>
      <c r="FO170" s="1283">
        <f t="array" ref="FO170">IF(OR(ChoixRationHivernaleComplètePoneys=OUI,ChoixRationHivernaleComplètePoneys="",ChoixPoneysPréHiver=NON),0,IFERROR(IF(OR(AND(INDEX(Règles_poneys[Specificite],MATCH(RationHivernaleAuPréPoneys&amp;$FN170,Règles_poneys[Ration]&amp;Règles_poneys[Aliment],0))="s1",IF($FN170=Spécificité1Poneys,1)),
AND(INDEX(Règles_poneys[Specificite],MATCH(RationHivernaleAuPréPoneys&amp;$FN170,Règles_poneys[Ration]&amp;Règles_poneys[Aliment],0))="s2",IF($FN170=Spécificité2Poneys,1)),
INDEX(Règles_poneys[Specificite],MATCH(RationHivernaleAuPréPoneys&amp;$FN170,Règles_poneys[Ration]&amp;Règles_poneys[Aliment],0))="c"),
INDEX(Règles_poneys[Valeur 36 et plus],MATCH(RationHivernaleAuPréPoneys&amp;$FN170,Règles_poneys[Ration]&amp;Règles_poneys[Aliment],0)),0),0)*SUM(TotalPoneysAdultes)*21)</f>
        <v>0</v>
      </c>
      <c r="FP170" s="1283">
        <f t="array" ref="FP170">IF(OR(ChoixRationHivernaleComplètePoneys=OUI,ChoixRationHivernaleComplètePoneys="",ChoixPoneysPréHiver=NON),0,IFERROR(IF(OR(AND(INDEX(Règles_poneys[Specificite],MATCH(RationHivernaleAuPréPoneys&amp;$FN170,Règles_poneys[Ration]&amp;Règles_poneys[Aliment],0))="s1",IF($FN170=Spécificité1Poneys,1)),
AND(INDEX(Règles_poneys[Specificite],MATCH(RationHivernaleAuPréPoneys&amp;$FN170,Règles_poneys[Ration]&amp;Règles_poneys[Aliment],0))="s2",IF($FN170=Spécificité2Poneys,1)),
INDEX(Règles_poneys[Specificite],MATCH(RationHivernaleAuPréPoneys&amp;$FN170,Règles_poneys[Ration]&amp;Règles_poneys[Aliment],0))="c"),
INDEX(Règles_poneys[Valeur 24-36],MATCH(RationHivernaleAuPréPoneys&amp;$FN170,Règles_poneys[Ration]&amp;Règles_poneys[Aliment],0)),0),0)*SUM(TotalPoneys_24_36mois)*21)</f>
        <v>0</v>
      </c>
      <c r="FQ170" s="1283">
        <f t="array" ref="FQ170">IF(OR(ChoixRationHivernaleComplètePoneys=OUI,ChoixRationHivernaleComplètePoneys="",ChoixPoneysPréHiver=NON),0,IFERROR(IF(OR(AND(INDEX(Règles_poneys[Specificite],MATCH(RationHivernaleAuPréPoneys&amp;$FN170,Règles_poneys[Ration]&amp;Règles_poneys[Aliment],0))="s1",IF($FN170=Spécificité1Poneys,1)),
AND(INDEX(Règles_poneys[Specificite],MATCH(RationHivernaleAuPréPoneys&amp;$FN170,Règles_poneys[Ration]&amp;Règles_poneys[Aliment],0))="s2",IF($FN170=Spécificité2Poneys,1)),
INDEX(Règles_poneys[Specificite],MATCH(RationHivernaleAuPréPoneys&amp;$FN170,Règles_poneys[Ration]&amp;Règles_poneys[Aliment],0))="c"),
INDEX(Règles_poneys[Valeur 12-24],MATCH(RationHivernaleAuPréPoneys&amp;$FN170,Règles_poneys[Ration]&amp;Règles_poneys[Aliment],0)),0),0)*SUM(TotalPoneys_12_24mois)*21)</f>
        <v>0</v>
      </c>
      <c r="FR170" s="1286">
        <f t="array" ref="FR170">IF(OR(ChoixRationHivernaleComplètePoneys=OUI,ChoixRationHivernaleComplètePoneys="",ChoixPoneysPréHiver=NON),0,IFERROR(IF(OR(AND(INDEX(Règles_poneys[Specificite],MATCH(RationHivernaleAuPréPoneys&amp;$FN170,Règles_poneys[Ration]&amp;Règles_poneys[Aliment],0))="s1",IF($FN170=Spécificité1Poneys,1)),
AND(INDEX(Règles_poneys[Specificite],MATCH(RationHivernaleAuPréPoneys&amp;$FN170,Règles_poneys[Ration]&amp;Règles_poneys[Aliment],0))="s2",IF($FN170=Spécificité2Poneys,1)),
INDEX(Règles_poneys[Specificite],MATCH(RationHivernaleAuPréPoneys&amp;$FN170,Règles_poneys[Ration]&amp;Règles_poneys[Aliment],0))="c"),
INDEX(Règles_poneys[Valeur 0-12],MATCH(RationHivernaleAuPréPoneys&amp;$FN170,Règles_poneys[Ration]&amp;Règles_poneys[Aliment],0)),0),0)*SUM(TotalPoulainsPoneys)*21)</f>
        <v>0</v>
      </c>
      <c r="FS170" s="1286">
        <f t="shared" si="52"/>
        <v>0</v>
      </c>
      <c r="FT170" s="1345"/>
      <c r="FU170" s="1345"/>
      <c r="FV170" s="1345"/>
      <c r="FW170" s="1082">
        <f t="shared" si="49"/>
        <v>0</v>
      </c>
      <c r="FX170" s="1282"/>
      <c r="FY170" s="1282"/>
      <c r="FZ170" s="1282"/>
      <c r="GA170" s="1345"/>
      <c r="GB170" s="1345"/>
      <c r="GC170" s="1321"/>
      <c r="GD170" s="1321"/>
      <c r="GE170" s="1321"/>
      <c r="GF170" s="1321"/>
      <c r="GG170" s="1321" t="s">
        <v>1349</v>
      </c>
      <c r="GH170" s="1321" t="s">
        <v>1349</v>
      </c>
      <c r="GI170" s="1321" t="s">
        <v>1349</v>
      </c>
      <c r="GJ170" s="1321" t="s">
        <v>1349</v>
      </c>
      <c r="GK170" s="1321" t="s">
        <v>1349</v>
      </c>
      <c r="GL170" s="1321" t="s">
        <v>1349</v>
      </c>
      <c r="GM170" s="1321" t="s">
        <v>1349</v>
      </c>
      <c r="GN170" s="1321" t="s">
        <v>1349</v>
      </c>
      <c r="GO170" s="1321" t="s">
        <v>1349</v>
      </c>
      <c r="GP170" s="1321" t="s">
        <v>1349</v>
      </c>
      <c r="GQ170" s="1321" t="s">
        <v>1349</v>
      </c>
      <c r="GR170" s="1321" t="s">
        <v>1349</v>
      </c>
      <c r="GS170" s="1321" t="s">
        <v>1349</v>
      </c>
      <c r="GT170" s="1321" t="s">
        <v>1349</v>
      </c>
      <c r="GU170" s="1321" t="s">
        <v>1349</v>
      </c>
      <c r="GV170" s="1321" t="s">
        <v>1349</v>
      </c>
      <c r="GW170" s="1321"/>
      <c r="GX170" s="1321"/>
      <c r="GY170" s="1321"/>
      <c r="GZ170" s="1321"/>
      <c r="HA170" s="1321"/>
      <c r="HB170" s="1321"/>
      <c r="HC170" s="1321"/>
      <c r="HD170" s="1321"/>
      <c r="HE170" s="1321"/>
      <c r="HF170" s="1321"/>
      <c r="HG170" s="1321"/>
      <c r="HH170" s="1321"/>
      <c r="HI170" s="1321"/>
      <c r="HJ170" s="1321"/>
      <c r="HK170" s="1321"/>
      <c r="HL170" s="1321"/>
      <c r="HM170" s="1321"/>
      <c r="HN170" s="1321"/>
      <c r="HO170" s="1321"/>
      <c r="HP170" s="1321"/>
      <c r="HQ170" s="1321"/>
      <c r="HR170" s="1321"/>
      <c r="HS170" s="1321"/>
      <c r="HT170" s="1321"/>
      <c r="HU170" s="1321"/>
      <c r="HV170" s="1321"/>
      <c r="HW170" s="1321"/>
      <c r="HX170" s="1321"/>
      <c r="HY170" s="1321"/>
      <c r="HZ170" s="1321"/>
      <c r="IA170" s="1321"/>
      <c r="IB170" s="1321"/>
      <c r="IC170" s="1321"/>
      <c r="ID170" s="1321"/>
      <c r="IE170" s="1321"/>
      <c r="IF170" s="1321"/>
      <c r="IG170" s="1321"/>
      <c r="IH170" s="1321"/>
      <c r="II170" s="1321"/>
      <c r="IJ170" s="1321"/>
      <c r="IK170" s="1321"/>
      <c r="IL170" s="1321"/>
      <c r="IM170" s="1321"/>
      <c r="IN170" s="1368"/>
    </row>
    <row r="171" spans="1:248" ht="12.75" customHeight="1" x14ac:dyDescent="0.2">
      <c r="A171" s="1307" t="s">
        <v>624</v>
      </c>
      <c r="B171" s="1209">
        <v>0.01</v>
      </c>
      <c r="C171" s="1321"/>
      <c r="D171" s="1253" t="s">
        <v>1800</v>
      </c>
      <c r="E171" s="1254">
        <v>16</v>
      </c>
      <c r="F171" s="1321"/>
      <c r="G171" s="1321"/>
      <c r="H171" s="1321"/>
      <c r="I171" s="1321"/>
      <c r="J171" s="1321"/>
      <c r="K171" s="1321"/>
      <c r="L171" s="1321"/>
      <c r="M171" s="1321"/>
      <c r="N171" s="1321"/>
      <c r="O171" s="1321"/>
      <c r="P171" s="1321"/>
      <c r="Q171" s="1321"/>
      <c r="R171" s="1321"/>
      <c r="S171" s="1321"/>
      <c r="T171" s="1321"/>
      <c r="U171" s="1321"/>
      <c r="V171" s="1321"/>
      <c r="W171" s="1321"/>
      <c r="X171" s="1321"/>
      <c r="Y171" s="1321"/>
      <c r="Z171" s="1321"/>
      <c r="AA171" s="1321"/>
      <c r="AB171" s="1321"/>
      <c r="AC171" s="1321"/>
      <c r="AD171" s="1321"/>
      <c r="AE171" s="1321"/>
      <c r="AF171" s="1321"/>
      <c r="AG171" s="1321"/>
      <c r="AH171" s="1321"/>
      <c r="AI171" s="1321"/>
      <c r="AJ171" s="1321"/>
      <c r="AK171" s="1321"/>
      <c r="AL171" s="1321"/>
      <c r="AM171" s="1321"/>
      <c r="AN171" s="1321"/>
      <c r="AO171" s="1321"/>
      <c r="AP171" s="1321"/>
      <c r="AQ171" s="1321"/>
      <c r="AR171" s="1321"/>
      <c r="AS171" s="1321"/>
      <c r="AT171" s="1321"/>
      <c r="AU171" s="1321"/>
      <c r="AV171" s="1321"/>
      <c r="AW171" s="1321"/>
      <c r="AX171" s="1321"/>
      <c r="AY171" s="1321"/>
      <c r="AZ171" s="1321"/>
      <c r="BA171" s="1321"/>
      <c r="BB171" s="1236" t="s">
        <v>1315</v>
      </c>
      <c r="BC171" s="1190" t="s">
        <v>1718</v>
      </c>
      <c r="BD171" s="1190" t="s">
        <v>1252</v>
      </c>
      <c r="BE171" s="1237">
        <v>0</v>
      </c>
      <c r="BF171" s="1237">
        <v>0</v>
      </c>
      <c r="BG171" s="1237">
        <v>0</v>
      </c>
      <c r="BH171" s="1237">
        <v>0</v>
      </c>
      <c r="BI171" s="1237">
        <v>0</v>
      </c>
      <c r="BJ171" s="1237">
        <v>0</v>
      </c>
      <c r="BK171" s="1238">
        <v>8</v>
      </c>
      <c r="BL171" s="1321"/>
      <c r="BM171" s="1346"/>
      <c r="BN171" s="1321"/>
      <c r="BO171" s="1321"/>
      <c r="BP171" s="1321"/>
      <c r="BQ171" s="1321"/>
      <c r="BR171" s="1321"/>
      <c r="BS171" s="1321"/>
      <c r="BT171" s="1321"/>
      <c r="BU171" s="1321"/>
      <c r="BV171" s="1345"/>
      <c r="BW171" s="1345"/>
      <c r="BX171" s="1075" t="str">
        <f t="shared" si="57"/>
        <v>Soja</v>
      </c>
      <c r="BY171" s="1075">
        <f t="array" ref="BY171">IF(ChoixRationComplèteCaprins=OUI,0,IFERROR(IF(OR(AND(INDEX(Règles_caprins[Specificite],MATCH(ChoixRationCaprins&amp;$BX171,Règles_caprins[Ration]&amp;Règles_caprins[Aliment],0))="s1",IF($BX171=Spécificité1Caprins,1)),
INDEX(Règles_caprins[Specificite],MATCH(ChoixRationCaprins&amp;$BX171,Règles_caprins[Ration]&amp;Règles_caprins[Aliment],0))="c"),
INDEX(Règles_caprins[Valeur 12 et plus],MATCH(ChoixRationCaprins&amp;$BX171,Règles_caprins[Ration]&amp;Règles_caprins[Aliment],0)),0),0)*TotalChèvres*SUM(NbreJoursNourrirCaprins))</f>
        <v>0</v>
      </c>
      <c r="BZ171" s="1075">
        <f t="array" ref="BZ171">IF(ChoixRationComplèteCaprins=OUI,0,IFERROR(IF(OR(AND(INDEX(Règles_caprins[Specificite],MATCH(ChoixRationCaprins&amp;$BX171,Règles_caprins[Ration]&amp;Règles_caprins[Aliment],0))="s1",IF($BX171=Spécificité1Caprins,1)),
INDEX(Règles_caprins[Specificite],MATCH(ChoixRationCaprins&amp;$BX171,Règles_caprins[Ration]&amp;Règles_caprins[Aliment],0))="c"),
INDEX(Règles_caprins[Valeur 6-12],MATCH(ChoixRationCaprins&amp;$BX171,Règles_caprins[Ration]&amp;Règles_caprins[Aliment],0)),0),0)*jeune_chèvre_6_12_mois*SUM(NbreJoursNourrirCaprins))</f>
        <v>0</v>
      </c>
      <c r="CA171" s="1075">
        <f t="array" ref="CA171">IF(ChoixRationComplèteCaprins=OUI,0,IFERROR(IF(OR(AND(INDEX(Règles_caprins[Specificite],MATCH(ChoixRationCaprins&amp;$BX171,Règles_caprins[Ration]&amp;Règles_caprins[Aliment],0))="s1",IF($BX171=Spécificité1Caprins,1)),
INDEX(Règles_caprins[Specificite],MATCH(ChoixRationCaprins&amp;$BX171,Règles_caprins[Ration]&amp;Règles_caprins[Aliment],0))="c"),
INDEX(Règles_caprins[Valeur 3-6],MATCH(ChoixRationCaprins&amp;$BX171,Règles_caprins[Ration]&amp;Règles_caprins[Aliment],0)),0),0)*chevrette_3_6_mois*SUM(NbreJoursNourrirCaprins))</f>
        <v>0</v>
      </c>
      <c r="CB171" s="1075">
        <f t="array" ref="CB171">IF(ChoixRationComplèteCaprins=OUI,0,IFERROR(IF(OR(AND(INDEX(Règles_caprins[Specificite],MATCH(ChoixRationCaprins&amp;$BX171,Règles_caprins[Ration]&amp;Règles_caprins[Aliment],0))="s1",IF($BX171=Spécificité1Caprins,1)),
INDEX(Règles_caprins[Specificite],MATCH(ChoixRationCaprins&amp;$BX171,Règles_caprins[Ration]&amp;Règles_caprins[Aliment],0))="c"),
INDEX(Règles_caprins[Valeur 0-3],MATCH(ChoixRationCaprins&amp;$BX171,Règles_caprins[Ration]&amp;Règles_caprins[Aliment],0)),0),0)*chevrette_0_3_mois*SUM(NbreJoursNourrirCaprins))</f>
        <v>0</v>
      </c>
      <c r="CC171" s="1075">
        <f t="shared" si="56"/>
        <v>0</v>
      </c>
      <c r="CD171" s="1345"/>
      <c r="CE171" s="1345"/>
      <c r="CF171" s="1345"/>
      <c r="CG171" s="1345"/>
      <c r="CH171" s="1345"/>
      <c r="CI171" s="1321"/>
      <c r="CJ171" s="1076" t="str">
        <f t="shared" si="51"/>
        <v>Triticale</v>
      </c>
      <c r="CK171" s="1267">
        <f t="array" ref="CK171">SUM((IF(QualitéAlimentsPorceletMâle_0_1_mois=BONNE,VLOOKUP("Triticale",AlimentsRationPorcinsMâles[],6,FALSE),0)+(IF(QualitéAlimentsPorceletFemelle_0_1_mois=BONNE,VLOOKUP("Triticale",AlimentsRationPorcinsFemelles[],6,FALSE),0)+(IF(QualitéAlimentsPorceletMâle_1_3_mois=BONNE,VLOOKUP("Triticale",AlimentsRationPorcinsMâles[],5,FALSE),0)+(IF(QualitéAlimentsPorceletFemelle_1_3_mois=BONNE,VLOOKUP("Triticale",AlimentsRationPorcinsFemelles[],5,FALSE),0)+(IF(QualitéAlimentsJeuneVerrat_3_6_mois=BONNE,VLOOKUP("Triticale",AlimentsRationPorcinsMâles[],4,FALSE),0)+(IF(QualitéAlimentsJeuneTruie_3_6_mois=BONNE,VLOOKUP("Triticale",AlimentsRationPorcinsFemelles[],4,FALSE),0)+(IF(QualitéAlimentsJeuneVerrat_6_12_mois=BONNE,VLOOKUP("Triticale",AlimentsRationPorcinsMâles[],3,FALSE),0)+(IF(QualitéAlimentsJeuneTruie_6_12_mois=BONNE,VLOOKUP("Triticale",AlimentsRationPorcinsFemelles[],3,FALSE),0)+(IF(QualitéAlimentsVerrat=BONNE,VLOOKUP("Triticale",AlimentsRationPorcinsMâles[],2,FALSE),0)+(IF(QualitéAlimentsTruie=BONNE,VLOOKUP("Triticale",AlimentsRationPorcinsFemelles[],2,FALSE),0))))))))))))</f>
        <v>0</v>
      </c>
      <c r="CL171" s="1267">
        <f t="array" ref="CL171">SUM((IF(QualitéAlimentsPorceletMâle_0_1_mois=MOYENNE,VLOOKUP("Triticale",AlimentsRationPorcinsMâles[],6,FALSE),0)+(IF(QualitéAlimentsPorceletFemelle_0_1_mois=MOYENNE,VLOOKUP("Triticale",AlimentsRationPorcinsFemelles[],6,FALSE),0)+(IF(QualitéAlimentsPorceletMâle_1_3_mois=MOYENNE,VLOOKUP("Triticale",AlimentsRationPorcinsMâles[],5,FALSE),0)+(IF(QualitéAlimentsPorceletFemelle_1_3_mois=MOYENNE,VLOOKUP("Triticale",AlimentsRationPorcinsFemelles[],5,FALSE),0)+(IF(QualitéAlimentsJeuneVerrat_3_6_mois=MOYENNE,VLOOKUP("Triticale",AlimentsRationPorcinsMâles[],4,FALSE),0)+(IF(QualitéAlimentsJeuneTruie_3_6_mois=MOYENNE,VLOOKUP("Triticale",AlimentsRationPorcinsFemelles[],4,FALSE),0)+(IF(QualitéAlimentsJeuneVerrat_6_12_mois=MOYENNE,VLOOKUP("Triticale",AlimentsRationPorcinsMâles[],3,FALSE),0)+(IF(QualitéAlimentsJeuneTruie_6_12_mois=MOYENNE,VLOOKUP("Triticale",AlimentsRationPorcinsFemelles[],3,FALSE),0)+(IF(QualitéAlimentsVerrat=MOYENNE,VLOOKUP("Triticale",AlimentsRationPorcinsMâles[],2,FALSE),0)+(IF(QualitéAlimentsTruie=MOYENNE,VLOOKUP("Triticale",AlimentsRationPorcinsFemelles[],2,FALSE),0))))))))))))</f>
        <v>0</v>
      </c>
      <c r="CM171" s="1267">
        <f t="array" ref="CM171">SUM((IF(QualitéAlimentsPorceletMâle_0_1_mois=MAUVAISE,VLOOKUP("Triticale",AlimentsRationPorcinsMâles[],6,FALSE),0)+(IF(QualitéAlimentsPorceletFemelle_0_1_mois=MAUVAISE,VLOOKUP("Triticale",AlimentsRationPorcinsFemelles[],6,FALSE),0)+(IF(QualitéAlimentsPorceletMâle_1_3_mois=MAUVAISE,VLOOKUP("Triticale",AlimentsRationPorcinsMâles[],5,FALSE),0)+(IF(QualitéAlimentsPorceletFemelle_1_3_mois=MAUVAISE,VLOOKUP("Triticale",AlimentsRationPorcinsFemelles[],5,FALSE),0)+(IF(QualitéAlimentsJeuneVerrat_3_6_mois=MAUVAISE,VLOOKUP("Triticale",AlimentsRationPorcinsMâles[],4,FALSE),0)+(IF(QualitéAlimentsJeuneTruie_3_6_mois=MAUVAISE,VLOOKUP("Triticale",AlimentsRationPorcinsFemelles[],4,FALSE),0)+(IF(QualitéAlimentsJeuneVerrat_6_12_mois=MAUVAISE,VLOOKUP("Triticale",AlimentsRationPorcinsMâles[],3,FALSE),0)+(IF(QualitéAlimentsJeuneTruie_6_12_mois=MAUVAISE,VLOOKUP("Triticale",AlimentsRationPorcinsFemelles[],3,FALSE),0)+(IF(QualitéAlimentsVerrat=MAUVAISE,VLOOKUP("Triticale",AlimentsRationPorcinsMâles[],2,FALSE),0)+(IF(QualitéAlimentsTruie=MAUVAISE,VLOOKUP("Triticale",AlimentsRationPorcinsFemelles[],2,FALSE),0))))))))))))</f>
        <v>0</v>
      </c>
      <c r="CN171" s="1321"/>
      <c r="CO171" s="1321"/>
      <c r="CP171" s="1321"/>
      <c r="CQ171" s="1321"/>
      <c r="CR171" s="1321"/>
      <c r="CS171" s="1076" t="str">
        <f t="shared" si="66"/>
        <v>Lentille</v>
      </c>
      <c r="CT171" s="1267">
        <f t="array" ref="CT171">SUM((IF(QualitéAlimentsLapereauMâle_0_1_mois=BONNE,VLOOKUP("Lentille",AlimentsRationLapinsMâles[],4,FALSE),0)+(IF(QualitéAlimentsLapereauFemelle_0_1_mois=BONNE,VLOOKUP("Lentille",AlimentsRationLapinsFemelles[],4,FALSE),0)+(IF(QualitéAlimentsJeuneLapin=BONNE,VLOOKUP("Lentille",AlimentsRationLapinsMâles[],3,FALSE),0)+(IF(QualitéAlimentsJeuneLapine=BONNE,VLOOKUP("Lentille",AlimentsRationLapinsFemelles[],3,FALSE),0)+(IF(QualitéAlimentsLapin=BONNE,VLOOKUP("Lentille",AlimentsRationLapinsMâles[],2,FALSE),0)+(IF(QualitéAlimentsLapine=BONNE,VLOOKUP("Lentille",AlimentsRationLapinsFemelles[],2,FALSE),0))))))))</f>
        <v>0</v>
      </c>
      <c r="CU171" s="1267">
        <f t="array" ref="CU171">SUM((IF(QualitéAlimentsLapereauMâle_0_1_mois=MOYENNE,VLOOKUP("Lentille",AlimentsRationLapinsMâles[],4,FALSE),0)+(IF(QualitéAlimentsLapereauFemelle_0_1_mois=MOYENNE,VLOOKUP("Lentille",AlimentsRationLapinsFemelles[],4,FALSE),0)+(IF(QualitéAlimentsJeuneLapin=MOYENNE,VLOOKUP("Lentille",AlimentsRationLapinsMâles[],3,FALSE),0)+(IF(QualitéAlimentsJeuneLapine=MOYENNE,VLOOKUP("Lentille",AlimentsRationLapinsFemelles[],3,FALSE),0)+(IF(QualitéAlimentsLapin=MOYENNE,VLOOKUP("Lentille",AlimentsRationLapinsMâles[],2,FALSE),0)+(IF(QualitéAlimentsLapine=MOYENNE,VLOOKUP("Lentille",AlimentsRationLapinsFemelles[],2,FALSE),0))))))))</f>
        <v>0</v>
      </c>
      <c r="CV171" s="1267">
        <f t="array" ref="CV171">SUM((IF(QualitéAlimentsLapereauMâle_0_1_mois=MAUVAISE,VLOOKUP("Lentille",AlimentsRationLapinsMâles[],4,FALSE),0)+(IF(QualitéAlimentsLapereauFemelle_0_1_mois=MAUVAISE,VLOOKUP("Lentille",AlimentsRationLapinsFemelles[],4,FALSE),0)+(IF(QualitéAlimentsJeuneLapin=MAUVAISE,VLOOKUP("Lentille",AlimentsRationLapinsMâles[],3,FALSE),0)+(IF(QualitéAlimentsJeuneLapine=MAUVAISE,VLOOKUP("Lentille",AlimentsRationLapinsFemelles[],3,FALSE),0)+(IF(QualitéAlimentsLapin=MAUVAISE,VLOOKUP("Lentille",AlimentsRationLapinsMâles[],2,FALSE),0)+(IF(QualitéAlimentsLapine=MAUVAISE,VLOOKUP("Lentille",AlimentsRationLapinsFemelles[],2,FALSE),0))))))))</f>
        <v>0</v>
      </c>
      <c r="CW171" s="1321"/>
      <c r="CX171" s="1321"/>
      <c r="CY171" s="1321"/>
      <c r="CZ171" s="1075" t="str">
        <f t="shared" si="65"/>
        <v>Maïs ensilé</v>
      </c>
      <c r="DA171" s="1269">
        <f t="array" ref="DA171">SUM((IF(QualitéAlimentsPoussinMâle_0_1_mois=BONNE,VLOOKUP("Maïs ensilé",AlimentsRationVolaillesMâles[],4,FALSE),0)+(IF(QualitéAlimentsPoussinFemelle_0_1_mois=BONNE,VLOOKUP("Maïs ensilé",AlimentsRationVolaillesFemelles[],4,FALSE),0)+(IF(QualitéAlimentsJeuneCoq=BONNE,VLOOKUP("Maïs ensilé",AlimentsRationVolaillesMâles[],3,FALSE),0)+(IF(QualitéAlimentsJeunePoule=BONNE,VLOOKUP("Maïs ensilé",AlimentsRationVolaillesFemelles[],3,FALSE),0)+(IF(QualitéAlimentsCoq=BONNE,VLOOKUP("Maïs ensilé",AlimentsRationVolaillesMâles[],2,FALSE),0)+(IF(QualitéAlimentsPoule=BONNE,VLOOKUP("Maïs ensilé",AlimentsRationVolaillesFemelles[],2,FALSE),0))))))))</f>
        <v>0</v>
      </c>
      <c r="DB171" s="1269">
        <f t="array" ref="DB171">SUM((IF(QualitéAlimentsPoussinMâle_0_1_mois=MOYENNE,VLOOKUP("Maïs ensilé",AlimentsRationVolaillesMâles[],4,FALSE),0)+(IF(QualitéAlimentsPoussinFemelle_0_1_mois=MOYENNE,VLOOKUP("Maïs ensilé",AlimentsRationVolaillesFemelles[],4,FALSE),0)+(IF(QualitéAlimentsJeuneCoq=MOYENNE,VLOOKUP("Maïs ensilé",AlimentsRationVolaillesMâles[],3,FALSE),0)+(IF(QualitéAlimentsJeunePoule=MOYENNE,VLOOKUP("Maïs ensilé",AlimentsRationVolaillesFemelles[],3,FALSE),0)+(IF(QualitéAlimentsCoq=MOYENNE,VLOOKUP("Maïs ensilé",AlimentsRationVolaillesMâles[],2,FALSE),0)+(IF(QualitéAlimentsPoule=MOYENNE,VLOOKUP("Maïs ensilé",AlimentsRationVolaillesFemelles[],2,FALSE),0))))))))</f>
        <v>0</v>
      </c>
      <c r="DC171" s="1269">
        <f t="array" ref="DC171">SUM((IF(QualitéAlimentsPoussinMâle_0_1_mois=MAUVAISE,VLOOKUP("Maïs ensilé",AlimentsRationVolaillesMâles[],4,FALSE),0)+(IF(QualitéAlimentsPoussinFemelle_0_1_mois=MAUVAISE,VLOOKUP("Maïs ensilé",AlimentsRationVolaillesFemelles[],4,FALSE),0)+(IF(QualitéAlimentsJeuneCoq=MAUVAISE,VLOOKUP("Maïs ensilé",AlimentsRationVolaillesMâles[],3,FALSE),0)+(IF(QualitéAlimentsJeunePoule=MAUVAISE,VLOOKUP("Maïs ensilé",AlimentsRationVolaillesFemelles[],3,FALSE),0)+(IF(QualitéAlimentsCoq=MAUVAISE,VLOOKUP("Maïs ensilé",AlimentsRationVolaillesMâles[],2,FALSE),0)+(IF(QualitéAlimentsPoule=MAUVAISE,VLOOKUP("Maïs ensilé",AlimentsRationVolaillesFemelles[],2,FALSE),0))))))))</f>
        <v>0</v>
      </c>
      <c r="DD171" s="1321"/>
      <c r="DE171" s="1321"/>
      <c r="DF171" s="1321"/>
      <c r="DG171" s="1075" t="str">
        <f t="shared" si="58"/>
        <v>Soja</v>
      </c>
      <c r="DH171" s="1269">
        <f t="array" ref="DH171">SUM((IF(QualitéAlimentsPintadeauMâle_0_1_mois=BONNE,VLOOKUP("Soja",AlimentsRationPintadesMâles[],4,FALSE),0)+(IF(QualitéAlimentsPintadeauFemelle_0_1_mois=BONNE,VLOOKUP("Soja",AlimentsRationPintadesFemelles[],4,FALSE),0)+(IF(QualitéAlimentsJeunePintadeMâle=BONNE,VLOOKUP("Soja",AlimentsRationPintadesMâles[],3,FALSE),0)+(IF(QualitéAlimentsJeunePintadeFemelle=BONNE,VLOOKUP("Soja",AlimentsRationPintadesFemelles[],3,FALSE),0)+(IF(QualitéAlimentsPintadeMâle=BONNE,VLOOKUP("Soja",AlimentsRationPintadesMâles[],2,FALSE),0)+(IF(QualitéAlimentsPintadeFemelle=BONNE,VLOOKUP("Soja",AlimentsRationPintadesFemelles[],2,FALSE),0))))))))</f>
        <v>0</v>
      </c>
      <c r="DI171" s="1269">
        <f t="array" ref="DI171">SUM((IF(QualitéAlimentsPintadeauMâle_0_1_mois=MOYENNE,VLOOKUP("Soja",AlimentsRationPintadesMâles[],4,FALSE),0)+(IF(QualitéAlimentsPintadeauFemelle_0_1_mois=MOYENNE,VLOOKUP("Soja",AlimentsRationPintadesFemelles[],4,FALSE),0)+(IF(QualitéAlimentsJeunePintadeMâle=MOYENNE,VLOOKUP("Soja",AlimentsRationPintadesMâles[],3,FALSE),0)+(IF(QualitéAlimentsJeunePintadeFemelle=MOYENNE,VLOOKUP("Soja",AlimentsRationPintadesFemelles[],3,FALSE),0)+(IF(QualitéAlimentsPintadeMâle=MOYENNE,VLOOKUP("Soja",AlimentsRationPintadesMâles[],2,FALSE),0)+(IF(QualitéAlimentsPintadeFemelle=MOYENNE,VLOOKUP("Soja",AlimentsRationPintadesFemelles[],2,FALSE),0))))))))</f>
        <v>0</v>
      </c>
      <c r="DJ171" s="1269">
        <f t="array" ref="DJ171">SUM((IF(QualitéAlimentsPintadeauMâle_0_1_mois=MAUVAISE,VLOOKUP("Soja",AlimentsRationPintadesMâles[],4,FALSE),0)+(IF(QualitéAlimentsPintadeauFemelle_0_1_mois=MAUVAISE,VLOOKUP("Soja",AlimentsRationPintadesFemelles[],4,FALSE),0)+(IF(QualitéAlimentsJeunePintadeMâle=MAUVAISE,VLOOKUP("Soja",AlimentsRationPintadesMâles[],3,FALSE),0)+(IF(QualitéAlimentsJeunePintadeFemelle=MAUVAISE,VLOOKUP("Soja",AlimentsRationPintadesFemelles[],3,FALSE),0)+(IF(QualitéAlimentsPintadeMâle=MAUVAISE,VLOOKUP("Soja",AlimentsRationPintadesMâles[],2,FALSE),0)+(IF(QualitéAlimentsPintadeFemelle=MAUVAISE,VLOOKUP("Soja",AlimentsRationPintadesFemelles[],2,FALSE),0))))))))</f>
        <v>0</v>
      </c>
      <c r="DK171" s="1321"/>
      <c r="DL171" s="1321"/>
      <c r="DM171" s="1321"/>
      <c r="DN171" s="1075" t="s">
        <v>725</v>
      </c>
      <c r="DO171" s="1269">
        <f t="array" ref="DO171">IF(ChoixRationComplèteOvins=OUI,0,IFERROR(IF(OR(AND(INDEX(Règles_ovins[Specificite],MATCH(ChoixRationOvins&amp;$DN171,Règles_ovins[Ration]&amp;Règles_ovins[Aliment],0))="s1",IF($DN171=Spécificité1Ovins,1)),
AND(INDEX(Règles_ovins[Specificite],MATCH(ChoixRationOvins&amp;$DN171,Règles_ovins[Ration]&amp;Règles_ovins[Aliment],0))="s2",IF($DN171=Spécificité2Ovins,1)),
INDEX(Règles_ovins[Specificite],MATCH(ChoixRationOvins&amp;$DN171,Règles_ovins[Ration]&amp;Règles_ovins[Aliment],0))="c"),
INDEX(Règles_ovins[Valeur 12 et plus],MATCH(ChoixRationOvins&amp;$DN171,Règles_ovins[Ration]&amp;Règles_ovins[Aliment],0)),0),0)*IF(ChoixOvinsPréHiver=OUI,SUM(TotalOvinsAdultesRacesLaitières)*NbreJoursNourrirOvins,TotalBéliers*SUM(NbreJoursNourrirOvins)))</f>
        <v>0</v>
      </c>
      <c r="DP171" s="1269">
        <f t="array" ref="DP171">IF(ChoixRationComplèteOvins=OUI,0,IFERROR(IF(OR(AND(INDEX(Règles_ovins[Specificite],MATCH(ChoixRationOvins&amp;$DN171,Règles_ovins[Ration]&amp;Règles_ovins[Aliment],0))="s1",IF($DN171=Spécificité1Ovins,1)),
AND(INDEX(Règles_ovins[Specificite],MATCH(ChoixRationOvins&amp;$DN171,Règles_ovins[Ration]&amp;Règles_ovins[Aliment],0))="s2",IF($DN171=Spécificité2Ovins,1)),
INDEX(Règles_ovins[Specificite],MATCH(ChoixRationOvins&amp;$DN171,Règles_ovins[Ration]&amp;Règles_ovins[Aliment],0))="c"),
INDEX(Règles_ovins[Valeur 6-12],MATCH(ChoixRationOvins&amp;$DN171,Règles_ovins[Ration]&amp;Règles_ovins[Aliment],0)),0),0)*IF(ChoixOvinsPréHiver=OUI,SUM(TotalJeunesOvinsRacesLaitières)*NbreJoursNourrirOvins,TotalJeune_bélier_6_12_mois*SUM(NbreJoursNourrirOvins)))</f>
        <v>0</v>
      </c>
      <c r="DQ171" s="1269">
        <f t="array" ref="DQ171">IF(ChoixRationComplèteOvins=OUI,0,IFERROR(IF(OR(AND(INDEX(Règles_ovins[Specificite],MATCH(ChoixRationOvins&amp;$DN171,Règles_ovins[Ration]&amp;Règles_ovins[Aliment],0))="s1",IF($DN171=Spécificité1Ovins,1)),
AND(INDEX(Règles_ovins[Specificite],MATCH(ChoixRationOvins&amp;$DN171,Règles_ovins[Ration]&amp;Règles_ovins[Aliment],0))="s2",IF($DN171=Spécificité2Ovins,1)),
INDEX(Règles_ovins[Specificite],MATCH(ChoixRationOvins&amp;$DN171,Règles_ovins[Ration]&amp;Règles_ovins[Aliment],0))="c"),
INDEX(Règles_ovins[Valeur 3-6],MATCH(ChoixRationOvins&amp;$DN171,Règles_ovins[Ration]&amp;Règles_ovins[Aliment],0)),0),0)*IF(ChoixOvinsPréHiver=OUI,SUM(TotalOvins_3_6moisRacesLaitières)*NbreJoursNourrirOvins,TotalAgneau_3_6_mois*SUM(NbreJoursNourrirOvins)))</f>
        <v>0</v>
      </c>
      <c r="DR171" s="1269">
        <f t="array" ref="DR171">IF(ChoixRationComplèteOvins=OUI,0,IFERROR(IF(OR(AND(INDEX(Règles_ovins[Specificite],MATCH(ChoixRationOvins&amp;$DN171,Règles_ovins[Ration]&amp;Règles_ovins[Aliment],0))="s1",IF($DN171=Spécificité1Ovins,1)),
AND(INDEX(Règles_ovins[Specificite],MATCH(ChoixRationOvins&amp;$DN171,Règles_ovins[Ration]&amp;Règles_ovins[Aliment],0))="s2",IF($DN171=Spécificité2Ovins,1)),
INDEX(Règles_ovins[Specificite],MATCH(ChoixRationOvins&amp;$DN171,Règles_ovins[Ration]&amp;Règles_ovins[Aliment],0))="c"),
INDEX(Règles_ovins[Valeur 0-3],MATCH(ChoixRationOvins&amp;$DN171,Règles_ovins[Ration]&amp;Règles_ovins[Aliment],0)),0),0)*IF(ChoixOvinsPréHiver=OUI,SUM(TotalOvins_3_6moisRacesLaitières)*NbreJoursNourrirOvins,TotalAgneau_0_3_mois*SUM(NbreJoursNourrirOvins)))</f>
        <v>0</v>
      </c>
      <c r="DS171" s="1280">
        <f t="shared" si="61"/>
        <v>0</v>
      </c>
      <c r="DT171" s="1346"/>
      <c r="DU171" s="1346"/>
      <c r="DV171" s="1321"/>
      <c r="DW171" s="1321"/>
      <c r="DX171" s="1321"/>
      <c r="DY171" s="1321"/>
      <c r="DZ171" s="1321"/>
      <c r="EA171" s="1321"/>
      <c r="EB171" s="1321"/>
      <c r="EC171" s="1321"/>
      <c r="ED171" s="1345"/>
      <c r="EE171" s="1345"/>
      <c r="EF171" s="1321"/>
      <c r="EG171" s="1075" t="str">
        <f t="shared" si="63"/>
        <v>Paille</v>
      </c>
      <c r="EH171" s="1269">
        <f t="array" ref="EH171">SUM((IF(QualitéAlimentsOisonMâle_0_3_mois=BONNE,VLOOKUP("Paille",AlimentsRationOiesMâles[],4,FALSE),0)+(IF(QualitéAlimentsOisonFemelle_0_3_mois=BONNE,VLOOKUP("Paille",AlimentsRationOiesFemelles[],4,FALSE),0)+(IF(QualitéAlimentsJeuneJars=BONNE,VLOOKUP("Paille",AlimentsRationOiesMâles[],3,FALSE),0)+(IF(QualitéAlimentsJeuneOie=BONNE,VLOOKUP("Paille",AlimentsRationOiesFemelles[],3,FALSE),0)+(IF(QualitéAlimentsJars=BONNE,VLOOKUP("Paille",AlimentsRationOiesMâles[],2,FALSE),0)+(IF(QualitéAlimentsOie=BONNE,VLOOKUP("Paille",AlimentsRationOiesFemelles[],2,FALSE),0))))))))</f>
        <v>0</v>
      </c>
      <c r="EI171" s="1269">
        <f t="array" ref="EI171">SUM((IF(QualitéAlimentsOisonMâle_0_3_mois=MOYENNE,VLOOKUP("Paille",AlimentsRationOiesMâles[],4,FALSE),0)+(IF(QualitéAlimentsOisonFemelle_0_3_mois=MOYENNE,VLOOKUP("Paille",AlimentsRationOiesFemelles[],4,FALSE),0)+(IF(QualitéAlimentsJeuneJars=MOYENNE,VLOOKUP("Paille",AlimentsRationOiesMâles[],3,FALSE),0)+(IF(QualitéAlimentsJeuneOie=MOYENNE,VLOOKUP("Paille",AlimentsRationOiesFemelles[],3,FALSE),0)+(IF(QualitéAlimentsJars=MOYENNE,VLOOKUP("Paille",AlimentsRationOiesMâles[],2,FALSE),0)+(IF(QualitéAlimentsOie=MOYENNE,VLOOKUP("Paille",AlimentsRationOiesFemelles[],2,FALSE),0))))))))</f>
        <v>0</v>
      </c>
      <c r="EJ171" s="1269">
        <f t="array" ref="EJ171">SUM((IF(QualitéAlimentsOisonMâle_0_3_mois=MAUVAISE,VLOOKUP("Paille",AlimentsRationOiesMâles[],4,FALSE),0)+(IF(QualitéAlimentsOisonFemelle_0_3_mois=MAUVAISE,VLOOKUP("Paille",AlimentsRationOiesFemelles[],4,FALSE),0)+(IF(QualitéAlimentsJeuneJars=MAUVAISE,VLOOKUP("Paille",AlimentsRationOiesMâles[],3,FALSE),0)+(IF(QualitéAlimentsJeuneOie=MAUVAISE,VLOOKUP("Paille",AlimentsRationOiesFemelles[],3,FALSE),0)+(IF(QualitéAlimentsJars=MAUVAISE,VLOOKUP("Paille",AlimentsRationOiesMâles[],2,FALSE),0)+(IF(QualitéAlimentsOie=MAUVAISE,VLOOKUP("Paille",AlimentsRationOiesFemelles[],2,FALSE),0)+LitièreOies[[#Totals],[litière]])))))))</f>
        <v>0</v>
      </c>
      <c r="EK171" s="1345"/>
      <c r="EL171" s="1345"/>
      <c r="EM171" s="1321"/>
      <c r="EN171" s="1082" t="str">
        <f t="shared" si="62"/>
        <v>Pois</v>
      </c>
      <c r="EO171" s="1282">
        <f t="array" ref="EO171">SUM((IF(QualitéAlimentsCanetonMâle=BONNE,VLOOKUP("Pois",AlimentsRationCanardsMâles,4,FALSE),0)+(IF(QualitéAlimentsCanetonFemelle=BONNE,VLOOKUP("Pois",AlimentsRationCanardsFemelles,4,FALSE),0)+(IF(QualitéAlimentsJeuneCanard=BONNE,VLOOKUP("Pois",AlimentsRationCanardsMâles,3,FALSE),0)+(IF(QualitéAlimentsJeuneCane=BONNE,VLOOKUP("Pois",AlimentsRationCanardsFemelles,3,FALSE),0)+(IF(QualitéAlimentsCanard=BONNE,VLOOKUP("Pois",AlimentsRationCanardsMâles,2,FALSE),0)+(IF(QualitéAlimentsCane=BONNE,VLOOKUP("Pois",AlimentsRationCanardsFemelles,2,FALSE),0))))))))</f>
        <v>0</v>
      </c>
      <c r="EP171" s="1282">
        <f t="array" ref="EP171">SUM((IF(QualitéAlimentsCanetonMâle=MOYENNE,VLOOKUP("Pois",AlimentsRationCanardsMâles,4,FALSE),0)+(IF(QualitéAlimentsCanetonFemelle=MOYENNE,VLOOKUP("Pois",AlimentsRationCanardsFemelles,4,FALSE),0)+(IF(QualitéAlimentsJeuneCanard=MOYENNE,VLOOKUP("Pois",AlimentsRationCanardsMâles,3,FALSE),0)+(IF(QualitéAlimentsJeuneCane=MOYENNE,VLOOKUP("Pois",AlimentsRationCanardsFemelles,3,FALSE),0)+(IF(QualitéAlimentsCanard=MOYENNE,VLOOKUP("Pois",AlimentsRationCanardsMâles,2,FALSE),0)+(IF(QualitéAlimentsCane=MOYENNE,VLOOKUP("Pois",AlimentsRationCanardsFemelles,2,FALSE),0))))))))</f>
        <v>0</v>
      </c>
      <c r="EQ171" s="1282">
        <f t="array" ref="EQ171">SUM((IF(QualitéAlimentsCanetonMâle=MAUVAISE,VLOOKUP("Pois",AlimentsRationCanardsMâles,4,FALSE),0)+(IF(QualitéAlimentsCanetonFemelle=MAUVAISE,VLOOKUP("Pois",AlimentsRationCanardsFemelles,4,FALSE),0)+(IF(QualitéAlimentsJeuneCanard=MAUVAISE,VLOOKUP("Pois",AlimentsRationCanardsMâles,3,FALSE),0)+(IF(QualitéAlimentsJeuneCane=MAUVAISE,VLOOKUP("Pois",AlimentsRationCanardsFemelles,3,FALSE),0)+(IF(QualitéAlimentsCanard=MAUVAISE,VLOOKUP("Pois",AlimentsRationCanardsMâles,2,FALSE),0)+(IF(QualitéAlimentsCane=MAUVAISE,VLOOKUP("Pois",AlimentsRationCanardsFemelles,2,FALSE),0))))))))</f>
        <v>0</v>
      </c>
      <c r="ER171" s="1345"/>
      <c r="ES171" s="1345"/>
      <c r="ET171" s="1321"/>
      <c r="EU171" s="1083" t="str">
        <f t="shared" si="60"/>
        <v>Pomme de terre</v>
      </c>
      <c r="EV171" s="1283">
        <f t="array" ref="EV171">IF(OR(ChoixRationHivernaleComplèteChevauxSelle=OUI,ChoixRationHivernaleComplèteChevauxSelle="",ChoixChevauxSellePréHiver=NON),0,IFERROR(IF(OR(AND(INDEX(Règles_chevaux_selle[Specificite],MATCH(RationHivernaleAuPréChevauxSelle&amp;$EU171,Règles_chevaux_selle[Ration]&amp;Règles_chevaux_selle[Aliment],0))="s1",IF($EU171=Spécificité1ChevauxSelle,1)),
AND(INDEX(Règles_chevaux_selle[Specificite],MATCH(RationHivernaleAuPréChevauxSelle&amp;$EU171,Règles_chevaux_selle[Ration]&amp;Règles_chevaux_selle[Aliment],0))="s2",IF($EU171=Spécificité2ChevauxSelle,1)),
INDEX(Règles_chevaux_selle[Specificite],MATCH(RationHivernaleAuPréChevauxSelle&amp;$EU171,Règles_chevaux_selle[Ration]&amp;Règles_chevaux_selle[Aliment],0))="c"),
INDEX(Règles_chevaux_selle[Valeur 36 et plus],MATCH(RationHivernaleAuPréChevauxSelle&amp;$EU171,Règles_chevaux_selle[Ration]&amp;Règles_chevaux_selle[Aliment],0)),0),0)*SUM(TotalChevauxSelleAdultes)*21)</f>
        <v>0</v>
      </c>
      <c r="EW171" s="1283">
        <f t="array" ref="EW171">IF(OR(ChoixRationHivernaleComplèteChevauxSelle=OUI,ChoixRationHivernaleComplèteChevauxSelle="",ChoixChevauxSellePréHiver=NON),0,IFERROR(IF(OR(AND(INDEX(Règles_chevaux_selle[Specificite],MATCH(RationHivernaleAuPréChevauxSelle&amp;$EU171,Règles_chevaux_selle[Ration]&amp;Règles_chevaux_selle[Aliment],0))="s1",IF($EU171=Spécificité1ChevauxSelle,1)),
AND(INDEX(Règles_chevaux_selle[Specificite],MATCH(RationHivernaleAuPréChevauxSelle&amp;$EU171,Règles_chevaux_selle[Ration]&amp;Règles_chevaux_selle[Aliment],0))="s2",IF($EU171=Spécificité2ChevauxSelle,1)),
INDEX(Règles_chevaux_selle[Specificite],MATCH(RationHivernaleAuPréChevauxSelle&amp;$EU171,Règles_chevaux_selle[Ration]&amp;Règles_chevaux_selle[Aliment],0))="c"),
INDEX(Règles_chevaux_selle[Valeur 24-36],MATCH(RationHivernaleAuPréChevauxSelle&amp;$EU171,Règles_chevaux_selle[Ration]&amp;Règles_chevaux_selle[Aliment],0)),0),0)*SUM(TotalChevauxSelle_24_36mois)*21)</f>
        <v>0</v>
      </c>
      <c r="EX171" s="1283">
        <f t="array" ref="EX171">IF(OR(ChoixRationHivernaleComplèteChevauxSelle=OUI,ChoixRationHivernaleComplèteChevauxSelle="",ChoixChevauxSellePréHiver=NON),0,IFERROR(IF(OR(AND(INDEX(Règles_chevaux_selle[Specificite],MATCH(RationHivernaleAuPréChevauxSelle&amp;$EU171,Règles_chevaux_selle[Ration]&amp;Règles_chevaux_selle[Aliment],0))="s1",IF($EU171=Spécificité1ChevauxSelle,1)),
AND(INDEX(Règles_chevaux_selle[Specificite],MATCH(RationHivernaleAuPréChevauxSelle&amp;$EU171,Règles_chevaux_selle[Ration]&amp;Règles_chevaux_selle[Aliment],0))="s2",IF($EU171=Spécificité2ChevauxSelle,1)),
INDEX(Règles_chevaux_selle[Specificite],MATCH(RationHivernaleAuPréChevauxSelle&amp;$EU171,Règles_chevaux_selle[Ration]&amp;Règles_chevaux_selle[Aliment],0))="c"),
INDEX(Règles_chevaux_selle[Valeur 12-24],MATCH(RationHivernaleAuPréChevauxSelle&amp;$EU171,Règles_chevaux_selle[Ration]&amp;Règles_chevaux_selle[Aliment],0)),0),0)*SUM(TotalChevauxSelle_12_24mois)*21)</f>
        <v>0</v>
      </c>
      <c r="EY171" s="1286">
        <f t="array" ref="EY171">IF(OR(ChoixRationHivernaleComplèteChevauxSelle=OUI,ChoixRationHivernaleComplèteChevauxSelle="",ChoixChevauxSellePréHiver=NON),0,IFERROR(IF(OR(AND(INDEX(Règles_chevaux_selle[Specificite],MATCH(RationHivernaleAuPréChevauxSelle&amp;$EU171,Règles_chevaux_selle[Ration]&amp;Règles_chevaux_selle[Aliment],0))="s1",IF($EU171=Spécificité1ChevauxSelle,1)),
AND(INDEX(Règles_chevaux_selle[Specificite],MATCH(RationHivernaleAuPréChevauxSelle&amp;$EU171,Règles_chevaux_selle[Ration]&amp;Règles_chevaux_selle[Aliment],0))="s2",IF($EU171=Spécificité2ChevauxSelle,1)),
INDEX(Règles_chevaux_selle[Specificite],MATCH(RationHivernaleAuPréChevauxSelle&amp;$EU171,Règles_chevaux_selle[Ration]&amp;Règles_chevaux_selle[Aliment],0))="c"),
INDEX(Règles_chevaux_selle[Valeur 0-12],MATCH(RationHivernaleAuPréChevauxSelle&amp;$EU171,Règles_chevaux_selle[Ration]&amp;Règles_chevaux_selle[Aliment],0)),0),0)*SUM(TotalPoulainsSelle)*21)</f>
        <v>0</v>
      </c>
      <c r="EZ171" s="1286">
        <f t="shared" si="59"/>
        <v>0</v>
      </c>
      <c r="FA171" s="1345"/>
      <c r="FB171" s="1345"/>
      <c r="FC171" s="1321"/>
      <c r="FD171" s="1083" t="str">
        <f t="shared" si="55"/>
        <v>Tournesol</v>
      </c>
      <c r="FE171" s="1283">
        <f t="array" ref="FE171">IF(OR(ChoixRationHivernaleComplèteChevauxTrait=OUI,ChoixRationHivernaleComplèteChevauxTrait="",ChoixChevauxTraitPréHiver=NON),0,IFERROR(IF(OR(AND(INDEX(Règles_chevaux_trait[Specificite],MATCH(RationHivernaleAuPréChevauxTrait&amp;$FD171,Règles_chevaux_trait[Ration]&amp;Règles_chevaux_trait[Aliment],0))="s1",IF($FD171=Spécificité1ChevauxTrait,1)),
AND(INDEX(Règles_chevaux_trait[Specificite],MATCH(RationHivernaleAuPréChevauxTrait&amp;$FD171,Règles_chevaux_trait[Ration]&amp;Règles_chevaux_trait[Aliment],0))="s2",IF($FD171=Spécificité2ChevauxTrait,1)),
INDEX(Règles_chevaux_trait[Specificite],MATCH(RationHivernaleAuPréChevauxTrait&amp;$FD171,Règles_chevaux_trait[Ration]&amp;Règles_chevaux_trait[Aliment],0))="c"),
INDEX(Règles_chevaux_trait[Valeur 36 et plus],MATCH(RationHivernaleAuPréChevauxTrait&amp;$FD171,Règles_chevaux_trait[Ration]&amp;Règles_chevaux_trait[Aliment],0)),0),0)*SUM(TotalChevauxTraitAdultes)*21)</f>
        <v>0</v>
      </c>
      <c r="FF171" s="1283">
        <f t="array" ref="FF171">IF(OR(ChoixRationHivernaleComplèteChevauxTrait=OUI,ChoixRationHivernaleComplèteChevauxTrait="",ChoixChevauxTraitPréHiver=NON),0,IFERROR(IF(OR(AND(INDEX(Règles_chevaux_trait[Specificite],MATCH(RationHivernaleAuPréChevauxTrait&amp;$FD171,Règles_chevaux_trait[Ration]&amp;Règles_chevaux_trait[Aliment],0))="s1",IF($FD171=Spécificité1ChevauxTrait,1)),
AND(INDEX(Règles_chevaux_trait[Specificite],MATCH(RationHivernaleAuPréChevauxTrait&amp;$FD171,Règles_chevaux_trait[Ration]&amp;Règles_chevaux_trait[Aliment],0))="s2",IF($FD171=Spécificité2ChevauxTrait,1)),
INDEX(Règles_chevaux_trait[Specificite],MATCH(RationHivernaleAuPréChevauxTrait&amp;$FD171,Règles_chevaux_trait[Ration]&amp;Règles_chevaux_trait[Aliment],0))="c"),
INDEX(Règles_chevaux_trait[Valeur 24-36],MATCH(RationHivernaleAuPréChevauxTrait&amp;$FD171,Règles_chevaux_trait[Ration]&amp;Règles_chevaux_trait[Aliment],0)),0),0)*SUM(TotalChevauxTrait_24_36mois)*21)</f>
        <v>0</v>
      </c>
      <c r="FG171" s="1283">
        <f t="array" ref="FG171">IF(OR(ChoixRationHivernaleComplèteChevauxTrait=OUI,ChoixRationHivernaleComplèteChevauxTrait="",ChoixChevauxTraitPréHiver=NON),0,IFERROR(IF(OR(AND(INDEX(Règles_chevaux_trait[Specificite],MATCH(RationHivernaleAuPréChevauxTrait&amp;$FD171,Règles_chevaux_trait[Ration]&amp;Règles_chevaux_trait[Aliment],0))="s1",IF($FD171=Spécificité1ChevauxTrait,1)),
AND(INDEX(Règles_chevaux_trait[Specificite],MATCH(RationHivernaleAuPréChevauxTrait&amp;$FD171,Règles_chevaux_trait[Ration]&amp;Règles_chevaux_trait[Aliment],0))="s2",IF($FD171=Spécificité2ChevauxTrait,1)),
INDEX(Règles_chevaux_trait[Specificite],MATCH(RationHivernaleAuPréChevauxTrait&amp;$FD171,Règles_chevaux_trait[Ration]&amp;Règles_chevaux_trait[Aliment],0))="c"),
INDEX(Règles_chevaux_trait[Valeur 12-24],MATCH(RationHivernaleAuPréChevauxTrait&amp;$FD171,Règles_chevaux_trait[Ration]&amp;Règles_chevaux_trait[Aliment],0)),0),0)*SUM(TotalChevauxTrait_12_24mois)*21)</f>
        <v>0</v>
      </c>
      <c r="FH171" s="1286">
        <f t="array" ref="FH171">IF(OR(ChoixRationHivernaleComplèteChevauxTrait=OUI,ChoixRationHivernaleComplèteChevauxTrait="",ChoixChevauxTraitPréHiver=NON),0,IFERROR(IF(OR(AND(INDEX(Règles_chevaux_trait[Specificite],MATCH(RationHivernaleAuPréChevauxTrait&amp;$FD171,Règles_chevaux_trait[Ration]&amp;Règles_chevaux_trait[Aliment],0))="s1",IF($FD171=Spécificité1ChevauxTrait,1)),
AND(INDEX(Règles_chevaux_trait[Specificite],MATCH(RationHivernaleAuPréChevauxTrait&amp;$FD171,Règles_chevaux_trait[Ration]&amp;Règles_chevaux_trait[Aliment],0))="s2",IF($FD171=Spécificité2ChevauxTrait,1)),
INDEX(Règles_chevaux_trait[Specificite],MATCH(RationHivernaleAuPréChevauxTrait&amp;$FD171,Règles_chevaux_trait[Ration]&amp;Règles_chevaux_trait[Aliment],0))="c"),
INDEX(Règles_chevaux_trait[Valeur 0-12],MATCH(RationHivernaleAuPréChevauxTrait&amp;$FD171,Règles_chevaux_trait[Ration]&amp;Règles_chevaux_trait[Aliment],0)),0),0)*SUM(TotalPoulainsTrait)*21)</f>
        <v>0</v>
      </c>
      <c r="FI171" s="1286">
        <f t="shared" si="53"/>
        <v>0</v>
      </c>
      <c r="FJ171" s="1345"/>
      <c r="FK171" s="1345"/>
      <c r="FL171" s="1345"/>
      <c r="FM171" s="1321"/>
      <c r="FN171" s="1082" t="str">
        <f t="shared" si="54"/>
        <v>Tourteau de colza</v>
      </c>
      <c r="FO171" s="1282">
        <f t="array" ref="FO171">IF(OR(ChoixRationHivernaleComplètePoneys=OUI,ChoixRationHivernaleComplètePoneys="",ChoixPoneysPréHiver=NON),0,IFERROR(IF(OR(AND(INDEX(Règles_poneys[Specificite],MATCH(RationHivernaleAuPréPoneys&amp;$FN171,Règles_poneys[Ration]&amp;Règles_poneys[Aliment],0))="s1",IF($FN171=Spécificité1Poneys,1)),
AND(INDEX(Règles_poneys[Specificite],MATCH(RationHivernaleAuPréPoneys&amp;$FN171,Règles_poneys[Ration]&amp;Règles_poneys[Aliment],0))="s2",IF($FN171=Spécificité2Poneys,1)),
INDEX(Règles_poneys[Specificite],MATCH(RationHivernaleAuPréPoneys&amp;$FN171,Règles_poneys[Ration]&amp;Règles_poneys[Aliment],0))="c"),
INDEX(Règles_poneys[Valeur 36 et plus],MATCH(RationHivernaleAuPréPoneys&amp;$FN171,Règles_poneys[Ration]&amp;Règles_poneys[Aliment],0)),0),0)*SUM(TotalPoneysAdultes)*21)</f>
        <v>0</v>
      </c>
      <c r="FP171" s="1282">
        <f t="array" ref="FP171">IF(OR(ChoixRationHivernaleComplètePoneys=OUI,ChoixRationHivernaleComplètePoneys="",ChoixPoneysPréHiver=NON),0,IFERROR(IF(OR(AND(INDEX(Règles_poneys[Specificite],MATCH(RationHivernaleAuPréPoneys&amp;$FN171,Règles_poneys[Ration]&amp;Règles_poneys[Aliment],0))="s1",IF($FN171=Spécificité1Poneys,1)),
AND(INDEX(Règles_poneys[Specificite],MATCH(RationHivernaleAuPréPoneys&amp;$FN171,Règles_poneys[Ration]&amp;Règles_poneys[Aliment],0))="s2",IF($FN171=Spécificité2Poneys,1)),
INDEX(Règles_poneys[Specificite],MATCH(RationHivernaleAuPréPoneys&amp;$FN171,Règles_poneys[Ration]&amp;Règles_poneys[Aliment],0))="c"),
INDEX(Règles_poneys[Valeur 24-36],MATCH(RationHivernaleAuPréPoneys&amp;$FN171,Règles_poneys[Ration]&amp;Règles_poneys[Aliment],0)),0),0)*SUM(TotalPoneys_24_36mois)*21)</f>
        <v>0</v>
      </c>
      <c r="FQ171" s="1282">
        <f t="array" ref="FQ171">IF(OR(ChoixRationHivernaleComplètePoneys=OUI,ChoixRationHivernaleComplètePoneys="",ChoixPoneysPréHiver=NON),0,IFERROR(IF(OR(AND(INDEX(Règles_poneys[Specificite],MATCH(RationHivernaleAuPréPoneys&amp;$FN171,Règles_poneys[Ration]&amp;Règles_poneys[Aliment],0))="s1",IF($FN171=Spécificité1Poneys,1)),
AND(INDEX(Règles_poneys[Specificite],MATCH(RationHivernaleAuPréPoneys&amp;$FN171,Règles_poneys[Ration]&amp;Règles_poneys[Aliment],0))="s2",IF($FN171=Spécificité2Poneys,1)),
INDEX(Règles_poneys[Specificite],MATCH(RationHivernaleAuPréPoneys&amp;$FN171,Règles_poneys[Ration]&amp;Règles_poneys[Aliment],0))="c"),
INDEX(Règles_poneys[Valeur 12-24],MATCH(RationHivernaleAuPréPoneys&amp;$FN171,Règles_poneys[Ration]&amp;Règles_poneys[Aliment],0)),0),0)*SUM(TotalPoneys_12_24mois)*21)</f>
        <v>0</v>
      </c>
      <c r="FR171" s="1285">
        <f t="array" ref="FR171">IF(OR(ChoixRationHivernaleComplètePoneys=OUI,ChoixRationHivernaleComplètePoneys="",ChoixPoneysPréHiver=NON),0,IFERROR(IF(OR(AND(INDEX(Règles_poneys[Specificite],MATCH(RationHivernaleAuPréPoneys&amp;$FN171,Règles_poneys[Ration]&amp;Règles_poneys[Aliment],0))="s1",IF($FN171=Spécificité1Poneys,1)),
AND(INDEX(Règles_poneys[Specificite],MATCH(RationHivernaleAuPréPoneys&amp;$FN171,Règles_poneys[Ration]&amp;Règles_poneys[Aliment],0))="s2",IF($FN171=Spécificité2Poneys,1)),
INDEX(Règles_poneys[Specificite],MATCH(RationHivernaleAuPréPoneys&amp;$FN171,Règles_poneys[Ration]&amp;Règles_poneys[Aliment],0))="c"),
INDEX(Règles_poneys[Valeur 0-12],MATCH(RationHivernaleAuPréPoneys&amp;$FN171,Règles_poneys[Ration]&amp;Règles_poneys[Aliment],0)),0),0)*SUM(TotalPoulainsPoneys)*21)</f>
        <v>0</v>
      </c>
      <c r="FS171" s="1285">
        <f t="shared" si="52"/>
        <v>0</v>
      </c>
      <c r="FT171" s="1345"/>
      <c r="FU171" s="1345"/>
      <c r="FV171" s="1345"/>
      <c r="FW171" s="1083">
        <f t="shared" si="49"/>
        <v>0</v>
      </c>
      <c r="FX171" s="1283"/>
      <c r="FY171" s="1283"/>
      <c r="FZ171" s="1283"/>
      <c r="GA171" s="1345"/>
      <c r="GB171" s="1345"/>
      <c r="GC171" s="1321"/>
      <c r="GD171" s="1321"/>
      <c r="GE171" s="1321"/>
      <c r="GF171" s="1321"/>
      <c r="GG171" s="1321" t="s">
        <v>1349</v>
      </c>
      <c r="GH171" s="1321" t="s">
        <v>1349</v>
      </c>
      <c r="GI171" s="1321" t="s">
        <v>1349</v>
      </c>
      <c r="GJ171" s="1321" t="s">
        <v>1349</v>
      </c>
      <c r="GK171" s="1321" t="s">
        <v>1349</v>
      </c>
      <c r="GL171" s="1321" t="s">
        <v>1349</v>
      </c>
      <c r="GM171" s="1321" t="s">
        <v>1349</v>
      </c>
      <c r="GN171" s="1321" t="s">
        <v>1349</v>
      </c>
      <c r="GO171" s="1321" t="s">
        <v>1349</v>
      </c>
      <c r="GP171" s="1321" t="s">
        <v>1349</v>
      </c>
      <c r="GQ171" s="1321" t="s">
        <v>1349</v>
      </c>
      <c r="GR171" s="1321" t="s">
        <v>1349</v>
      </c>
      <c r="GS171" s="1321" t="s">
        <v>1349</v>
      </c>
      <c r="GT171" s="1321" t="s">
        <v>1349</v>
      </c>
      <c r="GU171" s="1321" t="s">
        <v>1349</v>
      </c>
      <c r="GV171" s="1321" t="s">
        <v>1349</v>
      </c>
      <c r="GW171" s="1321"/>
      <c r="GX171" s="1321"/>
      <c r="GY171" s="1321"/>
      <c r="GZ171" s="1321"/>
      <c r="HA171" s="1321"/>
      <c r="HB171" s="1321"/>
      <c r="HC171" s="1321"/>
      <c r="HD171" s="1321"/>
      <c r="HE171" s="1321"/>
      <c r="HF171" s="1321"/>
      <c r="HG171" s="1321"/>
      <c r="HH171" s="1321"/>
      <c r="HI171" s="1321"/>
      <c r="HJ171" s="1321"/>
      <c r="HK171" s="1321"/>
      <c r="HL171" s="1321"/>
      <c r="HM171" s="1321"/>
      <c r="HN171" s="1321"/>
      <c r="HO171" s="1321"/>
      <c r="HP171" s="1321"/>
      <c r="HQ171" s="1321"/>
      <c r="HR171" s="1321"/>
      <c r="HS171" s="1321"/>
      <c r="HT171" s="1321"/>
      <c r="HU171" s="1321"/>
      <c r="HV171" s="1321"/>
      <c r="HW171" s="1321"/>
      <c r="HX171" s="1321"/>
      <c r="HY171" s="1321"/>
      <c r="HZ171" s="1321"/>
      <c r="IA171" s="1321"/>
      <c r="IB171" s="1321"/>
      <c r="IC171" s="1321"/>
      <c r="ID171" s="1321"/>
      <c r="IE171" s="1321"/>
      <c r="IF171" s="1321"/>
      <c r="IG171" s="1321"/>
      <c r="IH171" s="1321"/>
      <c r="II171" s="1321"/>
      <c r="IJ171" s="1321"/>
      <c r="IK171" s="1321"/>
      <c r="IL171" s="1321"/>
      <c r="IM171" s="1321"/>
      <c r="IN171" s="1368"/>
    </row>
    <row r="172" spans="1:248" ht="12.75" customHeight="1" x14ac:dyDescent="0.2">
      <c r="A172" s="1307" t="s">
        <v>626</v>
      </c>
      <c r="B172" s="1209">
        <v>0.01</v>
      </c>
      <c r="C172" s="1321"/>
      <c r="D172" s="1251" t="s">
        <v>1802</v>
      </c>
      <c r="E172" s="1252">
        <v>0.45</v>
      </c>
      <c r="F172" s="1321"/>
      <c r="G172" s="1321"/>
      <c r="H172" s="1321"/>
      <c r="I172" s="1321"/>
      <c r="J172" s="1321"/>
      <c r="K172" s="1321"/>
      <c r="L172" s="1321"/>
      <c r="M172" s="1321"/>
      <c r="N172" s="1321"/>
      <c r="O172" s="1321"/>
      <c r="P172" s="1321"/>
      <c r="Q172" s="1321"/>
      <c r="R172" s="1321"/>
      <c r="S172" s="1321"/>
      <c r="T172" s="1321"/>
      <c r="U172" s="1321"/>
      <c r="V172" s="1321"/>
      <c r="W172" s="1321"/>
      <c r="X172" s="1321"/>
      <c r="Y172" s="1321"/>
      <c r="Z172" s="1321"/>
      <c r="AA172" s="1321"/>
      <c r="AB172" s="1321"/>
      <c r="AC172" s="1321"/>
      <c r="AD172" s="1321"/>
      <c r="AE172" s="1321"/>
      <c r="AF172" s="1321"/>
      <c r="AG172" s="1321"/>
      <c r="AH172" s="1321"/>
      <c r="AI172" s="1321"/>
      <c r="AJ172" s="1321"/>
      <c r="AK172" s="1321"/>
      <c r="AL172" s="1321"/>
      <c r="AM172" s="1321"/>
      <c r="AN172" s="1321"/>
      <c r="AO172" s="1321"/>
      <c r="AP172" s="1321"/>
      <c r="AQ172" s="1321"/>
      <c r="AR172" s="1321"/>
      <c r="AS172" s="1321"/>
      <c r="AT172" s="1321"/>
      <c r="AU172" s="1321"/>
      <c r="AV172" s="1321"/>
      <c r="AW172" s="1321"/>
      <c r="AX172" s="1321"/>
      <c r="AY172" s="1321"/>
      <c r="AZ172" s="1321"/>
      <c r="BA172" s="1321"/>
      <c r="BB172" s="1236" t="s">
        <v>1315</v>
      </c>
      <c r="BC172" s="1190" t="s">
        <v>733</v>
      </c>
      <c r="BD172" s="1190" t="s">
        <v>1252</v>
      </c>
      <c r="BE172" s="1237">
        <v>200</v>
      </c>
      <c r="BF172" s="1237">
        <v>100</v>
      </c>
      <c r="BG172" s="1237">
        <v>80</v>
      </c>
      <c r="BH172" s="1237">
        <v>60</v>
      </c>
      <c r="BI172" s="1237">
        <v>40</v>
      </c>
      <c r="BJ172" s="1237">
        <v>28</v>
      </c>
      <c r="BK172" s="1238">
        <v>12</v>
      </c>
      <c r="BL172" s="1321"/>
      <c r="BM172" s="1346"/>
      <c r="BN172" s="1321"/>
      <c r="BO172" s="1321"/>
      <c r="BP172" s="1321"/>
      <c r="BQ172" s="1321"/>
      <c r="BR172" s="1321"/>
      <c r="BS172" s="1321"/>
      <c r="BT172" s="1321"/>
      <c r="BU172" s="1321"/>
      <c r="BV172" s="1345"/>
      <c r="BW172" s="1345"/>
      <c r="BX172" s="1076" t="str">
        <f t="shared" si="57"/>
        <v>Sorgho ensilé</v>
      </c>
      <c r="BY172" s="1076">
        <f t="array" ref="BY172">IF(ChoixRationComplèteCaprins=OUI,0,IFERROR(IF(OR(AND(INDEX(Règles_caprins[Specificite],MATCH(ChoixRationCaprins&amp;$BX172,Règles_caprins[Ration]&amp;Règles_caprins[Aliment],0))="s1",IF($BX172=Spécificité1Caprins,1)),
INDEX(Règles_caprins[Specificite],MATCH(ChoixRationCaprins&amp;$BX172,Règles_caprins[Ration]&amp;Règles_caprins[Aliment],0))="c"),
INDEX(Règles_caprins[Valeur 12 et plus],MATCH(ChoixRationCaprins&amp;$BX172,Règles_caprins[Ration]&amp;Règles_caprins[Aliment],0)),0),0)*TotalChèvres*SUM(NbreJoursNourrirCaprins))</f>
        <v>0</v>
      </c>
      <c r="BZ172" s="1076">
        <f t="array" ref="BZ172">IF(ChoixRationComplèteCaprins=OUI,0,IFERROR(IF(OR(AND(INDEX(Règles_caprins[Specificite],MATCH(ChoixRationCaprins&amp;$BX172,Règles_caprins[Ration]&amp;Règles_caprins[Aliment],0))="s1",IF($BX172=Spécificité1Caprins,1)),
INDEX(Règles_caprins[Specificite],MATCH(ChoixRationCaprins&amp;$BX172,Règles_caprins[Ration]&amp;Règles_caprins[Aliment],0))="c"),
INDEX(Règles_caprins[Valeur 6-12],MATCH(ChoixRationCaprins&amp;$BX172,Règles_caprins[Ration]&amp;Règles_caprins[Aliment],0)),0),0)*jeune_chèvre_6_12_mois*SUM(NbreJoursNourrirCaprins))</f>
        <v>0</v>
      </c>
      <c r="CA172" s="1076">
        <f t="array" ref="CA172">IF(ChoixRationComplèteCaprins=OUI,0,IFERROR(IF(OR(AND(INDEX(Règles_caprins[Specificite],MATCH(ChoixRationCaprins&amp;$BX172,Règles_caprins[Ration]&amp;Règles_caprins[Aliment],0))="s1",IF($BX172=Spécificité1Caprins,1)),
INDEX(Règles_caprins[Specificite],MATCH(ChoixRationCaprins&amp;$BX172,Règles_caprins[Ration]&amp;Règles_caprins[Aliment],0))="c"),
INDEX(Règles_caprins[Valeur 3-6],MATCH(ChoixRationCaprins&amp;$BX172,Règles_caprins[Ration]&amp;Règles_caprins[Aliment],0)),0),0)*chevrette_3_6_mois*SUM(NbreJoursNourrirCaprins))</f>
        <v>0</v>
      </c>
      <c r="CB172" s="1076">
        <f t="array" ref="CB172">IF(ChoixRationComplèteCaprins=OUI,0,IFERROR(IF(OR(AND(INDEX(Règles_caprins[Specificite],MATCH(ChoixRationCaprins&amp;$BX172,Règles_caprins[Ration]&amp;Règles_caprins[Aliment],0))="s1",IF($BX172=Spécificité1Caprins,1)),
INDEX(Règles_caprins[Specificite],MATCH(ChoixRationCaprins&amp;$BX172,Règles_caprins[Ration]&amp;Règles_caprins[Aliment],0))="c"),
INDEX(Règles_caprins[Valeur 0-3],MATCH(ChoixRationCaprins&amp;$BX172,Règles_caprins[Ration]&amp;Règles_caprins[Aliment],0)),0),0)*chevrette_0_3_mois*SUM(NbreJoursNourrirCaprins))</f>
        <v>0</v>
      </c>
      <c r="CC172" s="1076">
        <f t="shared" si="56"/>
        <v>0</v>
      </c>
      <c r="CD172" s="1345"/>
      <c r="CE172" s="1345"/>
      <c r="CF172" s="1345"/>
      <c r="CG172" s="1345"/>
      <c r="CH172" s="1345"/>
      <c r="CI172" s="1321"/>
      <c r="CJ172" s="1075">
        <f t="shared" si="51"/>
        <v>0</v>
      </c>
      <c r="CK172" s="1269"/>
      <c r="CL172" s="1269"/>
      <c r="CM172" s="1269"/>
      <c r="CN172" s="1321"/>
      <c r="CO172" s="1321"/>
      <c r="CP172" s="1321"/>
      <c r="CQ172" s="1321"/>
      <c r="CR172" s="1321"/>
      <c r="CS172" s="1075" t="str">
        <f t="shared" si="66"/>
        <v>Maïs ensilé</v>
      </c>
      <c r="CT172" s="1269">
        <f t="array" ref="CT172">SUM((IF(QualitéAlimentsLapereauMâle_0_1_mois=BONNE,VLOOKUP("Maïs ensilé",AlimentsRationLapinsMâles[],4,FALSE),0)+(IF(QualitéAlimentsLapereauFemelle_0_1_mois=BONNE,VLOOKUP("Maïs ensilé",AlimentsRationLapinsFemelles[],4,FALSE),0)+(IF(QualitéAlimentsJeuneLapin=BONNE,VLOOKUP("Maïs ensilé",AlimentsRationLapinsMâles[],3,FALSE),0)+(IF(QualitéAlimentsJeuneLapine=BONNE,VLOOKUP("Maïs ensilé",AlimentsRationLapinsFemelles[],3,FALSE),0)+(IF(QualitéAlimentsLapin=BONNE,VLOOKUP("Maïs ensilé",AlimentsRationLapinsMâles[],2,FALSE),0)+(IF(QualitéAlimentsLapine=BONNE,VLOOKUP("Maïs ensilé",AlimentsRationLapinsFemelles[],2,FALSE),0))))))))</f>
        <v>0</v>
      </c>
      <c r="CU172" s="1269">
        <f t="array" ref="CU172">SUM((IF(QualitéAlimentsLapereauMâle_0_1_mois=MOYENNE,VLOOKUP("Maïs ensilé",AlimentsRationLapinsMâles[],4,FALSE),0)+(IF(QualitéAlimentsLapereauFemelle_0_1_mois=MOYENNE,VLOOKUP("Maïs ensilé",AlimentsRationLapinsFemelles[],4,FALSE),0)+(IF(QualitéAlimentsJeuneLapin=MOYENNE,VLOOKUP("Maïs ensilé",AlimentsRationLapinsMâles[],3,FALSE),0)+(IF(QualitéAlimentsJeuneLapine=MOYENNE,VLOOKUP("Maïs ensilé",AlimentsRationLapinsFemelles[],3,FALSE),0)+(IF(QualitéAlimentsLapin=MOYENNE,VLOOKUP("Maïs ensilé",AlimentsRationLapinsMâles[],2,FALSE),0)+(IF(QualitéAlimentsLapine=MOYENNE,VLOOKUP("Maïs ensilé",AlimentsRationLapinsFemelles[],2,FALSE),0))))))))</f>
        <v>0</v>
      </c>
      <c r="CV172" s="1269">
        <f t="array" ref="CV172">SUM((IF(QualitéAlimentsLapereauMâle_0_1_mois=MAUVAISE,VLOOKUP("Maïs ensilé",AlimentsRationLapinsMâles[],4,FALSE),0)+(IF(QualitéAlimentsLapereauFemelle_0_1_mois=MAUVAISE,VLOOKUP("Maïs ensilé",AlimentsRationLapinsFemelles[],4,FALSE),0)+(IF(QualitéAlimentsJeuneLapin=MAUVAISE,VLOOKUP("Maïs ensilé",AlimentsRationLapinsMâles[],3,FALSE),0)+(IF(QualitéAlimentsJeuneLapine=MAUVAISE,VLOOKUP("Maïs ensilé",AlimentsRationLapinsFemelles[],3,FALSE),0)+(IF(QualitéAlimentsLapin=MAUVAISE,VLOOKUP("Maïs ensilé",AlimentsRationLapinsMâles[],2,FALSE),0)+(IF(QualitéAlimentsLapine=MAUVAISE,VLOOKUP("Maïs ensilé",AlimentsRationLapinsFemelles[],2,FALSE),0))))))))</f>
        <v>0</v>
      </c>
      <c r="CW172" s="1321"/>
      <c r="CX172" s="1321"/>
      <c r="CY172" s="1321"/>
      <c r="CZ172" s="1076" t="str">
        <f t="shared" si="65"/>
        <v>Maïs grain</v>
      </c>
      <c r="DA172" s="1267">
        <f t="array" ref="DA172">SUM((IF(QualitéAlimentsPoussinMâle_0_1_mois=BONNE,VLOOKUP("Maïs grain",AlimentsRationVolaillesMâles[],4,FALSE),0)+(IF(QualitéAlimentsPoussinFemelle_0_1_mois=BONNE,VLOOKUP("Maïs grain",AlimentsRationVolaillesFemelles[],4,FALSE),0)+(IF(QualitéAlimentsJeuneCoq=BONNE,VLOOKUP("Maïs grain",AlimentsRationVolaillesMâles[],3,FALSE),0)+(IF(QualitéAlimentsJeunePoule=BONNE,VLOOKUP("Maïs grain",AlimentsRationVolaillesFemelles[],3,FALSE),0)+(IF(QualitéAlimentsCoq=BONNE,VLOOKUP("Maïs grain",AlimentsRationVolaillesMâles[],2,FALSE),0)+(IF(QualitéAlimentsPoule=BONNE,VLOOKUP("Maïs grain",AlimentsRationVolaillesFemelles[],2,FALSE),0))))))))</f>
        <v>0</v>
      </c>
      <c r="DB172" s="1267">
        <f t="array" ref="DB172">SUM((IF(QualitéAlimentsPoussinMâle_0_1_mois=MOYENNE,VLOOKUP("Maïs grain",AlimentsRationVolaillesMâles[],4,FALSE),0)+(IF(QualitéAlimentsPoussinFemelle_0_1_mois=MOYENNE,VLOOKUP("Maïs grain",AlimentsRationVolaillesFemelles[],4,FALSE),0)+(IF(QualitéAlimentsJeuneCoq=MOYENNE,VLOOKUP("Maïs grain",AlimentsRationVolaillesMâles[],3,FALSE),0)+(IF(QualitéAlimentsJeunePoule=MOYENNE,VLOOKUP("Maïs grain",AlimentsRationVolaillesFemelles[],3,FALSE),0)+(IF(QualitéAlimentsCoq=MOYENNE,VLOOKUP("Maïs grain",AlimentsRationVolaillesMâles[],2,FALSE),0)+(IF(QualitéAlimentsPoule=MOYENNE,VLOOKUP("Maïs grain",AlimentsRationVolaillesFemelles[],2,FALSE),0))))))))</f>
        <v>0</v>
      </c>
      <c r="DC172" s="1267">
        <f t="array" ref="DC172">SUM((IF(QualitéAlimentsPoussinMâle_0_1_mois=MAUVAISE,VLOOKUP("Maïs grain",AlimentsRationVolaillesMâles[],4,FALSE),0)+(IF(QualitéAlimentsPoussinFemelle_0_1_mois=MAUVAISE,VLOOKUP("Maïs grain",AlimentsRationVolaillesFemelles[],4,FALSE),0)+(IF(QualitéAlimentsJeuneCoq=MAUVAISE,VLOOKUP("Maïs grain",AlimentsRationVolaillesMâles[],3,FALSE),0)+(IF(QualitéAlimentsJeunePoule=MAUVAISE,VLOOKUP("Maïs grain",AlimentsRationVolaillesFemelles[],3,FALSE),0)+(IF(QualitéAlimentsCoq=MAUVAISE,VLOOKUP("Maïs grain",AlimentsRationVolaillesMâles[],2,FALSE),0)+(IF(QualitéAlimentsPoule=MAUVAISE,VLOOKUP("Maïs grain",AlimentsRationVolaillesFemelles[],2,FALSE),0))))))))</f>
        <v>0</v>
      </c>
      <c r="DD172" s="1321"/>
      <c r="DE172" s="1321"/>
      <c r="DF172" s="1321"/>
      <c r="DG172" s="1076" t="str">
        <f t="shared" si="58"/>
        <v>Sorgho ensilé</v>
      </c>
      <c r="DH172" s="1267">
        <f t="array" ref="DH172">SUM((IF(QualitéAlimentsPintadeauMâle_0_1_mois=BONNE,VLOOKUP("Sorgho ensilé",AlimentsRationPintadesMâles[],4,FALSE),0)+(IF(QualitéAlimentsPintadeauFemelle_0_1_mois=BONNE,VLOOKUP("Sorgho ensilé",AlimentsRationPintadesFemelles[],4,FALSE),0)+(IF(QualitéAlimentsJeunePintadeMâle=BONNE,VLOOKUP("Sorgho ensilé",AlimentsRationPintadesMâles[],3,FALSE),0)+(IF(QualitéAlimentsJeunePintadeFemelle=BONNE,VLOOKUP("Sorgho ensilé",AlimentsRationPintadesFemelles[],3,FALSE),0)+(IF(QualitéAlimentsPintadeMâle=BONNE,VLOOKUP("Sorgho ensilé",AlimentsRationPintadesMâles[],2,FALSE),0)+(IF(QualitéAlimentsPintadeFemelle=BONNE,VLOOKUP("Sorgho ensilé",AlimentsRationPintadesFemelles[],2,FALSE),0))))))))</f>
        <v>0</v>
      </c>
      <c r="DI172" s="1267">
        <f t="array" ref="DI172">SUM((IF(QualitéAlimentsPintadeauMâle_0_1_mois=MOYENNE,VLOOKUP("Sorgho ensilé",AlimentsRationPintadesMâles[],4,FALSE),0)+(IF(QualitéAlimentsPintadeauFemelle_0_1_mois=MOYENNE,VLOOKUP("Sorgho ensilé",AlimentsRationPintadesFemelles[],4,FALSE),0)+(IF(QualitéAlimentsJeunePintadeMâle=MOYENNE,VLOOKUP("Sorgho ensilé",AlimentsRationPintadesMâles[],3,FALSE),0)+(IF(QualitéAlimentsJeunePintadeFemelle=MOYENNE,VLOOKUP("Sorgho ensilé",AlimentsRationPintadesFemelles[],3,FALSE),0)+(IF(QualitéAlimentsPintadeMâle=MOYENNE,VLOOKUP("Sorgho ensilé",AlimentsRationPintadesMâles[],2,FALSE),0)+(IF(QualitéAlimentsPintadeFemelle=MOYENNE,VLOOKUP("Sorgho ensilé",AlimentsRationPintadesFemelles[],2,FALSE),0))))))))</f>
        <v>0</v>
      </c>
      <c r="DJ172" s="1267">
        <f t="array" ref="DJ172">SUM((IF(QualitéAlimentsPintadeauMâle_0_1_mois=MAUVAISE,VLOOKUP("Sorgho ensilé",AlimentsRationPintadesMâles[],4,FALSE),0)+(IF(QualitéAlimentsPintadeauFemelle_0_1_mois=MAUVAISE,VLOOKUP("Sorgho ensilé",AlimentsRationPintadesFemelles[],4,FALSE),0)+(IF(QualitéAlimentsJeunePintadeMâle=MAUVAISE,VLOOKUP("Sorgho ensilé",AlimentsRationPintadesMâles[],3,FALSE),0)+(IF(QualitéAlimentsJeunePintadeFemelle=MAUVAISE,VLOOKUP("Sorgho ensilé",AlimentsRationPintadesFemelles[],3,FALSE),0)+(IF(QualitéAlimentsPintadeMâle=MAUVAISE,VLOOKUP("Sorgho ensilé",AlimentsRationPintadesMâles[],2,FALSE),0)+(IF(QualitéAlimentsPintadeFemelle=MAUVAISE,VLOOKUP("Sorgho ensilé",AlimentsRationPintadesFemelles[],2,FALSE),0))))))))</f>
        <v>0</v>
      </c>
      <c r="DK172" s="1321"/>
      <c r="DL172" s="1321"/>
      <c r="DM172" s="1321"/>
      <c r="DN172" s="1076" t="s">
        <v>297</v>
      </c>
      <c r="DO172" s="1267">
        <f t="array" ref="DO172">IF(ChoixRationComplèteOvins=OUI,0,IFERROR(IF(OR(AND(INDEX(Règles_ovins[Specificite],MATCH(ChoixRationOvins&amp;$DN172,Règles_ovins[Ration]&amp;Règles_ovins[Aliment],0))="s1",IF($DN172=Spécificité1Ovins,1)),
AND(INDEX(Règles_ovins[Specificite],MATCH(ChoixRationOvins&amp;$DN172,Règles_ovins[Ration]&amp;Règles_ovins[Aliment],0))="s2",IF($DN172=Spécificité2Ovins,1)),
INDEX(Règles_ovins[Specificite],MATCH(ChoixRationOvins&amp;$DN172,Règles_ovins[Ration]&amp;Règles_ovins[Aliment],0))="c"),
INDEX(Règles_ovins[Valeur 12 et plus],MATCH(ChoixRationOvins&amp;$DN172,Règles_ovins[Ration]&amp;Règles_ovins[Aliment],0)),0),0)*IF(ChoixOvinsPréHiver=OUI,SUM(TotalOvinsAdultesRacesLaitières)*NbreJoursNourrirOvins,TotalBéliers*SUM(NbreJoursNourrirOvins)))</f>
        <v>0</v>
      </c>
      <c r="DP172" s="1267">
        <f t="array" ref="DP172">IF(ChoixRationComplèteOvins=OUI,0,IFERROR(IF(OR(AND(INDEX(Règles_ovins[Specificite],MATCH(ChoixRationOvins&amp;$DN172,Règles_ovins[Ration]&amp;Règles_ovins[Aliment],0))="s1",IF($DN172=Spécificité1Ovins,1)),
AND(INDEX(Règles_ovins[Specificite],MATCH(ChoixRationOvins&amp;$DN172,Règles_ovins[Ration]&amp;Règles_ovins[Aliment],0))="s2",IF($DN172=Spécificité2Ovins,1)),
INDEX(Règles_ovins[Specificite],MATCH(ChoixRationOvins&amp;$DN172,Règles_ovins[Ration]&amp;Règles_ovins[Aliment],0))="c"),
INDEX(Règles_ovins[Valeur 6-12],MATCH(ChoixRationOvins&amp;$DN172,Règles_ovins[Ration]&amp;Règles_ovins[Aliment],0)),0),0)*IF(ChoixOvinsPréHiver=OUI,SUM(TotalJeunesOvinsRacesLaitières)*NbreJoursNourrirOvins,TotalJeune_bélier_6_12_mois*SUM(NbreJoursNourrirOvins)))</f>
        <v>0</v>
      </c>
      <c r="DQ172" s="1267">
        <f t="array" ref="DQ172">IF(ChoixRationComplèteOvins=OUI,0,IFERROR(IF(OR(AND(INDEX(Règles_ovins[Specificite],MATCH(ChoixRationOvins&amp;$DN172,Règles_ovins[Ration]&amp;Règles_ovins[Aliment],0))="s1",IF($DN172=Spécificité1Ovins,1)),
AND(INDEX(Règles_ovins[Specificite],MATCH(ChoixRationOvins&amp;$DN172,Règles_ovins[Ration]&amp;Règles_ovins[Aliment],0))="s2",IF($DN172=Spécificité2Ovins,1)),
INDEX(Règles_ovins[Specificite],MATCH(ChoixRationOvins&amp;$DN172,Règles_ovins[Ration]&amp;Règles_ovins[Aliment],0))="c"),
INDEX(Règles_ovins[Valeur 3-6],MATCH(ChoixRationOvins&amp;$DN172,Règles_ovins[Ration]&amp;Règles_ovins[Aliment],0)),0),0)*IF(ChoixOvinsPréHiver=OUI,SUM(TotalOvins_3_6moisRacesLaitières)*NbreJoursNourrirOvins,TotalAgneau_3_6_mois*SUM(NbreJoursNourrirOvins)))</f>
        <v>0</v>
      </c>
      <c r="DR172" s="1267">
        <f t="array" ref="DR172">IF(ChoixRationComplèteOvins=OUI,0,IFERROR(IF(OR(AND(INDEX(Règles_ovins[Specificite],MATCH(ChoixRationOvins&amp;$DN172,Règles_ovins[Ration]&amp;Règles_ovins[Aliment],0))="s1",IF($DN172=Spécificité1Ovins,1)),
AND(INDEX(Règles_ovins[Specificite],MATCH(ChoixRationOvins&amp;$DN172,Règles_ovins[Ration]&amp;Règles_ovins[Aliment],0))="s2",IF($DN172=Spécificité2Ovins,1)),
INDEX(Règles_ovins[Specificite],MATCH(ChoixRationOvins&amp;$DN172,Règles_ovins[Ration]&amp;Règles_ovins[Aliment],0))="c"),
INDEX(Règles_ovins[Valeur 0-3],MATCH(ChoixRationOvins&amp;$DN172,Règles_ovins[Ration]&amp;Règles_ovins[Aliment],0)),0),0)*IF(ChoixOvinsPréHiver=OUI,SUM(TotalOvins_3_6moisRacesLaitières)*NbreJoursNourrirOvins,TotalAgneau_0_3_mois*SUM(NbreJoursNourrirOvins)))</f>
        <v>0</v>
      </c>
      <c r="DS172" s="1279">
        <f t="shared" si="61"/>
        <v>0</v>
      </c>
      <c r="DT172" s="1346"/>
      <c r="DU172" s="1346"/>
      <c r="DV172" s="1321"/>
      <c r="DW172" s="1321"/>
      <c r="DX172" s="1321"/>
      <c r="DY172" s="1321"/>
      <c r="DZ172" s="1321"/>
      <c r="EA172" s="1321"/>
      <c r="EB172" s="1321"/>
      <c r="EC172" s="1321"/>
      <c r="ED172" s="1345"/>
      <c r="EE172" s="1345"/>
      <c r="EF172" s="1321"/>
      <c r="EG172" s="1076" t="str">
        <f t="shared" si="63"/>
        <v>Pois</v>
      </c>
      <c r="EH172" s="1267">
        <f t="array" ref="EH172">SUM((IF(QualitéAlimentsOisonMâle_0_3_mois=BONNE,VLOOKUP("Pois",AlimentsRationOiesMâles[],4,FALSE),0)+(IF(QualitéAlimentsOisonFemelle_0_3_mois=BONNE,VLOOKUP("Pois",AlimentsRationOiesFemelles[],4,FALSE),0)+(IF(QualitéAlimentsJeuneJars=BONNE,VLOOKUP("Pois",AlimentsRationOiesMâles[],3,FALSE),0)+(IF(QualitéAlimentsJeuneOie=BONNE,VLOOKUP("Pois",AlimentsRationOiesFemelles[],3,FALSE),0)+(IF(QualitéAlimentsJars=BONNE,VLOOKUP("Pois",AlimentsRationOiesMâles[],2,FALSE),0)+(IF(QualitéAlimentsOie=BONNE,VLOOKUP("Pois",AlimentsRationOiesFemelles[],2,FALSE),0))))))))</f>
        <v>0</v>
      </c>
      <c r="EI172" s="1267">
        <f t="array" ref="EI172">SUM((IF(QualitéAlimentsOisonMâle_0_3_mois=MOYENNE,VLOOKUP("Pois",AlimentsRationOiesMâles[],4,FALSE),0)+(IF(QualitéAlimentsOisonFemelle_0_3_mois=MOYENNE,VLOOKUP("Pois",AlimentsRationOiesFemelles[],4,FALSE),0)+(IF(QualitéAlimentsJeuneJars=MOYENNE,VLOOKUP("Pois",AlimentsRationOiesMâles[],3,FALSE),0)+(IF(QualitéAlimentsJeuneOie=MOYENNE,VLOOKUP("Pois",AlimentsRationOiesFemelles[],3,FALSE),0)+(IF(QualitéAlimentsJars=MOYENNE,VLOOKUP("Pois",AlimentsRationOiesMâles[],2,FALSE),0)+(IF(QualitéAlimentsOie=MOYENNE,VLOOKUP("Pois",AlimentsRationOiesFemelles[],2,FALSE),0))))))))</f>
        <v>0</v>
      </c>
      <c r="EJ172" s="1267">
        <f t="array" ref="EJ172">SUM((IF(QualitéAlimentsOisonMâle_0_3_mois=MAUVAISE,VLOOKUP("Pois",AlimentsRationOiesMâles[],4,FALSE),0)+(IF(QualitéAlimentsOisonFemelle_0_3_mois=MAUVAISE,VLOOKUP("Pois",AlimentsRationOiesFemelles[],4,FALSE),0)+(IF(QualitéAlimentsJeuneJars=MAUVAISE,VLOOKUP("Pois",AlimentsRationOiesMâles[],3,FALSE),0)+(IF(QualitéAlimentsJeuneOie=MAUVAISE,VLOOKUP("Pois",AlimentsRationOiesFemelles[],3,FALSE),0)+(IF(QualitéAlimentsJars=MAUVAISE,VLOOKUP("Pois",AlimentsRationOiesMâles[],2,FALSE),0)+(IF(QualitéAlimentsOie=MAUVAISE,VLOOKUP("Pois",AlimentsRationOiesFemelles[],2,FALSE),0))))))))</f>
        <v>0</v>
      </c>
      <c r="EK172" s="1345"/>
      <c r="EL172" s="1345"/>
      <c r="EM172" s="1321"/>
      <c r="EN172" s="1083" t="str">
        <f t="shared" si="62"/>
        <v>Pomme de terre</v>
      </c>
      <c r="EO172" s="1283">
        <f t="array" ref="EO172">SUM((IF(QualitéAlimentsCanetonMâle=BONNE,VLOOKUP("Pomme de terre",AlimentsRationCanardsMâles,4,FALSE),0)+(IF(QualitéAlimentsCanetonFemelle=BONNE,VLOOKUP("Pomme de terre",AlimentsRationCanardsFemelles,4,FALSE),0)+(IF(QualitéAlimentsJeuneCanard=BONNE,VLOOKUP("Pomme de terre",AlimentsRationCanardsMâles,3,FALSE),0)+(IF(QualitéAlimentsJeuneCane=BONNE,VLOOKUP("Pomme de terre",AlimentsRationCanardsFemelles,3,FALSE),0)+(IF(QualitéAlimentsCanard=BONNE,VLOOKUP("Pomme de terre",AlimentsRationCanardsMâles,2,FALSE),0)+(IF(QualitéAlimentsCane=BONNE,VLOOKUP("Pomme de terre",AlimentsRationCanardsFemelles,2,FALSE),0))))))))</f>
        <v>0</v>
      </c>
      <c r="EP172" s="1283">
        <f t="array" ref="EP172">SUM((IF(QualitéAlimentsCanetonMâle=MOYENNE,VLOOKUP("Pomme de terre",AlimentsRationCanardsMâles,4,FALSE),0)+(IF(QualitéAlimentsCanetonFemelle=MOYENNE,VLOOKUP("Pomme de terre",AlimentsRationCanardsFemelles,4,FALSE),0)+(IF(QualitéAlimentsJeuneCanard=MOYENNE,VLOOKUP("Pomme de terre",AlimentsRationCanardsMâles,3,FALSE),0)+(IF(QualitéAlimentsJeuneCane=MOYENNE,VLOOKUP("Pomme de terre",AlimentsRationCanardsFemelles,3,FALSE),0)+(IF(QualitéAlimentsCanard=MOYENNE,VLOOKUP("Pomme de terre",AlimentsRationCanardsMâles,2,FALSE),0)+(IF(QualitéAlimentsCane=MOYENNE,VLOOKUP("Pomme de terre",AlimentsRationCanardsFemelles,2,FALSE),0))))))))</f>
        <v>0</v>
      </c>
      <c r="EQ172" s="1283">
        <f t="array" ref="EQ172">SUM((IF(QualitéAlimentsCanetonMâle=MAUVAISE,VLOOKUP("Pomme de terre",AlimentsRationCanardsMâles,4,FALSE),0)+(IF(QualitéAlimentsCanetonFemelle=MAUVAISE,VLOOKUP("Pomme de terre",AlimentsRationCanardsFemelles,4,FALSE),0)+(IF(QualitéAlimentsJeuneCanard=MAUVAISE,VLOOKUP("Pomme de terre",AlimentsRationCanardsMâles,3,FALSE),0)+(IF(QualitéAlimentsJeuneCane=MAUVAISE,VLOOKUP("Pomme de terre",AlimentsRationCanardsFemelles,3,FALSE),0)+(IF(QualitéAlimentsCanard=MAUVAISE,VLOOKUP("Pomme de terre",AlimentsRationCanardsMâles,2,FALSE),0)+(IF(QualitéAlimentsCane=MAUVAISE,VLOOKUP("Pomme de terre",AlimentsRationCanardsFemelles,2,FALSE),0))))))))</f>
        <v>0</v>
      </c>
      <c r="ER172" s="1345"/>
      <c r="ES172" s="1345"/>
      <c r="ET172" s="1321"/>
      <c r="EU172" s="1082" t="str">
        <f t="shared" si="60"/>
        <v>Pulpe déshydratée de betterave</v>
      </c>
      <c r="EV172" s="1282">
        <f t="array" ref="EV172">IF(OR(ChoixRationHivernaleComplèteChevauxSelle=OUI,ChoixRationHivernaleComplèteChevauxSelle="",ChoixChevauxSellePréHiver=NON),0,IFERROR(IF(OR(AND(INDEX(Règles_chevaux_selle[Specificite],MATCH(RationHivernaleAuPréChevauxSelle&amp;$EU172,Règles_chevaux_selle[Ration]&amp;Règles_chevaux_selle[Aliment],0))="s1",IF($EU172=Spécificité1ChevauxSelle,1)),
AND(INDEX(Règles_chevaux_selle[Specificite],MATCH(RationHivernaleAuPréChevauxSelle&amp;$EU172,Règles_chevaux_selle[Ration]&amp;Règles_chevaux_selle[Aliment],0))="s2",IF($EU172=Spécificité2ChevauxSelle,1)),
INDEX(Règles_chevaux_selle[Specificite],MATCH(RationHivernaleAuPréChevauxSelle&amp;$EU172,Règles_chevaux_selle[Ration]&amp;Règles_chevaux_selle[Aliment],0))="c"),
INDEX(Règles_chevaux_selle[Valeur 36 et plus],MATCH(RationHivernaleAuPréChevauxSelle&amp;$EU172,Règles_chevaux_selle[Ration]&amp;Règles_chevaux_selle[Aliment],0)),0),0)*SUM(TotalChevauxSelleAdultes)*21)</f>
        <v>0</v>
      </c>
      <c r="EW172" s="1282">
        <f t="array" ref="EW172">IF(OR(ChoixRationHivernaleComplèteChevauxSelle=OUI,ChoixRationHivernaleComplèteChevauxSelle="",ChoixChevauxSellePréHiver=NON),0,IFERROR(IF(OR(AND(INDEX(Règles_chevaux_selle[Specificite],MATCH(RationHivernaleAuPréChevauxSelle&amp;$EU172,Règles_chevaux_selle[Ration]&amp;Règles_chevaux_selle[Aliment],0))="s1",IF($EU172=Spécificité1ChevauxSelle,1)),
AND(INDEX(Règles_chevaux_selle[Specificite],MATCH(RationHivernaleAuPréChevauxSelle&amp;$EU172,Règles_chevaux_selle[Ration]&amp;Règles_chevaux_selle[Aliment],0))="s2",IF($EU172=Spécificité2ChevauxSelle,1)),
INDEX(Règles_chevaux_selle[Specificite],MATCH(RationHivernaleAuPréChevauxSelle&amp;$EU172,Règles_chevaux_selle[Ration]&amp;Règles_chevaux_selle[Aliment],0))="c"),
INDEX(Règles_chevaux_selle[Valeur 24-36],MATCH(RationHivernaleAuPréChevauxSelle&amp;$EU172,Règles_chevaux_selle[Ration]&amp;Règles_chevaux_selle[Aliment],0)),0),0)*SUM(TotalChevauxSelle_24_36mois)*21)</f>
        <v>0</v>
      </c>
      <c r="EX172" s="1282">
        <f t="array" ref="EX172">IF(OR(ChoixRationHivernaleComplèteChevauxSelle=OUI,ChoixRationHivernaleComplèteChevauxSelle="",ChoixChevauxSellePréHiver=NON),0,IFERROR(IF(OR(AND(INDEX(Règles_chevaux_selle[Specificite],MATCH(RationHivernaleAuPréChevauxSelle&amp;$EU172,Règles_chevaux_selle[Ration]&amp;Règles_chevaux_selle[Aliment],0))="s1",IF($EU172=Spécificité1ChevauxSelle,1)),
AND(INDEX(Règles_chevaux_selle[Specificite],MATCH(RationHivernaleAuPréChevauxSelle&amp;$EU172,Règles_chevaux_selle[Ration]&amp;Règles_chevaux_selle[Aliment],0))="s2",IF($EU172=Spécificité2ChevauxSelle,1)),
INDEX(Règles_chevaux_selle[Specificite],MATCH(RationHivernaleAuPréChevauxSelle&amp;$EU172,Règles_chevaux_selle[Ration]&amp;Règles_chevaux_selle[Aliment],0))="c"),
INDEX(Règles_chevaux_selle[Valeur 12-24],MATCH(RationHivernaleAuPréChevauxSelle&amp;$EU172,Règles_chevaux_selle[Ration]&amp;Règles_chevaux_selle[Aliment],0)),0),0)*SUM(TotalChevauxSelle_12_24mois)*21)</f>
        <v>0</v>
      </c>
      <c r="EY172" s="1285">
        <f t="array" ref="EY172">IF(OR(ChoixRationHivernaleComplèteChevauxSelle=OUI,ChoixRationHivernaleComplèteChevauxSelle="",ChoixChevauxSellePréHiver=NON),0,IFERROR(IF(OR(AND(INDEX(Règles_chevaux_selle[Specificite],MATCH(RationHivernaleAuPréChevauxSelle&amp;$EU172,Règles_chevaux_selle[Ration]&amp;Règles_chevaux_selle[Aliment],0))="s1",IF($EU172=Spécificité1ChevauxSelle,1)),
AND(INDEX(Règles_chevaux_selle[Specificite],MATCH(RationHivernaleAuPréChevauxSelle&amp;$EU172,Règles_chevaux_selle[Ration]&amp;Règles_chevaux_selle[Aliment],0))="s2",IF($EU172=Spécificité2ChevauxSelle,1)),
INDEX(Règles_chevaux_selle[Specificite],MATCH(RationHivernaleAuPréChevauxSelle&amp;$EU172,Règles_chevaux_selle[Ration]&amp;Règles_chevaux_selle[Aliment],0))="c"),
INDEX(Règles_chevaux_selle[Valeur 0-12],MATCH(RationHivernaleAuPréChevauxSelle&amp;$EU172,Règles_chevaux_selle[Ration]&amp;Règles_chevaux_selle[Aliment],0)),0),0)*SUM(TotalPoulainsSelle)*21)</f>
        <v>0</v>
      </c>
      <c r="EZ172" s="1285">
        <f t="shared" si="59"/>
        <v>0</v>
      </c>
      <c r="FA172" s="1345"/>
      <c r="FB172" s="1345"/>
      <c r="FC172" s="1321"/>
      <c r="FD172" s="1082" t="str">
        <f t="shared" si="55"/>
        <v>Tourteau de colza</v>
      </c>
      <c r="FE172" s="1282">
        <f t="array" ref="FE172">IF(OR(ChoixRationHivernaleComplèteChevauxTrait=OUI,ChoixRationHivernaleComplèteChevauxTrait="",ChoixChevauxTraitPréHiver=NON),0,IFERROR(IF(OR(AND(INDEX(Règles_chevaux_trait[Specificite],MATCH(RationHivernaleAuPréChevauxTrait&amp;$FD172,Règles_chevaux_trait[Ration]&amp;Règles_chevaux_trait[Aliment],0))="s1",IF($FD172=Spécificité1ChevauxTrait,1)),
AND(INDEX(Règles_chevaux_trait[Specificite],MATCH(RationHivernaleAuPréChevauxTrait&amp;$FD172,Règles_chevaux_trait[Ration]&amp;Règles_chevaux_trait[Aliment],0))="s2",IF($FD172=Spécificité2ChevauxTrait,1)),
INDEX(Règles_chevaux_trait[Specificite],MATCH(RationHivernaleAuPréChevauxTrait&amp;$FD172,Règles_chevaux_trait[Ration]&amp;Règles_chevaux_trait[Aliment],0))="c"),
INDEX(Règles_chevaux_trait[Valeur 36 et plus],MATCH(RationHivernaleAuPréChevauxTrait&amp;$FD172,Règles_chevaux_trait[Ration]&amp;Règles_chevaux_trait[Aliment],0)),0),0)*SUM(TotalChevauxTraitAdultes)*21)</f>
        <v>0</v>
      </c>
      <c r="FF172" s="1282">
        <f t="array" ref="FF172">IF(OR(ChoixRationHivernaleComplèteChevauxTrait=OUI,ChoixRationHivernaleComplèteChevauxTrait="",ChoixChevauxTraitPréHiver=NON),0,IFERROR(IF(OR(AND(INDEX(Règles_chevaux_trait[Specificite],MATCH(RationHivernaleAuPréChevauxTrait&amp;$FD172,Règles_chevaux_trait[Ration]&amp;Règles_chevaux_trait[Aliment],0))="s1",IF($FD172=Spécificité1ChevauxTrait,1)),
AND(INDEX(Règles_chevaux_trait[Specificite],MATCH(RationHivernaleAuPréChevauxTrait&amp;$FD172,Règles_chevaux_trait[Ration]&amp;Règles_chevaux_trait[Aliment],0))="s2",IF($FD172=Spécificité2ChevauxTrait,1)),
INDEX(Règles_chevaux_trait[Specificite],MATCH(RationHivernaleAuPréChevauxTrait&amp;$FD172,Règles_chevaux_trait[Ration]&amp;Règles_chevaux_trait[Aliment],0))="c"),
INDEX(Règles_chevaux_trait[Valeur 24-36],MATCH(RationHivernaleAuPréChevauxTrait&amp;$FD172,Règles_chevaux_trait[Ration]&amp;Règles_chevaux_trait[Aliment],0)),0),0)*SUM(TotalChevauxTrait_24_36mois)*21)</f>
        <v>0</v>
      </c>
      <c r="FG172" s="1282">
        <f t="array" ref="FG172">IF(OR(ChoixRationHivernaleComplèteChevauxTrait=OUI,ChoixRationHivernaleComplèteChevauxTrait="",ChoixChevauxTraitPréHiver=NON),0,IFERROR(IF(OR(AND(INDEX(Règles_chevaux_trait[Specificite],MATCH(RationHivernaleAuPréChevauxTrait&amp;$FD172,Règles_chevaux_trait[Ration]&amp;Règles_chevaux_trait[Aliment],0))="s1",IF($FD172=Spécificité1ChevauxTrait,1)),
AND(INDEX(Règles_chevaux_trait[Specificite],MATCH(RationHivernaleAuPréChevauxTrait&amp;$FD172,Règles_chevaux_trait[Ration]&amp;Règles_chevaux_trait[Aliment],0))="s2",IF($FD172=Spécificité2ChevauxTrait,1)),
INDEX(Règles_chevaux_trait[Specificite],MATCH(RationHivernaleAuPréChevauxTrait&amp;$FD172,Règles_chevaux_trait[Ration]&amp;Règles_chevaux_trait[Aliment],0))="c"),
INDEX(Règles_chevaux_trait[Valeur 12-24],MATCH(RationHivernaleAuPréChevauxTrait&amp;$FD172,Règles_chevaux_trait[Ration]&amp;Règles_chevaux_trait[Aliment],0)),0),0)*SUM(TotalChevauxTrait_12_24mois)*21)</f>
        <v>0</v>
      </c>
      <c r="FH172" s="1285">
        <f t="array" ref="FH172">IF(OR(ChoixRationHivernaleComplèteChevauxTrait=OUI,ChoixRationHivernaleComplèteChevauxTrait="",ChoixChevauxTraitPréHiver=NON),0,IFERROR(IF(OR(AND(INDEX(Règles_chevaux_trait[Specificite],MATCH(RationHivernaleAuPréChevauxTrait&amp;$FD172,Règles_chevaux_trait[Ration]&amp;Règles_chevaux_trait[Aliment],0))="s1",IF($FD172=Spécificité1ChevauxTrait,1)),
AND(INDEX(Règles_chevaux_trait[Specificite],MATCH(RationHivernaleAuPréChevauxTrait&amp;$FD172,Règles_chevaux_trait[Ration]&amp;Règles_chevaux_trait[Aliment],0))="s2",IF($FD172=Spécificité2ChevauxTrait,1)),
INDEX(Règles_chevaux_trait[Specificite],MATCH(RationHivernaleAuPréChevauxTrait&amp;$FD172,Règles_chevaux_trait[Ration]&amp;Règles_chevaux_trait[Aliment],0))="c"),
INDEX(Règles_chevaux_trait[Valeur 0-12],MATCH(RationHivernaleAuPréChevauxTrait&amp;$FD172,Règles_chevaux_trait[Ration]&amp;Règles_chevaux_trait[Aliment],0)),0),0)*SUM(TotalPoulainsTrait)*21)</f>
        <v>0</v>
      </c>
      <c r="FI172" s="1285">
        <f t="shared" si="53"/>
        <v>0</v>
      </c>
      <c r="FJ172" s="1345"/>
      <c r="FK172" s="1345"/>
      <c r="FL172" s="1345"/>
      <c r="FM172" s="1321"/>
      <c r="FN172" s="1083" t="str">
        <f t="shared" si="54"/>
        <v>Tourteau de tournesol</v>
      </c>
      <c r="FO172" s="1283">
        <f t="array" ref="FO172">IF(OR(ChoixRationHivernaleComplètePoneys=OUI,ChoixRationHivernaleComplètePoneys="",ChoixPoneysPréHiver=NON),0,IFERROR(IF(OR(AND(INDEX(Règles_poneys[Specificite],MATCH(RationHivernaleAuPréPoneys&amp;$FN172,Règles_poneys[Ration]&amp;Règles_poneys[Aliment],0))="s1",IF($FN172=Spécificité1Poneys,1)),
AND(INDEX(Règles_poneys[Specificite],MATCH(RationHivernaleAuPréPoneys&amp;$FN172,Règles_poneys[Ration]&amp;Règles_poneys[Aliment],0))="s2",IF($FN172=Spécificité2Poneys,1)),
INDEX(Règles_poneys[Specificite],MATCH(RationHivernaleAuPréPoneys&amp;$FN172,Règles_poneys[Ration]&amp;Règles_poneys[Aliment],0))="c"),
INDEX(Règles_poneys[Valeur 36 et plus],MATCH(RationHivernaleAuPréPoneys&amp;$FN172,Règles_poneys[Ration]&amp;Règles_poneys[Aliment],0)),0),0)*SUM(TotalPoneysAdultes)*21)</f>
        <v>0</v>
      </c>
      <c r="FP172" s="1283">
        <f t="array" ref="FP172">IF(OR(ChoixRationHivernaleComplètePoneys=OUI,ChoixRationHivernaleComplètePoneys="",ChoixPoneysPréHiver=NON),0,IFERROR(IF(OR(AND(INDEX(Règles_poneys[Specificite],MATCH(RationHivernaleAuPréPoneys&amp;$FN172,Règles_poneys[Ration]&amp;Règles_poneys[Aliment],0))="s1",IF($FN172=Spécificité1Poneys,1)),
AND(INDEX(Règles_poneys[Specificite],MATCH(RationHivernaleAuPréPoneys&amp;$FN172,Règles_poneys[Ration]&amp;Règles_poneys[Aliment],0))="s2",IF($FN172=Spécificité2Poneys,1)),
INDEX(Règles_poneys[Specificite],MATCH(RationHivernaleAuPréPoneys&amp;$FN172,Règles_poneys[Ration]&amp;Règles_poneys[Aliment],0))="c"),
INDEX(Règles_poneys[Valeur 24-36],MATCH(RationHivernaleAuPréPoneys&amp;$FN172,Règles_poneys[Ration]&amp;Règles_poneys[Aliment],0)),0),0)*SUM(TotalPoneys_24_36mois)*21)</f>
        <v>0</v>
      </c>
      <c r="FQ172" s="1283">
        <f t="array" ref="FQ172">IF(OR(ChoixRationHivernaleComplètePoneys=OUI,ChoixRationHivernaleComplètePoneys="",ChoixPoneysPréHiver=NON),0,IFERROR(IF(OR(AND(INDEX(Règles_poneys[Specificite],MATCH(RationHivernaleAuPréPoneys&amp;$FN172,Règles_poneys[Ration]&amp;Règles_poneys[Aliment],0))="s1",IF($FN172=Spécificité1Poneys,1)),
AND(INDEX(Règles_poneys[Specificite],MATCH(RationHivernaleAuPréPoneys&amp;$FN172,Règles_poneys[Ration]&amp;Règles_poneys[Aliment],0))="s2",IF($FN172=Spécificité2Poneys,1)),
INDEX(Règles_poneys[Specificite],MATCH(RationHivernaleAuPréPoneys&amp;$FN172,Règles_poneys[Ration]&amp;Règles_poneys[Aliment],0))="c"),
INDEX(Règles_poneys[Valeur 12-24],MATCH(RationHivernaleAuPréPoneys&amp;$FN172,Règles_poneys[Ration]&amp;Règles_poneys[Aliment],0)),0),0)*SUM(TotalPoneys_12_24mois)*21)</f>
        <v>0</v>
      </c>
      <c r="FR172" s="1286">
        <f t="array" ref="FR172">IF(OR(ChoixRationHivernaleComplètePoneys=OUI,ChoixRationHivernaleComplètePoneys="",ChoixPoneysPréHiver=NON),0,IFERROR(IF(OR(AND(INDEX(Règles_poneys[Specificite],MATCH(RationHivernaleAuPréPoneys&amp;$FN172,Règles_poneys[Ration]&amp;Règles_poneys[Aliment],0))="s1",IF($FN172=Spécificité1Poneys,1)),
AND(INDEX(Règles_poneys[Specificite],MATCH(RationHivernaleAuPréPoneys&amp;$FN172,Règles_poneys[Ration]&amp;Règles_poneys[Aliment],0))="s2",IF($FN172=Spécificité2Poneys,1)),
INDEX(Règles_poneys[Specificite],MATCH(RationHivernaleAuPréPoneys&amp;$FN172,Règles_poneys[Ration]&amp;Règles_poneys[Aliment],0))="c"),
INDEX(Règles_poneys[Valeur 0-12],MATCH(RationHivernaleAuPréPoneys&amp;$FN172,Règles_poneys[Ration]&amp;Règles_poneys[Aliment],0)),0),0)*SUM(TotalPoulainsPoneys)*21)</f>
        <v>0</v>
      </c>
      <c r="FS172" s="1286">
        <f t="shared" si="52"/>
        <v>0</v>
      </c>
      <c r="FT172" s="1345"/>
      <c r="FU172" s="1345"/>
      <c r="FV172" s="1345"/>
      <c r="FW172" s="1082">
        <f t="shared" si="49"/>
        <v>0</v>
      </c>
      <c r="FX172" s="1282"/>
      <c r="FY172" s="1282"/>
      <c r="FZ172" s="1282"/>
      <c r="GA172" s="1345"/>
      <c r="GB172" s="1345"/>
      <c r="GC172" s="1321"/>
      <c r="GD172" s="1321"/>
      <c r="GE172" s="1321"/>
      <c r="GF172" s="1321"/>
      <c r="GG172" s="1321" t="s">
        <v>1349</v>
      </c>
      <c r="GH172" s="1321" t="s">
        <v>1349</v>
      </c>
      <c r="GI172" s="1321" t="s">
        <v>1349</v>
      </c>
      <c r="GJ172" s="1321" t="s">
        <v>1349</v>
      </c>
      <c r="GK172" s="1321" t="s">
        <v>1349</v>
      </c>
      <c r="GL172" s="1321" t="s">
        <v>1349</v>
      </c>
      <c r="GM172" s="1321" t="s">
        <v>1349</v>
      </c>
      <c r="GN172" s="1321" t="s">
        <v>1349</v>
      </c>
      <c r="GO172" s="1321" t="s">
        <v>1349</v>
      </c>
      <c r="GP172" s="1321" t="s">
        <v>1349</v>
      </c>
      <c r="GQ172" s="1321" t="s">
        <v>1349</v>
      </c>
      <c r="GR172" s="1321" t="s">
        <v>1349</v>
      </c>
      <c r="GS172" s="1321" t="s">
        <v>1349</v>
      </c>
      <c r="GT172" s="1321" t="s">
        <v>1349</v>
      </c>
      <c r="GU172" s="1321" t="s">
        <v>1349</v>
      </c>
      <c r="GV172" s="1321" t="s">
        <v>1349</v>
      </c>
      <c r="GW172" s="1321"/>
      <c r="GX172" s="1321"/>
      <c r="GY172" s="1321"/>
      <c r="GZ172" s="1321"/>
      <c r="HA172" s="1321"/>
      <c r="HB172" s="1321"/>
      <c r="HC172" s="1321"/>
      <c r="HD172" s="1321"/>
      <c r="HE172" s="1321"/>
      <c r="HF172" s="1321"/>
      <c r="HG172" s="1321"/>
      <c r="HH172" s="1321"/>
      <c r="HI172" s="1321"/>
      <c r="HJ172" s="1321"/>
      <c r="HK172" s="1321"/>
      <c r="HL172" s="1321"/>
      <c r="HM172" s="1321"/>
      <c r="HN172" s="1321"/>
      <c r="HO172" s="1321"/>
      <c r="HP172" s="1321"/>
      <c r="HQ172" s="1321"/>
      <c r="HR172" s="1321"/>
      <c r="HS172" s="1321"/>
      <c r="HT172" s="1321"/>
      <c r="HU172" s="1321"/>
      <c r="HV172" s="1321"/>
      <c r="HW172" s="1321"/>
      <c r="HX172" s="1321"/>
      <c r="HY172" s="1321"/>
      <c r="HZ172" s="1321"/>
      <c r="IA172" s="1321"/>
      <c r="IB172" s="1321"/>
      <c r="IC172" s="1321"/>
      <c r="ID172" s="1321"/>
      <c r="IE172" s="1321"/>
      <c r="IF172" s="1321"/>
      <c r="IG172" s="1321"/>
      <c r="IH172" s="1321"/>
      <c r="II172" s="1321"/>
      <c r="IJ172" s="1321"/>
      <c r="IK172" s="1321"/>
      <c r="IL172" s="1321"/>
      <c r="IM172" s="1321"/>
      <c r="IN172" s="1368"/>
    </row>
    <row r="173" spans="1:248" ht="12.75" customHeight="1" x14ac:dyDescent="0.2">
      <c r="A173" s="1307" t="s">
        <v>627</v>
      </c>
      <c r="B173" s="1209">
        <v>0.01</v>
      </c>
      <c r="C173" s="1321"/>
      <c r="D173" s="1253" t="s">
        <v>1806</v>
      </c>
      <c r="E173" s="1254">
        <v>0.48</v>
      </c>
      <c r="F173" s="1321"/>
      <c r="G173" s="1321"/>
      <c r="H173" s="1321"/>
      <c r="I173" s="1321"/>
      <c r="J173" s="1321"/>
      <c r="K173" s="1321"/>
      <c r="L173" s="1321"/>
      <c r="M173" s="1321"/>
      <c r="N173" s="1321"/>
      <c r="O173" s="1321"/>
      <c r="P173" s="1321"/>
      <c r="Q173" s="1321"/>
      <c r="R173" s="1321"/>
      <c r="S173" s="1321"/>
      <c r="T173" s="1321"/>
      <c r="U173" s="1321"/>
      <c r="V173" s="1321"/>
      <c r="W173" s="1321"/>
      <c r="X173" s="1321"/>
      <c r="Y173" s="1321"/>
      <c r="Z173" s="1321"/>
      <c r="AA173" s="1321"/>
      <c r="AB173" s="1321"/>
      <c r="AC173" s="1321"/>
      <c r="AD173" s="1321"/>
      <c r="AE173" s="1321"/>
      <c r="AF173" s="1321"/>
      <c r="AG173" s="1321"/>
      <c r="AH173" s="1321"/>
      <c r="AI173" s="1321"/>
      <c r="AJ173" s="1321"/>
      <c r="AK173" s="1321"/>
      <c r="AL173" s="1321"/>
      <c r="AM173" s="1321"/>
      <c r="AN173" s="1321"/>
      <c r="AO173" s="1321"/>
      <c r="AP173" s="1321"/>
      <c r="AQ173" s="1321"/>
      <c r="AR173" s="1321"/>
      <c r="AS173" s="1321"/>
      <c r="AT173" s="1321"/>
      <c r="AU173" s="1321"/>
      <c r="AV173" s="1321"/>
      <c r="AW173" s="1321"/>
      <c r="AX173" s="1321"/>
      <c r="AY173" s="1321"/>
      <c r="AZ173" s="1321"/>
      <c r="BA173" s="1321"/>
      <c r="BB173" s="1236" t="s">
        <v>1134</v>
      </c>
      <c r="BC173" s="1190" t="s">
        <v>723</v>
      </c>
      <c r="BD173" s="1190" t="s">
        <v>1277</v>
      </c>
      <c r="BE173" s="1237">
        <v>53.8</v>
      </c>
      <c r="BF173" s="1237">
        <v>44</v>
      </c>
      <c r="BG173" s="1237">
        <v>34</v>
      </c>
      <c r="BH173" s="1237">
        <v>25</v>
      </c>
      <c r="BI173" s="1237">
        <v>20</v>
      </c>
      <c r="BJ173" s="1237">
        <v>15</v>
      </c>
      <c r="BK173" s="1238">
        <v>0</v>
      </c>
      <c r="BL173" s="1321"/>
      <c r="BM173" s="1346"/>
      <c r="BN173" s="1321"/>
      <c r="BO173" s="1321"/>
      <c r="BP173" s="1321"/>
      <c r="BQ173" s="1321"/>
      <c r="BR173" s="1321"/>
      <c r="BS173" s="1321"/>
      <c r="BT173" s="1321"/>
      <c r="BU173" s="1321"/>
      <c r="BV173" s="1345"/>
      <c r="BW173" s="1345"/>
      <c r="BX173" s="1075" t="str">
        <f t="shared" si="57"/>
        <v>Tournesol</v>
      </c>
      <c r="BY173" s="1075">
        <f t="array" ref="BY173">IF(ChoixRationComplèteCaprins=OUI,0,IFERROR(IF(OR(AND(INDEX(Règles_caprins[Specificite],MATCH(ChoixRationCaprins&amp;$BX173,Règles_caprins[Ration]&amp;Règles_caprins[Aliment],0))="s1",IF($BX173=Spécificité1Caprins,1)),
INDEX(Règles_caprins[Specificite],MATCH(ChoixRationCaprins&amp;$BX173,Règles_caprins[Ration]&amp;Règles_caprins[Aliment],0))="c"),
INDEX(Règles_caprins[Valeur 12 et plus],MATCH(ChoixRationCaprins&amp;$BX173,Règles_caprins[Ration]&amp;Règles_caprins[Aliment],0)),0),0)*TotalChèvres*SUM(NbreJoursNourrirCaprins))</f>
        <v>0</v>
      </c>
      <c r="BZ173" s="1075">
        <f t="array" ref="BZ173">IF(ChoixRationComplèteCaprins=OUI,0,IFERROR(IF(OR(AND(INDEX(Règles_caprins[Specificite],MATCH(ChoixRationCaprins&amp;$BX173,Règles_caprins[Ration]&amp;Règles_caprins[Aliment],0))="s1",IF($BX173=Spécificité1Caprins,1)),
INDEX(Règles_caprins[Specificite],MATCH(ChoixRationCaprins&amp;$BX173,Règles_caprins[Ration]&amp;Règles_caprins[Aliment],0))="c"),
INDEX(Règles_caprins[Valeur 6-12],MATCH(ChoixRationCaprins&amp;$BX173,Règles_caprins[Ration]&amp;Règles_caprins[Aliment],0)),0),0)*jeune_chèvre_6_12_mois*SUM(NbreJoursNourrirCaprins))</f>
        <v>0</v>
      </c>
      <c r="CA173" s="1075">
        <f t="array" ref="CA173">IF(ChoixRationComplèteCaprins=OUI,0,IFERROR(IF(OR(AND(INDEX(Règles_caprins[Specificite],MATCH(ChoixRationCaprins&amp;$BX173,Règles_caprins[Ration]&amp;Règles_caprins[Aliment],0))="s1",IF($BX173=Spécificité1Caprins,1)),
INDEX(Règles_caprins[Specificite],MATCH(ChoixRationCaprins&amp;$BX173,Règles_caprins[Ration]&amp;Règles_caprins[Aliment],0))="c"),
INDEX(Règles_caprins[Valeur 3-6],MATCH(ChoixRationCaprins&amp;$BX173,Règles_caprins[Ration]&amp;Règles_caprins[Aliment],0)),0),0)*chevrette_3_6_mois*SUM(NbreJoursNourrirCaprins))</f>
        <v>0</v>
      </c>
      <c r="CB173" s="1075">
        <f t="array" ref="CB173">IF(ChoixRationComplèteCaprins=OUI,0,IFERROR(IF(OR(AND(INDEX(Règles_caprins[Specificite],MATCH(ChoixRationCaprins&amp;$BX173,Règles_caprins[Ration]&amp;Règles_caprins[Aliment],0))="s1",IF($BX173=Spécificité1Caprins,1)),
INDEX(Règles_caprins[Specificite],MATCH(ChoixRationCaprins&amp;$BX173,Règles_caprins[Ration]&amp;Règles_caprins[Aliment],0))="c"),
INDEX(Règles_caprins[Valeur 0-3],MATCH(ChoixRationCaprins&amp;$BX173,Règles_caprins[Ration]&amp;Règles_caprins[Aliment],0)),0),0)*chevrette_0_3_mois*SUM(NbreJoursNourrirCaprins))</f>
        <v>0</v>
      </c>
      <c r="CC173" s="1075">
        <f t="shared" si="56"/>
        <v>0</v>
      </c>
      <c r="CD173" s="1345"/>
      <c r="CE173" s="1345"/>
      <c r="CF173" s="1345"/>
      <c r="CG173" s="1345"/>
      <c r="CH173" s="1345"/>
      <c r="CI173" s="1321"/>
      <c r="CJ173" s="1076">
        <f t="shared" si="51"/>
        <v>0</v>
      </c>
      <c r="CK173" s="1267"/>
      <c r="CL173" s="1267"/>
      <c r="CM173" s="1267"/>
      <c r="CN173" s="1321"/>
      <c r="CO173" s="1321"/>
      <c r="CP173" s="1321"/>
      <c r="CQ173" s="1321"/>
      <c r="CR173" s="1321"/>
      <c r="CS173" s="1076" t="str">
        <f t="shared" si="66"/>
        <v>Maïs grain</v>
      </c>
      <c r="CT173" s="1267">
        <f t="array" ref="CT173">SUM((IF(QualitéAlimentsLapereauMâle_0_1_mois=BONNE,VLOOKUP("Maïs grain",AlimentsRationLapinsMâles[],4,FALSE),0)+(IF(QualitéAlimentsLapereauFemelle_0_1_mois=BONNE,VLOOKUP("Maïs grain",AlimentsRationLapinsFemelles[],4,FALSE),0)+(IF(QualitéAlimentsJeuneLapin=BONNE,VLOOKUP("Maïs grain",AlimentsRationLapinsMâles[],3,FALSE),0)+(IF(QualitéAlimentsJeuneLapine=BONNE,VLOOKUP("Maïs grain",AlimentsRationLapinsFemelles[],3,FALSE),0)+(IF(QualitéAlimentsLapin=BONNE,VLOOKUP("Maïs grain",AlimentsRationLapinsMâles[],2,FALSE),0)+(IF(QualitéAlimentsLapine=BONNE,VLOOKUP("Maïs grain",AlimentsRationLapinsFemelles[],2,FALSE),0))))))))</f>
        <v>0</v>
      </c>
      <c r="CU173" s="1267">
        <f t="array" ref="CU173">SUM((IF(QualitéAlimentsLapereauMâle_0_1_mois=MOYENNE,VLOOKUP("Maïs grain",AlimentsRationLapinsMâles[],4,FALSE),0)+(IF(QualitéAlimentsLapereauFemelle_0_1_mois=MOYENNE,VLOOKUP("Maïs grain",AlimentsRationLapinsFemelles[],4,FALSE),0)+(IF(QualitéAlimentsJeuneLapin=MOYENNE,VLOOKUP("Maïs grain",AlimentsRationLapinsMâles[],3,FALSE),0)+(IF(QualitéAlimentsJeuneLapine=MOYENNE,VLOOKUP("Maïs grain",AlimentsRationLapinsFemelles[],3,FALSE),0)+(IF(QualitéAlimentsLapin=MOYENNE,VLOOKUP("Maïs grain",AlimentsRationLapinsMâles[],2,FALSE),0)+(IF(QualitéAlimentsLapine=MOYENNE,VLOOKUP("Maïs grain",AlimentsRationLapinsFemelles[],2,FALSE),0))))))))</f>
        <v>0</v>
      </c>
      <c r="CV173" s="1267">
        <f t="array" ref="CV173">SUM((IF(QualitéAlimentsLapereauMâle_0_1_mois=MAUVAISE,VLOOKUP("Maïs grain",AlimentsRationLapinsMâles[],4,FALSE),0)+(IF(QualitéAlimentsLapereauFemelle_0_1_mois=MAUVAISE,VLOOKUP("Maïs grain",AlimentsRationLapinsFemelles[],4,FALSE),0)+(IF(QualitéAlimentsJeuneLapin=MAUVAISE,VLOOKUP("Maïs grain",AlimentsRationLapinsMâles[],3,FALSE),0)+(IF(QualitéAlimentsJeuneLapine=MAUVAISE,VLOOKUP("Maïs grain",AlimentsRationLapinsFemelles[],3,FALSE),0)+(IF(QualitéAlimentsLapin=MAUVAISE,VLOOKUP("Maïs grain",AlimentsRationLapinsMâles[],2,FALSE),0)+(IF(QualitéAlimentsLapine=MAUVAISE,VLOOKUP("Maïs grain",AlimentsRationLapinsFemelles[],2,FALSE),0))))))))</f>
        <v>0</v>
      </c>
      <c r="CW173" s="1321"/>
      <c r="CX173" s="1321"/>
      <c r="CY173" s="1321"/>
      <c r="CZ173" s="1075" t="str">
        <f t="shared" si="65"/>
        <v>Minéraux + vitamines</v>
      </c>
      <c r="DA173" s="1269">
        <f t="array" ref="DA173">SUM((IF(QualitéAlimentsPoussinMâle_0_1_mois=BONNE,VLOOKUP("Minéraux + vitamines",AlimentsRationVolaillesMâles[],4,FALSE),0)+(IF(QualitéAlimentsPoussinFemelle_0_1_mois=BONNE,VLOOKUP("Minéraux + vitamines",AlimentsRationVolaillesFemelles[],4,FALSE),0)+(IF(QualitéAlimentsJeuneCoq=BONNE,VLOOKUP("Minéraux + vitamines",AlimentsRationVolaillesMâles[],3,FALSE),0)+(IF(QualitéAlimentsJeunePoule=BONNE,VLOOKUP("Minéraux + vitamines",AlimentsRationVolaillesFemelles[],3,FALSE),0)+(IF(QualitéAlimentsCoq=BONNE,VLOOKUP("Minéraux + vitamines",AlimentsRationVolaillesMâles[],2,FALSE),0)+(IF(QualitéAlimentsPoule=BONNE,VLOOKUP("Minéraux + vitamines",AlimentsRationVolaillesFemelles[],2,FALSE),0))))))))</f>
        <v>0</v>
      </c>
      <c r="DB173" s="1269">
        <f t="array" ref="DB173">SUM((IF(QualitéAlimentsPoussinMâle_0_1_mois=MOYENNE,VLOOKUP("Minéraux + vitamines",AlimentsRationVolaillesMâles[],4,FALSE),0)+(IF(QualitéAlimentsPoussinFemelle_0_1_mois=MOYENNE,VLOOKUP("Minéraux + vitamines",AlimentsRationVolaillesFemelles[],4,FALSE),0)+(IF(QualitéAlimentsJeuneCoq=MOYENNE,VLOOKUP("Minéraux + vitamines",AlimentsRationVolaillesMâles[],3,FALSE),0)+(IF(QualitéAlimentsJeunePoule=MOYENNE,VLOOKUP("Minéraux + vitamines",AlimentsRationVolaillesFemelles[],3,FALSE),0)+(IF(QualitéAlimentsCoq=MOYENNE,VLOOKUP("Minéraux + vitamines",AlimentsRationVolaillesMâles[],2,FALSE),0)+(IF(QualitéAlimentsPoule=MOYENNE,VLOOKUP("Minéraux + vitamines",AlimentsRationVolaillesFemelles[],2,FALSE),0))))))))</f>
        <v>0</v>
      </c>
      <c r="DC173" s="1269">
        <f t="array" ref="DC173">SUM((IF(QualitéAlimentsPoussinMâle_0_1_mois=MAUVAISE,VLOOKUP("Minéraux + vitamines",AlimentsRationVolaillesMâles[],4,FALSE),0)+(IF(QualitéAlimentsPoussinFemelle_0_1_mois=MAUVAISE,VLOOKUP("Minéraux + vitamines",AlimentsRationVolaillesFemelles[],4,FALSE),0)+(IF(QualitéAlimentsJeuneCoq=MAUVAISE,VLOOKUP("Minéraux + vitamines",AlimentsRationVolaillesMâles[],3,FALSE),0)+(IF(QualitéAlimentsJeunePoule=MAUVAISE,VLOOKUP("Minéraux + vitamines",AlimentsRationVolaillesFemelles[],3,FALSE),0)+(IF(QualitéAlimentsCoq=MAUVAISE,VLOOKUP("Minéraux + vitamines",AlimentsRationVolaillesMâles[],2,FALSE),0)+(IF(QualitéAlimentsPoule=MAUVAISE,VLOOKUP("Minéraux + vitamines",AlimentsRationVolaillesFemelles[],2,FALSE),0))))))))</f>
        <v>0</v>
      </c>
      <c r="DD173" s="1321"/>
      <c r="DE173" s="1321"/>
      <c r="DF173" s="1321"/>
      <c r="DG173" s="1075" t="str">
        <f t="shared" si="58"/>
        <v>Tournesol</v>
      </c>
      <c r="DH173" s="1269">
        <f t="array" ref="DH173">SUM((IF(QualitéAlimentsPintadeauMâle_0_1_mois=BONNE,VLOOKUP("Tournesol",AlimentsRationPintadesMâles[],4,FALSE),0)+(IF(QualitéAlimentsPintadeauFemelle_0_1_mois=BONNE,VLOOKUP("Tournesol",AlimentsRationPintadesFemelles[],4,FALSE),0)+(IF(QualitéAlimentsJeunePintadeMâle=BONNE,VLOOKUP("Tournesol",AlimentsRationPintadesMâles[],3,FALSE),0)+(IF(QualitéAlimentsJeunePintadeFemelle=BONNE,VLOOKUP("Tournesol",AlimentsRationPintadesFemelles[],3,FALSE),0)+(IF(QualitéAlimentsPintadeMâle=BONNE,VLOOKUP("Tournesol",AlimentsRationPintadesMâles[],2,FALSE),0)+(IF(QualitéAlimentsPintadeFemelle=BONNE,VLOOKUP("Tournesol",AlimentsRationPintadesFemelles[],2,FALSE),0))))))))</f>
        <v>0</v>
      </c>
      <c r="DI173" s="1269">
        <f t="array" ref="DI173">SUM((IF(QualitéAlimentsPintadeauMâle_0_1_mois=MOYENNE,VLOOKUP("Tournesol",AlimentsRationPintadesMâles[],4,FALSE),0)+(IF(QualitéAlimentsPintadeauFemelle_0_1_mois=MOYENNE,VLOOKUP("Tournesol",AlimentsRationPintadesFemelles[],4,FALSE),0)+(IF(QualitéAlimentsJeunePintadeMâle=MOYENNE,VLOOKUP("Tournesol",AlimentsRationPintadesMâles[],3,FALSE),0)+(IF(QualitéAlimentsJeunePintadeFemelle=MOYENNE,VLOOKUP("Tournesol",AlimentsRationPintadesFemelles[],3,FALSE),0)+(IF(QualitéAlimentsPintadeMâle=MOYENNE,VLOOKUP("Tournesol",AlimentsRationPintadesMâles[],2,FALSE),0)+(IF(QualitéAlimentsPintadeFemelle=MOYENNE,VLOOKUP("Tournesol",AlimentsRationPintadesFemelles[],2,FALSE),0))))))))</f>
        <v>0</v>
      </c>
      <c r="DJ173" s="1269">
        <f t="array" ref="DJ173">SUM((IF(QualitéAlimentsPintadeauMâle_0_1_mois=MAUVAISE,VLOOKUP("Tournesol",AlimentsRationPintadesMâles[],4,FALSE),0)+(IF(QualitéAlimentsPintadeauFemelle_0_1_mois=MAUVAISE,VLOOKUP("Tournesol",AlimentsRationPintadesFemelles[],4,FALSE),0)+(IF(QualitéAlimentsJeunePintadeMâle=MAUVAISE,VLOOKUP("Tournesol",AlimentsRationPintadesMâles[],3,FALSE),0)+(IF(QualitéAlimentsJeunePintadeFemelle=MAUVAISE,VLOOKUP("Tournesol",AlimentsRationPintadesFemelles[],3,FALSE),0)+(IF(QualitéAlimentsPintadeMâle=MAUVAISE,VLOOKUP("Tournesol",AlimentsRationPintadesMâles[],2,FALSE),0)+(IF(QualitéAlimentsPintadeFemelle=MAUVAISE,VLOOKUP("Tournesol",AlimentsRationPintadesFemelles[],2,FALSE),0))))))))</f>
        <v>0</v>
      </c>
      <c r="DK173" s="1321"/>
      <c r="DL173" s="1321"/>
      <c r="DM173" s="1321"/>
      <c r="DN173" s="1075" t="s">
        <v>65</v>
      </c>
      <c r="DO173" s="1269">
        <f t="array" ref="DO173">IF(ChoixRationComplèteOvins=OUI,0,IFERROR(IF(OR(AND(INDEX(Règles_ovins[Specificite],MATCH(ChoixRationOvins&amp;$DN173,Règles_ovins[Ration]&amp;Règles_ovins[Aliment],0))="s1",IF($DN173=Spécificité1Ovins,1)),
AND(INDEX(Règles_ovins[Specificite],MATCH(ChoixRationOvins&amp;$DN173,Règles_ovins[Ration]&amp;Règles_ovins[Aliment],0))="s2",IF($DN173=Spécificité2Ovins,1)),
INDEX(Règles_ovins[Specificite],MATCH(ChoixRationOvins&amp;$DN173,Règles_ovins[Ration]&amp;Règles_ovins[Aliment],0))="c"),
INDEX(Règles_ovins[Valeur 12 et plus],MATCH(ChoixRationOvins&amp;$DN173,Règles_ovins[Ration]&amp;Règles_ovins[Aliment],0)),0),0)*IF(ChoixOvinsPréHiver=OUI,SUM(TotalOvinsAdultesRacesLaitières)*NbreJoursNourrirOvins,TotalBéliers*SUM(NbreJoursNourrirOvins)))</f>
        <v>0</v>
      </c>
      <c r="DP173" s="1269">
        <f t="array" ref="DP173">IF(ChoixRationComplèteOvins=OUI,0,IFERROR(IF(OR(AND(INDEX(Règles_ovins[Specificite],MATCH(ChoixRationOvins&amp;$DN173,Règles_ovins[Ration]&amp;Règles_ovins[Aliment],0))="s1",IF($DN173=Spécificité1Ovins,1)),
AND(INDEX(Règles_ovins[Specificite],MATCH(ChoixRationOvins&amp;$DN173,Règles_ovins[Ration]&amp;Règles_ovins[Aliment],0))="s2",IF($DN173=Spécificité2Ovins,1)),
INDEX(Règles_ovins[Specificite],MATCH(ChoixRationOvins&amp;$DN173,Règles_ovins[Ration]&amp;Règles_ovins[Aliment],0))="c"),
INDEX(Règles_ovins[Valeur 6-12],MATCH(ChoixRationOvins&amp;$DN173,Règles_ovins[Ration]&amp;Règles_ovins[Aliment],0)),0),0)*IF(ChoixOvinsPréHiver=OUI,SUM(TotalJeunesOvinsRacesLaitières)*NbreJoursNourrirOvins,TotalJeune_bélier_6_12_mois*SUM(NbreJoursNourrirOvins)))</f>
        <v>0</v>
      </c>
      <c r="DQ173" s="1269">
        <f t="array" ref="DQ173">IF(ChoixRationComplèteOvins=OUI,0,IFERROR(IF(OR(AND(INDEX(Règles_ovins[Specificite],MATCH(ChoixRationOvins&amp;$DN173,Règles_ovins[Ration]&amp;Règles_ovins[Aliment],0))="s1",IF($DN173=Spécificité1Ovins,1)),
AND(INDEX(Règles_ovins[Specificite],MATCH(ChoixRationOvins&amp;$DN173,Règles_ovins[Ration]&amp;Règles_ovins[Aliment],0))="s2",IF($DN173=Spécificité2Ovins,1)),
INDEX(Règles_ovins[Specificite],MATCH(ChoixRationOvins&amp;$DN173,Règles_ovins[Ration]&amp;Règles_ovins[Aliment],0))="c"),
INDEX(Règles_ovins[Valeur 3-6],MATCH(ChoixRationOvins&amp;$DN173,Règles_ovins[Ration]&amp;Règles_ovins[Aliment],0)),0),0)*IF(ChoixOvinsPréHiver=OUI,SUM(TotalOvins_3_6moisRacesLaitières)*NbreJoursNourrirOvins,TotalAgneau_3_6_mois*SUM(NbreJoursNourrirOvins)))</f>
        <v>0</v>
      </c>
      <c r="DR173" s="1269">
        <f t="array" ref="DR173">IF(ChoixRationComplèteOvins=OUI,0,IFERROR(IF(OR(AND(INDEX(Règles_ovins[Specificite],MATCH(ChoixRationOvins&amp;$DN173,Règles_ovins[Ration]&amp;Règles_ovins[Aliment],0))="s1",IF($DN173=Spécificité1Ovins,1)),
AND(INDEX(Règles_ovins[Specificite],MATCH(ChoixRationOvins&amp;$DN173,Règles_ovins[Ration]&amp;Règles_ovins[Aliment],0))="s2",IF($DN173=Spécificité2Ovins,1)),
INDEX(Règles_ovins[Specificite],MATCH(ChoixRationOvins&amp;$DN173,Règles_ovins[Ration]&amp;Règles_ovins[Aliment],0))="c"),
INDEX(Règles_ovins[Valeur 0-3],MATCH(ChoixRationOvins&amp;$DN173,Règles_ovins[Ration]&amp;Règles_ovins[Aliment],0)),0),0)*IF(ChoixOvinsPréHiver=OUI,SUM(TotalOvins_3_6moisRacesLaitières)*NbreJoursNourrirOvins,TotalAgneau_0_3_mois*SUM(NbreJoursNourrirOvins)))</f>
        <v>0</v>
      </c>
      <c r="DS173" s="1280">
        <f t="shared" si="61"/>
        <v>0</v>
      </c>
      <c r="DT173" s="1346"/>
      <c r="DU173" s="1346"/>
      <c r="DV173" s="1321"/>
      <c r="DW173" s="1321"/>
      <c r="DX173" s="1321"/>
      <c r="DY173" s="1321"/>
      <c r="DZ173" s="1321"/>
      <c r="EA173" s="1321"/>
      <c r="EB173" s="1321"/>
      <c r="EC173" s="1321"/>
      <c r="ED173" s="1345"/>
      <c r="EE173" s="1345"/>
      <c r="EF173" s="1321"/>
      <c r="EG173" s="1075" t="str">
        <f t="shared" si="63"/>
        <v>Pomme de terre</v>
      </c>
      <c r="EH173" s="1269">
        <f t="array" ref="EH173">SUM((IF(QualitéAlimentsOisonMâle_0_3_mois=BONNE,VLOOKUP("Pomme de terre",AlimentsRationOiesMâles[],4,FALSE),0)+(IF(QualitéAlimentsOisonFemelle_0_3_mois=BONNE,VLOOKUP("Pomme de terre",AlimentsRationOiesFemelles[],4,FALSE),0)+(IF(QualitéAlimentsJeuneJars=BONNE,VLOOKUP("Pomme de terre",AlimentsRationOiesMâles[],3,FALSE),0)+(IF(QualitéAlimentsJeuneOie=BONNE,VLOOKUP("Pomme de terre",AlimentsRationOiesFemelles[],3,FALSE),0)+(IF(QualitéAlimentsJars=BONNE,VLOOKUP("Pomme de terre",AlimentsRationOiesMâles[],2,FALSE),0)+(IF(QualitéAlimentsOie=BONNE,VLOOKUP("Pomme de terre",AlimentsRationOiesFemelles[],2,FALSE),0))))))))</f>
        <v>0</v>
      </c>
      <c r="EI173" s="1269">
        <f t="array" ref="EI173">SUM((IF(QualitéAlimentsOisonMâle_0_3_mois=MOYENNE,VLOOKUP("Pomme de terre",AlimentsRationOiesMâles[],4,FALSE),0)+(IF(QualitéAlimentsOisonFemelle_0_3_mois=MOYENNE,VLOOKUP("Pomme de terre",AlimentsRationOiesFemelles[],4,FALSE),0)+(IF(QualitéAlimentsJeuneJars=MOYENNE,VLOOKUP("Pomme de terre",AlimentsRationOiesMâles[],3,FALSE),0)+(IF(QualitéAlimentsJeuneOie=MOYENNE,VLOOKUP("Pomme de terre",AlimentsRationOiesFemelles[],3,FALSE),0)+(IF(QualitéAlimentsJars=MOYENNE,VLOOKUP("Pomme de terre",AlimentsRationOiesMâles[],2,FALSE),0)+(IF(QualitéAlimentsOie=MOYENNE,VLOOKUP("Pomme de terre",AlimentsRationOiesFemelles[],2,FALSE),0))))))))</f>
        <v>0</v>
      </c>
      <c r="EJ173" s="1269">
        <f t="array" ref="EJ173">SUM((IF(QualitéAlimentsOisonMâle_0_3_mois=MAUVAISE,VLOOKUP("Pomme de terre",AlimentsRationOiesMâles[],4,FALSE),0)+(IF(QualitéAlimentsOisonFemelle_0_3_mois=MAUVAISE,VLOOKUP("Pomme de terre",AlimentsRationOiesFemelles[],4,FALSE),0)+(IF(QualitéAlimentsJeuneJars=MAUVAISE,VLOOKUP("Pomme de terre",AlimentsRationOiesMâles[],3,FALSE),0)+(IF(QualitéAlimentsJeuneOie=MAUVAISE,VLOOKUP("Pomme de terre",AlimentsRationOiesFemelles[],3,FALSE),0)+(IF(QualitéAlimentsJars=MAUVAISE,VLOOKUP("Pomme de terre",AlimentsRationOiesMâles[],2,FALSE),0)+(IF(QualitéAlimentsOie=MAUVAISE,VLOOKUP("Pomme de terre",AlimentsRationOiesFemelles[],2,FALSE),0))))))))</f>
        <v>0</v>
      </c>
      <c r="EK173" s="1345"/>
      <c r="EL173" s="1345"/>
      <c r="EM173" s="1321"/>
      <c r="EN173" s="1082" t="str">
        <f t="shared" si="62"/>
        <v>Pulpe déshydratée de betterave</v>
      </c>
      <c r="EO173" s="1282">
        <f t="array" ref="EO173">SUM((IF(QualitéAlimentsCanetonMâle=BONNE,VLOOKUP("Pulpe déshydratée de betterave",AlimentsRationCanardsMâles,4,FALSE),0)+(IF(QualitéAlimentsCanetonFemelle=BONNE,VLOOKUP("Pulpe déshydratée de betterave",AlimentsRationCanardsFemelles,4,FALSE),0)+(IF(QualitéAlimentsJeuneCanard=BONNE,VLOOKUP("Pulpe déshydratée de betterave",AlimentsRationCanardsMâles,3,FALSE),0)+(IF(QualitéAlimentsJeuneCane=BONNE,VLOOKUP("Pulpe déshydratée de betterave",AlimentsRationCanardsFemelles,3,FALSE),0)+(IF(QualitéAlimentsCanard=BONNE,VLOOKUP("Pulpe déshydratée de betterave",AlimentsRationCanardsMâles,2,FALSE),0)+(IF(QualitéAlimentsCane=BONNE,VLOOKUP("Pulpe déshydratée de betterave",AlimentsRationCanardsFemelles,2,FALSE),0))))))))</f>
        <v>0</v>
      </c>
      <c r="EP173" s="1282">
        <f t="array" ref="EP173">SUM((IF(QualitéAlimentsCanetonMâle=MOYENNE,VLOOKUP("Pulpe déshydratée de betterave",AlimentsRationCanardsMâles,4,FALSE),0)+(IF(QualitéAlimentsCanetonFemelle=MOYENNE,VLOOKUP("Pulpe déshydratée de betterave",AlimentsRationCanardsFemelles,4,FALSE),0)+(IF(QualitéAlimentsJeuneCanard=MOYENNE,VLOOKUP("Pulpe déshydratée de betterave",AlimentsRationCanardsMâles,3,FALSE),0)+(IF(QualitéAlimentsJeuneCane=MOYENNE,VLOOKUP("Pulpe déshydratée de betterave",AlimentsRationCanardsFemelles,3,FALSE),0)+(IF(QualitéAlimentsCanard=MOYENNE,VLOOKUP("Pulpe déshydratée de betterave",AlimentsRationCanardsMâles,2,FALSE),0)+(IF(QualitéAlimentsCane=MOYENNE,VLOOKUP("Pulpe déshydratée de betterave",AlimentsRationCanardsFemelles,2,FALSE),0))))))))</f>
        <v>0</v>
      </c>
      <c r="EQ173" s="1282">
        <f t="array" ref="EQ173">SUM((IF(QualitéAlimentsCanetonMâle=MAUVAISE,VLOOKUP("Pulpe déshydratée de betterave",AlimentsRationCanardsMâles,4,FALSE),0)+(IF(QualitéAlimentsCanetonFemelle=MAUVAISE,VLOOKUP("Pulpe déshydratée de betterave",AlimentsRationCanardsFemelles,4,FALSE),0)+(IF(QualitéAlimentsJeuneCanard=MAUVAISE,VLOOKUP("Pulpe déshydratée de betterave",AlimentsRationCanardsMâles,3,FALSE),0)+(IF(QualitéAlimentsJeuneCane=MAUVAISE,VLOOKUP("Pulpe déshydratée de betterave",AlimentsRationCanardsFemelles,3,FALSE),0)+(IF(QualitéAlimentsCanard=MAUVAISE,VLOOKUP("Pulpe déshydratée de betterave",AlimentsRationCanardsMâles,2,FALSE),0)+(IF(QualitéAlimentsCane=MAUVAISE,VLOOKUP("Pulpe déshydratée de betterave",AlimentsRationCanardsFemelles,2,FALSE),0))))))))</f>
        <v>0</v>
      </c>
      <c r="ER173" s="1345"/>
      <c r="ES173" s="1345"/>
      <c r="ET173" s="1321"/>
      <c r="EU173" s="1083" t="str">
        <f t="shared" si="60"/>
        <v>Ration complète</v>
      </c>
      <c r="EV173" s="1283">
        <f t="array" ref="EV173">IF(OR(ChoixRationHivernaleComplèteChevauxSelle=OUI,ChoixRationHivernaleComplèteChevauxSelle="",ChoixChevauxSellePréHiver=NON),0,IFERROR(IF(OR(AND(INDEX(Règles_chevaux_selle[Specificite],MATCH(RationHivernaleAuPréChevauxSelle&amp;$EU173,Règles_chevaux_selle[Ration]&amp;Règles_chevaux_selle[Aliment],0))="s1",IF($EU173=Spécificité1ChevauxSelle,1)),
AND(INDEX(Règles_chevaux_selle[Specificite],MATCH(RationHivernaleAuPréChevauxSelle&amp;$EU173,Règles_chevaux_selle[Ration]&amp;Règles_chevaux_selle[Aliment],0))="s2",IF($EU173=Spécificité2ChevauxSelle,1)),
INDEX(Règles_chevaux_selle[Specificite],MATCH(RationHivernaleAuPréChevauxSelle&amp;$EU173,Règles_chevaux_selle[Ration]&amp;Règles_chevaux_selle[Aliment],0))="c"),
INDEX(Règles_chevaux_selle[Valeur 36 et plus],MATCH(RationHivernaleAuPréChevauxSelle&amp;$EU173,Règles_chevaux_selle[Ration]&amp;Règles_chevaux_selle[Aliment],0)),0),0)*SUM(TotalChevauxSelleAdultes)*21)</f>
        <v>0</v>
      </c>
      <c r="EW173" s="1283">
        <f t="array" ref="EW173">IF(OR(ChoixRationHivernaleComplèteChevauxSelle=OUI,ChoixRationHivernaleComplèteChevauxSelle="",ChoixChevauxSellePréHiver=NON),0,IFERROR(IF(OR(AND(INDEX(Règles_chevaux_selle[Specificite],MATCH(RationHivernaleAuPréChevauxSelle&amp;$EU173,Règles_chevaux_selle[Ration]&amp;Règles_chevaux_selle[Aliment],0))="s1",IF($EU173=Spécificité1ChevauxSelle,1)),
AND(INDEX(Règles_chevaux_selle[Specificite],MATCH(RationHivernaleAuPréChevauxSelle&amp;$EU173,Règles_chevaux_selle[Ration]&amp;Règles_chevaux_selle[Aliment],0))="s2",IF($EU173=Spécificité2ChevauxSelle,1)),
INDEX(Règles_chevaux_selle[Specificite],MATCH(RationHivernaleAuPréChevauxSelle&amp;$EU173,Règles_chevaux_selle[Ration]&amp;Règles_chevaux_selle[Aliment],0))="c"),
INDEX(Règles_chevaux_selle[Valeur 24-36],MATCH(RationHivernaleAuPréChevauxSelle&amp;$EU173,Règles_chevaux_selle[Ration]&amp;Règles_chevaux_selle[Aliment],0)),0),0)*SUM(TotalChevauxSelle_24_36mois)*21)</f>
        <v>0</v>
      </c>
      <c r="EX173" s="1283">
        <f t="array" ref="EX173">IF(OR(ChoixRationHivernaleComplèteChevauxSelle=OUI,ChoixRationHivernaleComplèteChevauxSelle="",ChoixChevauxSellePréHiver=NON),0,IFERROR(IF(OR(AND(INDEX(Règles_chevaux_selle[Specificite],MATCH(RationHivernaleAuPréChevauxSelle&amp;$EU173,Règles_chevaux_selle[Ration]&amp;Règles_chevaux_selle[Aliment],0))="s1",IF($EU173=Spécificité1ChevauxSelle,1)),
AND(INDEX(Règles_chevaux_selle[Specificite],MATCH(RationHivernaleAuPréChevauxSelle&amp;$EU173,Règles_chevaux_selle[Ration]&amp;Règles_chevaux_selle[Aliment],0))="s2",IF($EU173=Spécificité2ChevauxSelle,1)),
INDEX(Règles_chevaux_selle[Specificite],MATCH(RationHivernaleAuPréChevauxSelle&amp;$EU173,Règles_chevaux_selle[Ration]&amp;Règles_chevaux_selle[Aliment],0))="c"),
INDEX(Règles_chevaux_selle[Valeur 12-24],MATCH(RationHivernaleAuPréChevauxSelle&amp;$EU173,Règles_chevaux_selle[Ration]&amp;Règles_chevaux_selle[Aliment],0)),0),0)*SUM(TotalChevauxSelle_12_24mois)*21)</f>
        <v>0</v>
      </c>
      <c r="EY173" s="1286">
        <f t="array" ref="EY173">IF(OR(ChoixRationHivernaleComplèteChevauxSelle=OUI,ChoixRationHivernaleComplèteChevauxSelle="",ChoixChevauxSellePréHiver=NON),0,IFERROR(IF(OR(AND(INDEX(Règles_chevaux_selle[Specificite],MATCH(RationHivernaleAuPréChevauxSelle&amp;$EU173,Règles_chevaux_selle[Ration]&amp;Règles_chevaux_selle[Aliment],0))="s1",IF($EU173=Spécificité1ChevauxSelle,1)),
AND(INDEX(Règles_chevaux_selle[Specificite],MATCH(RationHivernaleAuPréChevauxSelle&amp;$EU173,Règles_chevaux_selle[Ration]&amp;Règles_chevaux_selle[Aliment],0))="s2",IF($EU173=Spécificité2ChevauxSelle,1)),
INDEX(Règles_chevaux_selle[Specificite],MATCH(RationHivernaleAuPréChevauxSelle&amp;$EU173,Règles_chevaux_selle[Ration]&amp;Règles_chevaux_selle[Aliment],0))="c"),
INDEX(Règles_chevaux_selle[Valeur 0-12],MATCH(RationHivernaleAuPréChevauxSelle&amp;$EU173,Règles_chevaux_selle[Ration]&amp;Règles_chevaux_selle[Aliment],0)),0),0)*SUM(TotalPoulainsSelle)*21)</f>
        <v>0</v>
      </c>
      <c r="EZ173" s="1286">
        <f t="shared" si="59"/>
        <v>0</v>
      </c>
      <c r="FA173" s="1345"/>
      <c r="FB173" s="1345"/>
      <c r="FC173" s="1321"/>
      <c r="FD173" s="1083" t="str">
        <f t="shared" si="55"/>
        <v>Tourteau de tournesol</v>
      </c>
      <c r="FE173" s="1283">
        <f t="array" ref="FE173">IF(OR(ChoixRationHivernaleComplèteChevauxTrait=OUI,ChoixRationHivernaleComplèteChevauxTrait="",ChoixChevauxTraitPréHiver=NON),0,IFERROR(IF(OR(AND(INDEX(Règles_chevaux_trait[Specificite],MATCH(RationHivernaleAuPréChevauxTrait&amp;$FD173,Règles_chevaux_trait[Ration]&amp;Règles_chevaux_trait[Aliment],0))="s1",IF($FD173=Spécificité1ChevauxTrait,1)),
AND(INDEX(Règles_chevaux_trait[Specificite],MATCH(RationHivernaleAuPréChevauxTrait&amp;$FD173,Règles_chevaux_trait[Ration]&amp;Règles_chevaux_trait[Aliment],0))="s2",IF($FD173=Spécificité2ChevauxTrait,1)),
INDEX(Règles_chevaux_trait[Specificite],MATCH(RationHivernaleAuPréChevauxTrait&amp;$FD173,Règles_chevaux_trait[Ration]&amp;Règles_chevaux_trait[Aliment],0))="c"),
INDEX(Règles_chevaux_trait[Valeur 36 et plus],MATCH(RationHivernaleAuPréChevauxTrait&amp;$FD173,Règles_chevaux_trait[Ration]&amp;Règles_chevaux_trait[Aliment],0)),0),0)*SUM(TotalChevauxTraitAdultes)*21)</f>
        <v>0</v>
      </c>
      <c r="FF173" s="1283">
        <f t="array" ref="FF173">IF(OR(ChoixRationHivernaleComplèteChevauxTrait=OUI,ChoixRationHivernaleComplèteChevauxTrait="",ChoixChevauxTraitPréHiver=NON),0,IFERROR(IF(OR(AND(INDEX(Règles_chevaux_trait[Specificite],MATCH(RationHivernaleAuPréChevauxTrait&amp;$FD173,Règles_chevaux_trait[Ration]&amp;Règles_chevaux_trait[Aliment],0))="s1",IF($FD173=Spécificité1ChevauxTrait,1)),
AND(INDEX(Règles_chevaux_trait[Specificite],MATCH(RationHivernaleAuPréChevauxTrait&amp;$FD173,Règles_chevaux_trait[Ration]&amp;Règles_chevaux_trait[Aliment],0))="s2",IF($FD173=Spécificité2ChevauxTrait,1)),
INDEX(Règles_chevaux_trait[Specificite],MATCH(RationHivernaleAuPréChevauxTrait&amp;$FD173,Règles_chevaux_trait[Ration]&amp;Règles_chevaux_trait[Aliment],0))="c"),
INDEX(Règles_chevaux_trait[Valeur 24-36],MATCH(RationHivernaleAuPréChevauxTrait&amp;$FD173,Règles_chevaux_trait[Ration]&amp;Règles_chevaux_trait[Aliment],0)),0),0)*SUM(TotalChevauxTrait_24_36mois)*21)</f>
        <v>0</v>
      </c>
      <c r="FG173" s="1283">
        <f t="array" ref="FG173">IF(OR(ChoixRationHivernaleComplèteChevauxTrait=OUI,ChoixRationHivernaleComplèteChevauxTrait="",ChoixChevauxTraitPréHiver=NON),0,IFERROR(IF(OR(AND(INDEX(Règles_chevaux_trait[Specificite],MATCH(RationHivernaleAuPréChevauxTrait&amp;$FD173,Règles_chevaux_trait[Ration]&amp;Règles_chevaux_trait[Aliment],0))="s1",IF($FD173=Spécificité1ChevauxTrait,1)),
AND(INDEX(Règles_chevaux_trait[Specificite],MATCH(RationHivernaleAuPréChevauxTrait&amp;$FD173,Règles_chevaux_trait[Ration]&amp;Règles_chevaux_trait[Aliment],0))="s2",IF($FD173=Spécificité2ChevauxTrait,1)),
INDEX(Règles_chevaux_trait[Specificite],MATCH(RationHivernaleAuPréChevauxTrait&amp;$FD173,Règles_chevaux_trait[Ration]&amp;Règles_chevaux_trait[Aliment],0))="c"),
INDEX(Règles_chevaux_trait[Valeur 12-24],MATCH(RationHivernaleAuPréChevauxTrait&amp;$FD173,Règles_chevaux_trait[Ration]&amp;Règles_chevaux_trait[Aliment],0)),0),0)*SUM(TotalChevauxTrait_12_24mois)*21)</f>
        <v>0</v>
      </c>
      <c r="FH173" s="1286">
        <f t="array" ref="FH173">IF(OR(ChoixRationHivernaleComplèteChevauxTrait=OUI,ChoixRationHivernaleComplèteChevauxTrait="",ChoixChevauxTraitPréHiver=NON),0,IFERROR(IF(OR(AND(INDEX(Règles_chevaux_trait[Specificite],MATCH(RationHivernaleAuPréChevauxTrait&amp;$FD173,Règles_chevaux_trait[Ration]&amp;Règles_chevaux_trait[Aliment],0))="s1",IF($FD173=Spécificité1ChevauxTrait,1)),
AND(INDEX(Règles_chevaux_trait[Specificite],MATCH(RationHivernaleAuPréChevauxTrait&amp;$FD173,Règles_chevaux_trait[Ration]&amp;Règles_chevaux_trait[Aliment],0))="s2",IF($FD173=Spécificité2ChevauxTrait,1)),
INDEX(Règles_chevaux_trait[Specificite],MATCH(RationHivernaleAuPréChevauxTrait&amp;$FD173,Règles_chevaux_trait[Ration]&amp;Règles_chevaux_trait[Aliment],0))="c"),
INDEX(Règles_chevaux_trait[Valeur 0-12],MATCH(RationHivernaleAuPréChevauxTrait&amp;$FD173,Règles_chevaux_trait[Ration]&amp;Règles_chevaux_trait[Aliment],0)),0),0)*SUM(TotalPoulainsTrait)*21)</f>
        <v>0</v>
      </c>
      <c r="FI173" s="1286">
        <f t="shared" si="53"/>
        <v>0</v>
      </c>
      <c r="FJ173" s="1345"/>
      <c r="FK173" s="1345"/>
      <c r="FL173" s="1345"/>
      <c r="FM173" s="1321"/>
      <c r="FN173" s="1082" t="str">
        <f t="shared" si="54"/>
        <v>Triticale</v>
      </c>
      <c r="FO173" s="1282">
        <f t="array" ref="FO173">IF(OR(ChoixRationHivernaleComplètePoneys=OUI,ChoixRationHivernaleComplètePoneys="",ChoixPoneysPréHiver=NON),0,IFERROR(IF(OR(AND(INDEX(Règles_poneys[Specificite],MATCH(RationHivernaleAuPréPoneys&amp;$FN173,Règles_poneys[Ration]&amp;Règles_poneys[Aliment],0))="s1",IF($FN173=Spécificité1Poneys,1)),
AND(INDEX(Règles_poneys[Specificite],MATCH(RationHivernaleAuPréPoneys&amp;$FN173,Règles_poneys[Ration]&amp;Règles_poneys[Aliment],0))="s2",IF($FN173=Spécificité2Poneys,1)),
INDEX(Règles_poneys[Specificite],MATCH(RationHivernaleAuPréPoneys&amp;$FN173,Règles_poneys[Ration]&amp;Règles_poneys[Aliment],0))="c"),
INDEX(Règles_poneys[Valeur 36 et plus],MATCH(RationHivernaleAuPréPoneys&amp;$FN173,Règles_poneys[Ration]&amp;Règles_poneys[Aliment],0)),0),0)*SUM(TotalPoneysAdultes)*21)</f>
        <v>0</v>
      </c>
      <c r="FP173" s="1282">
        <f t="array" ref="FP173">IF(OR(ChoixRationHivernaleComplètePoneys=OUI,ChoixRationHivernaleComplètePoneys="",ChoixPoneysPréHiver=NON),0,IFERROR(IF(OR(AND(INDEX(Règles_poneys[Specificite],MATCH(RationHivernaleAuPréPoneys&amp;$FN173,Règles_poneys[Ration]&amp;Règles_poneys[Aliment],0))="s1",IF($FN173=Spécificité1Poneys,1)),
AND(INDEX(Règles_poneys[Specificite],MATCH(RationHivernaleAuPréPoneys&amp;$FN173,Règles_poneys[Ration]&amp;Règles_poneys[Aliment],0))="s2",IF($FN173=Spécificité2Poneys,1)),
INDEX(Règles_poneys[Specificite],MATCH(RationHivernaleAuPréPoneys&amp;$FN173,Règles_poneys[Ration]&amp;Règles_poneys[Aliment],0))="c"),
INDEX(Règles_poneys[Valeur 24-36],MATCH(RationHivernaleAuPréPoneys&amp;$FN173,Règles_poneys[Ration]&amp;Règles_poneys[Aliment],0)),0),0)*SUM(TotalPoneys_24_36mois)*21)</f>
        <v>0</v>
      </c>
      <c r="FQ173" s="1282">
        <f t="array" ref="FQ173">IF(OR(ChoixRationHivernaleComplètePoneys=OUI,ChoixRationHivernaleComplètePoneys="",ChoixPoneysPréHiver=NON),0,IFERROR(IF(OR(AND(INDEX(Règles_poneys[Specificite],MATCH(RationHivernaleAuPréPoneys&amp;$FN173,Règles_poneys[Ration]&amp;Règles_poneys[Aliment],0))="s1",IF($FN173=Spécificité1Poneys,1)),
AND(INDEX(Règles_poneys[Specificite],MATCH(RationHivernaleAuPréPoneys&amp;$FN173,Règles_poneys[Ration]&amp;Règles_poneys[Aliment],0))="s2",IF($FN173=Spécificité2Poneys,1)),
INDEX(Règles_poneys[Specificite],MATCH(RationHivernaleAuPréPoneys&amp;$FN173,Règles_poneys[Ration]&amp;Règles_poneys[Aliment],0))="c"),
INDEX(Règles_poneys[Valeur 12-24],MATCH(RationHivernaleAuPréPoneys&amp;$FN173,Règles_poneys[Ration]&amp;Règles_poneys[Aliment],0)),0),0)*SUM(TotalPoneys_12_24mois)*21)</f>
        <v>0</v>
      </c>
      <c r="FR173" s="1285">
        <f t="array" ref="FR173">IF(OR(ChoixRationHivernaleComplètePoneys=OUI,ChoixRationHivernaleComplètePoneys="",ChoixPoneysPréHiver=NON),0,IFERROR(IF(OR(AND(INDEX(Règles_poneys[Specificite],MATCH(RationHivernaleAuPréPoneys&amp;$FN173,Règles_poneys[Ration]&amp;Règles_poneys[Aliment],0))="s1",IF($FN173=Spécificité1Poneys,1)),
AND(INDEX(Règles_poneys[Specificite],MATCH(RationHivernaleAuPréPoneys&amp;$FN173,Règles_poneys[Ration]&amp;Règles_poneys[Aliment],0))="s2",IF($FN173=Spécificité2Poneys,1)),
INDEX(Règles_poneys[Specificite],MATCH(RationHivernaleAuPréPoneys&amp;$FN173,Règles_poneys[Ration]&amp;Règles_poneys[Aliment],0))="c"),
INDEX(Règles_poneys[Valeur 0-12],MATCH(RationHivernaleAuPréPoneys&amp;$FN173,Règles_poneys[Ration]&amp;Règles_poneys[Aliment],0)),0),0)*SUM(TotalPoulainsPoneys)*21)</f>
        <v>0</v>
      </c>
      <c r="FS173" s="1285">
        <f t="shared" si="52"/>
        <v>0</v>
      </c>
      <c r="FT173" s="1345"/>
      <c r="FU173" s="1345"/>
      <c r="FV173" s="1345"/>
      <c r="FW173" s="1083">
        <f t="shared" si="49"/>
        <v>0</v>
      </c>
      <c r="FX173" s="1283"/>
      <c r="FY173" s="1283"/>
      <c r="FZ173" s="1283"/>
      <c r="GA173" s="1345"/>
      <c r="GB173" s="1345"/>
      <c r="GC173" s="1321"/>
      <c r="GD173" s="1321"/>
      <c r="GE173" s="1321"/>
      <c r="GF173" s="1321"/>
      <c r="GG173" s="1321" t="s">
        <v>1349</v>
      </c>
      <c r="GH173" s="1321" t="s">
        <v>1349</v>
      </c>
      <c r="GI173" s="1321" t="s">
        <v>1349</v>
      </c>
      <c r="GJ173" s="1321" t="s">
        <v>1349</v>
      </c>
      <c r="GK173" s="1321" t="s">
        <v>1349</v>
      </c>
      <c r="GL173" s="1321" t="s">
        <v>1349</v>
      </c>
      <c r="GM173" s="1321" t="s">
        <v>1349</v>
      </c>
      <c r="GN173" s="1321" t="s">
        <v>1349</v>
      </c>
      <c r="GO173" s="1321" t="s">
        <v>1349</v>
      </c>
      <c r="GP173" s="1321" t="s">
        <v>1349</v>
      </c>
      <c r="GQ173" s="1321" t="s">
        <v>1349</v>
      </c>
      <c r="GR173" s="1321" t="s">
        <v>1349</v>
      </c>
      <c r="GS173" s="1321" t="s">
        <v>1349</v>
      </c>
      <c r="GT173" s="1321" t="s">
        <v>1349</v>
      </c>
      <c r="GU173" s="1321" t="s">
        <v>1349</v>
      </c>
      <c r="GV173" s="1321" t="s">
        <v>1349</v>
      </c>
      <c r="GW173" s="1321"/>
      <c r="GX173" s="1321"/>
      <c r="GY173" s="1321"/>
      <c r="GZ173" s="1321"/>
      <c r="HA173" s="1321"/>
      <c r="HB173" s="1321"/>
      <c r="HC173" s="1321"/>
      <c r="HD173" s="1321"/>
      <c r="HE173" s="1321"/>
      <c r="HF173" s="1321"/>
      <c r="HG173" s="1321"/>
      <c r="HH173" s="1321"/>
      <c r="HI173" s="1321"/>
      <c r="HJ173" s="1321"/>
      <c r="HK173" s="1321"/>
      <c r="HL173" s="1321"/>
      <c r="HM173" s="1321"/>
      <c r="HN173" s="1321"/>
      <c r="HO173" s="1321"/>
      <c r="HP173" s="1321"/>
      <c r="HQ173" s="1321"/>
      <c r="HR173" s="1321"/>
      <c r="HS173" s="1321"/>
      <c r="HT173" s="1321"/>
      <c r="HU173" s="1321"/>
      <c r="HV173" s="1321"/>
      <c r="HW173" s="1321"/>
      <c r="HX173" s="1321"/>
      <c r="HY173" s="1321"/>
      <c r="HZ173" s="1321"/>
      <c r="IA173" s="1321"/>
      <c r="IB173" s="1321"/>
      <c r="IC173" s="1321"/>
      <c r="ID173" s="1321"/>
      <c r="IE173" s="1321"/>
      <c r="IF173" s="1321"/>
      <c r="IG173" s="1321"/>
      <c r="IH173" s="1321"/>
      <c r="II173" s="1321"/>
      <c r="IJ173" s="1321"/>
      <c r="IK173" s="1321"/>
      <c r="IL173" s="1321"/>
      <c r="IM173" s="1321"/>
      <c r="IN173" s="1368"/>
    </row>
    <row r="174" spans="1:248" ht="12.75" customHeight="1" x14ac:dyDescent="0.2">
      <c r="A174" s="1307" t="s">
        <v>628</v>
      </c>
      <c r="B174" s="1209">
        <v>0.01</v>
      </c>
      <c r="C174" s="1321"/>
      <c r="D174" s="1251" t="s">
        <v>1808</v>
      </c>
      <c r="E174" s="1252">
        <v>0.57999999999999996</v>
      </c>
      <c r="F174" s="1321"/>
      <c r="G174" s="1321"/>
      <c r="H174" s="1321"/>
      <c r="I174" s="1321"/>
      <c r="J174" s="1321"/>
      <c r="K174" s="1321"/>
      <c r="L174" s="1321"/>
      <c r="M174" s="1321"/>
      <c r="N174" s="1321"/>
      <c r="O174" s="1321"/>
      <c r="P174" s="1321"/>
      <c r="Q174" s="1321"/>
      <c r="R174" s="1321"/>
      <c r="S174" s="1321"/>
      <c r="T174" s="1321"/>
      <c r="U174" s="1321"/>
      <c r="V174" s="1321"/>
      <c r="W174" s="1321"/>
      <c r="X174" s="1321"/>
      <c r="Y174" s="1321"/>
      <c r="Z174" s="1321"/>
      <c r="AA174" s="1321"/>
      <c r="AB174" s="1321"/>
      <c r="AC174" s="1321"/>
      <c r="AD174" s="1321"/>
      <c r="AE174" s="1321"/>
      <c r="AF174" s="1321"/>
      <c r="AG174" s="1321"/>
      <c r="AH174" s="1321"/>
      <c r="AI174" s="1321"/>
      <c r="AJ174" s="1321"/>
      <c r="AK174" s="1321"/>
      <c r="AL174" s="1321"/>
      <c r="AM174" s="1321"/>
      <c r="AN174" s="1321"/>
      <c r="AO174" s="1321"/>
      <c r="AP174" s="1321"/>
      <c r="AQ174" s="1321"/>
      <c r="AR174" s="1321"/>
      <c r="AS174" s="1321"/>
      <c r="AT174" s="1321"/>
      <c r="AU174" s="1321"/>
      <c r="AV174" s="1321"/>
      <c r="AW174" s="1321"/>
      <c r="AX174" s="1321"/>
      <c r="AY174" s="1321"/>
      <c r="AZ174" s="1321"/>
      <c r="BA174" s="1321"/>
      <c r="BB174" s="1236" t="s">
        <v>1134</v>
      </c>
      <c r="BC174" s="1190" t="s">
        <v>219</v>
      </c>
      <c r="BD174" s="1190" t="s">
        <v>1252</v>
      </c>
      <c r="BE174" s="1237">
        <v>44</v>
      </c>
      <c r="BF174" s="1237">
        <v>36</v>
      </c>
      <c r="BG174" s="1237">
        <v>28</v>
      </c>
      <c r="BH174" s="1237">
        <v>20</v>
      </c>
      <c r="BI174" s="1237">
        <v>16</v>
      </c>
      <c r="BJ174" s="1237">
        <v>12</v>
      </c>
      <c r="BK174" s="1238">
        <v>0</v>
      </c>
      <c r="BL174" s="1321"/>
      <c r="BM174" s="1346"/>
      <c r="BN174" s="1321"/>
      <c r="BO174" s="1321"/>
      <c r="BP174" s="1321"/>
      <c r="BQ174" s="1321"/>
      <c r="BR174" s="1321"/>
      <c r="BS174" s="1321"/>
      <c r="BT174" s="1321"/>
      <c r="BU174" s="1321"/>
      <c r="BV174" s="1345"/>
      <c r="BW174" s="1345"/>
      <c r="BX174" s="1076" t="str">
        <f t="shared" si="57"/>
        <v>Tourteau de colza</v>
      </c>
      <c r="BY174" s="1076">
        <f t="array" ref="BY174">IF(ChoixRationComplèteCaprins=OUI,0,IFERROR(IF(OR(AND(INDEX(Règles_caprins[Specificite],MATCH(ChoixRationCaprins&amp;$BX174,Règles_caprins[Ration]&amp;Règles_caprins[Aliment],0))="s1",IF($BX174=Spécificité1Caprins,1)),
INDEX(Règles_caprins[Specificite],MATCH(ChoixRationCaprins&amp;$BX174,Règles_caprins[Ration]&amp;Règles_caprins[Aliment],0))="c"),
INDEX(Règles_caprins[Valeur 12 et plus],MATCH(ChoixRationCaprins&amp;$BX174,Règles_caprins[Ration]&amp;Règles_caprins[Aliment],0)),0),0)*TotalChèvres*SUM(NbreJoursNourrirCaprins))</f>
        <v>0</v>
      </c>
      <c r="BZ174" s="1076">
        <f t="array" ref="BZ174">IF(ChoixRationComplèteCaprins=OUI,0,IFERROR(IF(OR(AND(INDEX(Règles_caprins[Specificite],MATCH(ChoixRationCaprins&amp;$BX174,Règles_caprins[Ration]&amp;Règles_caprins[Aliment],0))="s1",IF($BX174=Spécificité1Caprins,1)),
INDEX(Règles_caprins[Specificite],MATCH(ChoixRationCaprins&amp;$BX174,Règles_caprins[Ration]&amp;Règles_caprins[Aliment],0))="c"),
INDEX(Règles_caprins[Valeur 6-12],MATCH(ChoixRationCaprins&amp;$BX174,Règles_caprins[Ration]&amp;Règles_caprins[Aliment],0)),0),0)*jeune_chèvre_6_12_mois*SUM(NbreJoursNourrirCaprins))</f>
        <v>0</v>
      </c>
      <c r="CA174" s="1076">
        <f t="array" ref="CA174">IF(ChoixRationComplèteCaprins=OUI,0,IFERROR(IF(OR(AND(INDEX(Règles_caprins[Specificite],MATCH(ChoixRationCaprins&amp;$BX174,Règles_caprins[Ration]&amp;Règles_caprins[Aliment],0))="s1",IF($BX174=Spécificité1Caprins,1)),
INDEX(Règles_caprins[Specificite],MATCH(ChoixRationCaprins&amp;$BX174,Règles_caprins[Ration]&amp;Règles_caprins[Aliment],0))="c"),
INDEX(Règles_caprins[Valeur 3-6],MATCH(ChoixRationCaprins&amp;$BX174,Règles_caprins[Ration]&amp;Règles_caprins[Aliment],0)),0),0)*chevrette_3_6_mois*SUM(NbreJoursNourrirCaprins))</f>
        <v>0</v>
      </c>
      <c r="CB174" s="1076">
        <f t="array" ref="CB174">IF(ChoixRationComplèteCaprins=OUI,0,IFERROR(IF(OR(AND(INDEX(Règles_caprins[Specificite],MATCH(ChoixRationCaprins&amp;$BX174,Règles_caprins[Ration]&amp;Règles_caprins[Aliment],0))="s1",IF($BX174=Spécificité1Caprins,1)),
INDEX(Règles_caprins[Specificite],MATCH(ChoixRationCaprins&amp;$BX174,Règles_caprins[Ration]&amp;Règles_caprins[Aliment],0))="c"),
INDEX(Règles_caprins[Valeur 0-3],MATCH(ChoixRationCaprins&amp;$BX174,Règles_caprins[Ration]&amp;Règles_caprins[Aliment],0)),0),0)*chevrette_0_3_mois*SUM(NbreJoursNourrirCaprins))</f>
        <v>0</v>
      </c>
      <c r="CC174" s="1076">
        <f t="shared" si="56"/>
        <v>0</v>
      </c>
      <c r="CD174" s="1345"/>
      <c r="CE174" s="1345"/>
      <c r="CF174" s="1345"/>
      <c r="CG174" s="1345"/>
      <c r="CH174" s="1345"/>
      <c r="CI174" s="1321"/>
      <c r="CJ174" s="1075">
        <f t="shared" si="51"/>
        <v>0</v>
      </c>
      <c r="CK174" s="1269"/>
      <c r="CL174" s="1269"/>
      <c r="CM174" s="1269"/>
      <c r="CN174" s="1321"/>
      <c r="CO174" s="1321"/>
      <c r="CP174" s="1321"/>
      <c r="CQ174" s="1321"/>
      <c r="CR174" s="1321"/>
      <c r="CS174" s="1075" t="str">
        <f t="shared" si="66"/>
        <v>Minéraux + vitamines</v>
      </c>
      <c r="CT174" s="1269">
        <f t="array" ref="CT174">SUM((IF(QualitéAlimentsLapereauMâle_0_1_mois=BONNE,VLOOKUP("Minéraux + vitamines",AlimentsRationLapinsMâles[],4,FALSE),0)+(IF(QualitéAlimentsLapereauFemelle_0_1_mois=BONNE,VLOOKUP("Minéraux + vitamines",AlimentsRationLapinsFemelles[],4,FALSE),0)+(IF(QualitéAlimentsJeuneLapin=BONNE,VLOOKUP("Minéraux + vitamines",AlimentsRationLapinsMâles[],3,FALSE),0)+(IF(QualitéAlimentsJeuneLapine=BONNE,VLOOKUP("Minéraux + vitamines",AlimentsRationLapinsFemelles[],3,FALSE),0)+(IF(QualitéAlimentsLapin=BONNE,VLOOKUP("Minéraux + vitamines",AlimentsRationLapinsMâles[],2,FALSE),0)+(IF(QualitéAlimentsLapine=BONNE,VLOOKUP("Minéraux + vitamines",AlimentsRationLapinsFemelles[],2,FALSE),0))))))))</f>
        <v>0</v>
      </c>
      <c r="CU174" s="1269">
        <f t="array" ref="CU174">SUM((IF(QualitéAlimentsLapereauMâle_0_1_mois=MOYENNE,VLOOKUP("Minéraux + vitamines",AlimentsRationLapinsMâles[],4,FALSE),0)+(IF(QualitéAlimentsLapereauFemelle_0_1_mois=MOYENNE,VLOOKUP("Minéraux + vitamines",AlimentsRationLapinsFemelles[],4,FALSE),0)+(IF(QualitéAlimentsJeuneLapin=MOYENNE,VLOOKUP("Minéraux + vitamines",AlimentsRationLapinsMâles[],3,FALSE),0)+(IF(QualitéAlimentsJeuneLapine=MOYENNE,VLOOKUP("Minéraux + vitamines",AlimentsRationLapinsFemelles[],3,FALSE),0)+(IF(QualitéAlimentsLapin=MOYENNE,VLOOKUP("Minéraux + vitamines",AlimentsRationLapinsMâles[],2,FALSE),0)+(IF(QualitéAlimentsLapine=MOYENNE,VLOOKUP("Minéraux + vitamines",AlimentsRationLapinsFemelles[],2,FALSE),0))))))))</f>
        <v>0</v>
      </c>
      <c r="CV174" s="1269">
        <f t="array" ref="CV174">SUM((IF(QualitéAlimentsLapereauMâle_0_1_mois=MAUVAISE,VLOOKUP("Minéraux + vitamines",AlimentsRationLapinsMâles[],4,FALSE),0)+(IF(QualitéAlimentsLapereauFemelle_0_1_mois=MAUVAISE,VLOOKUP("Minéraux + vitamines",AlimentsRationLapinsFemelles[],4,FALSE),0)+(IF(QualitéAlimentsJeuneLapin=MAUVAISE,VLOOKUP("Minéraux + vitamines",AlimentsRationLapinsMâles[],3,FALSE),0)+(IF(QualitéAlimentsJeuneLapine=MAUVAISE,VLOOKUP("Minéraux + vitamines",AlimentsRationLapinsFemelles[],3,FALSE),0)+(IF(QualitéAlimentsLapin=MAUVAISE,VLOOKUP("Minéraux + vitamines",AlimentsRationLapinsMâles[],2,FALSE),0)+(IF(QualitéAlimentsLapine=MAUVAISE,VLOOKUP("Minéraux + vitamines",AlimentsRationLapinsFemelles[],2,FALSE),0))))))))</f>
        <v>0</v>
      </c>
      <c r="CW174" s="1321"/>
      <c r="CX174" s="1321"/>
      <c r="CY174" s="1321"/>
      <c r="CZ174" s="1076" t="str">
        <f t="shared" si="65"/>
        <v>Orge</v>
      </c>
      <c r="DA174" s="1267">
        <f t="array" ref="DA174">SUM((IF(QualitéAlimentsPoussinMâle_0_1_mois=BONNE,VLOOKUP("Orge",AlimentsRationVolaillesMâles[],4,FALSE),0)+(IF(QualitéAlimentsPoussinFemelle_0_1_mois=BONNE,VLOOKUP("Orge",AlimentsRationVolaillesFemelles[],4,FALSE),0)+(IF(QualitéAlimentsJeuneCoq=BONNE,VLOOKUP("Orge",AlimentsRationVolaillesMâles[],3,FALSE),0)+(IF(QualitéAlimentsJeunePoule=BONNE,VLOOKUP("Orge",AlimentsRationVolaillesFemelles[],3,FALSE),0)+(IF(QualitéAlimentsCoq=BONNE,VLOOKUP("Orge",AlimentsRationVolaillesMâles[],2,FALSE),0)+(IF(QualitéAlimentsPoule=BONNE,VLOOKUP("Orge",AlimentsRationVolaillesFemelles[],2,FALSE),0))))))))</f>
        <v>0</v>
      </c>
      <c r="DB174" s="1267">
        <f t="array" ref="DB174">SUM((IF(QualitéAlimentsPoussinMâle_0_1_mois=MOYENNE,VLOOKUP("Orge",AlimentsRationVolaillesMâles[],4,FALSE),0)+(IF(QualitéAlimentsPoussinFemelle_0_1_mois=MOYENNE,VLOOKUP("Orge",AlimentsRationVolaillesFemelles[],4,FALSE),0)+(IF(QualitéAlimentsJeuneCoq=MOYENNE,VLOOKUP("Orge",AlimentsRationVolaillesMâles[],3,FALSE),0)+(IF(QualitéAlimentsJeunePoule=MOYENNE,VLOOKUP("Orge",AlimentsRationVolaillesFemelles[],3,FALSE),0)+(IF(QualitéAlimentsCoq=MOYENNE,VLOOKUP("Orge",AlimentsRationVolaillesMâles[],2,FALSE),0)+(IF(QualitéAlimentsPoule=MOYENNE,VLOOKUP("Orge",AlimentsRationVolaillesFemelles[],2,FALSE),0))))))))</f>
        <v>0</v>
      </c>
      <c r="DC174" s="1267">
        <f t="array" ref="DC174">SUM((IF(QualitéAlimentsPoussinMâle_0_1_mois=MAUVAISE,VLOOKUP("Orge",AlimentsRationVolaillesMâles[],4,FALSE),0)+(IF(QualitéAlimentsPoussinFemelle_0_1_mois=MAUVAISE,VLOOKUP("Orge",AlimentsRationVolaillesFemelles[],4,FALSE),0)+(IF(QualitéAlimentsJeuneCoq=MAUVAISE,VLOOKUP("Orge",AlimentsRationVolaillesMâles[],3,FALSE),0)+(IF(QualitéAlimentsJeunePoule=MAUVAISE,VLOOKUP("Orge",AlimentsRationVolaillesFemelles[],3,FALSE),0)+(IF(QualitéAlimentsCoq=MAUVAISE,VLOOKUP("Orge",AlimentsRationVolaillesMâles[],2,FALSE),0)+(IF(QualitéAlimentsPoule=MAUVAISE,VLOOKUP("Orge",AlimentsRationVolaillesFemelles[],2,FALSE),0))))))))</f>
        <v>0</v>
      </c>
      <c r="DD174" s="1321"/>
      <c r="DE174" s="1321"/>
      <c r="DF174" s="1321"/>
      <c r="DG174" s="1076" t="str">
        <f t="shared" si="58"/>
        <v>Tourteau de colza</v>
      </c>
      <c r="DH174" s="1267">
        <f t="array" ref="DH174">SUM((IF(QualitéAlimentsPintadeauMâle_0_1_mois=BONNE,VLOOKUP("Tourteau de colza",AlimentsRationPintadesMâles[],4,FALSE),0)+(IF(QualitéAlimentsPintadeauFemelle_0_1_mois=BONNE,VLOOKUP("Tourteau de colza",AlimentsRationPintadesFemelles[],4,FALSE),0)+(IF(QualitéAlimentsJeunePintadeMâle=BONNE,VLOOKUP("Tourteau de colza",AlimentsRationPintadesMâles[],3,FALSE),0)+(IF(QualitéAlimentsJeunePintadeFemelle=BONNE,VLOOKUP("Tourteau de colza",AlimentsRationPintadesFemelles[],3,FALSE),0)+(IF(QualitéAlimentsPintadeMâle=BONNE,VLOOKUP("Tourteau de colza",AlimentsRationPintadesMâles[],2,FALSE),0)+(IF(QualitéAlimentsPintadeFemelle=BONNE,VLOOKUP("Tourteau de colza",AlimentsRationPintadesFemelles[],2,FALSE),0))))))))</f>
        <v>0</v>
      </c>
      <c r="DI174" s="1267">
        <f t="array" ref="DI174">SUM((IF(QualitéAlimentsPintadeauMâle_0_1_mois=MOYENNE,VLOOKUP("Tourteau de colza",AlimentsRationPintadesMâles[],4,FALSE),0)+(IF(QualitéAlimentsPintadeauFemelle_0_1_mois=MOYENNE,VLOOKUP("Tourteau de colza",AlimentsRationPintadesFemelles[],4,FALSE),0)+(IF(QualitéAlimentsJeunePintadeMâle=MOYENNE,VLOOKUP("Tourteau de colza",AlimentsRationPintadesMâles[],3,FALSE),0)+(IF(QualitéAlimentsJeunePintadeFemelle=MOYENNE,VLOOKUP("Tourteau de colza",AlimentsRationPintadesFemelles[],3,FALSE),0)+(IF(QualitéAlimentsPintadeMâle=MOYENNE,VLOOKUP("Tourteau de colza",AlimentsRationPintadesMâles[],2,FALSE),0)+(IF(QualitéAlimentsPintadeFemelle=MOYENNE,VLOOKUP("Tourteau de colza",AlimentsRationPintadesFemelles[],2,FALSE),0))))))))</f>
        <v>0</v>
      </c>
      <c r="DJ174" s="1267">
        <f t="array" ref="DJ174">SUM((IF(QualitéAlimentsPintadeauMâle_0_1_mois=MAUVAISE,VLOOKUP("Tourteau de colza",AlimentsRationPintadesMâles[],4,FALSE),0)+(IF(QualitéAlimentsPintadeauFemelle_0_1_mois=MAUVAISE,VLOOKUP("Tourteau de colza",AlimentsRationPintadesFemelles[],4,FALSE),0)+(IF(QualitéAlimentsJeunePintadeMâle=MAUVAISE,VLOOKUP("Tourteau de colza",AlimentsRationPintadesMâles[],3,FALSE),0)+(IF(QualitéAlimentsJeunePintadeFemelle=MAUVAISE,VLOOKUP("Tourteau de colza",AlimentsRationPintadesFemelles[],3,FALSE),0)+(IF(QualitéAlimentsPintadeMâle=MAUVAISE,VLOOKUP("Tourteau de colza",AlimentsRationPintadesMâles[],2,FALSE),0)+(IF(QualitéAlimentsPintadeFemelle=MAUVAISE,VLOOKUP("Tourteau de colza",AlimentsRationPintadesFemelles[],2,FALSE),0))))))))</f>
        <v>0</v>
      </c>
      <c r="DK174" s="1321"/>
      <c r="DL174" s="1321"/>
      <c r="DM174" s="1321"/>
      <c r="DN174" s="1076" t="s">
        <v>1272</v>
      </c>
      <c r="DO174" s="1267">
        <f t="array" ref="DO174">IF(ChoixRationComplèteOvins=OUI,0,IFERROR(IF(OR(AND(INDEX(Règles_ovins[Specificite],MATCH(ChoixRationOvins&amp;$DN174,Règles_ovins[Ration]&amp;Règles_ovins[Aliment],0))="s1",IF($DN174=Spécificité1Ovins,1)),
AND(INDEX(Règles_ovins[Specificite],MATCH(ChoixRationOvins&amp;$DN174,Règles_ovins[Ration]&amp;Règles_ovins[Aliment],0))="s2",IF($DN174=Spécificité2Ovins,1)),
INDEX(Règles_ovins[Specificite],MATCH(ChoixRationOvins&amp;$DN174,Règles_ovins[Ration]&amp;Règles_ovins[Aliment],0))="c"),
INDEX(Règles_ovins[Valeur 12 et plus],MATCH(ChoixRationOvins&amp;$DN174,Règles_ovins[Ration]&amp;Règles_ovins[Aliment],0)),0),0)*IF(ChoixOvinsPréHiver=OUI,SUM(TotalOvinsAdultesRacesLaitières)*NbreJoursNourrirOvins,TotalBéliers*SUM(NbreJoursNourrirOvins)))</f>
        <v>0</v>
      </c>
      <c r="DP174" s="1267">
        <f t="array" ref="DP174">IF(ChoixRationComplèteOvins=OUI,0,IFERROR(IF(OR(AND(INDEX(Règles_ovins[Specificite],MATCH(ChoixRationOvins&amp;$DN174,Règles_ovins[Ration]&amp;Règles_ovins[Aliment],0))="s1",IF($DN174=Spécificité1Ovins,1)),
AND(INDEX(Règles_ovins[Specificite],MATCH(ChoixRationOvins&amp;$DN174,Règles_ovins[Ration]&amp;Règles_ovins[Aliment],0))="s2",IF($DN174=Spécificité2Ovins,1)),
INDEX(Règles_ovins[Specificite],MATCH(ChoixRationOvins&amp;$DN174,Règles_ovins[Ration]&amp;Règles_ovins[Aliment],0))="c"),
INDEX(Règles_ovins[Valeur 6-12],MATCH(ChoixRationOvins&amp;$DN174,Règles_ovins[Ration]&amp;Règles_ovins[Aliment],0)),0),0)*IF(ChoixOvinsPréHiver=OUI,SUM(TotalJeunesOvinsRacesLaitières)*NbreJoursNourrirOvins,TotalJeune_bélier_6_12_mois*SUM(NbreJoursNourrirOvins)))</f>
        <v>0</v>
      </c>
      <c r="DQ174" s="1267">
        <f t="array" ref="DQ174">IF(ChoixRationComplèteOvins=OUI,0,IFERROR(IF(OR(AND(INDEX(Règles_ovins[Specificite],MATCH(ChoixRationOvins&amp;$DN174,Règles_ovins[Ration]&amp;Règles_ovins[Aliment],0))="s1",IF($DN174=Spécificité1Ovins,1)),
AND(INDEX(Règles_ovins[Specificite],MATCH(ChoixRationOvins&amp;$DN174,Règles_ovins[Ration]&amp;Règles_ovins[Aliment],0))="s2",IF($DN174=Spécificité2Ovins,1)),
INDEX(Règles_ovins[Specificite],MATCH(ChoixRationOvins&amp;$DN174,Règles_ovins[Ration]&amp;Règles_ovins[Aliment],0))="c"),
INDEX(Règles_ovins[Valeur 3-6],MATCH(ChoixRationOvins&amp;$DN174,Règles_ovins[Ration]&amp;Règles_ovins[Aliment],0)),0),0)*IF(ChoixOvinsPréHiver=OUI,SUM(TotalOvins_3_6moisRacesLaitières)*NbreJoursNourrirOvins,TotalAgneau_3_6_mois*SUM(NbreJoursNourrirOvins)))</f>
        <v>0</v>
      </c>
      <c r="DR174" s="1267">
        <f t="array" ref="DR174">IF(ChoixRationComplèteOvins=OUI,0,IFERROR(IF(OR(AND(INDEX(Règles_ovins[Specificite],MATCH(ChoixRationOvins&amp;$DN174,Règles_ovins[Ration]&amp;Règles_ovins[Aliment],0))="s1",IF($DN174=Spécificité1Ovins,1)),
AND(INDEX(Règles_ovins[Specificite],MATCH(ChoixRationOvins&amp;$DN174,Règles_ovins[Ration]&amp;Règles_ovins[Aliment],0))="s2",IF($DN174=Spécificité2Ovins,1)),
INDEX(Règles_ovins[Specificite],MATCH(ChoixRationOvins&amp;$DN174,Règles_ovins[Ration]&amp;Règles_ovins[Aliment],0))="c"),
INDEX(Règles_ovins[Valeur 0-3],MATCH(ChoixRationOvins&amp;$DN174,Règles_ovins[Ration]&amp;Règles_ovins[Aliment],0)),0),0)*IF(ChoixOvinsPréHiver=OUI,SUM(TotalOvins_3_6moisRacesLaitières)*NbreJoursNourrirOvins,TotalAgneau_0_3_mois*SUM(NbreJoursNourrirOvins)))</f>
        <v>0</v>
      </c>
      <c r="DS174" s="1279">
        <f t="shared" si="61"/>
        <v>0</v>
      </c>
      <c r="DT174" s="1346"/>
      <c r="DU174" s="1346"/>
      <c r="DV174" s="1321"/>
      <c r="DW174" s="1321"/>
      <c r="DX174" s="1321"/>
      <c r="DY174" s="1321"/>
      <c r="DZ174" s="1321"/>
      <c r="EA174" s="1321"/>
      <c r="EB174" s="1321"/>
      <c r="EC174" s="1321"/>
      <c r="ED174" s="1345"/>
      <c r="EE174" s="1345"/>
      <c r="EF174" s="1321"/>
      <c r="EG174" s="1076" t="str">
        <f t="shared" si="63"/>
        <v>Pulpe déshydratée de betterave</v>
      </c>
      <c r="EH174" s="1267">
        <f t="array" ref="EH174">SUM((IF(QualitéAlimentsOisonMâle_0_3_mois=BONNE,VLOOKUP("Pulpe déshydratée de betterave",AlimentsRationOiesMâles[],4,FALSE),0)+(IF(QualitéAlimentsOisonFemelle_0_3_mois=BONNE,VLOOKUP("Pulpe déshydratée de betterave",AlimentsRationOiesFemelles[],4,FALSE),0)+(IF(QualitéAlimentsJeuneJars=BONNE,VLOOKUP("Pulpe déshydratée de betterave",AlimentsRationOiesMâles[],3,FALSE),0)+(IF(QualitéAlimentsJeuneOie=BONNE,VLOOKUP("Pulpe déshydratée de betterave",AlimentsRationOiesFemelles[],3,FALSE),0)+(IF(QualitéAlimentsJars=BONNE,VLOOKUP("Pulpe déshydratée de betterave",AlimentsRationOiesMâles[],2,FALSE),0)+(IF(QualitéAlimentsOie=BONNE,VLOOKUP("Pulpe déshydratée de betterave",AlimentsRationOiesFemelles[],2,FALSE),0))))))))</f>
        <v>0</v>
      </c>
      <c r="EI174" s="1267">
        <f t="array" ref="EI174">SUM((IF(QualitéAlimentsOisonMâle_0_3_mois=MOYENNE,VLOOKUP("Pulpe déshydratée de betterave",AlimentsRationOiesMâles[],4,FALSE),0)+(IF(QualitéAlimentsOisonFemelle_0_3_mois=MOYENNE,VLOOKUP("Pulpe déshydratée de betterave",AlimentsRationOiesFemelles[],4,FALSE),0)+(IF(QualitéAlimentsJeuneJars=MOYENNE,VLOOKUP("Pulpe déshydratée de betterave",AlimentsRationOiesMâles[],3,FALSE),0)+(IF(QualitéAlimentsJeuneOie=MOYENNE,VLOOKUP("Pulpe déshydratée de betterave",AlimentsRationOiesFemelles[],3,FALSE),0)+(IF(QualitéAlimentsJars=MOYENNE,VLOOKUP("Pulpe déshydratée de betterave",AlimentsRationOiesMâles[],2,FALSE),0)+(IF(QualitéAlimentsOie=MOYENNE,VLOOKUP("Pulpe déshydratée de betterave",AlimentsRationOiesFemelles[],2,FALSE),0))))))))</f>
        <v>0</v>
      </c>
      <c r="EJ174" s="1267">
        <f t="array" ref="EJ174">SUM((IF(QualitéAlimentsOisonMâle_0_3_mois=MAUVAISE,VLOOKUP("Pulpe déshydratée de betterave",AlimentsRationOiesMâles[],4,FALSE),0)+(IF(QualitéAlimentsOisonFemelle_0_3_mois=MAUVAISE,VLOOKUP("Pulpe déshydratée de betterave",AlimentsRationOiesFemelles[],4,FALSE),0)+(IF(QualitéAlimentsJeuneJars=MAUVAISE,VLOOKUP("Pulpe déshydratée de betterave",AlimentsRationOiesMâles[],3,FALSE),0)+(IF(QualitéAlimentsJeuneOie=MAUVAISE,VLOOKUP("Pulpe déshydratée de betterave",AlimentsRationOiesFemelles[],3,FALSE),0)+(IF(QualitéAlimentsJars=MAUVAISE,VLOOKUP("Pulpe déshydratée de betterave",AlimentsRationOiesMâles[],2,FALSE),0)+(IF(QualitéAlimentsOie=MAUVAISE,VLOOKUP("Pulpe déshydratée de betterave",AlimentsRationOiesFemelles[],2,FALSE),0))))))))</f>
        <v>0</v>
      </c>
      <c r="EK174" s="1345"/>
      <c r="EL174" s="1345"/>
      <c r="EM174" s="1321"/>
      <c r="EN174" s="1083" t="str">
        <f t="shared" si="62"/>
        <v>Ration complète</v>
      </c>
      <c r="EO174" s="1269">
        <f>IF(ChoixRationComplèteCanards&lt;&gt;OUI,0,IF(QualitéRationComplèteCanards=BONNE,Ration_complète_canards[somme],0))</f>
        <v>0</v>
      </c>
      <c r="EP174" s="1269">
        <f>IF(ChoixRationComplèteCanards&lt;&gt;OUI,0,IF(QualitéRationComplèteCanards=MOYENNE,Ration_complète_canards[somme],0))</f>
        <v>0</v>
      </c>
      <c r="EQ174" s="1269">
        <f>IF(ChoixRationComplèteCanards&lt;&gt;OUI,0,IF(QualitéRationComplèteCanards=MAUVAISE,Ration_complète_canards[somme],0))</f>
        <v>0</v>
      </c>
      <c r="ER174" s="1345"/>
      <c r="ES174" s="1345"/>
      <c r="ET174" s="1321"/>
      <c r="EU174" s="1082" t="str">
        <f t="shared" si="60"/>
        <v>Seigle</v>
      </c>
      <c r="EV174" s="1282">
        <f t="array" ref="EV174">IF(OR(ChoixRationHivernaleComplèteChevauxSelle=OUI,ChoixRationHivernaleComplèteChevauxSelle="",ChoixChevauxSellePréHiver=NON),0,IFERROR(IF(OR(AND(INDEX(Règles_chevaux_selle[Specificite],MATCH(RationHivernaleAuPréChevauxSelle&amp;$EU174,Règles_chevaux_selle[Ration]&amp;Règles_chevaux_selle[Aliment],0))="s1",IF($EU174=Spécificité1ChevauxSelle,1)),
AND(INDEX(Règles_chevaux_selle[Specificite],MATCH(RationHivernaleAuPréChevauxSelle&amp;$EU174,Règles_chevaux_selle[Ration]&amp;Règles_chevaux_selle[Aliment],0))="s2",IF($EU174=Spécificité2ChevauxSelle,1)),
INDEX(Règles_chevaux_selle[Specificite],MATCH(RationHivernaleAuPréChevauxSelle&amp;$EU174,Règles_chevaux_selle[Ration]&amp;Règles_chevaux_selle[Aliment],0))="c"),
INDEX(Règles_chevaux_selle[Valeur 36 et plus],MATCH(RationHivernaleAuPréChevauxSelle&amp;$EU174,Règles_chevaux_selle[Ration]&amp;Règles_chevaux_selle[Aliment],0)),0),0)*SUM(TotalChevauxSelleAdultes)*21)</f>
        <v>0</v>
      </c>
      <c r="EW174" s="1282">
        <f t="array" ref="EW174">IF(OR(ChoixRationHivernaleComplèteChevauxSelle=OUI,ChoixRationHivernaleComplèteChevauxSelle="",ChoixChevauxSellePréHiver=NON),0,IFERROR(IF(OR(AND(INDEX(Règles_chevaux_selle[Specificite],MATCH(RationHivernaleAuPréChevauxSelle&amp;$EU174,Règles_chevaux_selle[Ration]&amp;Règles_chevaux_selle[Aliment],0))="s1",IF($EU174=Spécificité1ChevauxSelle,1)),
AND(INDEX(Règles_chevaux_selle[Specificite],MATCH(RationHivernaleAuPréChevauxSelle&amp;$EU174,Règles_chevaux_selle[Ration]&amp;Règles_chevaux_selle[Aliment],0))="s2",IF($EU174=Spécificité2ChevauxSelle,1)),
INDEX(Règles_chevaux_selle[Specificite],MATCH(RationHivernaleAuPréChevauxSelle&amp;$EU174,Règles_chevaux_selle[Ration]&amp;Règles_chevaux_selle[Aliment],0))="c"),
INDEX(Règles_chevaux_selle[Valeur 24-36],MATCH(RationHivernaleAuPréChevauxSelle&amp;$EU174,Règles_chevaux_selle[Ration]&amp;Règles_chevaux_selle[Aliment],0)),0),0)*SUM(TotalChevauxSelle_24_36mois)*21)</f>
        <v>0</v>
      </c>
      <c r="EX174" s="1282">
        <f t="array" ref="EX174">IF(OR(ChoixRationHivernaleComplèteChevauxSelle=OUI,ChoixRationHivernaleComplèteChevauxSelle="",ChoixChevauxSellePréHiver=NON),0,IFERROR(IF(OR(AND(INDEX(Règles_chevaux_selle[Specificite],MATCH(RationHivernaleAuPréChevauxSelle&amp;$EU174,Règles_chevaux_selle[Ration]&amp;Règles_chevaux_selle[Aliment],0))="s1",IF($EU174=Spécificité1ChevauxSelle,1)),
AND(INDEX(Règles_chevaux_selle[Specificite],MATCH(RationHivernaleAuPréChevauxSelle&amp;$EU174,Règles_chevaux_selle[Ration]&amp;Règles_chevaux_selle[Aliment],0))="s2",IF($EU174=Spécificité2ChevauxSelle,1)),
INDEX(Règles_chevaux_selle[Specificite],MATCH(RationHivernaleAuPréChevauxSelle&amp;$EU174,Règles_chevaux_selle[Ration]&amp;Règles_chevaux_selle[Aliment],0))="c"),
INDEX(Règles_chevaux_selle[Valeur 12-24],MATCH(RationHivernaleAuPréChevauxSelle&amp;$EU174,Règles_chevaux_selle[Ration]&amp;Règles_chevaux_selle[Aliment],0)),0),0)*SUM(TotalChevauxSelle_12_24mois)*21)</f>
        <v>0</v>
      </c>
      <c r="EY174" s="1285">
        <f t="array" ref="EY174">IF(OR(ChoixRationHivernaleComplèteChevauxSelle=OUI,ChoixRationHivernaleComplèteChevauxSelle="",ChoixChevauxSellePréHiver=NON),0,IFERROR(IF(OR(AND(INDEX(Règles_chevaux_selle[Specificite],MATCH(RationHivernaleAuPréChevauxSelle&amp;$EU174,Règles_chevaux_selle[Ration]&amp;Règles_chevaux_selle[Aliment],0))="s1",IF($EU174=Spécificité1ChevauxSelle,1)),
AND(INDEX(Règles_chevaux_selle[Specificite],MATCH(RationHivernaleAuPréChevauxSelle&amp;$EU174,Règles_chevaux_selle[Ration]&amp;Règles_chevaux_selle[Aliment],0))="s2",IF($EU174=Spécificité2ChevauxSelle,1)),
INDEX(Règles_chevaux_selle[Specificite],MATCH(RationHivernaleAuPréChevauxSelle&amp;$EU174,Règles_chevaux_selle[Ration]&amp;Règles_chevaux_selle[Aliment],0))="c"),
INDEX(Règles_chevaux_selle[Valeur 0-12],MATCH(RationHivernaleAuPréChevauxSelle&amp;$EU174,Règles_chevaux_selle[Ration]&amp;Règles_chevaux_selle[Aliment],0)),0),0)*SUM(TotalPoulainsSelle)*21)</f>
        <v>0</v>
      </c>
      <c r="EZ174" s="1285">
        <f t="shared" si="59"/>
        <v>0</v>
      </c>
      <c r="FA174" s="1345"/>
      <c r="FB174" s="1345"/>
      <c r="FC174" s="1321"/>
      <c r="FD174" s="1082" t="str">
        <f t="shared" si="55"/>
        <v>Triticale</v>
      </c>
      <c r="FE174" s="1282">
        <f t="array" ref="FE174">IF(OR(ChoixRationHivernaleComplèteChevauxTrait=OUI,ChoixRationHivernaleComplèteChevauxTrait="",ChoixChevauxTraitPréHiver=NON),0,IFERROR(IF(OR(AND(INDEX(Règles_chevaux_trait[Specificite],MATCH(RationHivernaleAuPréChevauxTrait&amp;$FD174,Règles_chevaux_trait[Ration]&amp;Règles_chevaux_trait[Aliment],0))="s1",IF($FD174=Spécificité1ChevauxTrait,1)),
AND(INDEX(Règles_chevaux_trait[Specificite],MATCH(RationHivernaleAuPréChevauxTrait&amp;$FD174,Règles_chevaux_trait[Ration]&amp;Règles_chevaux_trait[Aliment],0))="s2",IF($FD174=Spécificité2ChevauxTrait,1)),
INDEX(Règles_chevaux_trait[Specificite],MATCH(RationHivernaleAuPréChevauxTrait&amp;$FD174,Règles_chevaux_trait[Ration]&amp;Règles_chevaux_trait[Aliment],0))="c"),
INDEX(Règles_chevaux_trait[Valeur 36 et plus],MATCH(RationHivernaleAuPréChevauxTrait&amp;$FD174,Règles_chevaux_trait[Ration]&amp;Règles_chevaux_trait[Aliment],0)),0),0)*SUM(TotalChevauxTraitAdultes)*21)</f>
        <v>0</v>
      </c>
      <c r="FF174" s="1282">
        <f t="array" ref="FF174">IF(OR(ChoixRationHivernaleComplèteChevauxTrait=OUI,ChoixRationHivernaleComplèteChevauxTrait="",ChoixChevauxTraitPréHiver=NON),0,IFERROR(IF(OR(AND(INDEX(Règles_chevaux_trait[Specificite],MATCH(RationHivernaleAuPréChevauxTrait&amp;$FD174,Règles_chevaux_trait[Ration]&amp;Règles_chevaux_trait[Aliment],0))="s1",IF($FD174=Spécificité1ChevauxTrait,1)),
AND(INDEX(Règles_chevaux_trait[Specificite],MATCH(RationHivernaleAuPréChevauxTrait&amp;$FD174,Règles_chevaux_trait[Ration]&amp;Règles_chevaux_trait[Aliment],0))="s2",IF($FD174=Spécificité2ChevauxTrait,1)),
INDEX(Règles_chevaux_trait[Specificite],MATCH(RationHivernaleAuPréChevauxTrait&amp;$FD174,Règles_chevaux_trait[Ration]&amp;Règles_chevaux_trait[Aliment],0))="c"),
INDEX(Règles_chevaux_trait[Valeur 24-36],MATCH(RationHivernaleAuPréChevauxTrait&amp;$FD174,Règles_chevaux_trait[Ration]&amp;Règles_chevaux_trait[Aliment],0)),0),0)*SUM(TotalChevauxTrait_24_36mois)*21)</f>
        <v>0</v>
      </c>
      <c r="FG174" s="1282">
        <f t="array" ref="FG174">IF(OR(ChoixRationHivernaleComplèteChevauxTrait=OUI,ChoixRationHivernaleComplèteChevauxTrait="",ChoixChevauxTraitPréHiver=NON),0,IFERROR(IF(OR(AND(INDEX(Règles_chevaux_trait[Specificite],MATCH(RationHivernaleAuPréChevauxTrait&amp;$FD174,Règles_chevaux_trait[Ration]&amp;Règles_chevaux_trait[Aliment],0))="s1",IF($FD174=Spécificité1ChevauxTrait,1)),
AND(INDEX(Règles_chevaux_trait[Specificite],MATCH(RationHivernaleAuPréChevauxTrait&amp;$FD174,Règles_chevaux_trait[Ration]&amp;Règles_chevaux_trait[Aliment],0))="s2",IF($FD174=Spécificité2ChevauxTrait,1)),
INDEX(Règles_chevaux_trait[Specificite],MATCH(RationHivernaleAuPréChevauxTrait&amp;$FD174,Règles_chevaux_trait[Ration]&amp;Règles_chevaux_trait[Aliment],0))="c"),
INDEX(Règles_chevaux_trait[Valeur 12-24],MATCH(RationHivernaleAuPréChevauxTrait&amp;$FD174,Règles_chevaux_trait[Ration]&amp;Règles_chevaux_trait[Aliment],0)),0),0)*SUM(TotalChevauxTrait_12_24mois)*21)</f>
        <v>0</v>
      </c>
      <c r="FH174" s="1285">
        <f t="array" ref="FH174">IF(OR(ChoixRationHivernaleComplèteChevauxTrait=OUI,ChoixRationHivernaleComplèteChevauxTrait="",ChoixChevauxTraitPréHiver=NON),0,IFERROR(IF(OR(AND(INDEX(Règles_chevaux_trait[Specificite],MATCH(RationHivernaleAuPréChevauxTrait&amp;$FD174,Règles_chevaux_trait[Ration]&amp;Règles_chevaux_trait[Aliment],0))="s1",IF($FD174=Spécificité1ChevauxTrait,1)),
AND(INDEX(Règles_chevaux_trait[Specificite],MATCH(RationHivernaleAuPréChevauxTrait&amp;$FD174,Règles_chevaux_trait[Ration]&amp;Règles_chevaux_trait[Aliment],0))="s2",IF($FD174=Spécificité2ChevauxTrait,1)),
INDEX(Règles_chevaux_trait[Specificite],MATCH(RationHivernaleAuPréChevauxTrait&amp;$FD174,Règles_chevaux_trait[Ration]&amp;Règles_chevaux_trait[Aliment],0))="c"),
INDEX(Règles_chevaux_trait[Valeur 0-12],MATCH(RationHivernaleAuPréChevauxTrait&amp;$FD174,Règles_chevaux_trait[Ration]&amp;Règles_chevaux_trait[Aliment],0)),0),0)*SUM(TotalPoulainsTrait)*21)</f>
        <v>0</v>
      </c>
      <c r="FI174" s="1285">
        <f t="shared" si="53"/>
        <v>0</v>
      </c>
      <c r="FJ174" s="1345"/>
      <c r="FK174" s="1345"/>
      <c r="FL174" s="1345"/>
      <c r="FM174" s="1321"/>
      <c r="FN174" s="1083">
        <f t="shared" si="54"/>
        <v>0</v>
      </c>
      <c r="FO174" s="1283">
        <f t="array" ref="FO174">IF(OR(ChoixRationHivernaleComplètePoneys=OUI,ChoixRationHivernaleComplètePoneys="",ChoixPoneysPréHiver=NON),0,IFERROR(IF(OR(AND(INDEX(Règles_poneys[Specificite],MATCH(RationHivernaleAuPréPoneys&amp;$FN174,Règles_poneys[Ration]&amp;Règles_poneys[Aliment],0))="s1",IF($FN174=Spécificité1Poneys,1)),
AND(INDEX(Règles_poneys[Specificite],MATCH(RationHivernaleAuPréPoneys&amp;$FN174,Règles_poneys[Ration]&amp;Règles_poneys[Aliment],0))="s2",IF($FN174=Spécificité2Poneys,1)),
INDEX(Règles_poneys[Specificite],MATCH(RationHivernaleAuPréPoneys&amp;$FN174,Règles_poneys[Ration]&amp;Règles_poneys[Aliment],0))="c"),
INDEX(Règles_poneys[Valeur 36 et plus],MATCH(RationHivernaleAuPréPoneys&amp;$FN174,Règles_poneys[Ration]&amp;Règles_poneys[Aliment],0)),0),0)*SUM(TotalPoneysAdultes)*21)</f>
        <v>0</v>
      </c>
      <c r="FP174" s="1283">
        <f t="array" ref="FP174">IF(OR(ChoixRationHivernaleComplètePoneys=OUI,ChoixRationHivernaleComplètePoneys="",ChoixPoneysPréHiver=NON),0,IFERROR(IF(OR(AND(INDEX(Règles_poneys[Specificite],MATCH(RationHivernaleAuPréPoneys&amp;$FN174,Règles_poneys[Ration]&amp;Règles_poneys[Aliment],0))="s1",IF($FN174=Spécificité1Poneys,1)),
AND(INDEX(Règles_poneys[Specificite],MATCH(RationHivernaleAuPréPoneys&amp;$FN174,Règles_poneys[Ration]&amp;Règles_poneys[Aliment],0))="s2",IF($FN174=Spécificité2Poneys,1)),
INDEX(Règles_poneys[Specificite],MATCH(RationHivernaleAuPréPoneys&amp;$FN174,Règles_poneys[Ration]&amp;Règles_poneys[Aliment],0))="c"),
INDEX(Règles_poneys[Valeur 24-36],MATCH(RationHivernaleAuPréPoneys&amp;$FN174,Règles_poneys[Ration]&amp;Règles_poneys[Aliment],0)),0),0)*SUM(TotalPoneys_24_36mois)*21)</f>
        <v>0</v>
      </c>
      <c r="FQ174" s="1283">
        <f t="array" ref="FQ174">IF(OR(ChoixRationHivernaleComplètePoneys=OUI,ChoixRationHivernaleComplètePoneys="",ChoixPoneysPréHiver=NON),0,IFERROR(IF(OR(AND(INDEX(Règles_poneys[Specificite],MATCH(RationHivernaleAuPréPoneys&amp;$FN174,Règles_poneys[Ration]&amp;Règles_poneys[Aliment],0))="s1",IF($FN174=Spécificité1Poneys,1)),
AND(INDEX(Règles_poneys[Specificite],MATCH(RationHivernaleAuPréPoneys&amp;$FN174,Règles_poneys[Ration]&amp;Règles_poneys[Aliment],0))="s2",IF($FN174=Spécificité2Poneys,1)),
INDEX(Règles_poneys[Specificite],MATCH(RationHivernaleAuPréPoneys&amp;$FN174,Règles_poneys[Ration]&amp;Règles_poneys[Aliment],0))="c"),
INDEX(Règles_poneys[Valeur 12-24],MATCH(RationHivernaleAuPréPoneys&amp;$FN174,Règles_poneys[Ration]&amp;Règles_poneys[Aliment],0)),0),0)*SUM(TotalPoneys_12_24mois)*21)</f>
        <v>0</v>
      </c>
      <c r="FR174" s="1286">
        <f t="array" ref="FR174">IF(OR(ChoixRationHivernaleComplètePoneys=OUI,ChoixRationHivernaleComplètePoneys="",ChoixPoneysPréHiver=NON),0,IFERROR(IF(OR(AND(INDEX(Règles_poneys[Specificite],MATCH(RationHivernaleAuPréPoneys&amp;$FN174,Règles_poneys[Ration]&amp;Règles_poneys[Aliment],0))="s1",IF($FN174=Spécificité1Poneys,1)),
AND(INDEX(Règles_poneys[Specificite],MATCH(RationHivernaleAuPréPoneys&amp;$FN174,Règles_poneys[Ration]&amp;Règles_poneys[Aliment],0))="s2",IF($FN174=Spécificité2Poneys,1)),
INDEX(Règles_poneys[Specificite],MATCH(RationHivernaleAuPréPoneys&amp;$FN174,Règles_poneys[Ration]&amp;Règles_poneys[Aliment],0))="c"),
INDEX(Règles_poneys[Valeur 0-12],MATCH(RationHivernaleAuPréPoneys&amp;$FN174,Règles_poneys[Ration]&amp;Règles_poneys[Aliment],0)),0),0)*SUM(TotalPoulainsPoneys)*21)</f>
        <v>0</v>
      </c>
      <c r="FS174" s="1286">
        <f t="shared" si="52"/>
        <v>0</v>
      </c>
      <c r="FT174" s="1345"/>
      <c r="FU174" s="1345"/>
      <c r="FV174" s="1345"/>
      <c r="FW174" s="1082">
        <f t="shared" si="49"/>
        <v>0</v>
      </c>
      <c r="FX174" s="1282"/>
      <c r="FY174" s="1282"/>
      <c r="FZ174" s="1282"/>
      <c r="GA174" s="1345"/>
      <c r="GB174" s="1345"/>
      <c r="GC174" s="1321"/>
      <c r="GD174" s="1321"/>
      <c r="GE174" s="1321"/>
      <c r="GF174" s="1321"/>
      <c r="GG174" s="1321" t="s">
        <v>1349</v>
      </c>
      <c r="GH174" s="1321" t="s">
        <v>1349</v>
      </c>
      <c r="GI174" s="1321" t="s">
        <v>1349</v>
      </c>
      <c r="GJ174" s="1321" t="s">
        <v>1349</v>
      </c>
      <c r="GK174" s="1321" t="s">
        <v>1349</v>
      </c>
      <c r="GL174" s="1321" t="s">
        <v>1349</v>
      </c>
      <c r="GM174" s="1321" t="s">
        <v>1349</v>
      </c>
      <c r="GN174" s="1321" t="s">
        <v>1349</v>
      </c>
      <c r="GO174" s="1321" t="s">
        <v>1349</v>
      </c>
      <c r="GP174" s="1321" t="s">
        <v>1349</v>
      </c>
      <c r="GQ174" s="1321" t="s">
        <v>1349</v>
      </c>
      <c r="GR174" s="1321" t="s">
        <v>1349</v>
      </c>
      <c r="GS174" s="1321" t="s">
        <v>1349</v>
      </c>
      <c r="GT174" s="1321" t="s">
        <v>1349</v>
      </c>
      <c r="GU174" s="1321" t="s">
        <v>1349</v>
      </c>
      <c r="GV174" s="1321" t="s">
        <v>1349</v>
      </c>
      <c r="GW174" s="1321"/>
      <c r="GX174" s="1321"/>
      <c r="GY174" s="1321"/>
      <c r="GZ174" s="1321"/>
      <c r="HA174" s="1321"/>
      <c r="HB174" s="1321"/>
      <c r="HC174" s="1321"/>
      <c r="HD174" s="1321"/>
      <c r="HE174" s="1321"/>
      <c r="HF174" s="1321"/>
      <c r="HG174" s="1321"/>
      <c r="HH174" s="1321"/>
      <c r="HI174" s="1321"/>
      <c r="HJ174" s="1321"/>
      <c r="HK174" s="1321"/>
      <c r="HL174" s="1321"/>
      <c r="HM174" s="1321"/>
      <c r="HN174" s="1321"/>
      <c r="HO174" s="1321"/>
      <c r="HP174" s="1321"/>
      <c r="HQ174" s="1321"/>
      <c r="HR174" s="1321"/>
      <c r="HS174" s="1321"/>
      <c r="HT174" s="1321"/>
      <c r="HU174" s="1321"/>
      <c r="HV174" s="1321"/>
      <c r="HW174" s="1321"/>
      <c r="HX174" s="1321"/>
      <c r="HY174" s="1321"/>
      <c r="HZ174" s="1321"/>
      <c r="IA174" s="1321"/>
      <c r="IB174" s="1321"/>
      <c r="IC174" s="1321"/>
      <c r="ID174" s="1321"/>
      <c r="IE174" s="1321"/>
      <c r="IF174" s="1321"/>
      <c r="IG174" s="1321"/>
      <c r="IH174" s="1321"/>
      <c r="II174" s="1321"/>
      <c r="IJ174" s="1321"/>
      <c r="IK174" s="1321"/>
      <c r="IL174" s="1321"/>
      <c r="IM174" s="1321"/>
      <c r="IN174" s="1368"/>
    </row>
    <row r="175" spans="1:248" ht="12.75" customHeight="1" x14ac:dyDescent="0.2">
      <c r="A175" s="1307" t="s">
        <v>629</v>
      </c>
      <c r="B175" s="1209">
        <v>0.01</v>
      </c>
      <c r="C175" s="1321"/>
      <c r="D175" s="1253" t="s">
        <v>1810</v>
      </c>
      <c r="E175" s="1254">
        <v>0.3</v>
      </c>
      <c r="F175" s="1321"/>
      <c r="G175" s="1321"/>
      <c r="H175" s="1321"/>
      <c r="I175" s="1321"/>
      <c r="J175" s="1321"/>
      <c r="K175" s="1321"/>
      <c r="L175" s="1321"/>
      <c r="M175" s="1321"/>
      <c r="N175" s="1321"/>
      <c r="O175" s="1321"/>
      <c r="P175" s="1321"/>
      <c r="Q175" s="1321"/>
      <c r="R175" s="1321"/>
      <c r="S175" s="1321"/>
      <c r="T175" s="1321"/>
      <c r="U175" s="1321"/>
      <c r="V175" s="1321"/>
      <c r="W175" s="1321"/>
      <c r="X175" s="1321"/>
      <c r="Y175" s="1321"/>
      <c r="Z175" s="1321"/>
      <c r="AA175" s="1321"/>
      <c r="AB175" s="1321"/>
      <c r="AC175" s="1321"/>
      <c r="AD175" s="1321"/>
      <c r="AE175" s="1321"/>
      <c r="AF175" s="1321"/>
      <c r="AG175" s="1321"/>
      <c r="AH175" s="1321"/>
      <c r="AI175" s="1321"/>
      <c r="AJ175" s="1321"/>
      <c r="AK175" s="1321"/>
      <c r="AL175" s="1321"/>
      <c r="AM175" s="1321"/>
      <c r="AN175" s="1321"/>
      <c r="AO175" s="1321"/>
      <c r="AP175" s="1321"/>
      <c r="AQ175" s="1321"/>
      <c r="AR175" s="1321"/>
      <c r="AS175" s="1321"/>
      <c r="AT175" s="1321"/>
      <c r="AU175" s="1321"/>
      <c r="AV175" s="1321"/>
      <c r="AW175" s="1321"/>
      <c r="AX175" s="1321"/>
      <c r="AY175" s="1321"/>
      <c r="AZ175" s="1321"/>
      <c r="BA175" s="1321"/>
      <c r="BB175" s="1236" t="s">
        <v>1134</v>
      </c>
      <c r="BC175" s="1190" t="s">
        <v>672</v>
      </c>
      <c r="BD175" s="1190" t="s">
        <v>1253</v>
      </c>
      <c r="BE175" s="1237">
        <v>6.6</v>
      </c>
      <c r="BF175" s="1237">
        <v>5.4</v>
      </c>
      <c r="BG175" s="1237">
        <v>4.2</v>
      </c>
      <c r="BH175" s="1237">
        <v>3</v>
      </c>
      <c r="BI175" s="1237">
        <v>2.4</v>
      </c>
      <c r="BJ175" s="1237">
        <v>1.2</v>
      </c>
      <c r="BK175" s="1238">
        <v>0</v>
      </c>
      <c r="BL175" s="1321"/>
      <c r="BM175" s="1346"/>
      <c r="BN175" s="1321"/>
      <c r="BO175" s="1321"/>
      <c r="BP175" s="1321"/>
      <c r="BQ175" s="1321"/>
      <c r="BR175" s="1321"/>
      <c r="BS175" s="1321"/>
      <c r="BT175" s="1321"/>
      <c r="BU175" s="1321"/>
      <c r="BV175" s="1345"/>
      <c r="BW175" s="1345"/>
      <c r="BX175" s="1075" t="str">
        <f t="shared" si="57"/>
        <v>Tourteau de tournesol</v>
      </c>
      <c r="BY175" s="1075">
        <f t="array" ref="BY175">IF(ChoixRationComplèteCaprins=OUI,0,IFERROR(IF(OR(AND(INDEX(Règles_caprins[Specificite],MATCH(ChoixRationCaprins&amp;$BX175,Règles_caprins[Ration]&amp;Règles_caprins[Aliment],0))="s1",IF($BX175=Spécificité1Caprins,1)),
INDEX(Règles_caprins[Specificite],MATCH(ChoixRationCaprins&amp;$BX175,Règles_caprins[Ration]&amp;Règles_caprins[Aliment],0))="c"),
INDEX(Règles_caprins[Valeur 12 et plus],MATCH(ChoixRationCaprins&amp;$BX175,Règles_caprins[Ration]&amp;Règles_caprins[Aliment],0)),0),0)*TotalChèvres*SUM(NbreJoursNourrirCaprins))</f>
        <v>0</v>
      </c>
      <c r="BZ175" s="1075">
        <f t="array" ref="BZ175">IF(ChoixRationComplèteCaprins=OUI,0,IFERROR(IF(OR(AND(INDEX(Règles_caprins[Specificite],MATCH(ChoixRationCaprins&amp;$BX175,Règles_caprins[Ration]&amp;Règles_caprins[Aliment],0))="s1",IF($BX175=Spécificité1Caprins,1)),
INDEX(Règles_caprins[Specificite],MATCH(ChoixRationCaprins&amp;$BX175,Règles_caprins[Ration]&amp;Règles_caprins[Aliment],0))="c"),
INDEX(Règles_caprins[Valeur 6-12],MATCH(ChoixRationCaprins&amp;$BX175,Règles_caprins[Ration]&amp;Règles_caprins[Aliment],0)),0),0)*jeune_chèvre_6_12_mois*SUM(NbreJoursNourrirCaprins))</f>
        <v>0</v>
      </c>
      <c r="CA175" s="1075">
        <f t="array" ref="CA175">IF(ChoixRationComplèteCaprins=OUI,0,IFERROR(IF(OR(AND(INDEX(Règles_caprins[Specificite],MATCH(ChoixRationCaprins&amp;$BX175,Règles_caprins[Ration]&amp;Règles_caprins[Aliment],0))="s1",IF($BX175=Spécificité1Caprins,1)),
INDEX(Règles_caprins[Specificite],MATCH(ChoixRationCaprins&amp;$BX175,Règles_caprins[Ration]&amp;Règles_caprins[Aliment],0))="c"),
INDEX(Règles_caprins[Valeur 3-6],MATCH(ChoixRationCaprins&amp;$BX175,Règles_caprins[Ration]&amp;Règles_caprins[Aliment],0)),0),0)*chevrette_3_6_mois*SUM(NbreJoursNourrirCaprins))</f>
        <v>0</v>
      </c>
      <c r="CB175" s="1075">
        <f t="array" ref="CB175">IF(ChoixRationComplèteCaprins=OUI,0,IFERROR(IF(OR(AND(INDEX(Règles_caprins[Specificite],MATCH(ChoixRationCaprins&amp;$BX175,Règles_caprins[Ration]&amp;Règles_caprins[Aliment],0))="s1",IF($BX175=Spécificité1Caprins,1)),
INDEX(Règles_caprins[Specificite],MATCH(ChoixRationCaprins&amp;$BX175,Règles_caprins[Ration]&amp;Règles_caprins[Aliment],0))="c"),
INDEX(Règles_caprins[Valeur 0-3],MATCH(ChoixRationCaprins&amp;$BX175,Règles_caprins[Ration]&amp;Règles_caprins[Aliment],0)),0),0)*chevrette_0_3_mois*SUM(NbreJoursNourrirCaprins))</f>
        <v>0</v>
      </c>
      <c r="CC175" s="1075">
        <f t="shared" si="56"/>
        <v>0</v>
      </c>
      <c r="CD175" s="1345"/>
      <c r="CE175" s="1345"/>
      <c r="CF175" s="1345"/>
      <c r="CG175" s="1345"/>
      <c r="CH175" s="1345"/>
      <c r="CI175" s="1321"/>
      <c r="CJ175" s="1076"/>
      <c r="CK175" s="1267"/>
      <c r="CL175" s="1267"/>
      <c r="CM175" s="1267"/>
      <c r="CN175" s="1321"/>
      <c r="CO175" s="1321"/>
      <c r="CP175" s="1321"/>
      <c r="CQ175" s="1321"/>
      <c r="CR175" s="1321"/>
      <c r="CS175" s="1076" t="str">
        <f t="shared" si="66"/>
        <v>Orge</v>
      </c>
      <c r="CT175" s="1267">
        <f t="array" ref="CT175">SUM((IF(QualitéAlimentsLapereauMâle_0_1_mois=BONNE,VLOOKUP("Orge",AlimentsRationLapinsMâles[],4,FALSE),0)+(IF(QualitéAlimentsLapereauFemelle_0_1_mois=BONNE,VLOOKUP("Orge",AlimentsRationLapinsFemelles[],4,FALSE),0)+(IF(QualitéAlimentsJeuneLapin=BONNE,VLOOKUP("Orge",AlimentsRationLapinsMâles[],3,FALSE),0)+(IF(QualitéAlimentsJeuneLapine=BONNE,VLOOKUP("Orge",AlimentsRationLapinsFemelles[],3,FALSE),0)+(IF(QualitéAlimentsLapin=BONNE,VLOOKUP("Orge",AlimentsRationLapinsMâles[],2,FALSE),0)+(IF(QualitéAlimentsLapine=BONNE,VLOOKUP("Orge",AlimentsRationLapinsFemelles[],2,FALSE),0))))))))</f>
        <v>0</v>
      </c>
      <c r="CU175" s="1267">
        <f t="array" ref="CU175">SUM((IF(QualitéAlimentsLapereauMâle_0_1_mois=MOYENNE,VLOOKUP("Orge",AlimentsRationLapinsMâles[],4,FALSE),0)+(IF(QualitéAlimentsLapereauFemelle_0_1_mois=MOYENNE,VLOOKUP("Orge",AlimentsRationLapinsFemelles[],4,FALSE),0)+(IF(QualitéAlimentsJeuneLapin=MOYENNE,VLOOKUP("Orge",AlimentsRationLapinsMâles[],3,FALSE),0)+(IF(QualitéAlimentsJeuneLapine=MOYENNE,VLOOKUP("Orge",AlimentsRationLapinsFemelles[],3,FALSE),0)+(IF(QualitéAlimentsLapin=MOYENNE,VLOOKUP("Orge",AlimentsRationLapinsMâles[],2,FALSE),0)+(IF(QualitéAlimentsLapine=MOYENNE,VLOOKUP("Orge",AlimentsRationLapinsFemelles[],2,FALSE),0))))))))</f>
        <v>0</v>
      </c>
      <c r="CV175" s="1267">
        <f t="array" ref="CV175">SUM((IF(QualitéAlimentsLapereauMâle_0_1_mois=MAUVAISE,VLOOKUP("Orge",AlimentsRationLapinsMâles[],4,FALSE),0)+(IF(QualitéAlimentsLapereauFemelle_0_1_mois=MAUVAISE,VLOOKUP("Orge",AlimentsRationLapinsFemelles[],4,FALSE),0)+(IF(QualitéAlimentsJeuneLapin=MAUVAISE,VLOOKUP("Orge",AlimentsRationLapinsMâles[],3,FALSE),0)+(IF(QualitéAlimentsJeuneLapine=MAUVAISE,VLOOKUP("Orge",AlimentsRationLapinsFemelles[],3,FALSE),0)+(IF(QualitéAlimentsLapin=MAUVAISE,VLOOKUP("Orge",AlimentsRationLapinsMâles[],2,FALSE),0)+(IF(QualitéAlimentsLapine=MAUVAISE,VLOOKUP("Orge",AlimentsRationLapinsFemelles[],2,FALSE),0))))))))</f>
        <v>0</v>
      </c>
      <c r="CW175" s="1321"/>
      <c r="CX175" s="1321"/>
      <c r="CY175" s="1321"/>
      <c r="CZ175" s="1075" t="str">
        <f t="shared" si="65"/>
        <v>Paille</v>
      </c>
      <c r="DA175" s="1269">
        <f t="array" ref="DA175">SUM((IF(QualitéAlimentsPoussinMâle_0_1_mois=BONNE,VLOOKUP("Paille",AlimentsRationVolaillesMâles[],4,FALSE),0)+(IF(QualitéAlimentsPoussinFemelle_0_1_mois=BONNE,VLOOKUP("Paille",AlimentsRationVolaillesFemelles[],4,FALSE),0)+(IF(QualitéAlimentsJeuneCoq=BONNE,VLOOKUP("Paille",AlimentsRationVolaillesMâles[],3,FALSE),0)+(IF(QualitéAlimentsJeunePoule=BONNE,VLOOKUP("Paille",AlimentsRationVolaillesFemelles[],3,FALSE),0)+(IF(QualitéAlimentsCoq=BONNE,VLOOKUP("Paille",AlimentsRationVolaillesMâles[],2,FALSE),0)+(IF(QualitéAlimentsPoule=BONNE,VLOOKUP("Paille",AlimentsRationVolaillesFemelles[],2,FALSE),0))))))))</f>
        <v>0</v>
      </c>
      <c r="DB175" s="1269">
        <f t="array" ref="DB175">SUM((IF(QualitéAlimentsPoussinMâle_0_1_mois=MOYENNE,VLOOKUP("Paille",AlimentsRationVolaillesMâles[],4,FALSE),0)+(IF(QualitéAlimentsPoussinFemelle_0_1_mois=MOYENNE,VLOOKUP("Paille",AlimentsRationVolaillesFemelles[],4,FALSE),0)+(IF(QualitéAlimentsJeuneCoq=MOYENNE,VLOOKUP("Paille",AlimentsRationVolaillesMâles[],3,FALSE),0)+(IF(QualitéAlimentsJeunePoule=MOYENNE,VLOOKUP("Paille",AlimentsRationVolaillesFemelles[],3,FALSE),0)+(IF(QualitéAlimentsCoq=MOYENNE,VLOOKUP("Paille",AlimentsRationVolaillesMâles[],2,FALSE),0)+(IF(QualitéAlimentsPoule=MOYENNE,VLOOKUP("Paille",AlimentsRationVolaillesFemelles[],2,FALSE),0))))))))</f>
        <v>0</v>
      </c>
      <c r="DC175" s="1269">
        <f t="array" ref="DC175">SUM((IF(QualitéAlimentsPoussinMâle_0_1_mois=MAUVAISE,VLOOKUP("Paille",AlimentsRationVolaillesMâles[],4,FALSE),0)+(IF(QualitéAlimentsPoussinFemelle_0_1_mois=MAUVAISE,VLOOKUP("Paille",AlimentsRationVolaillesFemelles[],4,FALSE),0)+(IF(QualitéAlimentsJeuneCoq=MAUVAISE,VLOOKUP("Paille",AlimentsRationVolaillesMâles[],3,FALSE),0)+(IF(QualitéAlimentsJeunePoule=MAUVAISE,VLOOKUP("Paille",AlimentsRationVolaillesFemelles[],3,FALSE),0)+(IF(QualitéAlimentsCoq=MAUVAISE,VLOOKUP("Paille",AlimentsRationVolaillesMâles[],2,FALSE),0)+(IF(QualitéAlimentsPoule=MAUVAISE,VLOOKUP("Paille",AlimentsRationVolaillesFemelles[],2,FALSE),0)+LitièreVolailles[[#Totals],[litière]])))))))</f>
        <v>0</v>
      </c>
      <c r="DD175" s="1321"/>
      <c r="DE175" s="1321"/>
      <c r="DF175" s="1321"/>
      <c r="DG175" s="1075" t="str">
        <f t="shared" si="58"/>
        <v>Tourteau de tournesol</v>
      </c>
      <c r="DH175" s="1269">
        <f t="array" ref="DH175">SUM((IF(QualitéAlimentsPintadeauMâle_0_1_mois=BONNE,VLOOKUP("Tourteau de tournesol",AlimentsRationPintadesMâles[],4,FALSE),0)+(IF(QualitéAlimentsPintadeauFemelle_0_1_mois=BONNE,VLOOKUP("Tourteau de tournesol",AlimentsRationPintadesFemelles[],4,FALSE),0)+(IF(QualitéAlimentsJeunePintadeMâle=BONNE,VLOOKUP("Tourteau de tournesol",AlimentsRationPintadesMâles[],3,FALSE),0)+(IF(QualitéAlimentsJeunePintadeFemelle=BONNE,VLOOKUP("Tourteau de tournesol",AlimentsRationPintadesFemelles[],3,FALSE),0)+(IF(QualitéAlimentsPintadeMâle=BONNE,VLOOKUP("Tourteau de tournesol",AlimentsRationPintadesMâles[],2,FALSE),0)+(IF(QualitéAlimentsPintadeFemelle=BONNE,VLOOKUP("Tourteau de tournesol",AlimentsRationPintadesFemelles[],2,FALSE),0))))))))</f>
        <v>0</v>
      </c>
      <c r="DI175" s="1269">
        <f t="array" ref="DI175">SUM((IF(QualitéAlimentsPintadeauMâle_0_1_mois=MOYENNE,VLOOKUP("Tourteau de tournesol",AlimentsRationPintadesMâles[],4,FALSE),0)+(IF(QualitéAlimentsPintadeauFemelle_0_1_mois=MOYENNE,VLOOKUP("Tourteau de tournesol",AlimentsRationPintadesFemelles[],4,FALSE),0)+(IF(QualitéAlimentsJeunePintadeMâle=MOYENNE,VLOOKUP("Tourteau de tournesol",AlimentsRationPintadesMâles[],3,FALSE),0)+(IF(QualitéAlimentsJeunePintadeFemelle=MOYENNE,VLOOKUP("Tourteau de tournesol",AlimentsRationPintadesFemelles[],3,FALSE),0)+(IF(QualitéAlimentsPintadeMâle=MOYENNE,VLOOKUP("Tourteau de tournesol",AlimentsRationPintadesMâles[],2,FALSE),0)+(IF(QualitéAlimentsPintadeFemelle=MOYENNE,VLOOKUP("Tourteau de tournesol",AlimentsRationPintadesFemelles[],2,FALSE),0))))))))</f>
        <v>0</v>
      </c>
      <c r="DJ175" s="1269">
        <f t="array" ref="DJ175">SUM((IF(QualitéAlimentsPintadeauMâle_0_1_mois=MAUVAISE,VLOOKUP("Tourteau de tournesol",AlimentsRationPintadesMâles[],4,FALSE),0)+(IF(QualitéAlimentsPintadeauFemelle_0_1_mois=MAUVAISE,VLOOKUP("Tourteau de tournesol",AlimentsRationPintadesFemelles[],4,FALSE),0)+(IF(QualitéAlimentsJeunePintadeMâle=MAUVAISE,VLOOKUP("Tourteau de tournesol",AlimentsRationPintadesMâles[],3,FALSE),0)+(IF(QualitéAlimentsJeunePintadeFemelle=MAUVAISE,VLOOKUP("Tourteau de tournesol",AlimentsRationPintadesFemelles[],3,FALSE),0)+(IF(QualitéAlimentsPintadeMâle=MAUVAISE,VLOOKUP("Tourteau de tournesol",AlimentsRationPintadesMâles[],2,FALSE),0)+(IF(QualitéAlimentsPintadeFemelle=MAUVAISE,VLOOKUP("Tourteau de tournesol",AlimentsRationPintadesFemelles[],2,FALSE),0))))))))</f>
        <v>0</v>
      </c>
      <c r="DK175" s="1321"/>
      <c r="DL175" s="1321"/>
      <c r="DM175" s="1321"/>
      <c r="DN175" s="1075" t="s">
        <v>723</v>
      </c>
      <c r="DO175" s="1269">
        <f t="array" ref="DO175">IF(ChoixRationComplèteOvins=OUI,0,IFERROR(IF(OR(AND(INDEX(Règles_ovins[Specificite],MATCH(ChoixRationOvins&amp;$DN175,Règles_ovins[Ration]&amp;Règles_ovins[Aliment],0))="s1",IF($DN175=Spécificité1Ovins,1)),
AND(INDEX(Règles_ovins[Specificite],MATCH(ChoixRationOvins&amp;$DN175,Règles_ovins[Ration]&amp;Règles_ovins[Aliment],0))="s2",IF($DN175=Spécificité2Ovins,1)),
INDEX(Règles_ovins[Specificite],MATCH(ChoixRationOvins&amp;$DN175,Règles_ovins[Ration]&amp;Règles_ovins[Aliment],0))="c"),
INDEX(Règles_ovins[Valeur 12 et plus],MATCH(ChoixRationOvins&amp;$DN175,Règles_ovins[Ration]&amp;Règles_ovins[Aliment],0)),0),0)*IF(ChoixOvinsPréHiver=OUI,SUM(TotalOvinsAdultesRacesLaitières)*NbreJoursNourrirOvins,TotalBéliers*SUM(NbreJoursNourrirOvins)))</f>
        <v>0</v>
      </c>
      <c r="DP175" s="1269">
        <f t="array" ref="DP175">IF(ChoixRationComplèteOvins=OUI,0,IFERROR(IF(OR(AND(INDEX(Règles_ovins[Specificite],MATCH(ChoixRationOvins&amp;$DN175,Règles_ovins[Ration]&amp;Règles_ovins[Aliment],0))="s1",IF($DN175=Spécificité1Ovins,1)),
AND(INDEX(Règles_ovins[Specificite],MATCH(ChoixRationOvins&amp;$DN175,Règles_ovins[Ration]&amp;Règles_ovins[Aliment],0))="s2",IF($DN175=Spécificité2Ovins,1)),
INDEX(Règles_ovins[Specificite],MATCH(ChoixRationOvins&amp;$DN175,Règles_ovins[Ration]&amp;Règles_ovins[Aliment],0))="c"),
INDEX(Règles_ovins[Valeur 6-12],MATCH(ChoixRationOvins&amp;$DN175,Règles_ovins[Ration]&amp;Règles_ovins[Aliment],0)),0),0)*IF(ChoixOvinsPréHiver=OUI,SUM(TotalJeunesOvinsRacesLaitières)*NbreJoursNourrirOvins,TotalJeune_bélier_6_12_mois*SUM(NbreJoursNourrirOvins)))</f>
        <v>0</v>
      </c>
      <c r="DQ175" s="1269">
        <f t="array" ref="DQ175">IF(ChoixRationComplèteOvins=OUI,0,IFERROR(IF(OR(AND(INDEX(Règles_ovins[Specificite],MATCH(ChoixRationOvins&amp;$DN175,Règles_ovins[Ration]&amp;Règles_ovins[Aliment],0))="s1",IF($DN175=Spécificité1Ovins,1)),
AND(INDEX(Règles_ovins[Specificite],MATCH(ChoixRationOvins&amp;$DN175,Règles_ovins[Ration]&amp;Règles_ovins[Aliment],0))="s2",IF($DN175=Spécificité2Ovins,1)),
INDEX(Règles_ovins[Specificite],MATCH(ChoixRationOvins&amp;$DN175,Règles_ovins[Ration]&amp;Règles_ovins[Aliment],0))="c"),
INDEX(Règles_ovins[Valeur 3-6],MATCH(ChoixRationOvins&amp;$DN175,Règles_ovins[Ration]&amp;Règles_ovins[Aliment],0)),0),0)*IF(ChoixOvinsPréHiver=OUI,SUM(TotalOvins_3_6moisRacesLaitières)*NbreJoursNourrirOvins,TotalAgneau_3_6_mois*SUM(NbreJoursNourrirOvins)))</f>
        <v>0</v>
      </c>
      <c r="DR175" s="1269">
        <f t="array" ref="DR175">IF(ChoixRationComplèteOvins=OUI,0,IFERROR(IF(OR(AND(INDEX(Règles_ovins[Specificite],MATCH(ChoixRationOvins&amp;$DN175,Règles_ovins[Ration]&amp;Règles_ovins[Aliment],0))="s1",IF($DN175=Spécificité1Ovins,1)),
AND(INDEX(Règles_ovins[Specificite],MATCH(ChoixRationOvins&amp;$DN175,Règles_ovins[Ration]&amp;Règles_ovins[Aliment],0))="s2",IF($DN175=Spécificité2Ovins,1)),
INDEX(Règles_ovins[Specificite],MATCH(ChoixRationOvins&amp;$DN175,Règles_ovins[Ration]&amp;Règles_ovins[Aliment],0))="c"),
INDEX(Règles_ovins[Valeur 0-3],MATCH(ChoixRationOvins&amp;$DN175,Règles_ovins[Ration]&amp;Règles_ovins[Aliment],0)),0),0)*IF(ChoixOvinsPréHiver=OUI,SUM(TotalOvins_3_6moisRacesLaitières)*NbreJoursNourrirOvins,TotalAgneau_0_3_mois*SUM(NbreJoursNourrirOvins)))</f>
        <v>0</v>
      </c>
      <c r="DS175" s="1280">
        <f t="shared" si="61"/>
        <v>0</v>
      </c>
      <c r="DT175" s="1346"/>
      <c r="DU175" s="1346"/>
      <c r="DV175" s="1321"/>
      <c r="DW175" s="1321"/>
      <c r="DX175" s="1321"/>
      <c r="DY175" s="1321"/>
      <c r="DZ175" s="1321"/>
      <c r="EA175" s="1321"/>
      <c r="EB175" s="1321"/>
      <c r="EC175" s="1321"/>
      <c r="ED175" s="1345"/>
      <c r="EE175" s="1345"/>
      <c r="EF175" s="1321"/>
      <c r="EG175" s="1075" t="str">
        <f t="shared" si="63"/>
        <v>Ration complète</v>
      </c>
      <c r="EH175" s="1269">
        <f>IF(ChoixRationComplèteOies&lt;&gt;OUI,0,IF(QualitéRationComplèteOies=BONNE,Ration_complète_oies[somme],0))</f>
        <v>0</v>
      </c>
      <c r="EI175" s="1269">
        <f>IF(ChoixRationComplèteOies&lt;&gt;OUI,0,IF(QualitéRationComplèteOies=MOYENNE,Ration_complète_oies[somme],0))</f>
        <v>0</v>
      </c>
      <c r="EJ175" s="1269">
        <f>IF(ChoixRationComplèteOies&lt;&gt;OUI,0,IF(QualitéRationComplèteOies=MAUVAISE,Ration_complète_oies[somme],0))</f>
        <v>0</v>
      </c>
      <c r="EK175" s="1345"/>
      <c r="EL175" s="1345"/>
      <c r="EM175" s="1321"/>
      <c r="EN175" s="1082" t="str">
        <f t="shared" si="62"/>
        <v>Seigle</v>
      </c>
      <c r="EO175" s="1282">
        <f t="array" ref="EO175">SUM((IF(QualitéAlimentsCanetonMâle=BONNE,VLOOKUP("Seigle",AlimentsRationCanardsMâles,4,FALSE),0)+(IF(QualitéAlimentsCanetonFemelle=BONNE,VLOOKUP("Seigle",AlimentsRationCanardsFemelles,4,FALSE),0)+(IF(QualitéAlimentsJeuneCanard=BONNE,VLOOKUP("Seigle",AlimentsRationCanardsMâles,3,FALSE),0)+(IF(QualitéAlimentsJeuneCane=BONNE,VLOOKUP("Seigle",AlimentsRationCanardsFemelles,3,FALSE),0)+(IF(QualitéAlimentsCanard=BONNE,VLOOKUP("Seigle",AlimentsRationCanardsMâles,2,FALSE),0)+(IF(QualitéAlimentsCane=BONNE,VLOOKUP("Seigle",AlimentsRationCanardsFemelles,2,FALSE),0))))))))</f>
        <v>0</v>
      </c>
      <c r="EP175" s="1282">
        <f t="array" ref="EP175">SUM((IF(QualitéAlimentsCanetonMâle=MOYENNE,VLOOKUP("Seigle",AlimentsRationCanardsMâles,4,FALSE),0)+(IF(QualitéAlimentsCanetonFemelle=MOYENNE,VLOOKUP("Seigle",AlimentsRationCanardsFemelles,4,FALSE),0)+(IF(QualitéAlimentsJeuneCanard=MOYENNE,VLOOKUP("Seigle",AlimentsRationCanardsMâles,3,FALSE),0)+(IF(QualitéAlimentsJeuneCane=MOYENNE,VLOOKUP("Seigle",AlimentsRationCanardsFemelles,3,FALSE),0)+(IF(QualitéAlimentsCanard=MOYENNE,VLOOKUP("Seigle",AlimentsRationCanardsMâles,2,FALSE),0)+(IF(QualitéAlimentsCane=MOYENNE,VLOOKUP("Seigle",AlimentsRationCanardsFemelles,2,FALSE),0))))))))</f>
        <v>0</v>
      </c>
      <c r="EQ175" s="1282">
        <f t="array" ref="EQ175">SUM((IF(QualitéAlimentsCanetonMâle=MAUVAISE,VLOOKUP("Seigle",AlimentsRationCanardsMâles,4,FALSE),0)+(IF(QualitéAlimentsCanetonFemelle=MAUVAISE,VLOOKUP("Seigle",AlimentsRationCanardsFemelles,4,FALSE),0)+(IF(QualitéAlimentsJeuneCanard=MAUVAISE,VLOOKUP("Seigle",AlimentsRationCanardsMâles,3,FALSE),0)+(IF(QualitéAlimentsJeuneCane=MAUVAISE,VLOOKUP("Seigle",AlimentsRationCanardsFemelles,3,FALSE),0)+(IF(QualitéAlimentsCanard=MAUVAISE,VLOOKUP("Seigle",AlimentsRationCanardsMâles,2,FALSE),0)+(IF(QualitéAlimentsCane=MAUVAISE,VLOOKUP("Seigle",AlimentsRationCanardsFemelles,2,FALSE),0))))))))</f>
        <v>0</v>
      </c>
      <c r="ER175" s="1345"/>
      <c r="ES175" s="1345"/>
      <c r="ET175" s="1321"/>
      <c r="EU175" s="1083" t="str">
        <f t="shared" si="60"/>
        <v>Soja</v>
      </c>
      <c r="EV175" s="1283">
        <f t="array" ref="EV175">IF(OR(ChoixRationHivernaleComplèteChevauxSelle=OUI,ChoixRationHivernaleComplèteChevauxSelle="",ChoixChevauxSellePréHiver=NON),0,IFERROR(IF(OR(AND(INDEX(Règles_chevaux_selle[Specificite],MATCH(RationHivernaleAuPréChevauxSelle&amp;$EU175,Règles_chevaux_selle[Ration]&amp;Règles_chevaux_selle[Aliment],0))="s1",IF($EU175=Spécificité1ChevauxSelle,1)),
AND(INDEX(Règles_chevaux_selle[Specificite],MATCH(RationHivernaleAuPréChevauxSelle&amp;$EU175,Règles_chevaux_selle[Ration]&amp;Règles_chevaux_selle[Aliment],0))="s2",IF($EU175=Spécificité2ChevauxSelle,1)),
INDEX(Règles_chevaux_selle[Specificite],MATCH(RationHivernaleAuPréChevauxSelle&amp;$EU175,Règles_chevaux_selle[Ration]&amp;Règles_chevaux_selle[Aliment],0))="c"),
INDEX(Règles_chevaux_selle[Valeur 36 et plus],MATCH(RationHivernaleAuPréChevauxSelle&amp;$EU175,Règles_chevaux_selle[Ration]&amp;Règles_chevaux_selle[Aliment],0)),0),0)*SUM(TotalChevauxSelleAdultes)*21)</f>
        <v>0</v>
      </c>
      <c r="EW175" s="1283">
        <f t="array" ref="EW175">IF(OR(ChoixRationHivernaleComplèteChevauxSelle=OUI,ChoixRationHivernaleComplèteChevauxSelle="",ChoixChevauxSellePréHiver=NON),0,IFERROR(IF(OR(AND(INDEX(Règles_chevaux_selle[Specificite],MATCH(RationHivernaleAuPréChevauxSelle&amp;$EU175,Règles_chevaux_selle[Ration]&amp;Règles_chevaux_selle[Aliment],0))="s1",IF($EU175=Spécificité1ChevauxSelle,1)),
AND(INDEX(Règles_chevaux_selle[Specificite],MATCH(RationHivernaleAuPréChevauxSelle&amp;$EU175,Règles_chevaux_selle[Ration]&amp;Règles_chevaux_selle[Aliment],0))="s2",IF($EU175=Spécificité2ChevauxSelle,1)),
INDEX(Règles_chevaux_selle[Specificite],MATCH(RationHivernaleAuPréChevauxSelle&amp;$EU175,Règles_chevaux_selle[Ration]&amp;Règles_chevaux_selle[Aliment],0))="c"),
INDEX(Règles_chevaux_selle[Valeur 24-36],MATCH(RationHivernaleAuPréChevauxSelle&amp;$EU175,Règles_chevaux_selle[Ration]&amp;Règles_chevaux_selle[Aliment],0)),0),0)*SUM(TotalChevauxSelle_24_36mois)*21)</f>
        <v>0</v>
      </c>
      <c r="EX175" s="1283">
        <f t="array" ref="EX175">IF(OR(ChoixRationHivernaleComplèteChevauxSelle=OUI,ChoixRationHivernaleComplèteChevauxSelle="",ChoixChevauxSellePréHiver=NON),0,IFERROR(IF(OR(AND(INDEX(Règles_chevaux_selle[Specificite],MATCH(RationHivernaleAuPréChevauxSelle&amp;$EU175,Règles_chevaux_selle[Ration]&amp;Règles_chevaux_selle[Aliment],0))="s1",IF($EU175=Spécificité1ChevauxSelle,1)),
AND(INDEX(Règles_chevaux_selle[Specificite],MATCH(RationHivernaleAuPréChevauxSelle&amp;$EU175,Règles_chevaux_selle[Ration]&amp;Règles_chevaux_selle[Aliment],0))="s2",IF($EU175=Spécificité2ChevauxSelle,1)),
INDEX(Règles_chevaux_selle[Specificite],MATCH(RationHivernaleAuPréChevauxSelle&amp;$EU175,Règles_chevaux_selle[Ration]&amp;Règles_chevaux_selle[Aliment],0))="c"),
INDEX(Règles_chevaux_selle[Valeur 12-24],MATCH(RationHivernaleAuPréChevauxSelle&amp;$EU175,Règles_chevaux_selle[Ration]&amp;Règles_chevaux_selle[Aliment],0)),0),0)*SUM(TotalChevauxSelle_12_24mois)*21)</f>
        <v>0</v>
      </c>
      <c r="EY175" s="1286">
        <f t="array" ref="EY175">IF(OR(ChoixRationHivernaleComplèteChevauxSelle=OUI,ChoixRationHivernaleComplèteChevauxSelle="",ChoixChevauxSellePréHiver=NON),0,IFERROR(IF(OR(AND(INDEX(Règles_chevaux_selle[Specificite],MATCH(RationHivernaleAuPréChevauxSelle&amp;$EU175,Règles_chevaux_selle[Ration]&amp;Règles_chevaux_selle[Aliment],0))="s1",IF($EU175=Spécificité1ChevauxSelle,1)),
AND(INDEX(Règles_chevaux_selle[Specificite],MATCH(RationHivernaleAuPréChevauxSelle&amp;$EU175,Règles_chevaux_selle[Ration]&amp;Règles_chevaux_selle[Aliment],0))="s2",IF($EU175=Spécificité2ChevauxSelle,1)),
INDEX(Règles_chevaux_selle[Specificite],MATCH(RationHivernaleAuPréChevauxSelle&amp;$EU175,Règles_chevaux_selle[Ration]&amp;Règles_chevaux_selle[Aliment],0))="c"),
INDEX(Règles_chevaux_selle[Valeur 0-12],MATCH(RationHivernaleAuPréChevauxSelle&amp;$EU175,Règles_chevaux_selle[Ration]&amp;Règles_chevaux_selle[Aliment],0)),0),0)*SUM(TotalPoulainsSelle)*21)</f>
        <v>0</v>
      </c>
      <c r="EZ175" s="1286">
        <f t="shared" si="59"/>
        <v>0</v>
      </c>
      <c r="FA175" s="1345"/>
      <c r="FB175" s="1345"/>
      <c r="FC175" s="1321"/>
      <c r="FD175" s="1083">
        <f t="shared" si="55"/>
        <v>0</v>
      </c>
      <c r="FE175" s="1283">
        <f t="array" ref="FE175">IF(OR(ChoixRationHivernaleComplèteChevauxTrait=OUI,ChoixRationHivernaleComplèteChevauxTrait="",ChoixChevauxTraitPréHiver=NON),0,IFERROR(IF(OR(AND(INDEX(Règles_chevaux_trait[Specificite],MATCH(RationHivernaleAuPréChevauxTrait&amp;$FD175,Règles_chevaux_trait[Ration]&amp;Règles_chevaux_trait[Aliment],0))="s1",IF($FD175=Spécificité1ChevauxTrait,1)),
AND(INDEX(Règles_chevaux_trait[Specificite],MATCH(RationHivernaleAuPréChevauxTrait&amp;$FD175,Règles_chevaux_trait[Ration]&amp;Règles_chevaux_trait[Aliment],0))="s2",IF($FD175=Spécificité2ChevauxTrait,1)),
INDEX(Règles_chevaux_trait[Specificite],MATCH(RationHivernaleAuPréChevauxTrait&amp;$FD175,Règles_chevaux_trait[Ration]&amp;Règles_chevaux_trait[Aliment],0))="c"),
INDEX(Règles_chevaux_trait[Valeur 36 et plus],MATCH(RationHivernaleAuPréChevauxTrait&amp;$FD175,Règles_chevaux_trait[Ration]&amp;Règles_chevaux_trait[Aliment],0)),0),0)*SUM(TotalChevauxTraitAdultes)*21)</f>
        <v>0</v>
      </c>
      <c r="FF175" s="1283">
        <f t="array" ref="FF175">IF(OR(ChoixRationHivernaleComplèteChevauxTrait=OUI,ChoixRationHivernaleComplèteChevauxTrait="",ChoixChevauxTraitPréHiver=NON),0,IFERROR(IF(OR(AND(INDEX(Règles_chevaux_trait[Specificite],MATCH(RationHivernaleAuPréChevauxTrait&amp;$FD175,Règles_chevaux_trait[Ration]&amp;Règles_chevaux_trait[Aliment],0))="s1",IF($FD175=Spécificité1ChevauxTrait,1)),
AND(INDEX(Règles_chevaux_trait[Specificite],MATCH(RationHivernaleAuPréChevauxTrait&amp;$FD175,Règles_chevaux_trait[Ration]&amp;Règles_chevaux_trait[Aliment],0))="s2",IF($FD175=Spécificité2ChevauxTrait,1)),
INDEX(Règles_chevaux_trait[Specificite],MATCH(RationHivernaleAuPréChevauxTrait&amp;$FD175,Règles_chevaux_trait[Ration]&amp;Règles_chevaux_trait[Aliment],0))="c"),
INDEX(Règles_chevaux_trait[Valeur 24-36],MATCH(RationHivernaleAuPréChevauxTrait&amp;$FD175,Règles_chevaux_trait[Ration]&amp;Règles_chevaux_trait[Aliment],0)),0),0)*SUM(TotalChevauxTrait_24_36mois)*21)</f>
        <v>0</v>
      </c>
      <c r="FG175" s="1283">
        <f t="array" ref="FG175">IF(OR(ChoixRationHivernaleComplèteChevauxTrait=OUI,ChoixRationHivernaleComplèteChevauxTrait="",ChoixChevauxTraitPréHiver=NON),0,IFERROR(IF(OR(AND(INDEX(Règles_chevaux_trait[Specificite],MATCH(RationHivernaleAuPréChevauxTrait&amp;$FD175,Règles_chevaux_trait[Ration]&amp;Règles_chevaux_trait[Aliment],0))="s1",IF($FD175=Spécificité1ChevauxTrait,1)),
AND(INDEX(Règles_chevaux_trait[Specificite],MATCH(RationHivernaleAuPréChevauxTrait&amp;$FD175,Règles_chevaux_trait[Ration]&amp;Règles_chevaux_trait[Aliment],0))="s2",IF($FD175=Spécificité2ChevauxTrait,1)),
INDEX(Règles_chevaux_trait[Specificite],MATCH(RationHivernaleAuPréChevauxTrait&amp;$FD175,Règles_chevaux_trait[Ration]&amp;Règles_chevaux_trait[Aliment],0))="c"),
INDEX(Règles_chevaux_trait[Valeur 12-24],MATCH(RationHivernaleAuPréChevauxTrait&amp;$FD175,Règles_chevaux_trait[Ration]&amp;Règles_chevaux_trait[Aliment],0)),0),0)*SUM(TotalChevauxTrait_12_24mois)*21)</f>
        <v>0</v>
      </c>
      <c r="FH175" s="1286">
        <f t="array" ref="FH175">IF(OR(ChoixRationHivernaleComplèteChevauxTrait=OUI,ChoixRationHivernaleComplèteChevauxTrait="",ChoixChevauxTraitPréHiver=NON),0,IFERROR(IF(OR(AND(INDEX(Règles_chevaux_trait[Specificite],MATCH(RationHivernaleAuPréChevauxTrait&amp;$FD175,Règles_chevaux_trait[Ration]&amp;Règles_chevaux_trait[Aliment],0))="s1",IF($FD175=Spécificité1ChevauxTrait,1)),
AND(INDEX(Règles_chevaux_trait[Specificite],MATCH(RationHivernaleAuPréChevauxTrait&amp;$FD175,Règles_chevaux_trait[Ration]&amp;Règles_chevaux_trait[Aliment],0))="s2",IF($FD175=Spécificité2ChevauxTrait,1)),
INDEX(Règles_chevaux_trait[Specificite],MATCH(RationHivernaleAuPréChevauxTrait&amp;$FD175,Règles_chevaux_trait[Ration]&amp;Règles_chevaux_trait[Aliment],0))="c"),
INDEX(Règles_chevaux_trait[Valeur 0-12],MATCH(RationHivernaleAuPréChevauxTrait&amp;$FD175,Règles_chevaux_trait[Ration]&amp;Règles_chevaux_trait[Aliment],0)),0),0)*SUM(TotalPoulainsTrait)*21)</f>
        <v>0</v>
      </c>
      <c r="FI175" s="1286">
        <f t="shared" si="53"/>
        <v>0</v>
      </c>
      <c r="FJ175" s="1345"/>
      <c r="FK175" s="1345"/>
      <c r="FL175" s="1345"/>
      <c r="FM175" s="1321"/>
      <c r="FN175" s="1082">
        <f t="shared" si="54"/>
        <v>0</v>
      </c>
      <c r="FO175" s="1282">
        <f t="array" ref="FO175">IF(OR(ChoixRationHivernaleComplètePoneys=OUI,ChoixRationHivernaleComplètePoneys="",ChoixPoneysPréHiver=NON),0,IFERROR(IF(OR(AND(INDEX(Règles_poneys[Specificite],MATCH(RationHivernaleAuPréPoneys&amp;$FN175,Règles_poneys[Ration]&amp;Règles_poneys[Aliment],0))="s1",IF($FN175=Spécificité1Poneys,1)),
AND(INDEX(Règles_poneys[Specificite],MATCH(RationHivernaleAuPréPoneys&amp;$FN175,Règles_poneys[Ration]&amp;Règles_poneys[Aliment],0))="s2",IF($FN175=Spécificité2Poneys,1)),
INDEX(Règles_poneys[Specificite],MATCH(RationHivernaleAuPréPoneys&amp;$FN175,Règles_poneys[Ration]&amp;Règles_poneys[Aliment],0))="c"),
INDEX(Règles_poneys[Valeur 36 et plus],MATCH(RationHivernaleAuPréPoneys&amp;$FN175,Règles_poneys[Ration]&amp;Règles_poneys[Aliment],0)),0),0)*SUM(TotalPoneysAdultes)*21)</f>
        <v>0</v>
      </c>
      <c r="FP175" s="1282">
        <f t="array" ref="FP175">IF(OR(ChoixRationHivernaleComplètePoneys=OUI,ChoixRationHivernaleComplètePoneys="",ChoixPoneysPréHiver=NON),0,IFERROR(IF(OR(AND(INDEX(Règles_poneys[Specificite],MATCH(RationHivernaleAuPréPoneys&amp;$FN175,Règles_poneys[Ration]&amp;Règles_poneys[Aliment],0))="s1",IF($FN175=Spécificité1Poneys,1)),
AND(INDEX(Règles_poneys[Specificite],MATCH(RationHivernaleAuPréPoneys&amp;$FN175,Règles_poneys[Ration]&amp;Règles_poneys[Aliment],0))="s2",IF($FN175=Spécificité2Poneys,1)),
INDEX(Règles_poneys[Specificite],MATCH(RationHivernaleAuPréPoneys&amp;$FN175,Règles_poneys[Ration]&amp;Règles_poneys[Aliment],0))="c"),
INDEX(Règles_poneys[Valeur 24-36],MATCH(RationHivernaleAuPréPoneys&amp;$FN175,Règles_poneys[Ration]&amp;Règles_poneys[Aliment],0)),0),0)*SUM(TotalPoneys_24_36mois)*21)</f>
        <v>0</v>
      </c>
      <c r="FQ175" s="1282">
        <f t="array" ref="FQ175">IF(OR(ChoixRationHivernaleComplètePoneys=OUI,ChoixRationHivernaleComplètePoneys="",ChoixPoneysPréHiver=NON),0,IFERROR(IF(OR(AND(INDEX(Règles_poneys[Specificite],MATCH(RationHivernaleAuPréPoneys&amp;$FN175,Règles_poneys[Ration]&amp;Règles_poneys[Aliment],0))="s1",IF($FN175=Spécificité1Poneys,1)),
AND(INDEX(Règles_poneys[Specificite],MATCH(RationHivernaleAuPréPoneys&amp;$FN175,Règles_poneys[Ration]&amp;Règles_poneys[Aliment],0))="s2",IF($FN175=Spécificité2Poneys,1)),
INDEX(Règles_poneys[Specificite],MATCH(RationHivernaleAuPréPoneys&amp;$FN175,Règles_poneys[Ration]&amp;Règles_poneys[Aliment],0))="c"),
INDEX(Règles_poneys[Valeur 12-24],MATCH(RationHivernaleAuPréPoneys&amp;$FN175,Règles_poneys[Ration]&amp;Règles_poneys[Aliment],0)),0),0)*SUM(TotalPoneys_12_24mois)*21)</f>
        <v>0</v>
      </c>
      <c r="FR175" s="1285">
        <f t="array" ref="FR175">IF(OR(ChoixRationHivernaleComplètePoneys=OUI,ChoixRationHivernaleComplètePoneys="",ChoixPoneysPréHiver=NON),0,IFERROR(IF(OR(AND(INDEX(Règles_poneys[Specificite],MATCH(RationHivernaleAuPréPoneys&amp;$FN175,Règles_poneys[Ration]&amp;Règles_poneys[Aliment],0))="s1",IF($FN175=Spécificité1Poneys,1)),
AND(INDEX(Règles_poneys[Specificite],MATCH(RationHivernaleAuPréPoneys&amp;$FN175,Règles_poneys[Ration]&amp;Règles_poneys[Aliment],0))="s2",IF($FN175=Spécificité2Poneys,1)),
INDEX(Règles_poneys[Specificite],MATCH(RationHivernaleAuPréPoneys&amp;$FN175,Règles_poneys[Ration]&amp;Règles_poneys[Aliment],0))="c"),
INDEX(Règles_poneys[Valeur 0-12],MATCH(RationHivernaleAuPréPoneys&amp;$FN175,Règles_poneys[Ration]&amp;Règles_poneys[Aliment],0)),0),0)*SUM(TotalPoulainsPoneys)*21)</f>
        <v>0</v>
      </c>
      <c r="FS175" s="1285">
        <f t="shared" si="52"/>
        <v>0</v>
      </c>
      <c r="FT175" s="1345"/>
      <c r="FU175" s="1345"/>
      <c r="FV175" s="1345"/>
      <c r="FW175" s="1345"/>
      <c r="FX175" s="1345"/>
      <c r="FY175" s="1345"/>
      <c r="FZ175" s="1345"/>
      <c r="GA175" s="1345"/>
      <c r="GB175" s="1345"/>
      <c r="GC175" s="1321"/>
      <c r="GD175" s="1321"/>
      <c r="GE175" s="1321"/>
      <c r="GF175" s="1321"/>
      <c r="GG175" s="1321" t="s">
        <v>1349</v>
      </c>
      <c r="GH175" s="1321" t="s">
        <v>1349</v>
      </c>
      <c r="GI175" s="1321" t="s">
        <v>1349</v>
      </c>
      <c r="GJ175" s="1321" t="s">
        <v>1349</v>
      </c>
      <c r="GK175" s="1321" t="s">
        <v>1349</v>
      </c>
      <c r="GL175" s="1321" t="s">
        <v>1349</v>
      </c>
      <c r="GM175" s="1321" t="s">
        <v>1349</v>
      </c>
      <c r="GN175" s="1321" t="s">
        <v>1349</v>
      </c>
      <c r="GO175" s="1321" t="s">
        <v>1349</v>
      </c>
      <c r="GP175" s="1321" t="s">
        <v>1349</v>
      </c>
      <c r="GQ175" s="1321" t="s">
        <v>1349</v>
      </c>
      <c r="GR175" s="1321" t="s">
        <v>1349</v>
      </c>
      <c r="GS175" s="1321" t="s">
        <v>1349</v>
      </c>
      <c r="GT175" s="1321" t="s">
        <v>1349</v>
      </c>
      <c r="GU175" s="1321" t="s">
        <v>1349</v>
      </c>
      <c r="GV175" s="1321" t="s">
        <v>1349</v>
      </c>
      <c r="GW175" s="1321"/>
      <c r="GX175" s="1321"/>
      <c r="GY175" s="1321"/>
      <c r="GZ175" s="1321"/>
      <c r="HA175" s="1321"/>
      <c r="HB175" s="1321"/>
      <c r="HC175" s="1321"/>
      <c r="HD175" s="1321"/>
      <c r="HE175" s="1321"/>
      <c r="HF175" s="1321"/>
      <c r="HG175" s="1321"/>
      <c r="HH175" s="1321"/>
      <c r="HI175" s="1321"/>
      <c r="HJ175" s="1321"/>
      <c r="HK175" s="1321"/>
      <c r="HL175" s="1321"/>
      <c r="HM175" s="1321"/>
      <c r="HN175" s="1321"/>
      <c r="HO175" s="1321"/>
      <c r="HP175" s="1321"/>
      <c r="HQ175" s="1321"/>
      <c r="HR175" s="1321"/>
      <c r="HS175" s="1321"/>
      <c r="HT175" s="1321"/>
      <c r="HU175" s="1321"/>
      <c r="HV175" s="1321"/>
      <c r="HW175" s="1321"/>
      <c r="HX175" s="1321"/>
      <c r="HY175" s="1321"/>
      <c r="HZ175" s="1321"/>
      <c r="IA175" s="1321"/>
      <c r="IB175" s="1321"/>
      <c r="IC175" s="1321"/>
      <c r="ID175" s="1321"/>
      <c r="IE175" s="1321"/>
      <c r="IF175" s="1321"/>
      <c r="IG175" s="1321"/>
      <c r="IH175" s="1321"/>
      <c r="II175" s="1321"/>
      <c r="IJ175" s="1321"/>
      <c r="IK175" s="1321"/>
      <c r="IL175" s="1321"/>
      <c r="IM175" s="1321"/>
      <c r="IN175" s="1368"/>
    </row>
    <row r="176" spans="1:248" ht="12.75" customHeight="1" x14ac:dyDescent="0.2">
      <c r="A176" s="1307" t="s">
        <v>630</v>
      </c>
      <c r="B176" s="1209">
        <v>0.01</v>
      </c>
      <c r="C176" s="1321"/>
      <c r="D176" s="1251" t="s">
        <v>1633</v>
      </c>
      <c r="E176" s="1252">
        <v>6.2E-2</v>
      </c>
      <c r="F176" s="1321"/>
      <c r="G176" s="1321"/>
      <c r="H176" s="1321"/>
      <c r="I176" s="1321"/>
      <c r="J176" s="1321"/>
      <c r="K176" s="1321"/>
      <c r="L176" s="1321"/>
      <c r="M176" s="1321"/>
      <c r="N176" s="1321"/>
      <c r="O176" s="1321"/>
      <c r="P176" s="1321"/>
      <c r="Q176" s="1321"/>
      <c r="R176" s="1321"/>
      <c r="S176" s="1321"/>
      <c r="T176" s="1321"/>
      <c r="U176" s="1321"/>
      <c r="V176" s="1321"/>
      <c r="W176" s="1321"/>
      <c r="X176" s="1321"/>
      <c r="Y176" s="1321"/>
      <c r="Z176" s="1321"/>
      <c r="AA176" s="1321"/>
      <c r="AB176" s="1321"/>
      <c r="AC176" s="1321"/>
      <c r="AD176" s="1321"/>
      <c r="AE176" s="1321"/>
      <c r="AF176" s="1321"/>
      <c r="AG176" s="1321"/>
      <c r="AH176" s="1321"/>
      <c r="AI176" s="1321"/>
      <c r="AJ176" s="1321"/>
      <c r="AK176" s="1321"/>
      <c r="AL176" s="1321"/>
      <c r="AM176" s="1321"/>
      <c r="AN176" s="1321"/>
      <c r="AO176" s="1321"/>
      <c r="AP176" s="1321"/>
      <c r="AQ176" s="1321"/>
      <c r="AR176" s="1321"/>
      <c r="AS176" s="1321"/>
      <c r="AT176" s="1321"/>
      <c r="AU176" s="1321"/>
      <c r="AV176" s="1321"/>
      <c r="AW176" s="1321"/>
      <c r="AX176" s="1321"/>
      <c r="AY176" s="1321"/>
      <c r="AZ176" s="1321"/>
      <c r="BA176" s="1321"/>
      <c r="BB176" s="1236" t="s">
        <v>1134</v>
      </c>
      <c r="BC176" s="1190" t="s">
        <v>285</v>
      </c>
      <c r="BD176" s="1190" t="s">
        <v>1253</v>
      </c>
      <c r="BE176" s="1237">
        <v>6.6</v>
      </c>
      <c r="BF176" s="1237">
        <v>5.4</v>
      </c>
      <c r="BG176" s="1237">
        <v>4.2</v>
      </c>
      <c r="BH176" s="1237">
        <v>3</v>
      </c>
      <c r="BI176" s="1237">
        <v>2.4</v>
      </c>
      <c r="BJ176" s="1237">
        <v>1.2</v>
      </c>
      <c r="BK176" s="1238">
        <v>0</v>
      </c>
      <c r="BL176" s="1321"/>
      <c r="BM176" s="1346"/>
      <c r="BN176" s="1321"/>
      <c r="BO176" s="1321"/>
      <c r="BP176" s="1321"/>
      <c r="BQ176" s="1321"/>
      <c r="BR176" s="1321"/>
      <c r="BS176" s="1321"/>
      <c r="BT176" s="1321"/>
      <c r="BU176" s="1321"/>
      <c r="BV176" s="1345"/>
      <c r="BW176" s="1345"/>
      <c r="BX176" s="1076" t="str">
        <f t="shared" si="57"/>
        <v>Triticale</v>
      </c>
      <c r="BY176" s="1076">
        <f t="array" ref="BY176">IF(ChoixRationComplèteCaprins=OUI,0,IFERROR(IF(OR(AND(INDEX(Règles_caprins[Specificite],MATCH(ChoixRationCaprins&amp;$BX176,Règles_caprins[Ration]&amp;Règles_caprins[Aliment],0))="s1",IF($BX176=Spécificité1Caprins,1)),
INDEX(Règles_caprins[Specificite],MATCH(ChoixRationCaprins&amp;$BX176,Règles_caprins[Ration]&amp;Règles_caprins[Aliment],0))="c"),
INDEX(Règles_caprins[Valeur 12 et plus],MATCH(ChoixRationCaprins&amp;$BX176,Règles_caprins[Ration]&amp;Règles_caprins[Aliment],0)),0),0)*TotalChèvres*SUM(NbreJoursNourrirCaprins))</f>
        <v>0</v>
      </c>
      <c r="BZ176" s="1076">
        <f t="array" ref="BZ176">IF(ChoixRationComplèteCaprins=OUI,0,IFERROR(IF(OR(AND(INDEX(Règles_caprins[Specificite],MATCH(ChoixRationCaprins&amp;$BX176,Règles_caprins[Ration]&amp;Règles_caprins[Aliment],0))="s1",IF($BX176=Spécificité1Caprins,1)),
INDEX(Règles_caprins[Specificite],MATCH(ChoixRationCaprins&amp;$BX176,Règles_caprins[Ration]&amp;Règles_caprins[Aliment],0))="c"),
INDEX(Règles_caprins[Valeur 6-12],MATCH(ChoixRationCaprins&amp;$BX176,Règles_caprins[Ration]&amp;Règles_caprins[Aliment],0)),0),0)*jeune_chèvre_6_12_mois*SUM(NbreJoursNourrirCaprins))</f>
        <v>0</v>
      </c>
      <c r="CA176" s="1076">
        <f t="array" ref="CA176">IF(ChoixRationComplèteCaprins=OUI,0,IFERROR(IF(OR(AND(INDEX(Règles_caprins[Specificite],MATCH(ChoixRationCaprins&amp;$BX176,Règles_caprins[Ration]&amp;Règles_caprins[Aliment],0))="s1",IF($BX176=Spécificité1Caprins,1)),
INDEX(Règles_caprins[Specificite],MATCH(ChoixRationCaprins&amp;$BX176,Règles_caprins[Ration]&amp;Règles_caprins[Aliment],0))="c"),
INDEX(Règles_caprins[Valeur 3-6],MATCH(ChoixRationCaprins&amp;$BX176,Règles_caprins[Ration]&amp;Règles_caprins[Aliment],0)),0),0)*chevrette_3_6_mois*SUM(NbreJoursNourrirCaprins))</f>
        <v>0</v>
      </c>
      <c r="CB176" s="1076">
        <f t="array" ref="CB176">IF(ChoixRationComplèteCaprins=OUI,0,IFERROR(IF(OR(AND(INDEX(Règles_caprins[Specificite],MATCH(ChoixRationCaprins&amp;$BX176,Règles_caprins[Ration]&amp;Règles_caprins[Aliment],0))="s1",IF($BX176=Spécificité1Caprins,1)),
INDEX(Règles_caprins[Specificite],MATCH(ChoixRationCaprins&amp;$BX176,Règles_caprins[Ration]&amp;Règles_caprins[Aliment],0))="c"),
INDEX(Règles_caprins[Valeur 0-3],MATCH(ChoixRationCaprins&amp;$BX176,Règles_caprins[Ration]&amp;Règles_caprins[Aliment],0)),0),0)*chevrette_0_3_mois*SUM(NbreJoursNourrirCaprins))</f>
        <v>0</v>
      </c>
      <c r="CC176" s="1076">
        <f t="shared" si="56"/>
        <v>0</v>
      </c>
      <c r="CD176" s="1345"/>
      <c r="CE176" s="1345"/>
      <c r="CF176" s="1345"/>
      <c r="CG176" s="1345"/>
      <c r="CH176" s="1345"/>
      <c r="CI176" s="1321"/>
      <c r="CJ176" s="1075"/>
      <c r="CK176" s="1269"/>
      <c r="CL176" s="1269"/>
      <c r="CM176" s="1269"/>
      <c r="CN176" s="1321"/>
      <c r="CO176" s="1321"/>
      <c r="CP176" s="1321"/>
      <c r="CQ176" s="1321"/>
      <c r="CR176" s="1321"/>
      <c r="CS176" s="1075" t="str">
        <f t="shared" si="66"/>
        <v>Paille</v>
      </c>
      <c r="CT176" s="1269">
        <f t="array" ref="CT176">SUM((IF(QualitéAlimentsLapereauMâle_0_1_mois=BONNE,VLOOKUP("Paille",AlimentsRationLapinsMâles[],4,FALSE),0)+(IF(QualitéAlimentsLapereauFemelle_0_1_mois=BONNE,VLOOKUP("Paille",AlimentsRationLapinsFemelles[],4,FALSE),0)+(IF(QualitéAlimentsJeuneLapin=BONNE,VLOOKUP("Paille",AlimentsRationLapinsMâles[],3,FALSE),0)+(IF(QualitéAlimentsJeuneLapine=BONNE,VLOOKUP("Paille",AlimentsRationLapinsFemelles[],3,FALSE),0)+(IF(QualitéAlimentsLapin=BONNE,VLOOKUP("Paille",AlimentsRationLapinsMâles[],2,FALSE),0)+(IF(QualitéAlimentsLapine=BONNE,VLOOKUP("Paille",AlimentsRationLapinsFemelles[],2,FALSE),0))))))))</f>
        <v>0</v>
      </c>
      <c r="CU176" s="1269">
        <f t="array" ref="CU176">SUM((IF(QualitéAlimentsLapereauMâle_0_1_mois=MOYENNE,VLOOKUP("Paille",AlimentsRationLapinsMâles[],4,FALSE),0)+(IF(QualitéAlimentsLapereauFemelle_0_1_mois=MOYENNE,VLOOKUP("Paille",AlimentsRationLapinsFemelles[],4,FALSE),0)+(IF(QualitéAlimentsJeuneLapin=MOYENNE,VLOOKUP("Paille",AlimentsRationLapinsMâles[],3,FALSE),0)+(IF(QualitéAlimentsJeuneLapine=MOYENNE,VLOOKUP("Paille",AlimentsRationLapinsFemelles[],3,FALSE),0)+(IF(QualitéAlimentsLapin=MOYENNE,VLOOKUP("Paille",AlimentsRationLapinsMâles[],2,FALSE),0)+(IF(QualitéAlimentsLapine=MOYENNE,VLOOKUP("Paille",AlimentsRationLapinsFemelles[],2,FALSE),0))))))))</f>
        <v>0</v>
      </c>
      <c r="CV176" s="1269">
        <f t="array" ref="CV176">SUM((IF(QualitéAlimentsLapereauMâle_0_1_mois=MAUVAISE,VLOOKUP("Paille",AlimentsRationLapinsMâles[],4,FALSE),0)+(IF(QualitéAlimentsLapereauFemelle_0_1_mois=MAUVAISE,VLOOKUP("Paille",AlimentsRationLapinsFemelles[],4,FALSE),0)+(IF(QualitéAlimentsJeuneLapin=MAUVAISE,VLOOKUP("Paille",AlimentsRationLapinsMâles[],3,FALSE),0)+(IF(QualitéAlimentsJeuneLapine=MAUVAISE,VLOOKUP("Paille",AlimentsRationLapinsFemelles[],3,FALSE),0)+(IF(QualitéAlimentsLapin=MAUVAISE,VLOOKUP("Paille",AlimentsRationLapinsMâles[],2,FALSE),0)+(IF(QualitéAlimentsLapine=MAUVAISE,VLOOKUP("Paille",AlimentsRationLapinsFemelles[],2,FALSE),0)+LitièreLapins[[#Totals],[litière]])))))))</f>
        <v>0</v>
      </c>
      <c r="CW176" s="1321"/>
      <c r="CX176" s="1321"/>
      <c r="CY176" s="1321"/>
      <c r="CZ176" s="1076" t="str">
        <f t="shared" si="65"/>
        <v>Pois</v>
      </c>
      <c r="DA176" s="1267">
        <f t="array" ref="DA176">SUM((IF(QualitéAlimentsPoussinMâle_0_1_mois=BONNE,VLOOKUP("Pois",AlimentsRationVolaillesMâles[],4,FALSE),0)+(IF(QualitéAlimentsPoussinFemelle_0_1_mois=BONNE,VLOOKUP("Pois",AlimentsRationVolaillesFemelles[],4,FALSE),0)+(IF(QualitéAlimentsJeuneCoq=BONNE,VLOOKUP("Pois",AlimentsRationVolaillesMâles[],3,FALSE),0)+(IF(QualitéAlimentsJeunePoule=BONNE,VLOOKUP("Pois",AlimentsRationVolaillesFemelles[],3,FALSE),0)+(IF(QualitéAlimentsCoq=BONNE,VLOOKUP("Pois",AlimentsRationVolaillesMâles[],2,FALSE),0)+(IF(QualitéAlimentsPoule=BONNE,VLOOKUP("Pois",AlimentsRationVolaillesFemelles[],2,FALSE),0))))))))</f>
        <v>0</v>
      </c>
      <c r="DB176" s="1267">
        <f t="array" ref="DB176">SUM((IF(QualitéAlimentsPoussinMâle_0_1_mois=MOYENNE,VLOOKUP("Pois",AlimentsRationVolaillesMâles[],4,FALSE),0)+(IF(QualitéAlimentsPoussinFemelle_0_1_mois=MOYENNE,VLOOKUP("Pois",AlimentsRationVolaillesFemelles[],4,FALSE),0)+(IF(QualitéAlimentsJeuneCoq=MOYENNE,VLOOKUP("Pois",AlimentsRationVolaillesMâles[],3,FALSE),0)+(IF(QualitéAlimentsJeunePoule=MOYENNE,VLOOKUP("Pois",AlimentsRationVolaillesFemelles[],3,FALSE),0)+(IF(QualitéAlimentsCoq=MOYENNE,VLOOKUP("Pois",AlimentsRationVolaillesMâles[],2,FALSE),0)+(IF(QualitéAlimentsPoule=MOYENNE,VLOOKUP("Pois",AlimentsRationVolaillesFemelles[],2,FALSE),0))))))))</f>
        <v>0</v>
      </c>
      <c r="DC176" s="1267">
        <f t="array" ref="DC176">SUM((IF(QualitéAlimentsPoussinMâle_0_1_mois=MAUVAISE,VLOOKUP("Pois",AlimentsRationVolaillesMâles[],4,FALSE),0)+(IF(QualitéAlimentsPoussinFemelle_0_1_mois=MAUVAISE,VLOOKUP("Pois",AlimentsRationVolaillesFemelles[],4,FALSE),0)+(IF(QualitéAlimentsJeuneCoq=MAUVAISE,VLOOKUP("Pois",AlimentsRationVolaillesMâles[],3,FALSE),0)+(IF(QualitéAlimentsJeunePoule=MAUVAISE,VLOOKUP("Pois",AlimentsRationVolaillesFemelles[],3,FALSE),0)+(IF(QualitéAlimentsCoq=MAUVAISE,VLOOKUP("Pois",AlimentsRationVolaillesMâles[],2,FALSE),0)+(IF(QualitéAlimentsPoule=MAUVAISE,VLOOKUP("Pois",AlimentsRationVolaillesFemelles[],2,FALSE),0))))))))</f>
        <v>0</v>
      </c>
      <c r="DD176" s="1321"/>
      <c r="DE176" s="1321"/>
      <c r="DF176" s="1321"/>
      <c r="DG176" s="1076" t="str">
        <f t="shared" si="58"/>
        <v>Triticale</v>
      </c>
      <c r="DH176" s="1267">
        <f t="array" ref="DH176">SUM((IF(QualitéAlimentsPintadeauMâle_0_1_mois=BONNE,VLOOKUP("Triticale",AlimentsRationPintadesMâles[],4,FALSE),0)+(IF(QualitéAlimentsPintadeauFemelle_0_1_mois=BONNE,VLOOKUP("Triticale",AlimentsRationPintadesFemelles[],4,FALSE),0)+(IF(QualitéAlimentsJeunePintadeMâle=BONNE,VLOOKUP("Triticale",AlimentsRationPintadesMâles[],3,FALSE),0)+(IF(QualitéAlimentsJeunePintadeFemelle=BONNE,VLOOKUP("Triticale",AlimentsRationPintadesFemelles[],3,FALSE),0)+(IF(QualitéAlimentsPintadeMâle=BONNE,VLOOKUP("Triticale",AlimentsRationPintadesMâles[],2,FALSE),0)+(IF(QualitéAlimentsPintadeFemelle=BONNE,VLOOKUP("Triticale",AlimentsRationPintadesFemelles[],2,FALSE),0))))))))</f>
        <v>0</v>
      </c>
      <c r="DI176" s="1267">
        <f t="array" ref="DI176">SUM((IF(QualitéAlimentsPintadeauMâle_0_1_mois=MOYENNE,VLOOKUP("Triticale",AlimentsRationPintadesMâles[],4,FALSE),0)+(IF(QualitéAlimentsPintadeauFemelle_0_1_mois=MOYENNE,VLOOKUP("Triticale",AlimentsRationPintadesFemelles[],4,FALSE),0)+(IF(QualitéAlimentsJeunePintadeMâle=MOYENNE,VLOOKUP("Triticale",AlimentsRationPintadesMâles[],3,FALSE),0)+(IF(QualitéAlimentsJeunePintadeFemelle=MOYENNE,VLOOKUP("Triticale",AlimentsRationPintadesFemelles[],3,FALSE),0)+(IF(QualitéAlimentsPintadeMâle=MOYENNE,VLOOKUP("Triticale",AlimentsRationPintadesMâles[],2,FALSE),0)+(IF(QualitéAlimentsPintadeFemelle=MOYENNE,VLOOKUP("Triticale",AlimentsRationPintadesFemelles[],2,FALSE),0))))))))</f>
        <v>0</v>
      </c>
      <c r="DJ176" s="1267">
        <f t="array" ref="DJ176">SUM((IF(QualitéAlimentsPintadeauMâle_0_1_mois=MAUVAISE,VLOOKUP("Triticale",AlimentsRationPintadesMâles[],4,FALSE),0)+(IF(QualitéAlimentsPintadeauFemelle_0_1_mois=MAUVAISE,VLOOKUP("Triticale",AlimentsRationPintadesFemelles[],4,FALSE),0)+(IF(QualitéAlimentsJeunePintadeMâle=MAUVAISE,VLOOKUP("Triticale",AlimentsRationPintadesMâles[],3,FALSE),0)+(IF(QualitéAlimentsJeunePintadeFemelle=MAUVAISE,VLOOKUP("Triticale",AlimentsRationPintadesFemelles[],3,FALSE),0)+(IF(QualitéAlimentsPintadeMâle=MAUVAISE,VLOOKUP("Triticale",AlimentsRationPintadesMâles[],2,FALSE),0)+(IF(QualitéAlimentsPintadeFemelle=MAUVAISE,VLOOKUP("Triticale",AlimentsRationPintadesFemelles[],2,FALSE),0))))))))</f>
        <v>0</v>
      </c>
      <c r="DK176" s="1321"/>
      <c r="DL176" s="1321"/>
      <c r="DM176" s="1321"/>
      <c r="DN176" s="1076" t="s">
        <v>500</v>
      </c>
      <c r="DO176" s="1267">
        <f t="array" ref="DO176">IF(ChoixRationComplèteOvins=OUI,0,IFERROR(IF(OR(AND(INDEX(Règles_ovins[Specificite],MATCH(ChoixRationOvins&amp;$DN176,Règles_ovins[Ration]&amp;Règles_ovins[Aliment],0))="s1",IF($DN176=Spécificité1Ovins,1)),
AND(INDEX(Règles_ovins[Specificite],MATCH(ChoixRationOvins&amp;$DN176,Règles_ovins[Ration]&amp;Règles_ovins[Aliment],0))="s2",IF($DN176=Spécificité2Ovins,1)),
INDEX(Règles_ovins[Specificite],MATCH(ChoixRationOvins&amp;$DN176,Règles_ovins[Ration]&amp;Règles_ovins[Aliment],0))="c"),
INDEX(Règles_ovins[Valeur 12 et plus],MATCH(ChoixRationOvins&amp;$DN176,Règles_ovins[Ration]&amp;Règles_ovins[Aliment],0)),0),0)*IF(ChoixOvinsPréHiver=OUI,SUM(TotalOvinsAdultesRacesLaitières)*NbreJoursNourrirOvins,TotalBéliers*SUM(NbreJoursNourrirOvins)))</f>
        <v>0</v>
      </c>
      <c r="DP176" s="1267">
        <f t="array" ref="DP176">IF(ChoixRationComplèteOvins=OUI,0,IFERROR(IF(OR(AND(INDEX(Règles_ovins[Specificite],MATCH(ChoixRationOvins&amp;$DN176,Règles_ovins[Ration]&amp;Règles_ovins[Aliment],0))="s1",IF($DN176=Spécificité1Ovins,1)),
AND(INDEX(Règles_ovins[Specificite],MATCH(ChoixRationOvins&amp;$DN176,Règles_ovins[Ration]&amp;Règles_ovins[Aliment],0))="s2",IF($DN176=Spécificité2Ovins,1)),
INDEX(Règles_ovins[Specificite],MATCH(ChoixRationOvins&amp;$DN176,Règles_ovins[Ration]&amp;Règles_ovins[Aliment],0))="c"),
INDEX(Règles_ovins[Valeur 6-12],MATCH(ChoixRationOvins&amp;$DN176,Règles_ovins[Ration]&amp;Règles_ovins[Aliment],0)),0),0)*IF(ChoixOvinsPréHiver=OUI,SUM(TotalJeunesOvinsRacesLaitières)*NbreJoursNourrirOvins,TotalJeune_bélier_6_12_mois*SUM(NbreJoursNourrirOvins)))</f>
        <v>0</v>
      </c>
      <c r="DQ176" s="1267">
        <f t="array" ref="DQ176">IF(ChoixRationComplèteOvins=OUI,0,IFERROR(IF(OR(AND(INDEX(Règles_ovins[Specificite],MATCH(ChoixRationOvins&amp;$DN176,Règles_ovins[Ration]&amp;Règles_ovins[Aliment],0))="s1",IF($DN176=Spécificité1Ovins,1)),
AND(INDEX(Règles_ovins[Specificite],MATCH(ChoixRationOvins&amp;$DN176,Règles_ovins[Ration]&amp;Règles_ovins[Aliment],0))="s2",IF($DN176=Spécificité2Ovins,1)),
INDEX(Règles_ovins[Specificite],MATCH(ChoixRationOvins&amp;$DN176,Règles_ovins[Ration]&amp;Règles_ovins[Aliment],0))="c"),
INDEX(Règles_ovins[Valeur 3-6],MATCH(ChoixRationOvins&amp;$DN176,Règles_ovins[Ration]&amp;Règles_ovins[Aliment],0)),0),0)*IF(ChoixOvinsPréHiver=OUI,SUM(TotalOvins_3_6moisRacesLaitières)*NbreJoursNourrirOvins,TotalAgneau_3_6_mois*SUM(NbreJoursNourrirOvins)))</f>
        <v>0</v>
      </c>
      <c r="DR176" s="1267">
        <f t="array" ref="DR176">IF(ChoixRationComplèteOvins=OUI,0,IFERROR(IF(OR(AND(INDEX(Règles_ovins[Specificite],MATCH(ChoixRationOvins&amp;$DN176,Règles_ovins[Ration]&amp;Règles_ovins[Aliment],0))="s1",IF($DN176=Spécificité1Ovins,1)),
AND(INDEX(Règles_ovins[Specificite],MATCH(ChoixRationOvins&amp;$DN176,Règles_ovins[Ration]&amp;Règles_ovins[Aliment],0))="s2",IF($DN176=Spécificité2Ovins,1)),
INDEX(Règles_ovins[Specificite],MATCH(ChoixRationOvins&amp;$DN176,Règles_ovins[Ration]&amp;Règles_ovins[Aliment],0))="c"),
INDEX(Règles_ovins[Valeur 0-3],MATCH(ChoixRationOvins&amp;$DN176,Règles_ovins[Ration]&amp;Règles_ovins[Aliment],0)),0),0)*IF(ChoixOvinsPréHiver=OUI,SUM(TotalOvins_3_6moisRacesLaitières)*NbreJoursNourrirOvins,TotalAgneau_0_3_mois*SUM(NbreJoursNourrirOvins)))</f>
        <v>0</v>
      </c>
      <c r="DS176" s="1279">
        <f t="shared" si="61"/>
        <v>0</v>
      </c>
      <c r="DT176" s="1346"/>
      <c r="DU176" s="1346"/>
      <c r="DV176" s="1321"/>
      <c r="DW176" s="1321"/>
      <c r="DX176" s="1321"/>
      <c r="DY176" s="1321"/>
      <c r="DZ176" s="1321"/>
      <c r="EA176" s="1321"/>
      <c r="EB176" s="1321"/>
      <c r="EC176" s="1321"/>
      <c r="ED176" s="1345"/>
      <c r="EE176" s="1345"/>
      <c r="EF176" s="1321"/>
      <c r="EG176" s="1076" t="str">
        <f t="shared" si="63"/>
        <v>Seigle</v>
      </c>
      <c r="EH176" s="1267">
        <f t="array" ref="EH176">SUM((IF(QualitéAlimentsOisonMâle_0_3_mois=BONNE,VLOOKUP("Seigle",AlimentsRationOiesMâles[],4,FALSE),0)+(IF(QualitéAlimentsOisonFemelle_0_3_mois=BONNE,VLOOKUP("Seigle",AlimentsRationOiesFemelles[],4,FALSE),0)+(IF(QualitéAlimentsJeuneJars=BONNE,VLOOKUP("Seigle",AlimentsRationOiesMâles[],3,FALSE),0)+(IF(QualitéAlimentsJeuneOie=BONNE,VLOOKUP("Seigle",AlimentsRationOiesFemelles[],3,FALSE),0)+(IF(QualitéAlimentsJars=BONNE,VLOOKUP("Seigle",AlimentsRationOiesMâles[],2,FALSE),0)+(IF(QualitéAlimentsOie=BONNE,VLOOKUP("Seigle",AlimentsRationOiesFemelles[],2,FALSE),0))))))))</f>
        <v>0</v>
      </c>
      <c r="EI176" s="1267">
        <f t="array" ref="EI176">SUM((IF(QualitéAlimentsOisonMâle_0_3_mois=MOYENNE,VLOOKUP("Seigle",AlimentsRationOiesMâles[],4,FALSE),0)+(IF(QualitéAlimentsOisonFemelle_0_3_mois=MOYENNE,VLOOKUP("Seigle",AlimentsRationOiesFemelles[],4,FALSE),0)+(IF(QualitéAlimentsJeuneJars=MOYENNE,VLOOKUP("Seigle",AlimentsRationOiesMâles[],3,FALSE),0)+(IF(QualitéAlimentsJeuneOie=MOYENNE,VLOOKUP("Seigle",AlimentsRationOiesFemelles[],3,FALSE),0)+(IF(QualitéAlimentsJars=MOYENNE,VLOOKUP("Seigle",AlimentsRationOiesMâles[],2,FALSE),0)+(IF(QualitéAlimentsOie=MOYENNE,VLOOKUP("Seigle",AlimentsRationOiesFemelles[],2,FALSE),0))))))))</f>
        <v>0</v>
      </c>
      <c r="EJ176" s="1267">
        <f t="array" ref="EJ176">SUM((IF(QualitéAlimentsOisonMâle_0_3_mois=MAUVAISE,VLOOKUP("Seigle",AlimentsRationOiesMâles[],4,FALSE),0)+(IF(QualitéAlimentsOisonFemelle_0_3_mois=MAUVAISE,VLOOKUP("Seigle",AlimentsRationOiesFemelles[],4,FALSE),0)+(IF(QualitéAlimentsJeuneJars=MAUVAISE,VLOOKUP("Seigle",AlimentsRationOiesMâles[],3,FALSE),0)+(IF(QualitéAlimentsJeuneOie=MAUVAISE,VLOOKUP("Seigle",AlimentsRationOiesFemelles[],3,FALSE),0)+(IF(QualitéAlimentsJars=MAUVAISE,VLOOKUP("Seigle",AlimentsRationOiesMâles[],2,FALSE),0)+(IF(QualitéAlimentsOie=MAUVAISE,VLOOKUP("Seigle",AlimentsRationOiesFemelles[],2,FALSE),0))))))))</f>
        <v>0</v>
      </c>
      <c r="EK176" s="1345"/>
      <c r="EL176" s="1345"/>
      <c r="EM176" s="1321"/>
      <c r="EN176" s="1083" t="str">
        <f t="shared" si="62"/>
        <v>Soja</v>
      </c>
      <c r="EO176" s="1283">
        <f t="array" ref="EO176">SUM((IF(QualitéAlimentsCanetonMâle=BONNE,VLOOKUP("Soja",AlimentsRationCanardsMâles,4,FALSE),0)+(IF(QualitéAlimentsCanetonFemelle=BONNE,VLOOKUP("Soja",AlimentsRationCanardsFemelles,4,FALSE),0)+(IF(QualitéAlimentsJeuneCanard=BONNE,VLOOKUP("Soja",AlimentsRationCanardsMâles,3,FALSE),0)+(IF(QualitéAlimentsJeuneCane=BONNE,VLOOKUP("Soja",AlimentsRationCanardsFemelles,3,FALSE),0)+(IF(QualitéAlimentsCanard=BONNE,VLOOKUP("Soja",AlimentsRationCanardsMâles,2,FALSE),0)+(IF(QualitéAlimentsCane=BONNE,VLOOKUP("Soja",AlimentsRationCanardsFemelles,2,FALSE),0))))))))</f>
        <v>0</v>
      </c>
      <c r="EP176" s="1283">
        <f t="array" ref="EP176">SUM((IF(QualitéAlimentsCanetonMâle=MOYENNE,VLOOKUP("Soja",AlimentsRationCanardsMâles,4,FALSE),0)+(IF(QualitéAlimentsCanetonFemelle=MOYENNE,VLOOKUP("Soja",AlimentsRationCanardsFemelles,4,FALSE),0)+(IF(QualitéAlimentsJeuneCanard=MOYENNE,VLOOKUP("Soja",AlimentsRationCanardsMâles,3,FALSE),0)+(IF(QualitéAlimentsJeuneCane=MOYENNE,VLOOKUP("Soja",AlimentsRationCanardsFemelles,3,FALSE),0)+(IF(QualitéAlimentsCanard=MOYENNE,VLOOKUP("Soja",AlimentsRationCanardsMâles,2,FALSE),0)+(IF(QualitéAlimentsCane=MOYENNE,VLOOKUP("Soja",AlimentsRationCanardsFemelles,2,FALSE),0))))))))</f>
        <v>0</v>
      </c>
      <c r="EQ176" s="1283">
        <f t="array" ref="EQ176">SUM((IF(QualitéAlimentsCanetonMâle=MAUVAISE,VLOOKUP("Soja",AlimentsRationCanardsMâles,4,FALSE),0)+(IF(QualitéAlimentsCanetonFemelle=MAUVAISE,VLOOKUP("Soja",AlimentsRationCanardsFemelles,4,FALSE),0)+(IF(QualitéAlimentsJeuneCanard=MAUVAISE,VLOOKUP("Soja",AlimentsRationCanardsMâles,3,FALSE),0)+(IF(QualitéAlimentsJeuneCane=MAUVAISE,VLOOKUP("Soja",AlimentsRationCanardsFemelles,3,FALSE),0)+(IF(QualitéAlimentsCanard=MAUVAISE,VLOOKUP("Soja",AlimentsRationCanardsMâles,2,FALSE),0)+(IF(QualitéAlimentsCane=MAUVAISE,VLOOKUP("Soja",AlimentsRationCanardsFemelles,2,FALSE),0))))))))</f>
        <v>0</v>
      </c>
      <c r="ER176" s="1345"/>
      <c r="ES176" s="1345"/>
      <c r="ET176" s="1321"/>
      <c r="EU176" s="1082" t="str">
        <f t="shared" si="60"/>
        <v>Sorgho ensilé</v>
      </c>
      <c r="EV176" s="1282">
        <f t="array" ref="EV176">IF(OR(ChoixRationHivernaleComplèteChevauxSelle=OUI,ChoixRationHivernaleComplèteChevauxSelle="",ChoixChevauxSellePréHiver=NON),0,IFERROR(IF(OR(AND(INDEX(Règles_chevaux_selle[Specificite],MATCH(RationHivernaleAuPréChevauxSelle&amp;$EU176,Règles_chevaux_selle[Ration]&amp;Règles_chevaux_selle[Aliment],0))="s1",IF($EU176=Spécificité1ChevauxSelle,1)),
AND(INDEX(Règles_chevaux_selle[Specificite],MATCH(RationHivernaleAuPréChevauxSelle&amp;$EU176,Règles_chevaux_selle[Ration]&amp;Règles_chevaux_selle[Aliment],0))="s2",IF($EU176=Spécificité2ChevauxSelle,1)),
INDEX(Règles_chevaux_selle[Specificite],MATCH(RationHivernaleAuPréChevauxSelle&amp;$EU176,Règles_chevaux_selle[Ration]&amp;Règles_chevaux_selle[Aliment],0))="c"),
INDEX(Règles_chevaux_selle[Valeur 36 et plus],MATCH(RationHivernaleAuPréChevauxSelle&amp;$EU176,Règles_chevaux_selle[Ration]&amp;Règles_chevaux_selle[Aliment],0)),0),0)*SUM(TotalChevauxSelleAdultes)*21)</f>
        <v>0</v>
      </c>
      <c r="EW176" s="1282">
        <f t="array" ref="EW176">IF(OR(ChoixRationHivernaleComplèteChevauxSelle=OUI,ChoixRationHivernaleComplèteChevauxSelle="",ChoixChevauxSellePréHiver=NON),0,IFERROR(IF(OR(AND(INDEX(Règles_chevaux_selle[Specificite],MATCH(RationHivernaleAuPréChevauxSelle&amp;$EU176,Règles_chevaux_selle[Ration]&amp;Règles_chevaux_selle[Aliment],0))="s1",IF($EU176=Spécificité1ChevauxSelle,1)),
AND(INDEX(Règles_chevaux_selle[Specificite],MATCH(RationHivernaleAuPréChevauxSelle&amp;$EU176,Règles_chevaux_selle[Ration]&amp;Règles_chevaux_selle[Aliment],0))="s2",IF($EU176=Spécificité2ChevauxSelle,1)),
INDEX(Règles_chevaux_selle[Specificite],MATCH(RationHivernaleAuPréChevauxSelle&amp;$EU176,Règles_chevaux_selle[Ration]&amp;Règles_chevaux_selle[Aliment],0))="c"),
INDEX(Règles_chevaux_selle[Valeur 24-36],MATCH(RationHivernaleAuPréChevauxSelle&amp;$EU176,Règles_chevaux_selle[Ration]&amp;Règles_chevaux_selle[Aliment],0)),0),0)*SUM(TotalChevauxSelle_24_36mois)*21)</f>
        <v>0</v>
      </c>
      <c r="EX176" s="1282">
        <f t="array" ref="EX176">IF(OR(ChoixRationHivernaleComplèteChevauxSelle=OUI,ChoixRationHivernaleComplèteChevauxSelle="",ChoixChevauxSellePréHiver=NON),0,IFERROR(IF(OR(AND(INDEX(Règles_chevaux_selle[Specificite],MATCH(RationHivernaleAuPréChevauxSelle&amp;$EU176,Règles_chevaux_selle[Ration]&amp;Règles_chevaux_selle[Aliment],0))="s1",IF($EU176=Spécificité1ChevauxSelle,1)),
AND(INDEX(Règles_chevaux_selle[Specificite],MATCH(RationHivernaleAuPréChevauxSelle&amp;$EU176,Règles_chevaux_selle[Ration]&amp;Règles_chevaux_selle[Aliment],0))="s2",IF($EU176=Spécificité2ChevauxSelle,1)),
INDEX(Règles_chevaux_selle[Specificite],MATCH(RationHivernaleAuPréChevauxSelle&amp;$EU176,Règles_chevaux_selle[Ration]&amp;Règles_chevaux_selle[Aliment],0))="c"),
INDEX(Règles_chevaux_selle[Valeur 12-24],MATCH(RationHivernaleAuPréChevauxSelle&amp;$EU176,Règles_chevaux_selle[Ration]&amp;Règles_chevaux_selle[Aliment],0)),0),0)*SUM(TotalChevauxSelle_12_24mois)*21)</f>
        <v>0</v>
      </c>
      <c r="EY176" s="1285">
        <f t="array" ref="EY176">IF(OR(ChoixRationHivernaleComplèteChevauxSelle=OUI,ChoixRationHivernaleComplèteChevauxSelle="",ChoixChevauxSellePréHiver=NON),0,IFERROR(IF(OR(AND(INDEX(Règles_chevaux_selle[Specificite],MATCH(RationHivernaleAuPréChevauxSelle&amp;$EU176,Règles_chevaux_selle[Ration]&amp;Règles_chevaux_selle[Aliment],0))="s1",IF($EU176=Spécificité1ChevauxSelle,1)),
AND(INDEX(Règles_chevaux_selle[Specificite],MATCH(RationHivernaleAuPréChevauxSelle&amp;$EU176,Règles_chevaux_selle[Ration]&amp;Règles_chevaux_selle[Aliment],0))="s2",IF($EU176=Spécificité2ChevauxSelle,1)),
INDEX(Règles_chevaux_selle[Specificite],MATCH(RationHivernaleAuPréChevauxSelle&amp;$EU176,Règles_chevaux_selle[Ration]&amp;Règles_chevaux_selle[Aliment],0))="c"),
INDEX(Règles_chevaux_selle[Valeur 0-12],MATCH(RationHivernaleAuPréChevauxSelle&amp;$EU176,Règles_chevaux_selle[Ration]&amp;Règles_chevaux_selle[Aliment],0)),0),0)*SUM(TotalPoulainsSelle)*21)</f>
        <v>0</v>
      </c>
      <c r="EZ176" s="1285">
        <f t="shared" si="59"/>
        <v>0</v>
      </c>
      <c r="FA176" s="1345"/>
      <c r="FB176" s="1345"/>
      <c r="FC176" s="1321"/>
      <c r="FD176" s="1082">
        <f t="shared" si="55"/>
        <v>0</v>
      </c>
      <c r="FE176" s="1282">
        <f t="array" ref="FE176">IF(OR(ChoixRationHivernaleComplèteChevauxTrait=OUI,ChoixRationHivernaleComplèteChevauxTrait="",ChoixChevauxTraitPréHiver=NON),0,IFERROR(IF(OR(AND(INDEX(Règles_chevaux_trait[Specificite],MATCH(RationHivernaleAuPréChevauxTrait&amp;$FD176,Règles_chevaux_trait[Ration]&amp;Règles_chevaux_trait[Aliment],0))="s1",IF($FD176=Spécificité1ChevauxTrait,1)),
AND(INDEX(Règles_chevaux_trait[Specificite],MATCH(RationHivernaleAuPréChevauxTrait&amp;$FD176,Règles_chevaux_trait[Ration]&amp;Règles_chevaux_trait[Aliment],0))="s2",IF($FD176=Spécificité2ChevauxTrait,1)),
INDEX(Règles_chevaux_trait[Specificite],MATCH(RationHivernaleAuPréChevauxTrait&amp;$FD176,Règles_chevaux_trait[Ration]&amp;Règles_chevaux_trait[Aliment],0))="c"),
INDEX(Règles_chevaux_trait[Valeur 36 et plus],MATCH(RationHivernaleAuPréChevauxTrait&amp;$FD176,Règles_chevaux_trait[Ration]&amp;Règles_chevaux_trait[Aliment],0)),0),0)*SUM(TotalChevauxTraitAdultes)*21)</f>
        <v>0</v>
      </c>
      <c r="FF176" s="1282">
        <f t="array" ref="FF176">IF(OR(ChoixRationHivernaleComplèteChevauxTrait=OUI,ChoixRationHivernaleComplèteChevauxTrait="",ChoixChevauxTraitPréHiver=NON),0,IFERROR(IF(OR(AND(INDEX(Règles_chevaux_trait[Specificite],MATCH(RationHivernaleAuPréChevauxTrait&amp;$FD176,Règles_chevaux_trait[Ration]&amp;Règles_chevaux_trait[Aliment],0))="s1",IF($FD176=Spécificité1ChevauxTrait,1)),
AND(INDEX(Règles_chevaux_trait[Specificite],MATCH(RationHivernaleAuPréChevauxTrait&amp;$FD176,Règles_chevaux_trait[Ration]&amp;Règles_chevaux_trait[Aliment],0))="s2",IF($FD176=Spécificité2ChevauxTrait,1)),
INDEX(Règles_chevaux_trait[Specificite],MATCH(RationHivernaleAuPréChevauxTrait&amp;$FD176,Règles_chevaux_trait[Ration]&amp;Règles_chevaux_trait[Aliment],0))="c"),
INDEX(Règles_chevaux_trait[Valeur 24-36],MATCH(RationHivernaleAuPréChevauxTrait&amp;$FD176,Règles_chevaux_trait[Ration]&amp;Règles_chevaux_trait[Aliment],0)),0),0)*SUM(TotalChevauxTrait_24_36mois)*21)</f>
        <v>0</v>
      </c>
      <c r="FG176" s="1282">
        <f t="array" ref="FG176">IF(OR(ChoixRationHivernaleComplèteChevauxTrait=OUI,ChoixRationHivernaleComplèteChevauxTrait="",ChoixChevauxTraitPréHiver=NON),0,IFERROR(IF(OR(AND(INDEX(Règles_chevaux_trait[Specificite],MATCH(RationHivernaleAuPréChevauxTrait&amp;$FD176,Règles_chevaux_trait[Ration]&amp;Règles_chevaux_trait[Aliment],0))="s1",IF($FD176=Spécificité1ChevauxTrait,1)),
AND(INDEX(Règles_chevaux_trait[Specificite],MATCH(RationHivernaleAuPréChevauxTrait&amp;$FD176,Règles_chevaux_trait[Ration]&amp;Règles_chevaux_trait[Aliment],0))="s2",IF($FD176=Spécificité2ChevauxTrait,1)),
INDEX(Règles_chevaux_trait[Specificite],MATCH(RationHivernaleAuPréChevauxTrait&amp;$FD176,Règles_chevaux_trait[Ration]&amp;Règles_chevaux_trait[Aliment],0))="c"),
INDEX(Règles_chevaux_trait[Valeur 12-24],MATCH(RationHivernaleAuPréChevauxTrait&amp;$FD176,Règles_chevaux_trait[Ration]&amp;Règles_chevaux_trait[Aliment],0)),0),0)*SUM(TotalChevauxTrait_12_24mois)*21)</f>
        <v>0</v>
      </c>
      <c r="FH176" s="1285">
        <f t="array" ref="FH176">IF(OR(ChoixRationHivernaleComplèteChevauxTrait=OUI,ChoixRationHivernaleComplèteChevauxTrait="",ChoixChevauxTraitPréHiver=NON),0,IFERROR(IF(OR(AND(INDEX(Règles_chevaux_trait[Specificite],MATCH(RationHivernaleAuPréChevauxTrait&amp;$FD176,Règles_chevaux_trait[Ration]&amp;Règles_chevaux_trait[Aliment],0))="s1",IF($FD176=Spécificité1ChevauxTrait,1)),
AND(INDEX(Règles_chevaux_trait[Specificite],MATCH(RationHivernaleAuPréChevauxTrait&amp;$FD176,Règles_chevaux_trait[Ration]&amp;Règles_chevaux_trait[Aliment],0))="s2",IF($FD176=Spécificité2ChevauxTrait,1)),
INDEX(Règles_chevaux_trait[Specificite],MATCH(RationHivernaleAuPréChevauxTrait&amp;$FD176,Règles_chevaux_trait[Ration]&amp;Règles_chevaux_trait[Aliment],0))="c"),
INDEX(Règles_chevaux_trait[Valeur 0-12],MATCH(RationHivernaleAuPréChevauxTrait&amp;$FD176,Règles_chevaux_trait[Ration]&amp;Règles_chevaux_trait[Aliment],0)),0),0)*SUM(TotalPoulainsTrait)*21)</f>
        <v>0</v>
      </c>
      <c r="FI176" s="1285">
        <f t="shared" si="53"/>
        <v>0</v>
      </c>
      <c r="FJ176" s="1345"/>
      <c r="FK176" s="1345"/>
      <c r="FL176" s="1345"/>
      <c r="FM176" s="1321"/>
      <c r="FN176" s="1083">
        <f t="shared" si="54"/>
        <v>0</v>
      </c>
      <c r="FO176" s="1283">
        <f t="array" ref="FO176">IF(OR(ChoixRationHivernaleComplètePoneys=OUI,ChoixRationHivernaleComplètePoneys="",ChoixPoneysPréHiver=NON),0,IFERROR(IF(OR(AND(INDEX(Règles_poneys[Specificite],MATCH(RationHivernaleAuPréPoneys&amp;$FN176,Règles_poneys[Ration]&amp;Règles_poneys[Aliment],0))="s1",IF($FN176=Spécificité1Poneys,1)),
AND(INDEX(Règles_poneys[Specificite],MATCH(RationHivernaleAuPréPoneys&amp;$FN176,Règles_poneys[Ration]&amp;Règles_poneys[Aliment],0))="s2",IF($FN176=Spécificité2Poneys,1)),
INDEX(Règles_poneys[Specificite],MATCH(RationHivernaleAuPréPoneys&amp;$FN176,Règles_poneys[Ration]&amp;Règles_poneys[Aliment],0))="c"),
INDEX(Règles_poneys[Valeur 36 et plus],MATCH(RationHivernaleAuPréPoneys&amp;$FN176,Règles_poneys[Ration]&amp;Règles_poneys[Aliment],0)),0),0)*SUM(TotalPoneysAdultes)*21)</f>
        <v>0</v>
      </c>
      <c r="FP176" s="1283">
        <f t="array" ref="FP176">IF(OR(ChoixRationHivernaleComplètePoneys=OUI,ChoixRationHivernaleComplètePoneys="",ChoixPoneysPréHiver=NON),0,IFERROR(IF(OR(AND(INDEX(Règles_poneys[Specificite],MATCH(RationHivernaleAuPréPoneys&amp;$FN176,Règles_poneys[Ration]&amp;Règles_poneys[Aliment],0))="s1",IF($FN176=Spécificité1Poneys,1)),
AND(INDEX(Règles_poneys[Specificite],MATCH(RationHivernaleAuPréPoneys&amp;$FN176,Règles_poneys[Ration]&amp;Règles_poneys[Aliment],0))="s2",IF($FN176=Spécificité2Poneys,1)),
INDEX(Règles_poneys[Specificite],MATCH(RationHivernaleAuPréPoneys&amp;$FN176,Règles_poneys[Ration]&amp;Règles_poneys[Aliment],0))="c"),
INDEX(Règles_poneys[Valeur 24-36],MATCH(RationHivernaleAuPréPoneys&amp;$FN176,Règles_poneys[Ration]&amp;Règles_poneys[Aliment],0)),0),0)*SUM(TotalPoneys_24_36mois)*21)</f>
        <v>0</v>
      </c>
      <c r="FQ176" s="1283">
        <f t="array" ref="FQ176">IF(OR(ChoixRationHivernaleComplètePoneys=OUI,ChoixRationHivernaleComplètePoneys="",ChoixPoneysPréHiver=NON),0,IFERROR(IF(OR(AND(INDEX(Règles_poneys[Specificite],MATCH(RationHivernaleAuPréPoneys&amp;$FN176,Règles_poneys[Ration]&amp;Règles_poneys[Aliment],0))="s1",IF($FN176=Spécificité1Poneys,1)),
AND(INDEX(Règles_poneys[Specificite],MATCH(RationHivernaleAuPréPoneys&amp;$FN176,Règles_poneys[Ration]&amp;Règles_poneys[Aliment],0))="s2",IF($FN176=Spécificité2Poneys,1)),
INDEX(Règles_poneys[Specificite],MATCH(RationHivernaleAuPréPoneys&amp;$FN176,Règles_poneys[Ration]&amp;Règles_poneys[Aliment],0))="c"),
INDEX(Règles_poneys[Valeur 12-24],MATCH(RationHivernaleAuPréPoneys&amp;$FN176,Règles_poneys[Ration]&amp;Règles_poneys[Aliment],0)),0),0)*SUM(TotalPoneys_12_24mois)*21)</f>
        <v>0</v>
      </c>
      <c r="FR176" s="1286">
        <f t="array" ref="FR176">IF(OR(ChoixRationHivernaleComplètePoneys=OUI,ChoixRationHivernaleComplètePoneys="",ChoixPoneysPréHiver=NON),0,IFERROR(IF(OR(AND(INDEX(Règles_poneys[Specificite],MATCH(RationHivernaleAuPréPoneys&amp;$FN176,Règles_poneys[Ration]&amp;Règles_poneys[Aliment],0))="s1",IF($FN176=Spécificité1Poneys,1)),
AND(INDEX(Règles_poneys[Specificite],MATCH(RationHivernaleAuPréPoneys&amp;$FN176,Règles_poneys[Ration]&amp;Règles_poneys[Aliment],0))="s2",IF($FN176=Spécificité2Poneys,1)),
INDEX(Règles_poneys[Specificite],MATCH(RationHivernaleAuPréPoneys&amp;$FN176,Règles_poneys[Ration]&amp;Règles_poneys[Aliment],0))="c"),
INDEX(Règles_poneys[Valeur 0-12],MATCH(RationHivernaleAuPréPoneys&amp;$FN176,Règles_poneys[Ration]&amp;Règles_poneys[Aliment],0)),0),0)*SUM(TotalPoulainsPoneys)*21)</f>
        <v>0</v>
      </c>
      <c r="FS176" s="1286">
        <f t="shared" si="52"/>
        <v>0</v>
      </c>
      <c r="FT176" s="1345"/>
      <c r="FU176" s="1345"/>
      <c r="FV176" s="1345"/>
      <c r="FW176" s="1345"/>
      <c r="FX176" s="1345"/>
      <c r="FY176" s="1345"/>
      <c r="FZ176" s="1345"/>
      <c r="GA176" s="1345"/>
      <c r="GB176" s="1345"/>
      <c r="GC176" s="1321"/>
      <c r="GD176" s="1321"/>
      <c r="GE176" s="1321"/>
      <c r="GF176" s="1321"/>
      <c r="GG176" s="1321" t="s">
        <v>1349</v>
      </c>
      <c r="GH176" s="1321" t="s">
        <v>1349</v>
      </c>
      <c r="GI176" s="1321" t="s">
        <v>1349</v>
      </c>
      <c r="GJ176" s="1321" t="s">
        <v>1349</v>
      </c>
      <c r="GK176" s="1321" t="s">
        <v>1349</v>
      </c>
      <c r="GL176" s="1321" t="s">
        <v>1349</v>
      </c>
      <c r="GM176" s="1321" t="s">
        <v>1349</v>
      </c>
      <c r="GN176" s="1321" t="s">
        <v>1349</v>
      </c>
      <c r="GO176" s="1321" t="s">
        <v>1349</v>
      </c>
      <c r="GP176" s="1321" t="s">
        <v>1349</v>
      </c>
      <c r="GQ176" s="1321" t="s">
        <v>1349</v>
      </c>
      <c r="GR176" s="1321" t="s">
        <v>1349</v>
      </c>
      <c r="GS176" s="1321" t="s">
        <v>1349</v>
      </c>
      <c r="GT176" s="1321" t="s">
        <v>1349</v>
      </c>
      <c r="GU176" s="1321" t="s">
        <v>1349</v>
      </c>
      <c r="GV176" s="1321" t="s">
        <v>1349</v>
      </c>
      <c r="GW176" s="1321"/>
      <c r="GX176" s="1321"/>
      <c r="GY176" s="1321"/>
      <c r="GZ176" s="1321"/>
      <c r="HA176" s="1321"/>
      <c r="HB176" s="1321"/>
      <c r="HC176" s="1321"/>
      <c r="HD176" s="1321"/>
      <c r="HE176" s="1321"/>
      <c r="HF176" s="1321"/>
      <c r="HG176" s="1321"/>
      <c r="HH176" s="1321"/>
      <c r="HI176" s="1321"/>
      <c r="HJ176" s="1321"/>
      <c r="HK176" s="1321"/>
      <c r="HL176" s="1321"/>
      <c r="HM176" s="1321"/>
      <c r="HN176" s="1321"/>
      <c r="HO176" s="1321"/>
      <c r="HP176" s="1321"/>
      <c r="HQ176" s="1321"/>
      <c r="HR176" s="1321"/>
      <c r="HS176" s="1321"/>
      <c r="HT176" s="1321"/>
      <c r="HU176" s="1321"/>
      <c r="HV176" s="1321"/>
      <c r="HW176" s="1321"/>
      <c r="HX176" s="1321"/>
      <c r="HY176" s="1321"/>
      <c r="HZ176" s="1321"/>
      <c r="IA176" s="1321"/>
      <c r="IB176" s="1321"/>
      <c r="IC176" s="1321"/>
      <c r="ID176" s="1321"/>
      <c r="IE176" s="1321"/>
      <c r="IF176" s="1321"/>
      <c r="IG176" s="1321"/>
      <c r="IH176" s="1321"/>
      <c r="II176" s="1321"/>
      <c r="IJ176" s="1321"/>
      <c r="IK176" s="1321"/>
      <c r="IL176" s="1321"/>
      <c r="IM176" s="1321"/>
      <c r="IN176" s="1368"/>
    </row>
    <row r="177" spans="1:248" ht="12.75" customHeight="1" x14ac:dyDescent="0.2">
      <c r="A177" s="1307" t="s">
        <v>631</v>
      </c>
      <c r="B177" s="1209">
        <v>0.01</v>
      </c>
      <c r="C177" s="1321"/>
      <c r="D177" s="1253" t="s">
        <v>1634</v>
      </c>
      <c r="E177" s="1254">
        <v>5.7000000000000002E-2</v>
      </c>
      <c r="F177" s="1321"/>
      <c r="G177" s="1321"/>
      <c r="H177" s="1321"/>
      <c r="I177" s="1321"/>
      <c r="J177" s="1321"/>
      <c r="K177" s="1321"/>
      <c r="L177" s="1321"/>
      <c r="M177" s="1321"/>
      <c r="N177" s="1321"/>
      <c r="O177" s="1321"/>
      <c r="P177" s="1321"/>
      <c r="Q177" s="1321"/>
      <c r="R177" s="1321"/>
      <c r="S177" s="1321"/>
      <c r="T177" s="1321"/>
      <c r="U177" s="1321"/>
      <c r="V177" s="1321"/>
      <c r="W177" s="1321"/>
      <c r="X177" s="1321"/>
      <c r="Y177" s="1321"/>
      <c r="Z177" s="1321"/>
      <c r="AA177" s="1321"/>
      <c r="AB177" s="1321"/>
      <c r="AC177" s="1321"/>
      <c r="AD177" s="1321"/>
      <c r="AE177" s="1321"/>
      <c r="AF177" s="1321"/>
      <c r="AG177" s="1321"/>
      <c r="AH177" s="1321"/>
      <c r="AI177" s="1321"/>
      <c r="AJ177" s="1321"/>
      <c r="AK177" s="1321"/>
      <c r="AL177" s="1321"/>
      <c r="AM177" s="1321"/>
      <c r="AN177" s="1321"/>
      <c r="AO177" s="1321"/>
      <c r="AP177" s="1321"/>
      <c r="AQ177" s="1321"/>
      <c r="AR177" s="1321"/>
      <c r="AS177" s="1321"/>
      <c r="AT177" s="1321"/>
      <c r="AU177" s="1321"/>
      <c r="AV177" s="1321"/>
      <c r="AW177" s="1321"/>
      <c r="AX177" s="1321"/>
      <c r="AY177" s="1321"/>
      <c r="AZ177" s="1321"/>
      <c r="BA177" s="1321"/>
      <c r="BB177" s="1236" t="s">
        <v>1134</v>
      </c>
      <c r="BC177" s="1190" t="s">
        <v>76</v>
      </c>
      <c r="BD177" s="1190" t="s">
        <v>1253</v>
      </c>
      <c r="BE177" s="1237">
        <v>6.6</v>
      </c>
      <c r="BF177" s="1237">
        <v>5.4</v>
      </c>
      <c r="BG177" s="1237">
        <v>4.2</v>
      </c>
      <c r="BH177" s="1237">
        <v>3</v>
      </c>
      <c r="BI177" s="1237">
        <v>2.4</v>
      </c>
      <c r="BJ177" s="1237">
        <v>1.2</v>
      </c>
      <c r="BK177" s="1238">
        <v>0</v>
      </c>
      <c r="BL177" s="1321"/>
      <c r="BM177" s="1346"/>
      <c r="BN177" s="1321"/>
      <c r="BO177" s="1321"/>
      <c r="BP177" s="1321"/>
      <c r="BQ177" s="1321"/>
      <c r="BR177" s="1321"/>
      <c r="BS177" s="1321"/>
      <c r="BT177" s="1321"/>
      <c r="BU177" s="1321"/>
      <c r="BV177" s="1345"/>
      <c r="BW177" s="1345"/>
      <c r="BX177" s="1075">
        <f t="shared" si="57"/>
        <v>0</v>
      </c>
      <c r="BY177" s="1075">
        <f t="array" ref="BY177">IF(ChoixRationComplèteCaprins=OUI,0,IFERROR(IF(OR(AND(INDEX(Règles_caprins[Specificite],MATCH(ChoixRationCaprins&amp;$BX177,Règles_caprins[Ration]&amp;Règles_caprins[Aliment],0))="s1",IF($BX177=Spécificité1Caprins,1)),
INDEX(Règles_caprins[Specificite],MATCH(ChoixRationCaprins&amp;$BX177,Règles_caprins[Ration]&amp;Règles_caprins[Aliment],0))="c"),
INDEX(Règles_caprins[Valeur 12 et plus],MATCH(ChoixRationCaprins&amp;$BX177,Règles_caprins[Ration]&amp;Règles_caprins[Aliment],0)),0),0)*TotalChèvres*SUM(NbreJoursNourrirCaprins))</f>
        <v>0</v>
      </c>
      <c r="BZ177" s="1075">
        <f t="array" ref="BZ177">IF(ChoixRationComplèteCaprins=OUI,0,IFERROR(IF(OR(AND(INDEX(Règles_caprins[Specificite],MATCH(ChoixRationCaprins&amp;$BX177,Règles_caprins[Ration]&amp;Règles_caprins[Aliment],0))="s1",IF($BX177=Spécificité1Caprins,1)),
INDEX(Règles_caprins[Specificite],MATCH(ChoixRationCaprins&amp;$BX177,Règles_caprins[Ration]&amp;Règles_caprins[Aliment],0))="c"),
INDEX(Règles_caprins[Valeur 6-12],MATCH(ChoixRationCaprins&amp;$BX177,Règles_caprins[Ration]&amp;Règles_caprins[Aliment],0)),0),0)*jeune_chèvre_6_12_mois*SUM(NbreJoursNourrirCaprins))</f>
        <v>0</v>
      </c>
      <c r="CA177" s="1075">
        <f t="array" ref="CA177">IF(ChoixRationComplèteCaprins=OUI,0,IFERROR(IF(OR(AND(INDEX(Règles_caprins[Specificite],MATCH(ChoixRationCaprins&amp;$BX177,Règles_caprins[Ration]&amp;Règles_caprins[Aliment],0))="s1",IF($BX177=Spécificité1Caprins,1)),
INDEX(Règles_caprins[Specificite],MATCH(ChoixRationCaprins&amp;$BX177,Règles_caprins[Ration]&amp;Règles_caprins[Aliment],0))="c"),
INDEX(Règles_caprins[Valeur 3-6],MATCH(ChoixRationCaprins&amp;$BX177,Règles_caprins[Ration]&amp;Règles_caprins[Aliment],0)),0),0)*chevrette_3_6_mois*SUM(NbreJoursNourrirCaprins))</f>
        <v>0</v>
      </c>
      <c r="CB177" s="1075">
        <f t="array" ref="CB177">IF(ChoixRationComplèteCaprins=OUI,0,IFERROR(IF(OR(AND(INDEX(Règles_caprins[Specificite],MATCH(ChoixRationCaprins&amp;$BX177,Règles_caprins[Ration]&amp;Règles_caprins[Aliment],0))="s1",IF($BX177=Spécificité1Caprins,1)),
INDEX(Règles_caprins[Specificite],MATCH(ChoixRationCaprins&amp;$BX177,Règles_caprins[Ration]&amp;Règles_caprins[Aliment],0))="c"),
INDEX(Règles_caprins[Valeur 0-3],MATCH(ChoixRationCaprins&amp;$BX177,Règles_caprins[Ration]&amp;Règles_caprins[Aliment],0)),0),0)*chevrette_0_3_mois*SUM(NbreJoursNourrirCaprins))</f>
        <v>0</v>
      </c>
      <c r="CC177" s="1075">
        <f t="shared" si="56"/>
        <v>0</v>
      </c>
      <c r="CD177" s="1345"/>
      <c r="CE177" s="1345"/>
      <c r="CF177" s="1345"/>
      <c r="CG177" s="1345"/>
      <c r="CH177" s="1345"/>
      <c r="CI177" s="1321"/>
      <c r="CJ177" s="1076"/>
      <c r="CK177" s="1267"/>
      <c r="CL177" s="1267"/>
      <c r="CM177" s="1267"/>
      <c r="CN177" s="1321"/>
      <c r="CO177" s="1321"/>
      <c r="CP177" s="1321"/>
      <c r="CQ177" s="1321"/>
      <c r="CR177" s="1321"/>
      <c r="CS177" s="1076" t="str">
        <f t="shared" si="66"/>
        <v>Pois</v>
      </c>
      <c r="CT177" s="1267">
        <f t="array" ref="CT177">SUM((IF(QualitéAlimentsLapereauMâle_0_1_mois=BONNE,VLOOKUP("Pois",AlimentsRationLapinsMâles[],4,FALSE),0)+(IF(QualitéAlimentsLapereauFemelle_0_1_mois=BONNE,VLOOKUP("Pois",AlimentsRationLapinsFemelles[],4,FALSE),0)+(IF(QualitéAlimentsJeuneLapin=BONNE,VLOOKUP("Pois",AlimentsRationLapinsMâles[],3,FALSE),0)+(IF(QualitéAlimentsJeuneLapine=BONNE,VLOOKUP("Pois",AlimentsRationLapinsFemelles[],3,FALSE),0)+(IF(QualitéAlimentsLapin=BONNE,VLOOKUP("Pois",AlimentsRationLapinsMâles[],2,FALSE),0)+(IF(QualitéAlimentsLapine=BONNE,VLOOKUP("Pois",AlimentsRationLapinsFemelles[],2,FALSE),0))))))))</f>
        <v>0</v>
      </c>
      <c r="CU177" s="1267">
        <f t="array" ref="CU177">SUM((IF(QualitéAlimentsLapereauMâle_0_1_mois=MOYENNE,VLOOKUP("Pois",AlimentsRationLapinsMâles[],4,FALSE),0)+(IF(QualitéAlimentsLapereauFemelle_0_1_mois=MOYENNE,VLOOKUP("Pois",AlimentsRationLapinsFemelles[],4,FALSE),0)+(IF(QualitéAlimentsJeuneLapin=MOYENNE,VLOOKUP("Pois",AlimentsRationLapinsMâles[],3,FALSE),0)+(IF(QualitéAlimentsJeuneLapine=MOYENNE,VLOOKUP("Pois",AlimentsRationLapinsFemelles[],3,FALSE),0)+(IF(QualitéAlimentsLapin=MOYENNE,VLOOKUP("Pois",AlimentsRationLapinsMâles[],2,FALSE),0)+(IF(QualitéAlimentsLapine=MOYENNE,VLOOKUP("Pois",AlimentsRationLapinsFemelles[],2,FALSE),0))))))))</f>
        <v>0</v>
      </c>
      <c r="CV177" s="1267">
        <f t="array" ref="CV177">SUM((IF(QualitéAlimentsLapereauMâle_0_1_mois=MAUVAISE,VLOOKUP("Pois",AlimentsRationLapinsMâles[],4,FALSE),0)+(IF(QualitéAlimentsLapereauFemelle_0_1_mois=MAUVAISE,VLOOKUP("Pois",AlimentsRationLapinsFemelles[],4,FALSE),0)+(IF(QualitéAlimentsJeuneLapin=MAUVAISE,VLOOKUP("Pois",AlimentsRationLapinsMâles[],3,FALSE),0)+(IF(QualitéAlimentsJeuneLapine=MAUVAISE,VLOOKUP("Pois",AlimentsRationLapinsFemelles[],3,FALSE),0)+(IF(QualitéAlimentsLapin=MAUVAISE,VLOOKUP("Pois",AlimentsRationLapinsMâles[],2,FALSE),0)+(IF(QualitéAlimentsLapine=MAUVAISE,VLOOKUP("Pois",AlimentsRationLapinsFemelles[],2,FALSE),0))))))))</f>
        <v>0</v>
      </c>
      <c r="CW177" s="1321"/>
      <c r="CX177" s="1321"/>
      <c r="CY177" s="1321"/>
      <c r="CZ177" s="1075" t="str">
        <f t="shared" si="65"/>
        <v>Pomme de terre</v>
      </c>
      <c r="DA177" s="1269">
        <f t="array" ref="DA177">SUM((IF(QualitéAlimentsPoussinMâle_0_1_mois=BONNE,VLOOKUP("Pomme de terre",AlimentsRationVolaillesMâles[],4,FALSE),0)+(IF(QualitéAlimentsPoussinFemelle_0_1_mois=BONNE,VLOOKUP("Pomme de terre",AlimentsRationVolaillesFemelles[],4,FALSE),0)+(IF(QualitéAlimentsJeuneCoq=BONNE,VLOOKUP("Pomme de terre",AlimentsRationVolaillesMâles[],3,FALSE),0)+(IF(QualitéAlimentsJeunePoule=BONNE,VLOOKUP("Pomme de terre",AlimentsRationVolaillesFemelles[],3,FALSE),0)+(IF(QualitéAlimentsCoq=BONNE,VLOOKUP("Pomme de terre",AlimentsRationVolaillesMâles[],2,FALSE),0)+(IF(QualitéAlimentsPoule=BONNE,VLOOKUP("Pomme de terre",AlimentsRationVolaillesFemelles[],2,FALSE),0))))))))</f>
        <v>0</v>
      </c>
      <c r="DB177" s="1269">
        <f t="array" ref="DB177">SUM((IF(QualitéAlimentsPoussinMâle_0_1_mois=MOYENNE,VLOOKUP("Pomme de terre",AlimentsRationVolaillesMâles[],4,FALSE),0)+(IF(QualitéAlimentsPoussinFemelle_0_1_mois=MOYENNE,VLOOKUP("Pomme de terre",AlimentsRationVolaillesFemelles[],4,FALSE),0)+(IF(QualitéAlimentsJeuneCoq=MOYENNE,VLOOKUP("Pomme de terre",AlimentsRationVolaillesMâles[],3,FALSE),0)+(IF(QualitéAlimentsJeunePoule=MOYENNE,VLOOKUP("Pomme de terre",AlimentsRationVolaillesFemelles[],3,FALSE),0)+(IF(QualitéAlimentsCoq=MOYENNE,VLOOKUP("Pomme de terre",AlimentsRationVolaillesMâles[],2,FALSE),0)+(IF(QualitéAlimentsPoule=MOYENNE,VLOOKUP("Pomme de terre",AlimentsRationVolaillesFemelles[],2,FALSE),0))))))))</f>
        <v>0</v>
      </c>
      <c r="DC177" s="1269">
        <f t="array" ref="DC177">SUM((IF(QualitéAlimentsPoussinMâle_0_1_mois=MAUVAISE,VLOOKUP("Pomme de terre",AlimentsRationVolaillesMâles[],4,FALSE),0)+(IF(QualitéAlimentsPoussinFemelle_0_1_mois=MAUVAISE,VLOOKUP("Pomme de terre",AlimentsRationVolaillesFemelles[],4,FALSE),0)+(IF(QualitéAlimentsJeuneCoq=MAUVAISE,VLOOKUP("Pomme de terre",AlimentsRationVolaillesMâles[],3,FALSE),0)+(IF(QualitéAlimentsJeunePoule=MAUVAISE,VLOOKUP("Pomme de terre",AlimentsRationVolaillesFemelles[],3,FALSE),0)+(IF(QualitéAlimentsCoq=MAUVAISE,VLOOKUP("Pomme de terre",AlimentsRationVolaillesMâles[],2,FALSE),0)+(IF(QualitéAlimentsPoule=MAUVAISE,VLOOKUP("Pomme de terre",AlimentsRationVolaillesFemelles[],2,FALSE),0))))))))</f>
        <v>0</v>
      </c>
      <c r="DD177" s="1321"/>
      <c r="DE177" s="1321"/>
      <c r="DF177" s="1321"/>
      <c r="DG177" s="1075">
        <f t="shared" si="58"/>
        <v>0</v>
      </c>
      <c r="DH177" s="1269"/>
      <c r="DI177" s="1269"/>
      <c r="DJ177" s="1269"/>
      <c r="DK177" s="1321"/>
      <c r="DL177" s="1321"/>
      <c r="DM177" s="1321"/>
      <c r="DN177" s="1075" t="s">
        <v>63</v>
      </c>
      <c r="DO177" s="1269">
        <f t="array" ref="DO177">IF(ChoixRationComplèteOvins=OUI,0,IFERROR(IF(OR(AND(INDEX(Règles_ovins[Specificite],MATCH(ChoixRationOvins&amp;$DN177,Règles_ovins[Ration]&amp;Règles_ovins[Aliment],0))="s1",IF($DN177=Spécificité1Ovins,1)),
AND(INDEX(Règles_ovins[Specificite],MATCH(ChoixRationOvins&amp;$DN177,Règles_ovins[Ration]&amp;Règles_ovins[Aliment],0))="s2",IF($DN177=Spécificité2Ovins,1)),
INDEX(Règles_ovins[Specificite],MATCH(ChoixRationOvins&amp;$DN177,Règles_ovins[Ration]&amp;Règles_ovins[Aliment],0))="c"),
INDEX(Règles_ovins[Valeur 12 et plus],MATCH(ChoixRationOvins&amp;$DN177,Règles_ovins[Ration]&amp;Règles_ovins[Aliment],0)),0),0)*IF(ChoixOvinsPréHiver=OUI,SUM(TotalOvinsAdultesRacesLaitières)*NbreJoursNourrirOvins,TotalBéliers*SUM(NbreJoursNourrirOvins)))</f>
        <v>0</v>
      </c>
      <c r="DP177" s="1269">
        <f t="array" ref="DP177">IF(ChoixRationComplèteOvins=OUI,0,IFERROR(IF(OR(AND(INDEX(Règles_ovins[Specificite],MATCH(ChoixRationOvins&amp;$DN177,Règles_ovins[Ration]&amp;Règles_ovins[Aliment],0))="s1",IF($DN177=Spécificité1Ovins,1)),
AND(INDEX(Règles_ovins[Specificite],MATCH(ChoixRationOvins&amp;$DN177,Règles_ovins[Ration]&amp;Règles_ovins[Aliment],0))="s2",IF($DN177=Spécificité2Ovins,1)),
INDEX(Règles_ovins[Specificite],MATCH(ChoixRationOvins&amp;$DN177,Règles_ovins[Ration]&amp;Règles_ovins[Aliment],0))="c"),
INDEX(Règles_ovins[Valeur 6-12],MATCH(ChoixRationOvins&amp;$DN177,Règles_ovins[Ration]&amp;Règles_ovins[Aliment],0)),0),0)*IF(ChoixOvinsPréHiver=OUI,SUM(TotalJeunesOvinsRacesLaitières)*NbreJoursNourrirOvins,TotalJeune_bélier_6_12_mois*SUM(NbreJoursNourrirOvins)))</f>
        <v>0</v>
      </c>
      <c r="DQ177" s="1269">
        <f t="array" ref="DQ177">IF(ChoixRationComplèteOvins=OUI,0,IFERROR(IF(OR(AND(INDEX(Règles_ovins[Specificite],MATCH(ChoixRationOvins&amp;$DN177,Règles_ovins[Ration]&amp;Règles_ovins[Aliment],0))="s1",IF($DN177=Spécificité1Ovins,1)),
AND(INDEX(Règles_ovins[Specificite],MATCH(ChoixRationOvins&amp;$DN177,Règles_ovins[Ration]&amp;Règles_ovins[Aliment],0))="s2",IF($DN177=Spécificité2Ovins,1)),
INDEX(Règles_ovins[Specificite],MATCH(ChoixRationOvins&amp;$DN177,Règles_ovins[Ration]&amp;Règles_ovins[Aliment],0))="c"),
INDEX(Règles_ovins[Valeur 3-6],MATCH(ChoixRationOvins&amp;$DN177,Règles_ovins[Ration]&amp;Règles_ovins[Aliment],0)),0),0)*IF(ChoixOvinsPréHiver=OUI,SUM(TotalOvins_3_6moisRacesLaitières)*NbreJoursNourrirOvins,TotalAgneau_3_6_mois*SUM(NbreJoursNourrirOvins)))</f>
        <v>0</v>
      </c>
      <c r="DR177" s="1269">
        <f t="array" ref="DR177">IF(ChoixRationComplèteOvins=OUI,0,IFERROR(IF(OR(AND(INDEX(Règles_ovins[Specificite],MATCH(ChoixRationOvins&amp;$DN177,Règles_ovins[Ration]&amp;Règles_ovins[Aliment],0))="s1",IF($DN177=Spécificité1Ovins,1)),
AND(INDEX(Règles_ovins[Specificite],MATCH(ChoixRationOvins&amp;$DN177,Règles_ovins[Ration]&amp;Règles_ovins[Aliment],0))="s2",IF($DN177=Spécificité2Ovins,1)),
INDEX(Règles_ovins[Specificite],MATCH(ChoixRationOvins&amp;$DN177,Règles_ovins[Ration]&amp;Règles_ovins[Aliment],0))="c"),
INDEX(Règles_ovins[Valeur 0-3],MATCH(ChoixRationOvins&amp;$DN177,Règles_ovins[Ration]&amp;Règles_ovins[Aliment],0)),0),0)*IF(ChoixOvinsPréHiver=OUI,SUM(TotalOvins_3_6moisRacesLaitières)*NbreJoursNourrirOvins,TotalAgneau_0_3_mois*SUM(NbreJoursNourrirOvins)))</f>
        <v>0</v>
      </c>
      <c r="DS177" s="1280">
        <f t="shared" si="61"/>
        <v>0</v>
      </c>
      <c r="DT177" s="1346"/>
      <c r="DU177" s="1346"/>
      <c r="DV177" s="1321"/>
      <c r="DW177" s="1321"/>
      <c r="DX177" s="1321"/>
      <c r="DY177" s="1321"/>
      <c r="DZ177" s="1321"/>
      <c r="EA177" s="1321"/>
      <c r="EB177" s="1321"/>
      <c r="EC177" s="1321"/>
      <c r="ED177" s="1345"/>
      <c r="EE177" s="1345"/>
      <c r="EF177" s="1321"/>
      <c r="EG177" s="1075" t="str">
        <f t="shared" si="63"/>
        <v>Soja</v>
      </c>
      <c r="EH177" s="1269">
        <f t="array" ref="EH177">SUM((IF(QualitéAlimentsOisonMâle_0_3_mois=BONNE,VLOOKUP("Soja",AlimentsRationOiesMâles[],4,FALSE),0)+(IF(QualitéAlimentsOisonFemelle_0_3_mois=BONNE,VLOOKUP("Soja",AlimentsRationOiesFemelles[],4,FALSE),0)+(IF(QualitéAlimentsJeuneJars=BONNE,VLOOKUP("Soja",AlimentsRationOiesMâles[],3,FALSE),0)+(IF(QualitéAlimentsJeuneOie=BONNE,VLOOKUP("Soja",AlimentsRationOiesFemelles[],3,FALSE),0)+(IF(QualitéAlimentsJars=BONNE,VLOOKUP("Soja",AlimentsRationOiesMâles[],2,FALSE),0)+(IF(QualitéAlimentsOie=BONNE,VLOOKUP("Soja",AlimentsRationOiesFemelles[],2,FALSE),0))))))))</f>
        <v>0</v>
      </c>
      <c r="EI177" s="1269">
        <f t="array" ref="EI177">SUM((IF(QualitéAlimentsOisonMâle_0_3_mois=MOYENNE,VLOOKUP("Soja",AlimentsRationOiesMâles[],4,FALSE),0)+(IF(QualitéAlimentsOisonFemelle_0_3_mois=MOYENNE,VLOOKUP("Soja",AlimentsRationOiesFemelles[],4,FALSE),0)+(IF(QualitéAlimentsJeuneJars=MOYENNE,VLOOKUP("Soja",AlimentsRationOiesMâles[],3,FALSE),0)+(IF(QualitéAlimentsJeuneOie=MOYENNE,VLOOKUP("Soja",AlimentsRationOiesFemelles[],3,FALSE),0)+(IF(QualitéAlimentsJars=MOYENNE,VLOOKUP("Soja",AlimentsRationOiesMâles[],2,FALSE),0)+(IF(QualitéAlimentsOie=MOYENNE,VLOOKUP("Soja",AlimentsRationOiesFemelles[],2,FALSE),0))))))))</f>
        <v>0</v>
      </c>
      <c r="EJ177" s="1269">
        <f t="array" ref="EJ177">SUM((IF(QualitéAlimentsOisonMâle_0_3_mois=MAUVAISE,VLOOKUP("Soja",AlimentsRationOiesMâles[],4,FALSE),0)+(IF(QualitéAlimentsOisonFemelle_0_3_mois=MAUVAISE,VLOOKUP("Soja",AlimentsRationOiesFemelles[],4,FALSE),0)+(IF(QualitéAlimentsJeuneJars=MAUVAISE,VLOOKUP("Soja",AlimentsRationOiesMâles[],3,FALSE),0)+(IF(QualitéAlimentsJeuneOie=MAUVAISE,VLOOKUP("Soja",AlimentsRationOiesFemelles[],3,FALSE),0)+(IF(QualitéAlimentsJars=MAUVAISE,VLOOKUP("Soja",AlimentsRationOiesMâles[],2,FALSE),0)+(IF(QualitéAlimentsOie=MAUVAISE,VLOOKUP("Soja",AlimentsRationOiesFemelles[],2,FALSE),0))))))))</f>
        <v>0</v>
      </c>
      <c r="EK177" s="1345"/>
      <c r="EL177" s="1345"/>
      <c r="EM177" s="1321"/>
      <c r="EN177" s="1082" t="str">
        <f t="shared" si="62"/>
        <v>Sorgho ensilé</v>
      </c>
      <c r="EO177" s="1282">
        <f t="array" ref="EO177">SUM((IF(QualitéAlimentsCanetonMâle=BONNE,VLOOKUP("Sorgho ensilé",AlimentsRationCanardsMâles,4,FALSE),0)+(IF(QualitéAlimentsCanetonFemelle=BONNE,VLOOKUP("Sorgho ensilé",AlimentsRationCanardsFemelles,4,FALSE),0)+(IF(QualitéAlimentsJeuneCanard=BONNE,VLOOKUP("Sorgho ensilé",AlimentsRationCanardsMâles,3,FALSE),0)+(IF(QualitéAlimentsJeuneCane=BONNE,VLOOKUP("Sorgho ensilé",AlimentsRationCanardsFemelles,3,FALSE),0)+(IF(QualitéAlimentsCanard=BONNE,VLOOKUP("Sorgho ensilé",AlimentsRationCanardsMâles,2,FALSE),0)+(IF(QualitéAlimentsCane=BONNE,VLOOKUP("Sorgho ensilé",AlimentsRationCanardsFemelles,2,FALSE),0))))))))</f>
        <v>0</v>
      </c>
      <c r="EP177" s="1282">
        <f t="array" ref="EP177">SUM((IF(QualitéAlimentsCanetonMâle=MOYENNE,VLOOKUP("Sorgho ensilé",AlimentsRationCanardsMâles,4,FALSE),0)+(IF(QualitéAlimentsCanetonFemelle=MOYENNE,VLOOKUP("Sorgho ensilé",AlimentsRationCanardsFemelles,4,FALSE),0)+(IF(QualitéAlimentsJeuneCanard=MOYENNE,VLOOKUP("Sorgho ensilé",AlimentsRationCanardsMâles,3,FALSE),0)+(IF(QualitéAlimentsJeuneCane=MOYENNE,VLOOKUP("Sorgho ensilé",AlimentsRationCanardsFemelles,3,FALSE),0)+(IF(QualitéAlimentsCanard=MOYENNE,VLOOKUP("Sorgho ensilé",AlimentsRationCanardsMâles,2,FALSE),0)+(IF(QualitéAlimentsCane=MOYENNE,VLOOKUP("Sorgho ensilé",AlimentsRationCanardsFemelles,2,FALSE),0))))))))</f>
        <v>0</v>
      </c>
      <c r="EQ177" s="1282">
        <f t="array" ref="EQ177">SUM((IF(QualitéAlimentsCanetonMâle=MAUVAISE,VLOOKUP("Sorgho ensilé",AlimentsRationCanardsMâles,4,FALSE),0)+(IF(QualitéAlimentsCanetonFemelle=MAUVAISE,VLOOKUP("Sorgho ensilé",AlimentsRationCanardsFemelles,4,FALSE),0)+(IF(QualitéAlimentsJeuneCanard=MAUVAISE,VLOOKUP("Sorgho ensilé",AlimentsRationCanardsMâles,3,FALSE),0)+(IF(QualitéAlimentsJeuneCane=MAUVAISE,VLOOKUP("Sorgho ensilé",AlimentsRationCanardsFemelles,3,FALSE),0)+(IF(QualitéAlimentsCanard=MAUVAISE,VLOOKUP("Sorgho ensilé",AlimentsRationCanardsMâles,2,FALSE),0)+(IF(QualitéAlimentsCane=MAUVAISE,VLOOKUP("Sorgho ensilé",AlimentsRationCanardsFemelles,2,FALSE),0))))))))</f>
        <v>0</v>
      </c>
      <c r="ER177" s="1345"/>
      <c r="ES177" s="1345"/>
      <c r="ET177" s="1321"/>
      <c r="EU177" s="1083" t="str">
        <f t="shared" si="60"/>
        <v>Tournesol</v>
      </c>
      <c r="EV177" s="1283">
        <f t="array" ref="EV177">IF(OR(ChoixRationHivernaleComplèteChevauxSelle=OUI,ChoixRationHivernaleComplèteChevauxSelle="",ChoixChevauxSellePréHiver=NON),0,IFERROR(IF(OR(AND(INDEX(Règles_chevaux_selle[Specificite],MATCH(RationHivernaleAuPréChevauxSelle&amp;$EU177,Règles_chevaux_selle[Ration]&amp;Règles_chevaux_selle[Aliment],0))="s1",IF($EU177=Spécificité1ChevauxSelle,1)),
AND(INDEX(Règles_chevaux_selle[Specificite],MATCH(RationHivernaleAuPréChevauxSelle&amp;$EU177,Règles_chevaux_selle[Ration]&amp;Règles_chevaux_selle[Aliment],0))="s2",IF($EU177=Spécificité2ChevauxSelle,1)),
INDEX(Règles_chevaux_selle[Specificite],MATCH(RationHivernaleAuPréChevauxSelle&amp;$EU177,Règles_chevaux_selle[Ration]&amp;Règles_chevaux_selle[Aliment],0))="c"),
INDEX(Règles_chevaux_selle[Valeur 36 et plus],MATCH(RationHivernaleAuPréChevauxSelle&amp;$EU177,Règles_chevaux_selle[Ration]&amp;Règles_chevaux_selle[Aliment],0)),0),0)*SUM(TotalChevauxSelleAdultes)*21)</f>
        <v>0</v>
      </c>
      <c r="EW177" s="1283">
        <f t="array" ref="EW177">IF(OR(ChoixRationHivernaleComplèteChevauxSelle=OUI,ChoixRationHivernaleComplèteChevauxSelle="",ChoixChevauxSellePréHiver=NON),0,IFERROR(IF(OR(AND(INDEX(Règles_chevaux_selle[Specificite],MATCH(RationHivernaleAuPréChevauxSelle&amp;$EU177,Règles_chevaux_selle[Ration]&amp;Règles_chevaux_selle[Aliment],0))="s1",IF($EU177=Spécificité1ChevauxSelle,1)),
AND(INDEX(Règles_chevaux_selle[Specificite],MATCH(RationHivernaleAuPréChevauxSelle&amp;$EU177,Règles_chevaux_selle[Ration]&amp;Règles_chevaux_selle[Aliment],0))="s2",IF($EU177=Spécificité2ChevauxSelle,1)),
INDEX(Règles_chevaux_selle[Specificite],MATCH(RationHivernaleAuPréChevauxSelle&amp;$EU177,Règles_chevaux_selle[Ration]&amp;Règles_chevaux_selle[Aliment],0))="c"),
INDEX(Règles_chevaux_selle[Valeur 24-36],MATCH(RationHivernaleAuPréChevauxSelle&amp;$EU177,Règles_chevaux_selle[Ration]&amp;Règles_chevaux_selle[Aliment],0)),0),0)*SUM(TotalChevauxSelle_24_36mois)*21)</f>
        <v>0</v>
      </c>
      <c r="EX177" s="1283">
        <f t="array" ref="EX177">IF(OR(ChoixRationHivernaleComplèteChevauxSelle=OUI,ChoixRationHivernaleComplèteChevauxSelle="",ChoixChevauxSellePréHiver=NON),0,IFERROR(IF(OR(AND(INDEX(Règles_chevaux_selle[Specificite],MATCH(RationHivernaleAuPréChevauxSelle&amp;$EU177,Règles_chevaux_selle[Ration]&amp;Règles_chevaux_selle[Aliment],0))="s1",IF($EU177=Spécificité1ChevauxSelle,1)),
AND(INDEX(Règles_chevaux_selle[Specificite],MATCH(RationHivernaleAuPréChevauxSelle&amp;$EU177,Règles_chevaux_selle[Ration]&amp;Règles_chevaux_selle[Aliment],0))="s2",IF($EU177=Spécificité2ChevauxSelle,1)),
INDEX(Règles_chevaux_selle[Specificite],MATCH(RationHivernaleAuPréChevauxSelle&amp;$EU177,Règles_chevaux_selle[Ration]&amp;Règles_chevaux_selle[Aliment],0))="c"),
INDEX(Règles_chevaux_selle[Valeur 12-24],MATCH(RationHivernaleAuPréChevauxSelle&amp;$EU177,Règles_chevaux_selle[Ration]&amp;Règles_chevaux_selle[Aliment],0)),0),0)*SUM(TotalChevauxSelle_12_24mois)*21)</f>
        <v>0</v>
      </c>
      <c r="EY177" s="1286">
        <f t="array" ref="EY177">IF(OR(ChoixRationHivernaleComplèteChevauxSelle=OUI,ChoixRationHivernaleComplèteChevauxSelle="",ChoixChevauxSellePréHiver=NON),0,IFERROR(IF(OR(AND(INDEX(Règles_chevaux_selle[Specificite],MATCH(RationHivernaleAuPréChevauxSelle&amp;$EU177,Règles_chevaux_selle[Ration]&amp;Règles_chevaux_selle[Aliment],0))="s1",IF($EU177=Spécificité1ChevauxSelle,1)),
AND(INDEX(Règles_chevaux_selle[Specificite],MATCH(RationHivernaleAuPréChevauxSelle&amp;$EU177,Règles_chevaux_selle[Ration]&amp;Règles_chevaux_selle[Aliment],0))="s2",IF($EU177=Spécificité2ChevauxSelle,1)),
INDEX(Règles_chevaux_selle[Specificite],MATCH(RationHivernaleAuPréChevauxSelle&amp;$EU177,Règles_chevaux_selle[Ration]&amp;Règles_chevaux_selle[Aliment],0))="c"),
INDEX(Règles_chevaux_selle[Valeur 0-12],MATCH(RationHivernaleAuPréChevauxSelle&amp;$EU177,Règles_chevaux_selle[Ration]&amp;Règles_chevaux_selle[Aliment],0)),0),0)*SUM(TotalPoulainsSelle)*21)</f>
        <v>0</v>
      </c>
      <c r="EZ177" s="1286">
        <f t="shared" si="59"/>
        <v>0</v>
      </c>
      <c r="FA177" s="1345"/>
      <c r="FB177" s="1345"/>
      <c r="FC177" s="1321"/>
      <c r="FD177" s="1083">
        <f t="shared" si="55"/>
        <v>0</v>
      </c>
      <c r="FE177" s="1283">
        <f t="array" ref="FE177">IF(OR(ChoixRationHivernaleComplèteChevauxTrait=OUI,ChoixRationHivernaleComplèteChevauxTrait="",ChoixChevauxTraitPréHiver=NON),0,IFERROR(IF(OR(AND(INDEX(Règles_chevaux_trait[Specificite],MATCH(RationHivernaleAuPréChevauxTrait&amp;$FD177,Règles_chevaux_trait[Ration]&amp;Règles_chevaux_trait[Aliment],0))="s1",IF($FD177=Spécificité1ChevauxTrait,1)),
AND(INDEX(Règles_chevaux_trait[Specificite],MATCH(RationHivernaleAuPréChevauxTrait&amp;$FD177,Règles_chevaux_trait[Ration]&amp;Règles_chevaux_trait[Aliment],0))="s2",IF($FD177=Spécificité2ChevauxTrait,1)),
INDEX(Règles_chevaux_trait[Specificite],MATCH(RationHivernaleAuPréChevauxTrait&amp;$FD177,Règles_chevaux_trait[Ration]&amp;Règles_chevaux_trait[Aliment],0))="c"),
INDEX(Règles_chevaux_trait[Valeur 36 et plus],MATCH(RationHivernaleAuPréChevauxTrait&amp;$FD177,Règles_chevaux_trait[Ration]&amp;Règles_chevaux_trait[Aliment],0)),0),0)*SUM(TotalChevauxTraitAdultes)*21)</f>
        <v>0</v>
      </c>
      <c r="FF177" s="1283">
        <f t="array" ref="FF177">IF(OR(ChoixRationHivernaleComplèteChevauxTrait=OUI,ChoixRationHivernaleComplèteChevauxTrait="",ChoixChevauxTraitPréHiver=NON),0,IFERROR(IF(OR(AND(INDEX(Règles_chevaux_trait[Specificite],MATCH(RationHivernaleAuPréChevauxTrait&amp;$FD177,Règles_chevaux_trait[Ration]&amp;Règles_chevaux_trait[Aliment],0))="s1",IF($FD177=Spécificité1ChevauxTrait,1)),
AND(INDEX(Règles_chevaux_trait[Specificite],MATCH(RationHivernaleAuPréChevauxTrait&amp;$FD177,Règles_chevaux_trait[Ration]&amp;Règles_chevaux_trait[Aliment],0))="s2",IF($FD177=Spécificité2ChevauxTrait,1)),
INDEX(Règles_chevaux_trait[Specificite],MATCH(RationHivernaleAuPréChevauxTrait&amp;$FD177,Règles_chevaux_trait[Ration]&amp;Règles_chevaux_trait[Aliment],0))="c"),
INDEX(Règles_chevaux_trait[Valeur 24-36],MATCH(RationHivernaleAuPréChevauxTrait&amp;$FD177,Règles_chevaux_trait[Ration]&amp;Règles_chevaux_trait[Aliment],0)),0),0)*SUM(TotalChevauxTrait_24_36mois)*21)</f>
        <v>0</v>
      </c>
      <c r="FG177" s="1283">
        <f t="array" ref="FG177">IF(OR(ChoixRationHivernaleComplèteChevauxTrait=OUI,ChoixRationHivernaleComplèteChevauxTrait="",ChoixChevauxTraitPréHiver=NON),0,IFERROR(IF(OR(AND(INDEX(Règles_chevaux_trait[Specificite],MATCH(RationHivernaleAuPréChevauxTrait&amp;$FD177,Règles_chevaux_trait[Ration]&amp;Règles_chevaux_trait[Aliment],0))="s1",IF($FD177=Spécificité1ChevauxTrait,1)),
AND(INDEX(Règles_chevaux_trait[Specificite],MATCH(RationHivernaleAuPréChevauxTrait&amp;$FD177,Règles_chevaux_trait[Ration]&amp;Règles_chevaux_trait[Aliment],0))="s2",IF($FD177=Spécificité2ChevauxTrait,1)),
INDEX(Règles_chevaux_trait[Specificite],MATCH(RationHivernaleAuPréChevauxTrait&amp;$FD177,Règles_chevaux_trait[Ration]&amp;Règles_chevaux_trait[Aliment],0))="c"),
INDEX(Règles_chevaux_trait[Valeur 12-24],MATCH(RationHivernaleAuPréChevauxTrait&amp;$FD177,Règles_chevaux_trait[Ration]&amp;Règles_chevaux_trait[Aliment],0)),0),0)*SUM(TotalChevauxTrait_12_24mois)*21)</f>
        <v>0</v>
      </c>
      <c r="FH177" s="1286">
        <f t="array" ref="FH177">IF(OR(ChoixRationHivernaleComplèteChevauxTrait=OUI,ChoixRationHivernaleComplèteChevauxTrait="",ChoixChevauxTraitPréHiver=NON),0,IFERROR(IF(OR(AND(INDEX(Règles_chevaux_trait[Specificite],MATCH(RationHivernaleAuPréChevauxTrait&amp;$FD177,Règles_chevaux_trait[Ration]&amp;Règles_chevaux_trait[Aliment],0))="s1",IF($FD177=Spécificité1ChevauxTrait,1)),
AND(INDEX(Règles_chevaux_trait[Specificite],MATCH(RationHivernaleAuPréChevauxTrait&amp;$FD177,Règles_chevaux_trait[Ration]&amp;Règles_chevaux_trait[Aliment],0))="s2",IF($FD177=Spécificité2ChevauxTrait,1)),
INDEX(Règles_chevaux_trait[Specificite],MATCH(RationHivernaleAuPréChevauxTrait&amp;$FD177,Règles_chevaux_trait[Ration]&amp;Règles_chevaux_trait[Aliment],0))="c"),
INDEX(Règles_chevaux_trait[Valeur 0-12],MATCH(RationHivernaleAuPréChevauxTrait&amp;$FD177,Règles_chevaux_trait[Ration]&amp;Règles_chevaux_trait[Aliment],0)),0),0)*SUM(TotalPoulainsTrait)*21)</f>
        <v>0</v>
      </c>
      <c r="FI177" s="1286">
        <f t="shared" si="53"/>
        <v>0</v>
      </c>
      <c r="FJ177" s="1345"/>
      <c r="FK177" s="1345"/>
      <c r="FL177" s="1345"/>
      <c r="FM177" s="1321"/>
      <c r="FN177" s="1082">
        <f t="shared" si="54"/>
        <v>0</v>
      </c>
      <c r="FO177" s="1282">
        <f t="array" ref="FO177">IF(OR(ChoixRationHivernaleComplètePoneys=OUI,ChoixRationHivernaleComplètePoneys="",ChoixPoneysPréHiver=NON),0,IFERROR(IF(OR(AND(INDEX(Règles_poneys[Specificite],MATCH(RationHivernaleAuPréPoneys&amp;$FN177,Règles_poneys[Ration]&amp;Règles_poneys[Aliment],0))="s1",IF($FN177=Spécificité1Poneys,1)),
AND(INDEX(Règles_poneys[Specificite],MATCH(RationHivernaleAuPréPoneys&amp;$FN177,Règles_poneys[Ration]&amp;Règles_poneys[Aliment],0))="s2",IF($FN177=Spécificité2Poneys,1)),
INDEX(Règles_poneys[Specificite],MATCH(RationHivernaleAuPréPoneys&amp;$FN177,Règles_poneys[Ration]&amp;Règles_poneys[Aliment],0))="c"),
INDEX(Règles_poneys[Valeur 36 et plus],MATCH(RationHivernaleAuPréPoneys&amp;$FN177,Règles_poneys[Ration]&amp;Règles_poneys[Aliment],0)),0),0)*SUM(TotalPoneysAdultes)*21)</f>
        <v>0</v>
      </c>
      <c r="FP177" s="1282">
        <f t="array" ref="FP177">IF(OR(ChoixRationHivernaleComplètePoneys=OUI,ChoixRationHivernaleComplètePoneys="",ChoixPoneysPréHiver=NON),0,IFERROR(IF(OR(AND(INDEX(Règles_poneys[Specificite],MATCH(RationHivernaleAuPréPoneys&amp;$FN177,Règles_poneys[Ration]&amp;Règles_poneys[Aliment],0))="s1",IF($FN177=Spécificité1Poneys,1)),
AND(INDEX(Règles_poneys[Specificite],MATCH(RationHivernaleAuPréPoneys&amp;$FN177,Règles_poneys[Ration]&amp;Règles_poneys[Aliment],0))="s2",IF($FN177=Spécificité2Poneys,1)),
INDEX(Règles_poneys[Specificite],MATCH(RationHivernaleAuPréPoneys&amp;$FN177,Règles_poneys[Ration]&amp;Règles_poneys[Aliment],0))="c"),
INDEX(Règles_poneys[Valeur 24-36],MATCH(RationHivernaleAuPréPoneys&amp;$FN177,Règles_poneys[Ration]&amp;Règles_poneys[Aliment],0)),0),0)*SUM(TotalPoneys_24_36mois)*21)</f>
        <v>0</v>
      </c>
      <c r="FQ177" s="1282">
        <f t="array" ref="FQ177">IF(OR(ChoixRationHivernaleComplètePoneys=OUI,ChoixRationHivernaleComplètePoneys="",ChoixPoneysPréHiver=NON),0,IFERROR(IF(OR(AND(INDEX(Règles_poneys[Specificite],MATCH(RationHivernaleAuPréPoneys&amp;$FN177,Règles_poneys[Ration]&amp;Règles_poneys[Aliment],0))="s1",IF($FN177=Spécificité1Poneys,1)),
AND(INDEX(Règles_poneys[Specificite],MATCH(RationHivernaleAuPréPoneys&amp;$FN177,Règles_poneys[Ration]&amp;Règles_poneys[Aliment],0))="s2",IF($FN177=Spécificité2Poneys,1)),
INDEX(Règles_poneys[Specificite],MATCH(RationHivernaleAuPréPoneys&amp;$FN177,Règles_poneys[Ration]&amp;Règles_poneys[Aliment],0))="c"),
INDEX(Règles_poneys[Valeur 12-24],MATCH(RationHivernaleAuPréPoneys&amp;$FN177,Règles_poneys[Ration]&amp;Règles_poneys[Aliment],0)),0),0)*SUM(TotalPoneys_12_24mois)*21)</f>
        <v>0</v>
      </c>
      <c r="FR177" s="1285">
        <f t="array" ref="FR177">IF(OR(ChoixRationHivernaleComplètePoneys=OUI,ChoixRationHivernaleComplètePoneys="",ChoixPoneysPréHiver=NON),0,IFERROR(IF(OR(AND(INDEX(Règles_poneys[Specificite],MATCH(RationHivernaleAuPréPoneys&amp;$FN177,Règles_poneys[Ration]&amp;Règles_poneys[Aliment],0))="s1",IF($FN177=Spécificité1Poneys,1)),
AND(INDEX(Règles_poneys[Specificite],MATCH(RationHivernaleAuPréPoneys&amp;$FN177,Règles_poneys[Ration]&amp;Règles_poneys[Aliment],0))="s2",IF($FN177=Spécificité2Poneys,1)),
INDEX(Règles_poneys[Specificite],MATCH(RationHivernaleAuPréPoneys&amp;$FN177,Règles_poneys[Ration]&amp;Règles_poneys[Aliment],0))="c"),
INDEX(Règles_poneys[Valeur 0-12],MATCH(RationHivernaleAuPréPoneys&amp;$FN177,Règles_poneys[Ration]&amp;Règles_poneys[Aliment],0)),0),0)*SUM(TotalPoulainsPoneys)*21)</f>
        <v>0</v>
      </c>
      <c r="FS177" s="1285">
        <f t="shared" si="52"/>
        <v>0</v>
      </c>
      <c r="FT177" s="1345"/>
      <c r="FU177" s="1345"/>
      <c r="FV177" s="1345"/>
      <c r="FW177" s="1345"/>
      <c r="FX177" s="1345"/>
      <c r="FY177" s="1345"/>
      <c r="FZ177" s="1345"/>
      <c r="GA177" s="1345"/>
      <c r="GB177" s="1345"/>
      <c r="GC177" s="1321"/>
      <c r="GD177" s="1321"/>
      <c r="GE177" s="1321"/>
      <c r="GF177" s="1321"/>
      <c r="GG177" s="1321" t="s">
        <v>1349</v>
      </c>
      <c r="GH177" s="1321" t="s">
        <v>1349</v>
      </c>
      <c r="GI177" s="1321" t="s">
        <v>1349</v>
      </c>
      <c r="GJ177" s="1321" t="s">
        <v>1349</v>
      </c>
      <c r="GK177" s="1321" t="s">
        <v>1349</v>
      </c>
      <c r="GL177" s="1321" t="s">
        <v>1349</v>
      </c>
      <c r="GM177" s="1321" t="s">
        <v>1349</v>
      </c>
      <c r="GN177" s="1321" t="s">
        <v>1349</v>
      </c>
      <c r="GO177" s="1321" t="s">
        <v>1349</v>
      </c>
      <c r="GP177" s="1321" t="s">
        <v>1349</v>
      </c>
      <c r="GQ177" s="1321" t="s">
        <v>1349</v>
      </c>
      <c r="GR177" s="1321" t="s">
        <v>1349</v>
      </c>
      <c r="GS177" s="1321" t="s">
        <v>1349</v>
      </c>
      <c r="GT177" s="1321" t="s">
        <v>1349</v>
      </c>
      <c r="GU177" s="1321" t="s">
        <v>1349</v>
      </c>
      <c r="GV177" s="1321" t="s">
        <v>1349</v>
      </c>
      <c r="GW177" s="1321"/>
      <c r="GX177" s="1321"/>
      <c r="GY177" s="1321"/>
      <c r="GZ177" s="1321"/>
      <c r="HA177" s="1321"/>
      <c r="HB177" s="1321"/>
      <c r="HC177" s="1321"/>
      <c r="HD177" s="1321"/>
      <c r="HE177" s="1321"/>
      <c r="HF177" s="1321"/>
      <c r="HG177" s="1321"/>
      <c r="HH177" s="1321"/>
      <c r="HI177" s="1321"/>
      <c r="HJ177" s="1321"/>
      <c r="HK177" s="1321"/>
      <c r="HL177" s="1321"/>
      <c r="HM177" s="1321"/>
      <c r="HN177" s="1321"/>
      <c r="HO177" s="1321"/>
      <c r="HP177" s="1321"/>
      <c r="HQ177" s="1321"/>
      <c r="HR177" s="1321"/>
      <c r="HS177" s="1321"/>
      <c r="HT177" s="1321"/>
      <c r="HU177" s="1321"/>
      <c r="HV177" s="1321"/>
      <c r="HW177" s="1321"/>
      <c r="HX177" s="1321"/>
      <c r="HY177" s="1321"/>
      <c r="HZ177" s="1321"/>
      <c r="IA177" s="1321"/>
      <c r="IB177" s="1321"/>
      <c r="IC177" s="1321"/>
      <c r="ID177" s="1321"/>
      <c r="IE177" s="1321"/>
      <c r="IF177" s="1321"/>
      <c r="IG177" s="1321"/>
      <c r="IH177" s="1321"/>
      <c r="II177" s="1321"/>
      <c r="IJ177" s="1321"/>
      <c r="IK177" s="1321"/>
      <c r="IL177" s="1321"/>
      <c r="IM177" s="1321"/>
      <c r="IN177" s="1368"/>
    </row>
    <row r="178" spans="1:248" ht="12.75" customHeight="1" x14ac:dyDescent="0.2">
      <c r="A178" s="1307" t="s">
        <v>632</v>
      </c>
      <c r="B178" s="1209">
        <v>0.01</v>
      </c>
      <c r="C178" s="1321"/>
      <c r="D178" s="1251" t="s">
        <v>1635</v>
      </c>
      <c r="E178" s="1252">
        <v>4.3999999999999997E-2</v>
      </c>
      <c r="F178" s="1321"/>
      <c r="G178" s="1321"/>
      <c r="H178" s="1321"/>
      <c r="I178" s="1321"/>
      <c r="J178" s="1321"/>
      <c r="K178" s="1321"/>
      <c r="L178" s="1321"/>
      <c r="M178" s="1321"/>
      <c r="N178" s="1321"/>
      <c r="O178" s="1321"/>
      <c r="P178" s="1321"/>
      <c r="Q178" s="1321"/>
      <c r="R178" s="1321"/>
      <c r="S178" s="1321"/>
      <c r="T178" s="1321"/>
      <c r="U178" s="1321"/>
      <c r="V178" s="1321"/>
      <c r="W178" s="1321"/>
      <c r="X178" s="1321"/>
      <c r="Y178" s="1321"/>
      <c r="Z178" s="1321"/>
      <c r="AA178" s="1321"/>
      <c r="AB178" s="1321"/>
      <c r="AC178" s="1321"/>
      <c r="AD178" s="1321"/>
      <c r="AE178" s="1321"/>
      <c r="AF178" s="1321"/>
      <c r="AG178" s="1321"/>
      <c r="AH178" s="1321"/>
      <c r="AI178" s="1321"/>
      <c r="AJ178" s="1321"/>
      <c r="AK178" s="1321"/>
      <c r="AL178" s="1321"/>
      <c r="AM178" s="1321"/>
      <c r="AN178" s="1321"/>
      <c r="AO178" s="1321"/>
      <c r="AP178" s="1321"/>
      <c r="AQ178" s="1321"/>
      <c r="AR178" s="1321"/>
      <c r="AS178" s="1321"/>
      <c r="AT178" s="1321"/>
      <c r="AU178" s="1321"/>
      <c r="AV178" s="1321"/>
      <c r="AW178" s="1321"/>
      <c r="AX178" s="1321"/>
      <c r="AY178" s="1321"/>
      <c r="AZ178" s="1321"/>
      <c r="BA178" s="1321"/>
      <c r="BB178" s="1236" t="s">
        <v>1134</v>
      </c>
      <c r="BC178" s="1190" t="s">
        <v>1273</v>
      </c>
      <c r="BD178" s="1190" t="s">
        <v>1254</v>
      </c>
      <c r="BE178" s="1237">
        <v>2.2000000000000002</v>
      </c>
      <c r="BF178" s="1237">
        <v>1.8</v>
      </c>
      <c r="BG178" s="1237">
        <v>1.4</v>
      </c>
      <c r="BH178" s="1237">
        <v>1</v>
      </c>
      <c r="BI178" s="1237">
        <v>0.8</v>
      </c>
      <c r="BJ178" s="1237">
        <v>0.6</v>
      </c>
      <c r="BK178" s="1238">
        <v>0</v>
      </c>
      <c r="BL178" s="1321"/>
      <c r="BM178" s="1346"/>
      <c r="BN178" s="1321"/>
      <c r="BO178" s="1321"/>
      <c r="BP178" s="1321"/>
      <c r="BQ178" s="1321"/>
      <c r="BR178" s="1321"/>
      <c r="BS178" s="1321"/>
      <c r="BT178" s="1321"/>
      <c r="BU178" s="1321"/>
      <c r="BV178" s="1345"/>
      <c r="BW178" s="1345"/>
      <c r="BX178" s="1076">
        <f t="shared" si="57"/>
        <v>0</v>
      </c>
      <c r="BY178" s="1275">
        <f t="array" ref="BY178">IF(ChoixRationComplèteCaprins=OUI,0,IFERROR(IF(OR(AND(INDEX(Règles_caprins[Specificite],MATCH(ChoixRationCaprins&amp;$BX178,Règles_caprins[Ration]&amp;Règles_caprins[Aliment],0))="s1",IF($BX178=Spécificité1Caprins,1)),
INDEX(Règles_caprins[Specificite],MATCH(ChoixRationCaprins&amp;$BX178,Règles_caprins[Ration]&amp;Règles_caprins[Aliment],0))="c"),
INDEX(Règles_caprins[Valeur 12 et plus],MATCH(ChoixRationCaprins&amp;$BX178,Règles_caprins[Ration]&amp;Règles_caprins[Aliment],0)),0),0)*TotalChèvres*SUM(NbreJoursNourrirCaprins))</f>
        <v>0</v>
      </c>
      <c r="BZ178" s="1275">
        <f t="array" ref="BZ178">IF(ChoixRationComplèteCaprins=OUI,0,IFERROR(IF(OR(AND(INDEX(Règles_caprins[Specificite],MATCH(ChoixRationCaprins&amp;$BX178,Règles_caprins[Ration]&amp;Règles_caprins[Aliment],0))="s1",IF($BX178=Spécificité1Caprins,1)),
INDEX(Règles_caprins[Specificite],MATCH(ChoixRationCaprins&amp;$BX178,Règles_caprins[Ration]&amp;Règles_caprins[Aliment],0))="c"),
INDEX(Règles_caprins[Valeur 6-12],MATCH(ChoixRationCaprins&amp;$BX178,Règles_caprins[Ration]&amp;Règles_caprins[Aliment],0)),0),0)*jeune_chèvre_6_12_mois*SUM(NbreJoursNourrirCaprins))</f>
        <v>0</v>
      </c>
      <c r="CA178" s="1275">
        <f t="array" ref="CA178">IF(ChoixRationComplèteCaprins=OUI,0,IFERROR(IF(OR(AND(INDEX(Règles_caprins[Specificite],MATCH(ChoixRationCaprins&amp;$BX178,Règles_caprins[Ration]&amp;Règles_caprins[Aliment],0))="s1",IF($BX178=Spécificité1Caprins,1)),
INDEX(Règles_caprins[Specificite],MATCH(ChoixRationCaprins&amp;$BX178,Règles_caprins[Ration]&amp;Règles_caprins[Aliment],0))="c"),
INDEX(Règles_caprins[Valeur 3-6],MATCH(ChoixRationCaprins&amp;$BX178,Règles_caprins[Ration]&amp;Règles_caprins[Aliment],0)),0),0)*chevrette_3_6_mois*SUM(NbreJoursNourrirCaprins))</f>
        <v>0</v>
      </c>
      <c r="CB178" s="1275">
        <f t="array" ref="CB178">IF(ChoixRationComplèteCaprins=OUI,0,IFERROR(IF(OR(AND(INDEX(Règles_caprins[Specificite],MATCH(ChoixRationCaprins&amp;$BX178,Règles_caprins[Ration]&amp;Règles_caprins[Aliment],0))="s1",IF($BX178=Spécificité1Caprins,1)),
INDEX(Règles_caprins[Specificite],MATCH(ChoixRationCaprins&amp;$BX178,Règles_caprins[Ration]&amp;Règles_caprins[Aliment],0))="c"),
INDEX(Règles_caprins[Valeur 0-3],MATCH(ChoixRationCaprins&amp;$BX178,Règles_caprins[Ration]&amp;Règles_caprins[Aliment],0)),0),0)*chevrette_0_3_mois*SUM(NbreJoursNourrirCaprins))</f>
        <v>0</v>
      </c>
      <c r="CC178" s="1076">
        <f t="shared" si="56"/>
        <v>0</v>
      </c>
      <c r="CD178" s="1345"/>
      <c r="CE178" s="1345"/>
      <c r="CF178" s="1345"/>
      <c r="CG178" s="1345"/>
      <c r="CH178" s="1345"/>
      <c r="CI178" s="1321"/>
      <c r="CJ178" s="1321"/>
      <c r="CK178" s="1321"/>
      <c r="CL178" s="1321"/>
      <c r="CM178" s="1318"/>
      <c r="CN178" s="1318"/>
      <c r="CO178" s="1318"/>
      <c r="CP178" s="1318"/>
      <c r="CQ178" s="1318"/>
      <c r="CR178" s="1318"/>
      <c r="CS178" s="1075" t="str">
        <f t="shared" si="66"/>
        <v>Pomme de terre</v>
      </c>
      <c r="CT178" s="1269">
        <f t="array" ref="CT178">SUM((IF(QualitéAlimentsLapereauMâle_0_1_mois=BONNE,VLOOKUP("Pomme de terre",AlimentsRationLapinsMâles[],4,FALSE),0)+(IF(QualitéAlimentsLapereauFemelle_0_1_mois=BONNE,VLOOKUP("Pomme de terre",AlimentsRationLapinsFemelles[],4,FALSE),0)+(IF(QualitéAlimentsJeuneLapin=BONNE,VLOOKUP("Pomme de terre",AlimentsRationLapinsMâles[],3,FALSE),0)+(IF(QualitéAlimentsJeuneLapine=BONNE,VLOOKUP("Pomme de terre",AlimentsRationLapinsFemelles[],3,FALSE),0)+(IF(QualitéAlimentsLapin=BONNE,VLOOKUP("Pomme de terre",AlimentsRationLapinsMâles[],2,FALSE),0)+(IF(QualitéAlimentsLapine=BONNE,VLOOKUP("Pomme de terre",AlimentsRationLapinsFemelles[],2,FALSE),0))))))))</f>
        <v>0</v>
      </c>
      <c r="CU178" s="1269">
        <f t="array" ref="CU178">SUM((IF(QualitéAlimentsLapereauMâle_0_1_mois=MOYENNE,VLOOKUP("Pomme de terre",AlimentsRationLapinsMâles[],4,FALSE),0)+(IF(QualitéAlimentsLapereauFemelle_0_1_mois=MOYENNE,VLOOKUP("Pomme de terre",AlimentsRationLapinsFemelles[],4,FALSE),0)+(IF(QualitéAlimentsJeuneLapin=MOYENNE,VLOOKUP("Pomme de terre",AlimentsRationLapinsMâles[],3,FALSE),0)+(IF(QualitéAlimentsJeuneLapine=MOYENNE,VLOOKUP("Pomme de terre",AlimentsRationLapinsFemelles[],3,FALSE),0)+(IF(QualitéAlimentsLapin=MOYENNE,VLOOKUP("Pomme de terre",AlimentsRationLapinsMâles[],2,FALSE),0)+(IF(QualitéAlimentsLapine=MOYENNE,VLOOKUP("Pomme de terre",AlimentsRationLapinsFemelles[],2,FALSE),0))))))))</f>
        <v>0</v>
      </c>
      <c r="CV178" s="1269">
        <f t="array" ref="CV178">SUM((IF(QualitéAlimentsLapereauMâle_0_1_mois=MAUVAISE,VLOOKUP("Pomme de terre",AlimentsRationLapinsMâles[],4,FALSE),0)+(IF(QualitéAlimentsLapereauFemelle_0_1_mois=MAUVAISE,VLOOKUP("Pomme de terre",AlimentsRationLapinsFemelles[],4,FALSE),0)+(IF(QualitéAlimentsJeuneLapin=MAUVAISE,VLOOKUP("Pomme de terre",AlimentsRationLapinsMâles[],3,FALSE),0)+(IF(QualitéAlimentsJeuneLapine=MAUVAISE,VLOOKUP("Pomme de terre",AlimentsRationLapinsFemelles[],3,FALSE),0)+(IF(QualitéAlimentsLapin=MAUVAISE,VLOOKUP("Pomme de terre",AlimentsRationLapinsMâles[],2,FALSE),0)+(IF(QualitéAlimentsLapine=MAUVAISE,VLOOKUP("Pomme de terre",AlimentsRationLapinsFemelles[],2,FALSE),0))))))))</f>
        <v>0</v>
      </c>
      <c r="CW178" s="1321"/>
      <c r="CX178" s="1321"/>
      <c r="CY178" s="1321"/>
      <c r="CZ178" s="1076" t="str">
        <f t="shared" si="65"/>
        <v>Pulpe déshydratée de betterave</v>
      </c>
      <c r="DA178" s="1267">
        <f t="array" ref="DA178">SUM((IF(QualitéAlimentsPoussinMâle_0_1_mois=BONNE,VLOOKUP("Pulpe déshydratée de betterave",AlimentsRationVolaillesMâles[],4,FALSE),0)+(IF(QualitéAlimentsPoussinFemelle_0_1_mois=BONNE,VLOOKUP("Pulpe déshydratée de betterave",AlimentsRationVolaillesFemelles[],4,FALSE),0)+(IF(QualitéAlimentsJeuneCoq=BONNE,VLOOKUP("Pulpe déshydratée de betterave",AlimentsRationVolaillesMâles[],3,FALSE),0)+(IF(QualitéAlimentsJeunePoule=BONNE,VLOOKUP("Pulpe déshydratée de betterave",AlimentsRationVolaillesFemelles[],3,FALSE),0)+(IF(QualitéAlimentsCoq=BONNE,VLOOKUP("Pulpe déshydratée de betterave",AlimentsRationVolaillesMâles[],2,FALSE),0)+(IF(QualitéAlimentsPoule=BONNE,VLOOKUP("Pulpe déshydratée de betterave",AlimentsRationVolaillesFemelles[],2,FALSE),0))))))))</f>
        <v>0</v>
      </c>
      <c r="DB178" s="1267">
        <f t="array" ref="DB178">SUM((IF(QualitéAlimentsPoussinMâle_0_1_mois=MOYENNE,VLOOKUP("Pulpe déshydratée de betterave",AlimentsRationVolaillesMâles[],4,FALSE),0)+(IF(QualitéAlimentsPoussinFemelle_0_1_mois=MOYENNE,VLOOKUP("Pulpe déshydratée de betterave",AlimentsRationVolaillesFemelles[],4,FALSE),0)+(IF(QualitéAlimentsJeuneCoq=MOYENNE,VLOOKUP("Pulpe déshydratée de betterave",AlimentsRationVolaillesMâles[],3,FALSE),0)+(IF(QualitéAlimentsJeunePoule=MOYENNE,VLOOKUP("Pulpe déshydratée de betterave",AlimentsRationVolaillesFemelles[],3,FALSE),0)+(IF(QualitéAlimentsCoq=MOYENNE,VLOOKUP("Pulpe déshydratée de betterave",AlimentsRationVolaillesMâles[],2,FALSE),0)+(IF(QualitéAlimentsPoule=MOYENNE,VLOOKUP("Pulpe déshydratée de betterave",AlimentsRationVolaillesFemelles[],2,FALSE),0))))))))</f>
        <v>0</v>
      </c>
      <c r="DC178" s="1267">
        <f t="array" ref="DC178">SUM((IF(QualitéAlimentsPoussinMâle_0_1_mois=MAUVAISE,VLOOKUP("Pulpe déshydratée de betterave",AlimentsRationVolaillesMâles[],4,FALSE),0)+(IF(QualitéAlimentsPoussinFemelle_0_1_mois=MAUVAISE,VLOOKUP("Pulpe déshydratée de betterave",AlimentsRationVolaillesFemelles[],4,FALSE),0)+(IF(QualitéAlimentsJeuneCoq=MAUVAISE,VLOOKUP("Pulpe déshydratée de betterave",AlimentsRationVolaillesMâles[],3,FALSE),0)+(IF(QualitéAlimentsJeunePoule=MAUVAISE,VLOOKUP("Pulpe déshydratée de betterave",AlimentsRationVolaillesFemelles[],3,FALSE),0)+(IF(QualitéAlimentsCoq=MAUVAISE,VLOOKUP("Pulpe déshydratée de betterave",AlimentsRationVolaillesMâles[],2,FALSE),0)+(IF(QualitéAlimentsPoule=MAUVAISE,VLOOKUP("Pulpe déshydratée de betterave",AlimentsRationVolaillesFemelles[],2,FALSE),0))))))))</f>
        <v>0</v>
      </c>
      <c r="DD178" s="1321"/>
      <c r="DE178" s="1321"/>
      <c r="DF178" s="1321"/>
      <c r="DG178" s="1076">
        <f t="shared" si="58"/>
        <v>0</v>
      </c>
      <c r="DH178" s="1267"/>
      <c r="DI178" s="1267"/>
      <c r="DJ178" s="1267"/>
      <c r="DK178" s="1321"/>
      <c r="DL178" s="1321"/>
      <c r="DM178" s="1321"/>
      <c r="DN178" s="1076" t="s">
        <v>671</v>
      </c>
      <c r="DO178" s="1267">
        <f t="array" ref="DO178">IF(ChoixRationComplèteOvins=OUI,0,IFERROR(IF(OR(AND(INDEX(Règles_ovins[Specificite],MATCH(ChoixRationOvins&amp;$DN178,Règles_ovins[Ration]&amp;Règles_ovins[Aliment],0))="s1",IF($DN178=Spécificité1Ovins,1)),
AND(INDEX(Règles_ovins[Specificite],MATCH(ChoixRationOvins&amp;$DN178,Règles_ovins[Ration]&amp;Règles_ovins[Aliment],0))="s2",IF($DN178=Spécificité2Ovins,1)),
INDEX(Règles_ovins[Specificite],MATCH(ChoixRationOvins&amp;$DN178,Règles_ovins[Ration]&amp;Règles_ovins[Aliment],0))="c"),
INDEX(Règles_ovins[Valeur 12 et plus],MATCH(ChoixRationOvins&amp;$DN178,Règles_ovins[Ration]&amp;Règles_ovins[Aliment],0)),0),0)*IF(ChoixOvinsPréHiver=OUI,SUM(TotalOvinsAdultesRacesLaitières)*NbreJoursNourrirOvins,TotalBéliers*SUM(NbreJoursNourrirOvins)))</f>
        <v>0</v>
      </c>
      <c r="DP178" s="1267">
        <f t="array" ref="DP178">IF(ChoixRationComplèteOvins=OUI,0,IFERROR(IF(OR(AND(INDEX(Règles_ovins[Specificite],MATCH(ChoixRationOvins&amp;$DN178,Règles_ovins[Ration]&amp;Règles_ovins[Aliment],0))="s1",IF($DN178=Spécificité1Ovins,1)),
AND(INDEX(Règles_ovins[Specificite],MATCH(ChoixRationOvins&amp;$DN178,Règles_ovins[Ration]&amp;Règles_ovins[Aliment],0))="s2",IF($DN178=Spécificité2Ovins,1)),
INDEX(Règles_ovins[Specificite],MATCH(ChoixRationOvins&amp;$DN178,Règles_ovins[Ration]&amp;Règles_ovins[Aliment],0))="c"),
INDEX(Règles_ovins[Valeur 6-12],MATCH(ChoixRationOvins&amp;$DN178,Règles_ovins[Ration]&amp;Règles_ovins[Aliment],0)),0),0)*IF(ChoixOvinsPréHiver=OUI,SUM(TotalJeunesOvinsRacesLaitières)*NbreJoursNourrirOvins,TotalJeune_bélier_6_12_mois*SUM(NbreJoursNourrirOvins)))</f>
        <v>0</v>
      </c>
      <c r="DQ178" s="1267">
        <f t="array" ref="DQ178">IF(ChoixRationComplèteOvins=OUI,0,IFERROR(IF(OR(AND(INDEX(Règles_ovins[Specificite],MATCH(ChoixRationOvins&amp;$DN178,Règles_ovins[Ration]&amp;Règles_ovins[Aliment],0))="s1",IF($DN178=Spécificité1Ovins,1)),
AND(INDEX(Règles_ovins[Specificite],MATCH(ChoixRationOvins&amp;$DN178,Règles_ovins[Ration]&amp;Règles_ovins[Aliment],0))="s2",IF($DN178=Spécificité2Ovins,1)),
INDEX(Règles_ovins[Specificite],MATCH(ChoixRationOvins&amp;$DN178,Règles_ovins[Ration]&amp;Règles_ovins[Aliment],0))="c"),
INDEX(Règles_ovins[Valeur 3-6],MATCH(ChoixRationOvins&amp;$DN178,Règles_ovins[Ration]&amp;Règles_ovins[Aliment],0)),0),0)*IF(ChoixOvinsPréHiver=OUI,SUM(TotalOvins_3_6moisRacesLaitières)*NbreJoursNourrirOvins,TotalAgneau_3_6_mois*SUM(NbreJoursNourrirOvins)))</f>
        <v>0</v>
      </c>
      <c r="DR178" s="1267">
        <f t="array" ref="DR178">IF(ChoixRationComplèteOvins=OUI,0,IFERROR(IF(OR(AND(INDEX(Règles_ovins[Specificite],MATCH(ChoixRationOvins&amp;$DN178,Règles_ovins[Ration]&amp;Règles_ovins[Aliment],0))="s1",IF($DN178=Spécificité1Ovins,1)),
AND(INDEX(Règles_ovins[Specificite],MATCH(ChoixRationOvins&amp;$DN178,Règles_ovins[Ration]&amp;Règles_ovins[Aliment],0))="s2",IF($DN178=Spécificité2Ovins,1)),
INDEX(Règles_ovins[Specificite],MATCH(ChoixRationOvins&amp;$DN178,Règles_ovins[Ration]&amp;Règles_ovins[Aliment],0))="c"),
INDEX(Règles_ovins[Valeur 0-3],MATCH(ChoixRationOvins&amp;$DN178,Règles_ovins[Ration]&amp;Règles_ovins[Aliment],0)),0),0)*IF(ChoixOvinsPréHiver=OUI,SUM(TotalOvins_3_6moisRacesLaitières)*NbreJoursNourrirOvins,TotalAgneau_0_3_mois*SUM(NbreJoursNourrirOvins)))</f>
        <v>0</v>
      </c>
      <c r="DS178" s="1279">
        <f t="shared" si="61"/>
        <v>0</v>
      </c>
      <c r="DT178" s="1346"/>
      <c r="DU178" s="1346"/>
      <c r="DV178" s="1321"/>
      <c r="DW178" s="1321"/>
      <c r="DX178" s="1321"/>
      <c r="DY178" s="1321"/>
      <c r="DZ178" s="1321"/>
      <c r="EA178" s="1321"/>
      <c r="EB178" s="1321"/>
      <c r="EC178" s="1321"/>
      <c r="ED178" s="1345"/>
      <c r="EE178" s="1345"/>
      <c r="EF178" s="1321"/>
      <c r="EG178" s="1076" t="str">
        <f t="shared" si="63"/>
        <v>Sorgho ensilé</v>
      </c>
      <c r="EH178" s="1267">
        <f t="array" ref="EH178">SUM((IF(QualitéAlimentsOisonMâle_0_3_mois=BONNE,VLOOKUP("Sorgho ensilé",AlimentsRationOiesMâles[],4,FALSE),0)+(IF(QualitéAlimentsOisonFemelle_0_3_mois=BONNE,VLOOKUP("Sorgho ensilé",AlimentsRationOiesFemelles[],4,FALSE),0)+(IF(QualitéAlimentsJeuneJars=BONNE,VLOOKUP("Sorgho ensilé",AlimentsRationOiesMâles[],3,FALSE),0)+(IF(QualitéAlimentsJeuneOie=BONNE,VLOOKUP("Sorgho ensilé",AlimentsRationOiesFemelles[],3,FALSE),0)+(IF(QualitéAlimentsJars=BONNE,VLOOKUP("Sorgho ensilé",AlimentsRationOiesMâles[],2,FALSE),0)+(IF(QualitéAlimentsOie=BONNE,VLOOKUP("Sorgho ensilé",AlimentsRationOiesFemelles[],2,FALSE),0))))))))</f>
        <v>0</v>
      </c>
      <c r="EI178" s="1267">
        <f t="array" ref="EI178">SUM((IF(QualitéAlimentsOisonMâle_0_3_mois=MOYENNE,VLOOKUP("Sorgho ensilé",AlimentsRationOiesMâles[],4,FALSE),0)+(IF(QualitéAlimentsOisonFemelle_0_3_mois=MOYENNE,VLOOKUP("Sorgho ensilé",AlimentsRationOiesFemelles[],4,FALSE),0)+(IF(QualitéAlimentsJeuneJars=MOYENNE,VLOOKUP("Sorgho ensilé",AlimentsRationOiesMâles[],3,FALSE),0)+(IF(QualitéAlimentsJeuneOie=MOYENNE,VLOOKUP("Sorgho ensilé",AlimentsRationOiesFemelles[],3,FALSE),0)+(IF(QualitéAlimentsJars=MOYENNE,VLOOKUP("Sorgho ensilé",AlimentsRationOiesMâles[],2,FALSE),0)+(IF(QualitéAlimentsOie=MOYENNE,VLOOKUP("Sorgho ensilé",AlimentsRationOiesFemelles[],2,FALSE),0))))))))</f>
        <v>0</v>
      </c>
      <c r="EJ178" s="1267">
        <f t="array" ref="EJ178">SUM((IF(QualitéAlimentsOisonMâle_0_3_mois=MAUVAISE,VLOOKUP("Sorgho ensilé",AlimentsRationOiesMâles[],4,FALSE),0)+(IF(QualitéAlimentsOisonFemelle_0_3_mois=MAUVAISE,VLOOKUP("Sorgho ensilé",AlimentsRationOiesFemelles[],4,FALSE),0)+(IF(QualitéAlimentsJeuneJars=MAUVAISE,VLOOKUP("Sorgho ensilé",AlimentsRationOiesMâles[],3,FALSE),0)+(IF(QualitéAlimentsJeuneOie=MAUVAISE,VLOOKUP("Sorgho ensilé",AlimentsRationOiesFemelles[],3,FALSE),0)+(IF(QualitéAlimentsJars=MAUVAISE,VLOOKUP("Sorgho ensilé",AlimentsRationOiesMâles[],2,FALSE),0)+(IF(QualitéAlimentsOie=MAUVAISE,VLOOKUP("Sorgho ensilé",AlimentsRationOiesFemelles[],2,FALSE),0))))))))</f>
        <v>0</v>
      </c>
      <c r="EK178" s="1345"/>
      <c r="EL178" s="1345"/>
      <c r="EM178" s="1321"/>
      <c r="EN178" s="1083" t="str">
        <f t="shared" si="62"/>
        <v>Tournesol</v>
      </c>
      <c r="EO178" s="1283">
        <f t="array" ref="EO178">SUM((IF(QualitéAlimentsCanetonMâle=BONNE,VLOOKUP("Tournesol",AlimentsRationCanardsMâles,4,FALSE),0)+(IF(QualitéAlimentsCanetonFemelle=BONNE,VLOOKUP("Tournesol",AlimentsRationCanardsFemelles,4,FALSE),0)+(IF(QualitéAlimentsJeuneCanard=BONNE,VLOOKUP("Tournesol",AlimentsRationCanardsMâles,3,FALSE),0)+(IF(QualitéAlimentsJeuneCane=BONNE,VLOOKUP("Tournesol",AlimentsRationCanardsFemelles,3,FALSE),0)+(IF(QualitéAlimentsCanard=BONNE,VLOOKUP("Tournesol",AlimentsRationCanardsMâles,2,FALSE),0)+(IF(QualitéAlimentsCane=BONNE,VLOOKUP("Tournesol",AlimentsRationCanardsFemelles,2,FALSE),0))))))))</f>
        <v>0</v>
      </c>
      <c r="EP178" s="1283">
        <f t="array" ref="EP178">SUM((IF(QualitéAlimentsCanetonMâle=MOYENNE,VLOOKUP("Tournesol",AlimentsRationCanardsMâles,4,FALSE),0)+(IF(QualitéAlimentsCanetonFemelle=MOYENNE,VLOOKUP("Tournesol",AlimentsRationCanardsFemelles,4,FALSE),0)+(IF(QualitéAlimentsJeuneCanard=MOYENNE,VLOOKUP("Tournesol",AlimentsRationCanardsMâles,3,FALSE),0)+(IF(QualitéAlimentsJeuneCane=MOYENNE,VLOOKUP("Tournesol",AlimentsRationCanardsFemelles,3,FALSE),0)+(IF(QualitéAlimentsCanard=MOYENNE,VLOOKUP("Tournesol",AlimentsRationCanardsMâles,2,FALSE),0)+(IF(QualitéAlimentsCane=MOYENNE,VLOOKUP("Tournesol",AlimentsRationCanardsFemelles,2,FALSE),0))))))))</f>
        <v>0</v>
      </c>
      <c r="EQ178" s="1283">
        <f t="array" ref="EQ178">SUM((IF(QualitéAlimentsCanetonMâle=MAUVAISE,VLOOKUP("Tournesol",AlimentsRationCanardsMâles,4,FALSE),0)+(IF(QualitéAlimentsCanetonFemelle=MAUVAISE,VLOOKUP("Tournesol",AlimentsRationCanardsFemelles,4,FALSE),0)+(IF(QualitéAlimentsJeuneCanard=MAUVAISE,VLOOKUP("Tournesol",AlimentsRationCanardsMâles,3,FALSE),0)+(IF(QualitéAlimentsJeuneCane=MAUVAISE,VLOOKUP("Tournesol",AlimentsRationCanardsFemelles,3,FALSE),0)+(IF(QualitéAlimentsCanard=MAUVAISE,VLOOKUP("Tournesol",AlimentsRationCanardsMâles,2,FALSE),0)+(IF(QualitéAlimentsCane=MAUVAISE,VLOOKUP("Tournesol",AlimentsRationCanardsFemelles,2,FALSE),0))))))))</f>
        <v>0</v>
      </c>
      <c r="ER178" s="1345"/>
      <c r="ES178" s="1345"/>
      <c r="ET178" s="1321"/>
      <c r="EU178" s="1082" t="str">
        <f t="shared" si="60"/>
        <v>Tourteau de colza</v>
      </c>
      <c r="EV178" s="1282">
        <f t="array" ref="EV178">IF(OR(ChoixRationHivernaleComplèteChevauxSelle=OUI,ChoixRationHivernaleComplèteChevauxSelle="",ChoixChevauxSellePréHiver=NON),0,IFERROR(IF(OR(AND(INDEX(Règles_chevaux_selle[Specificite],MATCH(RationHivernaleAuPréChevauxSelle&amp;$EU178,Règles_chevaux_selle[Ration]&amp;Règles_chevaux_selle[Aliment],0))="s1",IF($EU178=Spécificité1ChevauxSelle,1)),
AND(INDEX(Règles_chevaux_selle[Specificite],MATCH(RationHivernaleAuPréChevauxSelle&amp;$EU178,Règles_chevaux_selle[Ration]&amp;Règles_chevaux_selle[Aliment],0))="s2",IF($EU178=Spécificité2ChevauxSelle,1)),
INDEX(Règles_chevaux_selle[Specificite],MATCH(RationHivernaleAuPréChevauxSelle&amp;$EU178,Règles_chevaux_selle[Ration]&amp;Règles_chevaux_selle[Aliment],0))="c"),
INDEX(Règles_chevaux_selle[Valeur 36 et plus],MATCH(RationHivernaleAuPréChevauxSelle&amp;$EU178,Règles_chevaux_selle[Ration]&amp;Règles_chevaux_selle[Aliment],0)),0),0)*SUM(TotalChevauxSelleAdultes)*21)</f>
        <v>0</v>
      </c>
      <c r="EW178" s="1282">
        <f t="array" ref="EW178">IF(OR(ChoixRationHivernaleComplèteChevauxSelle=OUI,ChoixRationHivernaleComplèteChevauxSelle="",ChoixChevauxSellePréHiver=NON),0,IFERROR(IF(OR(AND(INDEX(Règles_chevaux_selle[Specificite],MATCH(RationHivernaleAuPréChevauxSelle&amp;$EU178,Règles_chevaux_selle[Ration]&amp;Règles_chevaux_selle[Aliment],0))="s1",IF($EU178=Spécificité1ChevauxSelle,1)),
AND(INDEX(Règles_chevaux_selle[Specificite],MATCH(RationHivernaleAuPréChevauxSelle&amp;$EU178,Règles_chevaux_selle[Ration]&amp;Règles_chevaux_selle[Aliment],0))="s2",IF($EU178=Spécificité2ChevauxSelle,1)),
INDEX(Règles_chevaux_selle[Specificite],MATCH(RationHivernaleAuPréChevauxSelle&amp;$EU178,Règles_chevaux_selle[Ration]&amp;Règles_chevaux_selle[Aliment],0))="c"),
INDEX(Règles_chevaux_selle[Valeur 24-36],MATCH(RationHivernaleAuPréChevauxSelle&amp;$EU178,Règles_chevaux_selle[Ration]&amp;Règles_chevaux_selle[Aliment],0)),0),0)*SUM(TotalChevauxSelle_24_36mois)*21)</f>
        <v>0</v>
      </c>
      <c r="EX178" s="1282">
        <f t="array" ref="EX178">IF(OR(ChoixRationHivernaleComplèteChevauxSelle=OUI,ChoixRationHivernaleComplèteChevauxSelle="",ChoixChevauxSellePréHiver=NON),0,IFERROR(IF(OR(AND(INDEX(Règles_chevaux_selle[Specificite],MATCH(RationHivernaleAuPréChevauxSelle&amp;$EU178,Règles_chevaux_selle[Ration]&amp;Règles_chevaux_selle[Aliment],0))="s1",IF($EU178=Spécificité1ChevauxSelle,1)),
AND(INDEX(Règles_chevaux_selle[Specificite],MATCH(RationHivernaleAuPréChevauxSelle&amp;$EU178,Règles_chevaux_selle[Ration]&amp;Règles_chevaux_selle[Aliment],0))="s2",IF($EU178=Spécificité2ChevauxSelle,1)),
INDEX(Règles_chevaux_selle[Specificite],MATCH(RationHivernaleAuPréChevauxSelle&amp;$EU178,Règles_chevaux_selle[Ration]&amp;Règles_chevaux_selle[Aliment],0))="c"),
INDEX(Règles_chevaux_selle[Valeur 12-24],MATCH(RationHivernaleAuPréChevauxSelle&amp;$EU178,Règles_chevaux_selle[Ration]&amp;Règles_chevaux_selle[Aliment],0)),0),0)*SUM(TotalChevauxSelle_12_24mois)*21)</f>
        <v>0</v>
      </c>
      <c r="EY178" s="1285">
        <f t="array" ref="EY178">IF(OR(ChoixRationHivernaleComplèteChevauxSelle=OUI,ChoixRationHivernaleComplèteChevauxSelle="",ChoixChevauxSellePréHiver=NON),0,IFERROR(IF(OR(AND(INDEX(Règles_chevaux_selle[Specificite],MATCH(RationHivernaleAuPréChevauxSelle&amp;$EU178,Règles_chevaux_selle[Ration]&amp;Règles_chevaux_selle[Aliment],0))="s1",IF($EU178=Spécificité1ChevauxSelle,1)),
AND(INDEX(Règles_chevaux_selle[Specificite],MATCH(RationHivernaleAuPréChevauxSelle&amp;$EU178,Règles_chevaux_selle[Ration]&amp;Règles_chevaux_selle[Aliment],0))="s2",IF($EU178=Spécificité2ChevauxSelle,1)),
INDEX(Règles_chevaux_selle[Specificite],MATCH(RationHivernaleAuPréChevauxSelle&amp;$EU178,Règles_chevaux_selle[Ration]&amp;Règles_chevaux_selle[Aliment],0))="c"),
INDEX(Règles_chevaux_selle[Valeur 0-12],MATCH(RationHivernaleAuPréChevauxSelle&amp;$EU178,Règles_chevaux_selle[Ration]&amp;Règles_chevaux_selle[Aliment],0)),0),0)*SUM(TotalPoulainsSelle)*21)</f>
        <v>0</v>
      </c>
      <c r="EZ178" s="1285">
        <f t="shared" si="59"/>
        <v>0</v>
      </c>
      <c r="FA178" s="1345"/>
      <c r="FB178" s="1345"/>
      <c r="FC178" s="1321"/>
      <c r="FD178" s="1082">
        <f t="shared" si="55"/>
        <v>0</v>
      </c>
      <c r="FE178" s="1282">
        <f t="array" ref="FE178">IF(OR(ChoixRationHivernaleComplèteChevauxTrait=OUI,ChoixRationHivernaleComplèteChevauxTrait="",ChoixChevauxTraitPréHiver=NON),0,IFERROR(IF(OR(AND(INDEX(Règles_chevaux_trait[Specificite],MATCH(RationHivernaleAuPréChevauxTrait&amp;$FD178,Règles_chevaux_trait[Ration]&amp;Règles_chevaux_trait[Aliment],0))="s1",IF($FD178=Spécificité1ChevauxTrait,1)),
AND(INDEX(Règles_chevaux_trait[Specificite],MATCH(RationHivernaleAuPréChevauxTrait&amp;$FD178,Règles_chevaux_trait[Ration]&amp;Règles_chevaux_trait[Aliment],0))="s2",IF($FD178=Spécificité2ChevauxTrait,1)),
INDEX(Règles_chevaux_trait[Specificite],MATCH(RationHivernaleAuPréChevauxTrait&amp;$FD178,Règles_chevaux_trait[Ration]&amp;Règles_chevaux_trait[Aliment],0))="c"),
INDEX(Règles_chevaux_trait[Valeur 36 et plus],MATCH(RationHivernaleAuPréChevauxTrait&amp;$FD178,Règles_chevaux_trait[Ration]&amp;Règles_chevaux_trait[Aliment],0)),0),0)*SUM(TotalChevauxTraitAdultes)*21)</f>
        <v>0</v>
      </c>
      <c r="FF178" s="1282">
        <f t="array" ref="FF178">IF(OR(ChoixRationHivernaleComplèteChevauxTrait=OUI,ChoixRationHivernaleComplèteChevauxTrait="",ChoixChevauxTraitPréHiver=NON),0,IFERROR(IF(OR(AND(INDEX(Règles_chevaux_trait[Specificite],MATCH(RationHivernaleAuPréChevauxTrait&amp;$FD178,Règles_chevaux_trait[Ration]&amp;Règles_chevaux_trait[Aliment],0))="s1",IF($FD178=Spécificité1ChevauxTrait,1)),
AND(INDEX(Règles_chevaux_trait[Specificite],MATCH(RationHivernaleAuPréChevauxTrait&amp;$FD178,Règles_chevaux_trait[Ration]&amp;Règles_chevaux_trait[Aliment],0))="s2",IF($FD178=Spécificité2ChevauxTrait,1)),
INDEX(Règles_chevaux_trait[Specificite],MATCH(RationHivernaleAuPréChevauxTrait&amp;$FD178,Règles_chevaux_trait[Ration]&amp;Règles_chevaux_trait[Aliment],0))="c"),
INDEX(Règles_chevaux_trait[Valeur 24-36],MATCH(RationHivernaleAuPréChevauxTrait&amp;$FD178,Règles_chevaux_trait[Ration]&amp;Règles_chevaux_trait[Aliment],0)),0),0)*SUM(TotalChevauxTrait_24_36mois)*21)</f>
        <v>0</v>
      </c>
      <c r="FG178" s="1282">
        <f t="array" ref="FG178">IF(OR(ChoixRationHivernaleComplèteChevauxTrait=OUI,ChoixRationHivernaleComplèteChevauxTrait="",ChoixChevauxTraitPréHiver=NON),0,IFERROR(IF(OR(AND(INDEX(Règles_chevaux_trait[Specificite],MATCH(RationHivernaleAuPréChevauxTrait&amp;$FD178,Règles_chevaux_trait[Ration]&amp;Règles_chevaux_trait[Aliment],0))="s1",IF($FD178=Spécificité1ChevauxTrait,1)),
AND(INDEX(Règles_chevaux_trait[Specificite],MATCH(RationHivernaleAuPréChevauxTrait&amp;$FD178,Règles_chevaux_trait[Ration]&amp;Règles_chevaux_trait[Aliment],0))="s2",IF($FD178=Spécificité2ChevauxTrait,1)),
INDEX(Règles_chevaux_trait[Specificite],MATCH(RationHivernaleAuPréChevauxTrait&amp;$FD178,Règles_chevaux_trait[Ration]&amp;Règles_chevaux_trait[Aliment],0))="c"),
INDEX(Règles_chevaux_trait[Valeur 12-24],MATCH(RationHivernaleAuPréChevauxTrait&amp;$FD178,Règles_chevaux_trait[Ration]&amp;Règles_chevaux_trait[Aliment],0)),0),0)*SUM(TotalChevauxTrait_12_24mois)*21)</f>
        <v>0</v>
      </c>
      <c r="FH178" s="1285">
        <f t="array" ref="FH178">IF(OR(ChoixRationHivernaleComplèteChevauxTrait=OUI,ChoixRationHivernaleComplèteChevauxTrait="",ChoixChevauxTraitPréHiver=NON),0,IFERROR(IF(OR(AND(INDEX(Règles_chevaux_trait[Specificite],MATCH(RationHivernaleAuPréChevauxTrait&amp;$FD178,Règles_chevaux_trait[Ration]&amp;Règles_chevaux_trait[Aliment],0))="s1",IF($FD178=Spécificité1ChevauxTrait,1)),
AND(INDEX(Règles_chevaux_trait[Specificite],MATCH(RationHivernaleAuPréChevauxTrait&amp;$FD178,Règles_chevaux_trait[Ration]&amp;Règles_chevaux_trait[Aliment],0))="s2",IF($FD178=Spécificité2ChevauxTrait,1)),
INDEX(Règles_chevaux_trait[Specificite],MATCH(RationHivernaleAuPréChevauxTrait&amp;$FD178,Règles_chevaux_trait[Ration]&amp;Règles_chevaux_trait[Aliment],0))="c"),
INDEX(Règles_chevaux_trait[Valeur 0-12],MATCH(RationHivernaleAuPréChevauxTrait&amp;$FD178,Règles_chevaux_trait[Ration]&amp;Règles_chevaux_trait[Aliment],0)),0),0)*SUM(TotalPoulainsTrait)*21)</f>
        <v>0</v>
      </c>
      <c r="FI178" s="1285">
        <f t="shared" si="53"/>
        <v>0</v>
      </c>
      <c r="FJ178" s="1345"/>
      <c r="FK178" s="1345"/>
      <c r="FL178" s="1345"/>
      <c r="FM178" s="1321"/>
      <c r="FN178" s="1083">
        <f t="shared" si="54"/>
        <v>0</v>
      </c>
      <c r="FO178" s="1283">
        <f t="array" ref="FO178">IF(OR(ChoixRationHivernaleComplètePoneys=OUI,ChoixRationHivernaleComplètePoneys="",ChoixPoneysPréHiver=NON),0,IFERROR(IF(OR(AND(INDEX(Règles_poneys[Specificite],MATCH(RationHivernaleAuPréPoneys&amp;$FN178,Règles_poneys[Ration]&amp;Règles_poneys[Aliment],0))="s1",IF($FN178=Spécificité1Poneys,1)),
AND(INDEX(Règles_poneys[Specificite],MATCH(RationHivernaleAuPréPoneys&amp;$FN178,Règles_poneys[Ration]&amp;Règles_poneys[Aliment],0))="s2",IF($FN178=Spécificité2Poneys,1)),
INDEX(Règles_poneys[Specificite],MATCH(RationHivernaleAuPréPoneys&amp;$FN178,Règles_poneys[Ration]&amp;Règles_poneys[Aliment],0))="c"),
INDEX(Règles_poneys[Valeur 36 et plus],MATCH(RationHivernaleAuPréPoneys&amp;$FN178,Règles_poneys[Ration]&amp;Règles_poneys[Aliment],0)),0),0)*SUM(TotalPoneysAdultes)*21)</f>
        <v>0</v>
      </c>
      <c r="FP178" s="1283">
        <f t="array" ref="FP178">IF(OR(ChoixRationHivernaleComplètePoneys=OUI,ChoixRationHivernaleComplètePoneys="",ChoixPoneysPréHiver=NON),0,IFERROR(IF(OR(AND(INDEX(Règles_poneys[Specificite],MATCH(RationHivernaleAuPréPoneys&amp;$FN178,Règles_poneys[Ration]&amp;Règles_poneys[Aliment],0))="s1",IF($FN178=Spécificité1Poneys,1)),
AND(INDEX(Règles_poneys[Specificite],MATCH(RationHivernaleAuPréPoneys&amp;$FN178,Règles_poneys[Ration]&amp;Règles_poneys[Aliment],0))="s2",IF($FN178=Spécificité2Poneys,1)),
INDEX(Règles_poneys[Specificite],MATCH(RationHivernaleAuPréPoneys&amp;$FN178,Règles_poneys[Ration]&amp;Règles_poneys[Aliment],0))="c"),
INDEX(Règles_poneys[Valeur 24-36],MATCH(RationHivernaleAuPréPoneys&amp;$FN178,Règles_poneys[Ration]&amp;Règles_poneys[Aliment],0)),0),0)*SUM(TotalPoneys_24_36mois)*21)</f>
        <v>0</v>
      </c>
      <c r="FQ178" s="1283">
        <f t="array" ref="FQ178">IF(OR(ChoixRationHivernaleComplètePoneys=OUI,ChoixRationHivernaleComplètePoneys="",ChoixPoneysPréHiver=NON),0,IFERROR(IF(OR(AND(INDEX(Règles_poneys[Specificite],MATCH(RationHivernaleAuPréPoneys&amp;$FN178,Règles_poneys[Ration]&amp;Règles_poneys[Aliment],0))="s1",IF($FN178=Spécificité1Poneys,1)),
AND(INDEX(Règles_poneys[Specificite],MATCH(RationHivernaleAuPréPoneys&amp;$FN178,Règles_poneys[Ration]&amp;Règles_poneys[Aliment],0))="s2",IF($FN178=Spécificité2Poneys,1)),
INDEX(Règles_poneys[Specificite],MATCH(RationHivernaleAuPréPoneys&amp;$FN178,Règles_poneys[Ration]&amp;Règles_poneys[Aliment],0))="c"),
INDEX(Règles_poneys[Valeur 12-24],MATCH(RationHivernaleAuPréPoneys&amp;$FN178,Règles_poneys[Ration]&amp;Règles_poneys[Aliment],0)),0),0)*SUM(TotalPoneys_12_24mois)*21)</f>
        <v>0</v>
      </c>
      <c r="FR178" s="1286">
        <f t="array" ref="FR178">IF(OR(ChoixRationHivernaleComplètePoneys=OUI,ChoixRationHivernaleComplètePoneys="",ChoixPoneysPréHiver=NON),0,IFERROR(IF(OR(AND(INDEX(Règles_poneys[Specificite],MATCH(RationHivernaleAuPréPoneys&amp;$FN178,Règles_poneys[Ration]&amp;Règles_poneys[Aliment],0))="s1",IF($FN178=Spécificité1Poneys,1)),
AND(INDEX(Règles_poneys[Specificite],MATCH(RationHivernaleAuPréPoneys&amp;$FN178,Règles_poneys[Ration]&amp;Règles_poneys[Aliment],0))="s2",IF($FN178=Spécificité2Poneys,1)),
INDEX(Règles_poneys[Specificite],MATCH(RationHivernaleAuPréPoneys&amp;$FN178,Règles_poneys[Ration]&amp;Règles_poneys[Aliment],0))="c"),
INDEX(Règles_poneys[Valeur 0-12],MATCH(RationHivernaleAuPréPoneys&amp;$FN178,Règles_poneys[Ration]&amp;Règles_poneys[Aliment],0)),0),0)*SUM(TotalPoulainsPoneys)*21)</f>
        <v>0</v>
      </c>
      <c r="FS178" s="1286">
        <f t="shared" si="52"/>
        <v>0</v>
      </c>
      <c r="FT178" s="1345"/>
      <c r="FU178" s="1345"/>
      <c r="FV178" s="1345"/>
      <c r="FW178" s="1345"/>
      <c r="FX178" s="1345"/>
      <c r="FY178" s="1345"/>
      <c r="FZ178" s="1345"/>
      <c r="GA178" s="1345"/>
      <c r="GB178" s="1345"/>
      <c r="GC178" s="1321"/>
      <c r="GD178" s="1321"/>
      <c r="GE178" s="1321"/>
      <c r="GF178" s="1321"/>
      <c r="GG178" s="1321" t="s">
        <v>1349</v>
      </c>
      <c r="GH178" s="1321" t="s">
        <v>1349</v>
      </c>
      <c r="GI178" s="1321" t="s">
        <v>1349</v>
      </c>
      <c r="GJ178" s="1321" t="s">
        <v>1349</v>
      </c>
      <c r="GK178" s="1321" t="s">
        <v>1349</v>
      </c>
      <c r="GL178" s="1321" t="s">
        <v>1349</v>
      </c>
      <c r="GM178" s="1321" t="s">
        <v>1349</v>
      </c>
      <c r="GN178" s="1321" t="s">
        <v>1349</v>
      </c>
      <c r="GO178" s="1321" t="s">
        <v>1349</v>
      </c>
      <c r="GP178" s="1321" t="s">
        <v>1349</v>
      </c>
      <c r="GQ178" s="1321" t="s">
        <v>1349</v>
      </c>
      <c r="GR178" s="1321" t="s">
        <v>1349</v>
      </c>
      <c r="GS178" s="1321" t="s">
        <v>1349</v>
      </c>
      <c r="GT178" s="1321" t="s">
        <v>1349</v>
      </c>
      <c r="GU178" s="1321" t="s">
        <v>1349</v>
      </c>
      <c r="GV178" s="1321" t="s">
        <v>1349</v>
      </c>
      <c r="GW178" s="1321"/>
      <c r="GX178" s="1321"/>
      <c r="GY178" s="1321"/>
      <c r="GZ178" s="1321"/>
      <c r="HA178" s="1321"/>
      <c r="HB178" s="1321"/>
      <c r="HC178" s="1321"/>
      <c r="HD178" s="1321"/>
      <c r="HE178" s="1321"/>
      <c r="HF178" s="1321"/>
      <c r="HG178" s="1321"/>
      <c r="HH178" s="1321"/>
      <c r="HI178" s="1321"/>
      <c r="HJ178" s="1321"/>
      <c r="HK178" s="1321"/>
      <c r="HL178" s="1321"/>
      <c r="HM178" s="1321"/>
      <c r="HN178" s="1321"/>
      <c r="HO178" s="1321"/>
      <c r="HP178" s="1321"/>
      <c r="HQ178" s="1321"/>
      <c r="HR178" s="1321"/>
      <c r="HS178" s="1321"/>
      <c r="HT178" s="1321"/>
      <c r="HU178" s="1321"/>
      <c r="HV178" s="1321"/>
      <c r="HW178" s="1321"/>
      <c r="HX178" s="1321"/>
      <c r="HY178" s="1321"/>
      <c r="HZ178" s="1321"/>
      <c r="IA178" s="1321"/>
      <c r="IB178" s="1321"/>
      <c r="IC178" s="1321"/>
      <c r="ID178" s="1321"/>
      <c r="IE178" s="1321"/>
      <c r="IF178" s="1321"/>
      <c r="IG178" s="1321"/>
      <c r="IH178" s="1321"/>
      <c r="II178" s="1321"/>
      <c r="IJ178" s="1321"/>
      <c r="IK178" s="1321"/>
      <c r="IL178" s="1321"/>
      <c r="IM178" s="1321"/>
      <c r="IN178" s="1368"/>
    </row>
    <row r="179" spans="1:248" ht="12.75" customHeight="1" x14ac:dyDescent="0.2">
      <c r="A179" s="1307" t="s">
        <v>633</v>
      </c>
      <c r="B179" s="1209">
        <v>0.01</v>
      </c>
      <c r="C179" s="1321"/>
      <c r="D179" s="1253" t="s">
        <v>1636</v>
      </c>
      <c r="E179" s="1254">
        <v>7.3999999999999996E-2</v>
      </c>
      <c r="F179" s="1321"/>
      <c r="G179" s="1321"/>
      <c r="H179" s="1321"/>
      <c r="I179" s="1321"/>
      <c r="J179" s="1321"/>
      <c r="K179" s="1321"/>
      <c r="L179" s="1321"/>
      <c r="M179" s="1321"/>
      <c r="N179" s="1321"/>
      <c r="O179" s="1321"/>
      <c r="P179" s="1321"/>
      <c r="Q179" s="1321"/>
      <c r="R179" s="1321"/>
      <c r="S179" s="1321"/>
      <c r="T179" s="1321"/>
      <c r="U179" s="1321"/>
      <c r="V179" s="1321"/>
      <c r="W179" s="1321"/>
      <c r="X179" s="1321"/>
      <c r="Y179" s="1321"/>
      <c r="Z179" s="1321"/>
      <c r="AA179" s="1321"/>
      <c r="AB179" s="1321"/>
      <c r="AC179" s="1321"/>
      <c r="AD179" s="1321"/>
      <c r="AE179" s="1321"/>
      <c r="AF179" s="1321"/>
      <c r="AG179" s="1321"/>
      <c r="AH179" s="1321"/>
      <c r="AI179" s="1321"/>
      <c r="AJ179" s="1321"/>
      <c r="AK179" s="1321"/>
      <c r="AL179" s="1321"/>
      <c r="AM179" s="1321"/>
      <c r="AN179" s="1321"/>
      <c r="AO179" s="1321"/>
      <c r="AP179" s="1321"/>
      <c r="AQ179" s="1321"/>
      <c r="AR179" s="1321"/>
      <c r="AS179" s="1321"/>
      <c r="AT179" s="1321"/>
      <c r="AU179" s="1321"/>
      <c r="AV179" s="1321"/>
      <c r="AW179" s="1321"/>
      <c r="AX179" s="1321"/>
      <c r="AY179" s="1321"/>
      <c r="AZ179" s="1321"/>
      <c r="BA179" s="1321"/>
      <c r="BB179" s="1236" t="s">
        <v>1134</v>
      </c>
      <c r="BC179" s="1190" t="s">
        <v>715</v>
      </c>
      <c r="BD179" s="1190" t="s">
        <v>1254</v>
      </c>
      <c r="BE179" s="1237">
        <v>2.2000000000000002</v>
      </c>
      <c r="BF179" s="1237">
        <v>1.8</v>
      </c>
      <c r="BG179" s="1237">
        <v>1.4</v>
      </c>
      <c r="BH179" s="1237">
        <v>1</v>
      </c>
      <c r="BI179" s="1237">
        <v>0.8</v>
      </c>
      <c r="BJ179" s="1237">
        <v>0.6</v>
      </c>
      <c r="BK179" s="1238">
        <v>0</v>
      </c>
      <c r="BL179" s="1321"/>
      <c r="BM179" s="1346"/>
      <c r="BN179" s="1321"/>
      <c r="BO179" s="1321"/>
      <c r="BP179" s="1321"/>
      <c r="BQ179" s="1321"/>
      <c r="BR179" s="1321"/>
      <c r="BS179" s="1321"/>
      <c r="BT179" s="1321"/>
      <c r="BU179" s="1321"/>
      <c r="BV179" s="1345"/>
      <c r="BW179" s="1345"/>
      <c r="BX179" s="1321"/>
      <c r="BY179" s="1321"/>
      <c r="BZ179" s="1321"/>
      <c r="CA179" s="1321"/>
      <c r="CB179" s="1345"/>
      <c r="CC179" s="1345"/>
      <c r="CD179" s="1345"/>
      <c r="CE179" s="1345"/>
      <c r="CF179" s="1345"/>
      <c r="CG179" s="1345"/>
      <c r="CH179" s="1345"/>
      <c r="CI179" s="1321"/>
      <c r="CJ179" s="1321"/>
      <c r="CK179" s="1321"/>
      <c r="CL179" s="1321"/>
      <c r="CM179" s="1318"/>
      <c r="CN179" s="1318"/>
      <c r="CO179" s="1318"/>
      <c r="CP179" s="1318"/>
      <c r="CQ179" s="1318"/>
      <c r="CR179" s="1318"/>
      <c r="CS179" s="1076" t="str">
        <f t="shared" si="66"/>
        <v>Pulpe déshydratée de betterave</v>
      </c>
      <c r="CT179" s="1267">
        <f t="array" ref="CT179">SUM((IF(QualitéAlimentsLapereauMâle_0_1_mois=BONNE,VLOOKUP("Pulpe déshydratée de betterave",AlimentsRationLapinsMâles[],4,FALSE),0)+(IF(QualitéAlimentsLapereauFemelle_0_1_mois=BONNE,VLOOKUP("Pulpe déshydratée de betterave",AlimentsRationLapinsFemelles[],4,FALSE),0)+(IF(QualitéAlimentsJeuneLapin=BONNE,VLOOKUP("Pulpe déshydratée de betterave",AlimentsRationLapinsMâles[],3,FALSE),0)+(IF(QualitéAlimentsJeuneLapine=BONNE,VLOOKUP("Pulpe déshydratée de betterave",AlimentsRationLapinsFemelles[],3,FALSE),0)+(IF(QualitéAlimentsLapin=BONNE,VLOOKUP("Pulpe déshydratée de betterave",AlimentsRationLapinsMâles[],2,FALSE),0)+(IF(QualitéAlimentsLapine=BONNE,VLOOKUP("Pulpe déshydratée de betterave",AlimentsRationLapinsFemelles[],2,FALSE),0))))))))</f>
        <v>0</v>
      </c>
      <c r="CU179" s="1267">
        <f t="array" ref="CU179">SUM((IF(QualitéAlimentsLapereauMâle_0_1_mois=MOYENNE,VLOOKUP("Pulpe déshydratée de betterave",AlimentsRationLapinsMâles[],4,FALSE),0)+(IF(QualitéAlimentsLapereauFemelle_0_1_mois=MOYENNE,VLOOKUP("Pulpe déshydratée de betterave",AlimentsRationLapinsFemelles[],4,FALSE),0)+(IF(QualitéAlimentsJeuneLapin=MOYENNE,VLOOKUP("Pulpe déshydratée de betterave",AlimentsRationLapinsMâles[],3,FALSE),0)+(IF(QualitéAlimentsJeuneLapine=MOYENNE,VLOOKUP("Pulpe déshydratée de betterave",AlimentsRationLapinsFemelles[],3,FALSE),0)+(IF(QualitéAlimentsLapin=MOYENNE,VLOOKUP("Pulpe déshydratée de betterave",AlimentsRationLapinsMâles[],2,FALSE),0)+(IF(QualitéAlimentsLapine=MOYENNE,VLOOKUP("Pulpe déshydratée de betterave",AlimentsRationLapinsFemelles[],2,FALSE),0))))))))</f>
        <v>0</v>
      </c>
      <c r="CV179" s="1267">
        <f t="array" ref="CV179">SUM((IF(QualitéAlimentsLapereauMâle_0_1_mois=MAUVAISE,VLOOKUP("Pulpe déshydratée de betterave",AlimentsRationLapinsMâles[],4,FALSE),0)+(IF(QualitéAlimentsLapereauFemelle_0_1_mois=MAUVAISE,VLOOKUP("Pulpe déshydratée de betterave",AlimentsRationLapinsFemelles[],4,FALSE),0)+(IF(QualitéAlimentsJeuneLapin=MAUVAISE,VLOOKUP("Pulpe déshydratée de betterave",AlimentsRationLapinsMâles[],3,FALSE),0)+(IF(QualitéAlimentsJeuneLapine=MAUVAISE,VLOOKUP("Pulpe déshydratée de betterave",AlimentsRationLapinsFemelles[],3,FALSE),0)+(IF(QualitéAlimentsLapin=MAUVAISE,VLOOKUP("Pulpe déshydratée de betterave",AlimentsRationLapinsMâles[],2,FALSE),0)+(IF(QualitéAlimentsLapine=MAUVAISE,VLOOKUP("Pulpe déshydratée de betterave",AlimentsRationLapinsFemelles[],2,FALSE),0))))))))</f>
        <v>0</v>
      </c>
      <c r="CW179" s="1321"/>
      <c r="CX179" s="1321"/>
      <c r="CY179" s="1321"/>
      <c r="CZ179" s="1075" t="str">
        <f t="shared" si="65"/>
        <v>Ration complète</v>
      </c>
      <c r="DA179" s="1269">
        <f>IF(ChoixRationComplètePoules&lt;&gt;OUI,0,IF(QualitéRationComplèteVolailles=BONNE,Ration_complète_volailles[somme],0))</f>
        <v>0</v>
      </c>
      <c r="DB179" s="1269">
        <f>IF(ChoixRationComplètePoules&lt;&gt;OUI,0,IF(QualitéRationComplèteVolailles=MOYENNE,Ration_complète_volailles[somme],0))</f>
        <v>0</v>
      </c>
      <c r="DC179" s="1269">
        <f>IF(ChoixRationComplètePoules&lt;&gt;OUI,0,IF(QualitéRationComplèteVolailles=MAUVAISE,Ration_complète_volailles[somme],0))</f>
        <v>0</v>
      </c>
      <c r="DD179" s="1321"/>
      <c r="DE179" s="1321"/>
      <c r="DF179" s="1321"/>
      <c r="DG179" s="1075">
        <f t="shared" si="58"/>
        <v>0</v>
      </c>
      <c r="DH179" s="1269"/>
      <c r="DI179" s="1269"/>
      <c r="DJ179" s="1269"/>
      <c r="DK179" s="1321"/>
      <c r="DL179" s="1321"/>
      <c r="DM179" s="1321"/>
      <c r="DN179" s="1075" t="s">
        <v>296</v>
      </c>
      <c r="DO179" s="1269">
        <f t="array" ref="DO179">IF(ChoixRationComplèteOvins=OUI,0,IFERROR(IF(OR(AND(INDEX(Règles_ovins[Specificite],MATCH(ChoixRationOvins&amp;$DN179,Règles_ovins[Ration]&amp;Règles_ovins[Aliment],0))="s1",IF($DN179=Spécificité1Ovins,1)),
AND(INDEX(Règles_ovins[Specificite],MATCH(ChoixRationOvins&amp;$DN179,Règles_ovins[Ration]&amp;Règles_ovins[Aliment],0))="s2",IF($DN179=Spécificité2Ovins,1)),
INDEX(Règles_ovins[Specificite],MATCH(ChoixRationOvins&amp;$DN179,Règles_ovins[Ration]&amp;Règles_ovins[Aliment],0))="c"),
INDEX(Règles_ovins[Valeur 12 et plus],MATCH(ChoixRationOvins&amp;$DN179,Règles_ovins[Ration]&amp;Règles_ovins[Aliment],0)),0),0)*IF(ChoixOvinsPréHiver=OUI,SUM(TotalOvinsAdultesRacesLaitières)*NbreJoursNourrirOvins,TotalBéliers*SUM(NbreJoursNourrirOvins)))</f>
        <v>0</v>
      </c>
      <c r="DP179" s="1269">
        <f t="array" ref="DP179">IF(ChoixRationComplèteOvins=OUI,0,IFERROR(IF(OR(AND(INDEX(Règles_ovins[Specificite],MATCH(ChoixRationOvins&amp;$DN179,Règles_ovins[Ration]&amp;Règles_ovins[Aliment],0))="s1",IF($DN179=Spécificité1Ovins,1)),
AND(INDEX(Règles_ovins[Specificite],MATCH(ChoixRationOvins&amp;$DN179,Règles_ovins[Ration]&amp;Règles_ovins[Aliment],0))="s2",IF($DN179=Spécificité2Ovins,1)),
INDEX(Règles_ovins[Specificite],MATCH(ChoixRationOvins&amp;$DN179,Règles_ovins[Ration]&amp;Règles_ovins[Aliment],0))="c"),
INDEX(Règles_ovins[Valeur 6-12],MATCH(ChoixRationOvins&amp;$DN179,Règles_ovins[Ration]&amp;Règles_ovins[Aliment],0)),0),0)*IF(ChoixOvinsPréHiver=OUI,SUM(TotalJeunesOvinsRacesLaitières)*NbreJoursNourrirOvins,TotalJeune_bélier_6_12_mois*SUM(NbreJoursNourrirOvins)))</f>
        <v>0</v>
      </c>
      <c r="DQ179" s="1269">
        <f t="array" ref="DQ179">IF(ChoixRationComplèteOvins=OUI,0,IFERROR(IF(OR(AND(INDEX(Règles_ovins[Specificite],MATCH(ChoixRationOvins&amp;$DN179,Règles_ovins[Ration]&amp;Règles_ovins[Aliment],0))="s1",IF($DN179=Spécificité1Ovins,1)),
AND(INDEX(Règles_ovins[Specificite],MATCH(ChoixRationOvins&amp;$DN179,Règles_ovins[Ration]&amp;Règles_ovins[Aliment],0))="s2",IF($DN179=Spécificité2Ovins,1)),
INDEX(Règles_ovins[Specificite],MATCH(ChoixRationOvins&amp;$DN179,Règles_ovins[Ration]&amp;Règles_ovins[Aliment],0))="c"),
INDEX(Règles_ovins[Valeur 3-6],MATCH(ChoixRationOvins&amp;$DN179,Règles_ovins[Ration]&amp;Règles_ovins[Aliment],0)),0),0)*IF(ChoixOvinsPréHiver=OUI,SUM(TotalOvins_3_6moisRacesLaitières)*NbreJoursNourrirOvins,TotalAgneau_3_6_mois*SUM(NbreJoursNourrirOvins)))</f>
        <v>0</v>
      </c>
      <c r="DR179" s="1269">
        <f t="array" ref="DR179">IF(ChoixRationComplèteOvins=OUI,0,IFERROR(IF(OR(AND(INDEX(Règles_ovins[Specificite],MATCH(ChoixRationOvins&amp;$DN179,Règles_ovins[Ration]&amp;Règles_ovins[Aliment],0))="s1",IF($DN179=Spécificité1Ovins,1)),
AND(INDEX(Règles_ovins[Specificite],MATCH(ChoixRationOvins&amp;$DN179,Règles_ovins[Ration]&amp;Règles_ovins[Aliment],0))="s2",IF($DN179=Spécificité2Ovins,1)),
INDEX(Règles_ovins[Specificite],MATCH(ChoixRationOvins&amp;$DN179,Règles_ovins[Ration]&amp;Règles_ovins[Aliment],0))="c"),
INDEX(Règles_ovins[Valeur 0-3],MATCH(ChoixRationOvins&amp;$DN179,Règles_ovins[Ration]&amp;Règles_ovins[Aliment],0)),0),0)*IF(ChoixOvinsPréHiver=OUI,SUM(TotalOvins_3_6moisRacesLaitières)*NbreJoursNourrirOvins,TotalAgneau_0_3_mois*SUM(NbreJoursNourrirOvins)))</f>
        <v>0</v>
      </c>
      <c r="DS179" s="1280">
        <f t="shared" si="61"/>
        <v>0</v>
      </c>
      <c r="DT179" s="1346"/>
      <c r="DU179" s="1346"/>
      <c r="DV179" s="1321"/>
      <c r="DW179" s="1321"/>
      <c r="DX179" s="1321"/>
      <c r="DY179" s="1321"/>
      <c r="DZ179" s="1321"/>
      <c r="EA179" s="1321"/>
      <c r="EB179" s="1321"/>
      <c r="EC179" s="1321"/>
      <c r="ED179" s="1345"/>
      <c r="EE179" s="1345"/>
      <c r="EF179" s="1321"/>
      <c r="EG179" s="1075" t="str">
        <f t="shared" si="63"/>
        <v>Tournesol</v>
      </c>
      <c r="EH179" s="1269">
        <f t="array" ref="EH179">SUM((IF(QualitéAlimentsOisonMâle_0_3_mois=BONNE,VLOOKUP("Tournesol",AlimentsRationOiesMâles[],4,FALSE),0)+(IF(QualitéAlimentsOisonFemelle_0_3_mois=BONNE,VLOOKUP("Tournesol",AlimentsRationOiesFemelles[],4,FALSE),0)+(IF(QualitéAlimentsJeuneJars=BONNE,VLOOKUP("Tournesol",AlimentsRationOiesMâles[],3,FALSE),0)+(IF(QualitéAlimentsJeuneOie=BONNE,VLOOKUP("Tournesol",AlimentsRationOiesFemelles[],3,FALSE),0)+(IF(QualitéAlimentsJars=BONNE,VLOOKUP("Tournesol",AlimentsRationOiesMâles[],2,FALSE),0)+(IF(QualitéAlimentsOie=BONNE,VLOOKUP("Tournesol",AlimentsRationOiesFemelles[],2,FALSE),0))))))))</f>
        <v>0</v>
      </c>
      <c r="EI179" s="1269">
        <f t="array" ref="EI179">SUM((IF(QualitéAlimentsOisonMâle_0_3_mois=MOYENNE,VLOOKUP("Tournesol",AlimentsRationOiesMâles[],4,FALSE),0)+(IF(QualitéAlimentsOisonFemelle_0_3_mois=MOYENNE,VLOOKUP("Tournesol",AlimentsRationOiesFemelles[],4,FALSE),0)+(IF(QualitéAlimentsJeuneJars=MOYENNE,VLOOKUP("Tournesol",AlimentsRationOiesMâles[],3,FALSE),0)+(IF(QualitéAlimentsJeuneOie=MOYENNE,VLOOKUP("Tournesol",AlimentsRationOiesFemelles[],3,FALSE),0)+(IF(QualitéAlimentsJars=MOYENNE,VLOOKUP("Tournesol",AlimentsRationOiesMâles[],2,FALSE),0)+(IF(QualitéAlimentsOie=MOYENNE,VLOOKUP("Tournesol",AlimentsRationOiesFemelles[],2,FALSE),0))))))))</f>
        <v>0</v>
      </c>
      <c r="EJ179" s="1269">
        <f t="array" ref="EJ179">SUM((IF(QualitéAlimentsOisonMâle_0_3_mois=MAUVAISE,VLOOKUP("Tournesol",AlimentsRationOiesMâles[],4,FALSE),0)+(IF(QualitéAlimentsOisonFemelle_0_3_mois=MAUVAISE,VLOOKUP("Tournesol",AlimentsRationOiesFemelles[],4,FALSE),0)+(IF(QualitéAlimentsJeuneJars=MAUVAISE,VLOOKUP("Tournesol",AlimentsRationOiesMâles[],3,FALSE),0)+(IF(QualitéAlimentsJeuneOie=MAUVAISE,VLOOKUP("Tournesol",AlimentsRationOiesFemelles[],3,FALSE),0)+(IF(QualitéAlimentsJars=MAUVAISE,VLOOKUP("Tournesol",AlimentsRationOiesMâles[],2,FALSE),0)+(IF(QualitéAlimentsOie=MAUVAISE,VLOOKUP("Tournesol",AlimentsRationOiesFemelles[],2,FALSE),0))))))))</f>
        <v>0</v>
      </c>
      <c r="EK179" s="1345"/>
      <c r="EL179" s="1345"/>
      <c r="EM179" s="1321"/>
      <c r="EN179" s="1082" t="str">
        <f t="shared" si="62"/>
        <v>Tourteau de colza</v>
      </c>
      <c r="EO179" s="1282">
        <f t="array" ref="EO179">SUM((IF(QualitéAlimentsCanetonMâle=BONNE,VLOOKUP("Tourteau de colza",AlimentsRationCanardsMâles,4,FALSE),0)+(IF(QualitéAlimentsCanetonFemelle=BONNE,VLOOKUP("Tourteau de colza",AlimentsRationCanardsFemelles,4,FALSE),0)+(IF(QualitéAlimentsJeuneCanard=BONNE,VLOOKUP("Tourteau de colza",AlimentsRationCanardsMâles,3,FALSE),0)+(IF(QualitéAlimentsJeuneCane=BONNE,VLOOKUP("Tourteau de colza",AlimentsRationCanardsFemelles,3,FALSE),0)+(IF(QualitéAlimentsCanard=BONNE,VLOOKUP("Tourteau de colza",AlimentsRationCanardsMâles,2,FALSE),0)+(IF(QualitéAlimentsCane=BONNE,VLOOKUP("Tourteau de colza",AlimentsRationCanardsFemelles,2,FALSE),0))))))))</f>
        <v>0</v>
      </c>
      <c r="EP179" s="1282">
        <f t="array" ref="EP179">SUM((IF(QualitéAlimentsCanetonMâle=MOYENNE,VLOOKUP("Tourteau de colza",AlimentsRationCanardsMâles,4,FALSE),0)+(IF(QualitéAlimentsCanetonFemelle=MOYENNE,VLOOKUP("Tourteau de colza",AlimentsRationCanardsFemelles,4,FALSE),0)+(IF(QualitéAlimentsJeuneCanard=MOYENNE,VLOOKUP("Tourteau de colza",AlimentsRationCanardsMâles,3,FALSE),0)+(IF(QualitéAlimentsJeuneCane=MOYENNE,VLOOKUP("Tourteau de colza",AlimentsRationCanardsFemelles,3,FALSE),0)+(IF(QualitéAlimentsCanard=MOYENNE,VLOOKUP("Tourteau de colza",AlimentsRationCanardsMâles,2,FALSE),0)+(IF(QualitéAlimentsCane=MOYENNE,VLOOKUP("Tourteau de colza",AlimentsRationCanardsFemelles,2,FALSE),0))))))))</f>
        <v>0</v>
      </c>
      <c r="EQ179" s="1282">
        <f t="array" ref="EQ179">SUM((IF(QualitéAlimentsCanetonMâle=MAUVAISE,VLOOKUP("Tourteau de colza",AlimentsRationCanardsMâles,4,FALSE),0)+(IF(QualitéAlimentsCanetonFemelle=MAUVAISE,VLOOKUP("Tourteau de colza",AlimentsRationCanardsFemelles,4,FALSE),0)+(IF(QualitéAlimentsJeuneCanard=MAUVAISE,VLOOKUP("Tourteau de colza",AlimentsRationCanardsMâles,3,FALSE),0)+(IF(QualitéAlimentsJeuneCane=MAUVAISE,VLOOKUP("Tourteau de colza",AlimentsRationCanardsFemelles,3,FALSE),0)+(IF(QualitéAlimentsCanard=MAUVAISE,VLOOKUP("Tourteau de colza",AlimentsRationCanardsMâles,2,FALSE),0)+(IF(QualitéAlimentsCane=MAUVAISE,VLOOKUP("Tourteau de colza",AlimentsRationCanardsFemelles,2,FALSE),0))))))))</f>
        <v>0</v>
      </c>
      <c r="ER179" s="1345"/>
      <c r="ES179" s="1345"/>
      <c r="ET179" s="1321"/>
      <c r="EU179" s="1083" t="str">
        <f t="shared" si="60"/>
        <v>Tourteau de tournesol</v>
      </c>
      <c r="EV179" s="1283">
        <f t="array" ref="EV179">IF(OR(ChoixRationHivernaleComplèteChevauxSelle=OUI,ChoixRationHivernaleComplèteChevauxSelle="",ChoixChevauxSellePréHiver=NON),0,IFERROR(IF(OR(AND(INDEX(Règles_chevaux_selle[Specificite],MATCH(RationHivernaleAuPréChevauxSelle&amp;$EU179,Règles_chevaux_selle[Ration]&amp;Règles_chevaux_selle[Aliment],0))="s1",IF($EU179=Spécificité1ChevauxSelle,1)),
AND(INDEX(Règles_chevaux_selle[Specificite],MATCH(RationHivernaleAuPréChevauxSelle&amp;$EU179,Règles_chevaux_selle[Ration]&amp;Règles_chevaux_selle[Aliment],0))="s2",IF($EU179=Spécificité2ChevauxSelle,1)),
INDEX(Règles_chevaux_selle[Specificite],MATCH(RationHivernaleAuPréChevauxSelle&amp;$EU179,Règles_chevaux_selle[Ration]&amp;Règles_chevaux_selle[Aliment],0))="c"),
INDEX(Règles_chevaux_selle[Valeur 36 et plus],MATCH(RationHivernaleAuPréChevauxSelle&amp;$EU179,Règles_chevaux_selle[Ration]&amp;Règles_chevaux_selle[Aliment],0)),0),0)*SUM(TotalChevauxSelleAdultes)*21)</f>
        <v>0</v>
      </c>
      <c r="EW179" s="1283">
        <f t="array" ref="EW179">IF(OR(ChoixRationHivernaleComplèteChevauxSelle=OUI,ChoixRationHivernaleComplèteChevauxSelle="",ChoixChevauxSellePréHiver=NON),0,IFERROR(IF(OR(AND(INDEX(Règles_chevaux_selle[Specificite],MATCH(RationHivernaleAuPréChevauxSelle&amp;$EU179,Règles_chevaux_selle[Ration]&amp;Règles_chevaux_selle[Aliment],0))="s1",IF($EU179=Spécificité1ChevauxSelle,1)),
AND(INDEX(Règles_chevaux_selle[Specificite],MATCH(RationHivernaleAuPréChevauxSelle&amp;$EU179,Règles_chevaux_selle[Ration]&amp;Règles_chevaux_selle[Aliment],0))="s2",IF($EU179=Spécificité2ChevauxSelle,1)),
INDEX(Règles_chevaux_selle[Specificite],MATCH(RationHivernaleAuPréChevauxSelle&amp;$EU179,Règles_chevaux_selle[Ration]&amp;Règles_chevaux_selle[Aliment],0))="c"),
INDEX(Règles_chevaux_selle[Valeur 24-36],MATCH(RationHivernaleAuPréChevauxSelle&amp;$EU179,Règles_chevaux_selle[Ration]&amp;Règles_chevaux_selle[Aliment],0)),0),0)*SUM(TotalChevauxSelle_24_36mois)*21)</f>
        <v>0</v>
      </c>
      <c r="EX179" s="1283">
        <f t="array" ref="EX179">IF(OR(ChoixRationHivernaleComplèteChevauxSelle=OUI,ChoixRationHivernaleComplèteChevauxSelle="",ChoixChevauxSellePréHiver=NON),0,IFERROR(IF(OR(AND(INDEX(Règles_chevaux_selle[Specificite],MATCH(RationHivernaleAuPréChevauxSelle&amp;$EU179,Règles_chevaux_selle[Ration]&amp;Règles_chevaux_selle[Aliment],0))="s1",IF($EU179=Spécificité1ChevauxSelle,1)),
AND(INDEX(Règles_chevaux_selle[Specificite],MATCH(RationHivernaleAuPréChevauxSelle&amp;$EU179,Règles_chevaux_selle[Ration]&amp;Règles_chevaux_selle[Aliment],0))="s2",IF($EU179=Spécificité2ChevauxSelle,1)),
INDEX(Règles_chevaux_selle[Specificite],MATCH(RationHivernaleAuPréChevauxSelle&amp;$EU179,Règles_chevaux_selle[Ration]&amp;Règles_chevaux_selle[Aliment],0))="c"),
INDEX(Règles_chevaux_selle[Valeur 12-24],MATCH(RationHivernaleAuPréChevauxSelle&amp;$EU179,Règles_chevaux_selle[Ration]&amp;Règles_chevaux_selle[Aliment],0)),0),0)*SUM(TotalChevauxSelle_12_24mois)*21)</f>
        <v>0</v>
      </c>
      <c r="EY179" s="1286">
        <f t="array" ref="EY179">IF(OR(ChoixRationHivernaleComplèteChevauxSelle=OUI,ChoixRationHivernaleComplèteChevauxSelle="",ChoixChevauxSellePréHiver=NON),0,IFERROR(IF(OR(AND(INDEX(Règles_chevaux_selle[Specificite],MATCH(RationHivernaleAuPréChevauxSelle&amp;$EU179,Règles_chevaux_selle[Ration]&amp;Règles_chevaux_selle[Aliment],0))="s1",IF($EU179=Spécificité1ChevauxSelle,1)),
AND(INDEX(Règles_chevaux_selle[Specificite],MATCH(RationHivernaleAuPréChevauxSelle&amp;$EU179,Règles_chevaux_selle[Ration]&amp;Règles_chevaux_selle[Aliment],0))="s2",IF($EU179=Spécificité2ChevauxSelle,1)),
INDEX(Règles_chevaux_selle[Specificite],MATCH(RationHivernaleAuPréChevauxSelle&amp;$EU179,Règles_chevaux_selle[Ration]&amp;Règles_chevaux_selle[Aliment],0))="c"),
INDEX(Règles_chevaux_selle[Valeur 0-12],MATCH(RationHivernaleAuPréChevauxSelle&amp;$EU179,Règles_chevaux_selle[Ration]&amp;Règles_chevaux_selle[Aliment],0)),0),0)*SUM(TotalPoulainsSelle)*21)</f>
        <v>0</v>
      </c>
      <c r="EZ179" s="1286">
        <f t="shared" si="59"/>
        <v>0</v>
      </c>
      <c r="FA179" s="1345"/>
      <c r="FB179" s="1345"/>
      <c r="FC179" s="1321"/>
      <c r="FD179" s="1083">
        <f t="shared" si="55"/>
        <v>0</v>
      </c>
      <c r="FE179" s="1283">
        <f t="array" ref="FE179">IF(OR(ChoixRationHivernaleComplèteChevauxTrait=OUI,ChoixRationHivernaleComplèteChevauxTrait="",ChoixChevauxTraitPréHiver=NON),0,IFERROR(IF(OR(AND(INDEX(Règles_chevaux_trait[Specificite],MATCH(RationHivernaleAuPréChevauxTrait&amp;$FD179,Règles_chevaux_trait[Ration]&amp;Règles_chevaux_trait[Aliment],0))="s1",IF($FD179=Spécificité1ChevauxTrait,1)),
AND(INDEX(Règles_chevaux_trait[Specificite],MATCH(RationHivernaleAuPréChevauxTrait&amp;$FD179,Règles_chevaux_trait[Ration]&amp;Règles_chevaux_trait[Aliment],0))="s2",IF($FD179=Spécificité2ChevauxTrait,1)),
INDEX(Règles_chevaux_trait[Specificite],MATCH(RationHivernaleAuPréChevauxTrait&amp;$FD179,Règles_chevaux_trait[Ration]&amp;Règles_chevaux_trait[Aliment],0))="c"),
INDEX(Règles_chevaux_trait[Valeur 36 et plus],MATCH(RationHivernaleAuPréChevauxTrait&amp;$FD179,Règles_chevaux_trait[Ration]&amp;Règles_chevaux_trait[Aliment],0)),0),0)*SUM(TotalChevauxTraitAdultes)*21)</f>
        <v>0</v>
      </c>
      <c r="FF179" s="1283">
        <f t="array" ref="FF179">IF(OR(ChoixRationHivernaleComplèteChevauxTrait=OUI,ChoixRationHivernaleComplèteChevauxTrait="",ChoixChevauxTraitPréHiver=NON),0,IFERROR(IF(OR(AND(INDEX(Règles_chevaux_trait[Specificite],MATCH(RationHivernaleAuPréChevauxTrait&amp;$FD179,Règles_chevaux_trait[Ration]&amp;Règles_chevaux_trait[Aliment],0))="s1",IF($FD179=Spécificité1ChevauxTrait,1)),
AND(INDEX(Règles_chevaux_trait[Specificite],MATCH(RationHivernaleAuPréChevauxTrait&amp;$FD179,Règles_chevaux_trait[Ration]&amp;Règles_chevaux_trait[Aliment],0))="s2",IF($FD179=Spécificité2ChevauxTrait,1)),
INDEX(Règles_chevaux_trait[Specificite],MATCH(RationHivernaleAuPréChevauxTrait&amp;$FD179,Règles_chevaux_trait[Ration]&amp;Règles_chevaux_trait[Aliment],0))="c"),
INDEX(Règles_chevaux_trait[Valeur 24-36],MATCH(RationHivernaleAuPréChevauxTrait&amp;$FD179,Règles_chevaux_trait[Ration]&amp;Règles_chevaux_trait[Aliment],0)),0),0)*SUM(TotalChevauxTrait_24_36mois)*21)</f>
        <v>0</v>
      </c>
      <c r="FG179" s="1283">
        <f t="array" ref="FG179">IF(OR(ChoixRationHivernaleComplèteChevauxTrait=OUI,ChoixRationHivernaleComplèteChevauxTrait="",ChoixChevauxTraitPréHiver=NON),0,IFERROR(IF(OR(AND(INDEX(Règles_chevaux_trait[Specificite],MATCH(RationHivernaleAuPréChevauxTrait&amp;$FD179,Règles_chevaux_trait[Ration]&amp;Règles_chevaux_trait[Aliment],0))="s1",IF($FD179=Spécificité1ChevauxTrait,1)),
AND(INDEX(Règles_chevaux_trait[Specificite],MATCH(RationHivernaleAuPréChevauxTrait&amp;$FD179,Règles_chevaux_trait[Ration]&amp;Règles_chevaux_trait[Aliment],0))="s2",IF($FD179=Spécificité2ChevauxTrait,1)),
INDEX(Règles_chevaux_trait[Specificite],MATCH(RationHivernaleAuPréChevauxTrait&amp;$FD179,Règles_chevaux_trait[Ration]&amp;Règles_chevaux_trait[Aliment],0))="c"),
INDEX(Règles_chevaux_trait[Valeur 12-24],MATCH(RationHivernaleAuPréChevauxTrait&amp;$FD179,Règles_chevaux_trait[Ration]&amp;Règles_chevaux_trait[Aliment],0)),0),0)*SUM(TotalChevauxTrait_12_24mois)*21)</f>
        <v>0</v>
      </c>
      <c r="FH179" s="1286">
        <f t="array" ref="FH179">IF(OR(ChoixRationHivernaleComplèteChevauxTrait=OUI,ChoixRationHivernaleComplèteChevauxTrait="",ChoixChevauxTraitPréHiver=NON),0,IFERROR(IF(OR(AND(INDEX(Règles_chevaux_trait[Specificite],MATCH(RationHivernaleAuPréChevauxTrait&amp;$FD179,Règles_chevaux_trait[Ration]&amp;Règles_chevaux_trait[Aliment],0))="s1",IF($FD179=Spécificité1ChevauxTrait,1)),
AND(INDEX(Règles_chevaux_trait[Specificite],MATCH(RationHivernaleAuPréChevauxTrait&amp;$FD179,Règles_chevaux_trait[Ration]&amp;Règles_chevaux_trait[Aliment],0))="s2",IF($FD179=Spécificité2ChevauxTrait,1)),
INDEX(Règles_chevaux_trait[Specificite],MATCH(RationHivernaleAuPréChevauxTrait&amp;$FD179,Règles_chevaux_trait[Ration]&amp;Règles_chevaux_trait[Aliment],0))="c"),
INDEX(Règles_chevaux_trait[Valeur 0-12],MATCH(RationHivernaleAuPréChevauxTrait&amp;$FD179,Règles_chevaux_trait[Ration]&amp;Règles_chevaux_trait[Aliment],0)),0),0)*SUM(TotalPoulainsTrait)*21)</f>
        <v>0</v>
      </c>
      <c r="FI179" s="1286">
        <f t="shared" si="53"/>
        <v>0</v>
      </c>
      <c r="FJ179" s="1345"/>
      <c r="FK179" s="1345"/>
      <c r="FL179" s="1345"/>
      <c r="FM179" s="1321"/>
      <c r="FN179" s="1082">
        <f t="shared" si="54"/>
        <v>0</v>
      </c>
      <c r="FO179" s="1282">
        <f t="array" ref="FO179">IF(OR(ChoixRationHivernaleComplètePoneys=OUI,ChoixRationHivernaleComplètePoneys="",ChoixPoneysPréHiver=NON),0,IFERROR(IF(OR(AND(INDEX(Règles_poneys[Specificite],MATCH(RationHivernaleAuPréPoneys&amp;$FN179,Règles_poneys[Ration]&amp;Règles_poneys[Aliment],0))="s1",IF($FN179=Spécificité1Poneys,1)),
AND(INDEX(Règles_poneys[Specificite],MATCH(RationHivernaleAuPréPoneys&amp;$FN179,Règles_poneys[Ration]&amp;Règles_poneys[Aliment],0))="s2",IF($FN179=Spécificité2Poneys,1)),
INDEX(Règles_poneys[Specificite],MATCH(RationHivernaleAuPréPoneys&amp;$FN179,Règles_poneys[Ration]&amp;Règles_poneys[Aliment],0))="c"),
INDEX(Règles_poneys[Valeur 36 et plus],MATCH(RationHivernaleAuPréPoneys&amp;$FN179,Règles_poneys[Ration]&amp;Règles_poneys[Aliment],0)),0),0)*SUM(TotalPoneysAdultes)*21)</f>
        <v>0</v>
      </c>
      <c r="FP179" s="1282">
        <f t="array" ref="FP179">IF(OR(ChoixRationHivernaleComplètePoneys=OUI,ChoixRationHivernaleComplètePoneys="",ChoixPoneysPréHiver=NON),0,IFERROR(IF(OR(AND(INDEX(Règles_poneys[Specificite],MATCH(RationHivernaleAuPréPoneys&amp;$FN179,Règles_poneys[Ration]&amp;Règles_poneys[Aliment],0))="s1",IF($FN179=Spécificité1Poneys,1)),
AND(INDEX(Règles_poneys[Specificite],MATCH(RationHivernaleAuPréPoneys&amp;$FN179,Règles_poneys[Ration]&amp;Règles_poneys[Aliment],0))="s2",IF($FN179=Spécificité2Poneys,1)),
INDEX(Règles_poneys[Specificite],MATCH(RationHivernaleAuPréPoneys&amp;$FN179,Règles_poneys[Ration]&amp;Règles_poneys[Aliment],0))="c"),
INDEX(Règles_poneys[Valeur 24-36],MATCH(RationHivernaleAuPréPoneys&amp;$FN179,Règles_poneys[Ration]&amp;Règles_poneys[Aliment],0)),0),0)*SUM(TotalPoneys_24_36mois)*21)</f>
        <v>0</v>
      </c>
      <c r="FQ179" s="1282">
        <f t="array" ref="FQ179">IF(OR(ChoixRationHivernaleComplètePoneys=OUI,ChoixRationHivernaleComplètePoneys="",ChoixPoneysPréHiver=NON),0,IFERROR(IF(OR(AND(INDEX(Règles_poneys[Specificite],MATCH(RationHivernaleAuPréPoneys&amp;$FN179,Règles_poneys[Ration]&amp;Règles_poneys[Aliment],0))="s1",IF($FN179=Spécificité1Poneys,1)),
AND(INDEX(Règles_poneys[Specificite],MATCH(RationHivernaleAuPréPoneys&amp;$FN179,Règles_poneys[Ration]&amp;Règles_poneys[Aliment],0))="s2",IF($FN179=Spécificité2Poneys,1)),
INDEX(Règles_poneys[Specificite],MATCH(RationHivernaleAuPréPoneys&amp;$FN179,Règles_poneys[Ration]&amp;Règles_poneys[Aliment],0))="c"),
INDEX(Règles_poneys[Valeur 12-24],MATCH(RationHivernaleAuPréPoneys&amp;$FN179,Règles_poneys[Ration]&amp;Règles_poneys[Aliment],0)),0),0)*SUM(TotalPoneys_12_24mois)*21)</f>
        <v>0</v>
      </c>
      <c r="FR179" s="1285">
        <f t="array" ref="FR179">IF(OR(ChoixRationHivernaleComplètePoneys=OUI,ChoixRationHivernaleComplètePoneys="",ChoixPoneysPréHiver=NON),0,IFERROR(IF(OR(AND(INDEX(Règles_poneys[Specificite],MATCH(RationHivernaleAuPréPoneys&amp;$FN179,Règles_poneys[Ration]&amp;Règles_poneys[Aliment],0))="s1",IF($FN179=Spécificité1Poneys,1)),
AND(INDEX(Règles_poneys[Specificite],MATCH(RationHivernaleAuPréPoneys&amp;$FN179,Règles_poneys[Ration]&amp;Règles_poneys[Aliment],0))="s2",IF($FN179=Spécificité2Poneys,1)),
INDEX(Règles_poneys[Specificite],MATCH(RationHivernaleAuPréPoneys&amp;$FN179,Règles_poneys[Ration]&amp;Règles_poneys[Aliment],0))="c"),
INDEX(Règles_poneys[Valeur 0-12],MATCH(RationHivernaleAuPréPoneys&amp;$FN179,Règles_poneys[Ration]&amp;Règles_poneys[Aliment],0)),0),0)*SUM(TotalPoulainsPoneys)*21)</f>
        <v>0</v>
      </c>
      <c r="FS179" s="1285">
        <f t="shared" si="52"/>
        <v>0</v>
      </c>
      <c r="FT179" s="1345"/>
      <c r="FU179" s="1345"/>
      <c r="FV179" s="1345"/>
      <c r="FW179" s="1345"/>
      <c r="FX179" s="1345"/>
      <c r="FY179" s="1345"/>
      <c r="FZ179" s="1345"/>
      <c r="GA179" s="1345"/>
      <c r="GB179" s="1345"/>
      <c r="GC179" s="1321"/>
      <c r="GD179" s="1321"/>
      <c r="GE179" s="1321"/>
      <c r="GF179" s="1321"/>
      <c r="GG179" s="1321" t="s">
        <v>1349</v>
      </c>
      <c r="GH179" s="1321" t="s">
        <v>1349</v>
      </c>
      <c r="GI179" s="1321" t="s">
        <v>1349</v>
      </c>
      <c r="GJ179" s="1321" t="s">
        <v>1349</v>
      </c>
      <c r="GK179" s="1321" t="s">
        <v>1349</v>
      </c>
      <c r="GL179" s="1321" t="s">
        <v>1349</v>
      </c>
      <c r="GM179" s="1321" t="s">
        <v>1349</v>
      </c>
      <c r="GN179" s="1321" t="s">
        <v>1349</v>
      </c>
      <c r="GO179" s="1321" t="s">
        <v>1349</v>
      </c>
      <c r="GP179" s="1321" t="s">
        <v>1349</v>
      </c>
      <c r="GQ179" s="1321" t="s">
        <v>1349</v>
      </c>
      <c r="GR179" s="1321" t="s">
        <v>1349</v>
      </c>
      <c r="GS179" s="1321" t="s">
        <v>1349</v>
      </c>
      <c r="GT179" s="1321" t="s">
        <v>1349</v>
      </c>
      <c r="GU179" s="1321" t="s">
        <v>1349</v>
      </c>
      <c r="GV179" s="1321" t="s">
        <v>1349</v>
      </c>
      <c r="GW179" s="1321"/>
      <c r="GX179" s="1321"/>
      <c r="GY179" s="1321"/>
      <c r="GZ179" s="1321"/>
      <c r="HA179" s="1321"/>
      <c r="HB179" s="1321"/>
      <c r="HC179" s="1321"/>
      <c r="HD179" s="1321"/>
      <c r="HE179" s="1321"/>
      <c r="HF179" s="1321"/>
      <c r="HG179" s="1321"/>
      <c r="HH179" s="1321"/>
      <c r="HI179" s="1321"/>
      <c r="HJ179" s="1321"/>
      <c r="HK179" s="1321"/>
      <c r="HL179" s="1321"/>
      <c r="HM179" s="1321"/>
      <c r="HN179" s="1321"/>
      <c r="HO179" s="1321"/>
      <c r="HP179" s="1321"/>
      <c r="HQ179" s="1321"/>
      <c r="HR179" s="1321"/>
      <c r="HS179" s="1321"/>
      <c r="HT179" s="1321"/>
      <c r="HU179" s="1321"/>
      <c r="HV179" s="1321"/>
      <c r="HW179" s="1321"/>
      <c r="HX179" s="1321"/>
      <c r="HY179" s="1321"/>
      <c r="HZ179" s="1321"/>
      <c r="IA179" s="1321"/>
      <c r="IB179" s="1321"/>
      <c r="IC179" s="1321"/>
      <c r="ID179" s="1321"/>
      <c r="IE179" s="1321"/>
      <c r="IF179" s="1321"/>
      <c r="IG179" s="1321"/>
      <c r="IH179" s="1321"/>
      <c r="II179" s="1321"/>
      <c r="IJ179" s="1321"/>
      <c r="IK179" s="1321"/>
      <c r="IL179" s="1321"/>
      <c r="IM179" s="1321"/>
      <c r="IN179" s="1368"/>
    </row>
    <row r="180" spans="1:248" ht="12.75" customHeight="1" x14ac:dyDescent="0.2">
      <c r="A180" s="1307" t="s">
        <v>1343</v>
      </c>
      <c r="B180" s="1209">
        <f>1/1000</f>
        <v>1E-3</v>
      </c>
      <c r="C180" s="1321"/>
      <c r="D180" s="1251" t="s">
        <v>1637</v>
      </c>
      <c r="E180" s="1252">
        <v>7.3999999999999996E-2</v>
      </c>
      <c r="F180" s="1321"/>
      <c r="G180" s="1321"/>
      <c r="H180" s="1321"/>
      <c r="I180" s="1321"/>
      <c r="J180" s="1321"/>
      <c r="K180" s="1321"/>
      <c r="L180" s="1321"/>
      <c r="M180" s="1321"/>
      <c r="N180" s="1321"/>
      <c r="O180" s="1321"/>
      <c r="P180" s="1321"/>
      <c r="Q180" s="1321"/>
      <c r="R180" s="1321"/>
      <c r="S180" s="1321"/>
      <c r="T180" s="1321"/>
      <c r="U180" s="1321"/>
      <c r="V180" s="1321"/>
      <c r="W180" s="1321"/>
      <c r="X180" s="1321"/>
      <c r="Y180" s="1321"/>
      <c r="Z180" s="1321"/>
      <c r="AA180" s="1321"/>
      <c r="AB180" s="1321"/>
      <c r="AC180" s="1321"/>
      <c r="AD180" s="1321"/>
      <c r="AE180" s="1321"/>
      <c r="AF180" s="1321"/>
      <c r="AG180" s="1321"/>
      <c r="AH180" s="1321"/>
      <c r="AI180" s="1321"/>
      <c r="AJ180" s="1321"/>
      <c r="AK180" s="1321"/>
      <c r="AL180" s="1321"/>
      <c r="AM180" s="1321"/>
      <c r="AN180" s="1321"/>
      <c r="AO180" s="1321"/>
      <c r="AP180" s="1321"/>
      <c r="AQ180" s="1321"/>
      <c r="AR180" s="1321"/>
      <c r="AS180" s="1321"/>
      <c r="AT180" s="1321"/>
      <c r="AU180" s="1321"/>
      <c r="AV180" s="1321"/>
      <c r="AW180" s="1321"/>
      <c r="AX180" s="1321"/>
      <c r="AY180" s="1321"/>
      <c r="AZ180" s="1321"/>
      <c r="BA180" s="1321"/>
      <c r="BB180" s="1236" t="s">
        <v>1134</v>
      </c>
      <c r="BC180" s="1190" t="s">
        <v>63</v>
      </c>
      <c r="BD180" s="1190" t="s">
        <v>1254</v>
      </c>
      <c r="BE180" s="1237">
        <v>2.2000000000000002</v>
      </c>
      <c r="BF180" s="1237">
        <v>1.8</v>
      </c>
      <c r="BG180" s="1237">
        <v>1.4</v>
      </c>
      <c r="BH180" s="1237">
        <v>1</v>
      </c>
      <c r="BI180" s="1237">
        <v>0.8</v>
      </c>
      <c r="BJ180" s="1237">
        <v>0.6</v>
      </c>
      <c r="BK180" s="1238">
        <v>0</v>
      </c>
      <c r="BL180" s="1321"/>
      <c r="BM180" s="1346"/>
      <c r="BN180" s="1321"/>
      <c r="BO180" s="1321"/>
      <c r="BP180" s="1321"/>
      <c r="BQ180" s="1321"/>
      <c r="BR180" s="1321"/>
      <c r="BS180" s="1321"/>
      <c r="BT180" s="1321"/>
      <c r="BU180" s="1321"/>
      <c r="BV180" s="1345"/>
      <c r="BW180" s="1345"/>
      <c r="BX180" s="1336" t="s">
        <v>1278</v>
      </c>
      <c r="BY180" s="1321"/>
      <c r="BZ180" s="1321"/>
      <c r="CA180" s="1321"/>
      <c r="CB180" s="1321"/>
      <c r="CC180" s="1321"/>
      <c r="CD180" s="1345"/>
      <c r="CE180" s="1345"/>
      <c r="CF180" s="1345"/>
      <c r="CG180" s="1345"/>
      <c r="CH180" s="1345"/>
      <c r="CI180" s="1321"/>
      <c r="CJ180" s="1321"/>
      <c r="CK180" s="1321"/>
      <c r="CL180" s="1321"/>
      <c r="CM180" s="1318"/>
      <c r="CN180" s="1318"/>
      <c r="CO180" s="1318"/>
      <c r="CP180" s="1318"/>
      <c r="CQ180" s="1318"/>
      <c r="CR180" s="1318"/>
      <c r="CS180" s="1075" t="str">
        <f t="shared" si="66"/>
        <v>Ration complète</v>
      </c>
      <c r="CT180" s="1269">
        <f>IF(ChoixRationComplèteLapins&lt;&gt;OUI,0,IF(QualitéRationComplètelapins=BONNE,Ration_complète_lapins[somme],0))</f>
        <v>0</v>
      </c>
      <c r="CU180" s="1269">
        <f>IF(ChoixRationComplèteLapins&lt;&gt;OUI,0,IF(QualitéRationComplètelapins=MOYENNE,Ration_complète_lapins[somme],0))</f>
        <v>0</v>
      </c>
      <c r="CV180" s="1269">
        <f>IF(ChoixRationComplèteLapins&lt;&gt;OUI,0,IF(QualitéRationComplètelapins=MAUVAISE,Ration_complète_lapins[somme],0))</f>
        <v>0</v>
      </c>
      <c r="CW180" s="1321"/>
      <c r="CX180" s="1321"/>
      <c r="CY180" s="1321"/>
      <c r="CZ180" s="1076" t="str">
        <f t="shared" si="65"/>
        <v>Seigle</v>
      </c>
      <c r="DA180" s="1267">
        <f t="array" ref="DA180">SUM((IF(QualitéAlimentsPoussinMâle_0_1_mois=BONNE,VLOOKUP("Seigle",AlimentsRationVolaillesMâles[],4,FALSE),0)+(IF(QualitéAlimentsPoussinFemelle_0_1_mois=BONNE,VLOOKUP("Seigle",AlimentsRationVolaillesFemelles[],4,FALSE),0)+(IF(QualitéAlimentsJeuneCoq=BONNE,VLOOKUP("Seigle",AlimentsRationVolaillesMâles[],3,FALSE),0)+(IF(QualitéAlimentsJeunePoule=BONNE,VLOOKUP("Seigle",AlimentsRationVolaillesFemelles[],3,FALSE),0)+(IF(QualitéAlimentsCoq=BONNE,VLOOKUP("Seigle",AlimentsRationVolaillesMâles[],2,FALSE),0)+(IF(QualitéAlimentsPoule=BONNE,VLOOKUP("Seigle",AlimentsRationVolaillesFemelles[],2,FALSE),0))))))))</f>
        <v>0</v>
      </c>
      <c r="DB180" s="1267">
        <f t="array" ref="DB180">SUM((IF(QualitéAlimentsPoussinMâle_0_1_mois=MOYENNE,VLOOKUP("Seigle",AlimentsRationVolaillesMâles[],4,FALSE),0)+(IF(QualitéAlimentsPoussinFemelle_0_1_mois=MOYENNE,VLOOKUP("Seigle",AlimentsRationVolaillesFemelles[],4,FALSE),0)+(IF(QualitéAlimentsJeuneCoq=MOYENNE,VLOOKUP("Seigle",AlimentsRationVolaillesMâles[],3,FALSE),0)+(IF(QualitéAlimentsJeunePoule=MOYENNE,VLOOKUP("Seigle",AlimentsRationVolaillesFemelles[],3,FALSE),0)+(IF(QualitéAlimentsCoq=MOYENNE,VLOOKUP("Seigle",AlimentsRationVolaillesMâles[],2,FALSE),0)+(IF(QualitéAlimentsPoule=MOYENNE,VLOOKUP("Seigle",AlimentsRationVolaillesFemelles[],2,FALSE),0))))))))</f>
        <v>0</v>
      </c>
      <c r="DC180" s="1267">
        <f t="array" ref="DC180">SUM((IF(QualitéAlimentsPoussinMâle_0_1_mois=MAUVAISE,VLOOKUP("Seigle",AlimentsRationVolaillesMâles[],4,FALSE),0)+(IF(QualitéAlimentsPoussinFemelle_0_1_mois=MAUVAISE,VLOOKUP("Seigle",AlimentsRationVolaillesFemelles[],4,FALSE),0)+(IF(QualitéAlimentsJeuneCoq=MAUVAISE,VLOOKUP("Seigle",AlimentsRationVolaillesMâles[],3,FALSE),0)+(IF(QualitéAlimentsJeunePoule=MAUVAISE,VLOOKUP("Seigle",AlimentsRationVolaillesFemelles[],3,FALSE),0)+(IF(QualitéAlimentsCoq=MAUVAISE,VLOOKUP("Seigle",AlimentsRationVolaillesMâles[],2,FALSE),0)+(IF(QualitéAlimentsPoule=MAUVAISE,VLOOKUP("Seigle",AlimentsRationVolaillesFemelles[],2,FALSE),0))))))))</f>
        <v>0</v>
      </c>
      <c r="DD180" s="1321"/>
      <c r="DE180" s="1321"/>
      <c r="DF180" s="1321"/>
      <c r="DG180" s="1076">
        <f t="shared" si="58"/>
        <v>0</v>
      </c>
      <c r="DH180" s="1267"/>
      <c r="DI180" s="1267"/>
      <c r="DJ180" s="1267"/>
      <c r="DK180" s="1321"/>
      <c r="DL180" s="1321"/>
      <c r="DM180" s="1321"/>
      <c r="DN180" s="1076" t="s">
        <v>1273</v>
      </c>
      <c r="DO180" s="1267">
        <f t="array" ref="DO180">IF(OR(ChoixPaysPartie=USA,ChoixPaysPartie=CANADA,ChoixPaysPartie=""),0,IF(ChoixRationComplèteOvins=OUI,0,IFERROR(IF(OR(AND(INDEX(Règles_ovins[Specificite],MATCH(ChoixRationOvins&amp;$DN180,Règles_ovins[Ration]&amp;Règles_ovins[Aliment],0))="s1",IF($DN180=Spécificité1Ovins,1)),
AND(INDEX(Règles_ovins[Specificite],MATCH(ChoixRationOvins&amp;$DN180,Règles_ovins[Ration]&amp;Règles_ovins[Aliment],0))="s2",IF($DN180=Spécificité2Ovins,1)),
INDEX(Règles_ovins[Specificite],MATCH(ChoixRationOvins&amp;$DN180,Règles_ovins[Ration]&amp;Règles_ovins[Aliment],0))="c"),
INDEX(Règles_ovins[Valeur 12 et plus],MATCH(ChoixRationOvins&amp;$DN180,Règles_ovins[Ration]&amp;Règles_ovins[Aliment],0)),0),0)*IF(ChoixOvinsPréHiver=OUI,SUM(TotalOvinsAdultesRacesLaitières)*NbreJoursNourrirOvins,TotalBéliers*SUM(NbreJoursNourrirOvins))))</f>
        <v>0</v>
      </c>
      <c r="DP180" s="1267">
        <f t="array" ref="DP180">IF(OR(ChoixPaysPartie=USA,ChoixPaysPartie=CANADA,ChoixPaysPartie=""),0,IF(ChoixRationComplèteOvins=OUI,0,IFERROR(IF(OR(AND(INDEX(Règles_ovins[Specificite],MATCH(ChoixRationOvins&amp;$DN180,Règles_ovins[Ration]&amp;Règles_ovins[Aliment],0))="s1",IF($DN180=Spécificité1Ovins,1)),
AND(INDEX(Règles_ovins[Specificite],MATCH(ChoixRationOvins&amp;$DN180,Règles_ovins[Ration]&amp;Règles_ovins[Aliment],0))="s2",IF($DN180=Spécificité2Ovins,1)),
INDEX(Règles_ovins[Specificite],MATCH(ChoixRationOvins&amp;$DN180,Règles_ovins[Ration]&amp;Règles_ovins[Aliment],0))="c"),
INDEX(Règles_ovins[Valeur 6-12],MATCH(ChoixRationOvins&amp;$DN180,Règles_ovins[Ration]&amp;Règles_ovins[Aliment],0)),0),0)*IF(ChoixOvinsPréHiver=OUI,SUM(TotalJeunesOvinsRacesLaitières)*NbreJoursNourrirOvins,TotalJeune_bélier_6_12_mois*SUM(NbreJoursNourrirOvins))))</f>
        <v>0</v>
      </c>
      <c r="DQ180" s="1267">
        <f t="array" ref="DQ180">IF(OR(ChoixPaysPartie=USA,ChoixPaysPartie=CANADA,ChoixPaysPartie=""),0,IF(ChoixRationComplèteOvins=OUI,0,IFERROR(IF(OR(AND(INDEX(Règles_ovins[Specificite],MATCH(ChoixRationOvins&amp;$DN180,Règles_ovins[Ration]&amp;Règles_ovins[Aliment],0))="s1",IF($DN180=Spécificité1Ovins,1)),
AND(INDEX(Règles_ovins[Specificite],MATCH(ChoixRationOvins&amp;$DN180,Règles_ovins[Ration]&amp;Règles_ovins[Aliment],0))="s2",IF($DN180=Spécificité2Ovins,1)),
INDEX(Règles_ovins[Specificite],MATCH(ChoixRationOvins&amp;$DN180,Règles_ovins[Ration]&amp;Règles_ovins[Aliment],0))="c"),
INDEX(Règles_ovins[Valeur 3-6],MATCH(ChoixRationOvins&amp;$DN180,Règles_ovins[Ration]&amp;Règles_ovins[Aliment],0)),0),0)*IF(ChoixOvinsPréHiver=OUI,SUM(TotalOvins_3_6moisRacesLaitières)*NbreJoursNourrirOvins,TotalAgneau_3_6_mois*SUM(NbreJoursNourrirOvins))))</f>
        <v>0</v>
      </c>
      <c r="DR180" s="1267">
        <f t="array" ref="DR180">IF(OR(ChoixPaysPartie=USA,ChoixPaysPartie=CANADA,ChoixPaysPartie=""),0,IF(ChoixRationComplèteOvins=OUI,0,IFERROR(IF(OR(AND(INDEX(Règles_ovins[Specificite],MATCH(ChoixRationOvins&amp;$DN180,Règles_ovins[Ration]&amp;Règles_ovins[Aliment],0))="s1",IF($DN180=Spécificité1Ovins,1)),
AND(INDEX(Règles_ovins[Specificite],MATCH(ChoixRationOvins&amp;$DN180,Règles_ovins[Ration]&amp;Règles_ovins[Aliment],0))="s2",IF($DN180=Spécificité2Ovins,1)),
INDEX(Règles_ovins[Specificite],MATCH(ChoixRationOvins&amp;$DN180,Règles_ovins[Ration]&amp;Règles_ovins[Aliment],0))="c"),
INDEX(Règles_ovins[Valeur 0-3],MATCH(ChoixRationOvins&amp;$DN180,Règles_ovins[Ration]&amp;Règles_ovins[Aliment],0)),0),0)*IF(ChoixOvinsPréHiver=OUI,SUM(TotalOvins_3_6moisRacesLaitières)*NbreJoursNourrirOvins,TotalAgneau_0_3_mois*SUM(NbreJoursNourrirOvins))))</f>
        <v>0</v>
      </c>
      <c r="DS180" s="1279">
        <f t="shared" si="61"/>
        <v>0</v>
      </c>
      <c r="DT180" s="1346"/>
      <c r="DU180" s="1346"/>
      <c r="DV180" s="1321"/>
      <c r="DW180" s="1321"/>
      <c r="DX180" s="1321"/>
      <c r="DY180" s="1321"/>
      <c r="DZ180" s="1321"/>
      <c r="EA180" s="1321"/>
      <c r="EB180" s="1321"/>
      <c r="EC180" s="1321"/>
      <c r="ED180" s="1345"/>
      <c r="EE180" s="1345"/>
      <c r="EF180" s="1321"/>
      <c r="EG180" s="1076" t="str">
        <f t="shared" si="63"/>
        <v>Tourteau de colza</v>
      </c>
      <c r="EH180" s="1267">
        <f t="array" ref="EH180">SUM((IF(QualitéAlimentsOisonMâle_0_3_mois=BONNE,VLOOKUP("Tourteau de colza",AlimentsRationOiesMâles[],4,FALSE),0)+(IF(QualitéAlimentsOisonFemelle_0_3_mois=BONNE,VLOOKUP("Tourteau de colza",AlimentsRationOiesFemelles[],4,FALSE),0)+(IF(QualitéAlimentsJeuneJars=BONNE,VLOOKUP("Tourteau de colza",AlimentsRationOiesMâles[],3,FALSE),0)+(IF(QualitéAlimentsJeuneOie=BONNE,VLOOKUP("Tourteau de colza",AlimentsRationOiesFemelles[],3,FALSE),0)+(IF(QualitéAlimentsJars=BONNE,VLOOKUP("Tourteau de colza",AlimentsRationOiesMâles[],2,FALSE),0)+(IF(QualitéAlimentsOie=BONNE,VLOOKUP("Tourteau de colza",AlimentsRationOiesFemelles[],2,FALSE),0))))))))</f>
        <v>0</v>
      </c>
      <c r="EI180" s="1267">
        <f t="array" ref="EI180">SUM((IF(QualitéAlimentsOisonMâle_0_3_mois=MOYENNE,VLOOKUP("Tourteau de colza",AlimentsRationOiesMâles[],4,FALSE),0)+(IF(QualitéAlimentsOisonFemelle_0_3_mois=MOYENNE,VLOOKUP("Tourteau de colza",AlimentsRationOiesFemelles[],4,FALSE),0)+(IF(QualitéAlimentsJeuneJars=MOYENNE,VLOOKUP("Tourteau de colza",AlimentsRationOiesMâles[],3,FALSE),0)+(IF(QualitéAlimentsJeuneOie=MOYENNE,VLOOKUP("Tourteau de colza",AlimentsRationOiesFemelles[],3,FALSE),0)+(IF(QualitéAlimentsJars=MOYENNE,VLOOKUP("Tourteau de colza",AlimentsRationOiesMâles[],2,FALSE),0)+(IF(QualitéAlimentsOie=MOYENNE,VLOOKUP("Tourteau de colza",AlimentsRationOiesFemelles[],2,FALSE),0))))))))</f>
        <v>0</v>
      </c>
      <c r="EJ180" s="1267">
        <f t="array" ref="EJ180">SUM((IF(QualitéAlimentsOisonMâle_0_3_mois=MAUVAISE,VLOOKUP("Tourteau de colza",AlimentsRationOiesMâles[],4,FALSE),0)+(IF(QualitéAlimentsOisonFemelle_0_3_mois=MAUVAISE,VLOOKUP("Tourteau de colza",AlimentsRationOiesFemelles[],4,FALSE),0)+(IF(QualitéAlimentsJeuneJars=MAUVAISE,VLOOKUP("Tourteau de colza",AlimentsRationOiesMâles[],3,FALSE),0)+(IF(QualitéAlimentsJeuneOie=MAUVAISE,VLOOKUP("Tourteau de colza",AlimentsRationOiesFemelles[],3,FALSE),0)+(IF(QualitéAlimentsJars=MAUVAISE,VLOOKUP("Tourteau de colza",AlimentsRationOiesMâles[],2,FALSE),0)+(IF(QualitéAlimentsOie=MAUVAISE,VLOOKUP("Tourteau de colza",AlimentsRationOiesFemelles[],2,FALSE),0))))))))</f>
        <v>0</v>
      </c>
      <c r="EK180" s="1345"/>
      <c r="EL180" s="1345"/>
      <c r="EM180" s="1321"/>
      <c r="EN180" s="1083" t="str">
        <f t="shared" si="62"/>
        <v>Tourteau de tournesol</v>
      </c>
      <c r="EO180" s="1283">
        <f t="array" ref="EO180">SUM((IF(QualitéAlimentsCanetonMâle=BONNE,VLOOKUP("Tourteau de tournesol",AlimentsRationCanardsMâles,4,FALSE),0)+(IF(QualitéAlimentsCanetonFemelle=BONNE,VLOOKUP("Tourteau de tournesol",AlimentsRationCanardsFemelles,4,FALSE),0)+(IF(QualitéAlimentsJeuneCanard=BONNE,VLOOKUP("Tourteau de tournesol",AlimentsRationCanardsMâles,3,FALSE),0)+(IF(QualitéAlimentsJeuneCane=BONNE,VLOOKUP("Tourteau de tournesol",AlimentsRationCanardsFemelles,3,FALSE),0)+(IF(QualitéAlimentsCanard=BONNE,VLOOKUP("Tourteau de tournesol",AlimentsRationCanardsMâles,2,FALSE),0)+(IF(QualitéAlimentsCane=BONNE,VLOOKUP("Tourteau de tournesol",AlimentsRationCanardsFemelles,2,FALSE),0))))))))</f>
        <v>0</v>
      </c>
      <c r="EP180" s="1283">
        <f t="array" ref="EP180">SUM((IF(QualitéAlimentsCanetonMâle=MOYENNE,VLOOKUP("Tourteau de tournesol",AlimentsRationCanardsMâles,4,FALSE),0)+(IF(QualitéAlimentsCanetonFemelle=MOYENNE,VLOOKUP("Tourteau de tournesol",AlimentsRationCanardsFemelles,4,FALSE),0)+(IF(QualitéAlimentsJeuneCanard=MOYENNE,VLOOKUP("Tourteau de tournesol",AlimentsRationCanardsMâles,3,FALSE),0)+(IF(QualitéAlimentsJeuneCane=MOYENNE,VLOOKUP("Tourteau de tournesol",AlimentsRationCanardsFemelles,3,FALSE),0)+(IF(QualitéAlimentsCanard=MOYENNE,VLOOKUP("Tourteau de tournesol",AlimentsRationCanardsMâles,2,FALSE),0)+(IF(QualitéAlimentsCane=MOYENNE,VLOOKUP("Tourteau de tournesol",AlimentsRationCanardsFemelles,2,FALSE),0))))))))</f>
        <v>0</v>
      </c>
      <c r="EQ180" s="1283">
        <f t="array" ref="EQ180">SUM((IF(QualitéAlimentsCanetonMâle=MAUVAISE,VLOOKUP("Tourteau de tournesol",AlimentsRationCanardsMâles,4,FALSE),0)+(IF(QualitéAlimentsCanetonFemelle=MAUVAISE,VLOOKUP("Tourteau de tournesol",AlimentsRationCanardsFemelles,4,FALSE),0)+(IF(QualitéAlimentsJeuneCanard=MAUVAISE,VLOOKUP("Tourteau de tournesol",AlimentsRationCanardsMâles,3,FALSE),0)+(IF(QualitéAlimentsJeuneCane=MAUVAISE,VLOOKUP("Tourteau de tournesol",AlimentsRationCanardsFemelles,3,FALSE),0)+(IF(QualitéAlimentsCanard=MAUVAISE,VLOOKUP("Tourteau de tournesol",AlimentsRationCanardsMâles,2,FALSE),0)+(IF(QualitéAlimentsCane=MAUVAISE,VLOOKUP("Tourteau de tournesol",AlimentsRationCanardsFemelles,2,FALSE),0))))))))</f>
        <v>0</v>
      </c>
      <c r="ER180" s="1345"/>
      <c r="ES180" s="1345"/>
      <c r="ET180" s="1321"/>
      <c r="EU180" s="1082" t="str">
        <f t="shared" si="60"/>
        <v>Triticale</v>
      </c>
      <c r="EV180" s="1282">
        <f t="array" ref="EV180">IF(OR(ChoixRationHivernaleComplèteChevauxSelle=OUI,ChoixRationHivernaleComplèteChevauxSelle="",ChoixChevauxSellePréHiver=NON),0,IFERROR(IF(OR(AND(INDEX(Règles_chevaux_selle[Specificite],MATCH(RationHivernaleAuPréChevauxSelle&amp;$EU180,Règles_chevaux_selle[Ration]&amp;Règles_chevaux_selle[Aliment],0))="s1",IF($EU180=Spécificité1ChevauxSelle,1)),
AND(INDEX(Règles_chevaux_selle[Specificite],MATCH(RationHivernaleAuPréChevauxSelle&amp;$EU180,Règles_chevaux_selle[Ration]&amp;Règles_chevaux_selle[Aliment],0))="s2",IF($EU180=Spécificité2ChevauxSelle,1)),
INDEX(Règles_chevaux_selle[Specificite],MATCH(RationHivernaleAuPréChevauxSelle&amp;$EU180,Règles_chevaux_selle[Ration]&amp;Règles_chevaux_selle[Aliment],0))="c"),
INDEX(Règles_chevaux_selle[Valeur 36 et plus],MATCH(RationHivernaleAuPréChevauxSelle&amp;$EU180,Règles_chevaux_selle[Ration]&amp;Règles_chevaux_selle[Aliment],0)),0),0)*SUM(TotalChevauxSelleAdultes)*21)</f>
        <v>0</v>
      </c>
      <c r="EW180" s="1282">
        <f t="array" ref="EW180">IF(OR(ChoixRationHivernaleComplèteChevauxSelle=OUI,ChoixRationHivernaleComplèteChevauxSelle="",ChoixChevauxSellePréHiver=NON),0,IFERROR(IF(OR(AND(INDEX(Règles_chevaux_selle[Specificite],MATCH(RationHivernaleAuPréChevauxSelle&amp;$EU180,Règles_chevaux_selle[Ration]&amp;Règles_chevaux_selle[Aliment],0))="s1",IF($EU180=Spécificité1ChevauxSelle,1)),
AND(INDEX(Règles_chevaux_selle[Specificite],MATCH(RationHivernaleAuPréChevauxSelle&amp;$EU180,Règles_chevaux_selle[Ration]&amp;Règles_chevaux_selle[Aliment],0))="s2",IF($EU180=Spécificité2ChevauxSelle,1)),
INDEX(Règles_chevaux_selle[Specificite],MATCH(RationHivernaleAuPréChevauxSelle&amp;$EU180,Règles_chevaux_selle[Ration]&amp;Règles_chevaux_selle[Aliment],0))="c"),
INDEX(Règles_chevaux_selle[Valeur 24-36],MATCH(RationHivernaleAuPréChevauxSelle&amp;$EU180,Règles_chevaux_selle[Ration]&amp;Règles_chevaux_selle[Aliment],0)),0),0)*SUM(TotalChevauxSelle_24_36mois)*21)</f>
        <v>0</v>
      </c>
      <c r="EX180" s="1282">
        <f t="array" ref="EX180">IF(OR(ChoixRationHivernaleComplèteChevauxSelle=OUI,ChoixRationHivernaleComplèteChevauxSelle="",ChoixChevauxSellePréHiver=NON),0,IFERROR(IF(OR(AND(INDEX(Règles_chevaux_selle[Specificite],MATCH(RationHivernaleAuPréChevauxSelle&amp;$EU180,Règles_chevaux_selle[Ration]&amp;Règles_chevaux_selle[Aliment],0))="s1",IF($EU180=Spécificité1ChevauxSelle,1)),
AND(INDEX(Règles_chevaux_selle[Specificite],MATCH(RationHivernaleAuPréChevauxSelle&amp;$EU180,Règles_chevaux_selle[Ration]&amp;Règles_chevaux_selle[Aliment],0))="s2",IF($EU180=Spécificité2ChevauxSelle,1)),
INDEX(Règles_chevaux_selle[Specificite],MATCH(RationHivernaleAuPréChevauxSelle&amp;$EU180,Règles_chevaux_selle[Ration]&amp;Règles_chevaux_selle[Aliment],0))="c"),
INDEX(Règles_chevaux_selle[Valeur 12-24],MATCH(RationHivernaleAuPréChevauxSelle&amp;$EU180,Règles_chevaux_selle[Ration]&amp;Règles_chevaux_selle[Aliment],0)),0),0)*SUM(TotalChevauxSelle_12_24mois)*21)</f>
        <v>0</v>
      </c>
      <c r="EY180" s="1285">
        <f t="array" ref="EY180">IF(OR(ChoixRationHivernaleComplèteChevauxSelle=OUI,ChoixRationHivernaleComplèteChevauxSelle="",ChoixChevauxSellePréHiver=NON),0,IFERROR(IF(OR(AND(INDEX(Règles_chevaux_selle[Specificite],MATCH(RationHivernaleAuPréChevauxSelle&amp;$EU180,Règles_chevaux_selle[Ration]&amp;Règles_chevaux_selle[Aliment],0))="s1",IF($EU180=Spécificité1ChevauxSelle,1)),
AND(INDEX(Règles_chevaux_selle[Specificite],MATCH(RationHivernaleAuPréChevauxSelle&amp;$EU180,Règles_chevaux_selle[Ration]&amp;Règles_chevaux_selle[Aliment],0))="s2",IF($EU180=Spécificité2ChevauxSelle,1)),
INDEX(Règles_chevaux_selle[Specificite],MATCH(RationHivernaleAuPréChevauxSelle&amp;$EU180,Règles_chevaux_selle[Ration]&amp;Règles_chevaux_selle[Aliment],0))="c"),
INDEX(Règles_chevaux_selle[Valeur 0-12],MATCH(RationHivernaleAuPréChevauxSelle&amp;$EU180,Règles_chevaux_selle[Ration]&amp;Règles_chevaux_selle[Aliment],0)),0),0)*SUM(TotalPoulainsSelle)*21)</f>
        <v>0</v>
      </c>
      <c r="EZ180" s="1285">
        <f t="shared" si="59"/>
        <v>0</v>
      </c>
      <c r="FA180" s="1345"/>
      <c r="FB180" s="1345"/>
      <c r="FC180" s="1321"/>
      <c r="FD180" s="1082">
        <f t="shared" si="55"/>
        <v>0</v>
      </c>
      <c r="FE180" s="1282">
        <f t="array" ref="FE180">IF(OR(ChoixRationHivernaleComplèteChevauxTrait=OUI,ChoixRationHivernaleComplèteChevauxTrait="",ChoixChevauxTraitPréHiver=NON),0,IFERROR(IF(OR(AND(INDEX(Règles_chevaux_trait[Specificite],MATCH(RationHivernaleAuPréChevauxTrait&amp;$FD180,Règles_chevaux_trait[Ration]&amp;Règles_chevaux_trait[Aliment],0))="s1",IF($FD180=Spécificité1ChevauxTrait,1)),
AND(INDEX(Règles_chevaux_trait[Specificite],MATCH(RationHivernaleAuPréChevauxTrait&amp;$FD180,Règles_chevaux_trait[Ration]&amp;Règles_chevaux_trait[Aliment],0))="s2",IF($FD180=Spécificité2ChevauxTrait,1)),
INDEX(Règles_chevaux_trait[Specificite],MATCH(RationHivernaleAuPréChevauxTrait&amp;$FD180,Règles_chevaux_trait[Ration]&amp;Règles_chevaux_trait[Aliment],0))="c"),
INDEX(Règles_chevaux_trait[Valeur 36 et plus],MATCH(RationHivernaleAuPréChevauxTrait&amp;$FD180,Règles_chevaux_trait[Ration]&amp;Règles_chevaux_trait[Aliment],0)),0),0)*SUM(TotalChevauxTraitAdultes)*21)</f>
        <v>0</v>
      </c>
      <c r="FF180" s="1282">
        <f t="array" ref="FF180">IF(OR(ChoixRationHivernaleComplèteChevauxTrait=OUI,ChoixRationHivernaleComplèteChevauxTrait="",ChoixChevauxTraitPréHiver=NON),0,IFERROR(IF(OR(AND(INDEX(Règles_chevaux_trait[Specificite],MATCH(RationHivernaleAuPréChevauxTrait&amp;$FD180,Règles_chevaux_trait[Ration]&amp;Règles_chevaux_trait[Aliment],0))="s1",IF($FD180=Spécificité1ChevauxTrait,1)),
AND(INDEX(Règles_chevaux_trait[Specificite],MATCH(RationHivernaleAuPréChevauxTrait&amp;$FD180,Règles_chevaux_trait[Ration]&amp;Règles_chevaux_trait[Aliment],0))="s2",IF($FD180=Spécificité2ChevauxTrait,1)),
INDEX(Règles_chevaux_trait[Specificite],MATCH(RationHivernaleAuPréChevauxTrait&amp;$FD180,Règles_chevaux_trait[Ration]&amp;Règles_chevaux_trait[Aliment],0))="c"),
INDEX(Règles_chevaux_trait[Valeur 24-36],MATCH(RationHivernaleAuPréChevauxTrait&amp;$FD180,Règles_chevaux_trait[Ration]&amp;Règles_chevaux_trait[Aliment],0)),0),0)*SUM(TotalChevauxTrait_24_36mois)*21)</f>
        <v>0</v>
      </c>
      <c r="FG180" s="1282">
        <f t="array" ref="FG180">IF(OR(ChoixRationHivernaleComplèteChevauxTrait=OUI,ChoixRationHivernaleComplèteChevauxTrait="",ChoixChevauxTraitPréHiver=NON),0,IFERROR(IF(OR(AND(INDEX(Règles_chevaux_trait[Specificite],MATCH(RationHivernaleAuPréChevauxTrait&amp;$FD180,Règles_chevaux_trait[Ration]&amp;Règles_chevaux_trait[Aliment],0))="s1",IF($FD180=Spécificité1ChevauxTrait,1)),
AND(INDEX(Règles_chevaux_trait[Specificite],MATCH(RationHivernaleAuPréChevauxTrait&amp;$FD180,Règles_chevaux_trait[Ration]&amp;Règles_chevaux_trait[Aliment],0))="s2",IF($FD180=Spécificité2ChevauxTrait,1)),
INDEX(Règles_chevaux_trait[Specificite],MATCH(RationHivernaleAuPréChevauxTrait&amp;$FD180,Règles_chevaux_trait[Ration]&amp;Règles_chevaux_trait[Aliment],0))="c"),
INDEX(Règles_chevaux_trait[Valeur 12-24],MATCH(RationHivernaleAuPréChevauxTrait&amp;$FD180,Règles_chevaux_trait[Ration]&amp;Règles_chevaux_trait[Aliment],0)),0),0)*SUM(TotalChevauxTrait_12_24mois)*21)</f>
        <v>0</v>
      </c>
      <c r="FH180" s="1285">
        <f t="array" ref="FH180">IF(OR(ChoixRationHivernaleComplèteChevauxTrait=OUI,ChoixRationHivernaleComplèteChevauxTrait="",ChoixChevauxTraitPréHiver=NON),0,IFERROR(IF(OR(AND(INDEX(Règles_chevaux_trait[Specificite],MATCH(RationHivernaleAuPréChevauxTrait&amp;$FD180,Règles_chevaux_trait[Ration]&amp;Règles_chevaux_trait[Aliment],0))="s1",IF($FD180=Spécificité1ChevauxTrait,1)),
AND(INDEX(Règles_chevaux_trait[Specificite],MATCH(RationHivernaleAuPréChevauxTrait&amp;$FD180,Règles_chevaux_trait[Ration]&amp;Règles_chevaux_trait[Aliment],0))="s2",IF($FD180=Spécificité2ChevauxTrait,1)),
INDEX(Règles_chevaux_trait[Specificite],MATCH(RationHivernaleAuPréChevauxTrait&amp;$FD180,Règles_chevaux_trait[Ration]&amp;Règles_chevaux_trait[Aliment],0))="c"),
INDEX(Règles_chevaux_trait[Valeur 0-12],MATCH(RationHivernaleAuPréChevauxTrait&amp;$FD180,Règles_chevaux_trait[Ration]&amp;Règles_chevaux_trait[Aliment],0)),0),0)*SUM(TotalPoulainsTrait)*21)</f>
        <v>0</v>
      </c>
      <c r="FI180" s="1285">
        <f t="shared" si="53"/>
        <v>0</v>
      </c>
      <c r="FJ180" s="1345"/>
      <c r="FK180" s="1345"/>
      <c r="FL180" s="1345"/>
      <c r="FM180" s="1321"/>
      <c r="FN180" s="1336"/>
      <c r="FO180" s="1336"/>
      <c r="FP180" s="1336"/>
      <c r="FQ180" s="1336"/>
      <c r="FR180" s="1336"/>
      <c r="FS180" s="1336"/>
      <c r="FT180" s="1345"/>
      <c r="FU180" s="1345"/>
      <c r="FV180" s="1345"/>
      <c r="FW180" s="1345"/>
      <c r="FX180" s="1345"/>
      <c r="FY180" s="1345"/>
      <c r="FZ180" s="1345"/>
      <c r="GA180" s="1345"/>
      <c r="GB180" s="1345"/>
      <c r="GC180" s="1321"/>
      <c r="GD180" s="1321"/>
      <c r="GE180" s="1321"/>
      <c r="GF180" s="1321"/>
      <c r="GG180" s="1321" t="s">
        <v>1349</v>
      </c>
      <c r="GH180" s="1321" t="s">
        <v>1349</v>
      </c>
      <c r="GI180" s="1321" t="s">
        <v>1349</v>
      </c>
      <c r="GJ180" s="1321" t="s">
        <v>1349</v>
      </c>
      <c r="GK180" s="1321" t="s">
        <v>1349</v>
      </c>
      <c r="GL180" s="1321" t="s">
        <v>1349</v>
      </c>
      <c r="GM180" s="1321" t="s">
        <v>1349</v>
      </c>
      <c r="GN180" s="1321" t="s">
        <v>1349</v>
      </c>
      <c r="GO180" s="1321" t="s">
        <v>1349</v>
      </c>
      <c r="GP180" s="1321" t="s">
        <v>1349</v>
      </c>
      <c r="GQ180" s="1321" t="s">
        <v>1349</v>
      </c>
      <c r="GR180" s="1321" t="s">
        <v>1349</v>
      </c>
      <c r="GS180" s="1321" t="s">
        <v>1349</v>
      </c>
      <c r="GT180" s="1321" t="s">
        <v>1349</v>
      </c>
      <c r="GU180" s="1321" t="s">
        <v>1349</v>
      </c>
      <c r="GV180" s="1321" t="s">
        <v>1349</v>
      </c>
      <c r="GW180" s="1321"/>
      <c r="GX180" s="1321"/>
      <c r="GY180" s="1321"/>
      <c r="GZ180" s="1321"/>
      <c r="HA180" s="1321"/>
      <c r="HB180" s="1321"/>
      <c r="HC180" s="1321"/>
      <c r="HD180" s="1321"/>
      <c r="HE180" s="1321"/>
      <c r="HF180" s="1321"/>
      <c r="HG180" s="1321"/>
      <c r="HH180" s="1321"/>
      <c r="HI180" s="1321"/>
      <c r="HJ180" s="1321"/>
      <c r="HK180" s="1321"/>
      <c r="HL180" s="1321"/>
      <c r="HM180" s="1321"/>
      <c r="HN180" s="1321"/>
      <c r="HO180" s="1321"/>
      <c r="HP180" s="1321"/>
      <c r="HQ180" s="1321"/>
      <c r="HR180" s="1321"/>
      <c r="HS180" s="1321"/>
      <c r="HT180" s="1321"/>
      <c r="HU180" s="1321"/>
      <c r="HV180" s="1321"/>
      <c r="HW180" s="1321"/>
      <c r="HX180" s="1321"/>
      <c r="HY180" s="1321"/>
      <c r="HZ180" s="1321"/>
      <c r="IA180" s="1321"/>
      <c r="IB180" s="1321"/>
      <c r="IC180" s="1321"/>
      <c r="ID180" s="1321"/>
      <c r="IE180" s="1321"/>
      <c r="IF180" s="1321"/>
      <c r="IG180" s="1321"/>
      <c r="IH180" s="1321"/>
      <c r="II180" s="1321"/>
      <c r="IJ180" s="1321"/>
      <c r="IK180" s="1321"/>
      <c r="IL180" s="1321"/>
      <c r="IM180" s="1321"/>
      <c r="IN180" s="1368"/>
    </row>
    <row r="181" spans="1:248" ht="12.75" customHeight="1" x14ac:dyDescent="0.2">
      <c r="A181" s="1307" t="s">
        <v>1344</v>
      </c>
      <c r="B181" s="1209">
        <f>1/1000</f>
        <v>1E-3</v>
      </c>
      <c r="C181" s="1321"/>
      <c r="D181" s="1253" t="s">
        <v>1971</v>
      </c>
      <c r="E181" s="1254">
        <v>2.1</v>
      </c>
      <c r="F181" s="1321"/>
      <c r="G181" s="1321"/>
      <c r="H181" s="1321"/>
      <c r="I181" s="1321"/>
      <c r="J181" s="1321"/>
      <c r="K181" s="1321"/>
      <c r="L181" s="1321"/>
      <c r="M181" s="1321"/>
      <c r="N181" s="1321"/>
      <c r="O181" s="1321"/>
      <c r="P181" s="1321"/>
      <c r="Q181" s="1321"/>
      <c r="R181" s="1321"/>
      <c r="S181" s="1321"/>
      <c r="T181" s="1321"/>
      <c r="U181" s="1321"/>
      <c r="V181" s="1321"/>
      <c r="W181" s="1321"/>
      <c r="X181" s="1321"/>
      <c r="Y181" s="1321"/>
      <c r="Z181" s="1321"/>
      <c r="AA181" s="1321"/>
      <c r="AB181" s="1321"/>
      <c r="AC181" s="1321"/>
      <c r="AD181" s="1321"/>
      <c r="AE181" s="1321"/>
      <c r="AF181" s="1321"/>
      <c r="AG181" s="1321"/>
      <c r="AH181" s="1321"/>
      <c r="AI181" s="1321"/>
      <c r="AJ181" s="1321"/>
      <c r="AK181" s="1321"/>
      <c r="AL181" s="1321"/>
      <c r="AM181" s="1321"/>
      <c r="AN181" s="1321"/>
      <c r="AO181" s="1321"/>
      <c r="AP181" s="1321"/>
      <c r="AQ181" s="1321"/>
      <c r="AR181" s="1321"/>
      <c r="AS181" s="1321"/>
      <c r="AT181" s="1321"/>
      <c r="AU181" s="1321"/>
      <c r="AV181" s="1321"/>
      <c r="AW181" s="1321"/>
      <c r="AX181" s="1321"/>
      <c r="AY181" s="1321"/>
      <c r="AZ181" s="1321"/>
      <c r="BA181" s="1321"/>
      <c r="BB181" s="1236" t="s">
        <v>1134</v>
      </c>
      <c r="BC181" s="1190" t="s">
        <v>1271</v>
      </c>
      <c r="BD181" s="1190" t="s">
        <v>1252</v>
      </c>
      <c r="BE181" s="1237">
        <v>1</v>
      </c>
      <c r="BF181" s="1237">
        <v>0.8</v>
      </c>
      <c r="BG181" s="1237">
        <v>0.7</v>
      </c>
      <c r="BH181" s="1237">
        <v>0.5</v>
      </c>
      <c r="BI181" s="1237">
        <v>0.4</v>
      </c>
      <c r="BJ181" s="1237">
        <v>0.3</v>
      </c>
      <c r="BK181" s="1238">
        <v>0</v>
      </c>
      <c r="BL181" s="1321"/>
      <c r="BM181" s="1346"/>
      <c r="BN181" s="1321"/>
      <c r="BO181" s="1321"/>
      <c r="BP181" s="1321"/>
      <c r="BQ181" s="1321"/>
      <c r="BR181" s="1321"/>
      <c r="BS181" s="1321"/>
      <c r="BT181" s="1321"/>
      <c r="BU181" s="1321"/>
      <c r="BV181" s="1345"/>
      <c r="BW181" s="1345"/>
      <c r="BX181" s="789" t="s">
        <v>1276</v>
      </c>
      <c r="BY181" s="833" t="s">
        <v>1693</v>
      </c>
      <c r="BZ181" s="833" t="s">
        <v>1694</v>
      </c>
      <c r="CA181" s="833" t="s">
        <v>1695</v>
      </c>
      <c r="CB181" s="833" t="s">
        <v>1696</v>
      </c>
      <c r="CC181" s="833" t="s">
        <v>1697</v>
      </c>
      <c r="CD181" s="833" t="s">
        <v>1698</v>
      </c>
      <c r="CE181" s="833" t="s">
        <v>1699</v>
      </c>
      <c r="CF181" s="833" t="s">
        <v>1700</v>
      </c>
      <c r="CG181" s="1277" t="s">
        <v>1269</v>
      </c>
      <c r="CH181" s="1345"/>
      <c r="CI181" s="1321"/>
      <c r="CJ181" s="1321"/>
      <c r="CK181" s="1321"/>
      <c r="CL181" s="1321"/>
      <c r="CM181" s="1318"/>
      <c r="CN181" s="1318"/>
      <c r="CO181" s="1318"/>
      <c r="CP181" s="1318"/>
      <c r="CQ181" s="1318"/>
      <c r="CR181" s="1318"/>
      <c r="CS181" s="1076" t="str">
        <f t="shared" si="66"/>
        <v>Seigle</v>
      </c>
      <c r="CT181" s="1267">
        <f t="array" ref="CT181">SUM((IF(QualitéAlimentsLapereauMâle_0_1_mois=BONNE,VLOOKUP("Seigle",AlimentsRationLapinsMâles[],4,FALSE),0)+(IF(QualitéAlimentsLapereauFemelle_0_1_mois=BONNE,VLOOKUP("Seigle",AlimentsRationLapinsFemelles[],4,FALSE),0)+(IF(QualitéAlimentsJeuneLapin=BONNE,VLOOKUP("Seigle",AlimentsRationLapinsMâles[],3,FALSE),0)+(IF(QualitéAlimentsJeuneLapine=BONNE,VLOOKUP("Seigle",AlimentsRationLapinsFemelles[],3,FALSE),0)+(IF(QualitéAlimentsLapin=BONNE,VLOOKUP("Seigle",AlimentsRationLapinsMâles[],2,FALSE),0)+(IF(QualitéAlimentsLapine=BONNE,VLOOKUP("Seigle",AlimentsRationLapinsFemelles[],2,FALSE),0))))))))</f>
        <v>0</v>
      </c>
      <c r="CU181" s="1267">
        <f t="array" ref="CU181">SUM((IF(QualitéAlimentsLapereauMâle_0_1_mois=MOYENNE,VLOOKUP("Seigle",AlimentsRationLapinsMâles[],4,FALSE),0)+(IF(QualitéAlimentsLapereauFemelle_0_1_mois=MOYENNE,VLOOKUP("Seigle",AlimentsRationLapinsFemelles[],4,FALSE),0)+(IF(QualitéAlimentsJeuneLapin=MOYENNE,VLOOKUP("Seigle",AlimentsRationLapinsMâles[],3,FALSE),0)+(IF(QualitéAlimentsJeuneLapine=MOYENNE,VLOOKUP("Seigle",AlimentsRationLapinsFemelles[],3,FALSE),0)+(IF(QualitéAlimentsLapin=MOYENNE,VLOOKUP("Seigle",AlimentsRationLapinsMâles[],2,FALSE),0)+(IF(QualitéAlimentsLapine=MOYENNE,VLOOKUP("Seigle",AlimentsRationLapinsFemelles[],2,FALSE),0))))))))</f>
        <v>0</v>
      </c>
      <c r="CV181" s="1267">
        <f t="array" ref="CV181">SUM((IF(QualitéAlimentsLapereauMâle_0_1_mois=MAUVAISE,VLOOKUP("Seigle",AlimentsRationLapinsMâles[],4,FALSE),0)+(IF(QualitéAlimentsLapereauFemelle_0_1_mois=MAUVAISE,VLOOKUP("Seigle",AlimentsRationLapinsFemelles[],4,FALSE),0)+(IF(QualitéAlimentsJeuneLapin=MAUVAISE,VLOOKUP("Seigle",AlimentsRationLapinsMâles[],3,FALSE),0)+(IF(QualitéAlimentsJeuneLapine=MAUVAISE,VLOOKUP("Seigle",AlimentsRationLapinsFemelles[],3,FALSE),0)+(IF(QualitéAlimentsLapin=MAUVAISE,VLOOKUP("Seigle",AlimentsRationLapinsMâles[],2,FALSE),0)+(IF(QualitéAlimentsLapine=MAUVAISE,VLOOKUP("Seigle",AlimentsRationLapinsFemelles[],2,FALSE),0))))))))</f>
        <v>0</v>
      </c>
      <c r="CW181" s="1321"/>
      <c r="CX181" s="1321"/>
      <c r="CY181" s="1321"/>
      <c r="CZ181" s="1075" t="str">
        <f t="shared" si="65"/>
        <v>Soja</v>
      </c>
      <c r="DA181" s="1269">
        <f t="array" ref="DA181">SUM((IF(QualitéAlimentsPoussinMâle_0_1_mois=BONNE,VLOOKUP("Soja",AlimentsRationVolaillesMâles[],4,FALSE),0)+(IF(QualitéAlimentsPoussinFemelle_0_1_mois=BONNE,VLOOKUP("Soja",AlimentsRationVolaillesFemelles[],4,FALSE),0)+(IF(QualitéAlimentsJeuneCoq=BONNE,VLOOKUP("Soja",AlimentsRationVolaillesMâles[],3,FALSE),0)+(IF(QualitéAlimentsJeunePoule=BONNE,VLOOKUP("Soja",AlimentsRationVolaillesFemelles[],3,FALSE),0)+(IF(QualitéAlimentsCoq=BONNE,VLOOKUP("Soja",AlimentsRationVolaillesMâles[],2,FALSE),0)+(IF(QualitéAlimentsPoule=BONNE,VLOOKUP("Soja",AlimentsRationVolaillesFemelles[],2,FALSE),0))))))))</f>
        <v>0</v>
      </c>
      <c r="DB181" s="1269">
        <f t="array" ref="DB181">SUM((IF(QualitéAlimentsPoussinMâle_0_1_mois=MOYENNE,VLOOKUP("Soja",AlimentsRationVolaillesMâles[],4,FALSE),0)+(IF(QualitéAlimentsPoussinFemelle_0_1_mois=MOYENNE,VLOOKUP("Soja",AlimentsRationVolaillesFemelles[],4,FALSE),0)+(IF(QualitéAlimentsJeuneCoq=MOYENNE,VLOOKUP("Soja",AlimentsRationVolaillesMâles[],3,FALSE),0)+(IF(QualitéAlimentsJeunePoule=MOYENNE,VLOOKUP("Soja",AlimentsRationVolaillesFemelles[],3,FALSE),0)+(IF(QualitéAlimentsCoq=MOYENNE,VLOOKUP("Soja",AlimentsRationVolaillesMâles[],2,FALSE),0)+(IF(QualitéAlimentsPoule=MOYENNE,VLOOKUP("Soja",AlimentsRationVolaillesFemelles[],2,FALSE),0))))))))</f>
        <v>0</v>
      </c>
      <c r="DC181" s="1269">
        <f t="array" ref="DC181">SUM((IF(QualitéAlimentsPoussinMâle_0_1_mois=MAUVAISE,VLOOKUP("Soja",AlimentsRationVolaillesMâles[],4,FALSE),0)+(IF(QualitéAlimentsPoussinFemelle_0_1_mois=MAUVAISE,VLOOKUP("Soja",AlimentsRationVolaillesFemelles[],4,FALSE),0)+(IF(QualitéAlimentsJeuneCoq=MAUVAISE,VLOOKUP("Soja",AlimentsRationVolaillesMâles[],3,FALSE),0)+(IF(QualitéAlimentsJeunePoule=MAUVAISE,VLOOKUP("Soja",AlimentsRationVolaillesFemelles[],3,FALSE),0)+(IF(QualitéAlimentsCoq=MAUVAISE,VLOOKUP("Soja",AlimentsRationVolaillesMâles[],2,FALSE),0)+(IF(QualitéAlimentsPoule=MAUVAISE,VLOOKUP("Soja",AlimentsRationVolaillesFemelles[],2,FALSE),0))))))))</f>
        <v>0</v>
      </c>
      <c r="DD181" s="1321"/>
      <c r="DE181" s="1321"/>
      <c r="DF181" s="1321"/>
      <c r="DG181" s="1075">
        <f t="shared" si="58"/>
        <v>0</v>
      </c>
      <c r="DH181" s="1269"/>
      <c r="DI181" s="1269"/>
      <c r="DJ181" s="1269"/>
      <c r="DK181" s="1321"/>
      <c r="DL181" s="1321"/>
      <c r="DM181" s="1321"/>
      <c r="DN181" s="1075" t="s">
        <v>1274</v>
      </c>
      <c r="DO181" s="1269">
        <f t="array" ref="DO181">IF(ChoixRationComplèteOvins=OUI,0,IFERROR(IF(OR(AND(INDEX(Règles_ovins[Specificite],MATCH(ChoixRationOvins&amp;$DN181,Règles_ovins[Ration]&amp;Règles_ovins[Aliment],0))="s1",IF($DN181=Spécificité1Ovins,1)),
AND(INDEX(Règles_ovins[Specificite],MATCH(ChoixRationOvins&amp;$DN181,Règles_ovins[Ration]&amp;Règles_ovins[Aliment],0))="s2",IF($DN181=Spécificité2Ovins,1)),
INDEX(Règles_ovins[Specificite],MATCH(ChoixRationOvins&amp;$DN181,Règles_ovins[Ration]&amp;Règles_ovins[Aliment],0))="c"),
INDEX(Règles_ovins[Valeur 12 et plus],MATCH(ChoixRationOvins&amp;$DN181,Règles_ovins[Ration]&amp;Règles_ovins[Aliment],0)),0),0)*IF(ChoixOvinsPréHiver=OUI,SUM(TotalOvinsAdultesRacesLaitières)*NbreJoursNourrirOvins,TotalBéliers*SUM(NbreJoursNourrirOvins)))</f>
        <v>0</v>
      </c>
      <c r="DP181" s="1269">
        <f t="array" ref="DP181">IF(ChoixRationComplèteOvins=OUI,0,IFERROR(IF(OR(AND(INDEX(Règles_ovins[Specificite],MATCH(ChoixRationOvins&amp;$DN181,Règles_ovins[Ration]&amp;Règles_ovins[Aliment],0))="s1",IF($DN181=Spécificité1Ovins,1)),
AND(INDEX(Règles_ovins[Specificite],MATCH(ChoixRationOvins&amp;$DN181,Règles_ovins[Ration]&amp;Règles_ovins[Aliment],0))="s2",IF($DN181=Spécificité2Ovins,1)),
INDEX(Règles_ovins[Specificite],MATCH(ChoixRationOvins&amp;$DN181,Règles_ovins[Ration]&amp;Règles_ovins[Aliment],0))="c"),
INDEX(Règles_ovins[Valeur 6-12],MATCH(ChoixRationOvins&amp;$DN181,Règles_ovins[Ration]&amp;Règles_ovins[Aliment],0)),0),0)*IF(ChoixOvinsPréHiver=OUI,SUM(TotalJeunesOvinsRacesLaitières)*NbreJoursNourrirOvins,TotalJeune_bélier_6_12_mois*SUM(NbreJoursNourrirOvins)))</f>
        <v>0</v>
      </c>
      <c r="DQ181" s="1269">
        <f t="array" ref="DQ181">IF(ChoixRationComplèteOvins=OUI,0,IFERROR(IF(OR(AND(INDEX(Règles_ovins[Specificite],MATCH(ChoixRationOvins&amp;$DN181,Règles_ovins[Ration]&amp;Règles_ovins[Aliment],0))="s1",IF($DN181=Spécificité1Ovins,1)),
AND(INDEX(Règles_ovins[Specificite],MATCH(ChoixRationOvins&amp;$DN181,Règles_ovins[Ration]&amp;Règles_ovins[Aliment],0))="s2",IF($DN181=Spécificité2Ovins,1)),
INDEX(Règles_ovins[Specificite],MATCH(ChoixRationOvins&amp;$DN181,Règles_ovins[Ration]&amp;Règles_ovins[Aliment],0))="c"),
INDEX(Règles_ovins[Valeur 3-6],MATCH(ChoixRationOvins&amp;$DN181,Règles_ovins[Ration]&amp;Règles_ovins[Aliment],0)),0),0)*IF(ChoixOvinsPréHiver=OUI,SUM(TotalOvins_3_6moisRacesLaitières)*NbreJoursNourrirOvins,TotalAgneau_3_6_mois*SUM(NbreJoursNourrirOvins)))</f>
        <v>0</v>
      </c>
      <c r="DR181" s="1269">
        <f t="array" ref="DR181">IF(ChoixRationComplèteOvins=OUI,0,IFERROR(IF(OR(AND(INDEX(Règles_ovins[Specificite],MATCH(ChoixRationOvins&amp;$DN181,Règles_ovins[Ration]&amp;Règles_ovins[Aliment],0))="s1",IF($DN181=Spécificité1Ovins,1)),
AND(INDEX(Règles_ovins[Specificite],MATCH(ChoixRationOvins&amp;$DN181,Règles_ovins[Ration]&amp;Règles_ovins[Aliment],0))="s2",IF($DN181=Spécificité2Ovins,1)),
INDEX(Règles_ovins[Specificite],MATCH(ChoixRationOvins&amp;$DN181,Règles_ovins[Ration]&amp;Règles_ovins[Aliment],0))="c"),
INDEX(Règles_ovins[Valeur 0-3],MATCH(ChoixRationOvins&amp;$DN181,Règles_ovins[Ration]&amp;Règles_ovins[Aliment],0)),0),0)*IF(ChoixOvinsPréHiver=OUI,SUM(TotalOvins_3_6moisRacesLaitières)*NbreJoursNourrirOvins,TotalAgneau_0_3_mois*SUM(NbreJoursNourrirOvins)))</f>
        <v>0</v>
      </c>
      <c r="DS181" s="1280">
        <f t="shared" si="61"/>
        <v>0</v>
      </c>
      <c r="DT181" s="1346"/>
      <c r="DU181" s="1346"/>
      <c r="DV181" s="1321"/>
      <c r="DW181" s="1321"/>
      <c r="DX181" s="1321"/>
      <c r="DY181" s="1321"/>
      <c r="DZ181" s="1321"/>
      <c r="EA181" s="1321"/>
      <c r="EB181" s="1321"/>
      <c r="EC181" s="1321"/>
      <c r="ED181" s="1345"/>
      <c r="EE181" s="1345"/>
      <c r="EF181" s="1321"/>
      <c r="EG181" s="1075" t="str">
        <f t="shared" si="63"/>
        <v>Tourteau de tournesol</v>
      </c>
      <c r="EH181" s="1269">
        <f t="array" ref="EH181">SUM((IF(QualitéAlimentsOisonMâle_0_3_mois=BONNE,VLOOKUP("Tourteau de tournesol",AlimentsRationOiesMâles[],4,FALSE),0)+(IF(QualitéAlimentsOisonFemelle_0_3_mois=BONNE,VLOOKUP("Tourteau de tournesol",AlimentsRationOiesFemelles[],4,FALSE),0)+(IF(QualitéAlimentsJeuneJars=BONNE,VLOOKUP("Tourteau de tournesol",AlimentsRationOiesMâles[],3,FALSE),0)+(IF(QualitéAlimentsJeuneOie=BONNE,VLOOKUP("Tourteau de tournesol",AlimentsRationOiesFemelles[],3,FALSE),0)+(IF(QualitéAlimentsJars=BONNE,VLOOKUP("Tourteau de tournesol",AlimentsRationOiesMâles[],2,FALSE),0)+(IF(QualitéAlimentsOie=BONNE,VLOOKUP("Tourteau de tournesol",AlimentsRationOiesFemelles[],2,FALSE),0))))))))</f>
        <v>0</v>
      </c>
      <c r="EI181" s="1269">
        <f t="array" ref="EI181">SUM((IF(QualitéAlimentsOisonMâle_0_3_mois=MOYENNE,VLOOKUP("Tourteau de tournesol",AlimentsRationOiesMâles[],4,FALSE),0)+(IF(QualitéAlimentsOisonFemelle_0_3_mois=MOYENNE,VLOOKUP("Tourteau de tournesol",AlimentsRationOiesFemelles[],4,FALSE),0)+(IF(QualitéAlimentsJeuneJars=MOYENNE,VLOOKUP("Tourteau de tournesol",AlimentsRationOiesMâles[],3,FALSE),0)+(IF(QualitéAlimentsJeuneOie=MOYENNE,VLOOKUP("Tourteau de tournesol",AlimentsRationOiesFemelles[],3,FALSE),0)+(IF(QualitéAlimentsJars=MOYENNE,VLOOKUP("Tourteau de tournesol",AlimentsRationOiesMâles[],2,FALSE),0)+(IF(QualitéAlimentsOie=MOYENNE,VLOOKUP("Tourteau de tournesol",AlimentsRationOiesFemelles[],2,FALSE),0))))))))</f>
        <v>0</v>
      </c>
      <c r="EJ181" s="1269">
        <f t="array" ref="EJ181">SUM((IF(QualitéAlimentsOisonMâle_0_3_mois=MAUVAISE,VLOOKUP("Tourteau de tournesol",AlimentsRationOiesMâles[],4,FALSE),0)+(IF(QualitéAlimentsOisonFemelle_0_3_mois=MAUVAISE,VLOOKUP("Tourteau de tournesol",AlimentsRationOiesFemelles[],4,FALSE),0)+(IF(QualitéAlimentsJeuneJars=MAUVAISE,VLOOKUP("Tourteau de tournesol",AlimentsRationOiesMâles[],3,FALSE),0)+(IF(QualitéAlimentsJeuneOie=MAUVAISE,VLOOKUP("Tourteau de tournesol",AlimentsRationOiesFemelles[],3,FALSE),0)+(IF(QualitéAlimentsJars=MAUVAISE,VLOOKUP("Tourteau de tournesol",AlimentsRationOiesMâles[],2,FALSE),0)+(IF(QualitéAlimentsOie=MAUVAISE,VLOOKUP("Tourteau de tournesol",AlimentsRationOiesFemelles[],2,FALSE),0))))))))</f>
        <v>0</v>
      </c>
      <c r="EK181" s="1345"/>
      <c r="EL181" s="1345"/>
      <c r="EM181" s="1321"/>
      <c r="EN181" s="1082" t="str">
        <f t="shared" si="62"/>
        <v>Triticale</v>
      </c>
      <c r="EO181" s="1282">
        <f t="array" ref="EO181">SUM((IF(QualitéAlimentsCanetonMâle=BONNE,VLOOKUP("Triticale",AlimentsRationCanardsMâles,4,FALSE),0)+(IF(QualitéAlimentsCanetonFemelle=BONNE,VLOOKUP("Triticale",AlimentsRationCanardsFemelles,4,FALSE),0)+(IF(QualitéAlimentsJeuneCanard=BONNE,VLOOKUP("Triticale",AlimentsRationCanardsMâles,3,FALSE),0)+(IF(QualitéAlimentsJeuneCane=BONNE,VLOOKUP("Triticale",AlimentsRationCanardsFemelles,3,FALSE),0)+(IF(QualitéAlimentsCanard=BONNE,VLOOKUP("Triticale",AlimentsRationCanardsMâles,2,FALSE),0)+(IF(QualitéAlimentsCane=BONNE,VLOOKUP("Triticale",AlimentsRationCanardsFemelles,2,FALSE),0))))))))</f>
        <v>0</v>
      </c>
      <c r="EP181" s="1282">
        <f t="array" ref="EP181">SUM((IF(QualitéAlimentsCanetonMâle=MOYENNE,VLOOKUP("Triticale",AlimentsRationCanardsMâles,4,FALSE),0)+(IF(QualitéAlimentsCanetonFemelle=MOYENNE,VLOOKUP("Triticale",AlimentsRationCanardsFemelles,4,FALSE),0)+(IF(QualitéAlimentsJeuneCanard=MOYENNE,VLOOKUP("Triticale",AlimentsRationCanardsMâles,3,FALSE),0)+(IF(QualitéAlimentsJeuneCane=MOYENNE,VLOOKUP("Triticale",AlimentsRationCanardsFemelles,3,FALSE),0)+(IF(QualitéAlimentsCanard=MOYENNE,VLOOKUP("Triticale",AlimentsRationCanardsMâles,2,FALSE),0)+(IF(QualitéAlimentsCane=MOYENNE,VLOOKUP("Triticale",AlimentsRationCanardsFemelles,2,FALSE),0))))))))</f>
        <v>0</v>
      </c>
      <c r="EQ181" s="1282">
        <f t="array" ref="EQ181">SUM((IF(QualitéAlimentsCanetonMâle=MAUVAISE,VLOOKUP("Triticale",AlimentsRationCanardsMâles,4,FALSE),0)+(IF(QualitéAlimentsCanetonFemelle=MAUVAISE,VLOOKUP("Triticale",AlimentsRationCanardsFemelles,4,FALSE),0)+(IF(QualitéAlimentsJeuneCanard=MAUVAISE,VLOOKUP("Triticale",AlimentsRationCanardsMâles,3,FALSE),0)+(IF(QualitéAlimentsJeuneCane=MAUVAISE,VLOOKUP("Triticale",AlimentsRationCanardsFemelles,3,FALSE),0)+(IF(QualitéAlimentsCanard=MAUVAISE,VLOOKUP("Triticale",AlimentsRationCanardsMâles,2,FALSE),0)+(IF(QualitéAlimentsCane=MAUVAISE,VLOOKUP("Triticale",AlimentsRationCanardsFemelles,2,FALSE),0))))))))</f>
        <v>0</v>
      </c>
      <c r="ER181" s="1345"/>
      <c r="ES181" s="1345"/>
      <c r="ET181" s="1321"/>
      <c r="EU181" s="1083">
        <f t="shared" si="60"/>
        <v>0</v>
      </c>
      <c r="EV181" s="1283">
        <f t="array" ref="EV181">IF(OR(ChoixRationHivernaleComplèteChevauxSelle=OUI,ChoixRationHivernaleComplèteChevauxSelle="",ChoixChevauxSellePréHiver=NON),0,IFERROR(IF(OR(AND(INDEX(Règles_chevaux_selle[Specificite],MATCH(RationHivernaleAuPréChevauxSelle&amp;$EU181,Règles_chevaux_selle[Ration]&amp;Règles_chevaux_selle[Aliment],0))="s1",IF($EU181=Spécificité1ChevauxSelle,1)),
AND(INDEX(Règles_chevaux_selle[Specificite],MATCH(RationHivernaleAuPréChevauxSelle&amp;$EU181,Règles_chevaux_selle[Ration]&amp;Règles_chevaux_selle[Aliment],0))="s2",IF($EU181=Spécificité2ChevauxSelle,1)),
INDEX(Règles_chevaux_selle[Specificite],MATCH(RationHivernaleAuPréChevauxSelle&amp;$EU181,Règles_chevaux_selle[Ration]&amp;Règles_chevaux_selle[Aliment],0))="c"),
INDEX(Règles_chevaux_selle[Valeur 36 et plus],MATCH(RationHivernaleAuPréChevauxSelle&amp;$EU181,Règles_chevaux_selle[Ration]&amp;Règles_chevaux_selle[Aliment],0)),0),0)*SUM(TotalChevauxSelleAdultes)*21)</f>
        <v>0</v>
      </c>
      <c r="EW181" s="1283">
        <f t="array" ref="EW181">IF(OR(ChoixRationHivernaleComplèteChevauxSelle=OUI,ChoixRationHivernaleComplèteChevauxSelle="",ChoixChevauxSellePréHiver=NON),0,IFERROR(IF(OR(AND(INDEX(Règles_chevaux_selle[Specificite],MATCH(RationHivernaleAuPréChevauxSelle&amp;$EU181,Règles_chevaux_selle[Ration]&amp;Règles_chevaux_selle[Aliment],0))="s1",IF($EU181=Spécificité1ChevauxSelle,1)),
AND(INDEX(Règles_chevaux_selle[Specificite],MATCH(RationHivernaleAuPréChevauxSelle&amp;$EU181,Règles_chevaux_selle[Ration]&amp;Règles_chevaux_selle[Aliment],0))="s2",IF($EU181=Spécificité2ChevauxSelle,1)),
INDEX(Règles_chevaux_selle[Specificite],MATCH(RationHivernaleAuPréChevauxSelle&amp;$EU181,Règles_chevaux_selle[Ration]&amp;Règles_chevaux_selle[Aliment],0))="c"),
INDEX(Règles_chevaux_selle[Valeur 24-36],MATCH(RationHivernaleAuPréChevauxSelle&amp;$EU181,Règles_chevaux_selle[Ration]&amp;Règles_chevaux_selle[Aliment],0)),0),0)*SUM(TotalChevauxSelle_24_36mois)*21)</f>
        <v>0</v>
      </c>
      <c r="EX181" s="1283">
        <f t="array" ref="EX181">IF(OR(ChoixRationHivernaleComplèteChevauxSelle=OUI,ChoixRationHivernaleComplèteChevauxSelle="",ChoixChevauxSellePréHiver=NON),0,IFERROR(IF(OR(AND(INDEX(Règles_chevaux_selle[Specificite],MATCH(RationHivernaleAuPréChevauxSelle&amp;$EU181,Règles_chevaux_selle[Ration]&amp;Règles_chevaux_selle[Aliment],0))="s1",IF($EU181=Spécificité1ChevauxSelle,1)),
AND(INDEX(Règles_chevaux_selle[Specificite],MATCH(RationHivernaleAuPréChevauxSelle&amp;$EU181,Règles_chevaux_selle[Ration]&amp;Règles_chevaux_selle[Aliment],0))="s2",IF($EU181=Spécificité2ChevauxSelle,1)),
INDEX(Règles_chevaux_selle[Specificite],MATCH(RationHivernaleAuPréChevauxSelle&amp;$EU181,Règles_chevaux_selle[Ration]&amp;Règles_chevaux_selle[Aliment],0))="c"),
INDEX(Règles_chevaux_selle[Valeur 12-24],MATCH(RationHivernaleAuPréChevauxSelle&amp;$EU181,Règles_chevaux_selle[Ration]&amp;Règles_chevaux_selle[Aliment],0)),0),0)*SUM(TotalChevauxSelle_12_24mois)*21)</f>
        <v>0</v>
      </c>
      <c r="EY181" s="1286">
        <f t="array" ref="EY181">IF(OR(ChoixRationHivernaleComplèteChevauxSelle=OUI,ChoixRationHivernaleComplèteChevauxSelle="",ChoixChevauxSellePréHiver=NON),0,IFERROR(IF(OR(AND(INDEX(Règles_chevaux_selle[Specificite],MATCH(RationHivernaleAuPréChevauxSelle&amp;$EU181,Règles_chevaux_selle[Ration]&amp;Règles_chevaux_selle[Aliment],0))="s1",IF($EU181=Spécificité1ChevauxSelle,1)),
AND(INDEX(Règles_chevaux_selle[Specificite],MATCH(RationHivernaleAuPréChevauxSelle&amp;$EU181,Règles_chevaux_selle[Ration]&amp;Règles_chevaux_selle[Aliment],0))="s2",IF($EU181=Spécificité2ChevauxSelle,1)),
INDEX(Règles_chevaux_selle[Specificite],MATCH(RationHivernaleAuPréChevauxSelle&amp;$EU181,Règles_chevaux_selle[Ration]&amp;Règles_chevaux_selle[Aliment],0))="c"),
INDEX(Règles_chevaux_selle[Valeur 0-12],MATCH(RationHivernaleAuPréChevauxSelle&amp;$EU181,Règles_chevaux_selle[Ration]&amp;Règles_chevaux_selle[Aliment],0)),0),0)*SUM(TotalPoulainsSelle)*21)</f>
        <v>0</v>
      </c>
      <c r="EZ181" s="1286">
        <f t="shared" si="59"/>
        <v>0</v>
      </c>
      <c r="FA181" s="1345"/>
      <c r="FB181" s="1345"/>
      <c r="FC181" s="1321"/>
      <c r="FD181" s="1336"/>
      <c r="FE181" s="1336"/>
      <c r="FF181" s="1336"/>
      <c r="FG181" s="1336"/>
      <c r="FH181" s="1336"/>
      <c r="FI181" s="1336"/>
      <c r="FJ181" s="1345"/>
      <c r="FK181" s="1345"/>
      <c r="FL181" s="1345"/>
      <c r="FM181" s="1321"/>
      <c r="FN181" s="1336" t="s">
        <v>1491</v>
      </c>
      <c r="FO181" s="1341"/>
      <c r="FP181" s="1341"/>
      <c r="FQ181" s="1341"/>
      <c r="FR181" s="1336"/>
      <c r="FS181" s="1336"/>
      <c r="FT181" s="1345"/>
      <c r="FU181" s="1345"/>
      <c r="FV181" s="1345"/>
      <c r="FW181" s="1345"/>
      <c r="FX181" s="1345"/>
      <c r="FY181" s="1345"/>
      <c r="FZ181" s="1345"/>
      <c r="GA181" s="1345"/>
      <c r="GB181" s="1345"/>
      <c r="GC181" s="1321"/>
      <c r="GD181" s="1321"/>
      <c r="GE181" s="1321"/>
      <c r="GF181" s="1321"/>
      <c r="GG181" s="1321" t="s">
        <v>1349</v>
      </c>
      <c r="GH181" s="1321" t="s">
        <v>1349</v>
      </c>
      <c r="GI181" s="1321" t="s">
        <v>1349</v>
      </c>
      <c r="GJ181" s="1321" t="s">
        <v>1349</v>
      </c>
      <c r="GK181" s="1321" t="s">
        <v>1349</v>
      </c>
      <c r="GL181" s="1321" t="s">
        <v>1349</v>
      </c>
      <c r="GM181" s="1321" t="s">
        <v>1349</v>
      </c>
      <c r="GN181" s="1321" t="s">
        <v>1349</v>
      </c>
      <c r="GO181" s="1321" t="s">
        <v>1349</v>
      </c>
      <c r="GP181" s="1321" t="s">
        <v>1349</v>
      </c>
      <c r="GQ181" s="1321" t="s">
        <v>1349</v>
      </c>
      <c r="GR181" s="1321" t="s">
        <v>1349</v>
      </c>
      <c r="GS181" s="1321" t="s">
        <v>1349</v>
      </c>
      <c r="GT181" s="1321" t="s">
        <v>1349</v>
      </c>
      <c r="GU181" s="1321" t="s">
        <v>1349</v>
      </c>
      <c r="GV181" s="1321" t="s">
        <v>1349</v>
      </c>
      <c r="GW181" s="1321"/>
      <c r="GX181" s="1321"/>
      <c r="GY181" s="1321"/>
      <c r="GZ181" s="1321"/>
      <c r="HA181" s="1321"/>
      <c r="HB181" s="1321"/>
      <c r="HC181" s="1321"/>
      <c r="HD181" s="1321"/>
      <c r="HE181" s="1321"/>
      <c r="HF181" s="1321"/>
      <c r="HG181" s="1321"/>
      <c r="HH181" s="1321"/>
      <c r="HI181" s="1321"/>
      <c r="HJ181" s="1321"/>
      <c r="HK181" s="1321"/>
      <c r="HL181" s="1321"/>
      <c r="HM181" s="1321"/>
      <c r="HN181" s="1321"/>
      <c r="HO181" s="1321"/>
      <c r="HP181" s="1321"/>
      <c r="HQ181" s="1321"/>
      <c r="HR181" s="1321"/>
      <c r="HS181" s="1321"/>
      <c r="HT181" s="1321"/>
      <c r="HU181" s="1321"/>
      <c r="HV181" s="1321"/>
      <c r="HW181" s="1321"/>
      <c r="HX181" s="1321"/>
      <c r="HY181" s="1321"/>
      <c r="HZ181" s="1321"/>
      <c r="IA181" s="1321"/>
      <c r="IB181" s="1321"/>
      <c r="IC181" s="1321"/>
      <c r="ID181" s="1321"/>
      <c r="IE181" s="1321"/>
      <c r="IF181" s="1321"/>
      <c r="IG181" s="1321"/>
      <c r="IH181" s="1321"/>
      <c r="II181" s="1321"/>
      <c r="IJ181" s="1321"/>
      <c r="IK181" s="1321"/>
      <c r="IL181" s="1321"/>
      <c r="IM181" s="1321"/>
      <c r="IN181" s="1368"/>
    </row>
    <row r="182" spans="1:248" ht="12.75" customHeight="1" x14ac:dyDescent="0.2">
      <c r="A182" s="1307" t="s">
        <v>1345</v>
      </c>
      <c r="B182" s="1209">
        <f>1/1000</f>
        <v>1E-3</v>
      </c>
      <c r="C182" s="1321"/>
      <c r="D182" s="1251" t="s">
        <v>1972</v>
      </c>
      <c r="E182" s="1252">
        <v>6.5</v>
      </c>
      <c r="F182" s="1321"/>
      <c r="G182" s="1321"/>
      <c r="H182" s="1321"/>
      <c r="I182" s="1321"/>
      <c r="J182" s="1321"/>
      <c r="K182" s="1321"/>
      <c r="L182" s="1321"/>
      <c r="M182" s="1321"/>
      <c r="N182" s="1321"/>
      <c r="O182" s="1321"/>
      <c r="P182" s="1321"/>
      <c r="Q182" s="1321"/>
      <c r="R182" s="1321"/>
      <c r="S182" s="1321"/>
      <c r="T182" s="1321"/>
      <c r="U182" s="1321"/>
      <c r="V182" s="1321"/>
      <c r="W182" s="1321"/>
      <c r="X182" s="1321"/>
      <c r="Y182" s="1321"/>
      <c r="Z182" s="1321"/>
      <c r="AA182" s="1321"/>
      <c r="AB182" s="1321"/>
      <c r="AC182" s="1321"/>
      <c r="AD182" s="1321"/>
      <c r="AE182" s="1321"/>
      <c r="AF182" s="1321"/>
      <c r="AG182" s="1321"/>
      <c r="AH182" s="1321"/>
      <c r="AI182" s="1321"/>
      <c r="AJ182" s="1321"/>
      <c r="AK182" s="1321"/>
      <c r="AL182" s="1321"/>
      <c r="AM182" s="1321"/>
      <c r="AN182" s="1321"/>
      <c r="AO182" s="1321"/>
      <c r="AP182" s="1321"/>
      <c r="AQ182" s="1321"/>
      <c r="AR182" s="1321"/>
      <c r="AS182" s="1321"/>
      <c r="AT182" s="1321"/>
      <c r="AU182" s="1321"/>
      <c r="AV182" s="1321"/>
      <c r="AW182" s="1321"/>
      <c r="AX182" s="1321"/>
      <c r="AY182" s="1321"/>
      <c r="AZ182" s="1321"/>
      <c r="BA182" s="1321"/>
      <c r="BB182" s="1236" t="s">
        <v>1134</v>
      </c>
      <c r="BC182" s="1190" t="s">
        <v>733</v>
      </c>
      <c r="BD182" s="1190" t="s">
        <v>1252</v>
      </c>
      <c r="BE182" s="1237">
        <v>200</v>
      </c>
      <c r="BF182" s="1237">
        <v>100</v>
      </c>
      <c r="BG182" s="1237">
        <v>80</v>
      </c>
      <c r="BH182" s="1237">
        <v>60</v>
      </c>
      <c r="BI182" s="1237">
        <v>40</v>
      </c>
      <c r="BJ182" s="1237">
        <v>28</v>
      </c>
      <c r="BK182" s="1238">
        <v>12</v>
      </c>
      <c r="BL182" s="1321"/>
      <c r="BM182" s="1346"/>
      <c r="BN182" s="1321"/>
      <c r="BO182" s="1321"/>
      <c r="BP182" s="1321"/>
      <c r="BQ182" s="1321"/>
      <c r="BR182" s="1321"/>
      <c r="BS182" s="1321"/>
      <c r="BT182" s="1321"/>
      <c r="BU182" s="1321"/>
      <c r="BV182" s="1345"/>
      <c r="BW182" s="1345"/>
      <c r="BX182" s="792" t="s">
        <v>723</v>
      </c>
      <c r="BY182" s="805">
        <f t="array" ref="BY182">IF(ChoixRationComplèteCaprins=NON,0,IFERROR(IF(OR(AND(INDEX(Règles_caprins[Specificite],MATCH(ChoixRationCaprins&amp;Ration_complète_caprins[[#This Row],[aliment]],Règles_caprins[Ration]&amp;Règles_caprins[Aliment],0))="s1",IF(Ration_complète_caprins[[#This Row],[aliment]]=Spécificité1Caprins,1)),
AND(INDEX(Règles_caprins[Specificite],MATCH(ChoixRationCaprins&amp;Ration_complète_caprins[[#This Row],[aliment]],Règles_caprins[Ration]&amp;Règles_caprins[Aliment],0))="s2",IF(Ration_complète_caprins[[#This Row],[aliment]]=Spécificité1Caprins,1)),
INDEX(Règles_caprins[Specificite],MATCH(ChoixRationCaprins&amp;Ration_complète_caprins[[#This Row],[aliment]],Règles_caprins[Ration]&amp;Règles_caprins[Aliment],0))="c",INDEX(Règles_caprins[Specificite],MATCH(ChoixRationCaprins&amp;Ration_complète_caprins[[#This Row],[aliment]],Règles_caprins[Ration]&amp;Règles_caprins[Aliment],0))="complet"),
INDEX(Règles_caprins[Valeur 12 et plus],MATCH(ChoixRationCaprins&amp;Ration_complète_caprins[[#This Row],[aliment]],Règles_caprins[Ration]&amp;Règles_caprins[Aliment],0)),0),0)*SUM(TotalBoucs)*SUM(AC76:AC100))</f>
        <v>0</v>
      </c>
      <c r="BZ182" s="805">
        <f t="array" ref="BZ182">IF(ChoixRationComplèteCaprins=NON,0,IFERROR(IF(OR(AND(INDEX(Règles_caprins[Specificite],MATCH(ChoixRationCaprins&amp;Ration_complète_caprins[[#This Row],[aliment]],Règles_caprins[Ration]&amp;Règles_caprins[Aliment],0))="s1",IF(Ration_complète_caprins[[#This Row],[aliment]]=Spécificité1Caprins,1)),
AND(INDEX(Règles_caprins[Specificite],MATCH(ChoixRationCaprins&amp;Ration_complète_caprins[[#This Row],[aliment]],Règles_caprins[Ration]&amp;Règles_caprins[Aliment],0))="s2",IF(Ration_complète_caprins[[#This Row],[aliment]]=Spécificité1Caprins,1)),
INDEX(Règles_caprins[Specificite],MATCH(ChoixRationCaprins&amp;Ration_complète_caprins[[#This Row],[aliment]],Règles_caprins[Ration]&amp;Règles_caprins[Aliment],0))="c",INDEX(Règles_caprins[Specificite],MATCH(ChoixRationCaprins&amp;Ration_complète_caprins[[#This Row],[aliment]],Règles_caprins[Ration]&amp;Règles_caprins[Aliment],0))="complet"),
INDEX(Règles_caprins[Valeur 12 et plus],MATCH(ChoixRationCaprins&amp;Ration_complète_caprins[[#This Row],[aliment]],Règles_caprins[Ration]&amp;Règles_caprins[Aliment],0)),0),0)*SUM(TotalChèvres)*SUM(AC76:AC100))</f>
        <v>0</v>
      </c>
      <c r="CA182" s="805">
        <f t="array" ref="CA182">IF(ChoixRationComplèteCaprins=NON,0,IFERROR(IF(OR(AND(INDEX(Règles_caprins[Specificite],MATCH(ChoixRationCaprins&amp;Ration_complète_caprins[[#This Row],[aliment]],Règles_caprins[Ration]&amp;Règles_caprins[Aliment],0))="s1",IF(Ration_complète_caprins[[#This Row],[aliment]]=Spécificité1Caprins,1)),
AND(INDEX(Règles_caprins[Specificite],MATCH(ChoixRationCaprins&amp;Ration_complète_caprins[[#This Row],[aliment]],Règles_caprins[Ration]&amp;Règles_caprins[Aliment],0))="s2",IF(Ration_complète_caprins[[#This Row],[aliment]]=Spécificité1Caprins,1)),
INDEX(Règles_caprins[Specificite],MATCH(ChoixRationCaprins&amp;Ration_complète_caprins[[#This Row],[aliment]],Règles_caprins[Ration]&amp;Règles_caprins[Aliment],0))="c",INDEX(Règles_caprins[Specificite],MATCH(ChoixRationCaprins&amp;Ration_complète_caprins[[#This Row],[aliment]],Règles_caprins[Ration]&amp;Règles_caprins[Aliment],0))="complet"),
INDEX(Règles_caprins[Valeur 6-12],MATCH(ChoixRationCaprins&amp;Ration_complète_caprins[[#This Row],[aliment]],Règles_caprins[Ration]&amp;Règles_caprins[Aliment],0)),0),0)*SUM(jeune_bouc_6_12_mois)*SUM(AC76:AC100))</f>
        <v>0</v>
      </c>
      <c r="CB182" s="805">
        <f t="array" ref="CB182">IF(ChoixRationComplèteCaprins=NON,0,IFERROR(IF(OR(AND(INDEX(Règles_caprins[Specificite],MATCH(ChoixRationCaprins&amp;Ration_complète_caprins[[#This Row],[aliment]],Règles_caprins[Ration]&amp;Règles_caprins[Aliment],0))="s1",IF(Ration_complète_caprins[[#This Row],[aliment]]=Spécificité1Caprins,1)),
AND(INDEX(Règles_caprins[Specificite],MATCH(ChoixRationCaprins&amp;Ration_complète_caprins[[#This Row],[aliment]],Règles_caprins[Ration]&amp;Règles_caprins[Aliment],0))="s2",IF(Ration_complète_caprins[[#This Row],[aliment]]=Spécificité1Caprins,1)),
INDEX(Règles_caprins[Specificite],MATCH(ChoixRationCaprins&amp;Ration_complète_caprins[[#This Row],[aliment]],Règles_caprins[Ration]&amp;Règles_caprins[Aliment],0))="c",INDEX(Règles_caprins[Specificite],MATCH(ChoixRationCaprins&amp;Ration_complète_caprins[[#This Row],[aliment]],Règles_caprins[Ration]&amp;Règles_caprins[Aliment],0))="complet"),
INDEX(Règles_caprins[Valeur 6-12],MATCH(ChoixRationCaprins&amp;Ration_complète_caprins[[#This Row],[aliment]],Règles_caprins[Ration]&amp;Règles_caprins[Aliment],0)),0),0)*SUM(jeune_chèvre_6_12_mois)*SUM(AC76:AC100))</f>
        <v>0</v>
      </c>
      <c r="CC182" s="805">
        <f t="array" ref="CC182">IF(ChoixRationComplèteCaprins=NON,0,IFERROR(IF(OR(AND(INDEX(Règles_caprins[Specificite],MATCH(ChoixRationCaprins&amp;Ration_complète_caprins[[#This Row],[aliment]],Règles_caprins[Ration]&amp;Règles_caprins[Aliment],0))="s1",IF(Ration_complète_caprins[[#This Row],[aliment]]=Spécificité1Caprins,1)),
AND(INDEX(Règles_caprins[Specificite],MATCH(ChoixRationCaprins&amp;Ration_complète_caprins[[#This Row],[aliment]],Règles_caprins[Ration]&amp;Règles_caprins[Aliment],0))="s2",IF(Ration_complète_caprins[[#This Row],[aliment]]=Spécificité1Caprins,1)),
INDEX(Règles_caprins[Specificite],MATCH(ChoixRationCaprins&amp;Ration_complète_caprins[[#This Row],[aliment]],Règles_caprins[Ration]&amp;Règles_caprins[Aliment],0))="c",INDEX(Règles_caprins[Specificite],MATCH(ChoixRationCaprins&amp;Ration_complète_caprins[[#This Row],[aliment]],Règles_caprins[Ration]&amp;Règles_caprins[Aliment],0))="complet"),
INDEX(Règles_caprins[Valeur 3-6],MATCH(ChoixRationCaprins&amp;Ration_complète_caprins[[#This Row],[aliment]],Règles_caprins[Ration]&amp;Règles_caprins[Aliment],0)),0),0)*SUM(chevreau_3_6_mois)*SUM(AC76:AC100))</f>
        <v>0</v>
      </c>
      <c r="CD182" s="806">
        <f t="array" ref="CD182">IF(ChoixRationComplèteCaprins=NON,0,IFERROR(IF(OR(AND(INDEX(Règles_caprins[Specificite],MATCH(ChoixRationCaprins&amp;Ration_complète_caprins[[#This Row],[aliment]],Règles_caprins[Ration]&amp;Règles_caprins[Aliment],0))="s1",IF(Ration_complète_caprins[[#This Row],[aliment]]=Spécificité1Caprins,1)),
AND(INDEX(Règles_caprins[Specificite],MATCH(ChoixRationCaprins&amp;Ration_complète_caprins[[#This Row],[aliment]],Règles_caprins[Ration]&amp;Règles_caprins[Aliment],0))="s2",IF(Ration_complète_caprins[[#This Row],[aliment]]=Spécificité1Caprins,1)),
INDEX(Règles_caprins[Specificite],MATCH(ChoixRationCaprins&amp;Ration_complète_caprins[[#This Row],[aliment]],Règles_caprins[Ration]&amp;Règles_caprins[Aliment],0))="c",INDEX(Règles_caprins[Specificite],MATCH(ChoixRationCaprins&amp;Ration_complète_caprins[[#This Row],[aliment]],Règles_caprins[Ration]&amp;Règles_caprins[Aliment],0))="complet"),
INDEX(Règles_caprins[Valeur 3-6],MATCH(ChoixRationCaprins&amp;Ration_complète_caprins[[#This Row],[aliment]],Règles_caprins[Ration]&amp;Règles_caprins[Aliment],0)),0),0)*SUM(chevrette_3_6_mois)*SUM(AC76:AC100))</f>
        <v>0</v>
      </c>
      <c r="CE182" s="806">
        <f t="array" ref="CE182">IF(ChoixRationComplèteCaprins=NON,0,IFERROR(IF(OR(AND(INDEX(Règles_caprins[Specificite],MATCH(ChoixRationCaprins&amp;Ration_complète_caprins[[#This Row],[aliment]],Règles_caprins[Ration]&amp;Règles_caprins[Aliment],0))="s1",IF(Ration_complète_caprins[[#This Row],[aliment]]=Spécificité1Caprins,1)),
AND(INDEX(Règles_caprins[Specificite],MATCH(ChoixRationCaprins&amp;Ration_complète_caprins[[#This Row],[aliment]],Règles_caprins[Ration]&amp;Règles_caprins[Aliment],0))="s2",IF(Ration_complète_caprins[[#This Row],[aliment]]=Spécificité1Caprins,1)),
INDEX(Règles_caprins[Specificite],MATCH(ChoixRationCaprins&amp;Ration_complète_caprins[[#This Row],[aliment]],Règles_caprins[Ration]&amp;Règles_caprins[Aliment],0))="c",INDEX(Règles_caprins[Specificite],MATCH(ChoixRationCaprins&amp;Ration_complète_caprins[[#This Row],[aliment]],Règles_caprins[Ration]&amp;Règles_caprins[Aliment],0))="complet"),
INDEX(Règles_caprins[Valeur 0-3],MATCH(ChoixRationCaprins&amp;Ration_complète_caprins[[#This Row],[aliment]],Règles_caprins[Ration]&amp;Règles_caprins[Aliment],0)),0),0)*SUM(chevreau_0_3_mois)*SUM(AC76:AC100))</f>
        <v>0</v>
      </c>
      <c r="CF182" s="806">
        <f t="array" ref="CF182">IF(ChoixRationComplèteCaprins=NON,0,IFERROR(IF(OR(AND(INDEX(Règles_caprins[Specificite],MATCH(ChoixRationCaprins&amp;Ration_complète_caprins[[#This Row],[aliment]],Règles_caprins[Ration]&amp;Règles_caprins[Aliment],0))="s1",IF(Ration_complète_caprins[[#This Row],[aliment]]=Spécificité1Caprins,1)),
AND(INDEX(Règles_caprins[Specificite],MATCH(ChoixRationCaprins&amp;Ration_complète_caprins[[#This Row],[aliment]],Règles_caprins[Ration]&amp;Règles_caprins[Aliment],0))="s2",IF(Ration_complète_caprins[[#This Row],[aliment]]=Spécificité1Caprins,1)),
INDEX(Règles_caprins[Specificite],MATCH(ChoixRationCaprins&amp;Ration_complète_caprins[[#This Row],[aliment]],Règles_caprins[Ration]&amp;Règles_caprins[Aliment],0))="c",INDEX(Règles_caprins[Specificite],MATCH(ChoixRationCaprins&amp;Ration_complète_caprins[[#This Row],[aliment]],Règles_caprins[Ration]&amp;Règles_caprins[Aliment],0))="complet"),
INDEX(Règles_caprins[Valeur 0-3],MATCH(ChoixRationCaprins&amp;Ration_complète_caprins[[#This Row],[aliment]],Règles_caprins[Ration]&amp;Règles_caprins[Aliment],0)),0),0)*SUM(chevrette_0_3_mois)*SUM(AC76:AC100))</f>
        <v>0</v>
      </c>
      <c r="CG182" s="807">
        <f>SUM(Ration_complète_caprins[[Valeur 12 et plus (M)]:[Valeur 0-3 (F)]])</f>
        <v>0</v>
      </c>
      <c r="CH182" s="1345"/>
      <c r="CI182" s="1321"/>
      <c r="CJ182" s="1321"/>
      <c r="CK182" s="1321"/>
      <c r="CL182" s="1321"/>
      <c r="CM182" s="1318"/>
      <c r="CN182" s="1318"/>
      <c r="CO182" s="1318"/>
      <c r="CP182" s="1318"/>
      <c r="CQ182" s="1318"/>
      <c r="CR182" s="1318"/>
      <c r="CS182" s="1075" t="str">
        <f t="shared" si="66"/>
        <v>Soja</v>
      </c>
      <c r="CT182" s="1269">
        <f t="array" ref="CT182">SUM((IF(QualitéAlimentsLapereauMâle_0_1_mois=BONNE,VLOOKUP("Soja",AlimentsRationLapinsMâles[],4,FALSE),0)+(IF(QualitéAlimentsLapereauFemelle_0_1_mois=BONNE,VLOOKUP("Soja",AlimentsRationLapinsFemelles[],4,FALSE),0)+(IF(QualitéAlimentsJeuneLapin=BONNE,VLOOKUP("Soja",AlimentsRationLapinsMâles[],3,FALSE),0)+(IF(QualitéAlimentsJeuneLapine=BONNE,VLOOKUP("Soja",AlimentsRationLapinsFemelles[],3,FALSE),0)+(IF(QualitéAlimentsLapin=BONNE,VLOOKUP("Soja",AlimentsRationLapinsMâles[],2,FALSE),0)+(IF(QualitéAlimentsLapine=BONNE,VLOOKUP("Soja",AlimentsRationLapinsFemelles[],2,FALSE),0))))))))</f>
        <v>0</v>
      </c>
      <c r="CU182" s="1269">
        <f t="array" ref="CU182">SUM((IF(QualitéAlimentsLapereauMâle_0_1_mois=MOYENNE,VLOOKUP("Soja",AlimentsRationLapinsMâles[],4,FALSE),0)+(IF(QualitéAlimentsLapereauFemelle_0_1_mois=MOYENNE,VLOOKUP("Soja",AlimentsRationLapinsFemelles[],4,FALSE),0)+(IF(QualitéAlimentsJeuneLapin=MOYENNE,VLOOKUP("Soja",AlimentsRationLapinsMâles[],3,FALSE),0)+(IF(QualitéAlimentsJeuneLapine=MOYENNE,VLOOKUP("Soja",AlimentsRationLapinsFemelles[],3,FALSE),0)+(IF(QualitéAlimentsLapin=MOYENNE,VLOOKUP("Soja",AlimentsRationLapinsMâles[],2,FALSE),0)+(IF(QualitéAlimentsLapine=MOYENNE,VLOOKUP("Soja",AlimentsRationLapinsFemelles[],2,FALSE),0))))))))</f>
        <v>0</v>
      </c>
      <c r="CV182" s="1269">
        <f t="array" ref="CV182">SUM((IF(QualitéAlimentsLapereauMâle_0_1_mois=MAUVAISE,VLOOKUP("Soja",AlimentsRationLapinsMâles[],4,FALSE),0)+(IF(QualitéAlimentsLapereauFemelle_0_1_mois=MAUVAISE,VLOOKUP("Soja",AlimentsRationLapinsFemelles[],4,FALSE),0)+(IF(QualitéAlimentsJeuneLapin=MAUVAISE,VLOOKUP("Soja",AlimentsRationLapinsMâles[],3,FALSE),0)+(IF(QualitéAlimentsJeuneLapine=MAUVAISE,VLOOKUP("Soja",AlimentsRationLapinsFemelles[],3,FALSE),0)+(IF(QualitéAlimentsLapin=MAUVAISE,VLOOKUP("Soja",AlimentsRationLapinsMâles[],2,FALSE),0)+(IF(QualitéAlimentsLapine=MAUVAISE,VLOOKUP("Soja",AlimentsRationLapinsFemelles[],2,FALSE),0))))))))</f>
        <v>0</v>
      </c>
      <c r="CW182" s="1321"/>
      <c r="CX182" s="1321"/>
      <c r="CY182" s="1321"/>
      <c r="CZ182" s="1076" t="str">
        <f t="shared" si="65"/>
        <v>Sorgho ensilé</v>
      </c>
      <c r="DA182" s="1267">
        <f t="array" ref="DA182">SUM((IF(QualitéAlimentsPoussinMâle_0_1_mois=BONNE,VLOOKUP("Sorgho ensilé",AlimentsRationVolaillesMâles[],4,FALSE),0)+(IF(QualitéAlimentsPoussinFemelle_0_1_mois=BONNE,VLOOKUP("Sorgho ensilé",AlimentsRationVolaillesFemelles[],4,FALSE),0)+(IF(QualitéAlimentsJeuneCoq=BONNE,VLOOKUP("Sorgho ensilé",AlimentsRationVolaillesMâles[],3,FALSE),0)+(IF(QualitéAlimentsJeunePoule=BONNE,VLOOKUP("Sorgho ensilé",AlimentsRationVolaillesFemelles[],3,FALSE),0)+(IF(QualitéAlimentsCoq=BONNE,VLOOKUP("Sorgho ensilé",AlimentsRationVolaillesMâles[],2,FALSE),0)+(IF(QualitéAlimentsPoule=BONNE,VLOOKUP("Sorgho ensilé",AlimentsRationVolaillesFemelles[],2,FALSE),0))))))))</f>
        <v>0</v>
      </c>
      <c r="DB182" s="1267">
        <f t="array" ref="DB182">SUM((IF(QualitéAlimentsPoussinMâle_0_1_mois=MOYENNE,VLOOKUP("Sorgho ensilé",AlimentsRationVolaillesMâles[],4,FALSE),0)+(IF(QualitéAlimentsPoussinFemelle_0_1_mois=MOYENNE,VLOOKUP("Sorgho ensilé",AlimentsRationVolaillesFemelles[],4,FALSE),0)+(IF(QualitéAlimentsJeuneCoq=MOYENNE,VLOOKUP("Sorgho ensilé",AlimentsRationVolaillesMâles[],3,FALSE),0)+(IF(QualitéAlimentsJeunePoule=MOYENNE,VLOOKUP("Sorgho ensilé",AlimentsRationVolaillesFemelles[],3,FALSE),0)+(IF(QualitéAlimentsCoq=MOYENNE,VLOOKUP("Sorgho ensilé",AlimentsRationVolaillesMâles[],2,FALSE),0)+(IF(QualitéAlimentsPoule=MOYENNE,VLOOKUP("Sorgho ensilé",AlimentsRationVolaillesFemelles[],2,FALSE),0))))))))</f>
        <v>0</v>
      </c>
      <c r="DC182" s="1267">
        <f t="array" ref="DC182">SUM((IF(QualitéAlimentsPoussinMâle_0_1_mois=MAUVAISE,VLOOKUP("Sorgho ensilé",AlimentsRationVolaillesMâles[],4,FALSE),0)+(IF(QualitéAlimentsPoussinFemelle_0_1_mois=MAUVAISE,VLOOKUP("Sorgho ensilé",AlimentsRationVolaillesFemelles[],4,FALSE),0)+(IF(QualitéAlimentsJeuneCoq=MAUVAISE,VLOOKUP("Sorgho ensilé",AlimentsRationVolaillesMâles[],3,FALSE),0)+(IF(QualitéAlimentsJeunePoule=MAUVAISE,VLOOKUP("Sorgho ensilé",AlimentsRationVolaillesFemelles[],3,FALSE),0)+(IF(QualitéAlimentsCoq=MAUVAISE,VLOOKUP("Sorgho ensilé",AlimentsRationVolaillesMâles[],2,FALSE),0)+(IF(QualitéAlimentsPoule=MAUVAISE,VLOOKUP("Sorgho ensilé",AlimentsRationVolaillesFemelles[],2,FALSE),0))))))))</f>
        <v>0</v>
      </c>
      <c r="DD182" s="1321"/>
      <c r="DE182" s="1321"/>
      <c r="DF182" s="1321"/>
      <c r="DG182" s="1076">
        <f t="shared" si="58"/>
        <v>0</v>
      </c>
      <c r="DH182" s="1267"/>
      <c r="DI182" s="1267"/>
      <c r="DJ182" s="1267"/>
      <c r="DK182" s="1321"/>
      <c r="DL182" s="1321"/>
      <c r="DM182" s="1321"/>
      <c r="DN182" s="1076" t="s">
        <v>76</v>
      </c>
      <c r="DO182" s="1267">
        <f t="array" ref="DO182">IF(ChoixRationComplèteOvins=OUI,0,IFERROR(IF(OR(AND(INDEX(Règles_ovins[Specificite],MATCH(ChoixRationOvins&amp;$DN182,Règles_ovins[Ration]&amp;Règles_ovins[Aliment],0))="s1",IF($DN182=Spécificité1Ovins,1)),
AND(INDEX(Règles_ovins[Specificite],MATCH(ChoixRationOvins&amp;$DN182,Règles_ovins[Ration]&amp;Règles_ovins[Aliment],0))="s2",IF($DN182=Spécificité2Ovins,1)),
INDEX(Règles_ovins[Specificite],MATCH(ChoixRationOvins&amp;$DN182,Règles_ovins[Ration]&amp;Règles_ovins[Aliment],0))="c"),
INDEX(Règles_ovins[Valeur 12 et plus],MATCH(ChoixRationOvins&amp;$DN182,Règles_ovins[Ration]&amp;Règles_ovins[Aliment],0)),0),0)*IF(ChoixOvinsPréHiver=OUI,SUM(TotalOvinsAdultesRacesLaitières)*NbreJoursNourrirOvins,TotalBéliers*SUM(NbreJoursNourrirOvins)))</f>
        <v>0</v>
      </c>
      <c r="DP182" s="1267">
        <f t="array" ref="DP182">IF(ChoixRationComplèteOvins=OUI,0,IFERROR(IF(OR(AND(INDEX(Règles_ovins[Specificite],MATCH(ChoixRationOvins&amp;$DN182,Règles_ovins[Ration]&amp;Règles_ovins[Aliment],0))="s1",IF($DN182=Spécificité1Ovins,1)),
AND(INDEX(Règles_ovins[Specificite],MATCH(ChoixRationOvins&amp;$DN182,Règles_ovins[Ration]&amp;Règles_ovins[Aliment],0))="s2",IF($DN182=Spécificité2Ovins,1)),
INDEX(Règles_ovins[Specificite],MATCH(ChoixRationOvins&amp;$DN182,Règles_ovins[Ration]&amp;Règles_ovins[Aliment],0))="c"),
INDEX(Règles_ovins[Valeur 6-12],MATCH(ChoixRationOvins&amp;$DN182,Règles_ovins[Ration]&amp;Règles_ovins[Aliment],0)),0),0)*IF(ChoixOvinsPréHiver=OUI,SUM(TotalJeunesOvinsRacesLaitières)*NbreJoursNourrirOvins,TotalJeune_bélier_6_12_mois*SUM(NbreJoursNourrirOvins)))</f>
        <v>0</v>
      </c>
      <c r="DQ182" s="1267">
        <f t="array" ref="DQ182">IF(ChoixRationComplèteOvins=OUI,0,IFERROR(IF(OR(AND(INDEX(Règles_ovins[Specificite],MATCH(ChoixRationOvins&amp;$DN182,Règles_ovins[Ration]&amp;Règles_ovins[Aliment],0))="s1",IF($DN182=Spécificité1Ovins,1)),
AND(INDEX(Règles_ovins[Specificite],MATCH(ChoixRationOvins&amp;$DN182,Règles_ovins[Ration]&amp;Règles_ovins[Aliment],0))="s2",IF($DN182=Spécificité2Ovins,1)),
INDEX(Règles_ovins[Specificite],MATCH(ChoixRationOvins&amp;$DN182,Règles_ovins[Ration]&amp;Règles_ovins[Aliment],0))="c"),
INDEX(Règles_ovins[Valeur 3-6],MATCH(ChoixRationOvins&amp;$DN182,Règles_ovins[Ration]&amp;Règles_ovins[Aliment],0)),0),0)*IF(ChoixOvinsPréHiver=OUI,SUM(TotalOvins_3_6moisRacesLaitières)*NbreJoursNourrirOvins,TotalAgneau_3_6_mois*SUM(NbreJoursNourrirOvins)))</f>
        <v>0</v>
      </c>
      <c r="DR182" s="1267">
        <f t="array" ref="DR182">IF(ChoixRationComplèteOvins=OUI,0,IFERROR(IF(OR(AND(INDEX(Règles_ovins[Specificite],MATCH(ChoixRationOvins&amp;$DN182,Règles_ovins[Ration]&amp;Règles_ovins[Aliment],0))="s1",IF($DN182=Spécificité1Ovins,1)),
AND(INDEX(Règles_ovins[Specificite],MATCH(ChoixRationOvins&amp;$DN182,Règles_ovins[Ration]&amp;Règles_ovins[Aliment],0))="s2",IF($DN182=Spécificité2Ovins,1)),
INDEX(Règles_ovins[Specificite],MATCH(ChoixRationOvins&amp;$DN182,Règles_ovins[Ration]&amp;Règles_ovins[Aliment],0))="c"),
INDEX(Règles_ovins[Valeur 0-3],MATCH(ChoixRationOvins&amp;$DN182,Règles_ovins[Ration]&amp;Règles_ovins[Aliment],0)),0),0)*IF(ChoixOvinsPréHiver=OUI,SUM(TotalOvins_3_6moisRacesLaitières)*NbreJoursNourrirOvins,TotalAgneau_0_3_mois*SUM(NbreJoursNourrirOvins)))</f>
        <v>0</v>
      </c>
      <c r="DS182" s="1279">
        <f t="shared" si="61"/>
        <v>0</v>
      </c>
      <c r="DT182" s="1346"/>
      <c r="DU182" s="1346"/>
      <c r="DV182" s="1321"/>
      <c r="DW182" s="1321"/>
      <c r="DX182" s="1321"/>
      <c r="DY182" s="1321"/>
      <c r="DZ182" s="1321"/>
      <c r="EA182" s="1321"/>
      <c r="EB182" s="1321"/>
      <c r="EC182" s="1321"/>
      <c r="ED182" s="1345"/>
      <c r="EE182" s="1345"/>
      <c r="EF182" s="1321"/>
      <c r="EG182" s="1076" t="str">
        <f t="shared" si="63"/>
        <v>Triticale</v>
      </c>
      <c r="EH182" s="1267">
        <f t="array" ref="EH182">SUM((IF(QualitéAlimentsOisonMâle_0_3_mois=BONNE,VLOOKUP("Triticale",AlimentsRationOiesMâles[],4,FALSE),0)+(IF(QualitéAlimentsOisonFemelle_0_3_mois=BONNE,VLOOKUP("Triticale",AlimentsRationOiesFemelles[],4,FALSE),0)+(IF(QualitéAlimentsJeuneJars=BONNE,VLOOKUP("Triticale",AlimentsRationOiesMâles[],3,FALSE),0)+(IF(QualitéAlimentsJeuneOie=BONNE,VLOOKUP("Triticale",AlimentsRationOiesFemelles[],3,FALSE),0)+(IF(QualitéAlimentsJars=BONNE,VLOOKUP("Triticale",AlimentsRationOiesMâles[],2,FALSE),0)+(IF(QualitéAlimentsOie=BONNE,VLOOKUP("Triticale",AlimentsRationOiesFemelles[],2,FALSE),0))))))))</f>
        <v>0</v>
      </c>
      <c r="EI182" s="1267">
        <f t="array" ref="EI182">SUM((IF(QualitéAlimentsOisonMâle_0_3_mois=MOYENNE,VLOOKUP("Triticale",AlimentsRationOiesMâles[],4,FALSE),0)+(IF(QualitéAlimentsOisonFemelle_0_3_mois=MOYENNE,VLOOKUP("Triticale",AlimentsRationOiesFemelles[],4,FALSE),0)+(IF(QualitéAlimentsJeuneJars=MOYENNE,VLOOKUP("Triticale",AlimentsRationOiesMâles[],3,FALSE),0)+(IF(QualitéAlimentsJeuneOie=MOYENNE,VLOOKUP("Triticale",AlimentsRationOiesFemelles[],3,FALSE),0)+(IF(QualitéAlimentsJars=MOYENNE,VLOOKUP("Triticale",AlimentsRationOiesMâles[],2,FALSE),0)+(IF(QualitéAlimentsOie=MOYENNE,VLOOKUP("Triticale",AlimentsRationOiesFemelles[],2,FALSE),0))))))))</f>
        <v>0</v>
      </c>
      <c r="EJ182" s="1267">
        <f t="array" ref="EJ182">SUM((IF(QualitéAlimentsOisonMâle_0_3_mois=MAUVAISE,VLOOKUP("Triticale",AlimentsRationOiesMâles[],4,FALSE),0)+(IF(QualitéAlimentsOisonFemelle_0_3_mois=MAUVAISE,VLOOKUP("Triticale",AlimentsRationOiesFemelles[],4,FALSE),0)+(IF(QualitéAlimentsJeuneJars=MAUVAISE,VLOOKUP("Triticale",AlimentsRationOiesMâles[],3,FALSE),0)+(IF(QualitéAlimentsJeuneOie=MAUVAISE,VLOOKUP("Triticale",AlimentsRationOiesFemelles[],3,FALSE),0)+(IF(QualitéAlimentsJars=MAUVAISE,VLOOKUP("Triticale",AlimentsRationOiesMâles[],2,FALSE),0)+(IF(QualitéAlimentsOie=MAUVAISE,VLOOKUP("Triticale",AlimentsRationOiesFemelles[],2,FALSE),0))))))))</f>
        <v>0</v>
      </c>
      <c r="EK182" s="1345"/>
      <c r="EL182" s="1345"/>
      <c r="EM182" s="1321"/>
      <c r="EN182" s="1083">
        <f t="shared" si="62"/>
        <v>0</v>
      </c>
      <c r="EO182" s="1283"/>
      <c r="EP182" s="1283"/>
      <c r="EQ182" s="1283"/>
      <c r="ER182" s="1345"/>
      <c r="ES182" s="1345"/>
      <c r="ET182" s="1321"/>
      <c r="EU182" s="1082">
        <f t="shared" si="60"/>
        <v>0</v>
      </c>
      <c r="EV182" s="1282">
        <f t="array" ref="EV182">IF(OR(ChoixRationHivernaleComplèteChevauxSelle=OUI,ChoixRationHivernaleComplèteChevauxSelle="",ChoixChevauxSellePréHiver=NON),0,IFERROR(IF(OR(AND(INDEX(Règles_chevaux_selle[Specificite],MATCH(RationHivernaleAuPréChevauxSelle&amp;$EU182,Règles_chevaux_selle[Ration]&amp;Règles_chevaux_selle[Aliment],0))="s1",IF($EU182=Spécificité1ChevauxSelle,1)),
AND(INDEX(Règles_chevaux_selle[Specificite],MATCH(RationHivernaleAuPréChevauxSelle&amp;$EU182,Règles_chevaux_selle[Ration]&amp;Règles_chevaux_selle[Aliment],0))="s2",IF($EU182=Spécificité2ChevauxSelle,1)),
INDEX(Règles_chevaux_selle[Specificite],MATCH(RationHivernaleAuPréChevauxSelle&amp;$EU182,Règles_chevaux_selle[Ration]&amp;Règles_chevaux_selle[Aliment],0))="c"),
INDEX(Règles_chevaux_selle[Valeur 36 et plus],MATCH(RationHivernaleAuPréChevauxSelle&amp;$EU182,Règles_chevaux_selle[Ration]&amp;Règles_chevaux_selle[Aliment],0)),0),0)*SUM(TotalChevauxSelleAdultes)*21)</f>
        <v>0</v>
      </c>
      <c r="EW182" s="1282">
        <f t="array" ref="EW182">IF(OR(ChoixRationHivernaleComplèteChevauxSelle=OUI,ChoixRationHivernaleComplèteChevauxSelle="",ChoixChevauxSellePréHiver=NON),0,IFERROR(IF(OR(AND(INDEX(Règles_chevaux_selle[Specificite],MATCH(RationHivernaleAuPréChevauxSelle&amp;$EU182,Règles_chevaux_selle[Ration]&amp;Règles_chevaux_selle[Aliment],0))="s1",IF($EU182=Spécificité1ChevauxSelle,1)),
AND(INDEX(Règles_chevaux_selle[Specificite],MATCH(RationHivernaleAuPréChevauxSelle&amp;$EU182,Règles_chevaux_selle[Ration]&amp;Règles_chevaux_selle[Aliment],0))="s2",IF($EU182=Spécificité2ChevauxSelle,1)),
INDEX(Règles_chevaux_selle[Specificite],MATCH(RationHivernaleAuPréChevauxSelle&amp;$EU182,Règles_chevaux_selle[Ration]&amp;Règles_chevaux_selle[Aliment],0))="c"),
INDEX(Règles_chevaux_selle[Valeur 24-36],MATCH(RationHivernaleAuPréChevauxSelle&amp;$EU182,Règles_chevaux_selle[Ration]&amp;Règles_chevaux_selle[Aliment],0)),0),0)*SUM(TotalChevauxSelle_24_36mois)*21)</f>
        <v>0</v>
      </c>
      <c r="EX182" s="1282">
        <f t="array" ref="EX182">IF(OR(ChoixRationHivernaleComplèteChevauxSelle=OUI,ChoixRationHivernaleComplèteChevauxSelle="",ChoixChevauxSellePréHiver=NON),0,IFERROR(IF(OR(AND(INDEX(Règles_chevaux_selle[Specificite],MATCH(RationHivernaleAuPréChevauxSelle&amp;$EU182,Règles_chevaux_selle[Ration]&amp;Règles_chevaux_selle[Aliment],0))="s1",IF($EU182=Spécificité1ChevauxSelle,1)),
AND(INDEX(Règles_chevaux_selle[Specificite],MATCH(RationHivernaleAuPréChevauxSelle&amp;$EU182,Règles_chevaux_selle[Ration]&amp;Règles_chevaux_selle[Aliment],0))="s2",IF($EU182=Spécificité2ChevauxSelle,1)),
INDEX(Règles_chevaux_selle[Specificite],MATCH(RationHivernaleAuPréChevauxSelle&amp;$EU182,Règles_chevaux_selle[Ration]&amp;Règles_chevaux_selle[Aliment],0))="c"),
INDEX(Règles_chevaux_selle[Valeur 12-24],MATCH(RationHivernaleAuPréChevauxSelle&amp;$EU182,Règles_chevaux_selle[Ration]&amp;Règles_chevaux_selle[Aliment],0)),0),0)*SUM(TotalChevauxSelle_12_24mois)*21)</f>
        <v>0</v>
      </c>
      <c r="EY182" s="1285">
        <f t="array" ref="EY182">IF(OR(ChoixRationHivernaleComplèteChevauxSelle=OUI,ChoixRationHivernaleComplèteChevauxSelle="",ChoixChevauxSellePréHiver=NON),0,IFERROR(IF(OR(AND(INDEX(Règles_chevaux_selle[Specificite],MATCH(RationHivernaleAuPréChevauxSelle&amp;$EU182,Règles_chevaux_selle[Ration]&amp;Règles_chevaux_selle[Aliment],0))="s1",IF($EU182=Spécificité1ChevauxSelle,1)),
AND(INDEX(Règles_chevaux_selle[Specificite],MATCH(RationHivernaleAuPréChevauxSelle&amp;$EU182,Règles_chevaux_selle[Ration]&amp;Règles_chevaux_selle[Aliment],0))="s2",IF($EU182=Spécificité2ChevauxSelle,1)),
INDEX(Règles_chevaux_selle[Specificite],MATCH(RationHivernaleAuPréChevauxSelle&amp;$EU182,Règles_chevaux_selle[Ration]&amp;Règles_chevaux_selle[Aliment],0))="c"),
INDEX(Règles_chevaux_selle[Valeur 0-12],MATCH(RationHivernaleAuPréChevauxSelle&amp;$EU182,Règles_chevaux_selle[Ration]&amp;Règles_chevaux_selle[Aliment],0)),0),0)*SUM(TotalPoulainsSelle)*21)</f>
        <v>0</v>
      </c>
      <c r="EZ182" s="1285">
        <f t="shared" si="59"/>
        <v>0</v>
      </c>
      <c r="FA182" s="1345"/>
      <c r="FB182" s="1345"/>
      <c r="FC182" s="1321"/>
      <c r="FD182" s="1336" t="s">
        <v>1491</v>
      </c>
      <c r="FE182" s="1341"/>
      <c r="FF182" s="1341"/>
      <c r="FG182" s="1341"/>
      <c r="FH182" s="1336"/>
      <c r="FI182" s="1336"/>
      <c r="FJ182" s="1345"/>
      <c r="FK182" s="1345"/>
      <c r="FL182" s="1345"/>
      <c r="FM182" s="1321"/>
      <c r="FN182" s="789" t="s">
        <v>1276</v>
      </c>
      <c r="FO182" s="790" t="s">
        <v>1261</v>
      </c>
      <c r="FP182" s="790" t="s">
        <v>1260</v>
      </c>
      <c r="FQ182" s="790" t="s">
        <v>1304</v>
      </c>
      <c r="FR182" s="827" t="s">
        <v>1303</v>
      </c>
      <c r="FS182" s="791" t="s">
        <v>1269</v>
      </c>
      <c r="FT182" s="1345"/>
      <c r="FU182" s="1345"/>
      <c r="FV182" s="1345"/>
      <c r="FW182" s="1345"/>
      <c r="FX182" s="1345"/>
      <c r="FY182" s="1345"/>
      <c r="FZ182" s="1345"/>
      <c r="GA182" s="1345"/>
      <c r="GB182" s="1345"/>
      <c r="GC182" s="1321"/>
      <c r="GD182" s="1321"/>
      <c r="GE182" s="1321"/>
      <c r="GF182" s="1321"/>
      <c r="GG182" s="1321" t="s">
        <v>1349</v>
      </c>
      <c r="GH182" s="1321" t="s">
        <v>1349</v>
      </c>
      <c r="GI182" s="1321" t="s">
        <v>1349</v>
      </c>
      <c r="GJ182" s="1321" t="s">
        <v>1349</v>
      </c>
      <c r="GK182" s="1321" t="s">
        <v>1349</v>
      </c>
      <c r="GL182" s="1321" t="s">
        <v>1349</v>
      </c>
      <c r="GM182" s="1321" t="s">
        <v>1349</v>
      </c>
      <c r="GN182" s="1321" t="s">
        <v>1349</v>
      </c>
      <c r="GO182" s="1321" t="s">
        <v>1349</v>
      </c>
      <c r="GP182" s="1321" t="s">
        <v>1349</v>
      </c>
      <c r="GQ182" s="1321" t="s">
        <v>1349</v>
      </c>
      <c r="GR182" s="1321" t="s">
        <v>1349</v>
      </c>
      <c r="GS182" s="1321" t="s">
        <v>1349</v>
      </c>
      <c r="GT182" s="1321" t="s">
        <v>1349</v>
      </c>
      <c r="GU182" s="1321" t="s">
        <v>1349</v>
      </c>
      <c r="GV182" s="1321" t="s">
        <v>1349</v>
      </c>
      <c r="GW182" s="1321"/>
      <c r="GX182" s="1321"/>
      <c r="GY182" s="1321"/>
      <c r="GZ182" s="1321"/>
      <c r="HA182" s="1321"/>
      <c r="HB182" s="1321"/>
      <c r="HC182" s="1321"/>
      <c r="HD182" s="1321"/>
      <c r="HE182" s="1321"/>
      <c r="HF182" s="1321"/>
      <c r="HG182" s="1321"/>
      <c r="HH182" s="1321"/>
      <c r="HI182" s="1321"/>
      <c r="HJ182" s="1321"/>
      <c r="HK182" s="1321"/>
      <c r="HL182" s="1321"/>
      <c r="HM182" s="1321"/>
      <c r="HN182" s="1321"/>
      <c r="HO182" s="1321"/>
      <c r="HP182" s="1321"/>
      <c r="HQ182" s="1321"/>
      <c r="HR182" s="1321"/>
      <c r="HS182" s="1321"/>
      <c r="HT182" s="1321"/>
      <c r="HU182" s="1321"/>
      <c r="HV182" s="1321"/>
      <c r="HW182" s="1321"/>
      <c r="HX182" s="1321"/>
      <c r="HY182" s="1321"/>
      <c r="HZ182" s="1321"/>
      <c r="IA182" s="1321"/>
      <c r="IB182" s="1321"/>
      <c r="IC182" s="1321"/>
      <c r="ID182" s="1321"/>
      <c r="IE182" s="1321"/>
      <c r="IF182" s="1321"/>
      <c r="IG182" s="1321"/>
      <c r="IH182" s="1321"/>
      <c r="II182" s="1321"/>
      <c r="IJ182" s="1321"/>
      <c r="IK182" s="1321"/>
      <c r="IL182" s="1321"/>
      <c r="IM182" s="1321"/>
      <c r="IN182" s="1368"/>
    </row>
    <row r="183" spans="1:248" ht="12.75" customHeight="1" x14ac:dyDescent="0.2">
      <c r="A183" s="1307" t="s">
        <v>1346</v>
      </c>
      <c r="B183" s="1209">
        <f>1/1000</f>
        <v>1E-3</v>
      </c>
      <c r="C183" s="1321"/>
      <c r="D183" s="1253" t="s">
        <v>1973</v>
      </c>
      <c r="E183" s="1254">
        <v>4</v>
      </c>
      <c r="F183" s="1321"/>
      <c r="G183" s="1321"/>
      <c r="H183" s="1321"/>
      <c r="I183" s="1321"/>
      <c r="J183" s="1321"/>
      <c r="K183" s="1321"/>
      <c r="L183" s="1321"/>
      <c r="M183" s="1321"/>
      <c r="N183" s="1321"/>
      <c r="O183" s="1321"/>
      <c r="P183" s="1321"/>
      <c r="Q183" s="1321"/>
      <c r="R183" s="1321"/>
      <c r="S183" s="1321"/>
      <c r="T183" s="1321"/>
      <c r="U183" s="1321"/>
      <c r="V183" s="1321"/>
      <c r="W183" s="1321"/>
      <c r="X183" s="1321"/>
      <c r="Y183" s="1321"/>
      <c r="Z183" s="1321"/>
      <c r="AA183" s="1321"/>
      <c r="AB183" s="1321"/>
      <c r="AC183" s="1321"/>
      <c r="AD183" s="1321"/>
      <c r="AE183" s="1321"/>
      <c r="AF183" s="1321"/>
      <c r="AG183" s="1321"/>
      <c r="AH183" s="1321"/>
      <c r="AI183" s="1321"/>
      <c r="AJ183" s="1321"/>
      <c r="AK183" s="1321"/>
      <c r="AL183" s="1321"/>
      <c r="AM183" s="1321"/>
      <c r="AN183" s="1321"/>
      <c r="AO183" s="1321"/>
      <c r="AP183" s="1321"/>
      <c r="AQ183" s="1321"/>
      <c r="AR183" s="1321"/>
      <c r="AS183" s="1321"/>
      <c r="AT183" s="1321"/>
      <c r="AU183" s="1321"/>
      <c r="AV183" s="1321"/>
      <c r="AW183" s="1321"/>
      <c r="AX183" s="1321"/>
      <c r="AY183" s="1321"/>
      <c r="AZ183" s="1321"/>
      <c r="BA183" s="1321"/>
      <c r="BB183" s="1236"/>
      <c r="BC183" s="1190"/>
      <c r="BD183" s="1190"/>
      <c r="BE183" s="1237"/>
      <c r="BF183" s="1237"/>
      <c r="BG183" s="1237"/>
      <c r="BH183" s="1237"/>
      <c r="BI183" s="1237"/>
      <c r="BJ183" s="1237"/>
      <c r="BK183" s="1238"/>
      <c r="BL183" s="1321"/>
      <c r="BM183" s="1346"/>
      <c r="BN183" s="1321"/>
      <c r="BO183" s="1321"/>
      <c r="BP183" s="1321"/>
      <c r="BQ183" s="1321"/>
      <c r="BR183" s="1321"/>
      <c r="BS183" s="1321"/>
      <c r="BT183" s="1321"/>
      <c r="BU183" s="1321"/>
      <c r="BV183" s="1345"/>
      <c r="BW183" s="1345"/>
      <c r="BX183" s="1321"/>
      <c r="BY183" s="1321"/>
      <c r="BZ183" s="1321"/>
      <c r="CA183" s="1321"/>
      <c r="CB183" s="1321"/>
      <c r="CC183" s="1321"/>
      <c r="CD183" s="1345"/>
      <c r="CE183" s="1345"/>
      <c r="CF183" s="1345"/>
      <c r="CG183" s="1345"/>
      <c r="CH183" s="1345"/>
      <c r="CI183" s="1321"/>
      <c r="CJ183" s="1321"/>
      <c r="CK183" s="1321"/>
      <c r="CL183" s="1321"/>
      <c r="CM183" s="1318"/>
      <c r="CN183" s="1318"/>
      <c r="CO183" s="1318"/>
      <c r="CP183" s="1318"/>
      <c r="CQ183" s="1318"/>
      <c r="CR183" s="1318"/>
      <c r="CS183" s="1076" t="str">
        <f t="shared" si="66"/>
        <v>Sorgho ensilé</v>
      </c>
      <c r="CT183" s="1267">
        <f t="array" ref="CT183">SUM((IF(QualitéAlimentsLapereauMâle_0_1_mois=BONNE,VLOOKUP("Sorgho ensilé",AlimentsRationLapinsMâles[],4,FALSE),0)+(IF(QualitéAlimentsLapereauFemelle_0_1_mois=BONNE,VLOOKUP("Sorgho ensilé",AlimentsRationLapinsFemelles[],4,FALSE),0)+(IF(QualitéAlimentsJeuneLapin=BONNE,VLOOKUP("Sorgho ensilé",AlimentsRationLapinsMâles[],3,FALSE),0)+(IF(QualitéAlimentsJeuneLapine=BONNE,VLOOKUP("Sorgho ensilé",AlimentsRationLapinsFemelles[],3,FALSE),0)+(IF(QualitéAlimentsLapin=BONNE,VLOOKUP("Sorgho ensilé",AlimentsRationLapinsMâles[],2,FALSE),0)+(IF(QualitéAlimentsLapine=BONNE,VLOOKUP("Sorgho ensilé",AlimentsRationLapinsFemelles[],2,FALSE),0))))))))</f>
        <v>0</v>
      </c>
      <c r="CU183" s="1267">
        <f t="array" ref="CU183">SUM((IF(QualitéAlimentsLapereauMâle_0_1_mois=MOYENNE,VLOOKUP("Sorgho ensilé",AlimentsRationLapinsMâles[],4,FALSE),0)+(IF(QualitéAlimentsLapereauFemelle_0_1_mois=MOYENNE,VLOOKUP("Sorgho ensilé",AlimentsRationLapinsFemelles[],4,FALSE),0)+(IF(QualitéAlimentsJeuneLapin=MOYENNE,VLOOKUP("Sorgho ensilé",AlimentsRationLapinsMâles[],3,FALSE),0)+(IF(QualitéAlimentsJeuneLapine=MOYENNE,VLOOKUP("Sorgho ensilé",AlimentsRationLapinsFemelles[],3,FALSE),0)+(IF(QualitéAlimentsLapin=MOYENNE,VLOOKUP("Sorgho ensilé",AlimentsRationLapinsMâles[],2,FALSE),0)+(IF(QualitéAlimentsLapine=MOYENNE,VLOOKUP("Sorgho ensilé",AlimentsRationLapinsFemelles[],2,FALSE),0))))))))</f>
        <v>0</v>
      </c>
      <c r="CV183" s="1267">
        <f t="array" ref="CV183">SUM((IF(QualitéAlimentsLapereauMâle_0_1_mois=MAUVAISE,VLOOKUP("Sorgho ensilé",AlimentsRationLapinsMâles[],4,FALSE),0)+(IF(QualitéAlimentsLapereauFemelle_0_1_mois=MAUVAISE,VLOOKUP("Sorgho ensilé",AlimentsRationLapinsFemelles[],4,FALSE),0)+(IF(QualitéAlimentsJeuneLapin=MAUVAISE,VLOOKUP("Sorgho ensilé",AlimentsRationLapinsMâles[],3,FALSE),0)+(IF(QualitéAlimentsJeuneLapine=MAUVAISE,VLOOKUP("Sorgho ensilé",AlimentsRationLapinsFemelles[],3,FALSE),0)+(IF(QualitéAlimentsLapin=MAUVAISE,VLOOKUP("Sorgho ensilé",AlimentsRationLapinsMâles[],2,FALSE),0)+(IF(QualitéAlimentsLapine=MAUVAISE,VLOOKUP("Sorgho ensilé",AlimentsRationLapinsFemelles[],2,FALSE),0))))))))</f>
        <v>0</v>
      </c>
      <c r="CW183" s="1321"/>
      <c r="CX183" s="1321"/>
      <c r="CY183" s="1321"/>
      <c r="CZ183" s="1075" t="str">
        <f t="shared" si="65"/>
        <v>Tournesol</v>
      </c>
      <c r="DA183" s="1269">
        <f t="array" ref="DA183">SUM((IF(QualitéAlimentsPoussinMâle_0_1_mois=BONNE,VLOOKUP("Tournesol",AlimentsRationVolaillesMâles[],4,FALSE),0)+(IF(QualitéAlimentsPoussinFemelle_0_1_mois=BONNE,VLOOKUP("Tournesol",AlimentsRationVolaillesFemelles[],4,FALSE),0)+(IF(QualitéAlimentsJeuneCoq=BONNE,VLOOKUP("Tournesol",AlimentsRationVolaillesMâles[],3,FALSE),0)+(IF(QualitéAlimentsJeunePoule=BONNE,VLOOKUP("Tournesol",AlimentsRationVolaillesFemelles[],3,FALSE),0)+(IF(QualitéAlimentsCoq=BONNE,VLOOKUP("Tournesol",AlimentsRationVolaillesMâles[],2,FALSE),0)+(IF(QualitéAlimentsPoule=BONNE,VLOOKUP("Tournesol",AlimentsRationVolaillesFemelles[],2,FALSE),0))))))))</f>
        <v>0</v>
      </c>
      <c r="DB183" s="1269">
        <f t="array" ref="DB183">SUM((IF(QualitéAlimentsPoussinMâle_0_1_mois=MOYENNE,VLOOKUP("Tournesol",AlimentsRationVolaillesMâles[],4,FALSE),0)+(IF(QualitéAlimentsPoussinFemelle_0_1_mois=MOYENNE,VLOOKUP("Tournesol",AlimentsRationVolaillesFemelles[],4,FALSE),0)+(IF(QualitéAlimentsJeuneCoq=MOYENNE,VLOOKUP("Tournesol",AlimentsRationVolaillesMâles[],3,FALSE),0)+(IF(QualitéAlimentsJeunePoule=MOYENNE,VLOOKUP("Tournesol",AlimentsRationVolaillesFemelles[],3,FALSE),0)+(IF(QualitéAlimentsCoq=MOYENNE,VLOOKUP("Tournesol",AlimentsRationVolaillesMâles[],2,FALSE),0)+(IF(QualitéAlimentsPoule=MOYENNE,VLOOKUP("Tournesol",AlimentsRationVolaillesFemelles[],2,FALSE),0))))))))</f>
        <v>0</v>
      </c>
      <c r="DC183" s="1269">
        <f t="array" ref="DC183">SUM((IF(QualitéAlimentsPoussinMâle_0_1_mois=MAUVAISE,VLOOKUP("Tournesol",AlimentsRationVolaillesMâles[],4,FALSE),0)+(IF(QualitéAlimentsPoussinFemelle_0_1_mois=MAUVAISE,VLOOKUP("Tournesol",AlimentsRationVolaillesFemelles[],4,FALSE),0)+(IF(QualitéAlimentsJeuneCoq=MAUVAISE,VLOOKUP("Tournesol",AlimentsRationVolaillesMâles[],3,FALSE),0)+(IF(QualitéAlimentsJeunePoule=MAUVAISE,VLOOKUP("Tournesol",AlimentsRationVolaillesFemelles[],3,FALSE),0)+(IF(QualitéAlimentsCoq=MAUVAISE,VLOOKUP("Tournesol",AlimentsRationVolaillesMâles[],2,FALSE),0)+(IF(QualitéAlimentsPoule=MAUVAISE,VLOOKUP("Tournesol",AlimentsRationVolaillesFemelles[],2,FALSE),0))))))))</f>
        <v>0</v>
      </c>
      <c r="DD183" s="1321"/>
      <c r="DE183" s="1321"/>
      <c r="DF183" s="1321"/>
      <c r="DG183" s="1321"/>
      <c r="DH183" s="1321"/>
      <c r="DI183" s="1321"/>
      <c r="DJ183" s="1321"/>
      <c r="DK183" s="1321"/>
      <c r="DL183" s="1321"/>
      <c r="DM183" s="1321"/>
      <c r="DN183" s="1075"/>
      <c r="DO183" s="1269">
        <f t="array" ref="DO183">IF(ChoixRationComplèteOvins=OUI,0,IFERROR(IF(OR(AND(INDEX(Règles_ovins[Specificite],MATCH(ChoixRationOvins&amp;$DN183,Règles_ovins[Ration]&amp;Règles_ovins[Aliment],0))="s1",IF($DN183=Spécificité1Ovins,1)),
AND(INDEX(Règles_ovins[Specificite],MATCH(ChoixRationOvins&amp;$DN183,Règles_ovins[Ration]&amp;Règles_ovins[Aliment],0))="s2",IF($DN183=Spécificité2Ovins,1)),
INDEX(Règles_ovins[Specificite],MATCH(ChoixRationOvins&amp;$DN183,Règles_ovins[Ration]&amp;Règles_ovins[Aliment],0))="c"),
INDEX(Règles_ovins[Valeur 12 et plus],MATCH(ChoixRationOvins&amp;$DN183,Règles_ovins[Ration]&amp;Règles_ovins[Aliment],0)),0),0)*IF(ChoixOvinsPréHiver=OUI,SUM(TotalOvinsAdultesRacesLaitières)*NbreJoursNourrirOvins,TotalBéliers*SUM(NbreJoursNourrirOvins)))</f>
        <v>0</v>
      </c>
      <c r="DP183" s="1269">
        <f t="array" ref="DP183">IF(ChoixRationComplèteOvins=OUI,0,IFERROR(IF(OR(AND(INDEX(Règles_ovins[Specificite],MATCH(ChoixRationOvins&amp;$DN183,Règles_ovins[Ration]&amp;Règles_ovins[Aliment],0))="s1",IF($DN183=Spécificité1Ovins,1)),
AND(INDEX(Règles_ovins[Specificite],MATCH(ChoixRationOvins&amp;$DN183,Règles_ovins[Ration]&amp;Règles_ovins[Aliment],0))="s2",IF($DN183=Spécificité2Ovins,1)),
INDEX(Règles_ovins[Specificite],MATCH(ChoixRationOvins&amp;$DN183,Règles_ovins[Ration]&amp;Règles_ovins[Aliment],0))="c"),
INDEX(Règles_ovins[Valeur 6-12],MATCH(ChoixRationOvins&amp;$DN183,Règles_ovins[Ration]&amp;Règles_ovins[Aliment],0)),0),0)*IF(ChoixOvinsPréHiver=OUI,SUM(TotalJeunesOvinsRacesLaitières)*NbreJoursNourrirOvins,TotalJeune_bélier_6_12_mois*SUM(NbreJoursNourrirOvins)))</f>
        <v>0</v>
      </c>
      <c r="DQ183" s="1269">
        <f t="array" ref="DQ183">IF(ChoixRationComplèteOvins=OUI,0,IFERROR(IF(OR(AND(INDEX(Règles_ovins[Specificite],MATCH(ChoixRationOvins&amp;$DN183,Règles_ovins[Ration]&amp;Règles_ovins[Aliment],0))="s1",IF($DN183=Spécificité1Ovins,1)),
AND(INDEX(Règles_ovins[Specificite],MATCH(ChoixRationOvins&amp;$DN183,Règles_ovins[Ration]&amp;Règles_ovins[Aliment],0))="s2",IF($DN183=Spécificité2Ovins,1)),
INDEX(Règles_ovins[Specificite],MATCH(ChoixRationOvins&amp;$DN183,Règles_ovins[Ration]&amp;Règles_ovins[Aliment],0))="c"),
INDEX(Règles_ovins[Valeur 3-6],MATCH(ChoixRationOvins&amp;$DN183,Règles_ovins[Ration]&amp;Règles_ovins[Aliment],0)),0),0)*IF(ChoixOvinsPréHiver=OUI,SUM(TotalOvins_3_6moisRacesLaitières)*NbreJoursNourrirOvins,TotalAgneau_3_6_mois*SUM(NbreJoursNourrirOvins)))</f>
        <v>0</v>
      </c>
      <c r="DR183" s="1269">
        <f t="array" ref="DR183">IF(ChoixRationComplèteOvins=OUI,0,IFERROR(IF(OR(AND(INDEX(Règles_ovins[Specificite],MATCH(ChoixRationOvins&amp;$DN183,Règles_ovins[Ration]&amp;Règles_ovins[Aliment],0))="s1",IF($DN183=Spécificité1Ovins,1)),
AND(INDEX(Règles_ovins[Specificite],MATCH(ChoixRationOvins&amp;$DN183,Règles_ovins[Ration]&amp;Règles_ovins[Aliment],0))="s2",IF($DN183=Spécificité2Ovins,1)),
INDEX(Règles_ovins[Specificite],MATCH(ChoixRationOvins&amp;$DN183,Règles_ovins[Ration]&amp;Règles_ovins[Aliment],0))="c"),
INDEX(Règles_ovins[Valeur 0-3],MATCH(ChoixRationOvins&amp;$DN183,Règles_ovins[Ration]&amp;Règles_ovins[Aliment],0)),0),0)*IF(ChoixOvinsPréHiver=OUI,SUM(TotalOvins_3_6moisRacesLaitières)*NbreJoursNourrirOvins,TotalAgneau_0_3_mois*SUM(NbreJoursNourrirOvins)))</f>
        <v>0</v>
      </c>
      <c r="DS183" s="1280">
        <f t="shared" si="61"/>
        <v>0</v>
      </c>
      <c r="DT183" s="1346"/>
      <c r="DU183" s="1346"/>
      <c r="DV183" s="1321"/>
      <c r="DW183" s="1321"/>
      <c r="DX183" s="1321"/>
      <c r="DY183" s="1321"/>
      <c r="DZ183" s="1321"/>
      <c r="EA183" s="1321"/>
      <c r="EB183" s="1321"/>
      <c r="EC183" s="1321"/>
      <c r="ED183" s="1345"/>
      <c r="EE183" s="1345"/>
      <c r="EF183" s="1321"/>
      <c r="EG183" s="1075">
        <f t="shared" si="63"/>
        <v>0</v>
      </c>
      <c r="EH183" s="1269"/>
      <c r="EI183" s="1269"/>
      <c r="EJ183" s="1269"/>
      <c r="EK183" s="1345"/>
      <c r="EL183" s="1345"/>
      <c r="EM183" s="1321"/>
      <c r="EN183" s="1082">
        <f t="shared" si="62"/>
        <v>0</v>
      </c>
      <c r="EO183" s="1282"/>
      <c r="EP183" s="1282"/>
      <c r="EQ183" s="1282"/>
      <c r="ER183" s="1345"/>
      <c r="ES183" s="1345"/>
      <c r="ET183" s="1321"/>
      <c r="EU183" s="1083">
        <f t="shared" si="60"/>
        <v>0</v>
      </c>
      <c r="EV183" s="1283">
        <f t="array" ref="EV183">IF(OR(ChoixRationHivernaleComplèteChevauxSelle=OUI,ChoixRationHivernaleComplèteChevauxSelle="",ChoixChevauxSellePréHiver=NON),0,IFERROR(IF(OR(AND(INDEX(Règles_chevaux_selle[Specificite],MATCH(RationHivernaleAuPréChevauxSelle&amp;$EU183,Règles_chevaux_selle[Ration]&amp;Règles_chevaux_selle[Aliment],0))="s1",IF($EU183=Spécificité1ChevauxSelle,1)),
AND(INDEX(Règles_chevaux_selle[Specificite],MATCH(RationHivernaleAuPréChevauxSelle&amp;$EU183,Règles_chevaux_selle[Ration]&amp;Règles_chevaux_selle[Aliment],0))="s2",IF($EU183=Spécificité2ChevauxSelle,1)),
INDEX(Règles_chevaux_selle[Specificite],MATCH(RationHivernaleAuPréChevauxSelle&amp;$EU183,Règles_chevaux_selle[Ration]&amp;Règles_chevaux_selle[Aliment],0))="c"),
INDEX(Règles_chevaux_selle[Valeur 36 et plus],MATCH(RationHivernaleAuPréChevauxSelle&amp;$EU183,Règles_chevaux_selle[Ration]&amp;Règles_chevaux_selle[Aliment],0)),0),0)*SUM(TotalChevauxSelleAdultes)*21)</f>
        <v>0</v>
      </c>
      <c r="EW183" s="1283">
        <f t="array" ref="EW183">IF(OR(ChoixRationHivernaleComplèteChevauxSelle=OUI,ChoixRationHivernaleComplèteChevauxSelle="",ChoixChevauxSellePréHiver=NON),0,IFERROR(IF(OR(AND(INDEX(Règles_chevaux_selle[Specificite],MATCH(RationHivernaleAuPréChevauxSelle&amp;$EU183,Règles_chevaux_selle[Ration]&amp;Règles_chevaux_selle[Aliment],0))="s1",IF($EU183=Spécificité1ChevauxSelle,1)),
AND(INDEX(Règles_chevaux_selle[Specificite],MATCH(RationHivernaleAuPréChevauxSelle&amp;$EU183,Règles_chevaux_selle[Ration]&amp;Règles_chevaux_selle[Aliment],0))="s2",IF($EU183=Spécificité2ChevauxSelle,1)),
INDEX(Règles_chevaux_selle[Specificite],MATCH(RationHivernaleAuPréChevauxSelle&amp;$EU183,Règles_chevaux_selle[Ration]&amp;Règles_chevaux_selle[Aliment],0))="c"),
INDEX(Règles_chevaux_selle[Valeur 24-36],MATCH(RationHivernaleAuPréChevauxSelle&amp;$EU183,Règles_chevaux_selle[Ration]&amp;Règles_chevaux_selle[Aliment],0)),0),0)*SUM(TotalChevauxSelle_24_36mois)*21)</f>
        <v>0</v>
      </c>
      <c r="EX183" s="1283">
        <f t="array" ref="EX183">IF(OR(ChoixRationHivernaleComplèteChevauxSelle=OUI,ChoixRationHivernaleComplèteChevauxSelle="",ChoixChevauxSellePréHiver=NON),0,IFERROR(IF(OR(AND(INDEX(Règles_chevaux_selle[Specificite],MATCH(RationHivernaleAuPréChevauxSelle&amp;$EU183,Règles_chevaux_selle[Ration]&amp;Règles_chevaux_selle[Aliment],0))="s1",IF($EU183=Spécificité1ChevauxSelle,1)),
AND(INDEX(Règles_chevaux_selle[Specificite],MATCH(RationHivernaleAuPréChevauxSelle&amp;$EU183,Règles_chevaux_selle[Ration]&amp;Règles_chevaux_selle[Aliment],0))="s2",IF($EU183=Spécificité2ChevauxSelle,1)),
INDEX(Règles_chevaux_selle[Specificite],MATCH(RationHivernaleAuPréChevauxSelle&amp;$EU183,Règles_chevaux_selle[Ration]&amp;Règles_chevaux_selle[Aliment],0))="c"),
INDEX(Règles_chevaux_selle[Valeur 12-24],MATCH(RationHivernaleAuPréChevauxSelle&amp;$EU183,Règles_chevaux_selle[Ration]&amp;Règles_chevaux_selle[Aliment],0)),0),0)*SUM(TotalChevauxSelle_12_24mois)*21)</f>
        <v>0</v>
      </c>
      <c r="EY183" s="1286">
        <f t="array" ref="EY183">IF(OR(ChoixRationHivernaleComplèteChevauxSelle=OUI,ChoixRationHivernaleComplèteChevauxSelle="",ChoixChevauxSellePréHiver=NON),0,IFERROR(IF(OR(AND(INDEX(Règles_chevaux_selle[Specificite],MATCH(RationHivernaleAuPréChevauxSelle&amp;$EU183,Règles_chevaux_selle[Ration]&amp;Règles_chevaux_selle[Aliment],0))="s1",IF($EU183=Spécificité1ChevauxSelle,1)),
AND(INDEX(Règles_chevaux_selle[Specificite],MATCH(RationHivernaleAuPréChevauxSelle&amp;$EU183,Règles_chevaux_selle[Ration]&amp;Règles_chevaux_selle[Aliment],0))="s2",IF($EU183=Spécificité2ChevauxSelle,1)),
INDEX(Règles_chevaux_selle[Specificite],MATCH(RationHivernaleAuPréChevauxSelle&amp;$EU183,Règles_chevaux_selle[Ration]&amp;Règles_chevaux_selle[Aliment],0))="c"),
INDEX(Règles_chevaux_selle[Valeur 0-12],MATCH(RationHivernaleAuPréChevauxSelle&amp;$EU183,Règles_chevaux_selle[Ration]&amp;Règles_chevaux_selle[Aliment],0)),0),0)*SUM(TotalPoulainsSelle)*21)</f>
        <v>0</v>
      </c>
      <c r="EZ183" s="1286">
        <f t="shared" si="59"/>
        <v>0</v>
      </c>
      <c r="FA183" s="1345"/>
      <c r="FB183" s="1345"/>
      <c r="FC183" s="1321"/>
      <c r="FD183" s="789" t="s">
        <v>1276</v>
      </c>
      <c r="FE183" s="790" t="s">
        <v>1261</v>
      </c>
      <c r="FF183" s="790" t="s">
        <v>1260</v>
      </c>
      <c r="FG183" s="790" t="s">
        <v>1304</v>
      </c>
      <c r="FH183" s="827" t="s">
        <v>1303</v>
      </c>
      <c r="FI183" s="791" t="s">
        <v>1269</v>
      </c>
      <c r="FJ183" s="1345"/>
      <c r="FK183" s="1345"/>
      <c r="FL183" s="1345"/>
      <c r="FM183" s="1321"/>
      <c r="FN183" s="809" t="s">
        <v>723</v>
      </c>
      <c r="FO183" s="830">
        <f t="array" ref="FO183">IF(ChoixRationHivernaleComplètePoneys=NON,0,IFERROR(IF(OR(AND(INDEX(Règles_poneys[Specificite],MATCH(RationHivernaleAuPréPoneys&amp;Ration_complète_poneys[aliment],Règles_poneys[Ration]&amp;Règles_poneys[Aliment],0))="s1",IF(Ration_complète_poneys[aliment]=Spécificité1Poneys,1)),
AND(INDEX(Règles_poneys[Specificite],MATCH(RationHivernaleAuPréPoneys&amp;Ration_complète_poneys[aliment],Règles_poneys[Ration]&amp;Règles_poneys[Aliment],0))="s2",IF(Ration_complète_poneys[aliment]=Spécificité2Poneys,1)),
INDEX(Règles_poneys[Specificite],MATCH(RationHivernaleAuPréPoneys&amp;Ration_complète_poneys[aliment],Règles_poneys[Ration]&amp;Règles_poneys[Aliment],0))="c",INDEX(Règles_poneys[Specificite],MATCH(RationHivernaleAuPréPoneys&amp;Ration_complète_poneys[aliment],Règles_poneys[Ration]&amp;Règles_poneys[Aliment],0))="complet"),
INDEX(Règles_poneys[Valeur 36 et plus],MATCH(RationHivernaleAuPréPoneys&amp;Ration_complète_poneys[aliment],Règles_poneys[Ration]&amp;Règles_poneys[Aliment],0)),0),0)*SUM(TotalPoneysAdultes)*21)</f>
        <v>0</v>
      </c>
      <c r="FP183" s="830">
        <f t="array" ref="FP183">IF(ChoixRationHivernaleComplètePoneys=NON,0,IFERROR(IF(OR(AND(INDEX(Règles_poneys[Specificite],MATCH(RationHivernaleAuPréPoneys&amp;Ration_complète_poneys[aliment],Règles_poneys[Ration]&amp;Règles_poneys[Aliment],0))="s1",IF(Ration_complète_poneys[aliment]=Spécificité1Poneys,1)),
AND(INDEX(Règles_poneys[Specificite],MATCH(RationHivernaleAuPréPoneys&amp;Ration_complète_poneys[aliment],Règles_poneys[Ration]&amp;Règles_poneys[Aliment],0))="s2",IF(Ration_complète_poneys[aliment]=Spécificité2Poneys,1)),
INDEX(Règles_poneys[Specificite],MATCH(RationHivernaleAuPréPoneys&amp;Ration_complète_poneys[aliment],Règles_poneys[Ration]&amp;Règles_poneys[Aliment],0))="c",INDEX(Règles_poneys[Specificite],MATCH(RationHivernaleAuPréPoneys&amp;Ration_complète_poneys[aliment],Règles_poneys[Ration]&amp;Règles_poneys[Aliment],0))="complet"),
INDEX(Règles_poneys[Valeur 24-36],MATCH(RationHivernaleAuPréPoneys&amp;Ration_complète_poneys[aliment],Règles_poneys[Ration]&amp;Règles_poneys[Aliment],0)),0),0)*SUM(TotalPoneys_24_36mois)*SUM(AE76:AE100))</f>
        <v>0</v>
      </c>
      <c r="FQ183" s="830">
        <f t="array" ref="FQ183">IF(ChoixRationHivernaleComplètePoneys=NON,0,IFERROR(IF(OR(AND(INDEX(Règles_poneys[Specificite],MATCH(RationHivernaleAuPréPoneys&amp;Ration_complète_poneys[aliment],Règles_poneys[Ration]&amp;Règles_poneys[Aliment],0))="s1",IF(Ration_complète_poneys[aliment]=Spécificité1Poneys,1)),
AND(INDEX(Règles_poneys[Specificite],MATCH(RationHivernaleAuPréPoneys&amp;Ration_complète_poneys[aliment],Règles_poneys[Ration]&amp;Règles_poneys[Aliment],0))="s2",IF(Ration_complète_poneys[aliment]=Spécificité2Poneys,1)),
INDEX(Règles_poneys[Specificite],MATCH(RationHivernaleAuPréPoneys&amp;Ration_complète_poneys[aliment],Règles_poneys[Ration]&amp;Règles_poneys[Aliment],0))="c",INDEX(Règles_poneys[Specificite],MATCH(RationHivernaleAuPréPoneys&amp;Ration_complète_poneys[aliment],Règles_poneys[Ration]&amp;Règles_poneys[Aliment],0))="complet"),
INDEX(Règles_poneys[Valeur 12-24],MATCH(RationHivernaleAuPréPoneys&amp;Ration_complète_poneys[aliment],Règles_poneys[Ration]&amp;Règles_poneys[Aliment],0)),0),0)*SUM(TotalPoneys_12_24mois)*SUM(AE76:AE100))</f>
        <v>0</v>
      </c>
      <c r="FR183" s="830">
        <f t="array" ref="FR183">IF(ChoixRationHivernaleComplètePoneys=NON,0,IFERROR(IF(OR(AND(INDEX(Règles_poneys[Specificite],MATCH(RationHivernaleAuPréPoneys&amp;Ration_complète_poneys[aliment],Règles_poneys[Ration]&amp;Règles_poneys[Aliment],0))="s1",IF(Ration_complète_poneys[aliment]=Spécificité1Poneys,1)),
AND(INDEX(Règles_poneys[Specificite],MATCH(RationHivernaleAuPréPoneys&amp;Ration_complète_poneys[aliment],Règles_poneys[Ration]&amp;Règles_poneys[Aliment],0))="s2",IF(Ration_complète_poneys[aliment]=Spécificité2Poneys,1)),
INDEX(Règles_poneys[Specificite],MATCH(RationHivernaleAuPréPoneys&amp;Ration_complète_poneys[aliment],Règles_poneys[Ration]&amp;Règles_poneys[Aliment],0))="c",INDEX(Règles_poneys[Specificite],MATCH(RationHivernaleAuPréPoneys&amp;Ration_complète_poneys[aliment],Règles_poneys[Ration]&amp;Règles_poneys[Aliment],0))="complet"),
INDEX(Règles_poneys[Valeur 0-12],MATCH(RationHivernaleAuPréPoneys&amp;Ration_complète_poneys[aliment],Règles_poneys[Ration]&amp;Règles_poneys[Aliment],0)),0),0)*SUM(TotalPoulainsPoneys)*SUM(AE76:AE100))</f>
        <v>0</v>
      </c>
      <c r="FS183" s="832">
        <f>SUM(Ration_complète_poneys[[Valeur 36 et plus]:[Valeur 0-12]])</f>
        <v>0</v>
      </c>
      <c r="FT183" s="1345"/>
      <c r="FU183" s="1345"/>
      <c r="FV183" s="1345"/>
      <c r="FW183" s="1345"/>
      <c r="FX183" s="1345"/>
      <c r="FY183" s="1345"/>
      <c r="FZ183" s="1345"/>
      <c r="GA183" s="1345"/>
      <c r="GB183" s="1345"/>
      <c r="GC183" s="1321"/>
      <c r="GD183" s="1321"/>
      <c r="GE183" s="1321"/>
      <c r="GF183" s="1321"/>
      <c r="GG183" s="1321" t="s">
        <v>1349</v>
      </c>
      <c r="GH183" s="1321" t="s">
        <v>1349</v>
      </c>
      <c r="GI183" s="1321" t="s">
        <v>1349</v>
      </c>
      <c r="GJ183" s="1321" t="s">
        <v>1349</v>
      </c>
      <c r="GK183" s="1321" t="s">
        <v>1349</v>
      </c>
      <c r="GL183" s="1321" t="s">
        <v>1349</v>
      </c>
      <c r="GM183" s="1321" t="s">
        <v>1349</v>
      </c>
      <c r="GN183" s="1321" t="s">
        <v>1349</v>
      </c>
      <c r="GO183" s="1321" t="s">
        <v>1349</v>
      </c>
      <c r="GP183" s="1321" t="s">
        <v>1349</v>
      </c>
      <c r="GQ183" s="1321" t="s">
        <v>1349</v>
      </c>
      <c r="GR183" s="1321" t="s">
        <v>1349</v>
      </c>
      <c r="GS183" s="1321" t="s">
        <v>1349</v>
      </c>
      <c r="GT183" s="1321" t="s">
        <v>1349</v>
      </c>
      <c r="GU183" s="1321" t="s">
        <v>1349</v>
      </c>
      <c r="GV183" s="1321" t="s">
        <v>1349</v>
      </c>
      <c r="GW183" s="1321"/>
      <c r="GX183" s="1321"/>
      <c r="GY183" s="1321"/>
      <c r="GZ183" s="1321"/>
      <c r="HA183" s="1321"/>
      <c r="HB183" s="1321"/>
      <c r="HC183" s="1321"/>
      <c r="HD183" s="1321"/>
      <c r="HE183" s="1321"/>
      <c r="HF183" s="1321"/>
      <c r="HG183" s="1321"/>
      <c r="HH183" s="1321"/>
      <c r="HI183" s="1321"/>
      <c r="HJ183" s="1321"/>
      <c r="HK183" s="1321"/>
      <c r="HL183" s="1321"/>
      <c r="HM183" s="1321"/>
      <c r="HN183" s="1321"/>
      <c r="HO183" s="1321"/>
      <c r="HP183" s="1321"/>
      <c r="HQ183" s="1321"/>
      <c r="HR183" s="1321"/>
      <c r="HS183" s="1321"/>
      <c r="HT183" s="1321"/>
      <c r="HU183" s="1321"/>
      <c r="HV183" s="1321"/>
      <c r="HW183" s="1321"/>
      <c r="HX183" s="1321"/>
      <c r="HY183" s="1321"/>
      <c r="HZ183" s="1321"/>
      <c r="IA183" s="1321"/>
      <c r="IB183" s="1321"/>
      <c r="IC183" s="1321"/>
      <c r="ID183" s="1321"/>
      <c r="IE183" s="1321"/>
      <c r="IF183" s="1321"/>
      <c r="IG183" s="1321"/>
      <c r="IH183" s="1321"/>
      <c r="II183" s="1321"/>
      <c r="IJ183" s="1321"/>
      <c r="IK183" s="1321"/>
      <c r="IL183" s="1321"/>
      <c r="IM183" s="1321"/>
      <c r="IN183" s="1368"/>
    </row>
    <row r="184" spans="1:248" ht="12.75" customHeight="1" x14ac:dyDescent="0.2">
      <c r="A184" s="1307" t="s">
        <v>260</v>
      </c>
      <c r="B184" s="1209">
        <v>5</v>
      </c>
      <c r="C184" s="1321"/>
      <c r="D184" s="1251" t="s">
        <v>1974</v>
      </c>
      <c r="E184" s="1252">
        <v>4.2</v>
      </c>
      <c r="F184" s="1321"/>
      <c r="G184" s="1321"/>
      <c r="H184" s="1321"/>
      <c r="I184" s="1321"/>
      <c r="J184" s="1321"/>
      <c r="K184" s="1321"/>
      <c r="L184" s="1321"/>
      <c r="M184" s="1321"/>
      <c r="N184" s="1321"/>
      <c r="O184" s="1321"/>
      <c r="P184" s="1321"/>
      <c r="Q184" s="1321"/>
      <c r="R184" s="1321"/>
      <c r="S184" s="1321"/>
      <c r="T184" s="1321"/>
      <c r="U184" s="1321"/>
      <c r="V184" s="1321"/>
      <c r="W184" s="1321"/>
      <c r="X184" s="1321"/>
      <c r="Y184" s="1321"/>
      <c r="Z184" s="1321"/>
      <c r="AA184" s="1321"/>
      <c r="AB184" s="1321"/>
      <c r="AC184" s="1321"/>
      <c r="AD184" s="1321"/>
      <c r="AE184" s="1321"/>
      <c r="AF184" s="1321"/>
      <c r="AG184" s="1321"/>
      <c r="AH184" s="1321"/>
      <c r="AI184" s="1321"/>
      <c r="AJ184" s="1321"/>
      <c r="AK184" s="1321"/>
      <c r="AL184" s="1321"/>
      <c r="AM184" s="1321"/>
      <c r="AN184" s="1321"/>
      <c r="AO184" s="1321"/>
      <c r="AP184" s="1321"/>
      <c r="AQ184" s="1321"/>
      <c r="AR184" s="1321"/>
      <c r="AS184" s="1321"/>
      <c r="AT184" s="1321"/>
      <c r="AU184" s="1321"/>
      <c r="AV184" s="1321"/>
      <c r="AW184" s="1321"/>
      <c r="AX184" s="1321"/>
      <c r="AY184" s="1321"/>
      <c r="AZ184" s="1321"/>
      <c r="BA184" s="1321"/>
      <c r="BB184" s="1236"/>
      <c r="BC184" s="1190"/>
      <c r="BD184" s="1190"/>
      <c r="BE184" s="1237"/>
      <c r="BF184" s="1237"/>
      <c r="BG184" s="1237"/>
      <c r="BH184" s="1237"/>
      <c r="BI184" s="1237"/>
      <c r="BJ184" s="1237"/>
      <c r="BK184" s="1238"/>
      <c r="BL184" s="1321"/>
      <c r="BM184" s="1346"/>
      <c r="BN184" s="1321"/>
      <c r="BO184" s="1321"/>
      <c r="BP184" s="1321"/>
      <c r="BQ184" s="1321"/>
      <c r="BR184" s="1321"/>
      <c r="BS184" s="1321"/>
      <c r="BT184" s="1321"/>
      <c r="BU184" s="1321"/>
      <c r="BV184" s="1345"/>
      <c r="BW184" s="1345"/>
      <c r="BX184" s="1321"/>
      <c r="BY184" s="1321"/>
      <c r="BZ184" s="1321"/>
      <c r="CA184" s="1321"/>
      <c r="CB184" s="1321"/>
      <c r="CC184" s="1321"/>
      <c r="CD184" s="1345"/>
      <c r="CE184" s="1345"/>
      <c r="CF184" s="1345"/>
      <c r="CG184" s="1345"/>
      <c r="CH184" s="1345"/>
      <c r="CI184" s="1321"/>
      <c r="CJ184" s="1321"/>
      <c r="CK184" s="1321"/>
      <c r="CL184" s="1321"/>
      <c r="CM184" s="1318"/>
      <c r="CN184" s="1318"/>
      <c r="CO184" s="1318"/>
      <c r="CP184" s="1318"/>
      <c r="CQ184" s="1318"/>
      <c r="CR184" s="1318"/>
      <c r="CS184" s="1075" t="str">
        <f t="shared" si="66"/>
        <v>Tournesol</v>
      </c>
      <c r="CT184" s="1269">
        <f t="array" ref="CT184">SUM((IF(QualitéAlimentsLapereauMâle_0_1_mois=BONNE,VLOOKUP("Tournesol",AlimentsRationLapinsMâles[],4,FALSE),0)+(IF(QualitéAlimentsLapereauFemelle_0_1_mois=BONNE,VLOOKUP("Tournesol",AlimentsRationLapinsFemelles[],4,FALSE),0)+(IF(QualitéAlimentsJeuneLapin=BONNE,VLOOKUP("Tournesol",AlimentsRationLapinsMâles[],3,FALSE),0)+(IF(QualitéAlimentsJeuneLapine=BONNE,VLOOKUP("Tournesol",AlimentsRationLapinsFemelles[],3,FALSE),0)+(IF(QualitéAlimentsLapin=BONNE,VLOOKUP("Tournesol",AlimentsRationLapinsMâles[],2,FALSE),0)+(IF(QualitéAlimentsLapine=BONNE,VLOOKUP("Tournesol",AlimentsRationLapinsFemelles[],2,FALSE),0))))))))</f>
        <v>0</v>
      </c>
      <c r="CU184" s="1269">
        <f t="array" ref="CU184">SUM((IF(QualitéAlimentsLapereauMâle_0_1_mois=MOYENNE,VLOOKUP("Tournesol",AlimentsRationLapinsMâles[],4,FALSE),0)+(IF(QualitéAlimentsLapereauFemelle_0_1_mois=MOYENNE,VLOOKUP("Tournesol",AlimentsRationLapinsFemelles[],4,FALSE),0)+(IF(QualitéAlimentsJeuneLapin=MOYENNE,VLOOKUP("Tournesol",AlimentsRationLapinsMâles[],3,FALSE),0)+(IF(QualitéAlimentsJeuneLapine=MOYENNE,VLOOKUP("Tournesol",AlimentsRationLapinsFemelles[],3,FALSE),0)+(IF(QualitéAlimentsLapin=MOYENNE,VLOOKUP("Tournesol",AlimentsRationLapinsMâles[],2,FALSE),0)+(IF(QualitéAlimentsLapine=MOYENNE,VLOOKUP("Tournesol",AlimentsRationLapinsFemelles[],2,FALSE),0))))))))</f>
        <v>0</v>
      </c>
      <c r="CV184" s="1269">
        <f t="array" ref="CV184">SUM((IF(QualitéAlimentsLapereauMâle_0_1_mois=MAUVAISE,VLOOKUP("Tournesol",AlimentsRationLapinsMâles[],4,FALSE),0)+(IF(QualitéAlimentsLapereauFemelle_0_1_mois=MAUVAISE,VLOOKUP("Tournesol",AlimentsRationLapinsFemelles[],4,FALSE),0)+(IF(QualitéAlimentsJeuneLapin=MAUVAISE,VLOOKUP("Tournesol",AlimentsRationLapinsMâles[],3,FALSE),0)+(IF(QualitéAlimentsJeuneLapine=MAUVAISE,VLOOKUP("Tournesol",AlimentsRationLapinsFemelles[],3,FALSE),0)+(IF(QualitéAlimentsLapin=MAUVAISE,VLOOKUP("Tournesol",AlimentsRationLapinsMâles[],2,FALSE),0)+(IF(QualitéAlimentsLapine=MAUVAISE,VLOOKUP("Tournesol",AlimentsRationLapinsFemelles[],2,FALSE),0))))))))</f>
        <v>0</v>
      </c>
      <c r="CW184" s="1321"/>
      <c r="CX184" s="1321"/>
      <c r="CY184" s="1321"/>
      <c r="CZ184" s="1076" t="str">
        <f t="shared" si="65"/>
        <v>Tourteau de colza</v>
      </c>
      <c r="DA184" s="1267">
        <f t="array" ref="DA184">SUM((IF(QualitéAlimentsPoussinMâle_0_1_mois=BONNE,VLOOKUP("Tourteau de colza",AlimentsRationVolaillesMâles[],4,FALSE),0)+(IF(QualitéAlimentsPoussinFemelle_0_1_mois=BONNE,VLOOKUP("Tourteau de colza",AlimentsRationVolaillesFemelles[],4,FALSE),0)+(IF(QualitéAlimentsJeuneCoq=BONNE,VLOOKUP("Tourteau de colza",AlimentsRationVolaillesMâles[],3,FALSE),0)+(IF(QualitéAlimentsJeunePoule=BONNE,VLOOKUP("Tourteau de colza",AlimentsRationVolaillesFemelles[],3,FALSE),0)+(IF(QualitéAlimentsCoq=BONNE,VLOOKUP("Tourteau de colza",AlimentsRationVolaillesMâles[],2,FALSE),0)+(IF(QualitéAlimentsPoule=BONNE,VLOOKUP("Tourteau de colza",AlimentsRationVolaillesFemelles[],2,FALSE),0))))))))</f>
        <v>0</v>
      </c>
      <c r="DB184" s="1267">
        <f t="array" ref="DB184">SUM((IF(QualitéAlimentsPoussinMâle_0_1_mois=MOYENNE,VLOOKUP("Tourteau de colza",AlimentsRationVolaillesMâles[],4,FALSE),0)+(IF(QualitéAlimentsPoussinFemelle_0_1_mois=MOYENNE,VLOOKUP("Tourteau de colza",AlimentsRationVolaillesFemelles[],4,FALSE),0)+(IF(QualitéAlimentsJeuneCoq=MOYENNE,VLOOKUP("Tourteau de colza",AlimentsRationVolaillesMâles[],3,FALSE),0)+(IF(QualitéAlimentsJeunePoule=MOYENNE,VLOOKUP("Tourteau de colza",AlimentsRationVolaillesFemelles[],3,FALSE),0)+(IF(QualitéAlimentsCoq=MOYENNE,VLOOKUP("Tourteau de colza",AlimentsRationVolaillesMâles[],2,FALSE),0)+(IF(QualitéAlimentsPoule=MOYENNE,VLOOKUP("Tourteau de colza",AlimentsRationVolaillesFemelles[],2,FALSE),0))))))))</f>
        <v>0</v>
      </c>
      <c r="DC184" s="1267">
        <f t="array" ref="DC184">SUM((IF(QualitéAlimentsPoussinMâle_0_1_mois=MAUVAISE,VLOOKUP("Tourteau de colza",AlimentsRationVolaillesMâles[],4,FALSE),0)+(IF(QualitéAlimentsPoussinFemelle_0_1_mois=MAUVAISE,VLOOKUP("Tourteau de colza",AlimentsRationVolaillesFemelles[],4,FALSE),0)+(IF(QualitéAlimentsJeuneCoq=MAUVAISE,VLOOKUP("Tourteau de colza",AlimentsRationVolaillesMâles[],3,FALSE),0)+(IF(QualitéAlimentsJeunePoule=MAUVAISE,VLOOKUP("Tourteau de colza",AlimentsRationVolaillesFemelles[],3,FALSE),0)+(IF(QualitéAlimentsCoq=MAUVAISE,VLOOKUP("Tourteau de colza",AlimentsRationVolaillesMâles[],2,FALSE),0)+(IF(QualitéAlimentsPoule=MAUVAISE,VLOOKUP("Tourteau de colza",AlimentsRationVolaillesFemelles[],2,FALSE),0))))))))</f>
        <v>0</v>
      </c>
      <c r="DD184" s="1321"/>
      <c r="DE184" s="1321"/>
      <c r="DF184" s="1321"/>
      <c r="DG184" s="1321"/>
      <c r="DH184" s="1321"/>
      <c r="DI184" s="1321"/>
      <c r="DJ184" s="1321"/>
      <c r="DK184" s="1321"/>
      <c r="DL184" s="1321"/>
      <c r="DM184" s="1321"/>
      <c r="DN184" s="1076"/>
      <c r="DO184" s="1267">
        <f t="array" ref="DO184">IF(ChoixRationComplèteOvins=OUI,0,IFERROR(IF(OR(AND(INDEX(Règles_ovins[Specificite],MATCH(ChoixRationOvins&amp;$DN184,Règles_ovins[Ration]&amp;Règles_ovins[Aliment],0))="s1",IF($DN184=Spécificité1Ovins,1)),
AND(INDEX(Règles_ovins[Specificite],MATCH(ChoixRationOvins&amp;$DN184,Règles_ovins[Ration]&amp;Règles_ovins[Aliment],0))="s2",IF($DN184=Spécificité2Ovins,1)),
INDEX(Règles_ovins[Specificite],MATCH(ChoixRationOvins&amp;$DN184,Règles_ovins[Ration]&amp;Règles_ovins[Aliment],0))="c"),
INDEX(Règles_ovins[Valeur 12 et plus],MATCH(ChoixRationOvins&amp;$DN184,Règles_ovins[Ration]&amp;Règles_ovins[Aliment],0)),0),0)*IF(ChoixOvinsPréHiver=OUI,SUM(TotalOvinsAdultesRacesLaitières)*NbreJoursNourrirOvins,TotalBéliers*SUM(NbreJoursNourrirOvins)))</f>
        <v>0</v>
      </c>
      <c r="DP184" s="1267">
        <f t="array" ref="DP184">IF(ChoixRationComplèteOvins=OUI,0,IFERROR(IF(OR(AND(INDEX(Règles_ovins[Specificite],MATCH(ChoixRationOvins&amp;$DN184,Règles_ovins[Ration]&amp;Règles_ovins[Aliment],0))="s1",IF($DN184=Spécificité1Ovins,1)),
AND(INDEX(Règles_ovins[Specificite],MATCH(ChoixRationOvins&amp;$DN184,Règles_ovins[Ration]&amp;Règles_ovins[Aliment],0))="s2",IF($DN184=Spécificité2Ovins,1)),
INDEX(Règles_ovins[Specificite],MATCH(ChoixRationOvins&amp;$DN184,Règles_ovins[Ration]&amp;Règles_ovins[Aliment],0))="c"),
INDEX(Règles_ovins[Valeur 6-12],MATCH(ChoixRationOvins&amp;$DN184,Règles_ovins[Ration]&amp;Règles_ovins[Aliment],0)),0),0)*IF(ChoixOvinsPréHiver=OUI,SUM(TotalJeunesOvinsRacesLaitières)*NbreJoursNourrirOvins,TotalJeune_bélier_6_12_mois*SUM(NbreJoursNourrirOvins)))</f>
        <v>0</v>
      </c>
      <c r="DQ184" s="1267">
        <f t="array" ref="DQ184">IF(ChoixRationComplèteOvins=OUI,0,IFERROR(IF(OR(AND(INDEX(Règles_ovins[Specificite],MATCH(ChoixRationOvins&amp;$DN184,Règles_ovins[Ration]&amp;Règles_ovins[Aliment],0))="s1",IF($DN184=Spécificité1Ovins,1)),
AND(INDEX(Règles_ovins[Specificite],MATCH(ChoixRationOvins&amp;$DN184,Règles_ovins[Ration]&amp;Règles_ovins[Aliment],0))="s2",IF($DN184=Spécificité2Ovins,1)),
INDEX(Règles_ovins[Specificite],MATCH(ChoixRationOvins&amp;$DN184,Règles_ovins[Ration]&amp;Règles_ovins[Aliment],0))="c"),
INDEX(Règles_ovins[Valeur 3-6],MATCH(ChoixRationOvins&amp;$DN184,Règles_ovins[Ration]&amp;Règles_ovins[Aliment],0)),0),0)*IF(ChoixOvinsPréHiver=OUI,SUM(TotalOvins_3_6moisRacesLaitières)*NbreJoursNourrirOvins,TotalAgneau_3_6_mois*SUM(NbreJoursNourrirOvins)))</f>
        <v>0</v>
      </c>
      <c r="DR184" s="1267">
        <f t="array" ref="DR184">IF(ChoixRationComplèteOvins=OUI,0,IFERROR(IF(OR(AND(INDEX(Règles_ovins[Specificite],MATCH(ChoixRationOvins&amp;$DN184,Règles_ovins[Ration]&amp;Règles_ovins[Aliment],0))="s1",IF($DN184=Spécificité1Ovins,1)),
AND(INDEX(Règles_ovins[Specificite],MATCH(ChoixRationOvins&amp;$DN184,Règles_ovins[Ration]&amp;Règles_ovins[Aliment],0))="s2",IF($DN184=Spécificité2Ovins,1)),
INDEX(Règles_ovins[Specificite],MATCH(ChoixRationOvins&amp;$DN184,Règles_ovins[Ration]&amp;Règles_ovins[Aliment],0))="c"),
INDEX(Règles_ovins[Valeur 0-3],MATCH(ChoixRationOvins&amp;$DN184,Règles_ovins[Ration]&amp;Règles_ovins[Aliment],0)),0),0)*IF(ChoixOvinsPréHiver=OUI,SUM(TotalOvins_3_6moisRacesLaitières)*NbreJoursNourrirOvins,TotalAgneau_0_3_mois*SUM(NbreJoursNourrirOvins)))</f>
        <v>0</v>
      </c>
      <c r="DS184" s="1279">
        <f t="shared" si="61"/>
        <v>0</v>
      </c>
      <c r="DT184" s="1346"/>
      <c r="DU184" s="1346"/>
      <c r="DV184" s="1321"/>
      <c r="DW184" s="1321"/>
      <c r="DX184" s="1321"/>
      <c r="DY184" s="1321"/>
      <c r="DZ184" s="1321"/>
      <c r="EA184" s="1321"/>
      <c r="EB184" s="1321"/>
      <c r="EC184" s="1321"/>
      <c r="ED184" s="1345"/>
      <c r="EE184" s="1345"/>
      <c r="EF184" s="1321"/>
      <c r="EG184" s="1076">
        <f t="shared" si="63"/>
        <v>0</v>
      </c>
      <c r="EH184" s="1267"/>
      <c r="EI184" s="1267"/>
      <c r="EJ184" s="1267"/>
      <c r="EK184" s="1345"/>
      <c r="EL184" s="1345"/>
      <c r="EM184" s="1321"/>
      <c r="EN184" s="1083">
        <f t="shared" si="62"/>
        <v>0</v>
      </c>
      <c r="EO184" s="1283"/>
      <c r="EP184" s="1283"/>
      <c r="EQ184" s="1283"/>
      <c r="ER184" s="1345"/>
      <c r="ES184" s="1345"/>
      <c r="ET184" s="1321"/>
      <c r="EU184" s="1082">
        <f t="shared" si="60"/>
        <v>0</v>
      </c>
      <c r="EV184" s="1282">
        <f t="array" ref="EV184">IF(OR(ChoixRationHivernaleComplèteChevauxSelle=OUI,ChoixRationHivernaleComplèteChevauxSelle="",ChoixChevauxSellePréHiver=NON),0,IFERROR(IF(OR(AND(INDEX(Règles_chevaux_selle[Specificite],MATCH(RationHivernaleAuPréChevauxSelle&amp;$EU184,Règles_chevaux_selle[Ration]&amp;Règles_chevaux_selle[Aliment],0))="s1",IF($EU184=Spécificité1ChevauxSelle,1)),
AND(INDEX(Règles_chevaux_selle[Specificite],MATCH(RationHivernaleAuPréChevauxSelle&amp;$EU184,Règles_chevaux_selle[Ration]&amp;Règles_chevaux_selle[Aliment],0))="s2",IF($EU184=Spécificité2ChevauxSelle,1)),
INDEX(Règles_chevaux_selle[Specificite],MATCH(RationHivernaleAuPréChevauxSelle&amp;$EU184,Règles_chevaux_selle[Ration]&amp;Règles_chevaux_selle[Aliment],0))="c"),
INDEX(Règles_chevaux_selle[Valeur 36 et plus],MATCH(RationHivernaleAuPréChevauxSelle&amp;$EU184,Règles_chevaux_selle[Ration]&amp;Règles_chevaux_selle[Aliment],0)),0),0)*SUM(TotalChevauxSelleAdultes)*21)</f>
        <v>0</v>
      </c>
      <c r="EW184" s="1282">
        <f t="array" ref="EW184">IF(OR(ChoixRationHivernaleComplèteChevauxSelle=OUI,ChoixRationHivernaleComplèteChevauxSelle="",ChoixChevauxSellePréHiver=NON),0,IFERROR(IF(OR(AND(INDEX(Règles_chevaux_selle[Specificite],MATCH(RationHivernaleAuPréChevauxSelle&amp;$EU184,Règles_chevaux_selle[Ration]&amp;Règles_chevaux_selle[Aliment],0))="s1",IF($EU184=Spécificité1ChevauxSelle,1)),
AND(INDEX(Règles_chevaux_selle[Specificite],MATCH(RationHivernaleAuPréChevauxSelle&amp;$EU184,Règles_chevaux_selle[Ration]&amp;Règles_chevaux_selle[Aliment],0))="s2",IF($EU184=Spécificité2ChevauxSelle,1)),
INDEX(Règles_chevaux_selle[Specificite],MATCH(RationHivernaleAuPréChevauxSelle&amp;$EU184,Règles_chevaux_selle[Ration]&amp;Règles_chevaux_selle[Aliment],0))="c"),
INDEX(Règles_chevaux_selle[Valeur 24-36],MATCH(RationHivernaleAuPréChevauxSelle&amp;$EU184,Règles_chevaux_selle[Ration]&amp;Règles_chevaux_selle[Aliment],0)),0),0)*SUM(TotalChevauxSelle_24_36mois)*21)</f>
        <v>0</v>
      </c>
      <c r="EX184" s="1282">
        <f t="array" ref="EX184">IF(OR(ChoixRationHivernaleComplèteChevauxSelle=OUI,ChoixRationHivernaleComplèteChevauxSelle="",ChoixChevauxSellePréHiver=NON),0,IFERROR(IF(OR(AND(INDEX(Règles_chevaux_selle[Specificite],MATCH(RationHivernaleAuPréChevauxSelle&amp;$EU184,Règles_chevaux_selle[Ration]&amp;Règles_chevaux_selle[Aliment],0))="s1",IF($EU184=Spécificité1ChevauxSelle,1)),
AND(INDEX(Règles_chevaux_selle[Specificite],MATCH(RationHivernaleAuPréChevauxSelle&amp;$EU184,Règles_chevaux_selle[Ration]&amp;Règles_chevaux_selle[Aliment],0))="s2",IF($EU184=Spécificité2ChevauxSelle,1)),
INDEX(Règles_chevaux_selle[Specificite],MATCH(RationHivernaleAuPréChevauxSelle&amp;$EU184,Règles_chevaux_selle[Ration]&amp;Règles_chevaux_selle[Aliment],0))="c"),
INDEX(Règles_chevaux_selle[Valeur 12-24],MATCH(RationHivernaleAuPréChevauxSelle&amp;$EU184,Règles_chevaux_selle[Ration]&amp;Règles_chevaux_selle[Aliment],0)),0),0)*SUM(TotalChevauxSelle_12_24mois)*21)</f>
        <v>0</v>
      </c>
      <c r="EY184" s="1285">
        <f t="array" ref="EY184">IF(OR(ChoixRationHivernaleComplèteChevauxSelle=OUI,ChoixRationHivernaleComplèteChevauxSelle="",ChoixChevauxSellePréHiver=NON),0,IFERROR(IF(OR(AND(INDEX(Règles_chevaux_selle[Specificite],MATCH(RationHivernaleAuPréChevauxSelle&amp;$EU184,Règles_chevaux_selle[Ration]&amp;Règles_chevaux_selle[Aliment],0))="s1",IF($EU184=Spécificité1ChevauxSelle,1)),
AND(INDEX(Règles_chevaux_selle[Specificite],MATCH(RationHivernaleAuPréChevauxSelle&amp;$EU184,Règles_chevaux_selle[Ration]&amp;Règles_chevaux_selle[Aliment],0))="s2",IF($EU184=Spécificité2ChevauxSelle,1)),
INDEX(Règles_chevaux_selle[Specificite],MATCH(RationHivernaleAuPréChevauxSelle&amp;$EU184,Règles_chevaux_selle[Ration]&amp;Règles_chevaux_selle[Aliment],0))="c"),
INDEX(Règles_chevaux_selle[Valeur 0-12],MATCH(RationHivernaleAuPréChevauxSelle&amp;$EU184,Règles_chevaux_selle[Ration]&amp;Règles_chevaux_selle[Aliment],0)),0),0)*SUM(TotalPoulainsSelle)*21)</f>
        <v>0</v>
      </c>
      <c r="EZ184" s="1285">
        <f t="shared" si="59"/>
        <v>0</v>
      </c>
      <c r="FA184" s="1345"/>
      <c r="FB184" s="1345"/>
      <c r="FC184" s="1321"/>
      <c r="FD184" s="809" t="s">
        <v>723</v>
      </c>
      <c r="FE184" s="830">
        <f t="array" ref="FE184">IF(ChoixRationHivernaleComplèteChevauxTrait=NON,0,IFERROR(IF(OR(AND(INDEX(Règles_chevaux_trait[Specificite],MATCH(RationHivernaleAuPréChevauxTrait&amp;Ration_complète_chevaux_trait6[aliment],Règles_chevaux_trait[Ration]&amp;Règles_chevaux_trait[Aliment],0))="s1",IF(Ration_complète_chevaux_trait6[aliment]=Spécificité1ChevauxTrait,1)),
AND(INDEX(Règles_chevaux_trait[Specificite],MATCH(RationHivernaleAuPréChevauxTrait&amp;Ration_complète_chevaux_trait6[aliment],Règles_chevaux_trait[Ration]&amp;Règles_chevaux_trait[Aliment],0))="s2",IF(Ration_complète_chevaux_trait6[aliment]=Spécificité2ChevauxTrait,1)),
INDEX(Règles_chevaux_trait[Specificite],MATCH(RationHivernaleAuPréChevauxTrait&amp;Ration_complète_chevaux_trait6[aliment],Règles_chevaux_trait[Ration]&amp;Règles_chevaux_trait[Aliment],0))="c",INDEX(Règles_chevaux_trait[Specificite],MATCH(RationHivernaleAuPréChevauxTrait&amp;Ration_complète_chevaux_trait6[aliment],Règles_chevaux_trait[Ration]&amp;Règles_chevaux_trait[Aliment],0))="complet"),
INDEX(Règles_chevaux_trait[Valeur 36 et plus],MATCH(RationHivernaleAuPréChevauxTrait&amp;Ration_complète_chevaux_trait6[aliment],Règles_chevaux_trait[Ration]&amp;Règles_chevaux_trait[Aliment],0)),0),0)*SUM(TotalChevauxTraitAdultes)*21)</f>
        <v>0</v>
      </c>
      <c r="FF184" s="830">
        <f t="array" ref="FF184">IF(ChoixRationHivernaleComplèteChevauxTrait=NON,0,IFERROR(IF(OR(AND(INDEX(Règles_chevaux_trait[Specificite],MATCH(RationHivernaleAuPréChevauxTrait&amp;Ration_complète_chevaux_trait6[aliment],Règles_chevaux_trait[Ration]&amp;Règles_chevaux_trait[Aliment],0))="s1",IF(Ration_complète_chevaux_trait6[aliment]=Spécificité1ChevauxTrait,1)),
AND(INDEX(Règles_chevaux_trait[Specificite],MATCH(RationHivernaleAuPréChevauxTrait&amp;Ration_complète_chevaux_trait6[aliment],Règles_chevaux_trait[Ration]&amp;Règles_chevaux_trait[Aliment],0))="s2",IF(Ration_complète_chevaux_trait6[aliment]=Spécificité2ChevauxTrait,1)),
INDEX(Règles_chevaux_trait[Specificite],MATCH(RationHivernaleAuPréChevauxTrait&amp;Ration_complète_chevaux_trait6[aliment],Règles_chevaux_trait[Ration]&amp;Règles_chevaux_trait[Aliment],0))="c",INDEX(Règles_chevaux_trait[Specificite],MATCH(RationHivernaleAuPréChevauxTrait&amp;Ration_complète_chevaux_trait6[aliment],Règles_chevaux_trait[Ration]&amp;Règles_chevaux_trait[Aliment],0))="complet"),
INDEX(Règles_chevaux_trait[Valeur 24-36],MATCH(RationHivernaleAuPréChevauxTrait&amp;Ration_complète_chevaux_trait6[aliment],Règles_chevaux_trait[Ration]&amp;Règles_chevaux_trait[Aliment],0)),0),0)*SUM(TotalChevauxTrait_24_36mois)*21)</f>
        <v>0</v>
      </c>
      <c r="FG184" s="830">
        <f t="array" ref="FG184">IF(ChoixRationHivernaleComplèteChevauxTrait=NON,0,IFERROR(IF(OR(AND(INDEX(Règles_chevaux_trait[Specificite],MATCH(RationHivernaleAuPréChevauxTrait&amp;Ration_complète_chevaux_trait6[aliment],Règles_chevaux_trait[Ration]&amp;Règles_chevaux_trait[Aliment],0))="s1",IF(Ration_complète_chevaux_trait6[aliment]=Spécificité1ChevauxTrait,1)),
AND(INDEX(Règles_chevaux_trait[Specificite],MATCH(RationHivernaleAuPréChevauxTrait&amp;Ration_complète_chevaux_trait6[aliment],Règles_chevaux_trait[Ration]&amp;Règles_chevaux_trait[Aliment],0))="s2",IF(Ration_complète_chevaux_trait6[aliment]=Spécificité2ChevauxTrait,1)),
INDEX(Règles_chevaux_trait[Specificite],MATCH(RationHivernaleAuPréChevauxTrait&amp;Ration_complète_chevaux_trait6[aliment],Règles_chevaux_trait[Ration]&amp;Règles_chevaux_trait[Aliment],0))="c",INDEX(Règles_chevaux_trait[Specificite],MATCH(RationHivernaleAuPréChevauxTrait&amp;Ration_complète_chevaux_trait6[aliment],Règles_chevaux_trait[Ration]&amp;Règles_chevaux_trait[Aliment],0))="complet"),
INDEX(Règles_chevaux_trait[Valeur 12-24],MATCH(RationHivernaleAuPréChevauxTrait&amp;Ration_complète_chevaux_trait6[aliment],Règles_chevaux_trait[Ration]&amp;Règles_chevaux_trait[Aliment],0)),0),0)*SUM(TotalChevauxTrait_12_24mois)*21)</f>
        <v>0</v>
      </c>
      <c r="FH184" s="830">
        <f t="array" ref="FH184">IF(ChoixRationHivernaleComplèteChevauxTrait=NON,0,IFERROR(IF(OR(AND(INDEX(Règles_chevaux_trait[Specificite],MATCH(RationHivernaleAuPréChevauxTrait&amp;Ration_complète_chevaux_trait6[aliment],Règles_chevaux_trait[Ration]&amp;Règles_chevaux_trait[Aliment],0))="s1",IF(Ration_complète_chevaux_trait6[aliment]=Spécificité1ChevauxTrait,1)),
AND(INDEX(Règles_chevaux_trait[Specificite],MATCH(RationHivernaleAuPréChevauxTrait&amp;Ration_complète_chevaux_trait6[aliment],Règles_chevaux_trait[Ration]&amp;Règles_chevaux_trait[Aliment],0))="s2",IF(Ration_complète_chevaux_trait6[aliment]=Spécificité2ChevauxTrait,1)),
INDEX(Règles_chevaux_trait[Specificite],MATCH(RationHivernaleAuPréChevauxTrait&amp;Ration_complète_chevaux_trait6[aliment],Règles_chevaux_trait[Ration]&amp;Règles_chevaux_trait[Aliment],0))="c",INDEX(Règles_chevaux_trait[Specificite],MATCH(RationHivernaleAuPréChevauxTrait&amp;Ration_complète_chevaux_trait6[aliment],Règles_chevaux_trait[Ration]&amp;Règles_chevaux_trait[Aliment],0))="complet"),
INDEX(Règles_chevaux_trait[Valeur 0-12],MATCH(RationHivernaleAuPréChevauxTrait&amp;Ration_complète_chevaux_trait6[aliment],Règles_chevaux_trait[Ration]&amp;Règles_chevaux_trait[Aliment],0)),0),0)*SUM(TotalPoulainsTrait)*21)</f>
        <v>0</v>
      </c>
      <c r="FI184" s="832">
        <f>SUM(Ration_complète_chevaux_trait6[[Valeur 36 et plus]:[Valeur 0-12]])</f>
        <v>0</v>
      </c>
      <c r="FJ184" s="1345"/>
      <c r="FK184" s="1345"/>
      <c r="FL184" s="1345"/>
      <c r="FM184" s="1321"/>
      <c r="FN184" s="1321"/>
      <c r="FO184" s="1321"/>
      <c r="FP184" s="1321"/>
      <c r="FQ184" s="1321"/>
      <c r="FR184" s="1321"/>
      <c r="FS184" s="1345"/>
      <c r="FT184" s="1345"/>
      <c r="FU184" s="1345"/>
      <c r="FV184" s="1345"/>
      <c r="FW184" s="1345"/>
      <c r="FX184" s="1345"/>
      <c r="FY184" s="1345"/>
      <c r="FZ184" s="1345"/>
      <c r="GA184" s="1345"/>
      <c r="GB184" s="1345"/>
      <c r="GC184" s="1321"/>
      <c r="GD184" s="1321"/>
      <c r="GE184" s="1321"/>
      <c r="GF184" s="1321"/>
      <c r="GG184" s="1321" t="s">
        <v>1349</v>
      </c>
      <c r="GH184" s="1321" t="s">
        <v>1349</v>
      </c>
      <c r="GI184" s="1321" t="s">
        <v>1349</v>
      </c>
      <c r="GJ184" s="1321" t="s">
        <v>1349</v>
      </c>
      <c r="GK184" s="1321" t="s">
        <v>1349</v>
      </c>
      <c r="GL184" s="1321" t="s">
        <v>1349</v>
      </c>
      <c r="GM184" s="1321" t="s">
        <v>1349</v>
      </c>
      <c r="GN184" s="1321" t="s">
        <v>1349</v>
      </c>
      <c r="GO184" s="1321" t="s">
        <v>1349</v>
      </c>
      <c r="GP184" s="1321" t="s">
        <v>1349</v>
      </c>
      <c r="GQ184" s="1321" t="s">
        <v>1349</v>
      </c>
      <c r="GR184" s="1321" t="s">
        <v>1349</v>
      </c>
      <c r="GS184" s="1321" t="s">
        <v>1349</v>
      </c>
      <c r="GT184" s="1321" t="s">
        <v>1349</v>
      </c>
      <c r="GU184" s="1321" t="s">
        <v>1349</v>
      </c>
      <c r="GV184" s="1321" t="s">
        <v>1349</v>
      </c>
      <c r="GW184" s="1321"/>
      <c r="GX184" s="1321"/>
      <c r="GY184" s="1321"/>
      <c r="GZ184" s="1321"/>
      <c r="HA184" s="1321"/>
      <c r="HB184" s="1321"/>
      <c r="HC184" s="1321"/>
      <c r="HD184" s="1321"/>
      <c r="HE184" s="1321"/>
      <c r="HF184" s="1321"/>
      <c r="HG184" s="1321"/>
      <c r="HH184" s="1321"/>
      <c r="HI184" s="1321"/>
      <c r="HJ184" s="1321"/>
      <c r="HK184" s="1321"/>
      <c r="HL184" s="1321"/>
      <c r="HM184" s="1321"/>
      <c r="HN184" s="1321"/>
      <c r="HO184" s="1321"/>
      <c r="HP184" s="1321"/>
      <c r="HQ184" s="1321"/>
      <c r="HR184" s="1321"/>
      <c r="HS184" s="1321"/>
      <c r="HT184" s="1321"/>
      <c r="HU184" s="1321"/>
      <c r="HV184" s="1321"/>
      <c r="HW184" s="1321"/>
      <c r="HX184" s="1321"/>
      <c r="HY184" s="1321"/>
      <c r="HZ184" s="1321"/>
      <c r="IA184" s="1321"/>
      <c r="IB184" s="1321"/>
      <c r="IC184" s="1321"/>
      <c r="ID184" s="1321"/>
      <c r="IE184" s="1321"/>
      <c r="IF184" s="1321"/>
      <c r="IG184" s="1321"/>
      <c r="IH184" s="1321"/>
      <c r="II184" s="1321"/>
      <c r="IJ184" s="1321"/>
      <c r="IK184" s="1321"/>
      <c r="IL184" s="1321"/>
      <c r="IM184" s="1321"/>
      <c r="IN184" s="1368"/>
    </row>
    <row r="185" spans="1:248" ht="12.75" customHeight="1" x14ac:dyDescent="0.2">
      <c r="A185" s="1307" t="s">
        <v>261</v>
      </c>
      <c r="B185" s="1209">
        <v>5</v>
      </c>
      <c r="C185" s="1321"/>
      <c r="D185" s="1253" t="s">
        <v>1975</v>
      </c>
      <c r="E185" s="1254">
        <v>4</v>
      </c>
      <c r="F185" s="1321"/>
      <c r="G185" s="1321"/>
      <c r="H185" s="1321"/>
      <c r="I185" s="1321"/>
      <c r="J185" s="1321"/>
      <c r="K185" s="1321"/>
      <c r="L185" s="1321"/>
      <c r="M185" s="1321"/>
      <c r="N185" s="1321"/>
      <c r="O185" s="1321"/>
      <c r="P185" s="1321"/>
      <c r="Q185" s="1321"/>
      <c r="R185" s="1321"/>
      <c r="S185" s="1321"/>
      <c r="T185" s="1321"/>
      <c r="U185" s="1321"/>
      <c r="V185" s="1321"/>
      <c r="W185" s="1321"/>
      <c r="X185" s="1321"/>
      <c r="Y185" s="1321"/>
      <c r="Z185" s="1321"/>
      <c r="AA185" s="1321"/>
      <c r="AB185" s="1321"/>
      <c r="AC185" s="1321"/>
      <c r="AD185" s="1321"/>
      <c r="AE185" s="1321"/>
      <c r="AF185" s="1321"/>
      <c r="AG185" s="1321"/>
      <c r="AH185" s="1321"/>
      <c r="AI185" s="1321"/>
      <c r="AJ185" s="1321"/>
      <c r="AK185" s="1321"/>
      <c r="AL185" s="1321"/>
      <c r="AM185" s="1321"/>
      <c r="AN185" s="1321"/>
      <c r="AO185" s="1321"/>
      <c r="AP185" s="1321"/>
      <c r="AQ185" s="1321"/>
      <c r="AR185" s="1321"/>
      <c r="AS185" s="1321"/>
      <c r="AT185" s="1321"/>
      <c r="AU185" s="1321"/>
      <c r="AV185" s="1321"/>
      <c r="AW185" s="1321"/>
      <c r="AX185" s="1321"/>
      <c r="AY185" s="1321"/>
      <c r="AZ185" s="1321"/>
      <c r="BA185" s="1321"/>
      <c r="BB185" s="1236"/>
      <c r="BC185" s="1190"/>
      <c r="BD185" s="1190"/>
      <c r="BE185" s="1237"/>
      <c r="BF185" s="1237"/>
      <c r="BG185" s="1237"/>
      <c r="BH185" s="1237"/>
      <c r="BI185" s="1237"/>
      <c r="BJ185" s="1237"/>
      <c r="BK185" s="1238"/>
      <c r="BL185" s="1321"/>
      <c r="BM185" s="1346"/>
      <c r="BN185" s="1321"/>
      <c r="BO185" s="1321"/>
      <c r="BP185" s="1321"/>
      <c r="BQ185" s="1321"/>
      <c r="BR185" s="1321"/>
      <c r="BS185" s="1321"/>
      <c r="BT185" s="1321"/>
      <c r="BU185" s="1321"/>
      <c r="BV185" s="1345"/>
      <c r="BW185" s="1345"/>
      <c r="BX185" s="1339" t="s">
        <v>1478</v>
      </c>
      <c r="BY185" s="1336"/>
      <c r="BZ185" s="1321"/>
      <c r="CA185" s="1321"/>
      <c r="CB185" s="1321"/>
      <c r="CC185" s="1321"/>
      <c r="CD185" s="1345"/>
      <c r="CE185" s="1345"/>
      <c r="CF185" s="1345"/>
      <c r="CG185" s="1345"/>
      <c r="CH185" s="1345"/>
      <c r="CI185" s="1321"/>
      <c r="CJ185" s="1321"/>
      <c r="CK185" s="1321"/>
      <c r="CL185" s="1321"/>
      <c r="CM185" s="1318"/>
      <c r="CN185" s="1318"/>
      <c r="CO185" s="1318"/>
      <c r="CP185" s="1318"/>
      <c r="CQ185" s="1318"/>
      <c r="CR185" s="1318"/>
      <c r="CS185" s="1076" t="str">
        <f t="shared" si="66"/>
        <v>Tourteau de colza</v>
      </c>
      <c r="CT185" s="1267">
        <f t="array" ref="CT185">SUM((IF(QualitéAlimentsLapereauMâle_0_1_mois=BONNE,VLOOKUP("Tourteau de colza",AlimentsRationLapinsMâles[],4,FALSE),0)+(IF(QualitéAlimentsLapereauFemelle_0_1_mois=BONNE,VLOOKUP("Tourteau de colza",AlimentsRationLapinsFemelles[],4,FALSE),0)+(IF(QualitéAlimentsJeuneLapin=BONNE,VLOOKUP("Tourteau de colza",AlimentsRationLapinsMâles[],3,FALSE),0)+(IF(QualitéAlimentsJeuneLapine=BONNE,VLOOKUP("Tourteau de colza",AlimentsRationLapinsFemelles[],3,FALSE),0)+(IF(QualitéAlimentsLapin=BONNE,VLOOKUP("Tourteau de colza",AlimentsRationLapinsMâles[],2,FALSE),0)+(IF(QualitéAlimentsLapine=BONNE,VLOOKUP("Tourteau de colza",AlimentsRationLapinsFemelles[],2,FALSE),0))))))))</f>
        <v>0</v>
      </c>
      <c r="CU185" s="1267">
        <f t="array" ref="CU185">SUM((IF(QualitéAlimentsLapereauMâle_0_1_mois=MOYENNE,VLOOKUP("Tourteau de colza",AlimentsRationLapinsMâles[],4,FALSE),0)+(IF(QualitéAlimentsLapereauFemelle_0_1_mois=MOYENNE,VLOOKUP("Tourteau de colza",AlimentsRationLapinsFemelles[],4,FALSE),0)+(IF(QualitéAlimentsJeuneLapin=MOYENNE,VLOOKUP("Tourteau de colza",AlimentsRationLapinsMâles[],3,FALSE),0)+(IF(QualitéAlimentsJeuneLapine=MOYENNE,VLOOKUP("Tourteau de colza",AlimentsRationLapinsFemelles[],3,FALSE),0)+(IF(QualitéAlimentsLapin=MOYENNE,VLOOKUP("Tourteau de colza",AlimentsRationLapinsMâles[],2,FALSE),0)+(IF(QualitéAlimentsLapine=MOYENNE,VLOOKUP("Tourteau de colza",AlimentsRationLapinsFemelles[],2,FALSE),0))))))))</f>
        <v>0</v>
      </c>
      <c r="CV185" s="1267">
        <f t="array" ref="CV185">SUM((IF(QualitéAlimentsLapereauMâle_0_1_mois=MAUVAISE,VLOOKUP("Tourteau de colza",AlimentsRationLapinsMâles[],4,FALSE),0)+(IF(QualitéAlimentsLapereauFemelle_0_1_mois=MAUVAISE,VLOOKUP("Tourteau de colza",AlimentsRationLapinsFemelles[],4,FALSE),0)+(IF(QualitéAlimentsJeuneLapin=MAUVAISE,VLOOKUP("Tourteau de colza",AlimentsRationLapinsMâles[],3,FALSE),0)+(IF(QualitéAlimentsJeuneLapine=MAUVAISE,VLOOKUP("Tourteau de colza",AlimentsRationLapinsFemelles[],3,FALSE),0)+(IF(QualitéAlimentsLapin=MAUVAISE,VLOOKUP("Tourteau de colza",AlimentsRationLapinsMâles[],2,FALSE),0)+(IF(QualitéAlimentsLapine=MAUVAISE,VLOOKUP("Tourteau de colza",AlimentsRationLapinsFemelles[],2,FALSE),0))))))))</f>
        <v>0</v>
      </c>
      <c r="CW185" s="1321"/>
      <c r="CX185" s="1321"/>
      <c r="CY185" s="1321"/>
      <c r="CZ185" s="1075" t="str">
        <f t="shared" si="65"/>
        <v>Tourteau de tournesol</v>
      </c>
      <c r="DA185" s="1269">
        <f t="array" ref="DA185">SUM((IF(QualitéAlimentsPoussinMâle_0_1_mois=BONNE,VLOOKUP("Tourteau de tournesol",AlimentsRationVolaillesMâles[],4,FALSE),0)+(IF(QualitéAlimentsPoussinFemelle_0_1_mois=BONNE,VLOOKUP("Tourteau de tournesol",AlimentsRationVolaillesFemelles[],4,FALSE),0)+(IF(QualitéAlimentsJeuneCoq=BONNE,VLOOKUP("Tourteau de tournesol",AlimentsRationVolaillesMâles[],3,FALSE),0)+(IF(QualitéAlimentsJeunePoule=BONNE,VLOOKUP("Tourteau de tournesol",AlimentsRationVolaillesFemelles[],3,FALSE),0)+(IF(QualitéAlimentsCoq=BONNE,VLOOKUP("Tourteau de tournesol",AlimentsRationVolaillesMâles[],2,FALSE),0)+(IF(QualitéAlimentsPoule=BONNE,VLOOKUP("Tourteau de tournesol",AlimentsRationVolaillesFemelles[],2,FALSE),0))))))))</f>
        <v>0</v>
      </c>
      <c r="DB185" s="1269">
        <f t="array" ref="DB185">SUM((IF(QualitéAlimentsPoussinMâle_0_1_mois=MOYENNE,VLOOKUP("Tourteau de tournesol",AlimentsRationVolaillesMâles[],4,FALSE),0)+(IF(QualitéAlimentsPoussinFemelle_0_1_mois=MOYENNE,VLOOKUP("Tourteau de tournesol",AlimentsRationVolaillesFemelles[],4,FALSE),0)+(IF(QualitéAlimentsJeuneCoq=MOYENNE,VLOOKUP("Tourteau de tournesol",AlimentsRationVolaillesMâles[],3,FALSE),0)+(IF(QualitéAlimentsJeunePoule=MOYENNE,VLOOKUP("Tourteau de tournesol",AlimentsRationVolaillesFemelles[],3,FALSE),0)+(IF(QualitéAlimentsCoq=MOYENNE,VLOOKUP("Tourteau de tournesol",AlimentsRationVolaillesMâles[],2,FALSE),0)+(IF(QualitéAlimentsPoule=MOYENNE,VLOOKUP("Tourteau de tournesol",AlimentsRationVolaillesFemelles[],2,FALSE),0))))))))</f>
        <v>0</v>
      </c>
      <c r="DC185" s="1269">
        <f t="array" ref="DC185">SUM((IF(QualitéAlimentsPoussinMâle_0_1_mois=MAUVAISE,VLOOKUP("Tourteau de tournesol",AlimentsRationVolaillesMâles[],4,FALSE),0)+(IF(QualitéAlimentsPoussinFemelle_0_1_mois=MAUVAISE,VLOOKUP("Tourteau de tournesol",AlimentsRationVolaillesFemelles[],4,FALSE),0)+(IF(QualitéAlimentsJeuneCoq=MAUVAISE,VLOOKUP("Tourteau de tournesol",AlimentsRationVolaillesMâles[],3,FALSE),0)+(IF(QualitéAlimentsJeunePoule=MAUVAISE,VLOOKUP("Tourteau de tournesol",AlimentsRationVolaillesFemelles[],3,FALSE),0)+(IF(QualitéAlimentsCoq=MAUVAISE,VLOOKUP("Tourteau de tournesol",AlimentsRationVolaillesMâles[],2,FALSE),0)+(IF(QualitéAlimentsPoule=MAUVAISE,VLOOKUP("Tourteau de tournesol",AlimentsRationVolaillesFemelles[],2,FALSE),0))))))))</f>
        <v>0</v>
      </c>
      <c r="DD185" s="1321"/>
      <c r="DE185" s="1321"/>
      <c r="DF185" s="1321"/>
      <c r="DG185" s="1321"/>
      <c r="DH185" s="1321"/>
      <c r="DI185" s="1321"/>
      <c r="DJ185" s="1321"/>
      <c r="DK185" s="1321"/>
      <c r="DL185" s="1321"/>
      <c r="DM185" s="1321"/>
      <c r="DN185" s="1075"/>
      <c r="DO185" s="1269">
        <f t="array" ref="DO185">IF(ChoixRationComplèteOvins=OUI,0,IFERROR(IF(OR(AND(INDEX(Règles_ovins[Specificite],MATCH(ChoixRationOvins&amp;$DN185,Règles_ovins[Ration]&amp;Règles_ovins[Aliment],0))="s1",IF($DN185=Spécificité1Ovins,1)),
AND(INDEX(Règles_ovins[Specificite],MATCH(ChoixRationOvins&amp;$DN185,Règles_ovins[Ration]&amp;Règles_ovins[Aliment],0))="s2",IF($DN185=Spécificité2Ovins,1)),
INDEX(Règles_ovins[Specificite],MATCH(ChoixRationOvins&amp;$DN185,Règles_ovins[Ration]&amp;Règles_ovins[Aliment],0))="c"),
INDEX(Règles_ovins[Valeur 12 et plus],MATCH(ChoixRationOvins&amp;$DN185,Règles_ovins[Ration]&amp;Règles_ovins[Aliment],0)),0),0)*IF(ChoixOvinsPréHiver=OUI,SUM(TotalOvinsAdultesRacesLaitières)*NbreJoursNourrirOvins,TotalBéliers*SUM(NbreJoursNourrirOvins)))</f>
        <v>0</v>
      </c>
      <c r="DP185" s="1269">
        <f t="array" ref="DP185">IF(ChoixRationComplèteOvins=OUI,0,IFERROR(IF(OR(AND(INDEX(Règles_ovins[Specificite],MATCH(ChoixRationOvins&amp;$DN185,Règles_ovins[Ration]&amp;Règles_ovins[Aliment],0))="s1",IF($DN185=Spécificité1Ovins,1)),
AND(INDEX(Règles_ovins[Specificite],MATCH(ChoixRationOvins&amp;$DN185,Règles_ovins[Ration]&amp;Règles_ovins[Aliment],0))="s2",IF($DN185=Spécificité2Ovins,1)),
INDEX(Règles_ovins[Specificite],MATCH(ChoixRationOvins&amp;$DN185,Règles_ovins[Ration]&amp;Règles_ovins[Aliment],0))="c"),
INDEX(Règles_ovins[Valeur 6-12],MATCH(ChoixRationOvins&amp;$DN185,Règles_ovins[Ration]&amp;Règles_ovins[Aliment],0)),0),0)*IF(ChoixOvinsPréHiver=OUI,SUM(TotalJeunesOvinsRacesLaitières)*NbreJoursNourrirOvins,TotalJeune_bélier_6_12_mois*SUM(NbreJoursNourrirOvins)))</f>
        <v>0</v>
      </c>
      <c r="DQ185" s="1269">
        <f t="array" ref="DQ185">IF(ChoixRationComplèteOvins=OUI,0,IFERROR(IF(OR(AND(INDEX(Règles_ovins[Specificite],MATCH(ChoixRationOvins&amp;$DN185,Règles_ovins[Ration]&amp;Règles_ovins[Aliment],0))="s1",IF($DN185=Spécificité1Ovins,1)),
AND(INDEX(Règles_ovins[Specificite],MATCH(ChoixRationOvins&amp;$DN185,Règles_ovins[Ration]&amp;Règles_ovins[Aliment],0))="s2",IF($DN185=Spécificité2Ovins,1)),
INDEX(Règles_ovins[Specificite],MATCH(ChoixRationOvins&amp;$DN185,Règles_ovins[Ration]&amp;Règles_ovins[Aliment],0))="c"),
INDEX(Règles_ovins[Valeur 3-6],MATCH(ChoixRationOvins&amp;$DN185,Règles_ovins[Ration]&amp;Règles_ovins[Aliment],0)),0),0)*IF(ChoixOvinsPréHiver=OUI,SUM(TotalOvins_3_6moisRacesLaitières)*NbreJoursNourrirOvins,TotalAgneau_3_6_mois*SUM(NbreJoursNourrirOvins)))</f>
        <v>0</v>
      </c>
      <c r="DR185" s="1269">
        <f t="array" ref="DR185">IF(ChoixRationComplèteOvins=OUI,0,IFERROR(IF(OR(AND(INDEX(Règles_ovins[Specificite],MATCH(ChoixRationOvins&amp;$DN185,Règles_ovins[Ration]&amp;Règles_ovins[Aliment],0))="s1",IF($DN185=Spécificité1Ovins,1)),
AND(INDEX(Règles_ovins[Specificite],MATCH(ChoixRationOvins&amp;$DN185,Règles_ovins[Ration]&amp;Règles_ovins[Aliment],0))="s2",IF($DN185=Spécificité2Ovins,1)),
INDEX(Règles_ovins[Specificite],MATCH(ChoixRationOvins&amp;$DN185,Règles_ovins[Ration]&amp;Règles_ovins[Aliment],0))="c"),
INDEX(Règles_ovins[Valeur 0-3],MATCH(ChoixRationOvins&amp;$DN185,Règles_ovins[Ration]&amp;Règles_ovins[Aliment],0)),0),0)*IF(ChoixOvinsPréHiver=OUI,SUM(TotalOvins_3_6moisRacesLaitières)*NbreJoursNourrirOvins,TotalAgneau_0_3_mois*SUM(NbreJoursNourrirOvins)))</f>
        <v>0</v>
      </c>
      <c r="DS185" s="1280">
        <f t="shared" si="61"/>
        <v>0</v>
      </c>
      <c r="DT185" s="1346"/>
      <c r="DU185" s="1346"/>
      <c r="DV185" s="1321"/>
      <c r="DW185" s="1321"/>
      <c r="DX185" s="1321"/>
      <c r="DY185" s="1321"/>
      <c r="DZ185" s="1321"/>
      <c r="EA185" s="1321"/>
      <c r="EB185" s="1321"/>
      <c r="EC185" s="1321"/>
      <c r="ED185" s="1345"/>
      <c r="EE185" s="1345"/>
      <c r="EF185" s="1321"/>
      <c r="EG185" s="1075">
        <f t="shared" si="63"/>
        <v>0</v>
      </c>
      <c r="EH185" s="1269"/>
      <c r="EI185" s="1269"/>
      <c r="EJ185" s="1269"/>
      <c r="EK185" s="1345"/>
      <c r="EL185" s="1345"/>
      <c r="EM185" s="1321"/>
      <c r="EN185" s="1082">
        <f t="shared" si="62"/>
        <v>0</v>
      </c>
      <c r="EO185" s="1282"/>
      <c r="EP185" s="1282"/>
      <c r="EQ185" s="1282"/>
      <c r="ER185" s="1345"/>
      <c r="ES185" s="1345"/>
      <c r="ET185" s="1321"/>
      <c r="EU185" s="1083">
        <f t="shared" si="60"/>
        <v>0</v>
      </c>
      <c r="EV185" s="1283">
        <f t="array" ref="EV185">IF(OR(ChoixRationHivernaleComplèteChevauxSelle=OUI,ChoixRationHivernaleComplèteChevauxSelle="",ChoixChevauxSellePréHiver=NON),0,IFERROR(IF(OR(AND(INDEX(Règles_chevaux_selle[Specificite],MATCH(RationHivernaleAuPréChevauxSelle&amp;$EU185,Règles_chevaux_selle[Ration]&amp;Règles_chevaux_selle[Aliment],0))="s1",IF($EU185=Spécificité1ChevauxSelle,1)),
AND(INDEX(Règles_chevaux_selle[Specificite],MATCH(RationHivernaleAuPréChevauxSelle&amp;$EU185,Règles_chevaux_selle[Ration]&amp;Règles_chevaux_selle[Aliment],0))="s2",IF($EU185=Spécificité2ChevauxSelle,1)),
INDEX(Règles_chevaux_selle[Specificite],MATCH(RationHivernaleAuPréChevauxSelle&amp;$EU185,Règles_chevaux_selle[Ration]&amp;Règles_chevaux_selle[Aliment],0))="c"),
INDEX(Règles_chevaux_selle[Valeur 36 et plus],MATCH(RationHivernaleAuPréChevauxSelle&amp;$EU185,Règles_chevaux_selle[Ration]&amp;Règles_chevaux_selle[Aliment],0)),0),0)*SUM(TotalChevauxSelleAdultes)*21)</f>
        <v>0</v>
      </c>
      <c r="EW185" s="1283">
        <f t="array" ref="EW185">IF(OR(ChoixRationHivernaleComplèteChevauxSelle=OUI,ChoixRationHivernaleComplèteChevauxSelle="",ChoixChevauxSellePréHiver=NON),0,IFERROR(IF(OR(AND(INDEX(Règles_chevaux_selle[Specificite],MATCH(RationHivernaleAuPréChevauxSelle&amp;$EU185,Règles_chevaux_selle[Ration]&amp;Règles_chevaux_selle[Aliment],0))="s1",IF($EU185=Spécificité1ChevauxSelle,1)),
AND(INDEX(Règles_chevaux_selle[Specificite],MATCH(RationHivernaleAuPréChevauxSelle&amp;$EU185,Règles_chevaux_selle[Ration]&amp;Règles_chevaux_selle[Aliment],0))="s2",IF($EU185=Spécificité2ChevauxSelle,1)),
INDEX(Règles_chevaux_selle[Specificite],MATCH(RationHivernaleAuPréChevauxSelle&amp;$EU185,Règles_chevaux_selle[Ration]&amp;Règles_chevaux_selle[Aliment],0))="c"),
INDEX(Règles_chevaux_selle[Valeur 24-36],MATCH(RationHivernaleAuPréChevauxSelle&amp;$EU185,Règles_chevaux_selle[Ration]&amp;Règles_chevaux_selle[Aliment],0)),0),0)*SUM(TotalChevauxSelle_24_36mois)*21)</f>
        <v>0</v>
      </c>
      <c r="EX185" s="1283">
        <f t="array" ref="EX185">IF(OR(ChoixRationHivernaleComplèteChevauxSelle=OUI,ChoixRationHivernaleComplèteChevauxSelle="",ChoixChevauxSellePréHiver=NON),0,IFERROR(IF(OR(AND(INDEX(Règles_chevaux_selle[Specificite],MATCH(RationHivernaleAuPréChevauxSelle&amp;$EU185,Règles_chevaux_selle[Ration]&amp;Règles_chevaux_selle[Aliment],0))="s1",IF($EU185=Spécificité1ChevauxSelle,1)),
AND(INDEX(Règles_chevaux_selle[Specificite],MATCH(RationHivernaleAuPréChevauxSelle&amp;$EU185,Règles_chevaux_selle[Ration]&amp;Règles_chevaux_selle[Aliment],0))="s2",IF($EU185=Spécificité2ChevauxSelle,1)),
INDEX(Règles_chevaux_selle[Specificite],MATCH(RationHivernaleAuPréChevauxSelle&amp;$EU185,Règles_chevaux_selle[Ration]&amp;Règles_chevaux_selle[Aliment],0))="c"),
INDEX(Règles_chevaux_selle[Valeur 12-24],MATCH(RationHivernaleAuPréChevauxSelle&amp;$EU185,Règles_chevaux_selle[Ration]&amp;Règles_chevaux_selle[Aliment],0)),0),0)*SUM(TotalChevauxSelle_12_24mois)*21)</f>
        <v>0</v>
      </c>
      <c r="EY185" s="1286">
        <f t="array" ref="EY185">IF(OR(ChoixRationHivernaleComplèteChevauxSelle=OUI,ChoixRationHivernaleComplèteChevauxSelle="",ChoixChevauxSellePréHiver=NON),0,IFERROR(IF(OR(AND(INDEX(Règles_chevaux_selle[Specificite],MATCH(RationHivernaleAuPréChevauxSelle&amp;$EU185,Règles_chevaux_selle[Ration]&amp;Règles_chevaux_selle[Aliment],0))="s1",IF($EU185=Spécificité1ChevauxSelle,1)),
AND(INDEX(Règles_chevaux_selle[Specificite],MATCH(RationHivernaleAuPréChevauxSelle&amp;$EU185,Règles_chevaux_selle[Ration]&amp;Règles_chevaux_selle[Aliment],0))="s2",IF($EU185=Spécificité2ChevauxSelle,1)),
INDEX(Règles_chevaux_selle[Specificite],MATCH(RationHivernaleAuPréChevauxSelle&amp;$EU185,Règles_chevaux_selle[Ration]&amp;Règles_chevaux_selle[Aliment],0))="c"),
INDEX(Règles_chevaux_selle[Valeur 0-12],MATCH(RationHivernaleAuPréChevauxSelle&amp;$EU185,Règles_chevaux_selle[Ration]&amp;Règles_chevaux_selle[Aliment],0)),0),0)*SUM(TotalPoulainsSelle)*21)</f>
        <v>0</v>
      </c>
      <c r="EZ185" s="1286">
        <f t="shared" si="59"/>
        <v>0</v>
      </c>
      <c r="FA185" s="1345"/>
      <c r="FB185" s="1345"/>
      <c r="FC185" s="1321"/>
      <c r="FD185" s="1321"/>
      <c r="FE185" s="1321"/>
      <c r="FF185" s="1321"/>
      <c r="FG185" s="1321"/>
      <c r="FH185" s="1321"/>
      <c r="FI185" s="1345"/>
      <c r="FJ185" s="1345"/>
      <c r="FK185" s="1345"/>
      <c r="FL185" s="1345"/>
      <c r="FM185" s="1321"/>
      <c r="FN185" s="1321"/>
      <c r="FO185" s="1321"/>
      <c r="FP185" s="1321"/>
      <c r="FQ185" s="1321"/>
      <c r="FR185" s="1321"/>
      <c r="FS185" s="1321"/>
      <c r="FT185" s="1345"/>
      <c r="FU185" s="1345"/>
      <c r="FV185" s="1345"/>
      <c r="FW185" s="1345"/>
      <c r="FX185" s="1345"/>
      <c r="FY185" s="1345"/>
      <c r="FZ185" s="1345"/>
      <c r="GA185" s="1345"/>
      <c r="GB185" s="1345"/>
      <c r="GC185" s="1321"/>
      <c r="GD185" s="1321"/>
      <c r="GE185" s="1321"/>
      <c r="GF185" s="1321"/>
      <c r="GG185" s="1321" t="s">
        <v>1349</v>
      </c>
      <c r="GH185" s="1321" t="s">
        <v>1349</v>
      </c>
      <c r="GI185" s="1321" t="s">
        <v>1349</v>
      </c>
      <c r="GJ185" s="1321" t="s">
        <v>1349</v>
      </c>
      <c r="GK185" s="1321" t="s">
        <v>1349</v>
      </c>
      <c r="GL185" s="1321" t="s">
        <v>1349</v>
      </c>
      <c r="GM185" s="1321" t="s">
        <v>1349</v>
      </c>
      <c r="GN185" s="1321" t="s">
        <v>1349</v>
      </c>
      <c r="GO185" s="1321" t="s">
        <v>1349</v>
      </c>
      <c r="GP185" s="1321" t="s">
        <v>1349</v>
      </c>
      <c r="GQ185" s="1321" t="s">
        <v>1349</v>
      </c>
      <c r="GR185" s="1321" t="s">
        <v>1349</v>
      </c>
      <c r="GS185" s="1321" t="s">
        <v>1349</v>
      </c>
      <c r="GT185" s="1321" t="s">
        <v>1349</v>
      </c>
      <c r="GU185" s="1321" t="s">
        <v>1349</v>
      </c>
      <c r="GV185" s="1321" t="s">
        <v>1349</v>
      </c>
      <c r="GW185" s="1321"/>
      <c r="GX185" s="1321"/>
      <c r="GY185" s="1321"/>
      <c r="GZ185" s="1321"/>
      <c r="HA185" s="1321"/>
      <c r="HB185" s="1321"/>
      <c r="HC185" s="1321"/>
      <c r="HD185" s="1321"/>
      <c r="HE185" s="1321"/>
      <c r="HF185" s="1321"/>
      <c r="HG185" s="1321"/>
      <c r="HH185" s="1321"/>
      <c r="HI185" s="1321"/>
      <c r="HJ185" s="1321"/>
      <c r="HK185" s="1321"/>
      <c r="HL185" s="1321"/>
      <c r="HM185" s="1321"/>
      <c r="HN185" s="1321"/>
      <c r="HO185" s="1321"/>
      <c r="HP185" s="1321"/>
      <c r="HQ185" s="1321"/>
      <c r="HR185" s="1321"/>
      <c r="HS185" s="1321"/>
      <c r="HT185" s="1321"/>
      <c r="HU185" s="1321"/>
      <c r="HV185" s="1321"/>
      <c r="HW185" s="1321"/>
      <c r="HX185" s="1321"/>
      <c r="HY185" s="1321"/>
      <c r="HZ185" s="1321"/>
      <c r="IA185" s="1321"/>
      <c r="IB185" s="1321"/>
      <c r="IC185" s="1321"/>
      <c r="ID185" s="1321"/>
      <c r="IE185" s="1321"/>
      <c r="IF185" s="1321"/>
      <c r="IG185" s="1321"/>
      <c r="IH185" s="1321"/>
      <c r="II185" s="1321"/>
      <c r="IJ185" s="1321"/>
      <c r="IK185" s="1321"/>
      <c r="IL185" s="1321"/>
      <c r="IM185" s="1321"/>
      <c r="IN185" s="1368"/>
    </row>
    <row r="186" spans="1:248" ht="12.75" customHeight="1" x14ac:dyDescent="0.2">
      <c r="A186" s="1307" t="s">
        <v>258</v>
      </c>
      <c r="B186" s="1209">
        <v>12</v>
      </c>
      <c r="C186" s="1321"/>
      <c r="D186" s="1251" t="s">
        <v>1976</v>
      </c>
      <c r="E186" s="1252">
        <v>4.2</v>
      </c>
      <c r="F186" s="1321"/>
      <c r="G186" s="1321"/>
      <c r="H186" s="1321"/>
      <c r="I186" s="1321"/>
      <c r="J186" s="1321"/>
      <c r="K186" s="1321"/>
      <c r="L186" s="1321"/>
      <c r="M186" s="1321"/>
      <c r="N186" s="1321"/>
      <c r="O186" s="1321"/>
      <c r="P186" s="1321"/>
      <c r="Q186" s="1321"/>
      <c r="R186" s="1321"/>
      <c r="S186" s="1321"/>
      <c r="T186" s="1321"/>
      <c r="U186" s="1321"/>
      <c r="V186" s="1321"/>
      <c r="W186" s="1321"/>
      <c r="X186" s="1321"/>
      <c r="Y186" s="1321"/>
      <c r="Z186" s="1321"/>
      <c r="AA186" s="1321"/>
      <c r="AB186" s="1321"/>
      <c r="AC186" s="1321"/>
      <c r="AD186" s="1321"/>
      <c r="AE186" s="1321"/>
      <c r="AF186" s="1321"/>
      <c r="AG186" s="1321"/>
      <c r="AH186" s="1321"/>
      <c r="AI186" s="1321"/>
      <c r="AJ186" s="1321"/>
      <c r="AK186" s="1321"/>
      <c r="AL186" s="1321"/>
      <c r="AM186" s="1321"/>
      <c r="AN186" s="1321"/>
      <c r="AO186" s="1321"/>
      <c r="AP186" s="1321"/>
      <c r="AQ186" s="1321"/>
      <c r="AR186" s="1321"/>
      <c r="AS186" s="1321"/>
      <c r="AT186" s="1321"/>
      <c r="AU186" s="1321"/>
      <c r="AV186" s="1321"/>
      <c r="AW186" s="1321"/>
      <c r="AX186" s="1321"/>
      <c r="AY186" s="1321"/>
      <c r="AZ186" s="1321"/>
      <c r="BA186" s="1321"/>
      <c r="BB186" s="1236"/>
      <c r="BC186" s="1190"/>
      <c r="BD186" s="1190"/>
      <c r="BE186" s="1237"/>
      <c r="BF186" s="1237"/>
      <c r="BG186" s="1237"/>
      <c r="BH186" s="1237"/>
      <c r="BI186" s="1237"/>
      <c r="BJ186" s="1237"/>
      <c r="BK186" s="1238"/>
      <c r="BL186" s="1321"/>
      <c r="BM186" s="1346"/>
      <c r="BN186" s="1321"/>
      <c r="BO186" s="1321"/>
      <c r="BP186" s="1321"/>
      <c r="BQ186" s="1321"/>
      <c r="BR186" s="1321"/>
      <c r="BS186" s="1321"/>
      <c r="BT186" s="1321"/>
      <c r="BU186" s="1321"/>
      <c r="BV186" s="1345"/>
      <c r="BW186" s="1345"/>
      <c r="BX186" s="789" t="s">
        <v>1366</v>
      </c>
      <c r="BY186" s="791" t="s">
        <v>1368</v>
      </c>
      <c r="BZ186" s="1321"/>
      <c r="CA186" s="1321"/>
      <c r="CB186" s="1321"/>
      <c r="CC186" s="1321"/>
      <c r="CD186" s="1345"/>
      <c r="CE186" s="1345"/>
      <c r="CF186" s="1345"/>
      <c r="CG186" s="1345"/>
      <c r="CH186" s="1345"/>
      <c r="CI186" s="1321"/>
      <c r="CJ186" s="1321"/>
      <c r="CK186" s="1321"/>
      <c r="CL186" s="1321"/>
      <c r="CM186" s="1318"/>
      <c r="CN186" s="1318"/>
      <c r="CO186" s="1318"/>
      <c r="CP186" s="1318"/>
      <c r="CQ186" s="1318"/>
      <c r="CR186" s="1318"/>
      <c r="CS186" s="1075" t="str">
        <f t="shared" si="66"/>
        <v>Tourteau de tournesol</v>
      </c>
      <c r="CT186" s="1269">
        <f t="array" ref="CT186">SUM((IF(QualitéAlimentsLapereauMâle_0_1_mois=BONNE,VLOOKUP("Tourteau de tournesol",AlimentsRationLapinsMâles[],4,FALSE),0)+(IF(QualitéAlimentsLapereauFemelle_0_1_mois=BONNE,VLOOKUP("Tourteau de tournesol",AlimentsRationLapinsFemelles[],4,FALSE),0)+(IF(QualitéAlimentsJeuneLapin=BONNE,VLOOKUP("Tourteau de tournesol",AlimentsRationLapinsMâles[],3,FALSE),0)+(IF(QualitéAlimentsJeuneLapine=BONNE,VLOOKUP("Tourteau de tournesol",AlimentsRationLapinsFemelles[],3,FALSE),0)+(IF(QualitéAlimentsLapin=BONNE,VLOOKUP("Tourteau de tournesol",AlimentsRationLapinsMâles[],2,FALSE),0)+(IF(QualitéAlimentsLapine=BONNE,VLOOKUP("Tourteau de tournesol",AlimentsRationLapinsFemelles[],2,FALSE),0))))))))</f>
        <v>0</v>
      </c>
      <c r="CU186" s="1269">
        <f t="array" ref="CU186">SUM((IF(QualitéAlimentsLapereauMâle_0_1_mois=MOYENNE,VLOOKUP("Tourteau de tournesol",AlimentsRationLapinsMâles[],4,FALSE),0)+(IF(QualitéAlimentsLapereauFemelle_0_1_mois=MOYENNE,VLOOKUP("Tourteau de tournesol",AlimentsRationLapinsFemelles[],4,FALSE),0)+(IF(QualitéAlimentsJeuneLapin=MOYENNE,VLOOKUP("Tourteau de tournesol",AlimentsRationLapinsMâles[],3,FALSE),0)+(IF(QualitéAlimentsJeuneLapine=MOYENNE,VLOOKUP("Tourteau de tournesol",AlimentsRationLapinsFemelles[],3,FALSE),0)+(IF(QualitéAlimentsLapin=MOYENNE,VLOOKUP("Tourteau de tournesol",AlimentsRationLapinsMâles[],2,FALSE),0)+(IF(QualitéAlimentsLapine=MOYENNE,VLOOKUP("Tourteau de tournesol",AlimentsRationLapinsFemelles[],2,FALSE),0))))))))</f>
        <v>0</v>
      </c>
      <c r="CV186" s="1269">
        <f t="array" ref="CV186">SUM((IF(QualitéAlimentsLapereauMâle_0_1_mois=MAUVAISE,VLOOKUP("Tourteau de tournesol",AlimentsRationLapinsMâles[],4,FALSE),0)+(IF(QualitéAlimentsLapereauFemelle_0_1_mois=MAUVAISE,VLOOKUP("Tourteau de tournesol",AlimentsRationLapinsFemelles[],4,FALSE),0)+(IF(QualitéAlimentsJeuneLapin=MAUVAISE,VLOOKUP("Tourteau de tournesol",AlimentsRationLapinsMâles[],3,FALSE),0)+(IF(QualitéAlimentsJeuneLapine=MAUVAISE,VLOOKUP("Tourteau de tournesol",AlimentsRationLapinsFemelles[],3,FALSE),0)+(IF(QualitéAlimentsLapin=MAUVAISE,VLOOKUP("Tourteau de tournesol",AlimentsRationLapinsMâles[],2,FALSE),0)+(IF(QualitéAlimentsLapine=MAUVAISE,VLOOKUP("Tourteau de tournesol",AlimentsRationLapinsFemelles[],2,FALSE),0))))))))</f>
        <v>0</v>
      </c>
      <c r="CW186" s="1321"/>
      <c r="CX186" s="1321"/>
      <c r="CY186" s="1321"/>
      <c r="CZ186" s="1076" t="str">
        <f t="shared" si="65"/>
        <v>Triticale</v>
      </c>
      <c r="DA186" s="1267">
        <f t="array" ref="DA186">SUM((IF(QualitéAlimentsPoussinMâle_0_1_mois=BONNE,VLOOKUP("Triticale",AlimentsRationVolaillesMâles[],4,FALSE),0)+(IF(QualitéAlimentsPoussinFemelle_0_1_mois=BONNE,VLOOKUP("Triticale",AlimentsRationVolaillesFemelles[],4,FALSE),0)+(IF(QualitéAlimentsJeuneCoq=BONNE,VLOOKUP("Triticale",AlimentsRationVolaillesMâles[],3,FALSE),0)+(IF(QualitéAlimentsJeunePoule=BONNE,VLOOKUP("Triticale",AlimentsRationVolaillesFemelles[],3,FALSE),0)+(IF(QualitéAlimentsCoq=BONNE,VLOOKUP("Triticale",AlimentsRationVolaillesMâles[],2,FALSE),0)+(IF(QualitéAlimentsPoule=BONNE,VLOOKUP("Triticale",AlimentsRationVolaillesFemelles[],2,FALSE),0))))))))</f>
        <v>0</v>
      </c>
      <c r="DB186" s="1267">
        <f t="array" ref="DB186">SUM((IF(QualitéAlimentsPoussinMâle_0_1_mois=MOYENNE,VLOOKUP("Triticale",AlimentsRationVolaillesMâles[],4,FALSE),0)+(IF(QualitéAlimentsPoussinFemelle_0_1_mois=MOYENNE,VLOOKUP("Triticale",AlimentsRationVolaillesFemelles[],4,FALSE),0)+(IF(QualitéAlimentsJeuneCoq=MOYENNE,VLOOKUP("Triticale",AlimentsRationVolaillesMâles[],3,FALSE),0)+(IF(QualitéAlimentsJeunePoule=MOYENNE,VLOOKUP("Triticale",AlimentsRationVolaillesFemelles[],3,FALSE),0)+(IF(QualitéAlimentsCoq=MOYENNE,VLOOKUP("Triticale",AlimentsRationVolaillesMâles[],2,FALSE),0)+(IF(QualitéAlimentsPoule=MOYENNE,VLOOKUP("Triticale",AlimentsRationVolaillesFemelles[],2,FALSE),0))))))))</f>
        <v>0</v>
      </c>
      <c r="DC186" s="1267">
        <f t="array" ref="DC186">SUM((IF(QualitéAlimentsPoussinMâle_0_1_mois=MAUVAISE,VLOOKUP("Triticale",AlimentsRationVolaillesMâles[],4,FALSE),0)+(IF(QualitéAlimentsPoussinFemelle_0_1_mois=MAUVAISE,VLOOKUP("Triticale",AlimentsRationVolaillesFemelles[],4,FALSE),0)+(IF(QualitéAlimentsJeuneCoq=MAUVAISE,VLOOKUP("Triticale",AlimentsRationVolaillesMâles[],3,FALSE),0)+(IF(QualitéAlimentsJeunePoule=MAUVAISE,VLOOKUP("Triticale",AlimentsRationVolaillesFemelles[],3,FALSE),0)+(IF(QualitéAlimentsCoq=MAUVAISE,VLOOKUP("Triticale",AlimentsRationVolaillesMâles[],2,FALSE),0)+(IF(QualitéAlimentsPoule=MAUVAISE,VLOOKUP("Triticale",AlimentsRationVolaillesFemelles[],2,FALSE),0))))))))</f>
        <v>0</v>
      </c>
      <c r="DD186" s="1321"/>
      <c r="DE186" s="1321"/>
      <c r="DF186" s="1321"/>
      <c r="DG186" s="1321"/>
      <c r="DH186" s="1321"/>
      <c r="DI186" s="1321"/>
      <c r="DJ186" s="1321"/>
      <c r="DK186" s="1321"/>
      <c r="DL186" s="1321"/>
      <c r="DM186" s="1321"/>
      <c r="DN186" s="1076"/>
      <c r="DO186" s="1267">
        <f t="array" ref="DO186">IF(ChoixRationComplèteOvins=OUI,0,IFERROR(IF(OR(AND(INDEX(Règles_ovins[Specificite],MATCH(ChoixRationOvins&amp;$DN186,Règles_ovins[Ration]&amp;Règles_ovins[Aliment],0))="s1",IF($DN186=Spécificité1Ovins,1)),
AND(INDEX(Règles_ovins[Specificite],MATCH(ChoixRationOvins&amp;$DN186,Règles_ovins[Ration]&amp;Règles_ovins[Aliment],0))="s2",IF($DN186=Spécificité2Ovins,1)),
INDEX(Règles_ovins[Specificite],MATCH(ChoixRationOvins&amp;$DN186,Règles_ovins[Ration]&amp;Règles_ovins[Aliment],0))="c"),
INDEX(Règles_ovins[Valeur 12 et plus],MATCH(ChoixRationOvins&amp;$DN186,Règles_ovins[Ration]&amp;Règles_ovins[Aliment],0)),0),0)*IF(ChoixOvinsPréHiver=OUI,SUM(TotalOvinsAdultesRacesLaitières)*NbreJoursNourrirOvins,TotalBéliers*SUM(NbreJoursNourrirOvins)))</f>
        <v>0</v>
      </c>
      <c r="DP186" s="1267">
        <f t="array" ref="DP186">IF(ChoixRationComplèteOvins=OUI,0,IFERROR(IF(OR(AND(INDEX(Règles_ovins[Specificite],MATCH(ChoixRationOvins&amp;$DN186,Règles_ovins[Ration]&amp;Règles_ovins[Aliment],0))="s1",IF($DN186=Spécificité1Ovins,1)),
AND(INDEX(Règles_ovins[Specificite],MATCH(ChoixRationOvins&amp;$DN186,Règles_ovins[Ration]&amp;Règles_ovins[Aliment],0))="s2",IF($DN186=Spécificité2Ovins,1)),
INDEX(Règles_ovins[Specificite],MATCH(ChoixRationOvins&amp;$DN186,Règles_ovins[Ration]&amp;Règles_ovins[Aliment],0))="c"),
INDEX(Règles_ovins[Valeur 6-12],MATCH(ChoixRationOvins&amp;$DN186,Règles_ovins[Ration]&amp;Règles_ovins[Aliment],0)),0),0)*IF(ChoixOvinsPréHiver=OUI,SUM(TotalJeunesOvinsRacesLaitières)*NbreJoursNourrirOvins,TotalJeune_bélier_6_12_mois*SUM(NbreJoursNourrirOvins)))</f>
        <v>0</v>
      </c>
      <c r="DQ186" s="1267">
        <f t="array" ref="DQ186">IF(ChoixRationComplèteOvins=OUI,0,IFERROR(IF(OR(AND(INDEX(Règles_ovins[Specificite],MATCH(ChoixRationOvins&amp;$DN186,Règles_ovins[Ration]&amp;Règles_ovins[Aliment],0))="s1",IF($DN186=Spécificité1Ovins,1)),
AND(INDEX(Règles_ovins[Specificite],MATCH(ChoixRationOvins&amp;$DN186,Règles_ovins[Ration]&amp;Règles_ovins[Aliment],0))="s2",IF($DN186=Spécificité2Ovins,1)),
INDEX(Règles_ovins[Specificite],MATCH(ChoixRationOvins&amp;$DN186,Règles_ovins[Ration]&amp;Règles_ovins[Aliment],0))="c"),
INDEX(Règles_ovins[Valeur 3-6],MATCH(ChoixRationOvins&amp;$DN186,Règles_ovins[Ration]&amp;Règles_ovins[Aliment],0)),0),0)*IF(ChoixOvinsPréHiver=OUI,SUM(TotalOvins_3_6moisRacesLaitières)*NbreJoursNourrirOvins,TotalAgneau_3_6_mois*SUM(NbreJoursNourrirOvins)))</f>
        <v>0</v>
      </c>
      <c r="DR186" s="1267">
        <f t="array" ref="DR186">IF(ChoixRationComplèteOvins=OUI,0,IFERROR(IF(OR(AND(INDEX(Règles_ovins[Specificite],MATCH(ChoixRationOvins&amp;$DN186,Règles_ovins[Ration]&amp;Règles_ovins[Aliment],0))="s1",IF($DN186=Spécificité1Ovins,1)),
AND(INDEX(Règles_ovins[Specificite],MATCH(ChoixRationOvins&amp;$DN186,Règles_ovins[Ration]&amp;Règles_ovins[Aliment],0))="s2",IF($DN186=Spécificité2Ovins,1)),
INDEX(Règles_ovins[Specificite],MATCH(ChoixRationOvins&amp;$DN186,Règles_ovins[Ration]&amp;Règles_ovins[Aliment],0))="c"),
INDEX(Règles_ovins[Valeur 0-3],MATCH(ChoixRationOvins&amp;$DN186,Règles_ovins[Ration]&amp;Règles_ovins[Aliment],0)),0),0)*IF(ChoixOvinsPréHiver=OUI,SUM(TotalOvins_3_6moisRacesLaitières)*NbreJoursNourrirOvins,TotalAgneau_0_3_mois*SUM(NbreJoursNourrirOvins)))</f>
        <v>0</v>
      </c>
      <c r="DS186" s="1279">
        <f t="shared" si="61"/>
        <v>0</v>
      </c>
      <c r="DT186" s="1346"/>
      <c r="DU186" s="1346"/>
      <c r="DV186" s="1321"/>
      <c r="DW186" s="1321"/>
      <c r="DX186" s="1321"/>
      <c r="DY186" s="1321"/>
      <c r="DZ186" s="1321"/>
      <c r="EA186" s="1321"/>
      <c r="EB186" s="1321"/>
      <c r="EC186" s="1321"/>
      <c r="ED186" s="1345"/>
      <c r="EE186" s="1345"/>
      <c r="EF186" s="1321"/>
      <c r="EG186" s="1076">
        <f t="shared" si="63"/>
        <v>0</v>
      </c>
      <c r="EH186" s="1267"/>
      <c r="EI186" s="1267"/>
      <c r="EJ186" s="1267"/>
      <c r="EK186" s="1345"/>
      <c r="EL186" s="1345"/>
      <c r="EM186" s="1321"/>
      <c r="EN186" s="1083">
        <f t="shared" si="62"/>
        <v>0</v>
      </c>
      <c r="EO186" s="1283"/>
      <c r="EP186" s="1283"/>
      <c r="EQ186" s="1283"/>
      <c r="ER186" s="1345"/>
      <c r="ES186" s="1345"/>
      <c r="ET186" s="1321"/>
      <c r="EU186" s="1082">
        <f t="shared" si="60"/>
        <v>0</v>
      </c>
      <c r="EV186" s="1282">
        <f t="array" ref="EV186">IF(OR(ChoixRationHivernaleComplèteChevauxSelle=OUI,ChoixRationHivernaleComplèteChevauxSelle="",ChoixChevauxSellePréHiver=NON),0,IFERROR(IF(OR(AND(INDEX(Règles_chevaux_selle[Specificite],MATCH(RationHivernaleAuPréChevauxSelle&amp;$EU186,Règles_chevaux_selle[Ration]&amp;Règles_chevaux_selle[Aliment],0))="s1",IF($EU186=Spécificité1ChevauxSelle,1)),
AND(INDEX(Règles_chevaux_selle[Specificite],MATCH(RationHivernaleAuPréChevauxSelle&amp;$EU186,Règles_chevaux_selle[Ration]&amp;Règles_chevaux_selle[Aliment],0))="s2",IF($EU186=Spécificité2ChevauxSelle,1)),
INDEX(Règles_chevaux_selle[Specificite],MATCH(RationHivernaleAuPréChevauxSelle&amp;$EU186,Règles_chevaux_selle[Ration]&amp;Règles_chevaux_selle[Aliment],0))="c"),
INDEX(Règles_chevaux_selle[Valeur 36 et plus],MATCH(RationHivernaleAuPréChevauxSelle&amp;$EU186,Règles_chevaux_selle[Ration]&amp;Règles_chevaux_selle[Aliment],0)),0),0)*SUM(TotalChevauxSelleAdultes)*21)</f>
        <v>0</v>
      </c>
      <c r="EW186" s="1282">
        <f t="array" ref="EW186">IF(OR(ChoixRationHivernaleComplèteChevauxSelle=OUI,ChoixRationHivernaleComplèteChevauxSelle="",ChoixChevauxSellePréHiver=NON),0,IFERROR(IF(OR(AND(INDEX(Règles_chevaux_selle[Specificite],MATCH(RationHivernaleAuPréChevauxSelle&amp;$EU186,Règles_chevaux_selle[Ration]&amp;Règles_chevaux_selle[Aliment],0))="s1",IF($EU186=Spécificité1ChevauxSelle,1)),
AND(INDEX(Règles_chevaux_selle[Specificite],MATCH(RationHivernaleAuPréChevauxSelle&amp;$EU186,Règles_chevaux_selle[Ration]&amp;Règles_chevaux_selle[Aliment],0))="s2",IF($EU186=Spécificité2ChevauxSelle,1)),
INDEX(Règles_chevaux_selle[Specificite],MATCH(RationHivernaleAuPréChevauxSelle&amp;$EU186,Règles_chevaux_selle[Ration]&amp;Règles_chevaux_selle[Aliment],0))="c"),
INDEX(Règles_chevaux_selle[Valeur 24-36],MATCH(RationHivernaleAuPréChevauxSelle&amp;$EU186,Règles_chevaux_selle[Ration]&amp;Règles_chevaux_selle[Aliment],0)),0),0)*SUM(TotalChevauxSelle_24_36mois)*21)</f>
        <v>0</v>
      </c>
      <c r="EX186" s="1282">
        <f t="array" ref="EX186">IF(OR(ChoixRationHivernaleComplèteChevauxSelle=OUI,ChoixRationHivernaleComplèteChevauxSelle="",ChoixChevauxSellePréHiver=NON),0,IFERROR(IF(OR(AND(INDEX(Règles_chevaux_selle[Specificite],MATCH(RationHivernaleAuPréChevauxSelle&amp;$EU186,Règles_chevaux_selle[Ration]&amp;Règles_chevaux_selle[Aliment],0))="s1",IF($EU186=Spécificité1ChevauxSelle,1)),
AND(INDEX(Règles_chevaux_selle[Specificite],MATCH(RationHivernaleAuPréChevauxSelle&amp;$EU186,Règles_chevaux_selle[Ration]&amp;Règles_chevaux_selle[Aliment],0))="s2",IF($EU186=Spécificité2ChevauxSelle,1)),
INDEX(Règles_chevaux_selle[Specificite],MATCH(RationHivernaleAuPréChevauxSelle&amp;$EU186,Règles_chevaux_selle[Ration]&amp;Règles_chevaux_selle[Aliment],0))="c"),
INDEX(Règles_chevaux_selle[Valeur 12-24],MATCH(RationHivernaleAuPréChevauxSelle&amp;$EU186,Règles_chevaux_selle[Ration]&amp;Règles_chevaux_selle[Aliment],0)),0),0)*SUM(TotalChevauxSelle_12_24mois)*21)</f>
        <v>0</v>
      </c>
      <c r="EY186" s="1285">
        <f t="array" ref="EY186">IF(OR(ChoixRationHivernaleComplèteChevauxSelle=OUI,ChoixRationHivernaleComplèteChevauxSelle="",ChoixChevauxSellePréHiver=NON),0,IFERROR(IF(OR(AND(INDEX(Règles_chevaux_selle[Specificite],MATCH(RationHivernaleAuPréChevauxSelle&amp;$EU186,Règles_chevaux_selle[Ration]&amp;Règles_chevaux_selle[Aliment],0))="s1",IF($EU186=Spécificité1ChevauxSelle,1)),
AND(INDEX(Règles_chevaux_selle[Specificite],MATCH(RationHivernaleAuPréChevauxSelle&amp;$EU186,Règles_chevaux_selle[Ration]&amp;Règles_chevaux_selle[Aliment],0))="s2",IF($EU186=Spécificité2ChevauxSelle,1)),
INDEX(Règles_chevaux_selle[Specificite],MATCH(RationHivernaleAuPréChevauxSelle&amp;$EU186,Règles_chevaux_selle[Ration]&amp;Règles_chevaux_selle[Aliment],0))="c"),
INDEX(Règles_chevaux_selle[Valeur 0-12],MATCH(RationHivernaleAuPréChevauxSelle&amp;$EU186,Règles_chevaux_selle[Ration]&amp;Règles_chevaux_selle[Aliment],0)),0),0)*SUM(TotalPoulainsSelle)*21)</f>
        <v>0</v>
      </c>
      <c r="EZ186" s="1285">
        <f t="shared" si="59"/>
        <v>0</v>
      </c>
      <c r="FA186" s="1345"/>
      <c r="FB186" s="1345"/>
      <c r="FC186" s="1321"/>
      <c r="FD186" s="1321"/>
      <c r="FE186" s="1321"/>
      <c r="FF186" s="1321"/>
      <c r="FG186" s="1321"/>
      <c r="FH186" s="1321"/>
      <c r="FI186" s="1321"/>
      <c r="FJ186" s="1345"/>
      <c r="FK186" s="1345"/>
      <c r="FL186" s="1345"/>
      <c r="FM186" s="1321"/>
      <c r="FN186" s="1336" t="s">
        <v>1478</v>
      </c>
      <c r="FO186" s="1336"/>
      <c r="FP186" s="1336"/>
      <c r="FQ186" s="1345"/>
      <c r="FR186" s="1345"/>
      <c r="FS186" s="1345"/>
      <c r="FT186" s="1345"/>
      <c r="FU186" s="1345"/>
      <c r="FV186" s="1345"/>
      <c r="FW186" s="1345"/>
      <c r="FX186" s="1345"/>
      <c r="FY186" s="1345"/>
      <c r="FZ186" s="1345"/>
      <c r="GA186" s="1345"/>
      <c r="GB186" s="1345"/>
      <c r="GC186" s="1321"/>
      <c r="GD186" s="1321"/>
      <c r="GE186" s="1321"/>
      <c r="GF186" s="1321"/>
      <c r="GG186" s="1321" t="s">
        <v>1349</v>
      </c>
      <c r="GH186" s="1321" t="s">
        <v>1349</v>
      </c>
      <c r="GI186" s="1321" t="s">
        <v>1349</v>
      </c>
      <c r="GJ186" s="1321" t="s">
        <v>1349</v>
      </c>
      <c r="GK186" s="1321" t="s">
        <v>1349</v>
      </c>
      <c r="GL186" s="1321" t="s">
        <v>1349</v>
      </c>
      <c r="GM186" s="1321" t="s">
        <v>1349</v>
      </c>
      <c r="GN186" s="1321" t="s">
        <v>1349</v>
      </c>
      <c r="GO186" s="1321" t="s">
        <v>1349</v>
      </c>
      <c r="GP186" s="1321" t="s">
        <v>1349</v>
      </c>
      <c r="GQ186" s="1321" t="s">
        <v>1349</v>
      </c>
      <c r="GR186" s="1321" t="s">
        <v>1349</v>
      </c>
      <c r="GS186" s="1321" t="s">
        <v>1349</v>
      </c>
      <c r="GT186" s="1321" t="s">
        <v>1349</v>
      </c>
      <c r="GU186" s="1321" t="s">
        <v>1349</v>
      </c>
      <c r="GV186" s="1321" t="s">
        <v>1349</v>
      </c>
      <c r="GW186" s="1321"/>
      <c r="GX186" s="1321"/>
      <c r="GY186" s="1321"/>
      <c r="GZ186" s="1321"/>
      <c r="HA186" s="1321"/>
      <c r="HB186" s="1321"/>
      <c r="HC186" s="1321"/>
      <c r="HD186" s="1321"/>
      <c r="HE186" s="1321"/>
      <c r="HF186" s="1321"/>
      <c r="HG186" s="1321"/>
      <c r="HH186" s="1321"/>
      <c r="HI186" s="1321"/>
      <c r="HJ186" s="1321"/>
      <c r="HK186" s="1321"/>
      <c r="HL186" s="1321"/>
      <c r="HM186" s="1321"/>
      <c r="HN186" s="1321"/>
      <c r="HO186" s="1321"/>
      <c r="HP186" s="1321"/>
      <c r="HQ186" s="1321"/>
      <c r="HR186" s="1321"/>
      <c r="HS186" s="1321"/>
      <c r="HT186" s="1321"/>
      <c r="HU186" s="1321"/>
      <c r="HV186" s="1321"/>
      <c r="HW186" s="1321"/>
      <c r="HX186" s="1321"/>
      <c r="HY186" s="1321"/>
      <c r="HZ186" s="1321"/>
      <c r="IA186" s="1321"/>
      <c r="IB186" s="1321"/>
      <c r="IC186" s="1321"/>
      <c r="ID186" s="1321"/>
      <c r="IE186" s="1321"/>
      <c r="IF186" s="1321"/>
      <c r="IG186" s="1321"/>
      <c r="IH186" s="1321"/>
      <c r="II186" s="1321"/>
      <c r="IJ186" s="1321"/>
      <c r="IK186" s="1321"/>
      <c r="IL186" s="1321"/>
      <c r="IM186" s="1321"/>
      <c r="IN186" s="1368"/>
    </row>
    <row r="187" spans="1:248" ht="12.75" customHeight="1" x14ac:dyDescent="0.2">
      <c r="A187" s="1307" t="s">
        <v>259</v>
      </c>
      <c r="B187" s="1209">
        <v>9</v>
      </c>
      <c r="C187" s="1321"/>
      <c r="D187" s="1253" t="s">
        <v>1812</v>
      </c>
      <c r="E187" s="1254">
        <v>1.5</v>
      </c>
      <c r="F187" s="1321"/>
      <c r="G187" s="1321"/>
      <c r="H187" s="1321"/>
      <c r="I187" s="1321"/>
      <c r="J187" s="1321"/>
      <c r="K187" s="1321"/>
      <c r="L187" s="1321"/>
      <c r="M187" s="1321"/>
      <c r="N187" s="1321"/>
      <c r="O187" s="1321"/>
      <c r="P187" s="1321"/>
      <c r="Q187" s="1321"/>
      <c r="R187" s="1321"/>
      <c r="S187" s="1321"/>
      <c r="T187" s="1321"/>
      <c r="U187" s="1321"/>
      <c r="V187" s="1321"/>
      <c r="W187" s="1321"/>
      <c r="X187" s="1321"/>
      <c r="Y187" s="1321"/>
      <c r="Z187" s="1321"/>
      <c r="AA187" s="1321"/>
      <c r="AB187" s="1321"/>
      <c r="AC187" s="1321"/>
      <c r="AD187" s="1321"/>
      <c r="AE187" s="1321"/>
      <c r="AF187" s="1321"/>
      <c r="AG187" s="1321"/>
      <c r="AH187" s="1321"/>
      <c r="AI187" s="1321"/>
      <c r="AJ187" s="1321"/>
      <c r="AK187" s="1321"/>
      <c r="AL187" s="1321"/>
      <c r="AM187" s="1321"/>
      <c r="AN187" s="1321"/>
      <c r="AO187" s="1321"/>
      <c r="AP187" s="1321"/>
      <c r="AQ187" s="1321"/>
      <c r="AR187" s="1321"/>
      <c r="AS187" s="1321"/>
      <c r="AT187" s="1321"/>
      <c r="AU187" s="1321"/>
      <c r="AV187" s="1321"/>
      <c r="AW187" s="1321"/>
      <c r="AX187" s="1321"/>
      <c r="AY187" s="1321"/>
      <c r="AZ187" s="1321"/>
      <c r="BA187" s="1321"/>
      <c r="BB187" s="1236"/>
      <c r="BC187" s="1190"/>
      <c r="BD187" s="1190"/>
      <c r="BE187" s="1237"/>
      <c r="BF187" s="1237"/>
      <c r="BG187" s="1237"/>
      <c r="BH187" s="1237"/>
      <c r="BI187" s="1237"/>
      <c r="BJ187" s="1237"/>
      <c r="BK187" s="1238"/>
      <c r="BL187" s="1321"/>
      <c r="BM187" s="1346"/>
      <c r="BN187" s="1321"/>
      <c r="BO187" s="1321"/>
      <c r="BP187" s="1321"/>
      <c r="BQ187" s="1321"/>
      <c r="BR187" s="1321"/>
      <c r="BS187" s="1321"/>
      <c r="BT187" s="1321"/>
      <c r="BU187" s="1321"/>
      <c r="BV187" s="1345"/>
      <c r="BW187" s="1345"/>
      <c r="BX187" s="808" t="s">
        <v>767</v>
      </c>
      <c r="BY187" s="803">
        <f>BZ25*TotalBoucs*SUM(NbreJoursNourrirCaprins)</f>
        <v>0</v>
      </c>
      <c r="BZ187" s="1321"/>
      <c r="CA187" s="1321"/>
      <c r="CB187" s="1321"/>
      <c r="CC187" s="1321"/>
      <c r="CD187" s="1345"/>
      <c r="CE187" s="1345"/>
      <c r="CF187" s="1345"/>
      <c r="CG187" s="1345"/>
      <c r="CH187" s="1345"/>
      <c r="CI187" s="1321"/>
      <c r="CJ187" s="1321"/>
      <c r="CK187" s="1321"/>
      <c r="CL187" s="1321"/>
      <c r="CM187" s="1318"/>
      <c r="CN187" s="1318"/>
      <c r="CO187" s="1318"/>
      <c r="CP187" s="1318"/>
      <c r="CQ187" s="1318"/>
      <c r="CR187" s="1318"/>
      <c r="CS187" s="1076" t="str">
        <f t="shared" si="66"/>
        <v>Triticale</v>
      </c>
      <c r="CT187" s="1267">
        <f t="array" ref="CT187">SUM((IF(QualitéAlimentsLapereauMâle_0_1_mois=BONNE,VLOOKUP("Triticale",AlimentsRationLapinsMâles[],4,FALSE),0)+(IF(QualitéAlimentsLapereauFemelle_0_1_mois=BONNE,VLOOKUP("Triticale",AlimentsRationLapinsFemelles[],4,FALSE),0)+(IF(QualitéAlimentsJeuneLapin=BONNE,VLOOKUP("Triticale",AlimentsRationLapinsMâles[],3,FALSE),0)+(IF(QualitéAlimentsJeuneLapine=BONNE,VLOOKUP("Triticale",AlimentsRationLapinsFemelles[],3,FALSE),0)+(IF(QualitéAlimentsLapin=BONNE,VLOOKUP("Triticale",AlimentsRationLapinsMâles[],2,FALSE),0)+(IF(QualitéAlimentsLapine=BONNE,VLOOKUP("Triticale",AlimentsRationLapinsFemelles[],2,FALSE),0))))))))</f>
        <v>0</v>
      </c>
      <c r="CU187" s="1267">
        <f t="array" ref="CU187">SUM((IF(QualitéAlimentsLapereauMâle_0_1_mois=MOYENNE,VLOOKUP("Triticale",AlimentsRationLapinsMâles[],4,FALSE),0)+(IF(QualitéAlimentsLapereauFemelle_0_1_mois=MOYENNE,VLOOKUP("Triticale",AlimentsRationLapinsFemelles[],4,FALSE),0)+(IF(QualitéAlimentsJeuneLapin=MOYENNE,VLOOKUP("Triticale",AlimentsRationLapinsMâles[],3,FALSE),0)+(IF(QualitéAlimentsJeuneLapine=MOYENNE,VLOOKUP("Triticale",AlimentsRationLapinsFemelles[],3,FALSE),0)+(IF(QualitéAlimentsLapin=MOYENNE,VLOOKUP("Triticale",AlimentsRationLapinsMâles[],2,FALSE),0)+(IF(QualitéAlimentsLapine=MOYENNE,VLOOKUP("Triticale",AlimentsRationLapinsFemelles[],2,FALSE),0))))))))</f>
        <v>0</v>
      </c>
      <c r="CV187" s="1267">
        <f t="array" ref="CV187">SUM((IF(QualitéAlimentsLapereauMâle_0_1_mois=MAUVAISE,VLOOKUP("Triticale",AlimentsRationLapinsMâles[],4,FALSE),0)+(IF(QualitéAlimentsLapereauFemelle_0_1_mois=MAUVAISE,VLOOKUP("Triticale",AlimentsRationLapinsFemelles[],4,FALSE),0)+(IF(QualitéAlimentsJeuneLapin=MAUVAISE,VLOOKUP("Triticale",AlimentsRationLapinsMâles[],3,FALSE),0)+(IF(QualitéAlimentsJeuneLapine=MAUVAISE,VLOOKUP("Triticale",AlimentsRationLapinsFemelles[],3,FALSE),0)+(IF(QualitéAlimentsLapin=MAUVAISE,VLOOKUP("Triticale",AlimentsRationLapinsMâles[],2,FALSE),0)+(IF(QualitéAlimentsLapine=MAUVAISE,VLOOKUP("Triticale",AlimentsRationLapinsFemelles[],2,FALSE),0))))))))</f>
        <v>0</v>
      </c>
      <c r="CW187" s="1321"/>
      <c r="CX187" s="1321"/>
      <c r="CY187" s="1321"/>
      <c r="CZ187" s="1075">
        <f t="shared" si="65"/>
        <v>0</v>
      </c>
      <c r="DA187" s="1269"/>
      <c r="DB187" s="1269"/>
      <c r="DC187" s="1269"/>
      <c r="DD187" s="1321"/>
      <c r="DE187" s="1321"/>
      <c r="DF187" s="1321"/>
      <c r="DG187" s="1321"/>
      <c r="DH187" s="1321"/>
      <c r="DI187" s="1321"/>
      <c r="DJ187" s="1321"/>
      <c r="DK187" s="1321"/>
      <c r="DL187" s="1321"/>
      <c r="DM187" s="1321"/>
      <c r="DN187" s="1075"/>
      <c r="DO187" s="1269">
        <f t="array" ref="DO187">IF(ChoixRationComplèteOvins=OUI,0,IFERROR(IF(OR(AND(INDEX(Règles_ovins[Specificite],MATCH(ChoixRationOvins&amp;$DN187,Règles_ovins[Ration]&amp;Règles_ovins[Aliment],0))="s1",IF($DN187=Spécificité1Ovins,1)),
AND(INDEX(Règles_ovins[Specificite],MATCH(ChoixRationOvins&amp;$DN187,Règles_ovins[Ration]&amp;Règles_ovins[Aliment],0))="s2",IF($DN187=Spécificité2Ovins,1)),
INDEX(Règles_ovins[Specificite],MATCH(ChoixRationOvins&amp;$DN187,Règles_ovins[Ration]&amp;Règles_ovins[Aliment],0))="c"),
INDEX(Règles_ovins[Valeur 12 et plus],MATCH(ChoixRationOvins&amp;$DN187,Règles_ovins[Ration]&amp;Règles_ovins[Aliment],0)),0),0)*IF(ChoixOvinsPréHiver=OUI,SUM(TotalOvinsAdultesRacesLaitières)*NbreJoursNourrirOvins,TotalBéliers*SUM(NbreJoursNourrirOvins)))</f>
        <v>0</v>
      </c>
      <c r="DP187" s="1269">
        <f t="array" ref="DP187">IF(ChoixRationComplèteOvins=OUI,0,IFERROR(IF(OR(AND(INDEX(Règles_ovins[Specificite],MATCH(ChoixRationOvins&amp;$DN187,Règles_ovins[Ration]&amp;Règles_ovins[Aliment],0))="s1",IF($DN187=Spécificité1Ovins,1)),
AND(INDEX(Règles_ovins[Specificite],MATCH(ChoixRationOvins&amp;$DN187,Règles_ovins[Ration]&amp;Règles_ovins[Aliment],0))="s2",IF($DN187=Spécificité2Ovins,1)),
INDEX(Règles_ovins[Specificite],MATCH(ChoixRationOvins&amp;$DN187,Règles_ovins[Ration]&amp;Règles_ovins[Aliment],0))="c"),
INDEX(Règles_ovins[Valeur 6-12],MATCH(ChoixRationOvins&amp;$DN187,Règles_ovins[Ration]&amp;Règles_ovins[Aliment],0)),0),0)*IF(ChoixOvinsPréHiver=OUI,SUM(TotalJeunesOvinsRacesLaitières)*NbreJoursNourrirOvins,TotalJeune_bélier_6_12_mois*SUM(NbreJoursNourrirOvins)))</f>
        <v>0</v>
      </c>
      <c r="DQ187" s="1269">
        <f t="array" ref="DQ187">IF(ChoixRationComplèteOvins=OUI,0,IFERROR(IF(OR(AND(INDEX(Règles_ovins[Specificite],MATCH(ChoixRationOvins&amp;$DN187,Règles_ovins[Ration]&amp;Règles_ovins[Aliment],0))="s1",IF($DN187=Spécificité1Ovins,1)),
AND(INDEX(Règles_ovins[Specificite],MATCH(ChoixRationOvins&amp;$DN187,Règles_ovins[Ration]&amp;Règles_ovins[Aliment],0))="s2",IF($DN187=Spécificité2Ovins,1)),
INDEX(Règles_ovins[Specificite],MATCH(ChoixRationOvins&amp;$DN187,Règles_ovins[Ration]&amp;Règles_ovins[Aliment],0))="c"),
INDEX(Règles_ovins[Valeur 3-6],MATCH(ChoixRationOvins&amp;$DN187,Règles_ovins[Ration]&amp;Règles_ovins[Aliment],0)),0),0)*IF(ChoixOvinsPréHiver=OUI,SUM(TotalOvins_3_6moisRacesLaitières)*NbreJoursNourrirOvins,TotalAgneau_3_6_mois*SUM(NbreJoursNourrirOvins)))</f>
        <v>0</v>
      </c>
      <c r="DR187" s="1269">
        <f t="array" ref="DR187">IF(ChoixRationComplèteOvins=OUI,0,IFERROR(IF(OR(AND(INDEX(Règles_ovins[Specificite],MATCH(ChoixRationOvins&amp;$DN187,Règles_ovins[Ration]&amp;Règles_ovins[Aliment],0))="s1",IF($DN187=Spécificité1Ovins,1)),
AND(INDEX(Règles_ovins[Specificite],MATCH(ChoixRationOvins&amp;$DN187,Règles_ovins[Ration]&amp;Règles_ovins[Aliment],0))="s2",IF($DN187=Spécificité2Ovins,1)),
INDEX(Règles_ovins[Specificite],MATCH(ChoixRationOvins&amp;$DN187,Règles_ovins[Ration]&amp;Règles_ovins[Aliment],0))="c"),
INDEX(Règles_ovins[Valeur 0-3],MATCH(ChoixRationOvins&amp;$DN187,Règles_ovins[Ration]&amp;Règles_ovins[Aliment],0)),0),0)*IF(ChoixOvinsPréHiver=OUI,SUM(TotalOvins_3_6moisRacesLaitières)*NbreJoursNourrirOvins,TotalAgneau_0_3_mois*SUM(NbreJoursNourrirOvins)))</f>
        <v>0</v>
      </c>
      <c r="DS187" s="1280">
        <f t="shared" si="61"/>
        <v>0</v>
      </c>
      <c r="DT187" s="1346"/>
      <c r="DU187" s="1346"/>
      <c r="DV187" s="1321"/>
      <c r="DW187" s="1321"/>
      <c r="DX187" s="1321"/>
      <c r="DY187" s="1321"/>
      <c r="DZ187" s="1321"/>
      <c r="EA187" s="1321"/>
      <c r="EB187" s="1321"/>
      <c r="EC187" s="1321"/>
      <c r="ED187" s="1345"/>
      <c r="EE187" s="1345"/>
      <c r="EF187" s="1321"/>
      <c r="EG187" s="1075">
        <f t="shared" si="63"/>
        <v>0</v>
      </c>
      <c r="EH187" s="1269"/>
      <c r="EI187" s="1269"/>
      <c r="EJ187" s="1269"/>
      <c r="EK187" s="1345"/>
      <c r="EL187" s="1345"/>
      <c r="EM187" s="1321"/>
      <c r="EN187" s="1082">
        <f t="shared" si="62"/>
        <v>0</v>
      </c>
      <c r="EO187" s="1282"/>
      <c r="EP187" s="1282"/>
      <c r="EQ187" s="1282"/>
      <c r="ER187" s="1345"/>
      <c r="ES187" s="1345"/>
      <c r="ET187" s="1321"/>
      <c r="EU187" s="1336"/>
      <c r="EV187" s="1336"/>
      <c r="EW187" s="1336"/>
      <c r="EX187" s="1336"/>
      <c r="EY187" s="1336"/>
      <c r="EZ187" s="1336"/>
      <c r="FA187" s="1345"/>
      <c r="FB187" s="1345"/>
      <c r="FC187" s="1321"/>
      <c r="FD187" s="1336" t="s">
        <v>1478</v>
      </c>
      <c r="FE187" s="1336"/>
      <c r="FF187" s="1336"/>
      <c r="FG187" s="1321"/>
      <c r="FH187" s="1321"/>
      <c r="FI187" s="1321"/>
      <c r="FJ187" s="1345"/>
      <c r="FK187" s="1345"/>
      <c r="FL187" s="1345"/>
      <c r="FM187" s="1321"/>
      <c r="FN187" s="789" t="s">
        <v>1372</v>
      </c>
      <c r="FO187" s="790" t="s">
        <v>1374</v>
      </c>
      <c r="FP187" s="791" t="s">
        <v>1375</v>
      </c>
      <c r="FQ187" s="1345"/>
      <c r="FR187" s="1345"/>
      <c r="FS187" s="1345"/>
      <c r="FT187" s="1345"/>
      <c r="FU187" s="1345"/>
      <c r="FV187" s="1345"/>
      <c r="FW187" s="1345"/>
      <c r="FX187" s="1345"/>
      <c r="FY187" s="1345"/>
      <c r="FZ187" s="1345"/>
      <c r="GA187" s="1345"/>
      <c r="GB187" s="1345"/>
      <c r="GC187" s="1321"/>
      <c r="GD187" s="1321"/>
      <c r="GE187" s="1321"/>
      <c r="GF187" s="1321"/>
      <c r="GG187" s="1321" t="s">
        <v>1349</v>
      </c>
      <c r="GH187" s="1321" t="s">
        <v>1349</v>
      </c>
      <c r="GI187" s="1321" t="s">
        <v>1349</v>
      </c>
      <c r="GJ187" s="1321" t="s">
        <v>1349</v>
      </c>
      <c r="GK187" s="1321" t="s">
        <v>1349</v>
      </c>
      <c r="GL187" s="1321" t="s">
        <v>1349</v>
      </c>
      <c r="GM187" s="1321" t="s">
        <v>1349</v>
      </c>
      <c r="GN187" s="1321" t="s">
        <v>1349</v>
      </c>
      <c r="GO187" s="1321" t="s">
        <v>1349</v>
      </c>
      <c r="GP187" s="1321" t="s">
        <v>1349</v>
      </c>
      <c r="GQ187" s="1321" t="s">
        <v>1349</v>
      </c>
      <c r="GR187" s="1321" t="s">
        <v>1349</v>
      </c>
      <c r="GS187" s="1321" t="s">
        <v>1349</v>
      </c>
      <c r="GT187" s="1321" t="s">
        <v>1349</v>
      </c>
      <c r="GU187" s="1321" t="s">
        <v>1349</v>
      </c>
      <c r="GV187" s="1321" t="s">
        <v>1349</v>
      </c>
      <c r="GW187" s="1321"/>
      <c r="GX187" s="1321"/>
      <c r="GY187" s="1321"/>
      <c r="GZ187" s="1321"/>
      <c r="HA187" s="1321"/>
      <c r="HB187" s="1321"/>
      <c r="HC187" s="1321"/>
      <c r="HD187" s="1321"/>
      <c r="HE187" s="1321"/>
      <c r="HF187" s="1321"/>
      <c r="HG187" s="1321"/>
      <c r="HH187" s="1321"/>
      <c r="HI187" s="1321"/>
      <c r="HJ187" s="1321"/>
      <c r="HK187" s="1321"/>
      <c r="HL187" s="1321"/>
      <c r="HM187" s="1321"/>
      <c r="HN187" s="1321"/>
      <c r="HO187" s="1321"/>
      <c r="HP187" s="1321"/>
      <c r="HQ187" s="1321"/>
      <c r="HR187" s="1321"/>
      <c r="HS187" s="1321"/>
      <c r="HT187" s="1321"/>
      <c r="HU187" s="1321"/>
      <c r="HV187" s="1321"/>
      <c r="HW187" s="1321"/>
      <c r="HX187" s="1321"/>
      <c r="HY187" s="1321"/>
      <c r="HZ187" s="1321"/>
      <c r="IA187" s="1321"/>
      <c r="IB187" s="1321"/>
      <c r="IC187" s="1321"/>
      <c r="ID187" s="1321"/>
      <c r="IE187" s="1321"/>
      <c r="IF187" s="1321"/>
      <c r="IG187" s="1321"/>
      <c r="IH187" s="1321"/>
      <c r="II187" s="1321"/>
      <c r="IJ187" s="1321"/>
      <c r="IK187" s="1321"/>
      <c r="IL187" s="1321"/>
      <c r="IM187" s="1321"/>
      <c r="IN187" s="1368"/>
    </row>
    <row r="188" spans="1:248" ht="12.75" customHeight="1" x14ac:dyDescent="0.2">
      <c r="A188" s="1307" t="s">
        <v>636</v>
      </c>
      <c r="B188" s="1209">
        <v>3.0000000000000001E-3</v>
      </c>
      <c r="C188" s="1321"/>
      <c r="D188" s="1251" t="s">
        <v>1814</v>
      </c>
      <c r="E188" s="1252">
        <v>1.8</v>
      </c>
      <c r="F188" s="1321"/>
      <c r="G188" s="1321"/>
      <c r="H188" s="1321"/>
      <c r="I188" s="1321"/>
      <c r="J188" s="1321"/>
      <c r="K188" s="1321"/>
      <c r="L188" s="1321"/>
      <c r="M188" s="1321"/>
      <c r="N188" s="1321"/>
      <c r="O188" s="1321"/>
      <c r="P188" s="1321"/>
      <c r="Q188" s="1321"/>
      <c r="R188" s="1321"/>
      <c r="S188" s="1321"/>
      <c r="T188" s="1321"/>
      <c r="U188" s="1321"/>
      <c r="V188" s="1321"/>
      <c r="W188" s="1321"/>
      <c r="X188" s="1321"/>
      <c r="Y188" s="1321"/>
      <c r="Z188" s="1321"/>
      <c r="AA188" s="1321"/>
      <c r="AB188" s="1321"/>
      <c r="AC188" s="1321"/>
      <c r="AD188" s="1321"/>
      <c r="AE188" s="1321"/>
      <c r="AF188" s="1321"/>
      <c r="AG188" s="1321"/>
      <c r="AH188" s="1321"/>
      <c r="AI188" s="1321"/>
      <c r="AJ188" s="1321"/>
      <c r="AK188" s="1321"/>
      <c r="AL188" s="1321"/>
      <c r="AM188" s="1321"/>
      <c r="AN188" s="1321"/>
      <c r="AO188" s="1321"/>
      <c r="AP188" s="1321"/>
      <c r="AQ188" s="1321"/>
      <c r="AR188" s="1321"/>
      <c r="AS188" s="1321"/>
      <c r="AT188" s="1321"/>
      <c r="AU188" s="1321"/>
      <c r="AV188" s="1321"/>
      <c r="AW188" s="1321"/>
      <c r="AX188" s="1321"/>
      <c r="AY188" s="1321"/>
      <c r="AZ188" s="1321"/>
      <c r="BA188" s="1321"/>
      <c r="BB188" s="1236"/>
      <c r="BC188" s="1190"/>
      <c r="BD188" s="1190"/>
      <c r="BE188" s="1237"/>
      <c r="BF188" s="1237"/>
      <c r="BG188" s="1237"/>
      <c r="BH188" s="1237"/>
      <c r="BI188" s="1237"/>
      <c r="BJ188" s="1237"/>
      <c r="BK188" s="1238"/>
      <c r="BL188" s="1321"/>
      <c r="BM188" s="1346"/>
      <c r="BN188" s="1321"/>
      <c r="BO188" s="1321"/>
      <c r="BP188" s="1321"/>
      <c r="BQ188" s="1321"/>
      <c r="BR188" s="1321"/>
      <c r="BS188" s="1321"/>
      <c r="BT188" s="1321"/>
      <c r="BU188" s="1321"/>
      <c r="BV188" s="1345"/>
      <c r="BW188" s="1345"/>
      <c r="BX188" s="808" t="s">
        <v>768</v>
      </c>
      <c r="BY188" s="803">
        <f>BZ26*TotalChèvres*SUM(NbreJoursNourrirCaprins)</f>
        <v>0</v>
      </c>
      <c r="BZ188" s="1350"/>
      <c r="CA188" s="1350"/>
      <c r="CB188" s="1350"/>
      <c r="CC188" s="1350"/>
      <c r="CD188" s="1345"/>
      <c r="CE188" s="1345"/>
      <c r="CF188" s="1345"/>
      <c r="CG188" s="1345"/>
      <c r="CH188" s="1345"/>
      <c r="CI188" s="1321"/>
      <c r="CJ188" s="1321"/>
      <c r="CK188" s="1321"/>
      <c r="CL188" s="1321"/>
      <c r="CM188" s="1318"/>
      <c r="CN188" s="1318"/>
      <c r="CO188" s="1318"/>
      <c r="CP188" s="1318"/>
      <c r="CQ188" s="1318"/>
      <c r="CR188" s="1318"/>
      <c r="CS188" s="1075">
        <f t="shared" si="66"/>
        <v>0</v>
      </c>
      <c r="CT188" s="1269"/>
      <c r="CU188" s="1269"/>
      <c r="CV188" s="1269"/>
      <c r="CW188" s="1321"/>
      <c r="CX188" s="1321"/>
      <c r="CY188" s="1321"/>
      <c r="CZ188" s="1076">
        <f t="shared" si="65"/>
        <v>0</v>
      </c>
      <c r="DA188" s="1267"/>
      <c r="DB188" s="1267"/>
      <c r="DC188" s="1267"/>
      <c r="DD188" s="1321"/>
      <c r="DE188" s="1321"/>
      <c r="DF188" s="1321"/>
      <c r="DG188" s="1321"/>
      <c r="DH188" s="1321"/>
      <c r="DI188" s="1321"/>
      <c r="DJ188" s="1321"/>
      <c r="DK188" s="1321"/>
      <c r="DL188" s="1321"/>
      <c r="DM188" s="1321"/>
      <c r="DN188" s="1076"/>
      <c r="DO188" s="1267">
        <f t="array" ref="DO188">IF(ChoixRationComplèteOvins=OUI,0,IFERROR(IF(OR(AND(INDEX(Règles_ovins[Specificite],MATCH(ChoixRationOvins&amp;$DN188,Règles_ovins[Ration]&amp;Règles_ovins[Aliment],0))="s1",IF($DN188=Spécificité1Ovins,1)),
AND(INDEX(Règles_ovins[Specificite],MATCH(ChoixRationOvins&amp;$DN188,Règles_ovins[Ration]&amp;Règles_ovins[Aliment],0))="s2",IF($DN188=Spécificité2Ovins,1)),
INDEX(Règles_ovins[Specificite],MATCH(ChoixRationOvins&amp;$DN188,Règles_ovins[Ration]&amp;Règles_ovins[Aliment],0))="c"),
INDEX(Règles_ovins[Valeur 12 et plus],MATCH(ChoixRationOvins&amp;$DN188,Règles_ovins[Ration]&amp;Règles_ovins[Aliment],0)),0),0)*IF(ChoixOvinsPréHiver=OUI,SUM(TotalOvinsAdultesRacesLaitières)*NbreJoursNourrirOvins,TotalBéliers*SUM(NbreJoursNourrirOvins)))</f>
        <v>0</v>
      </c>
      <c r="DP188" s="1267">
        <f t="array" ref="DP188">IF(ChoixRationComplèteOvins=OUI,0,IFERROR(IF(OR(AND(INDEX(Règles_ovins[Specificite],MATCH(ChoixRationOvins&amp;$DN188,Règles_ovins[Ration]&amp;Règles_ovins[Aliment],0))="s1",IF($DN188=Spécificité1Ovins,1)),
AND(INDEX(Règles_ovins[Specificite],MATCH(ChoixRationOvins&amp;$DN188,Règles_ovins[Ration]&amp;Règles_ovins[Aliment],0))="s2",IF($DN188=Spécificité2Ovins,1)),
INDEX(Règles_ovins[Specificite],MATCH(ChoixRationOvins&amp;$DN188,Règles_ovins[Ration]&amp;Règles_ovins[Aliment],0))="c"),
INDEX(Règles_ovins[Valeur 6-12],MATCH(ChoixRationOvins&amp;$DN188,Règles_ovins[Ration]&amp;Règles_ovins[Aliment],0)),0),0)*IF(ChoixOvinsPréHiver=OUI,SUM(TotalJeunesOvinsRacesLaitières)*NbreJoursNourrirOvins,TotalJeune_bélier_6_12_mois*SUM(NbreJoursNourrirOvins)))</f>
        <v>0</v>
      </c>
      <c r="DQ188" s="1267">
        <f t="array" ref="DQ188">IF(ChoixRationComplèteOvins=OUI,0,IFERROR(IF(OR(AND(INDEX(Règles_ovins[Specificite],MATCH(ChoixRationOvins&amp;$DN188,Règles_ovins[Ration]&amp;Règles_ovins[Aliment],0))="s1",IF($DN188=Spécificité1Ovins,1)),
AND(INDEX(Règles_ovins[Specificite],MATCH(ChoixRationOvins&amp;$DN188,Règles_ovins[Ration]&amp;Règles_ovins[Aliment],0))="s2",IF($DN188=Spécificité2Ovins,1)),
INDEX(Règles_ovins[Specificite],MATCH(ChoixRationOvins&amp;$DN188,Règles_ovins[Ration]&amp;Règles_ovins[Aliment],0))="c"),
INDEX(Règles_ovins[Valeur 3-6],MATCH(ChoixRationOvins&amp;$DN188,Règles_ovins[Ration]&amp;Règles_ovins[Aliment],0)),0),0)*IF(ChoixOvinsPréHiver=OUI,SUM(TotalOvins_3_6moisRacesLaitières)*NbreJoursNourrirOvins,TotalAgneau_3_6_mois*SUM(NbreJoursNourrirOvins)))</f>
        <v>0</v>
      </c>
      <c r="DR188" s="1267">
        <f t="array" ref="DR188">IF(ChoixRationComplèteOvins=OUI,0,IFERROR(IF(OR(AND(INDEX(Règles_ovins[Specificite],MATCH(ChoixRationOvins&amp;$DN188,Règles_ovins[Ration]&amp;Règles_ovins[Aliment],0))="s1",IF($DN188=Spécificité1Ovins,1)),
AND(INDEX(Règles_ovins[Specificite],MATCH(ChoixRationOvins&amp;$DN188,Règles_ovins[Ration]&amp;Règles_ovins[Aliment],0))="s2",IF($DN188=Spécificité2Ovins,1)),
INDEX(Règles_ovins[Specificite],MATCH(ChoixRationOvins&amp;$DN188,Règles_ovins[Ration]&amp;Règles_ovins[Aliment],0))="c"),
INDEX(Règles_ovins[Valeur 0-3],MATCH(ChoixRationOvins&amp;$DN188,Règles_ovins[Ration]&amp;Règles_ovins[Aliment],0)),0),0)*IF(ChoixOvinsPréHiver=OUI,SUM(TotalOvins_3_6moisRacesLaitières)*NbreJoursNourrirOvins,TotalAgneau_0_3_mois*SUM(NbreJoursNourrirOvins)))</f>
        <v>0</v>
      </c>
      <c r="DS188" s="1279">
        <f t="shared" si="61"/>
        <v>0</v>
      </c>
      <c r="DT188" s="1346"/>
      <c r="DU188" s="1346"/>
      <c r="DV188" s="1321"/>
      <c r="DW188" s="1321"/>
      <c r="DX188" s="1321"/>
      <c r="DY188" s="1321"/>
      <c r="DZ188" s="1321"/>
      <c r="EA188" s="1321"/>
      <c r="EB188" s="1321"/>
      <c r="EC188" s="1321"/>
      <c r="ED188" s="1345"/>
      <c r="EE188" s="1345"/>
      <c r="EF188" s="1321"/>
      <c r="EG188" s="1076">
        <f t="shared" si="63"/>
        <v>0</v>
      </c>
      <c r="EH188" s="1267"/>
      <c r="EI188" s="1267"/>
      <c r="EJ188" s="1267"/>
      <c r="EK188" s="1345"/>
      <c r="EL188" s="1345"/>
      <c r="EM188" s="1321"/>
      <c r="EN188" s="1321"/>
      <c r="EO188" s="1321"/>
      <c r="EP188" s="1321"/>
      <c r="EQ188" s="1321"/>
      <c r="ER188" s="1345"/>
      <c r="ES188" s="1345"/>
      <c r="ET188" s="1321"/>
      <c r="EU188" s="1336" t="s">
        <v>1491</v>
      </c>
      <c r="EV188" s="1341"/>
      <c r="EW188" s="1341"/>
      <c r="EX188" s="1341"/>
      <c r="EY188" s="1336"/>
      <c r="EZ188" s="1336"/>
      <c r="FA188" s="1345"/>
      <c r="FB188" s="1345"/>
      <c r="FC188" s="1321"/>
      <c r="FD188" s="789" t="s">
        <v>1372</v>
      </c>
      <c r="FE188" s="790" t="s">
        <v>1374</v>
      </c>
      <c r="FF188" s="791" t="s">
        <v>1375</v>
      </c>
      <c r="FG188" s="1321"/>
      <c r="FH188" s="1321"/>
      <c r="FI188" s="1321"/>
      <c r="FJ188" s="1345"/>
      <c r="FK188" s="1345"/>
      <c r="FL188" s="1345"/>
      <c r="FM188" s="1321"/>
      <c r="FN188" s="823" t="s">
        <v>1033</v>
      </c>
      <c r="FO188" s="824">
        <f>FR24*SUM(TotalPoulainsPoneys)*SUM(NbreJoursNourrirPoneys)</f>
        <v>0</v>
      </c>
      <c r="FP188" s="825">
        <v>0</v>
      </c>
      <c r="FQ188" s="1345"/>
      <c r="FR188" s="1345"/>
      <c r="FS188" s="1345"/>
      <c r="FT188" s="1345"/>
      <c r="FU188" s="1345"/>
      <c r="FV188" s="1345"/>
      <c r="FW188" s="1345"/>
      <c r="FX188" s="1345"/>
      <c r="FY188" s="1345"/>
      <c r="FZ188" s="1345"/>
      <c r="GA188" s="1345"/>
      <c r="GB188" s="1345"/>
      <c r="GC188" s="1321"/>
      <c r="GD188" s="1321"/>
      <c r="GE188" s="1321"/>
      <c r="GF188" s="1321"/>
      <c r="GG188" s="1321" t="s">
        <v>1349</v>
      </c>
      <c r="GH188" s="1321" t="s">
        <v>1349</v>
      </c>
      <c r="GI188" s="1321" t="s">
        <v>1349</v>
      </c>
      <c r="GJ188" s="1321" t="s">
        <v>1349</v>
      </c>
      <c r="GK188" s="1321" t="s">
        <v>1349</v>
      </c>
      <c r="GL188" s="1321" t="s">
        <v>1349</v>
      </c>
      <c r="GM188" s="1321" t="s">
        <v>1349</v>
      </c>
      <c r="GN188" s="1321" t="s">
        <v>1349</v>
      </c>
      <c r="GO188" s="1321" t="s">
        <v>1349</v>
      </c>
      <c r="GP188" s="1321" t="s">
        <v>1349</v>
      </c>
      <c r="GQ188" s="1321" t="s">
        <v>1349</v>
      </c>
      <c r="GR188" s="1321" t="s">
        <v>1349</v>
      </c>
      <c r="GS188" s="1321" t="s">
        <v>1349</v>
      </c>
      <c r="GT188" s="1321" t="s">
        <v>1349</v>
      </c>
      <c r="GU188" s="1321" t="s">
        <v>1349</v>
      </c>
      <c r="GV188" s="1321" t="s">
        <v>1349</v>
      </c>
      <c r="GW188" s="1321"/>
      <c r="GX188" s="1321"/>
      <c r="GY188" s="1321"/>
      <c r="GZ188" s="1321"/>
      <c r="HA188" s="1321"/>
      <c r="HB188" s="1321"/>
      <c r="HC188" s="1321"/>
      <c r="HD188" s="1321"/>
      <c r="HE188" s="1321"/>
      <c r="HF188" s="1321"/>
      <c r="HG188" s="1321"/>
      <c r="HH188" s="1321"/>
      <c r="HI188" s="1321"/>
      <c r="HJ188" s="1321"/>
      <c r="HK188" s="1321"/>
      <c r="HL188" s="1321"/>
      <c r="HM188" s="1321"/>
      <c r="HN188" s="1321"/>
      <c r="HO188" s="1321"/>
      <c r="HP188" s="1321"/>
      <c r="HQ188" s="1321"/>
      <c r="HR188" s="1321"/>
      <c r="HS188" s="1321"/>
      <c r="HT188" s="1321"/>
      <c r="HU188" s="1321"/>
      <c r="HV188" s="1321"/>
      <c r="HW188" s="1321"/>
      <c r="HX188" s="1321"/>
      <c r="HY188" s="1321"/>
      <c r="HZ188" s="1321"/>
      <c r="IA188" s="1321"/>
      <c r="IB188" s="1321"/>
      <c r="IC188" s="1321"/>
      <c r="ID188" s="1321"/>
      <c r="IE188" s="1321"/>
      <c r="IF188" s="1321"/>
      <c r="IG188" s="1321"/>
      <c r="IH188" s="1321"/>
      <c r="II188" s="1321"/>
      <c r="IJ188" s="1321"/>
      <c r="IK188" s="1321"/>
      <c r="IL188" s="1321"/>
      <c r="IM188" s="1321"/>
      <c r="IN188" s="1368"/>
    </row>
    <row r="189" spans="1:248" ht="12.75" customHeight="1" x14ac:dyDescent="0.2">
      <c r="A189" s="1307" t="s">
        <v>637</v>
      </c>
      <c r="B189" s="1209">
        <v>2E-3</v>
      </c>
      <c r="C189" s="1321"/>
      <c r="D189" s="1253" t="s">
        <v>1977</v>
      </c>
      <c r="E189" s="1254">
        <v>2</v>
      </c>
      <c r="F189" s="1321"/>
      <c r="G189" s="1321"/>
      <c r="H189" s="1321"/>
      <c r="I189" s="1321"/>
      <c r="J189" s="1321"/>
      <c r="K189" s="1321"/>
      <c r="L189" s="1321"/>
      <c r="M189" s="1321"/>
      <c r="N189" s="1321"/>
      <c r="O189" s="1321"/>
      <c r="P189" s="1321"/>
      <c r="Q189" s="1321"/>
      <c r="R189" s="1321"/>
      <c r="S189" s="1321"/>
      <c r="T189" s="1321"/>
      <c r="U189" s="1321"/>
      <c r="V189" s="1321"/>
      <c r="W189" s="1321"/>
      <c r="X189" s="1321"/>
      <c r="Y189" s="1321"/>
      <c r="Z189" s="1321"/>
      <c r="AA189" s="1321"/>
      <c r="AB189" s="1321"/>
      <c r="AC189" s="1321"/>
      <c r="AD189" s="1321"/>
      <c r="AE189" s="1321"/>
      <c r="AF189" s="1321"/>
      <c r="AG189" s="1321"/>
      <c r="AH189" s="1321"/>
      <c r="AI189" s="1321"/>
      <c r="AJ189" s="1321"/>
      <c r="AK189" s="1321"/>
      <c r="AL189" s="1321"/>
      <c r="AM189" s="1321"/>
      <c r="AN189" s="1321"/>
      <c r="AO189" s="1321"/>
      <c r="AP189" s="1321"/>
      <c r="AQ189" s="1321"/>
      <c r="AR189" s="1321"/>
      <c r="AS189" s="1321"/>
      <c r="AT189" s="1321"/>
      <c r="AU189" s="1321"/>
      <c r="AV189" s="1321"/>
      <c r="AW189" s="1321"/>
      <c r="AX189" s="1321"/>
      <c r="AY189" s="1321"/>
      <c r="AZ189" s="1321"/>
      <c r="BA189" s="1321"/>
      <c r="BB189" s="1236"/>
      <c r="BC189" s="1190"/>
      <c r="BD189" s="1190"/>
      <c r="BE189" s="1237"/>
      <c r="BF189" s="1237"/>
      <c r="BG189" s="1237"/>
      <c r="BH189" s="1237"/>
      <c r="BI189" s="1237"/>
      <c r="BJ189" s="1237"/>
      <c r="BK189" s="1238"/>
      <c r="BL189" s="1321"/>
      <c r="BM189" s="1346"/>
      <c r="BN189" s="1321"/>
      <c r="BO189" s="1321"/>
      <c r="BP189" s="1321"/>
      <c r="BQ189" s="1321"/>
      <c r="BR189" s="1321"/>
      <c r="BS189" s="1321"/>
      <c r="BT189" s="1321"/>
      <c r="BU189" s="1321"/>
      <c r="BV189" s="1345"/>
      <c r="BW189" s="1345"/>
      <c r="BX189" s="808" t="s">
        <v>769</v>
      </c>
      <c r="BY189" s="803">
        <f>BZ27*SUM(TotalJeunesCaprins)*SUM(NbreJoursNourrirCaprins)</f>
        <v>0</v>
      </c>
      <c r="BZ189" s="1321"/>
      <c r="CA189" s="1321"/>
      <c r="CB189" s="1321"/>
      <c r="CC189" s="1321"/>
      <c r="CD189" s="1345"/>
      <c r="CE189" s="1345"/>
      <c r="CF189" s="1345"/>
      <c r="CG189" s="1345"/>
      <c r="CH189" s="1345"/>
      <c r="CI189" s="1321"/>
      <c r="CJ189" s="1321"/>
      <c r="CK189" s="1321"/>
      <c r="CL189" s="1321"/>
      <c r="CM189" s="1318"/>
      <c r="CN189" s="1318"/>
      <c r="CO189" s="1318"/>
      <c r="CP189" s="1318"/>
      <c r="CQ189" s="1318"/>
      <c r="CR189" s="1318"/>
      <c r="CS189" s="1076">
        <f t="shared" si="66"/>
        <v>0</v>
      </c>
      <c r="CT189" s="1267"/>
      <c r="CU189" s="1267"/>
      <c r="CV189" s="1267"/>
      <c r="CW189" s="1321"/>
      <c r="CX189" s="1321"/>
      <c r="CY189" s="1321"/>
      <c r="CZ189" s="1075">
        <f t="shared" si="65"/>
        <v>0</v>
      </c>
      <c r="DA189" s="1269"/>
      <c r="DB189" s="1269"/>
      <c r="DC189" s="1269"/>
      <c r="DD189" s="1321"/>
      <c r="DE189" s="1321"/>
      <c r="DF189" s="1321"/>
      <c r="DG189" s="1321"/>
      <c r="DH189" s="1321"/>
      <c r="DI189" s="1321"/>
      <c r="DJ189" s="1321"/>
      <c r="DK189" s="1321"/>
      <c r="DL189" s="1321"/>
      <c r="DM189" s="1321"/>
      <c r="DN189" s="1336"/>
      <c r="DO189" s="1336"/>
      <c r="DP189" s="1336"/>
      <c r="DQ189" s="1336"/>
      <c r="DR189" s="1336"/>
      <c r="DS189" s="1359"/>
      <c r="DT189" s="1346"/>
      <c r="DU189" s="1346"/>
      <c r="DV189" s="1321"/>
      <c r="DW189" s="1321"/>
      <c r="DX189" s="1321"/>
      <c r="DY189" s="1321"/>
      <c r="DZ189" s="1321"/>
      <c r="EA189" s="1321"/>
      <c r="EB189" s="1321"/>
      <c r="EC189" s="1321"/>
      <c r="ED189" s="1345"/>
      <c r="EE189" s="1345"/>
      <c r="EF189" s="1321"/>
      <c r="EG189" s="1321"/>
      <c r="EH189" s="1321"/>
      <c r="EI189" s="1321"/>
      <c r="EJ189" s="1321"/>
      <c r="EK189" s="1345"/>
      <c r="EL189" s="1345"/>
      <c r="EM189" s="1321"/>
      <c r="EN189" s="1321"/>
      <c r="EO189" s="1321"/>
      <c r="EP189" s="1321"/>
      <c r="EQ189" s="1321"/>
      <c r="ER189" s="1345"/>
      <c r="ES189" s="1345"/>
      <c r="ET189" s="1321"/>
      <c r="EU189" s="789" t="s">
        <v>1276</v>
      </c>
      <c r="EV189" s="790" t="s">
        <v>1261</v>
      </c>
      <c r="EW189" s="790" t="s">
        <v>1260</v>
      </c>
      <c r="EX189" s="790" t="s">
        <v>1304</v>
      </c>
      <c r="EY189" s="827" t="s">
        <v>1303</v>
      </c>
      <c r="EZ189" s="791" t="s">
        <v>1269</v>
      </c>
      <c r="FA189" s="1345"/>
      <c r="FB189" s="1345"/>
      <c r="FC189" s="1321"/>
      <c r="FD189" s="823" t="s">
        <v>1033</v>
      </c>
      <c r="FE189" s="824">
        <f>FH25*SUM(TotalPoulainsTrait)*SUM(NbreJoursNourrirChevauxTrait)</f>
        <v>0</v>
      </c>
      <c r="FF189" s="825">
        <v>0</v>
      </c>
      <c r="FG189" s="1321"/>
      <c r="FH189" s="1321"/>
      <c r="FI189" s="1321"/>
      <c r="FJ189" s="1345"/>
      <c r="FK189" s="1345"/>
      <c r="FL189" s="1345"/>
      <c r="FM189" s="1321"/>
      <c r="FN189" s="823" t="s">
        <v>1027</v>
      </c>
      <c r="FO189" s="824"/>
      <c r="FP189" s="825"/>
      <c r="FQ189" s="1345"/>
      <c r="FR189" s="1345"/>
      <c r="FS189" s="1345"/>
      <c r="FT189" s="1345"/>
      <c r="FU189" s="1345"/>
      <c r="FV189" s="1345"/>
      <c r="FW189" s="1345"/>
      <c r="FX189" s="1345"/>
      <c r="FY189" s="1345"/>
      <c r="FZ189" s="1345"/>
      <c r="GA189" s="1345"/>
      <c r="GB189" s="1345"/>
      <c r="GC189" s="1321"/>
      <c r="GD189" s="1321"/>
      <c r="GE189" s="1321"/>
      <c r="GF189" s="1321"/>
      <c r="GG189" s="1321" t="s">
        <v>1349</v>
      </c>
      <c r="GH189" s="1321" t="s">
        <v>1349</v>
      </c>
      <c r="GI189" s="1321" t="s">
        <v>1349</v>
      </c>
      <c r="GJ189" s="1321" t="s">
        <v>1349</v>
      </c>
      <c r="GK189" s="1321" t="s">
        <v>1349</v>
      </c>
      <c r="GL189" s="1321" t="s">
        <v>1349</v>
      </c>
      <c r="GM189" s="1321" t="s">
        <v>1349</v>
      </c>
      <c r="GN189" s="1321" t="s">
        <v>1349</v>
      </c>
      <c r="GO189" s="1321" t="s">
        <v>1349</v>
      </c>
      <c r="GP189" s="1321" t="s">
        <v>1349</v>
      </c>
      <c r="GQ189" s="1321" t="s">
        <v>1349</v>
      </c>
      <c r="GR189" s="1321" t="s">
        <v>1349</v>
      </c>
      <c r="GS189" s="1321" t="s">
        <v>1349</v>
      </c>
      <c r="GT189" s="1321" t="s">
        <v>1349</v>
      </c>
      <c r="GU189" s="1321" t="s">
        <v>1349</v>
      </c>
      <c r="GV189" s="1321" t="s">
        <v>1349</v>
      </c>
      <c r="GW189" s="1321"/>
      <c r="GX189" s="1321"/>
      <c r="GY189" s="1321"/>
      <c r="GZ189" s="1321"/>
      <c r="HA189" s="1321"/>
      <c r="HB189" s="1321"/>
      <c r="HC189" s="1321"/>
      <c r="HD189" s="1321"/>
      <c r="HE189" s="1321"/>
      <c r="HF189" s="1321"/>
      <c r="HG189" s="1321"/>
      <c r="HH189" s="1321"/>
      <c r="HI189" s="1321"/>
      <c r="HJ189" s="1321"/>
      <c r="HK189" s="1321"/>
      <c r="HL189" s="1321"/>
      <c r="HM189" s="1321"/>
      <c r="HN189" s="1321"/>
      <c r="HO189" s="1321"/>
      <c r="HP189" s="1321"/>
      <c r="HQ189" s="1321"/>
      <c r="HR189" s="1321"/>
      <c r="HS189" s="1321"/>
      <c r="HT189" s="1321"/>
      <c r="HU189" s="1321"/>
      <c r="HV189" s="1321"/>
      <c r="HW189" s="1321"/>
      <c r="HX189" s="1321"/>
      <c r="HY189" s="1321"/>
      <c r="HZ189" s="1321"/>
      <c r="IA189" s="1321"/>
      <c r="IB189" s="1321"/>
      <c r="IC189" s="1321"/>
      <c r="ID189" s="1321"/>
      <c r="IE189" s="1321"/>
      <c r="IF189" s="1321"/>
      <c r="IG189" s="1321"/>
      <c r="IH189" s="1321"/>
      <c r="II189" s="1321"/>
      <c r="IJ189" s="1321"/>
      <c r="IK189" s="1321"/>
      <c r="IL189" s="1321"/>
      <c r="IM189" s="1321"/>
      <c r="IN189" s="1368"/>
    </row>
    <row r="190" spans="1:248" ht="12.75" customHeight="1" x14ac:dyDescent="0.2">
      <c r="A190" s="1312" t="s">
        <v>638</v>
      </c>
      <c r="B190" s="1213">
        <v>3.0000000000000001E-3</v>
      </c>
      <c r="C190" s="1321"/>
      <c r="D190" s="1251" t="s">
        <v>1978</v>
      </c>
      <c r="E190" s="1252">
        <v>6.4</v>
      </c>
      <c r="F190" s="1321"/>
      <c r="G190" s="1321"/>
      <c r="H190" s="1321"/>
      <c r="I190" s="1321"/>
      <c r="J190" s="1321"/>
      <c r="K190" s="1321"/>
      <c r="L190" s="1321"/>
      <c r="M190" s="1321"/>
      <c r="N190" s="1321"/>
      <c r="O190" s="1321"/>
      <c r="P190" s="1321"/>
      <c r="Q190" s="1321"/>
      <c r="R190" s="1321"/>
      <c r="S190" s="1321"/>
      <c r="T190" s="1321"/>
      <c r="U190" s="1321"/>
      <c r="V190" s="1321"/>
      <c r="W190" s="1321"/>
      <c r="X190" s="1321"/>
      <c r="Y190" s="1321"/>
      <c r="Z190" s="1321"/>
      <c r="AA190" s="1321"/>
      <c r="AB190" s="1321"/>
      <c r="AC190" s="1321"/>
      <c r="AD190" s="1321"/>
      <c r="AE190" s="1321"/>
      <c r="AF190" s="1321"/>
      <c r="AG190" s="1321"/>
      <c r="AH190" s="1321"/>
      <c r="AI190" s="1321"/>
      <c r="AJ190" s="1321"/>
      <c r="AK190" s="1321"/>
      <c r="AL190" s="1321"/>
      <c r="AM190" s="1321"/>
      <c r="AN190" s="1321"/>
      <c r="AO190" s="1321"/>
      <c r="AP190" s="1321"/>
      <c r="AQ190" s="1321"/>
      <c r="AR190" s="1321"/>
      <c r="AS190" s="1321"/>
      <c r="AT190" s="1321"/>
      <c r="AU190" s="1321"/>
      <c r="AV190" s="1321"/>
      <c r="AW190" s="1321"/>
      <c r="AX190" s="1321"/>
      <c r="AY190" s="1321"/>
      <c r="AZ190" s="1321"/>
      <c r="BA190" s="1321"/>
      <c r="BB190" s="1255"/>
      <c r="BC190" s="1256"/>
      <c r="BD190" s="1256"/>
      <c r="BE190" s="1257"/>
      <c r="BF190" s="1257"/>
      <c r="BG190" s="1257"/>
      <c r="BH190" s="1257"/>
      <c r="BI190" s="1257"/>
      <c r="BJ190" s="1257"/>
      <c r="BK190" s="1258"/>
      <c r="BL190" s="1321"/>
      <c r="BM190" s="1346"/>
      <c r="BN190" s="1321"/>
      <c r="BO190" s="1321"/>
      <c r="BP190" s="1321"/>
      <c r="BQ190" s="1321"/>
      <c r="BR190" s="1321"/>
      <c r="BS190" s="1321"/>
      <c r="BT190" s="1321"/>
      <c r="BU190" s="1321"/>
      <c r="BV190" s="1345"/>
      <c r="BW190" s="1345"/>
      <c r="BX190" s="808" t="s">
        <v>770</v>
      </c>
      <c r="BY190" s="803"/>
      <c r="BZ190" s="1321"/>
      <c r="CA190" s="1321"/>
      <c r="CB190" s="1321"/>
      <c r="CC190" s="1321"/>
      <c r="CD190" s="1345"/>
      <c r="CE190" s="1345"/>
      <c r="CF190" s="1345"/>
      <c r="CG190" s="1345"/>
      <c r="CH190" s="1345"/>
      <c r="CI190" s="1321"/>
      <c r="CJ190" s="1321"/>
      <c r="CK190" s="1321"/>
      <c r="CL190" s="1321"/>
      <c r="CM190" s="1318"/>
      <c r="CN190" s="1318"/>
      <c r="CO190" s="1318"/>
      <c r="CP190" s="1318"/>
      <c r="CQ190" s="1318"/>
      <c r="CR190" s="1318"/>
      <c r="CS190" s="1075">
        <f t="shared" si="66"/>
        <v>0</v>
      </c>
      <c r="CT190" s="1269"/>
      <c r="CU190" s="1269"/>
      <c r="CV190" s="1269"/>
      <c r="CW190" s="1321"/>
      <c r="CX190" s="1321"/>
      <c r="CY190" s="1321"/>
      <c r="CZ190" s="1076">
        <f t="shared" si="65"/>
        <v>0</v>
      </c>
      <c r="DA190" s="1267"/>
      <c r="DB190" s="1267"/>
      <c r="DC190" s="1267"/>
      <c r="DD190" s="1321"/>
      <c r="DE190" s="1321"/>
      <c r="DF190" s="1321"/>
      <c r="DG190" s="1321"/>
      <c r="DH190" s="1321"/>
      <c r="DI190" s="1321"/>
      <c r="DJ190" s="1321"/>
      <c r="DK190" s="1321"/>
      <c r="DL190" s="1321"/>
      <c r="DM190" s="1321"/>
      <c r="DN190" s="1336" t="s">
        <v>1710</v>
      </c>
      <c r="DO190" s="1336"/>
      <c r="DP190" s="1336"/>
      <c r="DQ190" s="1336"/>
      <c r="DR190" s="1336"/>
      <c r="DS190" s="1359"/>
      <c r="DT190" s="1346"/>
      <c r="DU190" s="1346"/>
      <c r="DV190" s="1321"/>
      <c r="DW190" s="1321"/>
      <c r="DX190" s="1321"/>
      <c r="DY190" s="1321"/>
      <c r="DZ190" s="1321"/>
      <c r="EA190" s="1321"/>
      <c r="EB190" s="1321"/>
      <c r="EC190" s="1321"/>
      <c r="ED190" s="1345"/>
      <c r="EE190" s="1345"/>
      <c r="EF190" s="1321"/>
      <c r="EG190" s="1321"/>
      <c r="EH190" s="1321"/>
      <c r="EI190" s="1321"/>
      <c r="EJ190" s="1321"/>
      <c r="EK190" s="1345"/>
      <c r="EL190" s="1345"/>
      <c r="EM190" s="1321"/>
      <c r="EN190" s="1321"/>
      <c r="EO190" s="1321"/>
      <c r="EP190" s="1321"/>
      <c r="EQ190" s="1321"/>
      <c r="ER190" s="1345"/>
      <c r="ES190" s="1345"/>
      <c r="ET190" s="1321"/>
      <c r="EU190" s="809" t="s">
        <v>723</v>
      </c>
      <c r="EV190" s="830">
        <f t="array" ref="EV190">IF(ChoixRationHivernaleComplèteChevauxSelle=NON,0,IFERROR(IF(OR(AND(INDEX(Règles_chevaux_selle[Specificite],MATCH(RationHivernaleAuPréChevauxSelle&amp;Ration_complète_chevaux_selle5[aliment],Règles_chevaux_selle[Ration]&amp;Règles_chevaux_selle[Aliment],0))="s1",IF(Ration_complète_chevaux_selle5[aliment]=Spécificité1ChevauxSelle,1)),
AND(INDEX(Règles_chevaux_selle[Specificite],MATCH(RationHivernaleAuPréChevauxSelle&amp;Ration_complète_chevaux_selle5[aliment],Règles_chevaux_selle[Ration]&amp;Règles_chevaux_selle[Aliment],0))="s2",IF(Ration_complète_chevaux_selle5[aliment]=Spécificité2ChevauxSelle,1)),
INDEX(Règles_chevaux_selle[Specificite],MATCH(RationHivernaleAuPréChevauxSelle&amp;Ration_complète_chevaux_selle5[aliment],Règles_chevaux_selle[Ration]&amp;Règles_chevaux_selle[Aliment],0))="c",INDEX(Règles_chevaux_selle[Specificite],MATCH(RationHivernaleAuPréChevauxSelle&amp;Ration_complète_chevaux_selle5[aliment],Règles_chevaux_selle[Ration]&amp;Règles_chevaux_selle[Aliment],0))="complet"),
INDEX(Règles_chevaux_selle[Valeur 36 et plus],MATCH(RationHivernaleAuPréChevauxSelle&amp;Ration_complète_chevaux_selle5[aliment],Règles_chevaux_selle[Ration]&amp;Règles_chevaux_selle[Aliment],0)),0),0)*SUM(TotalChevauxSelleAdultes)*21)</f>
        <v>0</v>
      </c>
      <c r="EW190" s="830">
        <f t="array" ref="EW190">IF(ChoixRationHivernaleComplèteChevauxSelle=NON,0,IFERROR(IF(OR(AND(INDEX(Règles_chevaux_selle[Specificite],MATCH(RationHivernaleAuPréChevauxSelle&amp;Ration_complète_chevaux_selle5[aliment],Règles_chevaux_selle[Ration]&amp;Règles_chevaux_selle[Aliment],0))="s1",IF(Ration_complète_chevaux_selle5[aliment]=Spécificité1ChevauxSelle,1)),
AND(INDEX(Règles_chevaux_selle[Specificite],MATCH(RationHivernaleAuPréChevauxSelle&amp;Ration_complète_chevaux_selle5[aliment],Règles_chevaux_selle[Ration]&amp;Règles_chevaux_selle[Aliment],0))="s2",IF(Ration_complète_chevaux_selle5[aliment]=Spécificité2ChevauxSelle,1)),
INDEX(Règles_chevaux_selle[Specificite],MATCH(RationHivernaleAuPréChevauxSelle&amp;Ration_complète_chevaux_selle5[aliment],Règles_chevaux_selle[Ration]&amp;Règles_chevaux_selle[Aliment],0))="c",INDEX(Règles_chevaux_selle[Specificite],MATCH(RationHivernaleAuPréChevauxSelle&amp;Ration_complète_chevaux_selle5[aliment],Règles_chevaux_selle[Ration]&amp;Règles_chevaux_selle[Aliment],0))="complet"),
INDEX(Règles_chevaux_selle[Valeur 24-36],MATCH(RationHivernaleAuPréChevauxSelle&amp;Ration_complète_chevaux_selle5[aliment],Règles_chevaux_selle[Ration]&amp;Règles_chevaux_selle[Aliment],0)),0),0)*SUM(TotalChevauxSelle_24_36mois)*21)</f>
        <v>0</v>
      </c>
      <c r="EX190" s="830">
        <f t="array" ref="EX190">IF(ChoixRationHivernaleComplèteChevauxSelle=NON,0,IFERROR(IF(OR(AND(INDEX(Règles_chevaux_selle[Specificite],MATCH(RationHivernaleAuPréChevauxSelle&amp;Ration_complète_chevaux_selle5[aliment],Règles_chevaux_selle[Ration]&amp;Règles_chevaux_selle[Aliment],0))="s1",IF(Ration_complète_chevaux_selle5[aliment]=Spécificité1ChevauxSelle,1)),
AND(INDEX(Règles_chevaux_selle[Specificite],MATCH(RationHivernaleAuPréChevauxSelle&amp;Ration_complète_chevaux_selle5[aliment],Règles_chevaux_selle[Ration]&amp;Règles_chevaux_selle[Aliment],0))="s2",IF(Ration_complète_chevaux_selle5[aliment]=Spécificité2ChevauxSelle,1)),
INDEX(Règles_chevaux_selle[Specificite],MATCH(RationHivernaleAuPréChevauxSelle&amp;Ration_complète_chevaux_selle5[aliment],Règles_chevaux_selle[Ration]&amp;Règles_chevaux_selle[Aliment],0))="c",INDEX(Règles_chevaux_selle[Specificite],MATCH(RationHivernaleAuPréChevauxSelle&amp;Ration_complète_chevaux_selle5[aliment],Règles_chevaux_selle[Ration]&amp;Règles_chevaux_selle[Aliment],0))="complet"),
INDEX(Règles_chevaux_selle[Valeur 12-24],MATCH(RationHivernaleAuPréChevauxSelle&amp;Ration_complète_chevaux_selle5[aliment],Règles_chevaux_selle[Ration]&amp;Règles_chevaux_selle[Aliment],0)),0),0)*SUM(TotalChevauxSelle_12_24mois)*21)</f>
        <v>0</v>
      </c>
      <c r="EY190" s="830">
        <f t="array" ref="EY190">IF(ChoixRationHivernaleComplèteChevauxSelle=NON,0,IFERROR(IF(OR(AND(INDEX(Règles_chevaux_selle[Specificite],MATCH(RationHivernaleAuPréChevauxSelle&amp;Ration_complète_chevaux_selle5[aliment],Règles_chevaux_selle[Ration]&amp;Règles_chevaux_selle[Aliment],0))="s1",IF(Ration_complète_chevaux_selle5[aliment]=Spécificité1ChevauxSelle,1)),
AND(INDEX(Règles_chevaux_selle[Specificite],MATCH(RationHivernaleAuPréChevauxSelle&amp;Ration_complète_chevaux_selle5[aliment],Règles_chevaux_selle[Ration]&amp;Règles_chevaux_selle[Aliment],0))="s2",IF(Ration_complète_chevaux_selle5[aliment]=Spécificité2ChevauxSelle,1)),
INDEX(Règles_chevaux_selle[Specificite],MATCH(RationHivernaleAuPréChevauxSelle&amp;Ration_complète_chevaux_selle5[aliment],Règles_chevaux_selle[Ration]&amp;Règles_chevaux_selle[Aliment],0))="c",INDEX(Règles_chevaux_selle[Specificite],MATCH(RationHivernaleAuPréChevauxSelle&amp;Ration_complète_chevaux_selle5[aliment],Règles_chevaux_selle[Ration]&amp;Règles_chevaux_selle[Aliment],0))="complet"),
INDEX(Règles_chevaux_selle[Valeur 0-12],MATCH(RationHivernaleAuPréChevauxSelle&amp;Ration_complète_chevaux_selle5[aliment],Règles_chevaux_selle[Ration]&amp;Règles_chevaux_selle[Aliment],0)),0),0)*SUM(TotalPoulainsSelle)*21)</f>
        <v>0</v>
      </c>
      <c r="EZ190" s="832">
        <f>SUM(Ration_complète_chevaux_selle5[[Valeur 36 et plus]:[Valeur 0-12]])</f>
        <v>0</v>
      </c>
      <c r="FA190" s="1345"/>
      <c r="FB190" s="1345"/>
      <c r="FC190" s="1321"/>
      <c r="FD190" s="823" t="s">
        <v>1027</v>
      </c>
      <c r="FE190" s="824"/>
      <c r="FF190" s="825"/>
      <c r="FG190" s="1321"/>
      <c r="FH190" s="1321"/>
      <c r="FI190" s="1321"/>
      <c r="FJ190" s="1345"/>
      <c r="FK190" s="1345"/>
      <c r="FL190" s="1345"/>
      <c r="FM190" s="1321"/>
      <c r="FN190" s="823" t="s">
        <v>1028</v>
      </c>
      <c r="FO190" s="824">
        <f>FR26*SUM(TotalJeunesPoneys)*SUM(NbreJoursNourrirPoneys)</f>
        <v>0</v>
      </c>
      <c r="FP190" s="825">
        <v>0</v>
      </c>
      <c r="FQ190" s="1345"/>
      <c r="FR190" s="1345"/>
      <c r="FS190" s="1345"/>
      <c r="FT190" s="1345"/>
      <c r="FU190" s="1345"/>
      <c r="FV190" s="1345"/>
      <c r="FW190" s="1345"/>
      <c r="FX190" s="1345"/>
      <c r="FY190" s="1345"/>
      <c r="FZ190" s="1345"/>
      <c r="GA190" s="1345"/>
      <c r="GB190" s="1345"/>
      <c r="GC190" s="1321"/>
      <c r="GD190" s="1321"/>
      <c r="GE190" s="1321"/>
      <c r="GF190" s="1321"/>
      <c r="GG190" s="1321" t="s">
        <v>1349</v>
      </c>
      <c r="GH190" s="1321" t="s">
        <v>1349</v>
      </c>
      <c r="GI190" s="1321" t="s">
        <v>1349</v>
      </c>
      <c r="GJ190" s="1321" t="s">
        <v>1349</v>
      </c>
      <c r="GK190" s="1321" t="s">
        <v>1349</v>
      </c>
      <c r="GL190" s="1321" t="s">
        <v>1349</v>
      </c>
      <c r="GM190" s="1321" t="s">
        <v>1349</v>
      </c>
      <c r="GN190" s="1321" t="s">
        <v>1349</v>
      </c>
      <c r="GO190" s="1321" t="s">
        <v>1349</v>
      </c>
      <c r="GP190" s="1321" t="s">
        <v>1349</v>
      </c>
      <c r="GQ190" s="1321" t="s">
        <v>1349</v>
      </c>
      <c r="GR190" s="1321" t="s">
        <v>1349</v>
      </c>
      <c r="GS190" s="1321" t="s">
        <v>1349</v>
      </c>
      <c r="GT190" s="1321" t="s">
        <v>1349</v>
      </c>
      <c r="GU190" s="1321" t="s">
        <v>1349</v>
      </c>
      <c r="GV190" s="1321" t="s">
        <v>1349</v>
      </c>
      <c r="GW190" s="1321"/>
      <c r="GX190" s="1321"/>
      <c r="GY190" s="1321"/>
      <c r="GZ190" s="1321"/>
      <c r="HA190" s="1321"/>
      <c r="HB190" s="1321"/>
      <c r="HC190" s="1321"/>
      <c r="HD190" s="1321"/>
      <c r="HE190" s="1321"/>
      <c r="HF190" s="1321"/>
      <c r="HG190" s="1321"/>
      <c r="HH190" s="1321"/>
      <c r="HI190" s="1321"/>
      <c r="HJ190" s="1321"/>
      <c r="HK190" s="1321"/>
      <c r="HL190" s="1321"/>
      <c r="HM190" s="1321"/>
      <c r="HN190" s="1321"/>
      <c r="HO190" s="1321"/>
      <c r="HP190" s="1321"/>
      <c r="HQ190" s="1321"/>
      <c r="HR190" s="1321"/>
      <c r="HS190" s="1321"/>
      <c r="HT190" s="1321"/>
      <c r="HU190" s="1321"/>
      <c r="HV190" s="1321"/>
      <c r="HW190" s="1321"/>
      <c r="HX190" s="1321"/>
      <c r="HY190" s="1321"/>
      <c r="HZ190" s="1321"/>
      <c r="IA190" s="1321"/>
      <c r="IB190" s="1321"/>
      <c r="IC190" s="1321"/>
      <c r="ID190" s="1321"/>
      <c r="IE190" s="1321"/>
      <c r="IF190" s="1321"/>
      <c r="IG190" s="1321"/>
      <c r="IH190" s="1321"/>
      <c r="II190" s="1321"/>
      <c r="IJ190" s="1321"/>
      <c r="IK190" s="1321"/>
      <c r="IL190" s="1321"/>
      <c r="IM190" s="1321"/>
      <c r="IN190" s="1368"/>
    </row>
    <row r="191" spans="1:248" ht="12.75" customHeight="1" x14ac:dyDescent="0.2">
      <c r="A191" s="1319"/>
      <c r="B191" s="1320"/>
      <c r="C191" s="1321"/>
      <c r="D191" s="1253" t="s">
        <v>1979</v>
      </c>
      <c r="E191" s="1254">
        <v>3.9</v>
      </c>
      <c r="F191" s="1321"/>
      <c r="G191" s="1321"/>
      <c r="H191" s="1321"/>
      <c r="I191" s="1321"/>
      <c r="J191" s="1321"/>
      <c r="K191" s="1321"/>
      <c r="L191" s="1321"/>
      <c r="M191" s="1321"/>
      <c r="N191" s="1321"/>
      <c r="O191" s="1321"/>
      <c r="P191" s="1321"/>
      <c r="Q191" s="1321"/>
      <c r="R191" s="1321"/>
      <c r="S191" s="1321"/>
      <c r="T191" s="1321"/>
      <c r="U191" s="1321"/>
      <c r="V191" s="1321"/>
      <c r="W191" s="1321"/>
      <c r="X191" s="1321"/>
      <c r="Y191" s="1321"/>
      <c r="Z191" s="1321"/>
      <c r="AA191" s="1321"/>
      <c r="AB191" s="1321"/>
      <c r="AC191" s="1321"/>
      <c r="AD191" s="1321"/>
      <c r="AE191" s="1321"/>
      <c r="AF191" s="1321"/>
      <c r="AG191" s="1321"/>
      <c r="AH191" s="1321"/>
      <c r="AI191" s="1321"/>
      <c r="AJ191" s="1321"/>
      <c r="AK191" s="1321"/>
      <c r="AL191" s="1321"/>
      <c r="AM191" s="1321"/>
      <c r="AN191" s="1321"/>
      <c r="AO191" s="1321"/>
      <c r="AP191" s="1321"/>
      <c r="AQ191" s="1321"/>
      <c r="AR191" s="1321"/>
      <c r="AS191" s="1321"/>
      <c r="AT191" s="1321"/>
      <c r="AU191" s="1321"/>
      <c r="AV191" s="1321"/>
      <c r="AW191" s="1321"/>
      <c r="AX191" s="1321"/>
      <c r="AY191" s="1321"/>
      <c r="AZ191" s="1321"/>
      <c r="BA191" s="1321"/>
      <c r="BB191" s="1321"/>
      <c r="BC191" s="1321"/>
      <c r="BD191" s="1321"/>
      <c r="BE191" s="1321"/>
      <c r="BF191" s="1321"/>
      <c r="BG191" s="1321"/>
      <c r="BH191" s="1321"/>
      <c r="BI191" s="1321"/>
      <c r="BJ191" s="1321"/>
      <c r="BK191" s="1321"/>
      <c r="BL191" s="1321"/>
      <c r="BM191" s="1346"/>
      <c r="BN191" s="1321"/>
      <c r="BO191" s="1321"/>
      <c r="BP191" s="1321"/>
      <c r="BQ191" s="1321"/>
      <c r="BR191" s="1321"/>
      <c r="BS191" s="1321"/>
      <c r="BT191" s="1321"/>
      <c r="BU191" s="1321"/>
      <c r="BV191" s="1345"/>
      <c r="BW191" s="1345"/>
      <c r="BX191" s="808" t="s">
        <v>771</v>
      </c>
      <c r="BY191" s="803">
        <f>BZ29*SUM(TotalChevreaux)*SUM(NbreJoursNourrirCaprins)</f>
        <v>0</v>
      </c>
      <c r="BZ191" s="1321"/>
      <c r="CA191" s="1321"/>
      <c r="CB191" s="1321"/>
      <c r="CC191" s="1321"/>
      <c r="CD191" s="1345"/>
      <c r="CE191" s="1345"/>
      <c r="CF191" s="1345"/>
      <c r="CG191" s="1345"/>
      <c r="CH191" s="1345"/>
      <c r="CI191" s="1321"/>
      <c r="CJ191" s="1321"/>
      <c r="CK191" s="1321"/>
      <c r="CL191" s="1321"/>
      <c r="CM191" s="1318"/>
      <c r="CN191" s="1318"/>
      <c r="CO191" s="1318"/>
      <c r="CP191" s="1318"/>
      <c r="CQ191" s="1318"/>
      <c r="CR191" s="1318"/>
      <c r="CS191" s="1076">
        <f t="shared" si="66"/>
        <v>0</v>
      </c>
      <c r="CT191" s="1267"/>
      <c r="CU191" s="1267"/>
      <c r="CV191" s="1267"/>
      <c r="CW191" s="1321"/>
      <c r="CX191" s="1321"/>
      <c r="CY191" s="1321"/>
      <c r="CZ191" s="1075">
        <f t="shared" si="65"/>
        <v>0</v>
      </c>
      <c r="DA191" s="1269"/>
      <c r="DB191" s="1269"/>
      <c r="DC191" s="1269"/>
      <c r="DD191" s="1321"/>
      <c r="DE191" s="1321"/>
      <c r="DF191" s="1321"/>
      <c r="DG191" s="1321"/>
      <c r="DH191" s="1321"/>
      <c r="DI191" s="1321"/>
      <c r="DJ191" s="1321"/>
      <c r="DK191" s="1321"/>
      <c r="DL191" s="1321"/>
      <c r="DM191" s="1321"/>
      <c r="DN191" s="1079" t="s">
        <v>1276</v>
      </c>
      <c r="DO191" s="1079" t="s">
        <v>1280</v>
      </c>
      <c r="DP191" s="1079" t="s">
        <v>1257</v>
      </c>
      <c r="DQ191" s="1079" t="s">
        <v>1256</v>
      </c>
      <c r="DR191" s="1278" t="s">
        <v>1255</v>
      </c>
      <c r="DS191" s="1079" t="s">
        <v>1269</v>
      </c>
      <c r="DT191" s="1346"/>
      <c r="DU191" s="1346"/>
      <c r="DV191" s="1321"/>
      <c r="DW191" s="1321"/>
      <c r="DX191" s="1321"/>
      <c r="DY191" s="1321"/>
      <c r="DZ191" s="1321"/>
      <c r="EA191" s="1321"/>
      <c r="EB191" s="1321"/>
      <c r="EC191" s="1321"/>
      <c r="ED191" s="1345"/>
      <c r="EE191" s="1345"/>
      <c r="EF191" s="1321"/>
      <c r="EG191" s="1321"/>
      <c r="EH191" s="1321"/>
      <c r="EI191" s="1321"/>
      <c r="EJ191" s="1321"/>
      <c r="EK191" s="1345"/>
      <c r="EL191" s="1345"/>
      <c r="EM191" s="1321"/>
      <c r="EN191" s="1321"/>
      <c r="EO191" s="1321"/>
      <c r="EP191" s="1321"/>
      <c r="EQ191" s="1321"/>
      <c r="ER191" s="1345"/>
      <c r="ES191" s="1345"/>
      <c r="ET191" s="1321"/>
      <c r="EU191" s="1321"/>
      <c r="EV191" s="1321"/>
      <c r="EW191" s="1321"/>
      <c r="EX191" s="1321"/>
      <c r="EY191" s="1321"/>
      <c r="EZ191" s="1345"/>
      <c r="FA191" s="1345"/>
      <c r="FB191" s="1345"/>
      <c r="FC191" s="1321"/>
      <c r="FD191" s="823" t="s">
        <v>1028</v>
      </c>
      <c r="FE191" s="824">
        <f>FH27*SUM(TotalJeunesChevauxTrait)*SUM(NbreJoursNourrirChevauxTrait)</f>
        <v>0</v>
      </c>
      <c r="FF191" s="825">
        <v>0</v>
      </c>
      <c r="FG191" s="1321"/>
      <c r="FH191" s="1321"/>
      <c r="FI191" s="1321"/>
      <c r="FJ191" s="1345"/>
      <c r="FK191" s="1345"/>
      <c r="FL191" s="1345"/>
      <c r="FM191" s="1321"/>
      <c r="FN191" s="823" t="s">
        <v>1029</v>
      </c>
      <c r="FO191" s="824"/>
      <c r="FP191" s="825"/>
      <c r="FQ191" s="1345"/>
      <c r="FR191" s="1345"/>
      <c r="FS191" s="1345"/>
      <c r="FT191" s="1345"/>
      <c r="FU191" s="1345"/>
      <c r="FV191" s="1345"/>
      <c r="FW191" s="1345"/>
      <c r="FX191" s="1345"/>
      <c r="FY191" s="1345"/>
      <c r="FZ191" s="1345"/>
      <c r="GA191" s="1345"/>
      <c r="GB191" s="1345"/>
      <c r="GC191" s="1321"/>
      <c r="GD191" s="1321"/>
      <c r="GE191" s="1321"/>
      <c r="GF191" s="1321"/>
      <c r="GG191" s="1321" t="s">
        <v>1349</v>
      </c>
      <c r="GH191" s="1321" t="s">
        <v>1349</v>
      </c>
      <c r="GI191" s="1321" t="s">
        <v>1349</v>
      </c>
      <c r="GJ191" s="1321" t="s">
        <v>1349</v>
      </c>
      <c r="GK191" s="1321" t="s">
        <v>1349</v>
      </c>
      <c r="GL191" s="1321" t="s">
        <v>1349</v>
      </c>
      <c r="GM191" s="1321" t="s">
        <v>1349</v>
      </c>
      <c r="GN191" s="1321" t="s">
        <v>1349</v>
      </c>
      <c r="GO191" s="1321" t="s">
        <v>1349</v>
      </c>
      <c r="GP191" s="1321" t="s">
        <v>1349</v>
      </c>
      <c r="GQ191" s="1321" t="s">
        <v>1349</v>
      </c>
      <c r="GR191" s="1321" t="s">
        <v>1349</v>
      </c>
      <c r="GS191" s="1321" t="s">
        <v>1349</v>
      </c>
      <c r="GT191" s="1321" t="s">
        <v>1349</v>
      </c>
      <c r="GU191" s="1321" t="s">
        <v>1349</v>
      </c>
      <c r="GV191" s="1321" t="s">
        <v>1349</v>
      </c>
      <c r="GW191" s="1321"/>
      <c r="GX191" s="1321"/>
      <c r="GY191" s="1321"/>
      <c r="GZ191" s="1321"/>
      <c r="HA191" s="1321"/>
      <c r="HB191" s="1321"/>
      <c r="HC191" s="1321"/>
      <c r="HD191" s="1321"/>
      <c r="HE191" s="1321"/>
      <c r="HF191" s="1321"/>
      <c r="HG191" s="1321"/>
      <c r="HH191" s="1321"/>
      <c r="HI191" s="1321"/>
      <c r="HJ191" s="1321"/>
      <c r="HK191" s="1321"/>
      <c r="HL191" s="1321"/>
      <c r="HM191" s="1321"/>
      <c r="HN191" s="1321"/>
      <c r="HO191" s="1321"/>
      <c r="HP191" s="1321"/>
      <c r="HQ191" s="1321"/>
      <c r="HR191" s="1321"/>
      <c r="HS191" s="1321"/>
      <c r="HT191" s="1321"/>
      <c r="HU191" s="1321"/>
      <c r="HV191" s="1321"/>
      <c r="HW191" s="1321"/>
      <c r="HX191" s="1321"/>
      <c r="HY191" s="1321"/>
      <c r="HZ191" s="1321"/>
      <c r="IA191" s="1321"/>
      <c r="IB191" s="1321"/>
      <c r="IC191" s="1321"/>
      <c r="ID191" s="1321"/>
      <c r="IE191" s="1321"/>
      <c r="IF191" s="1321"/>
      <c r="IG191" s="1321"/>
      <c r="IH191" s="1321"/>
      <c r="II191" s="1321"/>
      <c r="IJ191" s="1321"/>
      <c r="IK191" s="1321"/>
      <c r="IL191" s="1321"/>
      <c r="IM191" s="1321"/>
      <c r="IN191" s="1368"/>
    </row>
    <row r="192" spans="1:248" ht="12.75" customHeight="1" x14ac:dyDescent="0.2">
      <c r="A192" s="1319"/>
      <c r="B192" s="1320"/>
      <c r="C192" s="1321"/>
      <c r="D192" s="1251" t="s">
        <v>1980</v>
      </c>
      <c r="E192" s="1252">
        <v>4.0999999999999996</v>
      </c>
      <c r="F192" s="1321"/>
      <c r="G192" s="1321"/>
      <c r="H192" s="1321"/>
      <c r="I192" s="1321"/>
      <c r="J192" s="1321"/>
      <c r="K192" s="1321"/>
      <c r="L192" s="1321"/>
      <c r="M192" s="1321"/>
      <c r="N192" s="1321"/>
      <c r="O192" s="1321"/>
      <c r="P192" s="1321"/>
      <c r="Q192" s="1321"/>
      <c r="R192" s="1321"/>
      <c r="S192" s="1321"/>
      <c r="T192" s="1321"/>
      <c r="U192" s="1321"/>
      <c r="V192" s="1321"/>
      <c r="W192" s="1321"/>
      <c r="X192" s="1321"/>
      <c r="Y192" s="1321"/>
      <c r="Z192" s="1321"/>
      <c r="AA192" s="1321"/>
      <c r="AB192" s="1321"/>
      <c r="AC192" s="1321"/>
      <c r="AD192" s="1321"/>
      <c r="AE192" s="1321"/>
      <c r="AF192" s="1321"/>
      <c r="AG192" s="1321"/>
      <c r="AH192" s="1321"/>
      <c r="AI192" s="1321"/>
      <c r="AJ192" s="1321"/>
      <c r="AK192" s="1321"/>
      <c r="AL192" s="1321"/>
      <c r="AM192" s="1321"/>
      <c r="AN192" s="1321"/>
      <c r="AO192" s="1321"/>
      <c r="AP192" s="1321"/>
      <c r="AQ192" s="1321"/>
      <c r="AR192" s="1321"/>
      <c r="AS192" s="1321"/>
      <c r="AT192" s="1321"/>
      <c r="AU192" s="1321"/>
      <c r="AV192" s="1321"/>
      <c r="AW192" s="1321"/>
      <c r="AX192" s="1321"/>
      <c r="AY192" s="1321"/>
      <c r="AZ192" s="1321"/>
      <c r="BA192" s="1321"/>
      <c r="BB192" s="1336" t="s">
        <v>1709</v>
      </c>
      <c r="BC192" s="1321"/>
      <c r="BD192" s="1321"/>
      <c r="BE192" s="1321"/>
      <c r="BF192" s="1321"/>
      <c r="BG192" s="1321"/>
      <c r="BH192" s="1321"/>
      <c r="BI192" s="1321"/>
      <c r="BJ192" s="1321"/>
      <c r="BK192" s="1321"/>
      <c r="BL192" s="1321"/>
      <c r="BM192" s="1346"/>
      <c r="BN192" s="1321"/>
      <c r="BO192" s="1321"/>
      <c r="BP192" s="1321"/>
      <c r="BQ192" s="1321"/>
      <c r="BR192" s="1321"/>
      <c r="BS192" s="1321"/>
      <c r="BT192" s="1321"/>
      <c r="BU192" s="1321"/>
      <c r="BV192" s="1345"/>
      <c r="BW192" s="1345"/>
      <c r="BX192" s="809" t="s">
        <v>1369</v>
      </c>
      <c r="BY192" s="810">
        <f>IF(ChoixPaillageCaprins=OUI,SUBTOTAL(109,LitièreCaprins[Litière]),0)</f>
        <v>0</v>
      </c>
      <c r="BZ192" s="1321"/>
      <c r="CA192" s="1321"/>
      <c r="CB192" s="1321"/>
      <c r="CC192" s="1321"/>
      <c r="CD192" s="1345"/>
      <c r="CE192" s="1345"/>
      <c r="CF192" s="1345"/>
      <c r="CG192" s="1345"/>
      <c r="CH192" s="1345"/>
      <c r="CI192" s="1321"/>
      <c r="CJ192" s="1321"/>
      <c r="CK192" s="1321"/>
      <c r="CL192" s="1321"/>
      <c r="CM192" s="1318"/>
      <c r="CN192" s="1318"/>
      <c r="CO192" s="1318"/>
      <c r="CP192" s="1318"/>
      <c r="CQ192" s="1318"/>
      <c r="CR192" s="1318"/>
      <c r="CS192" s="1075">
        <f t="shared" si="66"/>
        <v>0</v>
      </c>
      <c r="CT192" s="1269"/>
      <c r="CU192" s="1269"/>
      <c r="CV192" s="1269"/>
      <c r="CW192" s="1321"/>
      <c r="CX192" s="1321"/>
      <c r="CY192" s="1321"/>
      <c r="CZ192" s="1076">
        <f t="shared" si="65"/>
        <v>0</v>
      </c>
      <c r="DA192" s="1267"/>
      <c r="DB192" s="1267"/>
      <c r="DC192" s="1267"/>
      <c r="DD192" s="1321"/>
      <c r="DE192" s="1321"/>
      <c r="DF192" s="1321"/>
      <c r="DG192" s="1321"/>
      <c r="DH192" s="1321"/>
      <c r="DI192" s="1321"/>
      <c r="DJ192" s="1321"/>
      <c r="DK192" s="1321"/>
      <c r="DL192" s="1321"/>
      <c r="DM192" s="1321"/>
      <c r="DN192" s="1076" t="str">
        <f>DN150</f>
        <v>Avoine</v>
      </c>
      <c r="DO192" s="1267">
        <f t="array" ref="DO192">IF(ChoixRationComplèteOvins=OUI,0,IFERROR(IF(OR(AND(INDEX(Règles_ovins[Specificite],MATCH(ChoixRationOvins&amp;$DN192,Règles_ovins[Ration]&amp;Règles_ovins[Aliment],0))="s1",IF($DN192=Spécificité1Ovins,1)),
AND(INDEX(Règles_ovins[Specificite],MATCH(ChoixRationOvins&amp;$DN192,Règles_ovins[Ration]&amp;Règles_ovins[Aliment],0))="s2",IF($DN192=Spécificité2Ovins,1)),
INDEX(Règles_ovins[Specificite],MATCH(ChoixRationOvins&amp;$DN192,Règles_ovins[Ration]&amp;Règles_ovins[Aliment],0))="c"),
INDEX(Règles_ovins[Valeur 12 et plus],MATCH(ChoixRationOvins&amp;$DN192,Règles_ovins[Ration]&amp;Règles_ovins[Aliment],0)),0),0)*IF(ChoixOvinsPréHiver=OUI,SUM(TotalOvinsAdultesRacesLaitières)*NbreJoursNourrirOvins,TotalBrebis*SUM(NbreJoursNourrirOvins)))</f>
        <v>0</v>
      </c>
      <c r="DP192" s="1267">
        <f t="array" ref="DP192">IF(ChoixRationComplèteOvins=OUI,0,IFERROR(IF(OR(AND(INDEX(Règles_ovins[Specificite],MATCH(ChoixRationOvins&amp;$DN192,Règles_ovins[Ration]&amp;Règles_ovins[Aliment],0))="s1",IF($DN192=Spécificité1Ovins,1)),
AND(INDEX(Règles_ovins[Specificite],MATCH(ChoixRationOvins&amp;$DN192,Règles_ovins[Ration]&amp;Règles_ovins[Aliment],0))="s2",IF($DN192=Spécificité2Ovins,1)),
INDEX(Règles_ovins[Specificite],MATCH(ChoixRationOvins&amp;$DN192,Règles_ovins[Ration]&amp;Règles_ovins[Aliment],0))="c"),
INDEX(Règles_ovins[Valeur 6-12],MATCH(ChoixRationOvins&amp;$DN192,Règles_ovins[Ration]&amp;Règles_ovins[Aliment],0)),0),0)*IF(ChoixOvinsPréHiver=OUI,SUM(TotalJeunesOvinsRacesLaitières)*NbreJoursNourrirOvins,TotalJeune_brebis_6_12_mois*SUM(NbreJoursNourrirOvins)))</f>
        <v>0</v>
      </c>
      <c r="DQ192" s="1267">
        <f t="array" ref="DQ192">IF(ChoixRationComplèteOvins=OUI,0,IFERROR(IF(OR(AND(INDEX(Règles_ovins[Specificite],MATCH(ChoixRationOvins&amp;$DN192,Règles_ovins[Ration]&amp;Règles_ovins[Aliment],0))="s1",IF($DN192=Spécificité1Ovins,1)),
AND(INDEX(Règles_ovins[Specificite],MATCH(ChoixRationOvins&amp;$DN192,Règles_ovins[Ration]&amp;Règles_ovins[Aliment],0))="s2",IF($DN192=Spécificité2Ovins,1)),
INDEX(Règles_ovins[Specificite],MATCH(ChoixRationOvins&amp;$DN192,Règles_ovins[Ration]&amp;Règles_ovins[Aliment],0))="c"),
INDEX(Règles_ovins[Valeur 3-6],MATCH(ChoixRationOvins&amp;$DN192,Règles_ovins[Ration]&amp;Règles_ovins[Aliment],0)),0),0)*IF(ChoixOvinsPréHiver=OUI,SUM(TotalOvins_3_6moisRacesLaitières)*NbreJoursNourrirOvins,TotalAgnelle_3_6_mois*SUM(NbreJoursNourrirOvins)))</f>
        <v>0</v>
      </c>
      <c r="DR192" s="1267">
        <f t="array" ref="DR192">IF(ChoixRationComplèteOvins=OUI,0,IFERROR(IF(OR(AND(INDEX(Règles_ovins[Specificite],MATCH(ChoixRationOvins&amp;$DN192,Règles_ovins[Ration]&amp;Règles_ovins[Aliment],0))="s1",IF($DN192=Spécificité1Ovins,1)),
AND(INDEX(Règles_ovins[Specificite],MATCH(ChoixRationOvins&amp;$DN192,Règles_ovins[Ration]&amp;Règles_ovins[Aliment],0))="s2",IF($DN192=Spécificité2Ovins,1)),
INDEX(Règles_ovins[Specificite],MATCH(ChoixRationOvins&amp;$DN192,Règles_ovins[Ration]&amp;Règles_ovins[Aliment],0))="c"),
INDEX(Règles_ovins[Valeur 0-3],MATCH(ChoixRationOvins&amp;$DN192,Règles_ovins[Ration]&amp;Règles_ovins[Aliment],0)),0),0)*IF(ChoixOvinsPréHiver=OUI,SUM(TotalOvins_3_6moisRacesLaitières)*NbreJoursNourrirOvins,TotalAgnelle_0_3_mois*SUM(NbreJoursNourrirOvins)))</f>
        <v>0</v>
      </c>
      <c r="DS192" s="1279">
        <f t="shared" ref="DS192:DS230" si="67">SUM($DO192:$DR192)</f>
        <v>0</v>
      </c>
      <c r="DT192" s="1346"/>
      <c r="DU192" s="1346"/>
      <c r="DV192" s="1321"/>
      <c r="DW192" s="1321"/>
      <c r="DX192" s="1321"/>
      <c r="DY192" s="1321"/>
      <c r="DZ192" s="1321"/>
      <c r="EA192" s="1321"/>
      <c r="EB192" s="1321"/>
      <c r="EC192" s="1321"/>
      <c r="ED192" s="1345"/>
      <c r="EE192" s="1345"/>
      <c r="EF192" s="1321"/>
      <c r="EG192" s="1321"/>
      <c r="EH192" s="1321"/>
      <c r="EI192" s="1321"/>
      <c r="EJ192" s="1321"/>
      <c r="EK192" s="1345"/>
      <c r="EL192" s="1345"/>
      <c r="EM192" s="1321"/>
      <c r="EN192" s="1321"/>
      <c r="EO192" s="1321"/>
      <c r="EP192" s="1321"/>
      <c r="EQ192" s="1321"/>
      <c r="ER192" s="1345"/>
      <c r="ES192" s="1345"/>
      <c r="ET192" s="1321"/>
      <c r="EU192" s="1336" t="s">
        <v>1478</v>
      </c>
      <c r="EV192" s="1336"/>
      <c r="EW192" s="1336"/>
      <c r="EX192" s="1321"/>
      <c r="EY192" s="1321"/>
      <c r="EZ192" s="1345"/>
      <c r="FA192" s="1345"/>
      <c r="FB192" s="1345"/>
      <c r="FC192" s="1321"/>
      <c r="FD192" s="823" t="s">
        <v>1029</v>
      </c>
      <c r="FE192" s="824"/>
      <c r="FF192" s="825"/>
      <c r="FG192" s="1321"/>
      <c r="FH192" s="1321"/>
      <c r="FI192" s="1321"/>
      <c r="FJ192" s="1345"/>
      <c r="FK192" s="1345"/>
      <c r="FL192" s="1345"/>
      <c r="FM192" s="1321"/>
      <c r="FN192" s="823" t="s">
        <v>1030</v>
      </c>
      <c r="FO192" s="824">
        <f>FR27*SUM(TotalPoneysAdultes)*SUM(NbreJoursNourrirPoneys)</f>
        <v>0</v>
      </c>
      <c r="FP192" s="825">
        <v>0</v>
      </c>
      <c r="FQ192" s="1345"/>
      <c r="FR192" s="1345"/>
      <c r="FS192" s="1345"/>
      <c r="FT192" s="1345"/>
      <c r="FU192" s="1345"/>
      <c r="FV192" s="1345"/>
      <c r="FW192" s="1345"/>
      <c r="FX192" s="1345"/>
      <c r="FY192" s="1345"/>
      <c r="FZ192" s="1345"/>
      <c r="GA192" s="1345"/>
      <c r="GB192" s="1345"/>
      <c r="GC192" s="1321"/>
      <c r="GD192" s="1321"/>
      <c r="GE192" s="1321"/>
      <c r="GF192" s="1321"/>
      <c r="GG192" s="1321" t="s">
        <v>1349</v>
      </c>
      <c r="GH192" s="1321" t="s">
        <v>1349</v>
      </c>
      <c r="GI192" s="1321" t="s">
        <v>1349</v>
      </c>
      <c r="GJ192" s="1321" t="s">
        <v>1349</v>
      </c>
      <c r="GK192" s="1321" t="s">
        <v>1349</v>
      </c>
      <c r="GL192" s="1321" t="s">
        <v>1349</v>
      </c>
      <c r="GM192" s="1321" t="s">
        <v>1349</v>
      </c>
      <c r="GN192" s="1321" t="s">
        <v>1349</v>
      </c>
      <c r="GO192" s="1321" t="s">
        <v>1349</v>
      </c>
      <c r="GP192" s="1321" t="s">
        <v>1349</v>
      </c>
      <c r="GQ192" s="1321" t="s">
        <v>1349</v>
      </c>
      <c r="GR192" s="1321" t="s">
        <v>1349</v>
      </c>
      <c r="GS192" s="1321" t="s">
        <v>1349</v>
      </c>
      <c r="GT192" s="1321" t="s">
        <v>1349</v>
      </c>
      <c r="GU192" s="1321" t="s">
        <v>1349</v>
      </c>
      <c r="GV192" s="1321" t="s">
        <v>1349</v>
      </c>
      <c r="GW192" s="1321"/>
      <c r="GX192" s="1321"/>
      <c r="GY192" s="1321"/>
      <c r="GZ192" s="1321"/>
      <c r="HA192" s="1321"/>
      <c r="HB192" s="1321"/>
      <c r="HC192" s="1321"/>
      <c r="HD192" s="1321"/>
      <c r="HE192" s="1321"/>
      <c r="HF192" s="1321"/>
      <c r="HG192" s="1321"/>
      <c r="HH192" s="1321"/>
      <c r="HI192" s="1321"/>
      <c r="HJ192" s="1321"/>
      <c r="HK192" s="1321"/>
      <c r="HL192" s="1321"/>
      <c r="HM192" s="1321"/>
      <c r="HN192" s="1321"/>
      <c r="HO192" s="1321"/>
      <c r="HP192" s="1321"/>
      <c r="HQ192" s="1321"/>
      <c r="HR192" s="1321"/>
      <c r="HS192" s="1321"/>
      <c r="HT192" s="1321"/>
      <c r="HU192" s="1321"/>
      <c r="HV192" s="1321"/>
      <c r="HW192" s="1321"/>
      <c r="HX192" s="1321"/>
      <c r="HY192" s="1321"/>
      <c r="HZ192" s="1321"/>
      <c r="IA192" s="1321"/>
      <c r="IB192" s="1321"/>
      <c r="IC192" s="1321"/>
      <c r="ID192" s="1321"/>
      <c r="IE192" s="1321"/>
      <c r="IF192" s="1321"/>
      <c r="IG192" s="1321"/>
      <c r="IH192" s="1321"/>
      <c r="II192" s="1321"/>
      <c r="IJ192" s="1321"/>
      <c r="IK192" s="1321"/>
      <c r="IL192" s="1321"/>
      <c r="IM192" s="1321"/>
      <c r="IN192" s="1368"/>
    </row>
    <row r="193" spans="1:248" ht="12.75" customHeight="1" x14ac:dyDescent="0.2">
      <c r="A193" s="1319"/>
      <c r="B193" s="1320"/>
      <c r="C193" s="1321"/>
      <c r="D193" s="1253" t="s">
        <v>1981</v>
      </c>
      <c r="E193" s="1254">
        <v>3.9</v>
      </c>
      <c r="F193" s="1321"/>
      <c r="G193" s="1321"/>
      <c r="H193" s="1321"/>
      <c r="I193" s="1321"/>
      <c r="J193" s="1321"/>
      <c r="K193" s="1321"/>
      <c r="L193" s="1321"/>
      <c r="M193" s="1321"/>
      <c r="N193" s="1321"/>
      <c r="O193" s="1321"/>
      <c r="P193" s="1321"/>
      <c r="Q193" s="1321"/>
      <c r="R193" s="1321"/>
      <c r="S193" s="1321"/>
      <c r="T193" s="1321"/>
      <c r="U193" s="1321"/>
      <c r="V193" s="1321"/>
      <c r="W193" s="1321"/>
      <c r="X193" s="1321"/>
      <c r="Y193" s="1321"/>
      <c r="Z193" s="1321"/>
      <c r="AA193" s="1321"/>
      <c r="AB193" s="1321"/>
      <c r="AC193" s="1321"/>
      <c r="AD193" s="1321"/>
      <c r="AE193" s="1321"/>
      <c r="AF193" s="1321"/>
      <c r="AG193" s="1321"/>
      <c r="AH193" s="1321"/>
      <c r="AI193" s="1321"/>
      <c r="AJ193" s="1321"/>
      <c r="AK193" s="1321"/>
      <c r="AL193" s="1321"/>
      <c r="AM193" s="1321"/>
      <c r="AN193" s="1321"/>
      <c r="AO193" s="1321"/>
      <c r="AP193" s="1321"/>
      <c r="AQ193" s="1321"/>
      <c r="AR193" s="1321"/>
      <c r="AS193" s="1321"/>
      <c r="AT193" s="1321"/>
      <c r="AU193" s="1321"/>
      <c r="AV193" s="1321"/>
      <c r="AW193" s="1321"/>
      <c r="AX193" s="1321"/>
      <c r="AY193" s="1321"/>
      <c r="AZ193" s="1321"/>
      <c r="BA193" s="1321"/>
      <c r="BB193" s="1079" t="s">
        <v>1276</v>
      </c>
      <c r="BC193" s="1079" t="s">
        <v>1268</v>
      </c>
      <c r="BD193" s="1079" t="s">
        <v>1267</v>
      </c>
      <c r="BE193" s="1079" t="s">
        <v>1266</v>
      </c>
      <c r="BF193" s="1079" t="s">
        <v>1265</v>
      </c>
      <c r="BG193" s="1079" t="s">
        <v>1264</v>
      </c>
      <c r="BH193" s="1079" t="s">
        <v>1263</v>
      </c>
      <c r="BI193" s="1079" t="s">
        <v>1262</v>
      </c>
      <c r="BJ193" s="1079" t="s">
        <v>1269</v>
      </c>
      <c r="BK193" s="1321"/>
      <c r="BL193" s="1321"/>
      <c r="BM193" s="1346"/>
      <c r="BN193" s="1321"/>
      <c r="BO193" s="1321"/>
      <c r="BP193" s="1321"/>
      <c r="BQ193" s="1321"/>
      <c r="BR193" s="1321"/>
      <c r="BS193" s="1321"/>
      <c r="BT193" s="1321"/>
      <c r="BU193" s="1321"/>
      <c r="BV193" s="1345"/>
      <c r="BW193" s="1345"/>
      <c r="BX193" s="1321"/>
      <c r="BY193" s="1321"/>
      <c r="BZ193" s="1321"/>
      <c r="CA193" s="1321"/>
      <c r="CB193" s="1321"/>
      <c r="CC193" s="1321"/>
      <c r="CD193" s="1345"/>
      <c r="CE193" s="1345"/>
      <c r="CF193" s="1345"/>
      <c r="CG193" s="1345"/>
      <c r="CH193" s="1345"/>
      <c r="CI193" s="1321"/>
      <c r="CJ193" s="1321"/>
      <c r="CK193" s="1321"/>
      <c r="CL193" s="1321"/>
      <c r="CM193" s="1318"/>
      <c r="CN193" s="1318"/>
      <c r="CO193" s="1318"/>
      <c r="CP193" s="1318"/>
      <c r="CQ193" s="1318"/>
      <c r="CR193" s="1318"/>
      <c r="CS193" s="1076">
        <f t="shared" si="66"/>
        <v>0</v>
      </c>
      <c r="CT193" s="1267"/>
      <c r="CU193" s="1267"/>
      <c r="CV193" s="1267"/>
      <c r="CW193" s="1321"/>
      <c r="CX193" s="1321"/>
      <c r="CY193" s="1321"/>
      <c r="CZ193" s="1321"/>
      <c r="DA193" s="1321"/>
      <c r="DB193" s="1321"/>
      <c r="DC193" s="1321"/>
      <c r="DD193" s="1321"/>
      <c r="DE193" s="1321"/>
      <c r="DF193" s="1321"/>
      <c r="DG193" s="1321"/>
      <c r="DH193" s="1321"/>
      <c r="DI193" s="1321"/>
      <c r="DJ193" s="1321"/>
      <c r="DK193" s="1321"/>
      <c r="DL193" s="1321"/>
      <c r="DM193" s="1321"/>
      <c r="DN193" s="1075" t="str">
        <f t="shared" ref="DN193:DN230" si="68">DN151</f>
        <v>Betterave</v>
      </c>
      <c r="DO193" s="1269">
        <f t="array" ref="DO193">IF(ChoixRationComplèteOvins=OUI,0,IFERROR(IF(OR(AND(INDEX(Règles_ovins[Specificite],MATCH(ChoixRationOvins&amp;$DN193,Règles_ovins[Ration]&amp;Règles_ovins[Aliment],0))="s1",IF($DN193=Spécificité1Ovins,1)),
AND(INDEX(Règles_ovins[Specificite],MATCH(ChoixRationOvins&amp;$DN193,Règles_ovins[Ration]&amp;Règles_ovins[Aliment],0))="s2",IF($DN193=Spécificité2Ovins,1)),
INDEX(Règles_ovins[Specificite],MATCH(ChoixRationOvins&amp;$DN193,Règles_ovins[Ration]&amp;Règles_ovins[Aliment],0))="c"),
INDEX(Règles_ovins[Valeur 12 et plus],MATCH(ChoixRationOvins&amp;$DN193,Règles_ovins[Ration]&amp;Règles_ovins[Aliment],0)),0),0)*IF(ChoixOvinsPréHiver=OUI,SUM(TotalOvinsAdultesRacesLaitières)*NbreJoursNourrirOvins,TotalBrebis*SUM(NbreJoursNourrirOvins)))</f>
        <v>0</v>
      </c>
      <c r="DP193" s="1269">
        <f t="array" ref="DP193">IF(ChoixRationComplèteOvins=OUI,0,IFERROR(IF(OR(AND(INDEX(Règles_ovins[Specificite],MATCH(ChoixRationOvins&amp;$DN193,Règles_ovins[Ration]&amp;Règles_ovins[Aliment],0))="s1",IF($DN193=Spécificité1Ovins,1)),
AND(INDEX(Règles_ovins[Specificite],MATCH(ChoixRationOvins&amp;$DN193,Règles_ovins[Ration]&amp;Règles_ovins[Aliment],0))="s2",IF($DN193=Spécificité2Ovins,1)),
INDEX(Règles_ovins[Specificite],MATCH(ChoixRationOvins&amp;$DN193,Règles_ovins[Ration]&amp;Règles_ovins[Aliment],0))="c"),
INDEX(Règles_ovins[Valeur 6-12],MATCH(ChoixRationOvins&amp;$DN193,Règles_ovins[Ration]&amp;Règles_ovins[Aliment],0)),0),0)*IF(ChoixOvinsPréHiver=OUI,SUM(TotalJeunesOvinsRacesLaitières)*NbreJoursNourrirOvins,TotalJeune_brebis_6_12_mois*SUM(NbreJoursNourrirOvins)))</f>
        <v>0</v>
      </c>
      <c r="DQ193" s="1269">
        <f t="array" ref="DQ193">IF(ChoixRationComplèteOvins=OUI,0,IFERROR(IF(OR(AND(INDEX(Règles_ovins[Specificite],MATCH(ChoixRationOvins&amp;$DN193,Règles_ovins[Ration]&amp;Règles_ovins[Aliment],0))="s1",IF($DN193=Spécificité1Ovins,1)),
AND(INDEX(Règles_ovins[Specificite],MATCH(ChoixRationOvins&amp;$DN193,Règles_ovins[Ration]&amp;Règles_ovins[Aliment],0))="s2",IF($DN193=Spécificité2Ovins,1)),
INDEX(Règles_ovins[Specificite],MATCH(ChoixRationOvins&amp;$DN193,Règles_ovins[Ration]&amp;Règles_ovins[Aliment],0))="c"),
INDEX(Règles_ovins[Valeur 3-6],MATCH(ChoixRationOvins&amp;$DN193,Règles_ovins[Ration]&amp;Règles_ovins[Aliment],0)),0),0)*IF(ChoixOvinsPréHiver=OUI,SUM(TotalOvins_3_6moisRacesLaitières)*NbreJoursNourrirOvins,TotalAgnelle_3_6_mois*SUM(NbreJoursNourrirOvins)))</f>
        <v>0</v>
      </c>
      <c r="DR193" s="1269">
        <f t="array" ref="DR193">IF(ChoixRationComplèteOvins=OUI,0,IFERROR(IF(OR(AND(INDEX(Règles_ovins[Specificite],MATCH(ChoixRationOvins&amp;$DN193,Règles_ovins[Ration]&amp;Règles_ovins[Aliment],0))="s1",IF($DN193=Spécificité1Ovins,1)),
AND(INDEX(Règles_ovins[Specificite],MATCH(ChoixRationOvins&amp;$DN193,Règles_ovins[Ration]&amp;Règles_ovins[Aliment],0))="s2",IF($DN193=Spécificité2Ovins,1)),
INDEX(Règles_ovins[Specificite],MATCH(ChoixRationOvins&amp;$DN193,Règles_ovins[Ration]&amp;Règles_ovins[Aliment],0))="c"),
INDEX(Règles_ovins[Valeur 0-3],MATCH(ChoixRationOvins&amp;$DN193,Règles_ovins[Ration]&amp;Règles_ovins[Aliment],0)),0),0)*IF(ChoixOvinsPréHiver=OUI,SUM(TotalOvins_3_6moisRacesLaitières)*NbreJoursNourrirOvins,TotalAgnelle_0_3_mois*SUM(NbreJoursNourrirOvins)))</f>
        <v>0</v>
      </c>
      <c r="DS193" s="1280">
        <f t="shared" si="67"/>
        <v>0</v>
      </c>
      <c r="DT193" s="1346"/>
      <c r="DU193" s="1346"/>
      <c r="DV193" s="1321"/>
      <c r="DW193" s="1321"/>
      <c r="DX193" s="1321"/>
      <c r="DY193" s="1321"/>
      <c r="DZ193" s="1321"/>
      <c r="EA193" s="1321"/>
      <c r="EB193" s="1321"/>
      <c r="EC193" s="1321"/>
      <c r="ED193" s="1345"/>
      <c r="EE193" s="1345"/>
      <c r="EF193" s="1321"/>
      <c r="EG193" s="1321"/>
      <c r="EH193" s="1321"/>
      <c r="EI193" s="1321"/>
      <c r="EJ193" s="1321"/>
      <c r="EK193" s="1345"/>
      <c r="EL193" s="1345"/>
      <c r="EM193" s="1321"/>
      <c r="EN193" s="1321"/>
      <c r="EO193" s="1321"/>
      <c r="EP193" s="1321"/>
      <c r="EQ193" s="1321"/>
      <c r="ER193" s="1345"/>
      <c r="ES193" s="1345"/>
      <c r="ET193" s="1321"/>
      <c r="EU193" s="789" t="s">
        <v>1372</v>
      </c>
      <c r="EV193" s="790" t="s">
        <v>1374</v>
      </c>
      <c r="EW193" s="791" t="s">
        <v>1375</v>
      </c>
      <c r="EX193" s="1321"/>
      <c r="EY193" s="1321"/>
      <c r="EZ193" s="1345"/>
      <c r="FA193" s="1345"/>
      <c r="FB193" s="1345"/>
      <c r="FC193" s="1321"/>
      <c r="FD193" s="823" t="s">
        <v>1030</v>
      </c>
      <c r="FE193" s="824">
        <f>FH29*SUM(TotalChevauxTraitAdultes)*SUM(NbreJoursNourrirChevauxTrait)</f>
        <v>0</v>
      </c>
      <c r="FF193" s="825">
        <v>0</v>
      </c>
      <c r="FG193" s="1321"/>
      <c r="FH193" s="1321"/>
      <c r="FI193" s="1321"/>
      <c r="FJ193" s="1345"/>
      <c r="FK193" s="1345"/>
      <c r="FL193" s="1345"/>
      <c r="FM193" s="1321"/>
      <c r="FN193" s="809" t="s">
        <v>1369</v>
      </c>
      <c r="FO193" s="826">
        <f>IF(AND(ChoixPoneysPréHiver=NON,ChoixPaillagePoneys=OUI),SUBTOTAL(109,LitièrePoneys[hiver dedans]),0)</f>
        <v>0</v>
      </c>
      <c r="FP193" s="810">
        <f>IF(AND(ChoixPoneysPréHiver=OUI,ChoixPaillagePoneys=OUI),SUBTOTAL(109,LitièrePoneys[hiver dehors]),0)</f>
        <v>0</v>
      </c>
      <c r="FQ193" s="1345"/>
      <c r="FR193" s="1345"/>
      <c r="FS193" s="1345"/>
      <c r="FT193" s="1345"/>
      <c r="FU193" s="1345"/>
      <c r="FV193" s="1345"/>
      <c r="FW193" s="1345"/>
      <c r="FX193" s="1345"/>
      <c r="FY193" s="1345"/>
      <c r="FZ193" s="1345"/>
      <c r="GA193" s="1345"/>
      <c r="GB193" s="1345"/>
      <c r="GC193" s="1321"/>
      <c r="GD193" s="1321"/>
      <c r="GE193" s="1321"/>
      <c r="GF193" s="1321"/>
      <c r="GG193" s="1321" t="s">
        <v>1349</v>
      </c>
      <c r="GH193" s="1321" t="s">
        <v>1349</v>
      </c>
      <c r="GI193" s="1321" t="s">
        <v>1349</v>
      </c>
      <c r="GJ193" s="1321" t="s">
        <v>1349</v>
      </c>
      <c r="GK193" s="1321" t="s">
        <v>1349</v>
      </c>
      <c r="GL193" s="1321" t="s">
        <v>1349</v>
      </c>
      <c r="GM193" s="1321" t="s">
        <v>1349</v>
      </c>
      <c r="GN193" s="1321" t="s">
        <v>1349</v>
      </c>
      <c r="GO193" s="1321" t="s">
        <v>1349</v>
      </c>
      <c r="GP193" s="1321" t="s">
        <v>1349</v>
      </c>
      <c r="GQ193" s="1321" t="s">
        <v>1349</v>
      </c>
      <c r="GR193" s="1321" t="s">
        <v>1349</v>
      </c>
      <c r="GS193" s="1321" t="s">
        <v>1349</v>
      </c>
      <c r="GT193" s="1321" t="s">
        <v>1349</v>
      </c>
      <c r="GU193" s="1321" t="s">
        <v>1349</v>
      </c>
      <c r="GV193" s="1321" t="s">
        <v>1349</v>
      </c>
      <c r="GW193" s="1321"/>
      <c r="GX193" s="1321"/>
      <c r="GY193" s="1321"/>
      <c r="GZ193" s="1321"/>
      <c r="HA193" s="1321"/>
      <c r="HB193" s="1321"/>
      <c r="HC193" s="1321"/>
      <c r="HD193" s="1321"/>
      <c r="HE193" s="1321"/>
      <c r="HF193" s="1321"/>
      <c r="HG193" s="1321"/>
      <c r="HH193" s="1321"/>
      <c r="HI193" s="1321"/>
      <c r="HJ193" s="1321"/>
      <c r="HK193" s="1321"/>
      <c r="HL193" s="1321"/>
      <c r="HM193" s="1321"/>
      <c r="HN193" s="1321"/>
      <c r="HO193" s="1321"/>
      <c r="HP193" s="1321"/>
      <c r="HQ193" s="1321"/>
      <c r="HR193" s="1321"/>
      <c r="HS193" s="1321"/>
      <c r="HT193" s="1321"/>
      <c r="HU193" s="1321"/>
      <c r="HV193" s="1321"/>
      <c r="HW193" s="1321"/>
      <c r="HX193" s="1321"/>
      <c r="HY193" s="1321"/>
      <c r="HZ193" s="1321"/>
      <c r="IA193" s="1321"/>
      <c r="IB193" s="1321"/>
      <c r="IC193" s="1321"/>
      <c r="ID193" s="1321"/>
      <c r="IE193" s="1321"/>
      <c r="IF193" s="1321"/>
      <c r="IG193" s="1321"/>
      <c r="IH193" s="1321"/>
      <c r="II193" s="1321"/>
      <c r="IJ193" s="1321"/>
      <c r="IK193" s="1321"/>
      <c r="IL193" s="1321"/>
      <c r="IM193" s="1321"/>
      <c r="IN193" s="1368"/>
    </row>
    <row r="194" spans="1:248" ht="12.75" customHeight="1" x14ac:dyDescent="0.2">
      <c r="A194" s="1319"/>
      <c r="B194" s="1320"/>
      <c r="C194" s="1321"/>
      <c r="D194" s="1251" t="s">
        <v>1982</v>
      </c>
      <c r="E194" s="1252">
        <v>4.0999999999999996</v>
      </c>
      <c r="F194" s="1321"/>
      <c r="G194" s="1321"/>
      <c r="H194" s="1321"/>
      <c r="I194" s="1321"/>
      <c r="J194" s="1321"/>
      <c r="K194" s="1321"/>
      <c r="L194" s="1321"/>
      <c r="M194" s="1321"/>
      <c r="N194" s="1321"/>
      <c r="O194" s="1321"/>
      <c r="P194" s="1321"/>
      <c r="Q194" s="1321"/>
      <c r="R194" s="1321"/>
      <c r="S194" s="1321"/>
      <c r="T194" s="1321"/>
      <c r="U194" s="1321"/>
      <c r="V194" s="1321"/>
      <c r="W194" s="1321"/>
      <c r="X194" s="1321"/>
      <c r="Y194" s="1321"/>
      <c r="Z194" s="1321"/>
      <c r="AA194" s="1321"/>
      <c r="AB194" s="1321"/>
      <c r="AC194" s="1321"/>
      <c r="AD194" s="1321"/>
      <c r="AE194" s="1321"/>
      <c r="AF194" s="1321"/>
      <c r="AG194" s="1321"/>
      <c r="AH194" s="1321"/>
      <c r="AI194" s="1321"/>
      <c r="AJ194" s="1321"/>
      <c r="AK194" s="1321"/>
      <c r="AL194" s="1321"/>
      <c r="AM194" s="1321"/>
      <c r="AN194" s="1321"/>
      <c r="AO194" s="1321"/>
      <c r="AP194" s="1321"/>
      <c r="AQ194" s="1321"/>
      <c r="AR194" s="1321"/>
      <c r="AS194" s="1321"/>
      <c r="AT194" s="1321"/>
      <c r="AU194" s="1321"/>
      <c r="AV194" s="1321"/>
      <c r="AW194" s="1321"/>
      <c r="AX194" s="1321"/>
      <c r="AY194" s="1321"/>
      <c r="AZ194" s="1321"/>
      <c r="BA194" s="1321"/>
      <c r="BB194" s="1076" t="s">
        <v>673</v>
      </c>
      <c r="BC194" s="1267">
        <f t="array" ref="BC194">IF(Ration_complète_bovins[somme]&gt;0,0,IFERROR(IF(OR(AND(INDEX(Règles_bovins[Specificite],MATCH(ChoixRationBovins&amp;$BB194,Règles_bovins[Ration]&amp;Règles_bovins[Aliment],0))="s1",IF($BB194=Spécificité1Bovins,1)),
AND(INDEX(Règles_bovins[Specificite],MATCH(ChoixRationBovins&amp;$BB194,Règles_bovins[Ration]&amp;Règles_bovins[Aliment],0))="s2",IF($BB194=Spécificité2Bovins,1)),
INDEX(Règles_bovins[Specificite],MATCH(ChoixRationBovins&amp;$BB194,Règles_bovins[Ration]&amp;Règles_bovins[Aliment],0))="c"),
INDEX(Règles_bovins[Valeur 36 et plus],MATCH(ChoixRationBovins&amp;$BB194,Règles_bovins[Ration]&amp;Règles_bovins[Aliment],0)),0),0)*IF(ChoixBovinsPréHiver=OUI,TotalTaureauxRacesLaitières,TotalTaureaux*SUM(NbreJoursNourrirBovins)))</f>
        <v>0</v>
      </c>
      <c r="BD194" s="1267">
        <f t="array" ref="BD194">IF(Ration_complète_bovins[somme]&gt;0,0,IFERROR(IF(OR(AND(INDEX(Règles_bovins[Specificite],MATCH(ChoixRationBovins&amp;$BB194,Règles_bovins[Ration]&amp;Règles_bovins[Aliment],0))="s1",IF($BB194=Spécificité1Bovins,1)),
AND(INDEX(Règles_bovins[Specificite],MATCH(ChoixRationBovins&amp;$BB194,Règles_bovins[Ration]&amp;Règles_bovins[Aliment],0))="s2",IF($BB194=Spécificité2Bovins,1)),
INDEX(Règles_bovins[Specificite],MATCH(ChoixRationBovins&amp;$BB194,Règles_bovins[Ration]&amp;Règles_bovins[Aliment],0))="c"),
INDEX(Règles_bovins[Valeur 24-36],MATCH(ChoixRationBovins&amp;$BB194,Règles_bovins[Ration]&amp;Règles_bovins[Aliment],0)),0),0)*IF(ChoixBovinsPréHiver=OUI,TotalTaurillon_24_36_RacesLaitières,TotalBovinsMâles_24_36mois*SUM(NbreJoursNourrirBovins)))</f>
        <v>0</v>
      </c>
      <c r="BE194" s="1267">
        <f t="array" ref="BE194">IF(Ration_complète_bovins[somme]&gt;0,0,IFERROR(IF(OR(AND(INDEX(Règles_bovins[Specificite],MATCH(ChoixRationBovins&amp;$BB194,Règles_bovins[Ration]&amp;Règles_bovins[Aliment],0))="s1",IF($BB194=Spécificité1Bovins,1)),
AND(INDEX(Règles_bovins[Specificite],MATCH(ChoixRationBovins&amp;$BB194,Règles_bovins[Ration]&amp;Règles_bovins[Aliment],0))="s2",IF($BB194=Spécificité2Bovins,1)),
INDEX(Règles_bovins[Specificite],MATCH(ChoixRationBovins&amp;$BB194,Règles_bovins[Ration]&amp;Règles_bovins[Aliment],0))="c"),
INDEX(Règles_bovins[Valeur 18-24],MATCH(ChoixRationBovins&amp;$BB194,Règles_bovins[Ration]&amp;Règles_bovins[Aliment],0)),0),0)*IF(ChoixBovinsPréHiver=OUI,TotalTaurillon_18_24_RacesLaitières,TotalBovinsMâles_18_24mois*SUM(NbreJoursNourrirBovins)))</f>
        <v>0</v>
      </c>
      <c r="BF194" s="1267">
        <f t="array" ref="BF194">IF(Ration_complète_bovins[somme]&gt;0,0,IFERROR(IF(OR(AND(INDEX(Règles_bovins[Specificite],MATCH(ChoixRationBovins&amp;$BB194,Règles_bovins[Ration]&amp;Règles_bovins[Aliment],0))="s1",IF($BB194=Spécificité1Bovins,1)),
AND(INDEX(Règles_bovins[Specificite],MATCH(ChoixRationBovins&amp;$BB194,Règles_bovins[Ration]&amp;Règles_bovins[Aliment],0))="s2",IF($BB194=Spécificité2Bovins,1)),
INDEX(Règles_bovins[Specificite],MATCH(ChoixRationBovins&amp;$BB194,Règles_bovins[Ration]&amp;Règles_bovins[Aliment],0))="c"),
INDEX(Règles_bovins[Valeur 12-18],MATCH(ChoixRationBovins&amp;$BB194,Règles_bovins[Ration]&amp;Règles_bovins[Aliment],0)),0),0)*IF(ChoixBovinsPréHiver=OUI,animaux!D14,TotalBovinsMâles_12_18mois*SUM(NbreJoursNourrirBovins)))</f>
        <v>0</v>
      </c>
      <c r="BG194" s="1267">
        <f t="array" ref="BG194">IF(Ration_complète_bovins[somme]&gt;0,0,IFERROR(IF(OR(AND(INDEX(Règles_bovins[Specificite],MATCH(ChoixRationBovins&amp;$BB194,Règles_bovins[Ration]&amp;Règles_bovins[Aliment],0))="s1",IF($BB194=Spécificité1Bovins,1)),
AND(INDEX(Règles_bovins[Specificite],MATCH(ChoixRationBovins&amp;$BB194,Règles_bovins[Ration]&amp;Règles_bovins[Aliment],0))="s2",IF($BB194=Spécificité2Bovins,1)),
INDEX(Règles_bovins[Specificite],MATCH(ChoixRationBovins&amp;$BB194,Règles_bovins[Ration]&amp;Règles_bovins[Aliment],0))="c"),
INDEX(Règles_bovins[Valeur 6-12],MATCH(ChoixRationBovins&amp;$BB194,Règles_bovins[Ration]&amp;Règles_bovins[Aliment],0)),0),0)*IF(ChoixBovinsPréHiver=OUI,TotalVeauMâle_6_12_RacesLaitières,TotalBovinsMâles_6_12mois*SUM(NbreJoursNourrirBovins)))</f>
        <v>0</v>
      </c>
      <c r="BH194" s="1267">
        <f t="array" ref="BH194">IF(Ration_complète_bovins[somme]&gt;0,0,IFERROR(IF(OR(AND(INDEX(Règles_bovins[Specificite],MATCH(ChoixRationBovins&amp;$BB194,Règles_bovins[Ration]&amp;Règles_bovins[Aliment],0))="s1",IF($BB194=Spécificité1Bovins,1)),
AND(INDEX(Règles_bovins[Specificite],MATCH(ChoixRationBovins&amp;$BB194,Règles_bovins[Ration]&amp;Règles_bovins[Aliment],0))="s2",IF($BB194=Spécificité2Bovins,1)),
INDEX(Règles_bovins[Specificite],MATCH(ChoixRationBovins&amp;$BB194,Règles_bovins[Ration]&amp;Règles_bovins[Aliment],0))="c"),
INDEX(Règles_bovins[Valeur 3-6],MATCH(ChoixRationBovins&amp;$BB194,Règles_bovins[Ration]&amp;Règles_bovins[Aliment],0)),0),0)*IF(ChoixBovinsPréHiver=OUI,TotalVeauMâle_3_6_RacesLaitières,TotalBovinsMâles_3_6mois*SUM(NbreJoursNourrirBovins)))</f>
        <v>0</v>
      </c>
      <c r="BI194" s="1267">
        <f t="array" ref="BI194">IF(Ration_complète_bovins[somme]&gt;0,0,IFERROR(IF(OR(AND(INDEX(Règles_bovins[Specificite],MATCH(ChoixRationBovins&amp;$BB194,Règles_bovins[Ration]&amp;Règles_bovins[Aliment],0))="s1",IF($BB194=Spécificité1Bovins,1)),
AND(INDEX(Règles_bovins[Specificite],MATCH(ChoixRationBovins&amp;$BB194,Règles_bovins[Ration]&amp;Règles_bovins[Aliment],0))="s2",IF($BB194=Spécificité2Bovins,1)),
INDEX(Règles_bovins[Specificite],MATCH(ChoixRationBovins&amp;$BB194,Règles_bovins[Ration]&amp;Règles_bovins[Aliment],0))="c"),
INDEX(Règles_bovins[Valeur 0-3],MATCH(ChoixRationBovins&amp;$BB194,Règles_bovins[Ration]&amp;Règles_bovins[Aliment],0)),0),0)*IF(ChoixBovinsPréHiver=OUI,TotalVeauMâle_0_3_RacesLaitières,TotalBovinsMâles_0_3mois*SUM(NbreJoursNourrirBovins)))</f>
        <v>0</v>
      </c>
      <c r="BJ194" s="1268">
        <f t="shared" ref="BJ194:BJ232" si="69">SUM($BC194:$BI194)</f>
        <v>0</v>
      </c>
      <c r="BK194" s="1321"/>
      <c r="BL194" s="1321"/>
      <c r="BM194" s="1346"/>
      <c r="BN194" s="1321"/>
      <c r="BO194" s="1321"/>
      <c r="BP194" s="1321"/>
      <c r="BQ194" s="1321"/>
      <c r="BR194" s="1321"/>
      <c r="BS194" s="1321"/>
      <c r="BT194" s="1321"/>
      <c r="BU194" s="1321"/>
      <c r="BV194" s="1345"/>
      <c r="BW194" s="1345"/>
      <c r="BX194" s="1336" t="s">
        <v>1749</v>
      </c>
      <c r="BY194" s="1336"/>
      <c r="BZ194" s="1336"/>
      <c r="CA194" s="1336"/>
      <c r="CB194" s="1321"/>
      <c r="CC194" s="1321"/>
      <c r="CD194" s="1345"/>
      <c r="CE194" s="1345"/>
      <c r="CF194" s="1345"/>
      <c r="CG194" s="1345"/>
      <c r="CH194" s="1345"/>
      <c r="CI194" s="1321"/>
      <c r="CJ194" s="1321"/>
      <c r="CK194" s="1321"/>
      <c r="CL194" s="1321"/>
      <c r="CM194" s="1321"/>
      <c r="CN194" s="1321"/>
      <c r="CO194" s="1321"/>
      <c r="CP194" s="1321"/>
      <c r="CQ194" s="1321"/>
      <c r="CR194" s="1321"/>
      <c r="CS194" s="1321"/>
      <c r="CT194" s="1321"/>
      <c r="CU194" s="1321"/>
      <c r="CV194" s="1321"/>
      <c r="CW194" s="1321"/>
      <c r="CX194" s="1321"/>
      <c r="CY194" s="1321"/>
      <c r="CZ194" s="1321"/>
      <c r="DA194" s="1321"/>
      <c r="DB194" s="1321"/>
      <c r="DC194" s="1321"/>
      <c r="DD194" s="1321"/>
      <c r="DE194" s="1321"/>
      <c r="DF194" s="1321"/>
      <c r="DG194" s="1321"/>
      <c r="DH194" s="1321"/>
      <c r="DI194" s="1321"/>
      <c r="DJ194" s="1321"/>
      <c r="DK194" s="1321"/>
      <c r="DL194" s="1321"/>
      <c r="DM194" s="1321"/>
      <c r="DN194" s="1076" t="str">
        <f t="shared" si="68"/>
        <v>Blé</v>
      </c>
      <c r="DO194" s="1267">
        <f t="array" ref="DO194">IF(ChoixRationComplèteOvins=OUI,0,IFERROR(IF(OR(AND(INDEX(Règles_ovins[Specificite],MATCH(ChoixRationOvins&amp;$DN194,Règles_ovins[Ration]&amp;Règles_ovins[Aliment],0))="s1",IF($DN194=Spécificité1Ovins,1)),
AND(INDEX(Règles_ovins[Specificite],MATCH(ChoixRationOvins&amp;$DN194,Règles_ovins[Ration]&amp;Règles_ovins[Aliment],0))="s2",IF($DN194=Spécificité2Ovins,1)),
INDEX(Règles_ovins[Specificite],MATCH(ChoixRationOvins&amp;$DN194,Règles_ovins[Ration]&amp;Règles_ovins[Aliment],0))="c"),
INDEX(Règles_ovins[Valeur 12 et plus],MATCH(ChoixRationOvins&amp;$DN194,Règles_ovins[Ration]&amp;Règles_ovins[Aliment],0)),0),0)*IF(ChoixOvinsPréHiver=OUI,SUM(TotalOvinsAdultesRacesLaitières)*NbreJoursNourrirOvins,TotalBrebis*SUM(NbreJoursNourrirOvins)))</f>
        <v>0</v>
      </c>
      <c r="DP194" s="1267">
        <f t="array" ref="DP194">IF(ChoixRationComplèteOvins=OUI,0,IFERROR(IF(OR(AND(INDEX(Règles_ovins[Specificite],MATCH(ChoixRationOvins&amp;$DN194,Règles_ovins[Ration]&amp;Règles_ovins[Aliment],0))="s1",IF($DN194=Spécificité1Ovins,1)),
AND(INDEX(Règles_ovins[Specificite],MATCH(ChoixRationOvins&amp;$DN194,Règles_ovins[Ration]&amp;Règles_ovins[Aliment],0))="s2",IF($DN194=Spécificité2Ovins,1)),
INDEX(Règles_ovins[Specificite],MATCH(ChoixRationOvins&amp;$DN194,Règles_ovins[Ration]&amp;Règles_ovins[Aliment],0))="c"),
INDEX(Règles_ovins[Valeur 6-12],MATCH(ChoixRationOvins&amp;$DN194,Règles_ovins[Ration]&amp;Règles_ovins[Aliment],0)),0),0)*IF(ChoixOvinsPréHiver=OUI,SUM(TotalJeunesOvinsRacesLaitières)*NbreJoursNourrirOvins,TotalJeune_brebis_6_12_mois*SUM(NbreJoursNourrirOvins)))</f>
        <v>0</v>
      </c>
      <c r="DQ194" s="1267">
        <f t="array" ref="DQ194">IF(ChoixRationComplèteOvins=OUI,0,IFERROR(IF(OR(AND(INDEX(Règles_ovins[Specificite],MATCH(ChoixRationOvins&amp;$DN194,Règles_ovins[Ration]&amp;Règles_ovins[Aliment],0))="s1",IF($DN194=Spécificité1Ovins,1)),
AND(INDEX(Règles_ovins[Specificite],MATCH(ChoixRationOvins&amp;$DN194,Règles_ovins[Ration]&amp;Règles_ovins[Aliment],0))="s2",IF($DN194=Spécificité2Ovins,1)),
INDEX(Règles_ovins[Specificite],MATCH(ChoixRationOvins&amp;$DN194,Règles_ovins[Ration]&amp;Règles_ovins[Aliment],0))="c"),
INDEX(Règles_ovins[Valeur 3-6],MATCH(ChoixRationOvins&amp;$DN194,Règles_ovins[Ration]&amp;Règles_ovins[Aliment],0)),0),0)*IF(ChoixOvinsPréHiver=OUI,SUM(TotalOvins_3_6moisRacesLaitières)*NbreJoursNourrirOvins,TotalAgnelle_3_6_mois*SUM(NbreJoursNourrirOvins)))</f>
        <v>0</v>
      </c>
      <c r="DR194" s="1267">
        <f t="array" ref="DR194">IF(ChoixRationComplèteOvins=OUI,0,IFERROR(IF(OR(AND(INDEX(Règles_ovins[Specificite],MATCH(ChoixRationOvins&amp;$DN194,Règles_ovins[Ration]&amp;Règles_ovins[Aliment],0))="s1",IF($DN194=Spécificité1Ovins,1)),
AND(INDEX(Règles_ovins[Specificite],MATCH(ChoixRationOvins&amp;$DN194,Règles_ovins[Ration]&amp;Règles_ovins[Aliment],0))="s2",IF($DN194=Spécificité2Ovins,1)),
INDEX(Règles_ovins[Specificite],MATCH(ChoixRationOvins&amp;$DN194,Règles_ovins[Ration]&amp;Règles_ovins[Aliment],0))="c"),
INDEX(Règles_ovins[Valeur 0-3],MATCH(ChoixRationOvins&amp;$DN194,Règles_ovins[Ration]&amp;Règles_ovins[Aliment],0)),0),0)*IF(ChoixOvinsPréHiver=OUI,SUM(TotalOvins_3_6moisRacesLaitières)*NbreJoursNourrirOvins,TotalAgnelle_0_3_mois*SUM(NbreJoursNourrirOvins)))</f>
        <v>0</v>
      </c>
      <c r="DS194" s="1279">
        <f t="shared" si="67"/>
        <v>0</v>
      </c>
      <c r="DT194" s="1346"/>
      <c r="DU194" s="1346"/>
      <c r="DV194" s="1321"/>
      <c r="DW194" s="1321"/>
      <c r="DX194" s="1321"/>
      <c r="DY194" s="1321"/>
      <c r="DZ194" s="1321"/>
      <c r="EA194" s="1321"/>
      <c r="EB194" s="1321"/>
      <c r="EC194" s="1321"/>
      <c r="ED194" s="1345"/>
      <c r="EE194" s="1345"/>
      <c r="EF194" s="1321"/>
      <c r="EG194" s="1321"/>
      <c r="EH194" s="1321"/>
      <c r="EI194" s="1321"/>
      <c r="EJ194" s="1321"/>
      <c r="EK194" s="1345"/>
      <c r="EL194" s="1345"/>
      <c r="EM194" s="1321"/>
      <c r="EN194" s="1321"/>
      <c r="EO194" s="1321"/>
      <c r="EP194" s="1321"/>
      <c r="EQ194" s="1321"/>
      <c r="ER194" s="1345"/>
      <c r="ES194" s="1345"/>
      <c r="ET194" s="1321"/>
      <c r="EU194" s="823" t="s">
        <v>1033</v>
      </c>
      <c r="EV194" s="824">
        <f>EY31*SUM(TotalPoulainsSelle)*SUM(NbreJoursNourrirChevauxSelle)</f>
        <v>0</v>
      </c>
      <c r="EW194" s="825">
        <v>0</v>
      </c>
      <c r="EX194" s="1321"/>
      <c r="EY194" s="1321"/>
      <c r="EZ194" s="1345"/>
      <c r="FA194" s="1345"/>
      <c r="FB194" s="1345"/>
      <c r="FC194" s="1321"/>
      <c r="FD194" s="809" t="s">
        <v>1369</v>
      </c>
      <c r="FE194" s="826">
        <f>IF(AND(OR(ChoixChevauxTraitPréHiver=NON,ChoixChevauxTraitPréHiver=""),ChoixPaillageChevauxTrait=OUI),SUBTOTAL(109,LitièreChevauxTrait[hiver dedans]),0)</f>
        <v>0</v>
      </c>
      <c r="FF194" s="810">
        <f>IF(AND(ChoixChevauxTraitPréHiver=OUI,ChoixPaillageChevauxTrait=OUI),SUBTOTAL(109,LitièreChevauxTrait[hiver dehors]),0)</f>
        <v>0</v>
      </c>
      <c r="FG194" s="1321"/>
      <c r="FH194" s="1321"/>
      <c r="FI194" s="1321"/>
      <c r="FJ194" s="1345"/>
      <c r="FK194" s="1345"/>
      <c r="FL194" s="1345"/>
      <c r="FM194" s="1321"/>
      <c r="FN194" s="1345"/>
      <c r="FO194" s="1345"/>
      <c r="FP194" s="1345"/>
      <c r="FQ194" s="1345"/>
      <c r="FR194" s="1345"/>
      <c r="FS194" s="1345"/>
      <c r="FT194" s="1345"/>
      <c r="FU194" s="1345"/>
      <c r="FV194" s="1345"/>
      <c r="FW194" s="1345"/>
      <c r="FX194" s="1345"/>
      <c r="FY194" s="1345"/>
      <c r="FZ194" s="1345"/>
      <c r="GA194" s="1345"/>
      <c r="GB194" s="1345"/>
      <c r="GC194" s="1321"/>
      <c r="GD194" s="1321"/>
      <c r="GE194" s="1321"/>
      <c r="GF194" s="1321"/>
      <c r="GG194" s="1321" t="s">
        <v>1349</v>
      </c>
      <c r="GH194" s="1321" t="s">
        <v>1349</v>
      </c>
      <c r="GI194" s="1321" t="s">
        <v>1349</v>
      </c>
      <c r="GJ194" s="1321" t="s">
        <v>1349</v>
      </c>
      <c r="GK194" s="1321" t="s">
        <v>1349</v>
      </c>
      <c r="GL194" s="1321" t="s">
        <v>1349</v>
      </c>
      <c r="GM194" s="1321" t="s">
        <v>1349</v>
      </c>
      <c r="GN194" s="1321" t="s">
        <v>1349</v>
      </c>
      <c r="GO194" s="1321" t="s">
        <v>1349</v>
      </c>
      <c r="GP194" s="1321" t="s">
        <v>1349</v>
      </c>
      <c r="GQ194" s="1321" t="s">
        <v>1349</v>
      </c>
      <c r="GR194" s="1321" t="s">
        <v>1349</v>
      </c>
      <c r="GS194" s="1321" t="s">
        <v>1349</v>
      </c>
      <c r="GT194" s="1321" t="s">
        <v>1349</v>
      </c>
      <c r="GU194" s="1321" t="s">
        <v>1349</v>
      </c>
      <c r="GV194" s="1321" t="s">
        <v>1349</v>
      </c>
      <c r="GW194" s="1321"/>
      <c r="GX194" s="1321"/>
      <c r="GY194" s="1321"/>
      <c r="GZ194" s="1321"/>
      <c r="HA194" s="1321"/>
      <c r="HB194" s="1321"/>
      <c r="HC194" s="1321"/>
      <c r="HD194" s="1321"/>
      <c r="HE194" s="1321"/>
      <c r="HF194" s="1321"/>
      <c r="HG194" s="1321"/>
      <c r="HH194" s="1321"/>
      <c r="HI194" s="1321"/>
      <c r="HJ194" s="1321"/>
      <c r="HK194" s="1321"/>
      <c r="HL194" s="1321"/>
      <c r="HM194" s="1321"/>
      <c r="HN194" s="1321"/>
      <c r="HO194" s="1321"/>
      <c r="HP194" s="1321"/>
      <c r="HQ194" s="1321"/>
      <c r="HR194" s="1321"/>
      <c r="HS194" s="1321"/>
      <c r="HT194" s="1321"/>
      <c r="HU194" s="1321"/>
      <c r="HV194" s="1321"/>
      <c r="HW194" s="1321"/>
      <c r="HX194" s="1321"/>
      <c r="HY194" s="1321"/>
      <c r="HZ194" s="1321"/>
      <c r="IA194" s="1321"/>
      <c r="IB194" s="1321"/>
      <c r="IC194" s="1321"/>
      <c r="ID194" s="1321"/>
      <c r="IE194" s="1321"/>
      <c r="IF194" s="1321"/>
      <c r="IG194" s="1321"/>
      <c r="IH194" s="1321"/>
      <c r="II194" s="1321"/>
      <c r="IJ194" s="1321"/>
      <c r="IK194" s="1321"/>
      <c r="IL194" s="1321"/>
      <c r="IM194" s="1321"/>
      <c r="IN194" s="1368"/>
    </row>
    <row r="195" spans="1:248" ht="12.75" customHeight="1" x14ac:dyDescent="0.2">
      <c r="A195" s="1319"/>
      <c r="B195" s="1320"/>
      <c r="C195" s="1321"/>
      <c r="D195" s="1253" t="s">
        <v>1983</v>
      </c>
      <c r="E195" s="1254">
        <v>1.9</v>
      </c>
      <c r="F195" s="1321"/>
      <c r="G195" s="1321"/>
      <c r="H195" s="1321"/>
      <c r="I195" s="1321"/>
      <c r="J195" s="1321"/>
      <c r="K195" s="1321"/>
      <c r="L195" s="1321"/>
      <c r="M195" s="1321"/>
      <c r="N195" s="1321"/>
      <c r="O195" s="1321"/>
      <c r="P195" s="1321"/>
      <c r="Q195" s="1321"/>
      <c r="R195" s="1321"/>
      <c r="S195" s="1321"/>
      <c r="T195" s="1321"/>
      <c r="U195" s="1321"/>
      <c r="V195" s="1321"/>
      <c r="W195" s="1321"/>
      <c r="X195" s="1321"/>
      <c r="Y195" s="1321"/>
      <c r="Z195" s="1321"/>
      <c r="AA195" s="1321"/>
      <c r="AB195" s="1321"/>
      <c r="AC195" s="1321"/>
      <c r="AD195" s="1321"/>
      <c r="AE195" s="1321"/>
      <c r="AF195" s="1321"/>
      <c r="AG195" s="1321"/>
      <c r="AH195" s="1321"/>
      <c r="AI195" s="1321"/>
      <c r="AJ195" s="1321"/>
      <c r="AK195" s="1321"/>
      <c r="AL195" s="1321"/>
      <c r="AM195" s="1321"/>
      <c r="AN195" s="1321"/>
      <c r="AO195" s="1321"/>
      <c r="AP195" s="1321"/>
      <c r="AQ195" s="1321"/>
      <c r="AR195" s="1321"/>
      <c r="AS195" s="1321"/>
      <c r="AT195" s="1321"/>
      <c r="AU195" s="1321"/>
      <c r="AV195" s="1321"/>
      <c r="AW195" s="1321"/>
      <c r="AX195" s="1321"/>
      <c r="AY195" s="1321"/>
      <c r="AZ195" s="1321"/>
      <c r="BA195" s="1321"/>
      <c r="BB195" s="1075" t="s">
        <v>523</v>
      </c>
      <c r="BC195" s="1269">
        <f t="array" ref="BC195">IF(Ration_complète_bovins[somme]&gt;0,0,IFERROR(IF(OR(AND(INDEX(Règles_bovins[Specificite],MATCH(ChoixRationBovins&amp;$BB195,Règles_bovins[Ration]&amp;Règles_bovins[Aliment],0))="s1",IF($BB195=Spécificité1Bovins,1)),
AND(INDEX(Règles_bovins[Specificite],MATCH(ChoixRationBovins&amp;$BB195,Règles_bovins[Ration]&amp;Règles_bovins[Aliment],0))="s2",IF($BB195=Spécificité2Bovins,1)),
INDEX(Règles_bovins[Specificite],MATCH(ChoixRationBovins&amp;$BB195,Règles_bovins[Ration]&amp;Règles_bovins[Aliment],0))="c"),
INDEX(Règles_bovins[Valeur 36 et plus],MATCH(ChoixRationBovins&amp;$BB195,Règles_bovins[Ration]&amp;Règles_bovins[Aliment],0)),0),0)*IF(ChoixBovinsPréHiver=OUI,TotalTaureauxRacesLaitières,TotalTaureaux*SUM(NbreJoursNourrirBovins)))</f>
        <v>0</v>
      </c>
      <c r="BD195" s="1269">
        <f t="array" ref="BD195">IF(Ration_complète_bovins[somme]&gt;0,0,IFERROR(IF(OR(AND(INDEX(Règles_bovins[Specificite],MATCH(ChoixRationBovins&amp;$BB195,Règles_bovins[Ration]&amp;Règles_bovins[Aliment],0))="s1",IF($BB195=Spécificité1Bovins,1)),
AND(INDEX(Règles_bovins[Specificite],MATCH(ChoixRationBovins&amp;$BB195,Règles_bovins[Ration]&amp;Règles_bovins[Aliment],0))="s2",IF($BB195=Spécificité2Bovins,1)),
INDEX(Règles_bovins[Specificite],MATCH(ChoixRationBovins&amp;$BB195,Règles_bovins[Ration]&amp;Règles_bovins[Aliment],0))="c"),
INDEX(Règles_bovins[Valeur 24-36],MATCH(ChoixRationBovins&amp;$BB195,Règles_bovins[Ration]&amp;Règles_bovins[Aliment],0)),0),0)*IF(ChoixBovinsPréHiver=OUI,TotalTaurillon_24_36_RacesLaitières,TotalBovinsMâles_24_36mois*SUM(NbreJoursNourrirBovins)))</f>
        <v>0</v>
      </c>
      <c r="BE195" s="1269">
        <f t="array" ref="BE195">IF(Ration_complète_bovins[somme]&gt;0,0,IFERROR(IF(OR(AND(INDEX(Règles_bovins[Specificite],MATCH(ChoixRationBovins&amp;$BB195,Règles_bovins[Ration]&amp;Règles_bovins[Aliment],0))="s1",IF($BB195=Spécificité1Bovins,1)),
AND(INDEX(Règles_bovins[Specificite],MATCH(ChoixRationBovins&amp;$BB195,Règles_bovins[Ration]&amp;Règles_bovins[Aliment],0))="s2",IF($BB195=Spécificité2Bovins,1)),
INDEX(Règles_bovins[Specificite],MATCH(ChoixRationBovins&amp;$BB195,Règles_bovins[Ration]&amp;Règles_bovins[Aliment],0))="c"),
INDEX(Règles_bovins[Valeur 18-24],MATCH(ChoixRationBovins&amp;$BB195,Règles_bovins[Ration]&amp;Règles_bovins[Aliment],0)),0),0)*IF(ChoixBovinsPréHiver=OUI,TotalTaurillon_18_24_RacesLaitières,TotalBovinsMâles_18_24mois*SUM(NbreJoursNourrirBovins)))</f>
        <v>0</v>
      </c>
      <c r="BF195" s="1269">
        <f t="array" ref="BF195">IF(Ration_complète_bovins[somme]&gt;0,0,IFERROR(IF(OR(AND(INDEX(Règles_bovins[Specificite],MATCH(ChoixRationBovins&amp;$BB195,Règles_bovins[Ration]&amp;Règles_bovins[Aliment],0))="s1",IF($BB195=Spécificité1Bovins,1)),
AND(INDEX(Règles_bovins[Specificite],MATCH(ChoixRationBovins&amp;$BB195,Règles_bovins[Ration]&amp;Règles_bovins[Aliment],0))="s2",IF($BB195=Spécificité2Bovins,1)),
INDEX(Règles_bovins[Specificite],MATCH(ChoixRationBovins&amp;$BB195,Règles_bovins[Ration]&amp;Règles_bovins[Aliment],0))="c"),
INDEX(Règles_bovins[Valeur 12-18],MATCH(ChoixRationBovins&amp;$BB195,Règles_bovins[Ration]&amp;Règles_bovins[Aliment],0)),0),0)*IF(ChoixBovinsPréHiver=OUI,animaux!D15,TotalBovinsMâles_12_18mois*SUM(NbreJoursNourrirBovins)))</f>
        <v>0</v>
      </c>
      <c r="BG195" s="1269">
        <f t="array" ref="BG195">IF(Ration_complète_bovins[somme]&gt;0,0,IFERROR(IF(OR(AND(INDEX(Règles_bovins[Specificite],MATCH(ChoixRationBovins&amp;$BB195,Règles_bovins[Ration]&amp;Règles_bovins[Aliment],0))="s1",IF($BB195=Spécificité1Bovins,1)),
AND(INDEX(Règles_bovins[Specificite],MATCH(ChoixRationBovins&amp;$BB195,Règles_bovins[Ration]&amp;Règles_bovins[Aliment],0))="s2",IF($BB195=Spécificité2Bovins,1)),
INDEX(Règles_bovins[Specificite],MATCH(ChoixRationBovins&amp;$BB195,Règles_bovins[Ration]&amp;Règles_bovins[Aliment],0))="c"),
INDEX(Règles_bovins[Valeur 6-12],MATCH(ChoixRationBovins&amp;$BB195,Règles_bovins[Ration]&amp;Règles_bovins[Aliment],0)),0),0)*IF(ChoixBovinsPréHiver=OUI,TotalVeauMâle_6_12_RacesLaitières,TotalBovinsMâles_6_12mois*SUM(NbreJoursNourrirBovins)))</f>
        <v>0</v>
      </c>
      <c r="BH195" s="1269">
        <f t="array" ref="BH195">IF(Ration_complète_bovins[somme]&gt;0,0,IFERROR(IF(OR(AND(INDEX(Règles_bovins[Specificite],MATCH(ChoixRationBovins&amp;$BB195,Règles_bovins[Ration]&amp;Règles_bovins[Aliment],0))="s1",IF($BB195=Spécificité1Bovins,1)),
AND(INDEX(Règles_bovins[Specificite],MATCH(ChoixRationBovins&amp;$BB195,Règles_bovins[Ration]&amp;Règles_bovins[Aliment],0))="s2",IF($BB195=Spécificité2Bovins,1)),
INDEX(Règles_bovins[Specificite],MATCH(ChoixRationBovins&amp;$BB195,Règles_bovins[Ration]&amp;Règles_bovins[Aliment],0))="c"),
INDEX(Règles_bovins[Valeur 3-6],MATCH(ChoixRationBovins&amp;$BB195,Règles_bovins[Ration]&amp;Règles_bovins[Aliment],0)),0),0)*IF(ChoixBovinsPréHiver=OUI,TotalVeauMâle_3_6_RacesLaitières,TotalBovinsMâles_3_6mois*SUM(NbreJoursNourrirBovins)))</f>
        <v>0</v>
      </c>
      <c r="BI195" s="1269">
        <f t="array" ref="BI195">IF(Ration_complète_bovins[somme]&gt;0,0,IFERROR(IF(OR(AND(INDEX(Règles_bovins[Specificite],MATCH(ChoixRationBovins&amp;$BB195,Règles_bovins[Ration]&amp;Règles_bovins[Aliment],0))="s1",IF($BB195=Spécificité1Bovins,1)),
AND(INDEX(Règles_bovins[Specificite],MATCH(ChoixRationBovins&amp;$BB195,Règles_bovins[Ration]&amp;Règles_bovins[Aliment],0))="s2",IF($BB195=Spécificité2Bovins,1)),
INDEX(Règles_bovins[Specificite],MATCH(ChoixRationBovins&amp;$BB195,Règles_bovins[Ration]&amp;Règles_bovins[Aliment],0))="c"),
INDEX(Règles_bovins[Valeur 0-3],MATCH(ChoixRationBovins&amp;$BB195,Règles_bovins[Ration]&amp;Règles_bovins[Aliment],0)),0),0)*IF(ChoixBovinsPréHiver=OUI,TotalVeauMâle_0_3_RacesLaitières,TotalBovinsMâles_0_3mois*SUM(NbreJoursNourrirBovins)))</f>
        <v>0</v>
      </c>
      <c r="BJ195" s="1270">
        <f t="shared" si="69"/>
        <v>0</v>
      </c>
      <c r="BK195" s="1321"/>
      <c r="BL195" s="1321"/>
      <c r="BM195" s="1346"/>
      <c r="BN195" s="1321"/>
      <c r="BO195" s="1321"/>
      <c r="BP195" s="1321"/>
      <c r="BQ195" s="1321"/>
      <c r="BR195" s="1321"/>
      <c r="BS195" s="1321"/>
      <c r="BT195" s="1321"/>
      <c r="BU195" s="1321"/>
      <c r="BV195" s="1345"/>
      <c r="BW195" s="1345"/>
      <c r="BX195" s="1079" t="s">
        <v>1276</v>
      </c>
      <c r="BY195" s="1271" t="s">
        <v>1746</v>
      </c>
      <c r="BZ195" s="1271" t="s">
        <v>1747</v>
      </c>
      <c r="CA195" s="1271" t="s">
        <v>1748</v>
      </c>
      <c r="CB195" s="1321"/>
      <c r="CC195" s="1321"/>
      <c r="CD195" s="1345"/>
      <c r="CE195" s="1345"/>
      <c r="CF195" s="1345"/>
      <c r="CG195" s="1345"/>
      <c r="CH195" s="1345"/>
      <c r="CI195" s="1321"/>
      <c r="CJ195" s="1321"/>
      <c r="CK195" s="1321"/>
      <c r="CL195" s="1321"/>
      <c r="CM195" s="1321"/>
      <c r="CN195" s="1321"/>
      <c r="CO195" s="1321"/>
      <c r="CP195" s="1321"/>
      <c r="CQ195" s="1321"/>
      <c r="CR195" s="1321"/>
      <c r="CS195" s="1321"/>
      <c r="CT195" s="1321"/>
      <c r="CU195" s="1321"/>
      <c r="CV195" s="1321"/>
      <c r="CW195" s="1321"/>
      <c r="CX195" s="1321"/>
      <c r="CY195" s="1321"/>
      <c r="CZ195" s="1321"/>
      <c r="DA195" s="1321"/>
      <c r="DB195" s="1321"/>
      <c r="DC195" s="1321"/>
      <c r="DD195" s="1321"/>
      <c r="DE195" s="1321"/>
      <c r="DF195" s="1321"/>
      <c r="DG195" s="1321"/>
      <c r="DH195" s="1321"/>
      <c r="DI195" s="1321"/>
      <c r="DJ195" s="1321"/>
      <c r="DK195" s="1321"/>
      <c r="DL195" s="1321"/>
      <c r="DM195" s="1321"/>
      <c r="DN195" s="1075" t="str">
        <f t="shared" si="68"/>
        <v>Bouchons luzerne</v>
      </c>
      <c r="DO195" s="1269">
        <f t="array" ref="DO195">IF(ChoixRationComplèteOvins=OUI,0,IFERROR(IF(OR(AND(INDEX(Règles_ovins[Specificite],MATCH(ChoixRationOvins&amp;$DN195,Règles_ovins[Ration]&amp;Règles_ovins[Aliment],0))="s1",IF($DN195=Spécificité1Ovins,1)),
AND(INDEX(Règles_ovins[Specificite],MATCH(ChoixRationOvins&amp;$DN195,Règles_ovins[Ration]&amp;Règles_ovins[Aliment],0))="s2",IF($DN195=Spécificité2Ovins,1)),
INDEX(Règles_ovins[Specificite],MATCH(ChoixRationOvins&amp;$DN195,Règles_ovins[Ration]&amp;Règles_ovins[Aliment],0))="c"),
INDEX(Règles_ovins[Valeur 12 et plus],MATCH(ChoixRationOvins&amp;$DN195,Règles_ovins[Ration]&amp;Règles_ovins[Aliment],0)),0),0)*IF(ChoixOvinsPréHiver=OUI,SUM(TotalOvinsAdultesRacesLaitières)*NbreJoursNourrirOvins,TotalBrebis*SUM(NbreJoursNourrirOvins)))</f>
        <v>0</v>
      </c>
      <c r="DP195" s="1269">
        <f t="array" ref="DP195">IF(ChoixRationComplèteOvins=OUI,0,IFERROR(IF(OR(AND(INDEX(Règles_ovins[Specificite],MATCH(ChoixRationOvins&amp;$DN195,Règles_ovins[Ration]&amp;Règles_ovins[Aliment],0))="s1",IF($DN195=Spécificité1Ovins,1)),
AND(INDEX(Règles_ovins[Specificite],MATCH(ChoixRationOvins&amp;$DN195,Règles_ovins[Ration]&amp;Règles_ovins[Aliment],0))="s2",IF($DN195=Spécificité2Ovins,1)),
INDEX(Règles_ovins[Specificite],MATCH(ChoixRationOvins&amp;$DN195,Règles_ovins[Ration]&amp;Règles_ovins[Aliment],0))="c"),
INDEX(Règles_ovins[Valeur 6-12],MATCH(ChoixRationOvins&amp;$DN195,Règles_ovins[Ration]&amp;Règles_ovins[Aliment],0)),0),0)*IF(ChoixOvinsPréHiver=OUI,SUM(TotalJeunesOvinsRacesLaitières)*NbreJoursNourrirOvins,TotalJeune_brebis_6_12_mois*SUM(NbreJoursNourrirOvins)))</f>
        <v>0</v>
      </c>
      <c r="DQ195" s="1269">
        <f t="array" ref="DQ195">IF(ChoixRationComplèteOvins=OUI,0,IFERROR(IF(OR(AND(INDEX(Règles_ovins[Specificite],MATCH(ChoixRationOvins&amp;$DN195,Règles_ovins[Ration]&amp;Règles_ovins[Aliment],0))="s1",IF($DN195=Spécificité1Ovins,1)),
AND(INDEX(Règles_ovins[Specificite],MATCH(ChoixRationOvins&amp;$DN195,Règles_ovins[Ration]&amp;Règles_ovins[Aliment],0))="s2",IF($DN195=Spécificité2Ovins,1)),
INDEX(Règles_ovins[Specificite],MATCH(ChoixRationOvins&amp;$DN195,Règles_ovins[Ration]&amp;Règles_ovins[Aliment],0))="c"),
INDEX(Règles_ovins[Valeur 3-6],MATCH(ChoixRationOvins&amp;$DN195,Règles_ovins[Ration]&amp;Règles_ovins[Aliment],0)),0),0)*IF(ChoixOvinsPréHiver=OUI,SUM(TotalOvins_3_6moisRacesLaitières)*NbreJoursNourrirOvins,TotalAgnelle_3_6_mois*SUM(NbreJoursNourrirOvins)))</f>
        <v>0</v>
      </c>
      <c r="DR195" s="1269">
        <f t="array" ref="DR195">IF(ChoixRationComplèteOvins=OUI,0,IFERROR(IF(OR(AND(INDEX(Règles_ovins[Specificite],MATCH(ChoixRationOvins&amp;$DN195,Règles_ovins[Ration]&amp;Règles_ovins[Aliment],0))="s1",IF($DN195=Spécificité1Ovins,1)),
AND(INDEX(Règles_ovins[Specificite],MATCH(ChoixRationOvins&amp;$DN195,Règles_ovins[Ration]&amp;Règles_ovins[Aliment],0))="s2",IF($DN195=Spécificité2Ovins,1)),
INDEX(Règles_ovins[Specificite],MATCH(ChoixRationOvins&amp;$DN195,Règles_ovins[Ration]&amp;Règles_ovins[Aliment],0))="c"),
INDEX(Règles_ovins[Valeur 0-3],MATCH(ChoixRationOvins&amp;$DN195,Règles_ovins[Ration]&amp;Règles_ovins[Aliment],0)),0),0)*IF(ChoixOvinsPréHiver=OUI,SUM(TotalOvins_3_6moisRacesLaitières)*NbreJoursNourrirOvins,TotalAgnelle_0_3_mois*SUM(NbreJoursNourrirOvins)))</f>
        <v>0</v>
      </c>
      <c r="DS195" s="1280">
        <f t="shared" si="67"/>
        <v>0</v>
      </c>
      <c r="DT195" s="1346"/>
      <c r="DU195" s="1346"/>
      <c r="DV195" s="1321"/>
      <c r="DW195" s="1321"/>
      <c r="DX195" s="1321"/>
      <c r="DY195" s="1321"/>
      <c r="DZ195" s="1321"/>
      <c r="EA195" s="1321"/>
      <c r="EB195" s="1321"/>
      <c r="EC195" s="1321"/>
      <c r="ED195" s="1345"/>
      <c r="EE195" s="1345"/>
      <c r="EF195" s="1321"/>
      <c r="EG195" s="1321"/>
      <c r="EH195" s="1321"/>
      <c r="EI195" s="1321"/>
      <c r="EJ195" s="1321"/>
      <c r="EK195" s="1345"/>
      <c r="EL195" s="1345"/>
      <c r="EM195" s="1321"/>
      <c r="EN195" s="1321"/>
      <c r="EO195" s="1321"/>
      <c r="EP195" s="1321"/>
      <c r="EQ195" s="1321"/>
      <c r="ER195" s="1345"/>
      <c r="ES195" s="1345"/>
      <c r="ET195" s="1321"/>
      <c r="EU195" s="823" t="s">
        <v>1027</v>
      </c>
      <c r="EV195" s="824"/>
      <c r="EW195" s="825"/>
      <c r="EX195" s="1321"/>
      <c r="EY195" s="1321"/>
      <c r="EZ195" s="1345"/>
      <c r="FA195" s="1345"/>
      <c r="FB195" s="1345"/>
      <c r="FC195" s="1321"/>
      <c r="FD195" s="1321"/>
      <c r="FE195" s="1321"/>
      <c r="FF195" s="1321"/>
      <c r="FG195" s="1321"/>
      <c r="FH195" s="1321"/>
      <c r="FI195" s="1321"/>
      <c r="FJ195" s="1345"/>
      <c r="FK195" s="1345"/>
      <c r="FL195" s="1345"/>
      <c r="FM195" s="1321"/>
      <c r="FN195" s="1336" t="s">
        <v>1749</v>
      </c>
      <c r="FO195" s="1336"/>
      <c r="FP195" s="1336"/>
      <c r="FQ195" s="1336"/>
      <c r="FR195" s="1345"/>
      <c r="FS195" s="1345"/>
      <c r="FT195" s="1345"/>
      <c r="FU195" s="1345"/>
      <c r="FV195" s="1345"/>
      <c r="FW195" s="1345"/>
      <c r="FX195" s="1345"/>
      <c r="FY195" s="1345"/>
      <c r="FZ195" s="1345"/>
      <c r="GA195" s="1345"/>
      <c r="GB195" s="1345"/>
      <c r="GC195" s="1321"/>
      <c r="GD195" s="1321"/>
      <c r="GE195" s="1321"/>
      <c r="GF195" s="1321"/>
      <c r="GG195" s="1321" t="s">
        <v>1349</v>
      </c>
      <c r="GH195" s="1321" t="s">
        <v>1349</v>
      </c>
      <c r="GI195" s="1321" t="s">
        <v>1349</v>
      </c>
      <c r="GJ195" s="1321" t="s">
        <v>1349</v>
      </c>
      <c r="GK195" s="1321" t="s">
        <v>1349</v>
      </c>
      <c r="GL195" s="1321" t="s">
        <v>1349</v>
      </c>
      <c r="GM195" s="1321" t="s">
        <v>1349</v>
      </c>
      <c r="GN195" s="1321" t="s">
        <v>1349</v>
      </c>
      <c r="GO195" s="1321" t="s">
        <v>1349</v>
      </c>
      <c r="GP195" s="1321" t="s">
        <v>1349</v>
      </c>
      <c r="GQ195" s="1321" t="s">
        <v>1349</v>
      </c>
      <c r="GR195" s="1321" t="s">
        <v>1349</v>
      </c>
      <c r="GS195" s="1321" t="s">
        <v>1349</v>
      </c>
      <c r="GT195" s="1321" t="s">
        <v>1349</v>
      </c>
      <c r="GU195" s="1321" t="s">
        <v>1349</v>
      </c>
      <c r="GV195" s="1321" t="s">
        <v>1349</v>
      </c>
      <c r="GW195" s="1321"/>
      <c r="GX195" s="1321"/>
      <c r="GY195" s="1321"/>
      <c r="GZ195" s="1321"/>
      <c r="HA195" s="1321"/>
      <c r="HB195" s="1321"/>
      <c r="HC195" s="1321"/>
      <c r="HD195" s="1321"/>
      <c r="HE195" s="1321"/>
      <c r="HF195" s="1321"/>
      <c r="HG195" s="1321"/>
      <c r="HH195" s="1321"/>
      <c r="HI195" s="1321"/>
      <c r="HJ195" s="1321"/>
      <c r="HK195" s="1321"/>
      <c r="HL195" s="1321"/>
      <c r="HM195" s="1321"/>
      <c r="HN195" s="1321"/>
      <c r="HO195" s="1321"/>
      <c r="HP195" s="1321"/>
      <c r="HQ195" s="1321"/>
      <c r="HR195" s="1321"/>
      <c r="HS195" s="1321"/>
      <c r="HT195" s="1321"/>
      <c r="HU195" s="1321"/>
      <c r="HV195" s="1321"/>
      <c r="HW195" s="1321"/>
      <c r="HX195" s="1321"/>
      <c r="HY195" s="1321"/>
      <c r="HZ195" s="1321"/>
      <c r="IA195" s="1321"/>
      <c r="IB195" s="1321"/>
      <c r="IC195" s="1321"/>
      <c r="ID195" s="1321"/>
      <c r="IE195" s="1321"/>
      <c r="IF195" s="1321"/>
      <c r="IG195" s="1321"/>
      <c r="IH195" s="1321"/>
      <c r="II195" s="1321"/>
      <c r="IJ195" s="1321"/>
      <c r="IK195" s="1321"/>
      <c r="IL195" s="1321"/>
      <c r="IM195" s="1321"/>
      <c r="IN195" s="1368"/>
    </row>
    <row r="196" spans="1:248" ht="12.75" customHeight="1" x14ac:dyDescent="0.2">
      <c r="A196" s="1319"/>
      <c r="B196" s="1320"/>
      <c r="C196" s="1321"/>
      <c r="D196" s="1251" t="s">
        <v>1984</v>
      </c>
      <c r="E196" s="1252">
        <v>1.6</v>
      </c>
      <c r="F196" s="1321"/>
      <c r="G196" s="1321"/>
      <c r="H196" s="1321"/>
      <c r="I196" s="1321"/>
      <c r="J196" s="1321"/>
      <c r="K196" s="1321"/>
      <c r="L196" s="1321"/>
      <c r="M196" s="1321"/>
      <c r="N196" s="1321"/>
      <c r="O196" s="1321"/>
      <c r="P196" s="1321"/>
      <c r="Q196" s="1321"/>
      <c r="R196" s="1321"/>
      <c r="S196" s="1321"/>
      <c r="T196" s="1321"/>
      <c r="U196" s="1321"/>
      <c r="V196" s="1321"/>
      <c r="W196" s="1321"/>
      <c r="X196" s="1321"/>
      <c r="Y196" s="1321"/>
      <c r="Z196" s="1321"/>
      <c r="AA196" s="1321"/>
      <c r="AB196" s="1321"/>
      <c r="AC196" s="1321"/>
      <c r="AD196" s="1321"/>
      <c r="AE196" s="1321"/>
      <c r="AF196" s="1321"/>
      <c r="AG196" s="1321"/>
      <c r="AH196" s="1321"/>
      <c r="AI196" s="1321"/>
      <c r="AJ196" s="1321"/>
      <c r="AK196" s="1321"/>
      <c r="AL196" s="1321"/>
      <c r="AM196" s="1321"/>
      <c r="AN196" s="1321"/>
      <c r="AO196" s="1321"/>
      <c r="AP196" s="1321"/>
      <c r="AQ196" s="1321"/>
      <c r="AR196" s="1321"/>
      <c r="AS196" s="1321"/>
      <c r="AT196" s="1321"/>
      <c r="AU196" s="1321"/>
      <c r="AV196" s="1321"/>
      <c r="AW196" s="1321"/>
      <c r="AX196" s="1321"/>
      <c r="AY196" s="1321"/>
      <c r="AZ196" s="1321"/>
      <c r="BA196" s="1321"/>
      <c r="BB196" s="1076" t="s">
        <v>285</v>
      </c>
      <c r="BC196" s="1267">
        <f t="array" ref="BC196">IF(Ration_complète_bovins[somme]&gt;0,0,IFERROR(IF(OR(AND(INDEX(Règles_bovins[Specificite],MATCH(ChoixRationBovins&amp;$BB196,Règles_bovins[Ration]&amp;Règles_bovins[Aliment],0))="s1",IF($BB196=Spécificité1Bovins,1)),
AND(INDEX(Règles_bovins[Specificite],MATCH(ChoixRationBovins&amp;$BB196,Règles_bovins[Ration]&amp;Règles_bovins[Aliment],0))="s2",IF($BB196=Spécificité2Bovins,1)),
INDEX(Règles_bovins[Specificite],MATCH(ChoixRationBovins&amp;$BB196,Règles_bovins[Ration]&amp;Règles_bovins[Aliment],0))="c"),
INDEX(Règles_bovins[Valeur 36 et plus],MATCH(ChoixRationBovins&amp;$BB196,Règles_bovins[Ration]&amp;Règles_bovins[Aliment],0)),0),0)*IF(ChoixBovinsPréHiver=OUI,TotalTaureauxRacesLaitières,TotalTaureaux*SUM(NbreJoursNourrirBovins)))</f>
        <v>0</v>
      </c>
      <c r="BD196" s="1267">
        <f t="array" ref="BD196">IF(Ration_complète_bovins[somme]&gt;0,0,IFERROR(IF(OR(AND(INDEX(Règles_bovins[Specificite],MATCH(ChoixRationBovins&amp;$BB196,Règles_bovins[Ration]&amp;Règles_bovins[Aliment],0))="s1",IF($BB196=Spécificité1Bovins,1)),
AND(INDEX(Règles_bovins[Specificite],MATCH(ChoixRationBovins&amp;$BB196,Règles_bovins[Ration]&amp;Règles_bovins[Aliment],0))="s2",IF($BB196=Spécificité2Bovins,1)),
INDEX(Règles_bovins[Specificite],MATCH(ChoixRationBovins&amp;$BB196,Règles_bovins[Ration]&amp;Règles_bovins[Aliment],0))="c"),
INDEX(Règles_bovins[Valeur 24-36],MATCH(ChoixRationBovins&amp;$BB196,Règles_bovins[Ration]&amp;Règles_bovins[Aliment],0)),0),0)*IF(ChoixBovinsPréHiver=OUI,TotalTaurillon_24_36_RacesLaitières,TotalBovinsMâles_24_36mois*SUM(NbreJoursNourrirBovins)))</f>
        <v>0</v>
      </c>
      <c r="BE196" s="1267">
        <f t="array" ref="BE196">IF(Ration_complète_bovins[somme]&gt;0,0,IFERROR(IF(OR(AND(INDEX(Règles_bovins[Specificite],MATCH(ChoixRationBovins&amp;$BB196,Règles_bovins[Ration]&amp;Règles_bovins[Aliment],0))="s1",IF($BB196=Spécificité1Bovins,1)),
AND(INDEX(Règles_bovins[Specificite],MATCH(ChoixRationBovins&amp;$BB196,Règles_bovins[Ration]&amp;Règles_bovins[Aliment],0))="s2",IF($BB196=Spécificité2Bovins,1)),
INDEX(Règles_bovins[Specificite],MATCH(ChoixRationBovins&amp;$BB196,Règles_bovins[Ration]&amp;Règles_bovins[Aliment],0))="c"),
INDEX(Règles_bovins[Valeur 18-24],MATCH(ChoixRationBovins&amp;$BB196,Règles_bovins[Ration]&amp;Règles_bovins[Aliment],0)),0),0)*IF(ChoixBovinsPréHiver=OUI,TotalTaurillon_18_24_RacesLaitières,TotalBovinsMâles_18_24mois*SUM(NbreJoursNourrirBovins)))</f>
        <v>0</v>
      </c>
      <c r="BF196" s="1267">
        <f t="array" ref="BF196">IF(Ration_complète_bovins[somme]&gt;0,0,IFERROR(IF(OR(AND(INDEX(Règles_bovins[Specificite],MATCH(ChoixRationBovins&amp;$BB196,Règles_bovins[Ration]&amp;Règles_bovins[Aliment],0))="s1",IF($BB196=Spécificité1Bovins,1)),
AND(INDEX(Règles_bovins[Specificite],MATCH(ChoixRationBovins&amp;$BB196,Règles_bovins[Ration]&amp;Règles_bovins[Aliment],0))="s2",IF($BB196=Spécificité2Bovins,1)),
INDEX(Règles_bovins[Specificite],MATCH(ChoixRationBovins&amp;$BB196,Règles_bovins[Ration]&amp;Règles_bovins[Aliment],0))="c"),
INDEX(Règles_bovins[Valeur 12-18],MATCH(ChoixRationBovins&amp;$BB196,Règles_bovins[Ration]&amp;Règles_bovins[Aliment],0)),0),0)*IF(ChoixBovinsPréHiver=OUI,animaux!D16,TotalBovinsMâles_12_18mois*SUM(NbreJoursNourrirBovins)))</f>
        <v>0</v>
      </c>
      <c r="BG196" s="1267">
        <f t="array" ref="BG196">IF(Ration_complète_bovins[somme]&gt;0,0,IFERROR(IF(OR(AND(INDEX(Règles_bovins[Specificite],MATCH(ChoixRationBovins&amp;$BB196,Règles_bovins[Ration]&amp;Règles_bovins[Aliment],0))="s1",IF($BB196=Spécificité1Bovins,1)),
AND(INDEX(Règles_bovins[Specificite],MATCH(ChoixRationBovins&amp;$BB196,Règles_bovins[Ration]&amp;Règles_bovins[Aliment],0))="s2",IF($BB196=Spécificité2Bovins,1)),
INDEX(Règles_bovins[Specificite],MATCH(ChoixRationBovins&amp;$BB196,Règles_bovins[Ration]&amp;Règles_bovins[Aliment],0))="c"),
INDEX(Règles_bovins[Valeur 6-12],MATCH(ChoixRationBovins&amp;$BB196,Règles_bovins[Ration]&amp;Règles_bovins[Aliment],0)),0),0)*IF(ChoixBovinsPréHiver=OUI,TotalVeauMâle_6_12_RacesLaitières,TotalBovinsMâles_6_12mois*SUM(NbreJoursNourrirBovins)))</f>
        <v>0</v>
      </c>
      <c r="BH196" s="1267">
        <f t="array" ref="BH196">IF(Ration_complète_bovins[somme]&gt;0,0,IFERROR(IF(OR(AND(INDEX(Règles_bovins[Specificite],MATCH(ChoixRationBovins&amp;$BB196,Règles_bovins[Ration]&amp;Règles_bovins[Aliment],0))="s1",IF($BB196=Spécificité1Bovins,1)),
AND(INDEX(Règles_bovins[Specificite],MATCH(ChoixRationBovins&amp;$BB196,Règles_bovins[Ration]&amp;Règles_bovins[Aliment],0))="s2",IF($BB196=Spécificité2Bovins,1)),
INDEX(Règles_bovins[Specificite],MATCH(ChoixRationBovins&amp;$BB196,Règles_bovins[Ration]&amp;Règles_bovins[Aliment],0))="c"),
INDEX(Règles_bovins[Valeur 3-6],MATCH(ChoixRationBovins&amp;$BB196,Règles_bovins[Ration]&amp;Règles_bovins[Aliment],0)),0),0)*IF(ChoixBovinsPréHiver=OUI,TotalVeauMâle_3_6_RacesLaitières,TotalBovinsMâles_3_6mois*SUM(NbreJoursNourrirBovins)))</f>
        <v>0</v>
      </c>
      <c r="BI196" s="1267">
        <f t="array" ref="BI196">IF(Ration_complète_bovins[somme]&gt;0,0,IFERROR(IF(OR(AND(INDEX(Règles_bovins[Specificite],MATCH(ChoixRationBovins&amp;$BB196,Règles_bovins[Ration]&amp;Règles_bovins[Aliment],0))="s1",IF($BB196=Spécificité1Bovins,1)),
AND(INDEX(Règles_bovins[Specificite],MATCH(ChoixRationBovins&amp;$BB196,Règles_bovins[Ration]&amp;Règles_bovins[Aliment],0))="s2",IF($BB196=Spécificité2Bovins,1)),
INDEX(Règles_bovins[Specificite],MATCH(ChoixRationBovins&amp;$BB196,Règles_bovins[Ration]&amp;Règles_bovins[Aliment],0))="c"),
INDEX(Règles_bovins[Valeur 0-3],MATCH(ChoixRationBovins&amp;$BB196,Règles_bovins[Ration]&amp;Règles_bovins[Aliment],0)),0),0)*IF(ChoixBovinsPréHiver=OUI,TotalVeauMâle_0_3_RacesLaitières,TotalBovinsMâles_0_3mois*SUM(NbreJoursNourrirBovins)))</f>
        <v>0</v>
      </c>
      <c r="BJ196" s="1268">
        <f t="shared" si="69"/>
        <v>0</v>
      </c>
      <c r="BK196" s="1321"/>
      <c r="BL196" s="1321"/>
      <c r="BM196" s="1346"/>
      <c r="BN196" s="1321"/>
      <c r="BO196" s="1321"/>
      <c r="BP196" s="1321"/>
      <c r="BQ196" s="1321"/>
      <c r="BR196" s="1321"/>
      <c r="BS196" s="1321"/>
      <c r="BT196" s="1321"/>
      <c r="BU196" s="1321"/>
      <c r="BV196" s="1345"/>
      <c r="BW196" s="1345"/>
      <c r="BX196" s="1076" t="str">
        <f>BX106</f>
        <v>Avoine</v>
      </c>
      <c r="BY196" s="1267">
        <f t="array" ref="BY196">SUM((IF(QualitéAlimentsChevreau_0_3_mois=BONNE,VLOOKUP("Avoine",AlimentsRationCaprinsMâles,5,FALSE),0)+(IF(QualitéAlimentsChevrette_0_3_mois=BONNE,VLOOKUP("Avoine",AlimentsRationCaprinsFemelles,5,FALSE),0)+(IF(QualitéAlimentsChevreau_3_6_mois=BONNE,VLOOKUP("Avoine",AlimentsRationCaprinsMâles,4,FALSE),0)+(IF(QualitéAlimentsChevrette_3_6_mois=BONNE,VLOOKUP("Avoine",AlimentsRationCaprinsFemelles,4,FALSE),0)+(IF(QualitéAlimentsJeuneBouc=BONNE,VLOOKUP("Avoine",AlimentsRationCaprinsMâles,3,FALSE),0)+(IF(QualitéAlimentsJeuneChèvre=BONNE,VLOOKUP("Avoine",AlimentsRationCaprinsFemelles,3,FALSE),0)+(IF(QualitéAlimentsBouc=BONNE,VLOOKUP("Avoine",AlimentsRationCaprinsMâles,2,FALSE),0)+(IF(QualitéAlimentsChèvre=BONNE,VLOOKUP("Avoine",AlimentsRationCaprinsFemelles,2,FALSE),0))))))))))</f>
        <v>0</v>
      </c>
      <c r="BZ196" s="1267">
        <f t="array" ref="BZ196">SUM((IF(QualitéAlimentsChevreau_0_3_mois=MOYENNE,VLOOKUP("Avoine",AlimentsRationCaprinsMâles,5,FALSE),0)+(IF(QualitéAlimentsChevrette_0_3_mois=MOYENNE,VLOOKUP("Avoine",AlimentsRationCaprinsFemelles,5,FALSE),0)+(IF(QualitéAlimentsChevreau_3_6_mois=MOYENNE,VLOOKUP("Avoine",AlimentsRationCaprinsMâles,4,FALSE),0)+(IF(QualitéAlimentsChevrette_3_6_mois=MOYENNE,VLOOKUP("Avoine",AlimentsRationCaprinsFemelles,4,FALSE),0)+(IF(QualitéAlimentsJeuneBouc=MOYENNE,VLOOKUP("Avoine",AlimentsRationCaprinsMâles,3,FALSE),0)+(IF(QualitéAlimentsJeuneChèvre=MOYENNE,VLOOKUP("Avoine",AlimentsRationCaprinsFemelles,3,FALSE),0)+(IF(QualitéAlimentsBouc=MOYENNE,VLOOKUP("Avoine",AlimentsRationCaprinsMâles,2,FALSE),0)+(IF(QualitéAlimentsChèvre=MOYENNE,VLOOKUP("Avoine",AlimentsRationCaprinsFemelles,2,FALSE),0))))))))))</f>
        <v>0</v>
      </c>
      <c r="CA196" s="1267">
        <f t="array" ref="CA196">SUM((IF(QualitéAlimentsChevreau_0_3_mois=MAUVAISE,VLOOKUP("Avoine",AlimentsRationCaprinsMâles,5,FALSE),0)+(IF(QualitéAlimentsChevrette_0_3_mois=MAUVAISE,VLOOKUP("Avoine",AlimentsRationCaprinsFemelles,5,FALSE),0)+(IF(QualitéAlimentsChevreau_3_6_mois=MAUVAISE,VLOOKUP("Avoine",AlimentsRationCaprinsMâles,4,FALSE),0)+(IF(QualitéAlimentsChevrette_3_6_mois=MAUVAISE,VLOOKUP("Avoine",AlimentsRationCaprinsFemelles,4,FALSE),0)+(IF(QualitéAlimentsJeuneBouc=MAUVAISE,VLOOKUP("Avoine",AlimentsRationCaprinsMâles,3,FALSE),0)+(IF(QualitéAlimentsJeuneChèvre=MAUVAISE,VLOOKUP("Avoine",AlimentsRationCaprinsFemelles,3,FALSE),0)+(IF(QualitéAlimentsBouc=MAUVAISE,VLOOKUP("Avoine",AlimentsRationCaprinsMâles,2,FALSE),0)+(IF(QualitéAlimentsChèvre=MAUVAISE,VLOOKUP("Avoine",AlimentsRationCaprinsFemelles,2,FALSE),0))))))))))</f>
        <v>0</v>
      </c>
      <c r="CB196" s="1321"/>
      <c r="CC196" s="1321"/>
      <c r="CD196" s="1345"/>
      <c r="CE196" s="1345"/>
      <c r="CF196" s="1345"/>
      <c r="CG196" s="1345"/>
      <c r="CH196" s="1345"/>
      <c r="CI196" s="1321"/>
      <c r="CJ196" s="1321"/>
      <c r="CK196" s="1321"/>
      <c r="CL196" s="1321"/>
      <c r="CM196" s="1321"/>
      <c r="CN196" s="1321"/>
      <c r="CO196" s="1321"/>
      <c r="CP196" s="1321"/>
      <c r="CQ196" s="1321"/>
      <c r="CR196" s="1321"/>
      <c r="CS196" s="1321"/>
      <c r="CT196" s="1321"/>
      <c r="CU196" s="1321"/>
      <c r="CV196" s="1321"/>
      <c r="CW196" s="1321"/>
      <c r="CX196" s="1321"/>
      <c r="CY196" s="1321"/>
      <c r="CZ196" s="1321"/>
      <c r="DA196" s="1321"/>
      <c r="DB196" s="1321"/>
      <c r="DC196" s="1321"/>
      <c r="DD196" s="1321"/>
      <c r="DE196" s="1321"/>
      <c r="DF196" s="1321"/>
      <c r="DG196" s="1321"/>
      <c r="DH196" s="1321"/>
      <c r="DI196" s="1321"/>
      <c r="DJ196" s="1321"/>
      <c r="DK196" s="1321"/>
      <c r="DL196" s="1321"/>
      <c r="DM196" s="1321"/>
      <c r="DN196" s="1076" t="str">
        <f t="shared" si="68"/>
        <v>Chanvre</v>
      </c>
      <c r="DO196" s="1267">
        <f t="array" ref="DO196">IF(ChoixRationComplèteOvins=OUI,0,IFERROR(IF(OR(AND(INDEX(Règles_ovins[Specificite],MATCH(ChoixRationOvins&amp;$DN196,Règles_ovins[Ration]&amp;Règles_ovins[Aliment],0))="s1",IF($DN196=Spécificité1Ovins,1)),
AND(INDEX(Règles_ovins[Specificite],MATCH(ChoixRationOvins&amp;$DN196,Règles_ovins[Ration]&amp;Règles_ovins[Aliment],0))="s2",IF($DN196=Spécificité2Ovins,1)),
INDEX(Règles_ovins[Specificite],MATCH(ChoixRationOvins&amp;$DN196,Règles_ovins[Ration]&amp;Règles_ovins[Aliment],0))="c"),
INDEX(Règles_ovins[Valeur 12 et plus],MATCH(ChoixRationOvins&amp;$DN196,Règles_ovins[Ration]&amp;Règles_ovins[Aliment],0)),0),0)*IF(ChoixOvinsPréHiver=OUI,SUM(TotalOvinsAdultesRacesLaitières)*NbreJoursNourrirOvins,TotalBrebis*SUM(NbreJoursNourrirOvins)))</f>
        <v>0</v>
      </c>
      <c r="DP196" s="1267">
        <f t="array" ref="DP196">IF(ChoixRationComplèteOvins=OUI,0,IFERROR(IF(OR(AND(INDEX(Règles_ovins[Specificite],MATCH(ChoixRationOvins&amp;$DN196,Règles_ovins[Ration]&amp;Règles_ovins[Aliment],0))="s1",IF($DN196=Spécificité1Ovins,1)),
AND(INDEX(Règles_ovins[Specificite],MATCH(ChoixRationOvins&amp;$DN196,Règles_ovins[Ration]&amp;Règles_ovins[Aliment],0))="s2",IF($DN196=Spécificité2Ovins,1)),
INDEX(Règles_ovins[Specificite],MATCH(ChoixRationOvins&amp;$DN196,Règles_ovins[Ration]&amp;Règles_ovins[Aliment],0))="c"),
INDEX(Règles_ovins[Valeur 6-12],MATCH(ChoixRationOvins&amp;$DN196,Règles_ovins[Ration]&amp;Règles_ovins[Aliment],0)),0),0)*IF(ChoixOvinsPréHiver=OUI,SUM(TotalJeunesOvinsRacesLaitières)*NbreJoursNourrirOvins,TotalJeune_brebis_6_12_mois*SUM(NbreJoursNourrirOvins)))</f>
        <v>0</v>
      </c>
      <c r="DQ196" s="1267">
        <f t="array" ref="DQ196">IF(ChoixRationComplèteOvins=OUI,0,IFERROR(IF(OR(AND(INDEX(Règles_ovins[Specificite],MATCH(ChoixRationOvins&amp;$DN196,Règles_ovins[Ration]&amp;Règles_ovins[Aliment],0))="s1",IF($DN196=Spécificité1Ovins,1)),
AND(INDEX(Règles_ovins[Specificite],MATCH(ChoixRationOvins&amp;$DN196,Règles_ovins[Ration]&amp;Règles_ovins[Aliment],0))="s2",IF($DN196=Spécificité2Ovins,1)),
INDEX(Règles_ovins[Specificite],MATCH(ChoixRationOvins&amp;$DN196,Règles_ovins[Ration]&amp;Règles_ovins[Aliment],0))="c"),
INDEX(Règles_ovins[Valeur 3-6],MATCH(ChoixRationOvins&amp;$DN196,Règles_ovins[Ration]&amp;Règles_ovins[Aliment],0)),0),0)*IF(ChoixOvinsPréHiver=OUI,SUM(TotalOvins_3_6moisRacesLaitières)*NbreJoursNourrirOvins,TotalAgnelle_3_6_mois*SUM(NbreJoursNourrirOvins)))</f>
        <v>0</v>
      </c>
      <c r="DR196" s="1267">
        <f t="array" ref="DR196">IF(ChoixRationComplèteOvins=OUI,0,IFERROR(IF(OR(AND(INDEX(Règles_ovins[Specificite],MATCH(ChoixRationOvins&amp;$DN196,Règles_ovins[Ration]&amp;Règles_ovins[Aliment],0))="s1",IF($DN196=Spécificité1Ovins,1)),
AND(INDEX(Règles_ovins[Specificite],MATCH(ChoixRationOvins&amp;$DN196,Règles_ovins[Ration]&amp;Règles_ovins[Aliment],0))="s2",IF($DN196=Spécificité2Ovins,1)),
INDEX(Règles_ovins[Specificite],MATCH(ChoixRationOvins&amp;$DN196,Règles_ovins[Ration]&amp;Règles_ovins[Aliment],0))="c"),
INDEX(Règles_ovins[Valeur 0-3],MATCH(ChoixRationOvins&amp;$DN196,Règles_ovins[Ration]&amp;Règles_ovins[Aliment],0)),0),0)*IF(ChoixOvinsPréHiver=OUI,SUM(TotalOvins_3_6moisRacesLaitières)*NbreJoursNourrirOvins,TotalAgnelle_0_3_mois*SUM(NbreJoursNourrirOvins)))</f>
        <v>0</v>
      </c>
      <c r="DS196" s="1279">
        <f t="shared" si="67"/>
        <v>0</v>
      </c>
      <c r="DT196" s="1346"/>
      <c r="DU196" s="1346"/>
      <c r="DV196" s="1321"/>
      <c r="DW196" s="1321"/>
      <c r="DX196" s="1321"/>
      <c r="DY196" s="1321"/>
      <c r="DZ196" s="1321"/>
      <c r="EA196" s="1321"/>
      <c r="EB196" s="1321"/>
      <c r="EC196" s="1321"/>
      <c r="ED196" s="1345"/>
      <c r="EE196" s="1345"/>
      <c r="EF196" s="1321"/>
      <c r="EG196" s="1321"/>
      <c r="EH196" s="1321"/>
      <c r="EI196" s="1321"/>
      <c r="EJ196" s="1321"/>
      <c r="EK196" s="1345"/>
      <c r="EL196" s="1345"/>
      <c r="EM196" s="1321"/>
      <c r="EN196" s="1321"/>
      <c r="EO196" s="1321"/>
      <c r="EP196" s="1321"/>
      <c r="EQ196" s="1321"/>
      <c r="ER196" s="1345"/>
      <c r="ES196" s="1345"/>
      <c r="ET196" s="1321"/>
      <c r="EU196" s="823" t="s">
        <v>1028</v>
      </c>
      <c r="EV196" s="824">
        <f>EY33*SUM(TotalJeunesChevauxSelle)*SUM(NbreJoursNourrirChevauxSelle)</f>
        <v>0</v>
      </c>
      <c r="EW196" s="825">
        <v>0</v>
      </c>
      <c r="EX196" s="1321"/>
      <c r="EY196" s="1321"/>
      <c r="EZ196" s="1345"/>
      <c r="FA196" s="1345"/>
      <c r="FB196" s="1345"/>
      <c r="FC196" s="1321"/>
      <c r="FD196" s="1336" t="s">
        <v>1749</v>
      </c>
      <c r="FE196" s="1336"/>
      <c r="FF196" s="1336"/>
      <c r="FG196" s="1336"/>
      <c r="FH196" s="1321"/>
      <c r="FI196" s="1321"/>
      <c r="FJ196" s="1345"/>
      <c r="FK196" s="1345"/>
      <c r="FL196" s="1345"/>
      <c r="FM196" s="1321"/>
      <c r="FN196" s="1281" t="s">
        <v>1276</v>
      </c>
      <c r="FO196" s="1289" t="s">
        <v>1746</v>
      </c>
      <c r="FP196" s="1289" t="s">
        <v>1747</v>
      </c>
      <c r="FQ196" s="1289" t="s">
        <v>1748</v>
      </c>
      <c r="FR196" s="1345"/>
      <c r="FS196" s="1345"/>
      <c r="FT196" s="1345"/>
      <c r="FU196" s="1345"/>
      <c r="FV196" s="1345"/>
      <c r="FW196" s="1345"/>
      <c r="FX196" s="1345"/>
      <c r="FY196" s="1345"/>
      <c r="FZ196" s="1345"/>
      <c r="GA196" s="1345"/>
      <c r="GB196" s="1345"/>
      <c r="GC196" s="1321"/>
      <c r="GD196" s="1321"/>
      <c r="GE196" s="1321"/>
      <c r="GF196" s="1321"/>
      <c r="GG196" s="1321" t="s">
        <v>1349</v>
      </c>
      <c r="GH196" s="1321" t="s">
        <v>1349</v>
      </c>
      <c r="GI196" s="1321" t="s">
        <v>1349</v>
      </c>
      <c r="GJ196" s="1321" t="s">
        <v>1349</v>
      </c>
      <c r="GK196" s="1321" t="s">
        <v>1349</v>
      </c>
      <c r="GL196" s="1321" t="s">
        <v>1349</v>
      </c>
      <c r="GM196" s="1321" t="s">
        <v>1349</v>
      </c>
      <c r="GN196" s="1321" t="s">
        <v>1349</v>
      </c>
      <c r="GO196" s="1321" t="s">
        <v>1349</v>
      </c>
      <c r="GP196" s="1321" t="s">
        <v>1349</v>
      </c>
      <c r="GQ196" s="1321" t="s">
        <v>1349</v>
      </c>
      <c r="GR196" s="1321" t="s">
        <v>1349</v>
      </c>
      <c r="GS196" s="1321" t="s">
        <v>1349</v>
      </c>
      <c r="GT196" s="1321" t="s">
        <v>1349</v>
      </c>
      <c r="GU196" s="1321" t="s">
        <v>1349</v>
      </c>
      <c r="GV196" s="1321" t="s">
        <v>1349</v>
      </c>
      <c r="GW196" s="1321"/>
      <c r="GX196" s="1321"/>
      <c r="GY196" s="1321"/>
      <c r="GZ196" s="1321"/>
      <c r="HA196" s="1321"/>
      <c r="HB196" s="1321"/>
      <c r="HC196" s="1321"/>
      <c r="HD196" s="1321"/>
      <c r="HE196" s="1321"/>
      <c r="HF196" s="1321"/>
      <c r="HG196" s="1321"/>
      <c r="HH196" s="1321"/>
      <c r="HI196" s="1321"/>
      <c r="HJ196" s="1321"/>
      <c r="HK196" s="1321"/>
      <c r="HL196" s="1321"/>
      <c r="HM196" s="1321"/>
      <c r="HN196" s="1321"/>
      <c r="HO196" s="1321"/>
      <c r="HP196" s="1321"/>
      <c r="HQ196" s="1321"/>
      <c r="HR196" s="1321"/>
      <c r="HS196" s="1321"/>
      <c r="HT196" s="1321"/>
      <c r="HU196" s="1321"/>
      <c r="HV196" s="1321"/>
      <c r="HW196" s="1321"/>
      <c r="HX196" s="1321"/>
      <c r="HY196" s="1321"/>
      <c r="HZ196" s="1321"/>
      <c r="IA196" s="1321"/>
      <c r="IB196" s="1321"/>
      <c r="IC196" s="1321"/>
      <c r="ID196" s="1321"/>
      <c r="IE196" s="1321"/>
      <c r="IF196" s="1321"/>
      <c r="IG196" s="1321"/>
      <c r="IH196" s="1321"/>
      <c r="II196" s="1321"/>
      <c r="IJ196" s="1321"/>
      <c r="IK196" s="1321"/>
      <c r="IL196" s="1321"/>
      <c r="IM196" s="1321"/>
      <c r="IN196" s="1368"/>
    </row>
    <row r="197" spans="1:248" ht="12.75" customHeight="1" x14ac:dyDescent="0.2">
      <c r="A197" s="1319"/>
      <c r="B197" s="1320"/>
      <c r="C197" s="1321"/>
      <c r="D197" s="1253" t="s">
        <v>1985</v>
      </c>
      <c r="E197" s="1254">
        <v>1.25</v>
      </c>
      <c r="F197" s="1321"/>
      <c r="G197" s="1321"/>
      <c r="H197" s="1321"/>
      <c r="I197" s="1321"/>
      <c r="J197" s="1321"/>
      <c r="K197" s="1321"/>
      <c r="L197" s="1321"/>
      <c r="M197" s="1321"/>
      <c r="N197" s="1321"/>
      <c r="O197" s="1321"/>
      <c r="P197" s="1321"/>
      <c r="Q197" s="1321"/>
      <c r="R197" s="1321"/>
      <c r="S197" s="1321"/>
      <c r="T197" s="1321"/>
      <c r="U197" s="1321"/>
      <c r="V197" s="1321"/>
      <c r="W197" s="1321"/>
      <c r="X197" s="1321"/>
      <c r="Y197" s="1321"/>
      <c r="Z197" s="1321"/>
      <c r="AA197" s="1321"/>
      <c r="AB197" s="1321"/>
      <c r="AC197" s="1321"/>
      <c r="AD197" s="1321"/>
      <c r="AE197" s="1321"/>
      <c r="AF197" s="1321"/>
      <c r="AG197" s="1321"/>
      <c r="AH197" s="1321"/>
      <c r="AI197" s="1321"/>
      <c r="AJ197" s="1321"/>
      <c r="AK197" s="1321"/>
      <c r="AL197" s="1321"/>
      <c r="AM197" s="1321"/>
      <c r="AN197" s="1321"/>
      <c r="AO197" s="1321"/>
      <c r="AP197" s="1321"/>
      <c r="AQ197" s="1321"/>
      <c r="AR197" s="1321"/>
      <c r="AS197" s="1321"/>
      <c r="AT197" s="1321"/>
      <c r="AU197" s="1321"/>
      <c r="AV197" s="1321"/>
      <c r="AW197" s="1321"/>
      <c r="AX197" s="1321"/>
      <c r="AY197" s="1321"/>
      <c r="AZ197" s="1321"/>
      <c r="BA197" s="1321"/>
      <c r="BB197" s="1075" t="s">
        <v>730</v>
      </c>
      <c r="BC197" s="1269">
        <f t="array" ref="BC197">IF(Ration_complète_bovins[somme]&gt;0,0,IFERROR(IF(OR(AND(INDEX(Règles_bovins[Specificite],MATCH(ChoixRationBovins&amp;$BB197,Règles_bovins[Ration]&amp;Règles_bovins[Aliment],0))="s1",IF($BB197=Spécificité1Bovins,1)),
AND(INDEX(Règles_bovins[Specificite],MATCH(ChoixRationBovins&amp;$BB197,Règles_bovins[Ration]&amp;Règles_bovins[Aliment],0))="s2",IF($BB197=Spécificité2Bovins,1)),
INDEX(Règles_bovins[Specificite],MATCH(ChoixRationBovins&amp;$BB197,Règles_bovins[Ration]&amp;Règles_bovins[Aliment],0))="c"),
INDEX(Règles_bovins[Valeur 36 et plus],MATCH(ChoixRationBovins&amp;$BB197,Règles_bovins[Ration]&amp;Règles_bovins[Aliment],0)),0),0)*IF(ChoixBovinsPréHiver=OUI,TotalTaureauxRacesLaitières,TotalTaureaux*SUM(NbreJoursNourrirBovins)))</f>
        <v>0</v>
      </c>
      <c r="BD197" s="1269">
        <f t="array" ref="BD197">IF(Ration_complète_bovins[somme]&gt;0,0,IFERROR(IF(OR(AND(INDEX(Règles_bovins[Specificite],MATCH(ChoixRationBovins&amp;$BB197,Règles_bovins[Ration]&amp;Règles_bovins[Aliment],0))="s1",IF($BB197=Spécificité1Bovins,1)),
AND(INDEX(Règles_bovins[Specificite],MATCH(ChoixRationBovins&amp;$BB197,Règles_bovins[Ration]&amp;Règles_bovins[Aliment],0))="s2",IF($BB197=Spécificité2Bovins,1)),
INDEX(Règles_bovins[Specificite],MATCH(ChoixRationBovins&amp;$BB197,Règles_bovins[Ration]&amp;Règles_bovins[Aliment],0))="c"),
INDEX(Règles_bovins[Valeur 24-36],MATCH(ChoixRationBovins&amp;$BB197,Règles_bovins[Ration]&amp;Règles_bovins[Aliment],0)),0),0)*IF(ChoixBovinsPréHiver=OUI,TotalTaurillon_24_36_RacesLaitières,TotalBovinsMâles_24_36mois*SUM(NbreJoursNourrirBovins)))</f>
        <v>0</v>
      </c>
      <c r="BE197" s="1269">
        <f t="array" ref="BE197">IF(Ration_complète_bovins[somme]&gt;0,0,IFERROR(IF(OR(AND(INDEX(Règles_bovins[Specificite],MATCH(ChoixRationBovins&amp;$BB197,Règles_bovins[Ration]&amp;Règles_bovins[Aliment],0))="s1",IF($BB197=Spécificité1Bovins,1)),
AND(INDEX(Règles_bovins[Specificite],MATCH(ChoixRationBovins&amp;$BB197,Règles_bovins[Ration]&amp;Règles_bovins[Aliment],0))="s2",IF($BB197=Spécificité2Bovins,1)),
INDEX(Règles_bovins[Specificite],MATCH(ChoixRationBovins&amp;$BB197,Règles_bovins[Ration]&amp;Règles_bovins[Aliment],0))="c"),
INDEX(Règles_bovins[Valeur 18-24],MATCH(ChoixRationBovins&amp;$BB197,Règles_bovins[Ration]&amp;Règles_bovins[Aliment],0)),0),0)*IF(ChoixBovinsPréHiver=OUI,TotalTaurillon_18_24_RacesLaitières,TotalBovinsMâles_18_24mois*SUM(NbreJoursNourrirBovins)))</f>
        <v>0</v>
      </c>
      <c r="BF197" s="1269">
        <f t="array" ref="BF197">IF(Ration_complète_bovins[somme]&gt;0,0,IFERROR(IF(OR(AND(INDEX(Règles_bovins[Specificite],MATCH(ChoixRationBovins&amp;$BB197,Règles_bovins[Ration]&amp;Règles_bovins[Aliment],0))="s1",IF($BB197=Spécificité1Bovins,1)),
AND(INDEX(Règles_bovins[Specificite],MATCH(ChoixRationBovins&amp;$BB197,Règles_bovins[Ration]&amp;Règles_bovins[Aliment],0))="s2",IF($BB197=Spécificité2Bovins,1)),
INDEX(Règles_bovins[Specificite],MATCH(ChoixRationBovins&amp;$BB197,Règles_bovins[Ration]&amp;Règles_bovins[Aliment],0))="c"),
INDEX(Règles_bovins[Valeur 12-18],MATCH(ChoixRationBovins&amp;$BB197,Règles_bovins[Ration]&amp;Règles_bovins[Aliment],0)),0),0)*IF(ChoixBovinsPréHiver=OUI,animaux!D17,TotalBovinsMâles_12_18mois*SUM(NbreJoursNourrirBovins)))</f>
        <v>0</v>
      </c>
      <c r="BG197" s="1269">
        <f t="array" ref="BG197">IF(Ration_complète_bovins[somme]&gt;0,0,IFERROR(IF(OR(AND(INDEX(Règles_bovins[Specificite],MATCH(ChoixRationBovins&amp;$BB197,Règles_bovins[Ration]&amp;Règles_bovins[Aliment],0))="s1",IF($BB197=Spécificité1Bovins,1)),
AND(INDEX(Règles_bovins[Specificite],MATCH(ChoixRationBovins&amp;$BB197,Règles_bovins[Ration]&amp;Règles_bovins[Aliment],0))="s2",IF($BB197=Spécificité2Bovins,1)),
INDEX(Règles_bovins[Specificite],MATCH(ChoixRationBovins&amp;$BB197,Règles_bovins[Ration]&amp;Règles_bovins[Aliment],0))="c"),
INDEX(Règles_bovins[Valeur 6-12],MATCH(ChoixRationBovins&amp;$BB197,Règles_bovins[Ration]&amp;Règles_bovins[Aliment],0)),0),0)*IF(ChoixBovinsPréHiver=OUI,TotalVeauMâle_6_12_RacesLaitières,TotalBovinsMâles_6_12mois*SUM(NbreJoursNourrirBovins)))</f>
        <v>0</v>
      </c>
      <c r="BH197" s="1269">
        <f t="array" ref="BH197">IF(Ration_complète_bovins[somme]&gt;0,0,IFERROR(IF(OR(AND(INDEX(Règles_bovins[Specificite],MATCH(ChoixRationBovins&amp;$BB197,Règles_bovins[Ration]&amp;Règles_bovins[Aliment],0))="s1",IF($BB197=Spécificité1Bovins,1)),
AND(INDEX(Règles_bovins[Specificite],MATCH(ChoixRationBovins&amp;$BB197,Règles_bovins[Ration]&amp;Règles_bovins[Aliment],0))="s2",IF($BB197=Spécificité2Bovins,1)),
INDEX(Règles_bovins[Specificite],MATCH(ChoixRationBovins&amp;$BB197,Règles_bovins[Ration]&amp;Règles_bovins[Aliment],0))="c"),
INDEX(Règles_bovins[Valeur 3-6],MATCH(ChoixRationBovins&amp;$BB197,Règles_bovins[Ration]&amp;Règles_bovins[Aliment],0)),0),0)*IF(ChoixBovinsPréHiver=OUI,TotalVeauMâle_3_6_RacesLaitières,TotalBovinsMâles_3_6mois*SUM(NbreJoursNourrirBovins)))</f>
        <v>0</v>
      </c>
      <c r="BI197" s="1269">
        <f t="array" ref="BI197">IF(Ration_complète_bovins[somme]&gt;0,0,IFERROR(IF(OR(AND(INDEX(Règles_bovins[Specificite],MATCH(ChoixRationBovins&amp;$BB197,Règles_bovins[Ration]&amp;Règles_bovins[Aliment],0))="s1",IF($BB197=Spécificité1Bovins,1)),
AND(INDEX(Règles_bovins[Specificite],MATCH(ChoixRationBovins&amp;$BB197,Règles_bovins[Ration]&amp;Règles_bovins[Aliment],0))="s2",IF($BB197=Spécificité2Bovins,1)),
INDEX(Règles_bovins[Specificite],MATCH(ChoixRationBovins&amp;$BB197,Règles_bovins[Ration]&amp;Règles_bovins[Aliment],0))="c"),
INDEX(Règles_bovins[Valeur 0-3],MATCH(ChoixRationBovins&amp;$BB197,Règles_bovins[Ration]&amp;Règles_bovins[Aliment],0)),0),0)*IF(ChoixBovinsPréHiver=OUI,TotalVeauMâle_0_3_RacesLaitières,TotalBovinsMâles_0_3mois*SUM(NbreJoursNourrirBovins)))</f>
        <v>0</v>
      </c>
      <c r="BJ197" s="1270">
        <f t="shared" si="69"/>
        <v>0</v>
      </c>
      <c r="BK197" s="1321"/>
      <c r="BL197" s="1321"/>
      <c r="BM197" s="1346"/>
      <c r="BN197" s="1321"/>
      <c r="BO197" s="1321"/>
      <c r="BP197" s="1321"/>
      <c r="BQ197" s="1321"/>
      <c r="BR197" s="1321"/>
      <c r="BS197" s="1321"/>
      <c r="BT197" s="1321"/>
      <c r="BU197" s="1321"/>
      <c r="BV197" s="1345"/>
      <c r="BW197" s="1345"/>
      <c r="BX197" s="1075" t="str">
        <f t="shared" ref="BX197:BX231" si="70">BX107</f>
        <v>Betterave</v>
      </c>
      <c r="BY197" s="1269">
        <f t="array" ref="BY197">SUM((IF(QualitéAlimentsChevreau_0_3_mois=BONNE,VLOOKUP("Betterave",AlimentsRationCaprinsMâles,5,FALSE),0)+(IF(QualitéAlimentsChevrette_0_3_mois=BONNE,VLOOKUP("Betterave",AlimentsRationCaprinsFemelles,5,FALSE),0)+(IF(QualitéAlimentsChevreau_3_6_mois=BONNE,VLOOKUP("Betterave",AlimentsRationCaprinsMâles,4,FALSE),0)+(IF(QualitéAlimentsChevrette_3_6_mois=BONNE,VLOOKUP("Betterave",AlimentsRationCaprinsFemelles,4,FALSE),0)+(IF(QualitéAlimentsJeuneBouc=BONNE,VLOOKUP("Betterave",AlimentsRationCaprinsMâles,3,FALSE),0)+(IF(QualitéAlimentsJeuneChèvre=BONNE,VLOOKUP("Betterave",AlimentsRationCaprinsFemelles,3,FALSE),0)+(IF(QualitéAlimentsBouc=BONNE,VLOOKUP("Betterave",AlimentsRationCaprinsMâles,2,FALSE),0)+(IF(QualitéAlimentsChèvre=BONNE,VLOOKUP("Betterave",AlimentsRationCaprinsFemelles,2,FALSE),0))))))))))</f>
        <v>0</v>
      </c>
      <c r="BZ197" s="1269">
        <f t="array" ref="BZ197">SUM((IF(QualitéAlimentsChevreau_0_3_mois=MOYENNE,VLOOKUP("Betterave",AlimentsRationCaprinsMâles,5,FALSE),0)+(IF(QualitéAlimentsChevrette_0_3_mois=MOYENNE,VLOOKUP("Betterave",AlimentsRationCaprinsFemelles,5,FALSE),0)+(IF(QualitéAlimentsChevreau_3_6_mois=MOYENNE,VLOOKUP("Betterave",AlimentsRationCaprinsMâles,4,FALSE),0)+(IF(QualitéAlimentsChevrette_3_6_mois=MOYENNE,VLOOKUP("Betterave",AlimentsRationCaprinsFemelles,4,FALSE),0)+(IF(QualitéAlimentsJeuneBouc=MOYENNE,VLOOKUP("Betterave",AlimentsRationCaprinsMâles,3,FALSE),0)+(IF(QualitéAlimentsJeuneChèvre=MOYENNE,VLOOKUP("Betterave",AlimentsRationCaprinsFemelles,3,FALSE),0)+(IF(QualitéAlimentsBouc=MOYENNE,VLOOKUP("Betterave",AlimentsRationCaprinsMâles,2,FALSE),0)+(IF(QualitéAlimentsChèvre=MOYENNE,VLOOKUP("Betterave",AlimentsRationCaprinsFemelles,2,FALSE),0))))))))))</f>
        <v>0</v>
      </c>
      <c r="CA197" s="1269">
        <f t="array" ref="CA197">SUM((IF(QualitéAlimentsChevreau_0_3_mois=MAUVAISE,VLOOKUP("Betterave",AlimentsRationCaprinsMâles,5,FALSE),0)+(IF(QualitéAlimentsChevrette_0_3_mois=MAUVAISE,VLOOKUP("Betterave",AlimentsRationCaprinsFemelles,5,FALSE),0)+(IF(QualitéAlimentsChevreau_3_6_mois=MAUVAISE,VLOOKUP("Betterave",AlimentsRationCaprinsMâles,4,FALSE),0)+(IF(QualitéAlimentsChevrette_3_6_mois=MAUVAISE,VLOOKUP("Betterave",AlimentsRationCaprinsFemelles,4,FALSE),0)+(IF(QualitéAlimentsJeuneBouc=MAUVAISE,VLOOKUP("Betterave",AlimentsRationCaprinsMâles,3,FALSE),0)+(IF(QualitéAlimentsJeuneChèvre=MAUVAISE,VLOOKUP("Betterave",AlimentsRationCaprinsFemelles,3,FALSE),0)+(IF(QualitéAlimentsBouc=MAUVAISE,VLOOKUP("Betterave",AlimentsRationCaprinsMâles,2,FALSE),0)+(IF(QualitéAlimentsChèvre=MAUVAISE,VLOOKUP("Betterave",AlimentsRationCaprinsFemelles,2,FALSE),0))))))))))</f>
        <v>0</v>
      </c>
      <c r="CB197" s="1321"/>
      <c r="CC197" s="1321"/>
      <c r="CD197" s="1345"/>
      <c r="CE197" s="1345"/>
      <c r="CF197" s="1345"/>
      <c r="CG197" s="1345"/>
      <c r="CH197" s="1345"/>
      <c r="CI197" s="1321"/>
      <c r="CJ197" s="1321"/>
      <c r="CK197" s="1321"/>
      <c r="CL197" s="1321"/>
      <c r="CM197" s="1321"/>
      <c r="CN197" s="1321"/>
      <c r="CO197" s="1321"/>
      <c r="CP197" s="1321"/>
      <c r="CQ197" s="1321"/>
      <c r="CR197" s="1321"/>
      <c r="CS197" s="1321"/>
      <c r="CT197" s="1321"/>
      <c r="CU197" s="1321"/>
      <c r="CV197" s="1321"/>
      <c r="CW197" s="1321"/>
      <c r="CX197" s="1321"/>
      <c r="CY197" s="1321"/>
      <c r="CZ197" s="1321"/>
      <c r="DA197" s="1321"/>
      <c r="DB197" s="1321"/>
      <c r="DC197" s="1321"/>
      <c r="DD197" s="1321"/>
      <c r="DE197" s="1321"/>
      <c r="DF197" s="1321"/>
      <c r="DG197" s="1321"/>
      <c r="DH197" s="1321"/>
      <c r="DI197" s="1321"/>
      <c r="DJ197" s="1321"/>
      <c r="DK197" s="1321"/>
      <c r="DL197" s="1321"/>
      <c r="DM197" s="1321"/>
      <c r="DN197" s="1075" t="str">
        <f t="shared" si="68"/>
        <v>Canola</v>
      </c>
      <c r="DO197" s="1269">
        <f t="array" ref="DO197">IF(AND(ChoixPaysPartie&lt;&gt;USA,ChoixPaysPartie&lt;&gt;CANADA,ChoixPaysPartie&lt;&gt;""),0,IF(ChoixRationComplèteOvins=OUI,0,IFERROR(IF(OR(AND(INDEX(Règles_ovins[Specificite],MATCH(ChoixRationOvins&amp;$DN197,Règles_ovins[Ration]&amp;Règles_ovins[Aliment],0))="s1",IF($DN197=Spécificité1Ovins,1)),
AND(INDEX(Règles_ovins[Specificite],MATCH(ChoixRationOvins&amp;$DN197,Règles_ovins[Ration]&amp;Règles_ovins[Aliment],0))="s2",IF($DN197=Spécificité2Ovins,1)),
INDEX(Règles_ovins[Specificite],MATCH(ChoixRationOvins&amp;$DN197,Règles_ovins[Ration]&amp;Règles_ovins[Aliment],0))="c"),
INDEX(Règles_ovins[Valeur 12 et plus],MATCH(ChoixRationOvins&amp;$DN197,Règles_ovins[Ration]&amp;Règles_ovins[Aliment],0)),0),0)*IF(ChoixOvinsPréHiver=OUI,SUM(TotalOvinsAdultesRacesLaitières)*NbreJoursNourrirOvins,TotalBrebis*SUM(NbreJoursNourrirOvins))))</f>
        <v>0</v>
      </c>
      <c r="DP197" s="1269">
        <f t="array" ref="DP197">IF(AND(ChoixPaysPartie&lt;&gt;USA,ChoixPaysPartie&lt;&gt;CANADA,ChoixPaysPartie&lt;&gt;""),0,IF(ChoixRationComplèteOvins=OUI,0,IFERROR(IF(OR(AND(INDEX(Règles_ovins[Specificite],MATCH(ChoixRationOvins&amp;$DN197,Règles_ovins[Ration]&amp;Règles_ovins[Aliment],0))="s1",IF($DN197=Spécificité1Ovins,1)),
AND(INDEX(Règles_ovins[Specificite],MATCH(ChoixRationOvins&amp;$DN197,Règles_ovins[Ration]&amp;Règles_ovins[Aliment],0))="s2",IF($DN197=Spécificité2Ovins,1)),
INDEX(Règles_ovins[Specificite],MATCH(ChoixRationOvins&amp;$DN197,Règles_ovins[Ration]&amp;Règles_ovins[Aliment],0))="c"),
INDEX(Règles_ovins[Valeur 6-12],MATCH(ChoixRationOvins&amp;$DN197,Règles_ovins[Ration]&amp;Règles_ovins[Aliment],0)),0),0)*IF(ChoixOvinsPréHiver=OUI,SUM(TotalJeunesOvinsRacesLaitières)*NbreJoursNourrirOvins,TotalJeune_brebis_6_12_mois*SUM(NbreJoursNourrirOvins))))</f>
        <v>0</v>
      </c>
      <c r="DQ197" s="1269">
        <f t="array" ref="DQ197">IF(AND(ChoixPaysPartie&lt;&gt;USA,ChoixPaysPartie&lt;&gt;CANADA,ChoixPaysPartie&lt;&gt;""),0,IF(ChoixRationComplèteOvins=OUI,0,IFERROR(IF(OR(AND(INDEX(Règles_ovins[Specificite],MATCH(ChoixRationOvins&amp;$DN197,Règles_ovins[Ration]&amp;Règles_ovins[Aliment],0))="s1",IF($DN197=Spécificité1Ovins,1)),
AND(INDEX(Règles_ovins[Specificite],MATCH(ChoixRationOvins&amp;$DN197,Règles_ovins[Ration]&amp;Règles_ovins[Aliment],0))="s2",IF($DN197=Spécificité2Ovins,1)),
INDEX(Règles_ovins[Specificite],MATCH(ChoixRationOvins&amp;$DN197,Règles_ovins[Ration]&amp;Règles_ovins[Aliment],0))="c"),
INDEX(Règles_ovins[Valeur 3-6],MATCH(ChoixRationOvins&amp;$DN197,Règles_ovins[Ration]&amp;Règles_ovins[Aliment],0)),0),0)*IF(ChoixOvinsPréHiver=OUI,SUM(TotalOvins_3_6moisRacesLaitières)*NbreJoursNourrirOvins,TotalAgnelle_3_6_mois*SUM(NbreJoursNourrirOvins))))</f>
        <v>0</v>
      </c>
      <c r="DR197" s="1269">
        <f t="array" ref="DR197">IF(AND(ChoixPaysPartie&lt;&gt;USA,ChoixPaysPartie&lt;&gt;CANADA,ChoixPaysPartie&lt;&gt;""),0,IF(ChoixRationComplèteOvins=OUI,0,IFERROR(IF(OR(AND(INDEX(Règles_ovins[Specificite],MATCH(ChoixRationOvins&amp;$DN197,Règles_ovins[Ration]&amp;Règles_ovins[Aliment],0))="s1",IF($DN197=Spécificité1Ovins,1)),
AND(INDEX(Règles_ovins[Specificite],MATCH(ChoixRationOvins&amp;$DN197,Règles_ovins[Ration]&amp;Règles_ovins[Aliment],0))="s2",IF($DN197=Spécificité2Ovins,1)),
INDEX(Règles_ovins[Specificite],MATCH(ChoixRationOvins&amp;$DN197,Règles_ovins[Ration]&amp;Règles_ovins[Aliment],0))="c"),
INDEX(Règles_ovins[Valeur 0-3],MATCH(ChoixRationOvins&amp;$DN197,Règles_ovins[Ration]&amp;Règles_ovins[Aliment],0)),0),0)*IF(ChoixOvinsPréHiver=OUI,SUM(TotalOvins_3_6moisRacesLaitières)*NbreJoursNourrirOvins,TotalAgnelle_0_3_mois*SUM(NbreJoursNourrirOvins))))</f>
        <v>0</v>
      </c>
      <c r="DS197" s="1280">
        <f t="shared" si="67"/>
        <v>0</v>
      </c>
      <c r="DT197" s="1346"/>
      <c r="DU197" s="1346"/>
      <c r="DV197" s="1321"/>
      <c r="DW197" s="1321"/>
      <c r="DX197" s="1321"/>
      <c r="DY197" s="1321"/>
      <c r="DZ197" s="1321"/>
      <c r="EA197" s="1321"/>
      <c r="EB197" s="1321"/>
      <c r="EC197" s="1321"/>
      <c r="ED197" s="1345"/>
      <c r="EE197" s="1345"/>
      <c r="EF197" s="1321"/>
      <c r="EG197" s="1321"/>
      <c r="EH197" s="1321"/>
      <c r="EI197" s="1321"/>
      <c r="EJ197" s="1321"/>
      <c r="EK197" s="1345"/>
      <c r="EL197" s="1345"/>
      <c r="EM197" s="1321"/>
      <c r="EN197" s="1321"/>
      <c r="EO197" s="1321"/>
      <c r="EP197" s="1321"/>
      <c r="EQ197" s="1321"/>
      <c r="ER197" s="1345"/>
      <c r="ES197" s="1345"/>
      <c r="ET197" s="1321"/>
      <c r="EU197" s="823" t="s">
        <v>1029</v>
      </c>
      <c r="EV197" s="824"/>
      <c r="EW197" s="825"/>
      <c r="EX197" s="1321"/>
      <c r="EY197" s="1321"/>
      <c r="EZ197" s="1345"/>
      <c r="FA197" s="1345"/>
      <c r="FB197" s="1345"/>
      <c r="FC197" s="1321"/>
      <c r="FD197" s="1281" t="s">
        <v>1276</v>
      </c>
      <c r="FE197" s="1289" t="s">
        <v>1746</v>
      </c>
      <c r="FF197" s="1289" t="s">
        <v>1747</v>
      </c>
      <c r="FG197" s="1289" t="s">
        <v>1748</v>
      </c>
      <c r="FH197" s="1321"/>
      <c r="FI197" s="1321"/>
      <c r="FJ197" s="1345"/>
      <c r="FK197" s="1345"/>
      <c r="FL197" s="1345"/>
      <c r="FM197" s="1321"/>
      <c r="FN197" s="1082" t="str">
        <f>FN53</f>
        <v>Avoine</v>
      </c>
      <c r="FO197" s="1282">
        <f t="array" ref="FO197">SUM((IF(QualitéAlimentsPoulainMâlePoney=BONNE,VLOOKUP("Avoine",AlimentsRationEcuriePoneysMâles,5,FALSE),0)+(IF(QualitéAlimentsPoulainFemellePoney=BONNE,VLOOKUP("Avoine",AlimentsRationEcuriePoneysFemelles,5,FALSE),0)+(IF(QualitéAlimentsJeuneEtalon_12_24_moisPoney=BONNE,VLOOKUP("Avoine",AlimentsRationEcuriePoneysMâles,4,FALSE),0)+(IF(QualitéAlimentsJeuneJument_12_24_moisPoney=BONNE,VLOOKUP("Avoine",AlimentsRationEcuriePoneysFemelles,4,FALSE),0)+(IF(QualitéAlimentsJeuneEtalon_24_36_moisPoney=BONNE,VLOOKUP("Avoine",AlimentsRationEcuriePoneysMâles,3,FALSE),0)+(IF(QualitéAlimentsJeuneJument_24_36_moisPoney=BONNE,VLOOKUP("Avoine",AlimentsRationEcuriePoneysFemelles,3,FALSE),0)+(IF(QualitéAlimentsEtalonPoney=BONNE,VLOOKUP("Avoine",AlimentsRationEcuriePoneysMâles,2,FALSE),0)+(IF(QualitéAlimentsJumentPoney=BONNE,VLOOKUP("Avoine",AlimentsRationEcuriePoneysFemelles,2,FALSE),0))))))))))</f>
        <v>0</v>
      </c>
      <c r="FP197" s="1282">
        <f t="array" ref="FP197">SUM((IF(QualitéAlimentsPoulainMâlePoney=MOYENNE,VLOOKUP("Avoine",AlimentsRationEcuriePoneysMâles,5,FALSE),0)+(IF(QualitéAlimentsPoulainFemellePoney=MOYENNE,VLOOKUP("Avoine",AlimentsRationEcuriePoneysFemelles,5,FALSE),0)+(IF(QualitéAlimentsJeuneEtalon_12_24_moisPoney=MOYENNE,VLOOKUP("Avoine",AlimentsRationEcuriePoneysMâles,4,FALSE),0)+(IF(QualitéAlimentsJeuneJument_12_24_moisPoney=MOYENNE,VLOOKUP("Avoine",AlimentsRationEcuriePoneysFemelles,4,FALSE),0)+(IF(QualitéAlimentsJeuneEtalon_24_36_moisPoney=MOYENNE,VLOOKUP("Avoine",AlimentsRationEcuriePoneysMâles,3,FALSE),0)+(IF(QualitéAlimentsJeuneJument_24_36_moisPoney=MOYENNE,VLOOKUP("Avoine",AlimentsRationEcuriePoneysFemelles,3,FALSE),0)+(IF(QualitéAlimentsEtalonPoney=MOYENNE,VLOOKUP("Avoine",AlimentsRationEcuriePoneysMâles,2,FALSE),0)+(IF(QualitéAlimentsJumentPoney=MOYENNE,VLOOKUP("Avoine",AlimentsRationEcuriePoneysFemelles,2,FALSE),0))))))))))</f>
        <v>0</v>
      </c>
      <c r="FQ197" s="1282">
        <f t="array" ref="FQ197">SUM((IF(QualitéAlimentsPoulainMâlePoney=MAUVAISE,VLOOKUP("Avoine",AlimentsRationEcuriePoneysMâles,5,FALSE),0)+(IF(QualitéAlimentsPoulainFemellePoney=MAUVAISE,VLOOKUP("Avoine",AlimentsRationEcuriePoneysFemelles,5,FALSE),0)+(IF(QualitéAlimentsJeuneEtalon_12_24_moisPoney=MAUVAISE,VLOOKUP("Avoine",AlimentsRationEcuriePoneysMâles,4,FALSE),0)+(IF(QualitéAlimentsJeuneJument_12_24_moisPoney=MAUVAISE,VLOOKUP("Avoine",AlimentsRationEcuriePoneysFemelles,4,FALSE),0)+(IF(QualitéAlimentsJeuneEtalon_24_36_moisPoney=MAUVAISE,VLOOKUP("Avoine",AlimentsRationEcuriePoneysMâles,3,FALSE),0)+(IF(QualitéAlimentsJeuneJument_24_36_moisPoney=MAUVAISE,VLOOKUP("Avoine",AlimentsRationEcuriePoneysFemelles,3,FALSE),0)+(IF(QualitéAlimentsEtalonPoney=MAUVAISE,VLOOKUP("Avoine",AlimentsRationEcuriePoneysMâles,2,FALSE),0)+(IF(QualitéAlimentsJumentPoney=MAUVAISE,VLOOKUP("Avoine",AlimentsRationEcuriePoneysFemelles,2,FALSE),0))))))))))</f>
        <v>0</v>
      </c>
      <c r="FR197" s="1345"/>
      <c r="FS197" s="1345"/>
      <c r="FT197" s="1345"/>
      <c r="FU197" s="1345"/>
      <c r="FV197" s="1345"/>
      <c r="FW197" s="1345"/>
      <c r="FX197" s="1345"/>
      <c r="FY197" s="1345"/>
      <c r="FZ197" s="1345"/>
      <c r="GA197" s="1345"/>
      <c r="GB197" s="1345"/>
      <c r="GC197" s="1321"/>
      <c r="GD197" s="1321"/>
      <c r="GE197" s="1321"/>
      <c r="GF197" s="1321"/>
      <c r="GG197" s="1321" t="s">
        <v>1349</v>
      </c>
      <c r="GH197" s="1321" t="s">
        <v>1349</v>
      </c>
      <c r="GI197" s="1321" t="s">
        <v>1349</v>
      </c>
      <c r="GJ197" s="1321" t="s">
        <v>1349</v>
      </c>
      <c r="GK197" s="1321" t="s">
        <v>1349</v>
      </c>
      <c r="GL197" s="1321" t="s">
        <v>1349</v>
      </c>
      <c r="GM197" s="1321" t="s">
        <v>1349</v>
      </c>
      <c r="GN197" s="1321" t="s">
        <v>1349</v>
      </c>
      <c r="GO197" s="1321" t="s">
        <v>1349</v>
      </c>
      <c r="GP197" s="1321" t="s">
        <v>1349</v>
      </c>
      <c r="GQ197" s="1321" t="s">
        <v>1349</v>
      </c>
      <c r="GR197" s="1321" t="s">
        <v>1349</v>
      </c>
      <c r="GS197" s="1321" t="s">
        <v>1349</v>
      </c>
      <c r="GT197" s="1321" t="s">
        <v>1349</v>
      </c>
      <c r="GU197" s="1321" t="s">
        <v>1349</v>
      </c>
      <c r="GV197" s="1321" t="s">
        <v>1349</v>
      </c>
      <c r="GW197" s="1321"/>
      <c r="GX197" s="1321"/>
      <c r="GY197" s="1321"/>
      <c r="GZ197" s="1321"/>
      <c r="HA197" s="1321"/>
      <c r="HB197" s="1321"/>
      <c r="HC197" s="1321"/>
      <c r="HD197" s="1321"/>
      <c r="HE197" s="1321"/>
      <c r="HF197" s="1321"/>
      <c r="HG197" s="1321"/>
      <c r="HH197" s="1321"/>
      <c r="HI197" s="1321"/>
      <c r="HJ197" s="1321"/>
      <c r="HK197" s="1321"/>
      <c r="HL197" s="1321"/>
      <c r="HM197" s="1321"/>
      <c r="HN197" s="1321"/>
      <c r="HO197" s="1321"/>
      <c r="HP197" s="1321"/>
      <c r="HQ197" s="1321"/>
      <c r="HR197" s="1321"/>
      <c r="HS197" s="1321"/>
      <c r="HT197" s="1321"/>
      <c r="HU197" s="1321"/>
      <c r="HV197" s="1321"/>
      <c r="HW197" s="1321"/>
      <c r="HX197" s="1321"/>
      <c r="HY197" s="1321"/>
      <c r="HZ197" s="1321"/>
      <c r="IA197" s="1321"/>
      <c r="IB197" s="1321"/>
      <c r="IC197" s="1321"/>
      <c r="ID197" s="1321"/>
      <c r="IE197" s="1321"/>
      <c r="IF197" s="1321"/>
      <c r="IG197" s="1321"/>
      <c r="IH197" s="1321"/>
      <c r="II197" s="1321"/>
      <c r="IJ197" s="1321"/>
      <c r="IK197" s="1321"/>
      <c r="IL197" s="1321"/>
      <c r="IM197" s="1321"/>
      <c r="IN197" s="1368"/>
    </row>
    <row r="198" spans="1:248" ht="12.75" customHeight="1" x14ac:dyDescent="0.2">
      <c r="A198" s="1319"/>
      <c r="B198" s="1320"/>
      <c r="C198" s="1321"/>
      <c r="D198" s="1251" t="s">
        <v>1986</v>
      </c>
      <c r="E198" s="1252">
        <v>1.9</v>
      </c>
      <c r="F198" s="1321"/>
      <c r="G198" s="1321"/>
      <c r="H198" s="1321"/>
      <c r="I198" s="1321"/>
      <c r="J198" s="1321"/>
      <c r="K198" s="1321"/>
      <c r="L198" s="1321"/>
      <c r="M198" s="1321"/>
      <c r="N198" s="1321"/>
      <c r="O198" s="1321"/>
      <c r="P198" s="1321"/>
      <c r="Q198" s="1321"/>
      <c r="R198" s="1321"/>
      <c r="S198" s="1321"/>
      <c r="T198" s="1321"/>
      <c r="U198" s="1321"/>
      <c r="V198" s="1321"/>
      <c r="W198" s="1321"/>
      <c r="X198" s="1321"/>
      <c r="Y198" s="1321"/>
      <c r="Z198" s="1321"/>
      <c r="AA198" s="1321"/>
      <c r="AB198" s="1321"/>
      <c r="AC198" s="1321"/>
      <c r="AD198" s="1321"/>
      <c r="AE198" s="1321"/>
      <c r="AF198" s="1321"/>
      <c r="AG198" s="1321"/>
      <c r="AH198" s="1321"/>
      <c r="AI198" s="1321"/>
      <c r="AJ198" s="1321"/>
      <c r="AK198" s="1321"/>
      <c r="AL198" s="1321"/>
      <c r="AM198" s="1321"/>
      <c r="AN198" s="1321"/>
      <c r="AO198" s="1321"/>
      <c r="AP198" s="1321"/>
      <c r="AQ198" s="1321"/>
      <c r="AR198" s="1321"/>
      <c r="AS198" s="1321"/>
      <c r="AT198" s="1321"/>
      <c r="AU198" s="1321"/>
      <c r="AV198" s="1321"/>
      <c r="AW198" s="1321"/>
      <c r="AX198" s="1321"/>
      <c r="AY198" s="1321"/>
      <c r="AZ198" s="1321"/>
      <c r="BA198" s="1321"/>
      <c r="BB198" s="1076" t="s">
        <v>1270</v>
      </c>
      <c r="BC198" s="1267">
        <f t="array" ref="BC198">IF(Ration_complète_bovins[somme]&gt;0,0,IFERROR(IF(OR(AND(INDEX(Règles_bovins[Specificite],MATCH(ChoixRationBovins&amp;$BB198,Règles_bovins[Ration]&amp;Règles_bovins[Aliment],0))="s1",IF($BB198=Spécificité1Bovins,1)),
AND(INDEX(Règles_bovins[Specificite],MATCH(ChoixRationBovins&amp;$BB198,Règles_bovins[Ration]&amp;Règles_bovins[Aliment],0))="s2",IF($BB198=Spécificité2Bovins,1)),
INDEX(Règles_bovins[Specificite],MATCH(ChoixRationBovins&amp;$BB198,Règles_bovins[Ration]&amp;Règles_bovins[Aliment],0))="c"),
INDEX(Règles_bovins[Valeur 36 et plus],MATCH(ChoixRationBovins&amp;$BB198,Règles_bovins[Ration]&amp;Règles_bovins[Aliment],0)),0),0)*IF(ChoixBovinsPréHiver=OUI,TotalTaureauxRacesLaitières,TotalTaureaux*SUM(NbreJoursNourrirBovins)))</f>
        <v>0</v>
      </c>
      <c r="BD198" s="1267">
        <f t="array" ref="BD198">IF(Ration_complète_bovins[somme]&gt;0,0,IFERROR(IF(OR(AND(INDEX(Règles_bovins[Specificite],MATCH(ChoixRationBovins&amp;$BB198,Règles_bovins[Ration]&amp;Règles_bovins[Aliment],0))="s1",IF($BB198=Spécificité1Bovins,1)),
AND(INDEX(Règles_bovins[Specificite],MATCH(ChoixRationBovins&amp;$BB198,Règles_bovins[Ration]&amp;Règles_bovins[Aliment],0))="s2",IF($BB198=Spécificité2Bovins,1)),
INDEX(Règles_bovins[Specificite],MATCH(ChoixRationBovins&amp;$BB198,Règles_bovins[Ration]&amp;Règles_bovins[Aliment],0))="c"),
INDEX(Règles_bovins[Valeur 24-36],MATCH(ChoixRationBovins&amp;$BB198,Règles_bovins[Ration]&amp;Règles_bovins[Aliment],0)),0),0)*IF(ChoixBovinsPréHiver=OUI,TotalTaurillon_24_36_RacesLaitières,TotalBovinsMâles_24_36mois*SUM(NbreJoursNourrirBovins)))</f>
        <v>0</v>
      </c>
      <c r="BE198" s="1267">
        <f t="array" ref="BE198">IF(Ration_complète_bovins[somme]&gt;0,0,IFERROR(IF(OR(AND(INDEX(Règles_bovins[Specificite],MATCH(ChoixRationBovins&amp;$BB198,Règles_bovins[Ration]&amp;Règles_bovins[Aliment],0))="s1",IF($BB198=Spécificité1Bovins,1)),
AND(INDEX(Règles_bovins[Specificite],MATCH(ChoixRationBovins&amp;$BB198,Règles_bovins[Ration]&amp;Règles_bovins[Aliment],0))="s2",IF($BB198=Spécificité2Bovins,1)),
INDEX(Règles_bovins[Specificite],MATCH(ChoixRationBovins&amp;$BB198,Règles_bovins[Ration]&amp;Règles_bovins[Aliment],0))="c"),
INDEX(Règles_bovins[Valeur 18-24],MATCH(ChoixRationBovins&amp;$BB198,Règles_bovins[Ration]&amp;Règles_bovins[Aliment],0)),0),0)*IF(ChoixBovinsPréHiver=OUI,TotalTaurillon_18_24_RacesLaitières,TotalBovinsMâles_18_24mois*SUM(NbreJoursNourrirBovins)))</f>
        <v>0</v>
      </c>
      <c r="BF198" s="1267">
        <f t="array" ref="BF198">IF(Ration_complète_bovins[somme]&gt;0,0,IFERROR(IF(OR(AND(INDEX(Règles_bovins[Specificite],MATCH(ChoixRationBovins&amp;$BB198,Règles_bovins[Ration]&amp;Règles_bovins[Aliment],0))="s1",IF($BB198=Spécificité1Bovins,1)),
AND(INDEX(Règles_bovins[Specificite],MATCH(ChoixRationBovins&amp;$BB198,Règles_bovins[Ration]&amp;Règles_bovins[Aliment],0))="s2",IF($BB198=Spécificité2Bovins,1)),
INDEX(Règles_bovins[Specificite],MATCH(ChoixRationBovins&amp;$BB198,Règles_bovins[Ration]&amp;Règles_bovins[Aliment],0))="c"),
INDEX(Règles_bovins[Valeur 12-18],MATCH(ChoixRationBovins&amp;$BB198,Règles_bovins[Ration]&amp;Règles_bovins[Aliment],0)),0),0)*IF(ChoixBovinsPréHiver=OUI,animaux!D18,TotalBovinsMâles_12_18mois*SUM(NbreJoursNourrirBovins)))</f>
        <v>0</v>
      </c>
      <c r="BG198" s="1267">
        <f t="array" ref="BG198">IF(Ration_complète_bovins[somme]&gt;0,0,IFERROR(IF(OR(AND(INDEX(Règles_bovins[Specificite],MATCH(ChoixRationBovins&amp;$BB198,Règles_bovins[Ration]&amp;Règles_bovins[Aliment],0))="s1",IF($BB198=Spécificité1Bovins,1)),
AND(INDEX(Règles_bovins[Specificite],MATCH(ChoixRationBovins&amp;$BB198,Règles_bovins[Ration]&amp;Règles_bovins[Aliment],0))="s2",IF($BB198=Spécificité2Bovins,1)),
INDEX(Règles_bovins[Specificite],MATCH(ChoixRationBovins&amp;$BB198,Règles_bovins[Ration]&amp;Règles_bovins[Aliment],0))="c"),
INDEX(Règles_bovins[Valeur 6-12],MATCH(ChoixRationBovins&amp;$BB198,Règles_bovins[Ration]&amp;Règles_bovins[Aliment],0)),0),0)*IF(ChoixBovinsPréHiver=OUI,TotalVeauMâle_6_12_RacesLaitières,TotalBovinsMâles_6_12mois*SUM(NbreJoursNourrirBovins)))</f>
        <v>0</v>
      </c>
      <c r="BH198" s="1267">
        <f t="array" ref="BH198">IF(Ration_complète_bovins[somme]&gt;0,0,IFERROR(IF(OR(AND(INDEX(Règles_bovins[Specificite],MATCH(ChoixRationBovins&amp;$BB198,Règles_bovins[Ration]&amp;Règles_bovins[Aliment],0))="s1",IF($BB198=Spécificité1Bovins,1)),
AND(INDEX(Règles_bovins[Specificite],MATCH(ChoixRationBovins&amp;$BB198,Règles_bovins[Ration]&amp;Règles_bovins[Aliment],0))="s2",IF($BB198=Spécificité2Bovins,1)),
INDEX(Règles_bovins[Specificite],MATCH(ChoixRationBovins&amp;$BB198,Règles_bovins[Ration]&amp;Règles_bovins[Aliment],0))="c"),
INDEX(Règles_bovins[Valeur 3-6],MATCH(ChoixRationBovins&amp;$BB198,Règles_bovins[Ration]&amp;Règles_bovins[Aliment],0)),0),0)*IF(ChoixBovinsPréHiver=OUI,TotalVeauMâle_3_6_RacesLaitières,TotalBovinsMâles_3_6mois*SUM(NbreJoursNourrirBovins)))</f>
        <v>0</v>
      </c>
      <c r="BI198" s="1267">
        <f t="array" ref="BI198">IF(Ration_complète_bovins[somme]&gt;0,0,IFERROR(IF(OR(AND(INDEX(Règles_bovins[Specificite],MATCH(ChoixRationBovins&amp;$BB198,Règles_bovins[Ration]&amp;Règles_bovins[Aliment],0))="s1",IF($BB198=Spécificité1Bovins,1)),
AND(INDEX(Règles_bovins[Specificite],MATCH(ChoixRationBovins&amp;$BB198,Règles_bovins[Ration]&amp;Règles_bovins[Aliment],0))="s2",IF($BB198=Spécificité2Bovins,1)),
INDEX(Règles_bovins[Specificite],MATCH(ChoixRationBovins&amp;$BB198,Règles_bovins[Ration]&amp;Règles_bovins[Aliment],0))="c"),
INDEX(Règles_bovins[Valeur 0-3],MATCH(ChoixRationBovins&amp;$BB198,Règles_bovins[Ration]&amp;Règles_bovins[Aliment],0)),0),0)*IF(ChoixBovinsPréHiver=OUI,TotalVeauMâle_0_3_RacesLaitières,TotalBovinsMâles_0_3mois*SUM(NbreJoursNourrirBovins)))</f>
        <v>0</v>
      </c>
      <c r="BJ198" s="1268">
        <f t="shared" si="69"/>
        <v>0</v>
      </c>
      <c r="BK198" s="1321"/>
      <c r="BL198" s="1321"/>
      <c r="BM198" s="1346"/>
      <c r="BN198" s="1321"/>
      <c r="BO198" s="1321"/>
      <c r="BP198" s="1321"/>
      <c r="BQ198" s="1321"/>
      <c r="BR198" s="1321"/>
      <c r="BS198" s="1321"/>
      <c r="BT198" s="1321"/>
      <c r="BU198" s="1321"/>
      <c r="BV198" s="1345"/>
      <c r="BW198" s="1345"/>
      <c r="BX198" s="1076" t="str">
        <f t="shared" si="70"/>
        <v>Blé</v>
      </c>
      <c r="BY198" s="1267">
        <f t="array" ref="BY198">SUM((IF(QualitéAlimentsChevreau_0_3_mois=BONNE,VLOOKUP("Blé",AlimentsRationCaprinsMâles,5,FALSE),0)+(IF(QualitéAlimentsChevrette_0_3_mois=BONNE,VLOOKUP("Blé",AlimentsRationCaprinsFemelles,5,FALSE),0)+(IF(QualitéAlimentsChevreau_3_6_mois=BONNE,VLOOKUP("Blé",AlimentsRationCaprinsMâles,4,FALSE),0)+(IF(QualitéAlimentsChevrette_3_6_mois=BONNE,VLOOKUP("Blé",AlimentsRationCaprinsFemelles,4,FALSE),0)+(IF(QualitéAlimentsJeuneBouc=BONNE,VLOOKUP("Blé",AlimentsRationCaprinsMâles,3,FALSE),0)+(IF(QualitéAlimentsJeuneChèvre=BONNE,VLOOKUP("Blé",AlimentsRationCaprinsFemelles,3,FALSE),0)+(IF(QualitéAlimentsBouc=BONNE,VLOOKUP("Blé",AlimentsRationCaprinsMâles,2,FALSE),0)+(IF(QualitéAlimentsChèvre=BONNE,VLOOKUP("Blé",AlimentsRationCaprinsFemelles,2,FALSE),0))))))))))</f>
        <v>0</v>
      </c>
      <c r="BZ198" s="1267">
        <f t="array" ref="BZ198">SUM((IF(QualitéAlimentsChevreau_0_3_mois=MOYENNE,VLOOKUP("Blé",AlimentsRationCaprinsMâles,5,FALSE),0)+(IF(QualitéAlimentsChevrette_0_3_mois=MOYENNE,VLOOKUP("Blé",AlimentsRationCaprinsFemelles,5,FALSE),0)+(IF(QualitéAlimentsChevreau_3_6_mois=MOYENNE,VLOOKUP("Blé",AlimentsRationCaprinsMâles,4,FALSE),0)+(IF(QualitéAlimentsChevrette_3_6_mois=MOYENNE,VLOOKUP("Blé",AlimentsRationCaprinsFemelles,4,FALSE),0)+(IF(QualitéAlimentsJeuneBouc=MOYENNE,VLOOKUP("Blé",AlimentsRationCaprinsMâles,3,FALSE),0)+(IF(QualitéAlimentsJeuneChèvre=MOYENNE,VLOOKUP("Blé",AlimentsRationCaprinsFemelles,3,FALSE),0)+(IF(QualitéAlimentsBouc=MOYENNE,VLOOKUP("Blé",AlimentsRationCaprinsMâles,2,FALSE),0)+(IF(QualitéAlimentsChèvre=MOYENNE,VLOOKUP("Blé",AlimentsRationCaprinsFemelles,2,FALSE),0))))))))))</f>
        <v>0</v>
      </c>
      <c r="CA198" s="1267">
        <f t="array" ref="CA198">SUM((IF(QualitéAlimentsChevreau_0_3_mois=MAUVAISE,VLOOKUP("Blé",AlimentsRationCaprinsMâles,5,FALSE),0)+(IF(QualitéAlimentsChevrette_0_3_mois=MAUVAISE,VLOOKUP("Blé",AlimentsRationCaprinsFemelles,5,FALSE),0)+(IF(QualitéAlimentsChevreau_3_6_mois=MAUVAISE,VLOOKUP("Blé",AlimentsRationCaprinsMâles,4,FALSE),0)+(IF(QualitéAlimentsChevrette_3_6_mois=MAUVAISE,VLOOKUP("Blé",AlimentsRationCaprinsFemelles,4,FALSE),0)+(IF(QualitéAlimentsJeuneBouc=MAUVAISE,VLOOKUP("Blé",AlimentsRationCaprinsMâles,3,FALSE),0)+(IF(QualitéAlimentsJeuneChèvre=MAUVAISE,VLOOKUP("Blé",AlimentsRationCaprinsFemelles,3,FALSE),0)+(IF(QualitéAlimentsBouc=MAUVAISE,VLOOKUP("Blé",AlimentsRationCaprinsMâles,2,FALSE),0)+(IF(QualitéAlimentsChèvre=MAUVAISE,VLOOKUP("Blé",AlimentsRationCaprinsFemelles,2,FALSE),0))))))))))</f>
        <v>0</v>
      </c>
      <c r="CB198" s="1350"/>
      <c r="CC198" s="1350"/>
      <c r="CD198" s="1345"/>
      <c r="CE198" s="1345"/>
      <c r="CF198" s="1345"/>
      <c r="CG198" s="1345"/>
      <c r="CH198" s="1345"/>
      <c r="CI198" s="1321"/>
      <c r="CJ198" s="1321"/>
      <c r="CK198" s="1321"/>
      <c r="CL198" s="1321"/>
      <c r="CM198" s="1321"/>
      <c r="CN198" s="1321"/>
      <c r="CO198" s="1321"/>
      <c r="CP198" s="1321"/>
      <c r="CQ198" s="1321"/>
      <c r="CR198" s="1321"/>
      <c r="CS198" s="1321"/>
      <c r="CT198" s="1321"/>
      <c r="CU198" s="1321"/>
      <c r="CV198" s="1321"/>
      <c r="CW198" s="1321"/>
      <c r="CX198" s="1321"/>
      <c r="CY198" s="1321"/>
      <c r="CZ198" s="1321"/>
      <c r="DA198" s="1321"/>
      <c r="DB198" s="1321"/>
      <c r="DC198" s="1321"/>
      <c r="DD198" s="1321"/>
      <c r="DE198" s="1321"/>
      <c r="DF198" s="1321"/>
      <c r="DG198" s="1321"/>
      <c r="DH198" s="1321"/>
      <c r="DI198" s="1321"/>
      <c r="DJ198" s="1321"/>
      <c r="DK198" s="1321"/>
      <c r="DL198" s="1321"/>
      <c r="DM198" s="1321"/>
      <c r="DN198" s="1076" t="str">
        <f t="shared" si="68"/>
        <v>Colza</v>
      </c>
      <c r="DO198" s="1267">
        <f t="array" ref="DO198">IF(ChoixRationComplèteOvins=OUI,0,IFERROR(IF(OR(AND(INDEX(Règles_ovins[Specificite],MATCH(ChoixRationOvins&amp;$DN198,Règles_ovins[Ration]&amp;Règles_ovins[Aliment],0))="s1",IF($DN198=Spécificité1Ovins,1)),
AND(INDEX(Règles_ovins[Specificite],MATCH(ChoixRationOvins&amp;$DN198,Règles_ovins[Ration]&amp;Règles_ovins[Aliment],0))="s2",IF($DN198=Spécificité2Ovins,1)),
INDEX(Règles_ovins[Specificite],MATCH(ChoixRationOvins&amp;$DN198,Règles_ovins[Ration]&amp;Règles_ovins[Aliment],0))="c"),
INDEX(Règles_ovins[Valeur 12 et plus],MATCH(ChoixRationOvins&amp;$DN198,Règles_ovins[Ration]&amp;Règles_ovins[Aliment],0)),0),0)*IF(ChoixOvinsPréHiver=OUI,SUM(TotalOvinsAdultesRacesLaitières)*NbreJoursNourrirOvins,TotalBrebis*SUM(NbreJoursNourrirOvins)))</f>
        <v>0</v>
      </c>
      <c r="DP198" s="1267">
        <f t="array" ref="DP198">IF(ChoixRationComplèteOvins=OUI,0,IFERROR(IF(OR(AND(INDEX(Règles_ovins[Specificite],MATCH(ChoixRationOvins&amp;$DN198,Règles_ovins[Ration]&amp;Règles_ovins[Aliment],0))="s1",IF($DN198=Spécificité1Ovins,1)),
AND(INDEX(Règles_ovins[Specificite],MATCH(ChoixRationOvins&amp;$DN198,Règles_ovins[Ration]&amp;Règles_ovins[Aliment],0))="s2",IF($DN198=Spécificité2Ovins,1)),
INDEX(Règles_ovins[Specificite],MATCH(ChoixRationOvins&amp;$DN198,Règles_ovins[Ration]&amp;Règles_ovins[Aliment],0))="c"),
INDEX(Règles_ovins[Valeur 6-12],MATCH(ChoixRationOvins&amp;$DN198,Règles_ovins[Ration]&amp;Règles_ovins[Aliment],0)),0),0)*IF(ChoixOvinsPréHiver=OUI,SUM(TotalJeunesOvinsRacesLaitières)*NbreJoursNourrirOvins,TotalJeune_brebis_6_12_mois*SUM(NbreJoursNourrirOvins)))</f>
        <v>0</v>
      </c>
      <c r="DQ198" s="1267">
        <f t="array" ref="DQ198">IF(ChoixRationComplèteOvins=OUI,0,IFERROR(IF(OR(AND(INDEX(Règles_ovins[Specificite],MATCH(ChoixRationOvins&amp;$DN198,Règles_ovins[Ration]&amp;Règles_ovins[Aliment],0))="s1",IF($DN198=Spécificité1Ovins,1)),
AND(INDEX(Règles_ovins[Specificite],MATCH(ChoixRationOvins&amp;$DN198,Règles_ovins[Ration]&amp;Règles_ovins[Aliment],0))="s2",IF($DN198=Spécificité2Ovins,1)),
INDEX(Règles_ovins[Specificite],MATCH(ChoixRationOvins&amp;$DN198,Règles_ovins[Ration]&amp;Règles_ovins[Aliment],0))="c"),
INDEX(Règles_ovins[Valeur 3-6],MATCH(ChoixRationOvins&amp;$DN198,Règles_ovins[Ration]&amp;Règles_ovins[Aliment],0)),0),0)*IF(ChoixOvinsPréHiver=OUI,SUM(TotalOvins_3_6moisRacesLaitières)*NbreJoursNourrirOvins,TotalAgnelle_3_6_mois*SUM(NbreJoursNourrirOvins)))</f>
        <v>0</v>
      </c>
      <c r="DR198" s="1267">
        <f t="array" ref="DR198">IF(ChoixRationComplèteOvins=OUI,0,IFERROR(IF(OR(AND(INDEX(Règles_ovins[Specificite],MATCH(ChoixRationOvins&amp;$DN198,Règles_ovins[Ration]&amp;Règles_ovins[Aliment],0))="s1",IF($DN198=Spécificité1Ovins,1)),
AND(INDEX(Règles_ovins[Specificite],MATCH(ChoixRationOvins&amp;$DN198,Règles_ovins[Ration]&amp;Règles_ovins[Aliment],0))="s2",IF($DN198=Spécificité2Ovins,1)),
INDEX(Règles_ovins[Specificite],MATCH(ChoixRationOvins&amp;$DN198,Règles_ovins[Ration]&amp;Règles_ovins[Aliment],0))="c"),
INDEX(Règles_ovins[Valeur 0-3],MATCH(ChoixRationOvins&amp;$DN198,Règles_ovins[Ration]&amp;Règles_ovins[Aliment],0)),0),0)*IF(ChoixOvinsPréHiver=OUI,SUM(TotalOvins_3_6moisRacesLaitières)*NbreJoursNourrirOvins,TotalAgnelle_0_3_mois*SUM(NbreJoursNourrirOvins)))</f>
        <v>0</v>
      </c>
      <c r="DS198" s="1279">
        <f t="shared" si="67"/>
        <v>0</v>
      </c>
      <c r="DT198" s="1346"/>
      <c r="DU198" s="1346"/>
      <c r="DV198" s="1321"/>
      <c r="DW198" s="1321"/>
      <c r="DX198" s="1321"/>
      <c r="DY198" s="1321"/>
      <c r="DZ198" s="1321"/>
      <c r="EA198" s="1321"/>
      <c r="EB198" s="1321"/>
      <c r="EC198" s="1321"/>
      <c r="ED198" s="1345"/>
      <c r="EE198" s="1345"/>
      <c r="EF198" s="1321"/>
      <c r="EG198" s="1321"/>
      <c r="EH198" s="1321"/>
      <c r="EI198" s="1321"/>
      <c r="EJ198" s="1321"/>
      <c r="EK198" s="1345"/>
      <c r="EL198" s="1345"/>
      <c r="EM198" s="1321"/>
      <c r="EN198" s="1321"/>
      <c r="EO198" s="1321"/>
      <c r="EP198" s="1321"/>
      <c r="EQ198" s="1321"/>
      <c r="ER198" s="1345"/>
      <c r="ES198" s="1345"/>
      <c r="ET198" s="1321"/>
      <c r="EU198" s="823" t="s">
        <v>1030</v>
      </c>
      <c r="EV198" s="824">
        <f>EY34*SUM(TotalChevauxSelleAdultes)*SUM(NbreJoursNourrirChevauxSelle)</f>
        <v>0</v>
      </c>
      <c r="EW198" s="825">
        <v>0</v>
      </c>
      <c r="EX198" s="1321"/>
      <c r="EY198" s="1321"/>
      <c r="EZ198" s="1345"/>
      <c r="FA198" s="1345"/>
      <c r="FB198" s="1345"/>
      <c r="FC198" s="1321"/>
      <c r="FD198" s="1082" t="str">
        <f>FD54</f>
        <v>Avoine</v>
      </c>
      <c r="FE198" s="1282">
        <f t="array" ref="FE198">SUM((IF(QualitéAlimentsPoulainMâleTrait=BONNE,VLOOKUP("Avoine",AlimentsRationEcurieChevauxMâlesTrait,5,FALSE),0)+(IF(QualitéAlimentsPoulainFemelleTrait=BONNE,VLOOKUP("Avoine",AlimentsRationEcurieChevauxFemellesTrait,5,FALSE),0)+(IF(QualitéAlimentsJeuneEtalon_12_24_moisTrait=BONNE,VLOOKUP("Avoine",AlimentsRationEcurieChevauxMâlesTrait,4,FALSE),0)+(IF(QualitéAlimentsJeuneJument_12_24_moisTrait=BONNE,VLOOKUP("Avoine",AlimentsRationEcurieChevauxFemellesTrait,4,FALSE),0)+(IF(QualitéAlimentsJeuneEtalon_24_36_moisTrait=BONNE,VLOOKUP("Avoine",AlimentsRationEcurieChevauxMâlesTrait,3,FALSE),0)+(IF(QualitéAlimentsJeuneJument_24_36_moisTrait=BONNE,VLOOKUP("Avoine",AlimentsRationEcurieChevauxFemellesTrait,3,FALSE),0)+(IF(QualitéAlimentsEtalonTrait=BONNE,VLOOKUP("Avoine",AlimentsRationEcurieChevauxMâlesTrait,2,FALSE),0)+(IF(QualitéAlimentsJumentTrait=BONNE,VLOOKUP("Avoine",AlimentsRationEcurieChevauxFemellesTrait,2,FALSE),0))))))))))</f>
        <v>0</v>
      </c>
      <c r="FF198" s="1282">
        <f t="array" ref="FF198">SUM((IF(QualitéAlimentsPoulainMâleTrait=MOYENNE,VLOOKUP("Avoine",AlimentsRationEcurieChevauxMâlesTrait,5,FALSE),0)+(IF(QualitéAlimentsPoulainFemelleTrait=MOYENNE,VLOOKUP("Avoine",AlimentsRationEcurieChevauxFemellesTrait,5,FALSE),0)+(IF(QualitéAlimentsJeuneEtalon_12_24_moisTrait=MOYENNE,VLOOKUP("Avoine",AlimentsRationEcurieChevauxMâlesTrait,4,FALSE),0)+(IF(QualitéAlimentsJeuneJument_12_24_moisTrait=MOYENNE,VLOOKUP("Avoine",AlimentsRationEcurieChevauxFemellesTrait,4,FALSE),0)+(IF(QualitéAlimentsJeuneEtalon_24_36_moisTrait=MOYENNE,VLOOKUP("Avoine",AlimentsRationEcurieChevauxMâlesTrait,3,FALSE),0)+(IF(QualitéAlimentsJeuneJument_24_36_moisTrait=MOYENNE,VLOOKUP("Avoine",AlimentsRationEcurieChevauxFemellesTrait,3,FALSE),0)+(IF(QualitéAlimentsEtalonTrait=MOYENNE,VLOOKUP("Avoine",AlimentsRationEcurieChevauxMâlesTrait,2,FALSE),0)+(IF(QualitéAlimentsJumentTrait=MOYENNE,VLOOKUP("Avoine",AlimentsRationEcurieChevauxFemellesTrait,2,FALSE),0))))))))))</f>
        <v>0</v>
      </c>
      <c r="FG198" s="1282">
        <f t="array" ref="FG198">SUM((IF(QualitéAlimentsPoulainMâleTrait=MAUVAISE,VLOOKUP("Avoine",AlimentsRationEcurieChevauxMâlesTrait,5,FALSE),0)+(IF(QualitéAlimentsPoulainFemelleTrait=MAUVAISE,VLOOKUP("Avoine",AlimentsRationEcurieChevauxFemellesTrait,5,FALSE),0)+(IF(QualitéAlimentsJeuneEtalon_12_24_moisTrait=MAUVAISE,VLOOKUP("Avoine",AlimentsRationEcurieChevauxMâlesTrait,4,FALSE),0)+(IF(QualitéAlimentsJeuneJument_12_24_moisTrait=MAUVAISE,VLOOKUP("Avoine",AlimentsRationEcurieChevauxFemellesTrait,4,FALSE),0)+(IF(QualitéAlimentsJeuneEtalon_24_36_moisTrait=MAUVAISE,VLOOKUP("Avoine",AlimentsRationEcurieChevauxMâlesTrait,3,FALSE),0)+(IF(QualitéAlimentsJeuneJument_24_36_moisTrait=MAUVAISE,VLOOKUP("Avoine",AlimentsRationEcurieChevauxFemellesTrait,3,FALSE),0)+(IF(QualitéAlimentsEtalonTrait=MAUVAISE,VLOOKUP("Avoine",AlimentsRationEcurieChevauxMâlesTrait,2,FALSE),0)+(IF(QualitéAlimentsJumentTrait=MAUVAISE,VLOOKUP("Avoine",AlimentsRationEcurieChevauxFemellesTrait,2,FALSE),0))))))))))</f>
        <v>0</v>
      </c>
      <c r="FH198" s="1321"/>
      <c r="FI198" s="1321"/>
      <c r="FJ198" s="1345"/>
      <c r="FK198" s="1345"/>
      <c r="FL198" s="1345"/>
      <c r="FM198" s="1321"/>
      <c r="FN198" s="1083" t="str">
        <f t="shared" ref="FN198:FN235" si="71">FN54</f>
        <v>Betterave</v>
      </c>
      <c r="FO198" s="1283">
        <f t="array" ref="FO198">SUM((IF(QualitéAlimentsPoulainMâlePoney=BONNE,VLOOKUP("Betterave",AlimentsRationEcuriePoneysMâles,5,FALSE),0)+(IF(QualitéAlimentsPoulainFemellePoney=BONNE,VLOOKUP("Betterave",AlimentsRationEcuriePoneysFemelles,5,FALSE),0)+(IF(QualitéAlimentsJeuneEtalon_12_24_moisPoney=BONNE,VLOOKUP("Betterave",AlimentsRationEcuriePoneysMâles,4,FALSE),0)+(IF(QualitéAlimentsJeuneJument_12_24_moisPoney=BONNE,VLOOKUP("Betterave",AlimentsRationEcuriePoneysFemelles,4,FALSE),0)+(IF(QualitéAlimentsJeuneEtalon_24_36_moisPoney=BONNE,VLOOKUP("Betterave",AlimentsRationEcuriePoneysMâles,3,FALSE),0)+(IF(QualitéAlimentsJeuneJument_24_36_moisPoney=BONNE,VLOOKUP("Betterave",AlimentsRationEcuriePoneysFemelles,3,FALSE),0)+(IF(QualitéAlimentsEtalonPoney=BONNE,VLOOKUP("Betterave",AlimentsRationEcuriePoneysMâles,2,FALSE),0)+(IF(QualitéAlimentsJumentPoney=BONNE,VLOOKUP("Betterave",AlimentsRationEcuriePoneysFemelles,2,FALSE),0))))))))))</f>
        <v>0</v>
      </c>
      <c r="FP198" s="1283">
        <f t="array" ref="FP198">SUM((IF(QualitéAlimentsPoulainMâlePoney=MOYENNE,VLOOKUP("Betterave",AlimentsRationEcuriePoneysMâles,5,FALSE),0)+(IF(QualitéAlimentsPoulainFemellePoney=MOYENNE,VLOOKUP("Betterave",AlimentsRationEcuriePoneysFemelles,5,FALSE),0)+(IF(QualitéAlimentsJeuneEtalon_12_24_moisPoney=MOYENNE,VLOOKUP("Betterave",AlimentsRationEcuriePoneysMâles,4,FALSE),0)+(IF(QualitéAlimentsJeuneJument_12_24_moisPoney=MOYENNE,VLOOKUP("Betterave",AlimentsRationEcuriePoneysFemelles,4,FALSE),0)+(IF(QualitéAlimentsJeuneEtalon_24_36_moisPoney=MOYENNE,VLOOKUP("Betterave",AlimentsRationEcuriePoneysMâles,3,FALSE),0)+(IF(QualitéAlimentsJeuneJument_24_36_moisPoney=MOYENNE,VLOOKUP("Betterave",AlimentsRationEcuriePoneysFemelles,3,FALSE),0)+(IF(QualitéAlimentsEtalonPoney=MOYENNE,VLOOKUP("Betterave",AlimentsRationEcuriePoneysMâles,2,FALSE),0)+(IF(QualitéAlimentsJumentPoney=MOYENNE,VLOOKUP("Betterave",AlimentsRationEcuriePoneysFemelles,2,FALSE),0))))))))))</f>
        <v>0</v>
      </c>
      <c r="FQ198" s="1283">
        <f t="array" ref="FQ198">SUM((IF(QualitéAlimentsPoulainMâlePoney=MAUVAISE,VLOOKUP("Betterave",AlimentsRationEcuriePoneysMâles,5,FALSE),0)+(IF(QualitéAlimentsPoulainFemellePoney=MAUVAISE,VLOOKUP("Betterave",AlimentsRationEcuriePoneysFemelles,5,FALSE),0)+(IF(QualitéAlimentsJeuneEtalon_12_24_moisPoney=MAUVAISE,VLOOKUP("Betterave",AlimentsRationEcuriePoneysMâles,4,FALSE),0)+(IF(QualitéAlimentsJeuneJument_12_24_moisPoney=MAUVAISE,VLOOKUP("Betterave",AlimentsRationEcuriePoneysFemelles,4,FALSE),0)+(IF(QualitéAlimentsJeuneEtalon_24_36_moisPoney=MAUVAISE,VLOOKUP("Betterave",AlimentsRationEcuriePoneysMâles,3,FALSE),0)+(IF(QualitéAlimentsJeuneJument_24_36_moisPoney=MAUVAISE,VLOOKUP("Betterave",AlimentsRationEcuriePoneysFemelles,3,FALSE),0)+(IF(QualitéAlimentsEtalonPoney=MAUVAISE,VLOOKUP("Betterave",AlimentsRationEcuriePoneysMâles,2,FALSE),0)+(IF(QualitéAlimentsJumentPoney=MAUVAISE,VLOOKUP("Betterave",AlimentsRationEcuriePoneysFemelles,2,FALSE),0))))))))))</f>
        <v>0</v>
      </c>
      <c r="FR198" s="1345"/>
      <c r="FS198" s="1345"/>
      <c r="FT198" s="1345"/>
      <c r="FU198" s="1345"/>
      <c r="FV198" s="1345"/>
      <c r="FW198" s="1345"/>
      <c r="FX198" s="1345"/>
      <c r="FY198" s="1345"/>
      <c r="FZ198" s="1345"/>
      <c r="GA198" s="1345"/>
      <c r="GB198" s="1345"/>
      <c r="GC198" s="1321"/>
      <c r="GD198" s="1321"/>
      <c r="GE198" s="1321"/>
      <c r="GF198" s="1321"/>
      <c r="GG198" s="1321" t="s">
        <v>1349</v>
      </c>
      <c r="GH198" s="1321" t="s">
        <v>1349</v>
      </c>
      <c r="GI198" s="1321" t="s">
        <v>1349</v>
      </c>
      <c r="GJ198" s="1321" t="s">
        <v>1349</v>
      </c>
      <c r="GK198" s="1321" t="s">
        <v>1349</v>
      </c>
      <c r="GL198" s="1321" t="s">
        <v>1349</v>
      </c>
      <c r="GM198" s="1321" t="s">
        <v>1349</v>
      </c>
      <c r="GN198" s="1321" t="s">
        <v>1349</v>
      </c>
      <c r="GO198" s="1321" t="s">
        <v>1349</v>
      </c>
      <c r="GP198" s="1321" t="s">
        <v>1349</v>
      </c>
      <c r="GQ198" s="1321" t="s">
        <v>1349</v>
      </c>
      <c r="GR198" s="1321" t="s">
        <v>1349</v>
      </c>
      <c r="GS198" s="1321" t="s">
        <v>1349</v>
      </c>
      <c r="GT198" s="1321" t="s">
        <v>1349</v>
      </c>
      <c r="GU198" s="1321" t="s">
        <v>1349</v>
      </c>
      <c r="GV198" s="1321" t="s">
        <v>1349</v>
      </c>
      <c r="GW198" s="1321"/>
      <c r="GX198" s="1321"/>
      <c r="GY198" s="1321"/>
      <c r="GZ198" s="1321"/>
      <c r="HA198" s="1321"/>
      <c r="HB198" s="1321"/>
      <c r="HC198" s="1321"/>
      <c r="HD198" s="1321"/>
      <c r="HE198" s="1321"/>
      <c r="HF198" s="1321"/>
      <c r="HG198" s="1321"/>
      <c r="HH198" s="1321"/>
      <c r="HI198" s="1321"/>
      <c r="HJ198" s="1321"/>
      <c r="HK198" s="1321"/>
      <c r="HL198" s="1321"/>
      <c r="HM198" s="1321"/>
      <c r="HN198" s="1321"/>
      <c r="HO198" s="1321"/>
      <c r="HP198" s="1321"/>
      <c r="HQ198" s="1321"/>
      <c r="HR198" s="1321"/>
      <c r="HS198" s="1321"/>
      <c r="HT198" s="1321"/>
      <c r="HU198" s="1321"/>
      <c r="HV198" s="1321"/>
      <c r="HW198" s="1321"/>
      <c r="HX198" s="1321"/>
      <c r="HY198" s="1321"/>
      <c r="HZ198" s="1321"/>
      <c r="IA198" s="1321"/>
      <c r="IB198" s="1321"/>
      <c r="IC198" s="1321"/>
      <c r="ID198" s="1321"/>
      <c r="IE198" s="1321"/>
      <c r="IF198" s="1321"/>
      <c r="IG198" s="1321"/>
      <c r="IH198" s="1321"/>
      <c r="II198" s="1321"/>
      <c r="IJ198" s="1321"/>
      <c r="IK198" s="1321"/>
      <c r="IL198" s="1321"/>
      <c r="IM198" s="1321"/>
      <c r="IN198" s="1368"/>
    </row>
    <row r="199" spans="1:248" ht="12.75" customHeight="1" x14ac:dyDescent="0.2">
      <c r="A199" s="1319"/>
      <c r="B199" s="1320"/>
      <c r="C199" s="1321"/>
      <c r="D199" s="1253" t="s">
        <v>1987</v>
      </c>
      <c r="E199" s="1254">
        <v>6.3</v>
      </c>
      <c r="F199" s="1321"/>
      <c r="G199" s="1321"/>
      <c r="H199" s="1321"/>
      <c r="I199" s="1321"/>
      <c r="J199" s="1321"/>
      <c r="K199" s="1321"/>
      <c r="L199" s="1321"/>
      <c r="M199" s="1321"/>
      <c r="N199" s="1321"/>
      <c r="O199" s="1321"/>
      <c r="P199" s="1321"/>
      <c r="Q199" s="1321"/>
      <c r="R199" s="1321"/>
      <c r="S199" s="1321"/>
      <c r="T199" s="1321"/>
      <c r="U199" s="1321"/>
      <c r="V199" s="1321"/>
      <c r="W199" s="1321"/>
      <c r="X199" s="1321"/>
      <c r="Y199" s="1321"/>
      <c r="Z199" s="1321"/>
      <c r="AA199" s="1321"/>
      <c r="AB199" s="1321"/>
      <c r="AC199" s="1321"/>
      <c r="AD199" s="1321"/>
      <c r="AE199" s="1321"/>
      <c r="AF199" s="1321"/>
      <c r="AG199" s="1321"/>
      <c r="AH199" s="1321"/>
      <c r="AI199" s="1321"/>
      <c r="AJ199" s="1321"/>
      <c r="AK199" s="1321"/>
      <c r="AL199" s="1321"/>
      <c r="AM199" s="1321"/>
      <c r="AN199" s="1321"/>
      <c r="AO199" s="1321"/>
      <c r="AP199" s="1321"/>
      <c r="AQ199" s="1321"/>
      <c r="AR199" s="1321"/>
      <c r="AS199" s="1321"/>
      <c r="AT199" s="1321"/>
      <c r="AU199" s="1321"/>
      <c r="AV199" s="1321"/>
      <c r="AW199" s="1321"/>
      <c r="AX199" s="1321"/>
      <c r="AY199" s="1321"/>
      <c r="AZ199" s="1321"/>
      <c r="BA199" s="1321"/>
      <c r="BB199" s="1075" t="s">
        <v>715</v>
      </c>
      <c r="BC199" s="1269">
        <f t="array" ref="BC199">IF(Ration_complète_bovins[somme]&gt;0,0,IFERROR(IF(OR(AND(INDEX(Règles_bovins[Specificite],MATCH(ChoixRationBovins&amp;$BB199,Règles_bovins[Ration]&amp;Règles_bovins[Aliment],0))="s1",IF($BB199=Spécificité1Bovins,1)),
AND(INDEX(Règles_bovins[Specificite],MATCH(ChoixRationBovins&amp;$BB199,Règles_bovins[Ration]&amp;Règles_bovins[Aliment],0))="s2",IF($BB199=Spécificité2Bovins,1)),
INDEX(Règles_bovins[Specificite],MATCH(ChoixRationBovins&amp;$BB199,Règles_bovins[Ration]&amp;Règles_bovins[Aliment],0))="c"),
INDEX(Règles_bovins[Valeur 36 et plus],MATCH(ChoixRationBovins&amp;$BB199,Règles_bovins[Ration]&amp;Règles_bovins[Aliment],0)),0),0)*IF(ChoixBovinsPréHiver=OUI,TotalTaureauxRacesLaitières,TotalTaureaux*SUM(NbreJoursNourrirBovins)))</f>
        <v>0</v>
      </c>
      <c r="BD199" s="1269">
        <f t="array" ref="BD199">IF(Ration_complète_bovins[somme]&gt;0,0,IFERROR(IF(OR(AND(INDEX(Règles_bovins[Specificite],MATCH(ChoixRationBovins&amp;$BB199,Règles_bovins[Ration]&amp;Règles_bovins[Aliment],0))="s1",IF($BB199=Spécificité1Bovins,1)),
AND(INDEX(Règles_bovins[Specificite],MATCH(ChoixRationBovins&amp;$BB199,Règles_bovins[Ration]&amp;Règles_bovins[Aliment],0))="s2",IF($BB199=Spécificité2Bovins,1)),
INDEX(Règles_bovins[Specificite],MATCH(ChoixRationBovins&amp;$BB199,Règles_bovins[Ration]&amp;Règles_bovins[Aliment],0))="c"),
INDEX(Règles_bovins[Valeur 24-36],MATCH(ChoixRationBovins&amp;$BB199,Règles_bovins[Ration]&amp;Règles_bovins[Aliment],0)),0),0)*IF(ChoixBovinsPréHiver=OUI,TotalTaurillon_24_36_RacesLaitières,TotalBovinsMâles_24_36mois*SUM(NbreJoursNourrirBovins)))</f>
        <v>0</v>
      </c>
      <c r="BE199" s="1269">
        <f t="array" ref="BE199">IF(Ration_complète_bovins[somme]&gt;0,0,IFERROR(IF(OR(AND(INDEX(Règles_bovins[Specificite],MATCH(ChoixRationBovins&amp;$BB199,Règles_bovins[Ration]&amp;Règles_bovins[Aliment],0))="s1",IF($BB199=Spécificité1Bovins,1)),
AND(INDEX(Règles_bovins[Specificite],MATCH(ChoixRationBovins&amp;$BB199,Règles_bovins[Ration]&amp;Règles_bovins[Aliment],0))="s2",IF($BB199=Spécificité2Bovins,1)),
INDEX(Règles_bovins[Specificite],MATCH(ChoixRationBovins&amp;$BB199,Règles_bovins[Ration]&amp;Règles_bovins[Aliment],0))="c"),
INDEX(Règles_bovins[Valeur 18-24],MATCH(ChoixRationBovins&amp;$BB199,Règles_bovins[Ration]&amp;Règles_bovins[Aliment],0)),0),0)*IF(ChoixBovinsPréHiver=OUI,TotalTaurillon_18_24_RacesLaitières,TotalBovinsMâles_18_24mois*SUM(NbreJoursNourrirBovins)))</f>
        <v>0</v>
      </c>
      <c r="BF199" s="1269">
        <f t="array" ref="BF199">IF(Ration_complète_bovins[somme]&gt;0,0,IFERROR(IF(OR(AND(INDEX(Règles_bovins[Specificite],MATCH(ChoixRationBovins&amp;$BB199,Règles_bovins[Ration]&amp;Règles_bovins[Aliment],0))="s1",IF($BB199=Spécificité1Bovins,1)),
AND(INDEX(Règles_bovins[Specificite],MATCH(ChoixRationBovins&amp;$BB199,Règles_bovins[Ration]&amp;Règles_bovins[Aliment],0))="s2",IF($BB199=Spécificité2Bovins,1)),
INDEX(Règles_bovins[Specificite],MATCH(ChoixRationBovins&amp;$BB199,Règles_bovins[Ration]&amp;Règles_bovins[Aliment],0))="c"),
INDEX(Règles_bovins[Valeur 12-18],MATCH(ChoixRationBovins&amp;$BB199,Règles_bovins[Ration]&amp;Règles_bovins[Aliment],0)),0),0)*IF(ChoixBovinsPréHiver=OUI,animaux!D19,TotalBovinsMâles_12_18mois*SUM(NbreJoursNourrirBovins)))</f>
        <v>0</v>
      </c>
      <c r="BG199" s="1269">
        <f t="array" ref="BG199">IF(Ration_complète_bovins[somme]&gt;0,0,IFERROR(IF(OR(AND(INDEX(Règles_bovins[Specificite],MATCH(ChoixRationBovins&amp;$BB199,Règles_bovins[Ration]&amp;Règles_bovins[Aliment],0))="s1",IF($BB199=Spécificité1Bovins,1)),
AND(INDEX(Règles_bovins[Specificite],MATCH(ChoixRationBovins&amp;$BB199,Règles_bovins[Ration]&amp;Règles_bovins[Aliment],0))="s2",IF($BB199=Spécificité2Bovins,1)),
INDEX(Règles_bovins[Specificite],MATCH(ChoixRationBovins&amp;$BB199,Règles_bovins[Ration]&amp;Règles_bovins[Aliment],0))="c"),
INDEX(Règles_bovins[Valeur 6-12],MATCH(ChoixRationBovins&amp;$BB199,Règles_bovins[Ration]&amp;Règles_bovins[Aliment],0)),0),0)*IF(ChoixBovinsPréHiver=OUI,TotalVeauMâle_6_12_RacesLaitières,TotalBovinsMâles_6_12mois*SUM(NbreJoursNourrirBovins)))</f>
        <v>0</v>
      </c>
      <c r="BH199" s="1269">
        <f t="array" ref="BH199">IF(Ration_complète_bovins[somme]&gt;0,0,IFERROR(IF(OR(AND(INDEX(Règles_bovins[Specificite],MATCH(ChoixRationBovins&amp;$BB199,Règles_bovins[Ration]&amp;Règles_bovins[Aliment],0))="s1",IF($BB199=Spécificité1Bovins,1)),
AND(INDEX(Règles_bovins[Specificite],MATCH(ChoixRationBovins&amp;$BB199,Règles_bovins[Ration]&amp;Règles_bovins[Aliment],0))="s2",IF($BB199=Spécificité2Bovins,1)),
INDEX(Règles_bovins[Specificite],MATCH(ChoixRationBovins&amp;$BB199,Règles_bovins[Ration]&amp;Règles_bovins[Aliment],0))="c"),
INDEX(Règles_bovins[Valeur 3-6],MATCH(ChoixRationBovins&amp;$BB199,Règles_bovins[Ration]&amp;Règles_bovins[Aliment],0)),0),0)*IF(ChoixBovinsPréHiver=OUI,TotalVeauMâle_3_6_RacesLaitières,TotalBovinsMâles_3_6mois*SUM(NbreJoursNourrirBovins)))</f>
        <v>0</v>
      </c>
      <c r="BI199" s="1269">
        <f t="array" ref="BI199">IF(Ration_complète_bovins[somme]&gt;0,0,IFERROR(IF(OR(AND(INDEX(Règles_bovins[Specificite],MATCH(ChoixRationBovins&amp;$BB199,Règles_bovins[Ration]&amp;Règles_bovins[Aliment],0))="s1",IF($BB199=Spécificité1Bovins,1)),
AND(INDEX(Règles_bovins[Specificite],MATCH(ChoixRationBovins&amp;$BB199,Règles_bovins[Ration]&amp;Règles_bovins[Aliment],0))="s2",IF($BB199=Spécificité2Bovins,1)),
INDEX(Règles_bovins[Specificite],MATCH(ChoixRationBovins&amp;$BB199,Règles_bovins[Ration]&amp;Règles_bovins[Aliment],0))="c"),
INDEX(Règles_bovins[Valeur 0-3],MATCH(ChoixRationBovins&amp;$BB199,Règles_bovins[Ration]&amp;Règles_bovins[Aliment],0)),0),0)*IF(ChoixBovinsPréHiver=OUI,TotalVeauMâle_0_3_RacesLaitières,TotalBovinsMâles_0_3mois*SUM(NbreJoursNourrirBovins)))</f>
        <v>0</v>
      </c>
      <c r="BJ199" s="1270">
        <f t="shared" si="69"/>
        <v>0</v>
      </c>
      <c r="BK199" s="1321"/>
      <c r="BL199" s="1321"/>
      <c r="BM199" s="1346"/>
      <c r="BN199" s="1321"/>
      <c r="BO199" s="1321"/>
      <c r="BP199" s="1321"/>
      <c r="BQ199" s="1321"/>
      <c r="BR199" s="1321"/>
      <c r="BS199" s="1321"/>
      <c r="BT199" s="1321"/>
      <c r="BU199" s="1321"/>
      <c r="BV199" s="1345"/>
      <c r="BW199" s="1345"/>
      <c r="BX199" s="1075" t="str">
        <f t="shared" si="70"/>
        <v>Bouchons luzerne</v>
      </c>
      <c r="BY199" s="1269">
        <f t="array" ref="BY199">SUM((IF(QualitéAlimentsChevreau_0_3_mois=BONNE,VLOOKUP("Bouchons luzerne",AlimentsRationCaprinsMâles,5,FALSE),0)+(IF(QualitéAlimentsChevrette_0_3_mois=BONNE,VLOOKUP("Bouchons luzerne",AlimentsRationCaprinsFemelles,5,FALSE),0)+(IF(QualitéAlimentsChevreau_3_6_mois=BONNE,VLOOKUP("Bouchons luzerne",AlimentsRationCaprinsMâles,4,FALSE),0)+(IF(QualitéAlimentsChevrette_3_6_mois=BONNE,VLOOKUP("Bouchons luzerne",AlimentsRationCaprinsFemelles,4,FALSE),0)+(IF(QualitéAlimentsJeuneBouc=BONNE,VLOOKUP("Bouchons luzerne",AlimentsRationCaprinsMâles,3,FALSE),0)+(IF(QualitéAlimentsJeuneChèvre=BONNE,VLOOKUP("Bouchons luzerne",AlimentsRationCaprinsFemelles,3,FALSE),0)+(IF(QualitéAlimentsBouc=BONNE,VLOOKUP("Bouchons luzerne",AlimentsRationCaprinsMâles,2,FALSE),0)+(IF(QualitéAlimentsChèvre=BONNE,VLOOKUP("Bouchons luzerne",AlimentsRationCaprinsFemelles,2,FALSE),0))))))))))</f>
        <v>0</v>
      </c>
      <c r="BZ199" s="1269">
        <f t="array" ref="BZ199">SUM((IF(QualitéAlimentsChevreau_0_3_mois=MOYENNE,VLOOKUP("Bouchons luzerne",AlimentsRationCaprinsMâles,5,FALSE),0)+(IF(QualitéAlimentsChevrette_0_3_mois=MOYENNE,VLOOKUP("Bouchons luzerne",AlimentsRationCaprinsFemelles,5,FALSE),0)+(IF(QualitéAlimentsChevreau_3_6_mois=MOYENNE,VLOOKUP("Bouchons luzerne",AlimentsRationCaprinsMâles,4,FALSE),0)+(IF(QualitéAlimentsChevrette_3_6_mois=MOYENNE,VLOOKUP("Bouchons luzerne",AlimentsRationCaprinsFemelles,4,FALSE),0)+(IF(QualitéAlimentsJeuneBouc=MOYENNE,VLOOKUP("Bouchons luzerne",AlimentsRationCaprinsMâles,3,FALSE),0)+(IF(QualitéAlimentsJeuneChèvre=MOYENNE,VLOOKUP("Bouchons luzerne",AlimentsRationCaprinsFemelles,3,FALSE),0)+(IF(QualitéAlimentsBouc=MOYENNE,VLOOKUP("Bouchons luzerne",AlimentsRationCaprinsMâles,2,FALSE),0)+(IF(QualitéAlimentsChèvre=MOYENNE,VLOOKUP("Bouchons luzerne",AlimentsRationCaprinsFemelles,2,FALSE),0))))))))))</f>
        <v>0</v>
      </c>
      <c r="CA199" s="1269">
        <f t="array" ref="CA199">SUM((IF(QualitéAlimentsChevreau_0_3_mois=MAUVAISE,VLOOKUP("Bouchons luzerne",AlimentsRationCaprinsMâles,5,FALSE),0)+(IF(QualitéAlimentsChevrette_0_3_mois=MAUVAISE,VLOOKUP("Bouchons luzerne",AlimentsRationCaprinsFemelles,5,FALSE),0)+(IF(QualitéAlimentsChevreau_3_6_mois=MAUVAISE,VLOOKUP("Bouchons luzerne",AlimentsRationCaprinsMâles,4,FALSE),0)+(IF(QualitéAlimentsChevrette_3_6_mois=MAUVAISE,VLOOKUP("Bouchons luzerne",AlimentsRationCaprinsFemelles,4,FALSE),0)+(IF(QualitéAlimentsJeuneBouc=MAUVAISE,VLOOKUP("Bouchons luzerne",AlimentsRationCaprinsMâles,3,FALSE),0)+(IF(QualitéAlimentsJeuneChèvre=MAUVAISE,VLOOKUP("Bouchons luzerne",AlimentsRationCaprinsFemelles,3,FALSE),0)+(IF(QualitéAlimentsBouc=MAUVAISE,VLOOKUP("Bouchons luzerne",AlimentsRationCaprinsMâles,2,FALSE),0)+(IF(QualitéAlimentsChèvre=MAUVAISE,VLOOKUP("Bouchons luzerne",AlimentsRationCaprinsFemelles,2,FALSE),0))))))))))</f>
        <v>0</v>
      </c>
      <c r="CB199" s="1321"/>
      <c r="CC199" s="1321"/>
      <c r="CD199" s="1345"/>
      <c r="CE199" s="1345"/>
      <c r="CF199" s="1345"/>
      <c r="CG199" s="1345"/>
      <c r="CH199" s="1345"/>
      <c r="CI199" s="1321"/>
      <c r="CJ199" s="1321"/>
      <c r="CK199" s="1321"/>
      <c r="CL199" s="1321"/>
      <c r="CM199" s="1321"/>
      <c r="CN199" s="1321"/>
      <c r="CO199" s="1321"/>
      <c r="CP199" s="1321"/>
      <c r="CQ199" s="1321"/>
      <c r="CR199" s="1321"/>
      <c r="CS199" s="1321"/>
      <c r="CT199" s="1321"/>
      <c r="CU199" s="1321"/>
      <c r="CV199" s="1321"/>
      <c r="CW199" s="1321"/>
      <c r="CX199" s="1321"/>
      <c r="CY199" s="1321"/>
      <c r="CZ199" s="1321"/>
      <c r="DA199" s="1321"/>
      <c r="DB199" s="1321"/>
      <c r="DC199" s="1321"/>
      <c r="DD199" s="1321"/>
      <c r="DE199" s="1321"/>
      <c r="DF199" s="1321"/>
      <c r="DG199" s="1321"/>
      <c r="DH199" s="1321"/>
      <c r="DI199" s="1321"/>
      <c r="DJ199" s="1321"/>
      <c r="DK199" s="1321"/>
      <c r="DL199" s="1321"/>
      <c r="DM199" s="1321"/>
      <c r="DN199" s="1075" t="str">
        <f t="shared" si="68"/>
        <v>concentré jeunes bovins</v>
      </c>
      <c r="DO199" s="1269">
        <f t="array" ref="DO199">IF(ChoixRationComplèteOvins=OUI,0,IFERROR(IF(OR(AND(INDEX(Règles_ovins[Specificite],MATCH(ChoixRationOvins&amp;$DN199,Règles_ovins[Ration]&amp;Règles_ovins[Aliment],0))="s1",IF($DN199=Spécificité1Ovins,1)),
AND(INDEX(Règles_ovins[Specificite],MATCH(ChoixRationOvins&amp;$DN199,Règles_ovins[Ration]&amp;Règles_ovins[Aliment],0))="s2",IF($DN199=Spécificité2Ovins,1)),
INDEX(Règles_ovins[Specificite],MATCH(ChoixRationOvins&amp;$DN199,Règles_ovins[Ration]&amp;Règles_ovins[Aliment],0))="c"),
INDEX(Règles_ovins[Valeur 12 et plus],MATCH(ChoixRationOvins&amp;$DN199,Règles_ovins[Ration]&amp;Règles_ovins[Aliment],0)),0),0)*IF(ChoixOvinsPréHiver=OUI,SUM(TotalOvinsAdultesRacesLaitières)*NbreJoursNourrirOvins,TotalBrebis*SUM(NbreJoursNourrirOvins)))</f>
        <v>0</v>
      </c>
      <c r="DP199" s="1269">
        <f t="array" ref="DP199">IF(ChoixRationComplèteOvins=OUI,0,IFERROR(IF(OR(AND(INDEX(Règles_ovins[Specificite],MATCH(ChoixRationOvins&amp;$DN199,Règles_ovins[Ration]&amp;Règles_ovins[Aliment],0))="s1",IF($DN199=Spécificité1Ovins,1)),
AND(INDEX(Règles_ovins[Specificite],MATCH(ChoixRationOvins&amp;$DN199,Règles_ovins[Ration]&amp;Règles_ovins[Aliment],0))="s2",IF($DN199=Spécificité2Ovins,1)),
INDEX(Règles_ovins[Specificite],MATCH(ChoixRationOvins&amp;$DN199,Règles_ovins[Ration]&amp;Règles_ovins[Aliment],0))="c"),
INDEX(Règles_ovins[Valeur 6-12],MATCH(ChoixRationOvins&amp;$DN199,Règles_ovins[Ration]&amp;Règles_ovins[Aliment],0)),0),0)*IF(ChoixOvinsPréHiver=OUI,SUM(TotalJeunesOvinsRacesLaitières)*NbreJoursNourrirOvins,TotalJeune_brebis_6_12_mois*SUM(NbreJoursNourrirOvins)))</f>
        <v>0</v>
      </c>
      <c r="DQ199" s="1269">
        <f t="array" ref="DQ199">IF(ChoixRationComplèteOvins=OUI,0,IFERROR(IF(OR(AND(INDEX(Règles_ovins[Specificite],MATCH(ChoixRationOvins&amp;$DN199,Règles_ovins[Ration]&amp;Règles_ovins[Aliment],0))="s1",IF($DN199=Spécificité1Ovins,1)),
AND(INDEX(Règles_ovins[Specificite],MATCH(ChoixRationOvins&amp;$DN199,Règles_ovins[Ration]&amp;Règles_ovins[Aliment],0))="s2",IF($DN199=Spécificité2Ovins,1)),
INDEX(Règles_ovins[Specificite],MATCH(ChoixRationOvins&amp;$DN199,Règles_ovins[Ration]&amp;Règles_ovins[Aliment],0))="c"),
INDEX(Règles_ovins[Valeur 3-6],MATCH(ChoixRationOvins&amp;$DN199,Règles_ovins[Ration]&amp;Règles_ovins[Aliment],0)),0),0)*IF(ChoixOvinsPréHiver=OUI,SUM(TotalOvins_3_6moisRacesLaitières)*NbreJoursNourrirOvins,TotalAgnelle_3_6_mois*SUM(NbreJoursNourrirOvins)))</f>
        <v>0</v>
      </c>
      <c r="DR199" s="1269">
        <f t="array" ref="DR199">IF(ChoixRationComplèteOvins=OUI,0,IFERROR(IF(OR(AND(INDEX(Règles_ovins[Specificite],MATCH(ChoixRationOvins&amp;$DN199,Règles_ovins[Ration]&amp;Règles_ovins[Aliment],0))="s1",IF($DN199=Spécificité1Ovins,1)),
AND(INDEX(Règles_ovins[Specificite],MATCH(ChoixRationOvins&amp;$DN199,Règles_ovins[Ration]&amp;Règles_ovins[Aliment],0))="s2",IF($DN199=Spécificité2Ovins,1)),
INDEX(Règles_ovins[Specificite],MATCH(ChoixRationOvins&amp;$DN199,Règles_ovins[Ration]&amp;Règles_ovins[Aliment],0))="c"),
INDEX(Règles_ovins[Valeur 0-3],MATCH(ChoixRationOvins&amp;$DN199,Règles_ovins[Ration]&amp;Règles_ovins[Aliment],0)),0),0)*IF(ChoixOvinsPréHiver=OUI,SUM(TotalOvins_3_6moisRacesLaitières)*NbreJoursNourrirOvins,TotalAgnelle_0_3_mois*SUM(NbreJoursNourrirOvins)))</f>
        <v>0</v>
      </c>
      <c r="DS199" s="1280">
        <f t="shared" si="67"/>
        <v>0</v>
      </c>
      <c r="DT199" s="1346"/>
      <c r="DU199" s="1346"/>
      <c r="DV199" s="1321"/>
      <c r="DW199" s="1321"/>
      <c r="DX199" s="1321"/>
      <c r="DY199" s="1321"/>
      <c r="DZ199" s="1321"/>
      <c r="EA199" s="1321"/>
      <c r="EB199" s="1321"/>
      <c r="EC199" s="1321"/>
      <c r="ED199" s="1345"/>
      <c r="EE199" s="1345"/>
      <c r="EF199" s="1321"/>
      <c r="EG199" s="1321"/>
      <c r="EH199" s="1321"/>
      <c r="EI199" s="1321"/>
      <c r="EJ199" s="1321"/>
      <c r="EK199" s="1345"/>
      <c r="EL199" s="1345"/>
      <c r="EM199" s="1321"/>
      <c r="EN199" s="1321"/>
      <c r="EO199" s="1321"/>
      <c r="EP199" s="1321"/>
      <c r="EQ199" s="1321"/>
      <c r="ER199" s="1345"/>
      <c r="ES199" s="1345"/>
      <c r="ET199" s="1321"/>
      <c r="EU199" s="809" t="s">
        <v>1369</v>
      </c>
      <c r="EV199" s="826">
        <f>IF(AND(OR(ChoixChevauxSellePréHiver=NON,ChoixChevauxSellePréHiver=""),ChoixPaillageChevauxSelle=OUI),SUBTOTAL(109,LitièreChevauxSelles[hiver dedans]),0)</f>
        <v>0</v>
      </c>
      <c r="EW199" s="810">
        <f>IF(AND(ChoixChevauxSellePréHiver=OUI,ChoixPaillageChevauxSelle=OUI),SUBTOTAL(109,LitièreChevauxSelles[hiver dehors]),0)</f>
        <v>0</v>
      </c>
      <c r="EX199" s="1321"/>
      <c r="EY199" s="1321"/>
      <c r="EZ199" s="1345"/>
      <c r="FA199" s="1345"/>
      <c r="FB199" s="1345"/>
      <c r="FC199" s="1321"/>
      <c r="FD199" s="1083" t="str">
        <f t="shared" ref="FD199:FD236" si="72">FD55</f>
        <v>Betterave</v>
      </c>
      <c r="FE199" s="1283">
        <f t="array" ref="FE199">SUM((IF(QualitéAlimentsPoulainMâleTrait=BONNE,VLOOKUP("Betterave",AlimentsRationEcurieChevauxMâlesTrait,5,FALSE),0)+(IF(QualitéAlimentsPoulainFemelleTrait=BONNE,VLOOKUP("Betterave",AlimentsRationEcurieChevauxFemellesTrait,5,FALSE),0)+(IF(QualitéAlimentsJeuneEtalon_12_24_moisTrait=BONNE,VLOOKUP("Betterave",AlimentsRationEcurieChevauxMâlesTrait,4,FALSE),0)+(IF(QualitéAlimentsJeuneJument_12_24_moisTrait=BONNE,VLOOKUP("Betterave",AlimentsRationEcurieChevauxFemellesTrait,4,FALSE),0)+(IF(QualitéAlimentsJeuneEtalon_24_36_moisTrait=BONNE,VLOOKUP("Betterave",AlimentsRationEcurieChevauxMâlesTrait,3,FALSE),0)+(IF(QualitéAlimentsJeuneJument_24_36_moisTrait=BONNE,VLOOKUP("Betterave",AlimentsRationEcurieChevauxFemellesTrait,3,FALSE),0)+(IF(QualitéAlimentsEtalonTrait=BONNE,VLOOKUP("Betterave",AlimentsRationEcurieChevauxMâlesTrait,2,FALSE),0)+(IF(QualitéAlimentsJumentTrait=BONNE,VLOOKUP("Betterave",AlimentsRationEcurieChevauxFemellesTrait,2,FALSE),0))))))))))</f>
        <v>0</v>
      </c>
      <c r="FF199" s="1283">
        <f t="array" ref="FF199">SUM((IF(QualitéAlimentsPoulainMâleTrait=MOYENNE,VLOOKUP("Betterave",AlimentsRationEcurieChevauxMâlesTrait,5,FALSE),0)+(IF(QualitéAlimentsPoulainFemelleTrait=MOYENNE,VLOOKUP("Betterave",AlimentsRationEcurieChevauxFemellesTrait,5,FALSE),0)+(IF(QualitéAlimentsJeuneEtalon_12_24_moisTrait=MOYENNE,VLOOKUP("Betterave",AlimentsRationEcurieChevauxMâlesTrait,4,FALSE),0)+(IF(QualitéAlimentsJeuneJument_12_24_moisTrait=MOYENNE,VLOOKUP("Betterave",AlimentsRationEcurieChevauxFemellesTrait,4,FALSE),0)+(IF(QualitéAlimentsJeuneEtalon_24_36_moisTrait=MOYENNE,VLOOKUP("Betterave",AlimentsRationEcurieChevauxMâlesTrait,3,FALSE),0)+(IF(QualitéAlimentsJeuneJument_24_36_moisTrait=MOYENNE,VLOOKUP("Betterave",AlimentsRationEcurieChevauxFemellesTrait,3,FALSE),0)+(IF(QualitéAlimentsEtalonTrait=MOYENNE,VLOOKUP("Betterave",AlimentsRationEcurieChevauxMâlesTrait,2,FALSE),0)+(IF(QualitéAlimentsJumentTrait=MOYENNE,VLOOKUP("Betterave",AlimentsRationEcurieChevauxFemellesTrait,2,FALSE),0))))))))))</f>
        <v>0</v>
      </c>
      <c r="FG199" s="1283">
        <f t="array" ref="FG199">SUM((IF(QualitéAlimentsPoulainMâleTrait=MAUVAISE,VLOOKUP("Betterave",AlimentsRationEcurieChevauxMâlesTrait,5,FALSE),0)+(IF(QualitéAlimentsPoulainFemelleTrait=MAUVAISE,VLOOKUP("Betterave",AlimentsRationEcurieChevauxFemellesTrait,5,FALSE),0)+(IF(QualitéAlimentsJeuneEtalon_12_24_moisTrait=MAUVAISE,VLOOKUP("Betterave",AlimentsRationEcurieChevauxMâlesTrait,4,FALSE),0)+(IF(QualitéAlimentsJeuneJument_12_24_moisTrait=MAUVAISE,VLOOKUP("Betterave",AlimentsRationEcurieChevauxFemellesTrait,4,FALSE),0)+(IF(QualitéAlimentsJeuneEtalon_24_36_moisTrait=MAUVAISE,VLOOKUP("Betterave",AlimentsRationEcurieChevauxMâlesTrait,3,FALSE),0)+(IF(QualitéAlimentsJeuneJument_24_36_moisTrait=MAUVAISE,VLOOKUP("Betterave",AlimentsRationEcurieChevauxFemellesTrait,3,FALSE),0)+(IF(QualitéAlimentsEtalonTrait=MAUVAISE,VLOOKUP("Betterave",AlimentsRationEcurieChevauxMâlesTrait,2,FALSE),0)+(IF(QualitéAlimentsJumentTrait=MAUVAISE,VLOOKUP("Betterave",AlimentsRationEcurieChevauxFemellesTrait,2,FALSE),0))))))))))</f>
        <v>0</v>
      </c>
      <c r="FH199" s="1321"/>
      <c r="FI199" s="1321"/>
      <c r="FJ199" s="1345"/>
      <c r="FK199" s="1345"/>
      <c r="FL199" s="1345"/>
      <c r="FM199" s="1321"/>
      <c r="FN199" s="1082" t="str">
        <f t="shared" si="71"/>
        <v>Blé</v>
      </c>
      <c r="FO199" s="1282">
        <f t="array" ref="FO199">SUM((IF(QualitéAlimentsPoulainMâlePoney=BONNE,VLOOKUP("Blé",AlimentsRationEcuriePoneysMâles,5,FALSE),0)+(IF(QualitéAlimentsPoulainFemellePoney=BONNE,VLOOKUP("Blé",AlimentsRationEcuriePoneysFemelles,5,FALSE),0)+(IF(QualitéAlimentsJeuneEtalon_12_24_moisPoney=BONNE,VLOOKUP("Blé",AlimentsRationEcuriePoneysMâles,4,FALSE),0)+(IF(QualitéAlimentsJeuneJument_12_24_moisPoney=BONNE,VLOOKUP("Blé",AlimentsRationEcuriePoneysFemelles,4,FALSE),0)+(IF(QualitéAlimentsJeuneEtalon_24_36_moisPoney=BONNE,VLOOKUP("Blé",AlimentsRationEcuriePoneysMâles,3,FALSE),0)+(IF(QualitéAlimentsJeuneJument_24_36_moisPoney=BONNE,VLOOKUP("Blé",AlimentsRationEcuriePoneysFemelles,3,FALSE),0)+(IF(QualitéAlimentsEtalonPoney=BONNE,VLOOKUP("Blé",AlimentsRationEcuriePoneysMâles,2,FALSE),0)+(IF(QualitéAlimentsJumentPoney=BONNE,VLOOKUP("Blé",AlimentsRationEcuriePoneysFemelles,2,FALSE),0))))))))))</f>
        <v>0</v>
      </c>
      <c r="FP199" s="1282">
        <f t="array" ref="FP199">SUM((IF(QualitéAlimentsPoulainMâlePoney=MOYENNE,VLOOKUP("Blé",AlimentsRationEcuriePoneysMâles,5,FALSE),0)+(IF(QualitéAlimentsPoulainFemellePoney=MOYENNE,VLOOKUP("Blé",AlimentsRationEcuriePoneysFemelles,5,FALSE),0)+(IF(QualitéAlimentsJeuneEtalon_12_24_moisPoney=MOYENNE,VLOOKUP("Blé",AlimentsRationEcuriePoneysMâles,4,FALSE),0)+(IF(QualitéAlimentsJeuneJument_12_24_moisPoney=MOYENNE,VLOOKUP("Blé",AlimentsRationEcuriePoneysFemelles,4,FALSE),0)+(IF(QualitéAlimentsJeuneEtalon_24_36_moisPoney=MOYENNE,VLOOKUP("Blé",AlimentsRationEcuriePoneysMâles,3,FALSE),0)+(IF(QualitéAlimentsJeuneJument_24_36_moisPoney=MOYENNE,VLOOKUP("Blé",AlimentsRationEcuriePoneysFemelles,3,FALSE),0)+(IF(QualitéAlimentsEtalonPoney=MOYENNE,VLOOKUP("Blé",AlimentsRationEcuriePoneysMâles,2,FALSE),0)+(IF(QualitéAlimentsJumentPoney=MOYENNE,VLOOKUP("Blé",AlimentsRationEcuriePoneysFemelles,2,FALSE),0))))))))))</f>
        <v>0</v>
      </c>
      <c r="FQ199" s="1282">
        <f t="array" ref="FQ199">SUM((IF(QualitéAlimentsPoulainMâlePoney=MAUVAISE,VLOOKUP("Blé",AlimentsRationEcuriePoneysMâles,5,FALSE),0)+(IF(QualitéAlimentsPoulainFemellePoney=MAUVAISE,VLOOKUP("Blé",AlimentsRationEcuriePoneysFemelles,5,FALSE),0)+(IF(QualitéAlimentsJeuneEtalon_12_24_moisPoney=MAUVAISE,VLOOKUP("Blé",AlimentsRationEcuriePoneysMâles,4,FALSE),0)+(IF(QualitéAlimentsJeuneJument_12_24_moisPoney=MAUVAISE,VLOOKUP("Blé",AlimentsRationEcuriePoneysFemelles,4,FALSE),0)+(IF(QualitéAlimentsJeuneEtalon_24_36_moisPoney=MAUVAISE,VLOOKUP("Blé",AlimentsRationEcuriePoneysMâles,3,FALSE),0)+(IF(QualitéAlimentsJeuneJument_24_36_moisPoney=MAUVAISE,VLOOKUP("Blé",AlimentsRationEcuriePoneysFemelles,3,FALSE),0)+(IF(QualitéAlimentsEtalonPoney=MAUVAISE,VLOOKUP("Blé",AlimentsRationEcuriePoneysMâles,2,FALSE),0)+(IF(QualitéAlimentsJumentPoney=MAUVAISE,VLOOKUP("Blé",AlimentsRationEcuriePoneysFemelles,2,FALSE),0))))))))))</f>
        <v>0</v>
      </c>
      <c r="FR199" s="1345"/>
      <c r="FS199" s="1345"/>
      <c r="FT199" s="1345"/>
      <c r="FU199" s="1345"/>
      <c r="FV199" s="1345"/>
      <c r="FW199" s="1345"/>
      <c r="FX199" s="1345"/>
      <c r="FY199" s="1345"/>
      <c r="FZ199" s="1345"/>
      <c r="GA199" s="1345"/>
      <c r="GB199" s="1345"/>
      <c r="GC199" s="1321"/>
      <c r="GD199" s="1321"/>
      <c r="GE199" s="1321"/>
      <c r="GF199" s="1321"/>
      <c r="GG199" s="1321" t="s">
        <v>1349</v>
      </c>
      <c r="GH199" s="1321" t="s">
        <v>1349</v>
      </c>
      <c r="GI199" s="1321" t="s">
        <v>1349</v>
      </c>
      <c r="GJ199" s="1321" t="s">
        <v>1349</v>
      </c>
      <c r="GK199" s="1321" t="s">
        <v>1349</v>
      </c>
      <c r="GL199" s="1321" t="s">
        <v>1349</v>
      </c>
      <c r="GM199" s="1321" t="s">
        <v>1349</v>
      </c>
      <c r="GN199" s="1321" t="s">
        <v>1349</v>
      </c>
      <c r="GO199" s="1321" t="s">
        <v>1349</v>
      </c>
      <c r="GP199" s="1321" t="s">
        <v>1349</v>
      </c>
      <c r="GQ199" s="1321" t="s">
        <v>1349</v>
      </c>
      <c r="GR199" s="1321" t="s">
        <v>1349</v>
      </c>
      <c r="GS199" s="1321" t="s">
        <v>1349</v>
      </c>
      <c r="GT199" s="1321" t="s">
        <v>1349</v>
      </c>
      <c r="GU199" s="1321" t="s">
        <v>1349</v>
      </c>
      <c r="GV199" s="1321" t="s">
        <v>1349</v>
      </c>
      <c r="GW199" s="1321"/>
      <c r="GX199" s="1321"/>
      <c r="GY199" s="1321"/>
      <c r="GZ199" s="1321"/>
      <c r="HA199" s="1321"/>
      <c r="HB199" s="1321"/>
      <c r="HC199" s="1321"/>
      <c r="HD199" s="1321"/>
      <c r="HE199" s="1321"/>
      <c r="HF199" s="1321"/>
      <c r="HG199" s="1321"/>
      <c r="HH199" s="1321"/>
      <c r="HI199" s="1321"/>
      <c r="HJ199" s="1321"/>
      <c r="HK199" s="1321"/>
      <c r="HL199" s="1321"/>
      <c r="HM199" s="1321"/>
      <c r="HN199" s="1321"/>
      <c r="HO199" s="1321"/>
      <c r="HP199" s="1321"/>
      <c r="HQ199" s="1321"/>
      <c r="HR199" s="1321"/>
      <c r="HS199" s="1321"/>
      <c r="HT199" s="1321"/>
      <c r="HU199" s="1321"/>
      <c r="HV199" s="1321"/>
      <c r="HW199" s="1321"/>
      <c r="HX199" s="1321"/>
      <c r="HY199" s="1321"/>
      <c r="HZ199" s="1321"/>
      <c r="IA199" s="1321"/>
      <c r="IB199" s="1321"/>
      <c r="IC199" s="1321"/>
      <c r="ID199" s="1321"/>
      <c r="IE199" s="1321"/>
      <c r="IF199" s="1321"/>
      <c r="IG199" s="1321"/>
      <c r="IH199" s="1321"/>
      <c r="II199" s="1321"/>
      <c r="IJ199" s="1321"/>
      <c r="IK199" s="1321"/>
      <c r="IL199" s="1321"/>
      <c r="IM199" s="1321"/>
      <c r="IN199" s="1368"/>
    </row>
    <row r="200" spans="1:248" ht="12.75" customHeight="1" x14ac:dyDescent="0.2">
      <c r="A200" s="1319"/>
      <c r="B200" s="1320"/>
      <c r="C200" s="1321"/>
      <c r="D200" s="1251" t="s">
        <v>1988</v>
      </c>
      <c r="E200" s="1252">
        <v>3.8</v>
      </c>
      <c r="F200" s="1321"/>
      <c r="G200" s="1321"/>
      <c r="H200" s="1321"/>
      <c r="I200" s="1321"/>
      <c r="J200" s="1321"/>
      <c r="K200" s="1321"/>
      <c r="L200" s="1321"/>
      <c r="M200" s="1321"/>
      <c r="N200" s="1321"/>
      <c r="O200" s="1321"/>
      <c r="P200" s="1321"/>
      <c r="Q200" s="1321"/>
      <c r="R200" s="1321"/>
      <c r="S200" s="1321"/>
      <c r="T200" s="1321"/>
      <c r="U200" s="1321"/>
      <c r="V200" s="1321"/>
      <c r="W200" s="1321"/>
      <c r="X200" s="1321"/>
      <c r="Y200" s="1321"/>
      <c r="Z200" s="1321"/>
      <c r="AA200" s="1321"/>
      <c r="AB200" s="1321"/>
      <c r="AC200" s="1321"/>
      <c r="AD200" s="1321"/>
      <c r="AE200" s="1321"/>
      <c r="AF200" s="1321"/>
      <c r="AG200" s="1321"/>
      <c r="AH200" s="1321"/>
      <c r="AI200" s="1321"/>
      <c r="AJ200" s="1321"/>
      <c r="AK200" s="1321"/>
      <c r="AL200" s="1321"/>
      <c r="AM200" s="1321"/>
      <c r="AN200" s="1321"/>
      <c r="AO200" s="1321"/>
      <c r="AP200" s="1321"/>
      <c r="AQ200" s="1321"/>
      <c r="AR200" s="1321"/>
      <c r="AS200" s="1321"/>
      <c r="AT200" s="1321"/>
      <c r="AU200" s="1321"/>
      <c r="AV200" s="1321"/>
      <c r="AW200" s="1321"/>
      <c r="AX200" s="1321"/>
      <c r="AY200" s="1321"/>
      <c r="AZ200" s="1321"/>
      <c r="BA200" s="1321"/>
      <c r="BB200" s="1076" t="s">
        <v>714</v>
      </c>
      <c r="BC200" s="1267">
        <f t="array" ref="BC200">IF(Ration_complète_bovins[somme]&gt;0,0,IFERROR(IF(OR(AND(INDEX(Règles_bovins[Specificite],MATCH(ChoixRationBovins&amp;$BB200,Règles_bovins[Ration]&amp;Règles_bovins[Aliment],0))="s1",IF($BB200=Spécificité1Bovins,1)),
AND(INDEX(Règles_bovins[Specificite],MATCH(ChoixRationBovins&amp;$BB200,Règles_bovins[Ration]&amp;Règles_bovins[Aliment],0))="s2",IF($BB200=Spécificité2Bovins,1)),
INDEX(Règles_bovins[Specificite],MATCH(ChoixRationBovins&amp;$BB200,Règles_bovins[Ration]&amp;Règles_bovins[Aliment],0))="c"),
INDEX(Règles_bovins[Valeur 36 et plus],MATCH(ChoixRationBovins&amp;$BB200,Règles_bovins[Ration]&amp;Règles_bovins[Aliment],0)),0),0)*IF(ChoixBovinsPréHiver=OUI,TotalTaureauxRacesLaitières,TotalTaureaux*SUM(NbreJoursNourrirBovins)))</f>
        <v>0</v>
      </c>
      <c r="BD200" s="1267">
        <f t="array" ref="BD200">IF(Ration_complète_bovins[somme]&gt;0,0,IFERROR(IF(OR(AND(INDEX(Règles_bovins[Specificite],MATCH(ChoixRationBovins&amp;$BB200,Règles_bovins[Ration]&amp;Règles_bovins[Aliment],0))="s1",IF($BB200=Spécificité1Bovins,1)),
AND(INDEX(Règles_bovins[Specificite],MATCH(ChoixRationBovins&amp;$BB200,Règles_bovins[Ration]&amp;Règles_bovins[Aliment],0))="s2",IF($BB200=Spécificité2Bovins,1)),
INDEX(Règles_bovins[Specificite],MATCH(ChoixRationBovins&amp;$BB200,Règles_bovins[Ration]&amp;Règles_bovins[Aliment],0))="c"),
INDEX(Règles_bovins[Valeur 24-36],MATCH(ChoixRationBovins&amp;$BB200,Règles_bovins[Ration]&amp;Règles_bovins[Aliment],0)),0),0)*IF(ChoixBovinsPréHiver=OUI,TotalTaurillon_24_36_RacesLaitières,TotalBovinsMâles_24_36mois*SUM(NbreJoursNourrirBovins)))</f>
        <v>0</v>
      </c>
      <c r="BE200" s="1267">
        <f t="array" ref="BE200">IF(Ration_complète_bovins[somme]&gt;0,0,IFERROR(IF(OR(AND(INDEX(Règles_bovins[Specificite],MATCH(ChoixRationBovins&amp;$BB200,Règles_bovins[Ration]&amp;Règles_bovins[Aliment],0))="s1",IF($BB200=Spécificité1Bovins,1)),
AND(INDEX(Règles_bovins[Specificite],MATCH(ChoixRationBovins&amp;$BB200,Règles_bovins[Ration]&amp;Règles_bovins[Aliment],0))="s2",IF($BB200=Spécificité2Bovins,1)),
INDEX(Règles_bovins[Specificite],MATCH(ChoixRationBovins&amp;$BB200,Règles_bovins[Ration]&amp;Règles_bovins[Aliment],0))="c"),
INDEX(Règles_bovins[Valeur 18-24],MATCH(ChoixRationBovins&amp;$BB200,Règles_bovins[Ration]&amp;Règles_bovins[Aliment],0)),0),0)*IF(ChoixBovinsPréHiver=OUI,TotalTaurillon_18_24_RacesLaitières,TotalBovinsMâles_18_24mois*SUM(NbreJoursNourrirBovins)))</f>
        <v>0</v>
      </c>
      <c r="BF200" s="1267">
        <f t="array" ref="BF200">IF(Ration_complète_bovins[somme]&gt;0,0,IFERROR(IF(OR(AND(INDEX(Règles_bovins[Specificite],MATCH(ChoixRationBovins&amp;$BB200,Règles_bovins[Ration]&amp;Règles_bovins[Aliment],0))="s1",IF($BB200=Spécificité1Bovins,1)),
AND(INDEX(Règles_bovins[Specificite],MATCH(ChoixRationBovins&amp;$BB200,Règles_bovins[Ration]&amp;Règles_bovins[Aliment],0))="s2",IF($BB200=Spécificité2Bovins,1)),
INDEX(Règles_bovins[Specificite],MATCH(ChoixRationBovins&amp;$BB200,Règles_bovins[Ration]&amp;Règles_bovins[Aliment],0))="c"),
INDEX(Règles_bovins[Valeur 12-18],MATCH(ChoixRationBovins&amp;$BB200,Règles_bovins[Ration]&amp;Règles_bovins[Aliment],0)),0),0)*IF(ChoixBovinsPréHiver=OUI,animaux!D20,TotalBovinsMâles_12_18mois*SUM(NbreJoursNourrirBovins)))</f>
        <v>0</v>
      </c>
      <c r="BG200" s="1267">
        <f t="array" ref="BG200">IF(Ration_complète_bovins[somme]&gt;0,0,IFERROR(IF(OR(AND(INDEX(Règles_bovins[Specificite],MATCH(ChoixRationBovins&amp;$BB200,Règles_bovins[Ration]&amp;Règles_bovins[Aliment],0))="s1",IF($BB200=Spécificité1Bovins,1)),
AND(INDEX(Règles_bovins[Specificite],MATCH(ChoixRationBovins&amp;$BB200,Règles_bovins[Ration]&amp;Règles_bovins[Aliment],0))="s2",IF($BB200=Spécificité2Bovins,1)),
INDEX(Règles_bovins[Specificite],MATCH(ChoixRationBovins&amp;$BB200,Règles_bovins[Ration]&amp;Règles_bovins[Aliment],0))="c"),
INDEX(Règles_bovins[Valeur 6-12],MATCH(ChoixRationBovins&amp;$BB200,Règles_bovins[Ration]&amp;Règles_bovins[Aliment],0)),0),0)*IF(ChoixBovinsPréHiver=OUI,TotalVeauMâle_6_12_RacesLaitières,TotalBovinsMâles_6_12mois*SUM(NbreJoursNourrirBovins)))</f>
        <v>0</v>
      </c>
      <c r="BH200" s="1267">
        <f t="array" ref="BH200">IF(Ration_complète_bovins[somme]&gt;0,0,IFERROR(IF(OR(AND(INDEX(Règles_bovins[Specificite],MATCH(ChoixRationBovins&amp;$BB200,Règles_bovins[Ration]&amp;Règles_bovins[Aliment],0))="s1",IF($BB200=Spécificité1Bovins,1)),
AND(INDEX(Règles_bovins[Specificite],MATCH(ChoixRationBovins&amp;$BB200,Règles_bovins[Ration]&amp;Règles_bovins[Aliment],0))="s2",IF($BB200=Spécificité2Bovins,1)),
INDEX(Règles_bovins[Specificite],MATCH(ChoixRationBovins&amp;$BB200,Règles_bovins[Ration]&amp;Règles_bovins[Aliment],0))="c"),
INDEX(Règles_bovins[Valeur 3-6],MATCH(ChoixRationBovins&amp;$BB200,Règles_bovins[Ration]&amp;Règles_bovins[Aliment],0)),0),0)*IF(ChoixBovinsPréHiver=OUI,TotalVeauMâle_3_6_RacesLaitières,TotalBovinsMâles_3_6mois*SUM(NbreJoursNourrirBovins)))</f>
        <v>0</v>
      </c>
      <c r="BI200" s="1267">
        <f t="array" ref="BI200">IF(Ration_complète_bovins[somme]&gt;0,0,IFERROR(IF(OR(AND(INDEX(Règles_bovins[Specificite],MATCH(ChoixRationBovins&amp;$BB200,Règles_bovins[Ration]&amp;Règles_bovins[Aliment],0))="s1",IF($BB200=Spécificité1Bovins,1)),
AND(INDEX(Règles_bovins[Specificite],MATCH(ChoixRationBovins&amp;$BB200,Règles_bovins[Ration]&amp;Règles_bovins[Aliment],0))="s2",IF($BB200=Spécificité2Bovins,1)),
INDEX(Règles_bovins[Specificite],MATCH(ChoixRationBovins&amp;$BB200,Règles_bovins[Ration]&amp;Règles_bovins[Aliment],0))="c"),
INDEX(Règles_bovins[Valeur 0-3],MATCH(ChoixRationBovins&amp;$BB200,Règles_bovins[Ration]&amp;Règles_bovins[Aliment],0)),0),0)*IF(ChoixBovinsPréHiver=OUI,TotalVeauMâle_0_3_RacesLaitières,TotalBovinsMâles_0_3mois*SUM(NbreJoursNourrirBovins)))</f>
        <v>0</v>
      </c>
      <c r="BJ200" s="1268">
        <f t="shared" si="69"/>
        <v>0</v>
      </c>
      <c r="BK200" s="1321"/>
      <c r="BL200" s="1321"/>
      <c r="BM200" s="1346"/>
      <c r="BN200" s="1321"/>
      <c r="BO200" s="1321"/>
      <c r="BP200" s="1321"/>
      <c r="BQ200" s="1321"/>
      <c r="BR200" s="1321"/>
      <c r="BS200" s="1321"/>
      <c r="BT200" s="1321"/>
      <c r="BU200" s="1321"/>
      <c r="BV200" s="1345"/>
      <c r="BW200" s="1345"/>
      <c r="BX200" s="1076" t="str">
        <f t="shared" si="70"/>
        <v>Chanvre</v>
      </c>
      <c r="BY200" s="1267">
        <f t="array" ref="BY200">SUM((IF(QualitéAlimentsChevreau_0_3_mois=BONNE,VLOOKUP("Chanvre",AlimentsRationCaprinsMâles,5,FALSE),0)+(IF(QualitéAlimentsChevrette_0_3_mois=BONNE,VLOOKUP("Chanvre",AlimentsRationCaprinsFemelles,5,FALSE),0)+(IF(QualitéAlimentsChevreau_3_6_mois=BONNE,VLOOKUP("Chanvre",AlimentsRationCaprinsMâles,4,FALSE),0)+(IF(QualitéAlimentsChevrette_3_6_mois=BONNE,VLOOKUP("Chanvre",AlimentsRationCaprinsFemelles,4,FALSE),0)+(IF(QualitéAlimentsJeuneBouc=BONNE,VLOOKUP("Chanvre",AlimentsRationCaprinsMâles,3,FALSE),0)+(IF(QualitéAlimentsJeuneChèvre=BONNE,VLOOKUP("Chanvre",AlimentsRationCaprinsFemelles,3,FALSE),0)+(IF(QualitéAlimentsBouc=BONNE,VLOOKUP("Chanvre",AlimentsRationCaprinsMâles,2,FALSE),0)+(IF(QualitéAlimentsChèvre=BONNE,VLOOKUP("Chanvre",AlimentsRationCaprinsFemelles,2,FALSE),0))))))))))</f>
        <v>0</v>
      </c>
      <c r="BZ200" s="1267">
        <f t="array" ref="BZ200">SUM((IF(QualitéAlimentsChevreau_0_3_mois=MOYENNE,VLOOKUP("Chanvre",AlimentsRationCaprinsMâles,5,FALSE),0)+(IF(QualitéAlimentsChevrette_0_3_mois=MOYENNE,VLOOKUP("Chanvre",AlimentsRationCaprinsFemelles,5,FALSE),0)+(IF(QualitéAlimentsChevreau_3_6_mois=MOYENNE,VLOOKUP("Chanvre",AlimentsRationCaprinsMâles,4,FALSE),0)+(IF(QualitéAlimentsChevrette_3_6_mois=MOYENNE,VLOOKUP("Chanvre",AlimentsRationCaprinsFemelles,4,FALSE),0)+(IF(QualitéAlimentsJeuneBouc=MOYENNE,VLOOKUP("Chanvre",AlimentsRationCaprinsMâles,3,FALSE),0)+(IF(QualitéAlimentsJeuneChèvre=MOYENNE,VLOOKUP("Chanvre",AlimentsRationCaprinsFemelles,3,FALSE),0)+(IF(QualitéAlimentsBouc=MOYENNE,VLOOKUP("Chanvre",AlimentsRationCaprinsMâles,2,FALSE),0)+(IF(QualitéAlimentsChèvre=MOYENNE,VLOOKUP("Chanvre",AlimentsRationCaprinsFemelles,2,FALSE),0))))))))))</f>
        <v>0</v>
      </c>
      <c r="CA200" s="1267">
        <f t="array" ref="CA200">SUM((IF(QualitéAlimentsChevreau_0_3_mois=MAUVAISE,VLOOKUP("Chanvre",AlimentsRationCaprinsMâles,5,FALSE),0)+(IF(QualitéAlimentsChevrette_0_3_mois=MAUVAISE,VLOOKUP("Chanvre",AlimentsRationCaprinsFemelles,5,FALSE),0)+(IF(QualitéAlimentsChevreau_3_6_mois=MAUVAISE,VLOOKUP("Chanvre",AlimentsRationCaprinsMâles,4,FALSE),0)+(IF(QualitéAlimentsChevrette_3_6_mois=MAUVAISE,VLOOKUP("Chanvre",AlimentsRationCaprinsFemelles,4,FALSE),0)+(IF(QualitéAlimentsJeuneBouc=MAUVAISE,VLOOKUP("Chanvre",AlimentsRationCaprinsMâles,3,FALSE),0)+(IF(QualitéAlimentsJeuneChèvre=MAUVAISE,VLOOKUP("Chanvre",AlimentsRationCaprinsFemelles,3,FALSE),0)+(IF(QualitéAlimentsBouc=MAUVAISE,VLOOKUP("Chanvre",AlimentsRationCaprinsMâles,2,FALSE),0)+(IF(QualitéAlimentsChèvre=MAUVAISE,VLOOKUP("Chanvre",AlimentsRationCaprinsFemelles,2,FALSE),0))))))))))</f>
        <v>0</v>
      </c>
      <c r="CB200" s="1321"/>
      <c r="CC200" s="1321"/>
      <c r="CD200" s="1345"/>
      <c r="CE200" s="1345"/>
      <c r="CF200" s="1345"/>
      <c r="CG200" s="1345"/>
      <c r="CH200" s="1345"/>
      <c r="CI200" s="1321"/>
      <c r="CJ200" s="1321"/>
      <c r="CK200" s="1321"/>
      <c r="CL200" s="1321"/>
      <c r="CM200" s="1321"/>
      <c r="CN200" s="1321"/>
      <c r="CO200" s="1321"/>
      <c r="CP200" s="1321"/>
      <c r="CQ200" s="1321"/>
      <c r="CR200" s="1321"/>
      <c r="CS200" s="1321"/>
      <c r="CT200" s="1321"/>
      <c r="CU200" s="1321"/>
      <c r="CV200" s="1321"/>
      <c r="CW200" s="1321"/>
      <c r="CX200" s="1321"/>
      <c r="CY200" s="1321"/>
      <c r="CZ200" s="1321"/>
      <c r="DA200" s="1321"/>
      <c r="DB200" s="1321"/>
      <c r="DC200" s="1321"/>
      <c r="DD200" s="1321"/>
      <c r="DE200" s="1321"/>
      <c r="DF200" s="1321"/>
      <c r="DG200" s="1321"/>
      <c r="DH200" s="1321"/>
      <c r="DI200" s="1321"/>
      <c r="DJ200" s="1321"/>
      <c r="DK200" s="1321"/>
      <c r="DL200" s="1321"/>
      <c r="DM200" s="1321"/>
      <c r="DN200" s="1076" t="str">
        <f t="shared" si="68"/>
        <v>concentré jeunes lapins</v>
      </c>
      <c r="DO200" s="1267">
        <f t="array" ref="DO200">IF(ChoixRationComplèteOvins=OUI,0,IFERROR(IF(OR(AND(INDEX(Règles_ovins[Specificite],MATCH(ChoixRationOvins&amp;$DN200,Règles_ovins[Ration]&amp;Règles_ovins[Aliment],0))="s1",IF($DN200=Spécificité1Ovins,1)),
AND(INDEX(Règles_ovins[Specificite],MATCH(ChoixRationOvins&amp;$DN200,Règles_ovins[Ration]&amp;Règles_ovins[Aliment],0))="s2",IF($DN200=Spécificité2Ovins,1)),
INDEX(Règles_ovins[Specificite],MATCH(ChoixRationOvins&amp;$DN200,Règles_ovins[Ration]&amp;Règles_ovins[Aliment],0))="c"),
INDEX(Règles_ovins[Valeur 12 et plus],MATCH(ChoixRationOvins&amp;$DN200,Règles_ovins[Ration]&amp;Règles_ovins[Aliment],0)),0),0)*IF(ChoixOvinsPréHiver=OUI,SUM(TotalOvinsAdultesRacesLaitières)*NbreJoursNourrirOvins,TotalBrebis*SUM(NbreJoursNourrirOvins)))</f>
        <v>0</v>
      </c>
      <c r="DP200" s="1267">
        <f t="array" ref="DP200">IF(ChoixRationComplèteOvins=OUI,0,IFERROR(IF(OR(AND(INDEX(Règles_ovins[Specificite],MATCH(ChoixRationOvins&amp;$DN200,Règles_ovins[Ration]&amp;Règles_ovins[Aliment],0))="s1",IF($DN200=Spécificité1Ovins,1)),
AND(INDEX(Règles_ovins[Specificite],MATCH(ChoixRationOvins&amp;$DN200,Règles_ovins[Ration]&amp;Règles_ovins[Aliment],0))="s2",IF($DN200=Spécificité2Ovins,1)),
INDEX(Règles_ovins[Specificite],MATCH(ChoixRationOvins&amp;$DN200,Règles_ovins[Ration]&amp;Règles_ovins[Aliment],0))="c"),
INDEX(Règles_ovins[Valeur 6-12],MATCH(ChoixRationOvins&amp;$DN200,Règles_ovins[Ration]&amp;Règles_ovins[Aliment],0)),0),0)*IF(ChoixOvinsPréHiver=OUI,SUM(TotalJeunesOvinsRacesLaitières)*NbreJoursNourrirOvins,TotalJeune_brebis_6_12_mois*SUM(NbreJoursNourrirOvins)))</f>
        <v>0</v>
      </c>
      <c r="DQ200" s="1267">
        <f t="array" ref="DQ200">IF(ChoixRationComplèteOvins=OUI,0,IFERROR(IF(OR(AND(INDEX(Règles_ovins[Specificite],MATCH(ChoixRationOvins&amp;$DN200,Règles_ovins[Ration]&amp;Règles_ovins[Aliment],0))="s1",IF($DN200=Spécificité1Ovins,1)),
AND(INDEX(Règles_ovins[Specificite],MATCH(ChoixRationOvins&amp;$DN200,Règles_ovins[Ration]&amp;Règles_ovins[Aliment],0))="s2",IF($DN200=Spécificité2Ovins,1)),
INDEX(Règles_ovins[Specificite],MATCH(ChoixRationOvins&amp;$DN200,Règles_ovins[Ration]&amp;Règles_ovins[Aliment],0))="c"),
INDEX(Règles_ovins[Valeur 3-6],MATCH(ChoixRationOvins&amp;$DN200,Règles_ovins[Ration]&amp;Règles_ovins[Aliment],0)),0),0)*IF(ChoixOvinsPréHiver=OUI,SUM(TotalOvins_3_6moisRacesLaitières)*NbreJoursNourrirOvins,TotalAgnelle_3_6_mois*SUM(NbreJoursNourrirOvins)))</f>
        <v>0</v>
      </c>
      <c r="DR200" s="1267">
        <f t="array" ref="DR200">IF(ChoixRationComplèteOvins=OUI,0,IFERROR(IF(OR(AND(INDEX(Règles_ovins[Specificite],MATCH(ChoixRationOvins&amp;$DN200,Règles_ovins[Ration]&amp;Règles_ovins[Aliment],0))="s1",IF($DN200=Spécificité1Ovins,1)),
AND(INDEX(Règles_ovins[Specificite],MATCH(ChoixRationOvins&amp;$DN200,Règles_ovins[Ration]&amp;Règles_ovins[Aliment],0))="s2",IF($DN200=Spécificité2Ovins,1)),
INDEX(Règles_ovins[Specificite],MATCH(ChoixRationOvins&amp;$DN200,Règles_ovins[Ration]&amp;Règles_ovins[Aliment],0))="c"),
INDEX(Règles_ovins[Valeur 0-3],MATCH(ChoixRationOvins&amp;$DN200,Règles_ovins[Ration]&amp;Règles_ovins[Aliment],0)),0),0)*IF(ChoixOvinsPréHiver=OUI,SUM(TotalOvins_3_6moisRacesLaitières)*NbreJoursNourrirOvins,TotalAgnelle_0_3_mois*SUM(NbreJoursNourrirOvins)))</f>
        <v>0</v>
      </c>
      <c r="DS200" s="1279">
        <f t="shared" si="67"/>
        <v>0</v>
      </c>
      <c r="DT200" s="1346"/>
      <c r="DU200" s="1346"/>
      <c r="DV200" s="1321"/>
      <c r="DW200" s="1321"/>
      <c r="DX200" s="1321"/>
      <c r="DY200" s="1321"/>
      <c r="DZ200" s="1321"/>
      <c r="EA200" s="1321"/>
      <c r="EB200" s="1321"/>
      <c r="EC200" s="1321"/>
      <c r="ED200" s="1345"/>
      <c r="EE200" s="1345"/>
      <c r="EF200" s="1321"/>
      <c r="EG200" s="1321"/>
      <c r="EH200" s="1321"/>
      <c r="EI200" s="1321"/>
      <c r="EJ200" s="1321"/>
      <c r="EK200" s="1345"/>
      <c r="EL200" s="1345"/>
      <c r="EM200" s="1321"/>
      <c r="EN200" s="1321"/>
      <c r="EO200" s="1321"/>
      <c r="EP200" s="1321"/>
      <c r="EQ200" s="1321"/>
      <c r="ER200" s="1345"/>
      <c r="ES200" s="1345"/>
      <c r="ET200" s="1321"/>
      <c r="EU200" s="1321"/>
      <c r="EV200" s="1321"/>
      <c r="EW200" s="1321"/>
      <c r="EX200" s="1321"/>
      <c r="EY200" s="1321"/>
      <c r="EZ200" s="1345"/>
      <c r="FA200" s="1345"/>
      <c r="FB200" s="1345"/>
      <c r="FC200" s="1321"/>
      <c r="FD200" s="1082" t="str">
        <f t="shared" si="72"/>
        <v>Blé</v>
      </c>
      <c r="FE200" s="1282">
        <f t="array" ref="FE200">SUM((IF(QualitéAlimentsPoulainMâleTrait=BONNE,VLOOKUP("Blé",AlimentsRationEcurieChevauxMâlesTrait,5,FALSE),0)+(IF(QualitéAlimentsPoulainFemelleTrait=BONNE,VLOOKUP("Blé",AlimentsRationEcurieChevauxFemellesTrait,5,FALSE),0)+(IF(QualitéAlimentsJeuneEtalon_12_24_moisTrait=BONNE,VLOOKUP("Blé",AlimentsRationEcurieChevauxMâlesTrait,4,FALSE),0)+(IF(QualitéAlimentsJeuneJument_12_24_moisTrait=BONNE,VLOOKUP("Blé",AlimentsRationEcurieChevauxFemellesTrait,4,FALSE),0)+(IF(QualitéAlimentsJeuneEtalon_24_36_moisTrait=BONNE,VLOOKUP("Blé",AlimentsRationEcurieChevauxMâlesTrait,3,FALSE),0)+(IF(QualitéAlimentsJeuneJument_24_36_moisTrait=BONNE,VLOOKUP("Blé",AlimentsRationEcurieChevauxFemellesTrait,3,FALSE),0)+(IF(QualitéAlimentsEtalonTrait=BONNE,VLOOKUP("Blé",AlimentsRationEcurieChevauxMâlesTrait,2,FALSE),0)+(IF(QualitéAlimentsJumentTrait=BONNE,VLOOKUP("Blé",AlimentsRationEcurieChevauxFemellesTrait,2,FALSE),0))))))))))</f>
        <v>0</v>
      </c>
      <c r="FF200" s="1282">
        <f t="array" ref="FF200">SUM((IF(QualitéAlimentsPoulainMâleTrait=MOYENNE,VLOOKUP("Blé",AlimentsRationEcurieChevauxMâlesTrait,5,FALSE),0)+(IF(QualitéAlimentsPoulainFemelleTrait=MOYENNE,VLOOKUP("Blé",AlimentsRationEcurieChevauxFemellesTrait,5,FALSE),0)+(IF(QualitéAlimentsJeuneEtalon_12_24_moisTrait=MOYENNE,VLOOKUP("Blé",AlimentsRationEcurieChevauxMâlesTrait,4,FALSE),0)+(IF(QualitéAlimentsJeuneJument_12_24_moisTrait=MOYENNE,VLOOKUP("Blé",AlimentsRationEcurieChevauxFemellesTrait,4,FALSE),0)+(IF(QualitéAlimentsJeuneEtalon_24_36_moisTrait=MOYENNE,VLOOKUP("Blé",AlimentsRationEcurieChevauxMâlesTrait,3,FALSE),0)+(IF(QualitéAlimentsJeuneJument_24_36_moisTrait=MOYENNE,VLOOKUP("Blé",AlimentsRationEcurieChevauxFemellesTrait,3,FALSE),0)+(IF(QualitéAlimentsEtalonTrait=MOYENNE,VLOOKUP("Blé",AlimentsRationEcurieChevauxMâlesTrait,2,FALSE),0)+(IF(QualitéAlimentsJumentTrait=MOYENNE,VLOOKUP("Blé",AlimentsRationEcurieChevauxFemellesTrait,2,FALSE),0))))))))))</f>
        <v>0</v>
      </c>
      <c r="FG200" s="1282">
        <f t="array" ref="FG200">SUM((IF(QualitéAlimentsPoulainMâleTrait=MAUVAISE,VLOOKUP("Blé",AlimentsRationEcurieChevauxMâlesTrait,5,FALSE),0)+(IF(QualitéAlimentsPoulainFemelleTrait=MAUVAISE,VLOOKUP("Blé",AlimentsRationEcurieChevauxFemellesTrait,5,FALSE),0)+(IF(QualitéAlimentsJeuneEtalon_12_24_moisTrait=MAUVAISE,VLOOKUP("Blé",AlimentsRationEcurieChevauxMâlesTrait,4,FALSE),0)+(IF(QualitéAlimentsJeuneJument_12_24_moisTrait=MAUVAISE,VLOOKUP("Blé",AlimentsRationEcurieChevauxFemellesTrait,4,FALSE),0)+(IF(QualitéAlimentsJeuneEtalon_24_36_moisTrait=MAUVAISE,VLOOKUP("Blé",AlimentsRationEcurieChevauxMâlesTrait,3,FALSE),0)+(IF(QualitéAlimentsJeuneJument_24_36_moisTrait=MAUVAISE,VLOOKUP("Blé",AlimentsRationEcurieChevauxFemellesTrait,3,FALSE),0)+(IF(QualitéAlimentsEtalonTrait=MAUVAISE,VLOOKUP("Blé",AlimentsRationEcurieChevauxMâlesTrait,2,FALSE),0)+(IF(QualitéAlimentsJumentTrait=MAUVAISE,VLOOKUP("Blé",AlimentsRationEcurieChevauxFemellesTrait,2,FALSE),0))))))))))</f>
        <v>0</v>
      </c>
      <c r="FH200" s="1321"/>
      <c r="FI200" s="1321"/>
      <c r="FJ200" s="1345"/>
      <c r="FK200" s="1345"/>
      <c r="FL200" s="1345"/>
      <c r="FM200" s="1321"/>
      <c r="FN200" s="1083" t="str">
        <f t="shared" si="71"/>
        <v>Bouchons luzerne</v>
      </c>
      <c r="FO200" s="1283">
        <f t="array" ref="FO200">SUM((IF(QualitéAlimentsPoulainMâlePoney=BONNE,VLOOKUP("Bouchons luzerne",AlimentsRationEcuriePoneysMâles,5,FALSE),0)+(IF(QualitéAlimentsPoulainFemellePoney=BONNE,VLOOKUP("Bouchons luzerne",AlimentsRationEcuriePoneysFemelles,5,FALSE),0)+(IF(QualitéAlimentsJeuneEtalon_12_24_moisPoney=BONNE,VLOOKUP("Bouchons luzerne",AlimentsRationEcuriePoneysMâles,4,FALSE),0)+(IF(QualitéAlimentsJeuneJument_12_24_moisPoney=BONNE,VLOOKUP("Bouchons luzerne",AlimentsRationEcuriePoneysFemelles,4,FALSE),0)+(IF(QualitéAlimentsJeuneEtalon_24_36_moisPoney=BONNE,VLOOKUP("Bouchons luzerne",AlimentsRationEcuriePoneysMâles,3,FALSE),0)+(IF(QualitéAlimentsJeuneJument_24_36_moisPoney=BONNE,VLOOKUP("Bouchons luzerne",AlimentsRationEcuriePoneysFemelles,3,FALSE),0)+(IF(QualitéAlimentsEtalonPoney=BONNE,VLOOKUP("Bouchons luzerne",AlimentsRationEcuriePoneysMâles,2,FALSE),0)+(IF(QualitéAlimentsJumentPoney=BONNE,VLOOKUP("Bouchons luzerne",AlimentsRationEcuriePoneysFemelles,2,FALSE),0))))))))))</f>
        <v>0</v>
      </c>
      <c r="FP200" s="1283">
        <f t="array" ref="FP200">SUM((IF(QualitéAlimentsPoulainMâlePoney=MOYENNE,VLOOKUP("Bouchons luzerne",AlimentsRationEcuriePoneysMâles,5,FALSE),0)+(IF(QualitéAlimentsPoulainFemellePoney=MOYENNE,VLOOKUP("Bouchons luzerne",AlimentsRationEcuriePoneysFemelles,5,FALSE),0)+(IF(QualitéAlimentsJeuneEtalon_12_24_moisPoney=MOYENNE,VLOOKUP("Bouchons luzerne",AlimentsRationEcuriePoneysMâles,4,FALSE),0)+(IF(QualitéAlimentsJeuneJument_12_24_moisPoney=MOYENNE,VLOOKUP("Bouchons luzerne",AlimentsRationEcuriePoneysFemelles,4,FALSE),0)+(IF(QualitéAlimentsJeuneEtalon_24_36_moisPoney=MOYENNE,VLOOKUP("Bouchons luzerne",AlimentsRationEcuriePoneysMâles,3,FALSE),0)+(IF(QualitéAlimentsJeuneJument_24_36_moisPoney=MOYENNE,VLOOKUP("Bouchons luzerne",AlimentsRationEcuriePoneysFemelles,3,FALSE),0)+(IF(QualitéAlimentsEtalonPoney=MOYENNE,VLOOKUP("Bouchons luzerne",AlimentsRationEcuriePoneysMâles,2,FALSE),0)+(IF(QualitéAlimentsJumentPoney=MOYENNE,VLOOKUP("Bouchons luzerne",AlimentsRationEcuriePoneysFemelles,2,FALSE),0))))))))))</f>
        <v>0</v>
      </c>
      <c r="FQ200" s="1283">
        <f t="array" ref="FQ200">SUM((IF(QualitéAlimentsPoulainMâlePoney=MAUVAISE,VLOOKUP("Bouchons luzerne",AlimentsRationEcuriePoneysMâles,5,FALSE),0)+(IF(QualitéAlimentsPoulainFemellePoney=MAUVAISE,VLOOKUP("Bouchons luzerne",AlimentsRationEcuriePoneysFemelles,5,FALSE),0)+(IF(QualitéAlimentsJeuneEtalon_12_24_moisPoney=MAUVAISE,VLOOKUP("Bouchons luzerne",AlimentsRationEcuriePoneysMâles,4,FALSE),0)+(IF(QualitéAlimentsJeuneJument_12_24_moisPoney=MAUVAISE,VLOOKUP("Bouchons luzerne",AlimentsRationEcuriePoneysFemelles,4,FALSE),0)+(IF(QualitéAlimentsJeuneEtalon_24_36_moisPoney=MAUVAISE,VLOOKUP("Bouchons luzerne",AlimentsRationEcuriePoneysMâles,3,FALSE),0)+(IF(QualitéAlimentsJeuneJument_24_36_moisPoney=MAUVAISE,VLOOKUP("Bouchons luzerne",AlimentsRationEcuriePoneysFemelles,3,FALSE),0)+(IF(QualitéAlimentsEtalonPoney=MAUVAISE,VLOOKUP("Bouchons luzerne",AlimentsRationEcuriePoneysMâles,2,FALSE),0)+(IF(QualitéAlimentsJumentPoney=MAUVAISE,VLOOKUP("Bouchons luzerne",AlimentsRationEcuriePoneysFemelles,2,FALSE),0))))))))))</f>
        <v>0</v>
      </c>
      <c r="FR200" s="1345"/>
      <c r="FS200" s="1345"/>
      <c r="FT200" s="1345"/>
      <c r="FU200" s="1345"/>
      <c r="FV200" s="1345"/>
      <c r="FW200" s="1345"/>
      <c r="FX200" s="1345"/>
      <c r="FY200" s="1345"/>
      <c r="FZ200" s="1345"/>
      <c r="GA200" s="1345"/>
      <c r="GB200" s="1345"/>
      <c r="GC200" s="1321"/>
      <c r="GD200" s="1321"/>
      <c r="GE200" s="1321"/>
      <c r="GF200" s="1321"/>
      <c r="GG200" s="1321" t="s">
        <v>1349</v>
      </c>
      <c r="GH200" s="1321" t="s">
        <v>1349</v>
      </c>
      <c r="GI200" s="1321" t="s">
        <v>1349</v>
      </c>
      <c r="GJ200" s="1321" t="s">
        <v>1349</v>
      </c>
      <c r="GK200" s="1321" t="s">
        <v>1349</v>
      </c>
      <c r="GL200" s="1321" t="s">
        <v>1349</v>
      </c>
      <c r="GM200" s="1321" t="s">
        <v>1349</v>
      </c>
      <c r="GN200" s="1321" t="s">
        <v>1349</v>
      </c>
      <c r="GO200" s="1321" t="s">
        <v>1349</v>
      </c>
      <c r="GP200" s="1321" t="s">
        <v>1349</v>
      </c>
      <c r="GQ200" s="1321" t="s">
        <v>1349</v>
      </c>
      <c r="GR200" s="1321" t="s">
        <v>1349</v>
      </c>
      <c r="GS200" s="1321" t="s">
        <v>1349</v>
      </c>
      <c r="GT200" s="1321" t="s">
        <v>1349</v>
      </c>
      <c r="GU200" s="1321" t="s">
        <v>1349</v>
      </c>
      <c r="GV200" s="1321" t="s">
        <v>1349</v>
      </c>
      <c r="GW200" s="1321"/>
      <c r="GX200" s="1321"/>
      <c r="GY200" s="1321"/>
      <c r="GZ200" s="1321"/>
      <c r="HA200" s="1321"/>
      <c r="HB200" s="1321"/>
      <c r="HC200" s="1321"/>
      <c r="HD200" s="1321"/>
      <c r="HE200" s="1321"/>
      <c r="HF200" s="1321"/>
      <c r="HG200" s="1321"/>
      <c r="HH200" s="1321"/>
      <c r="HI200" s="1321"/>
      <c r="HJ200" s="1321"/>
      <c r="HK200" s="1321"/>
      <c r="HL200" s="1321"/>
      <c r="HM200" s="1321"/>
      <c r="HN200" s="1321"/>
      <c r="HO200" s="1321"/>
      <c r="HP200" s="1321"/>
      <c r="HQ200" s="1321"/>
      <c r="HR200" s="1321"/>
      <c r="HS200" s="1321"/>
      <c r="HT200" s="1321"/>
      <c r="HU200" s="1321"/>
      <c r="HV200" s="1321"/>
      <c r="HW200" s="1321"/>
      <c r="HX200" s="1321"/>
      <c r="HY200" s="1321"/>
      <c r="HZ200" s="1321"/>
      <c r="IA200" s="1321"/>
      <c r="IB200" s="1321"/>
      <c r="IC200" s="1321"/>
      <c r="ID200" s="1321"/>
      <c r="IE200" s="1321"/>
      <c r="IF200" s="1321"/>
      <c r="IG200" s="1321"/>
      <c r="IH200" s="1321"/>
      <c r="II200" s="1321"/>
      <c r="IJ200" s="1321"/>
      <c r="IK200" s="1321"/>
      <c r="IL200" s="1321"/>
      <c r="IM200" s="1321"/>
      <c r="IN200" s="1368"/>
    </row>
    <row r="201" spans="1:248" ht="12.75" customHeight="1" x14ac:dyDescent="0.2">
      <c r="A201" s="1319"/>
      <c r="B201" s="1320"/>
      <c r="C201" s="1321"/>
      <c r="D201" s="1287" t="s">
        <v>1989</v>
      </c>
      <c r="E201" s="1158">
        <v>4</v>
      </c>
      <c r="F201" s="1321"/>
      <c r="G201" s="1321"/>
      <c r="H201" s="1321"/>
      <c r="I201" s="1321"/>
      <c r="J201" s="1321"/>
      <c r="K201" s="1321"/>
      <c r="L201" s="1321"/>
      <c r="M201" s="1321"/>
      <c r="N201" s="1321"/>
      <c r="O201" s="1321"/>
      <c r="P201" s="1321"/>
      <c r="Q201" s="1321"/>
      <c r="R201" s="1321"/>
      <c r="S201" s="1321"/>
      <c r="T201" s="1321"/>
      <c r="U201" s="1321"/>
      <c r="V201" s="1321"/>
      <c r="W201" s="1321"/>
      <c r="X201" s="1321"/>
      <c r="Y201" s="1321"/>
      <c r="Z201" s="1321"/>
      <c r="AA201" s="1321"/>
      <c r="AB201" s="1321"/>
      <c r="AC201" s="1321"/>
      <c r="AD201" s="1321"/>
      <c r="AE201" s="1321"/>
      <c r="AF201" s="1321"/>
      <c r="AG201" s="1321"/>
      <c r="AH201" s="1321"/>
      <c r="AI201" s="1321"/>
      <c r="AJ201" s="1321"/>
      <c r="AK201" s="1321"/>
      <c r="AL201" s="1321"/>
      <c r="AM201" s="1321"/>
      <c r="AN201" s="1321"/>
      <c r="AO201" s="1321"/>
      <c r="AP201" s="1321"/>
      <c r="AQ201" s="1321"/>
      <c r="AR201" s="1321"/>
      <c r="AS201" s="1321"/>
      <c r="AT201" s="1321"/>
      <c r="AU201" s="1321"/>
      <c r="AV201" s="1321"/>
      <c r="AW201" s="1321"/>
      <c r="AX201" s="1321"/>
      <c r="AY201" s="1321"/>
      <c r="AZ201" s="1321"/>
      <c r="BA201" s="1321"/>
      <c r="BB201" s="1075" t="s">
        <v>1718</v>
      </c>
      <c r="BC201" s="1269">
        <f t="array" ref="BC201">IF(Ration_complète_bovins[somme]&gt;0,0,IFERROR(IF(OR(AND(INDEX(Règles_bovins[Specificite],MATCH(ChoixRationBovins&amp;$BB201,Règles_bovins[Ration]&amp;Règles_bovins[Aliment],0))="s1",IF($BB201=Spécificité1Bovins,1)),
AND(INDEX(Règles_bovins[Specificite],MATCH(ChoixRationBovins&amp;$BB201,Règles_bovins[Ration]&amp;Règles_bovins[Aliment],0))="s2",IF($BB201=Spécificité2Bovins,1)),
INDEX(Règles_bovins[Specificite],MATCH(ChoixRationBovins&amp;$BB201,Règles_bovins[Ration]&amp;Règles_bovins[Aliment],0))="c"),
INDEX(Règles_bovins[Valeur 36 et plus],MATCH(ChoixRationBovins&amp;$BB201,Règles_bovins[Ration]&amp;Règles_bovins[Aliment],0)),0),0)*IF(ChoixBovinsPréHiver=OUI,TotalTaureauxRacesLaitières,TotalTaureaux*SUM(NbreJoursNourrirBovins)))</f>
        <v>0</v>
      </c>
      <c r="BD201" s="1269">
        <f t="array" ref="BD201">IF(Ration_complète_bovins[somme]&gt;0,0,IFERROR(IF(OR(AND(INDEX(Règles_bovins[Specificite],MATCH(ChoixRationBovins&amp;$BB201,Règles_bovins[Ration]&amp;Règles_bovins[Aliment],0))="s1",IF($BB201=Spécificité1Bovins,1)),
AND(INDEX(Règles_bovins[Specificite],MATCH(ChoixRationBovins&amp;$BB201,Règles_bovins[Ration]&amp;Règles_bovins[Aliment],0))="s2",IF($BB201=Spécificité2Bovins,1)),
INDEX(Règles_bovins[Specificite],MATCH(ChoixRationBovins&amp;$BB201,Règles_bovins[Ration]&amp;Règles_bovins[Aliment],0))="c"),
INDEX(Règles_bovins[Valeur 24-36],MATCH(ChoixRationBovins&amp;$BB201,Règles_bovins[Ration]&amp;Règles_bovins[Aliment],0)),0),0)*IF(ChoixBovinsPréHiver=OUI,TotalTaurillon_24_36_RacesLaitières,TotalBovinsMâles_24_36mois*SUM(NbreJoursNourrirBovins)))</f>
        <v>0</v>
      </c>
      <c r="BE201" s="1269">
        <f t="array" ref="BE201">IF(Ration_complète_bovins[somme]&gt;0,0,IFERROR(IF(OR(AND(INDEX(Règles_bovins[Specificite],MATCH(ChoixRationBovins&amp;$BB201,Règles_bovins[Ration]&amp;Règles_bovins[Aliment],0))="s1",IF($BB201=Spécificité1Bovins,1)),
AND(INDEX(Règles_bovins[Specificite],MATCH(ChoixRationBovins&amp;$BB201,Règles_bovins[Ration]&amp;Règles_bovins[Aliment],0))="s2",IF($BB201=Spécificité2Bovins,1)),
INDEX(Règles_bovins[Specificite],MATCH(ChoixRationBovins&amp;$BB201,Règles_bovins[Ration]&amp;Règles_bovins[Aliment],0))="c"),
INDEX(Règles_bovins[Valeur 18-24],MATCH(ChoixRationBovins&amp;$BB201,Règles_bovins[Ration]&amp;Règles_bovins[Aliment],0)),0),0)*IF(ChoixBovinsPréHiver=OUI,TotalTaurillon_18_24_RacesLaitières,TotalBovinsMâles_18_24mois*SUM(NbreJoursNourrirBovins)))</f>
        <v>0</v>
      </c>
      <c r="BF201" s="1269">
        <f t="array" ref="BF201">IF(Ration_complète_bovins[somme]&gt;0,0,IFERROR(IF(OR(AND(INDEX(Règles_bovins[Specificite],MATCH(ChoixRationBovins&amp;$BB201,Règles_bovins[Ration]&amp;Règles_bovins[Aliment],0))="s1",IF($BB201=Spécificité1Bovins,1)),
AND(INDEX(Règles_bovins[Specificite],MATCH(ChoixRationBovins&amp;$BB201,Règles_bovins[Ration]&amp;Règles_bovins[Aliment],0))="s2",IF($BB201=Spécificité2Bovins,1)),
INDEX(Règles_bovins[Specificite],MATCH(ChoixRationBovins&amp;$BB201,Règles_bovins[Ration]&amp;Règles_bovins[Aliment],0))="c"),
INDEX(Règles_bovins[Valeur 12-18],MATCH(ChoixRationBovins&amp;$BB201,Règles_bovins[Ration]&amp;Règles_bovins[Aliment],0)),0),0)*IF(ChoixBovinsPréHiver=OUI,animaux!D21,TotalBovinsMâles_12_18mois*SUM(NbreJoursNourrirBovins)))</f>
        <v>0</v>
      </c>
      <c r="BG201" s="1269">
        <f t="array" ref="BG201">IF(Ration_complète_bovins[somme]&gt;0,0,IFERROR(IF(OR(AND(INDEX(Règles_bovins[Specificite],MATCH(ChoixRationBovins&amp;$BB201,Règles_bovins[Ration]&amp;Règles_bovins[Aliment],0))="s1",IF($BB201=Spécificité1Bovins,1)),
AND(INDEX(Règles_bovins[Specificite],MATCH(ChoixRationBovins&amp;$BB201,Règles_bovins[Ration]&amp;Règles_bovins[Aliment],0))="s2",IF($BB201=Spécificité2Bovins,1)),
INDEX(Règles_bovins[Specificite],MATCH(ChoixRationBovins&amp;$BB201,Règles_bovins[Ration]&amp;Règles_bovins[Aliment],0))="c"),
INDEX(Règles_bovins[Valeur 6-12],MATCH(ChoixRationBovins&amp;$BB201,Règles_bovins[Ration]&amp;Règles_bovins[Aliment],0)),0),0)*IF(ChoixBovinsPréHiver=OUI,TotalVeauMâle_6_12_RacesLaitières,TotalBovinsMâles_6_12mois*SUM(NbreJoursNourrirBovins)))</f>
        <v>0</v>
      </c>
      <c r="BH201" s="1269">
        <f t="array" ref="BH201">IF(Ration_complète_bovins[somme]&gt;0,0,IFERROR(IF(OR(AND(INDEX(Règles_bovins[Specificite],MATCH(ChoixRationBovins&amp;$BB201,Règles_bovins[Ration]&amp;Règles_bovins[Aliment],0))="s1",IF($BB201=Spécificité1Bovins,1)),
AND(INDEX(Règles_bovins[Specificite],MATCH(ChoixRationBovins&amp;$BB201,Règles_bovins[Ration]&amp;Règles_bovins[Aliment],0))="s2",IF($BB201=Spécificité2Bovins,1)),
INDEX(Règles_bovins[Specificite],MATCH(ChoixRationBovins&amp;$BB201,Règles_bovins[Ration]&amp;Règles_bovins[Aliment],0))="c"),
INDEX(Règles_bovins[Valeur 3-6],MATCH(ChoixRationBovins&amp;$BB201,Règles_bovins[Ration]&amp;Règles_bovins[Aliment],0)),0),0)*IF(ChoixBovinsPréHiver=OUI,TotalVeauMâle_3_6_RacesLaitières,TotalBovinsMâles_3_6mois*SUM(NbreJoursNourrirBovins)))</f>
        <v>0</v>
      </c>
      <c r="BI201" s="1269">
        <f t="array" ref="BI201">IF(Ration_complète_bovins[somme]&gt;0,0,IFERROR(IF(OR(AND(INDEX(Règles_bovins[Specificite],MATCH(ChoixRationBovins&amp;$BB201,Règles_bovins[Ration]&amp;Règles_bovins[Aliment],0))="s1",IF($BB201=Spécificité1Bovins,1)),
AND(INDEX(Règles_bovins[Specificite],MATCH(ChoixRationBovins&amp;$BB201,Règles_bovins[Ration]&amp;Règles_bovins[Aliment],0))="s2",IF($BB201=Spécificité2Bovins,1)),
INDEX(Règles_bovins[Specificite],MATCH(ChoixRationBovins&amp;$BB201,Règles_bovins[Ration]&amp;Règles_bovins[Aliment],0))="c"),
INDEX(Règles_bovins[Valeur 0-3],MATCH(ChoixRationBovins&amp;$BB201,Règles_bovins[Ration]&amp;Règles_bovins[Aliment],0)),0),0)*IF(ChoixBovinsPréHiver=OUI,TotalVeauMâle_0_3_RacesLaitières,TotalBovinsMâles_0_3mois*SUM(NbreJoursNourrirBovins)))</f>
        <v>0</v>
      </c>
      <c r="BJ201" s="1270">
        <f t="shared" si="69"/>
        <v>0</v>
      </c>
      <c r="BK201" s="1321"/>
      <c r="BL201" s="1321"/>
      <c r="BM201" s="1346"/>
      <c r="BN201" s="1321"/>
      <c r="BO201" s="1321"/>
      <c r="BP201" s="1321"/>
      <c r="BQ201" s="1321"/>
      <c r="BR201" s="1321"/>
      <c r="BS201" s="1321"/>
      <c r="BT201" s="1321"/>
      <c r="BU201" s="1321"/>
      <c r="BV201" s="1345"/>
      <c r="BW201" s="1345"/>
      <c r="BX201" s="1075" t="str">
        <f t="shared" si="70"/>
        <v>Canola</v>
      </c>
      <c r="BY201" s="1269">
        <f t="array" ref="BY201">SUM((IF(QualitéAlimentsChevreau_0_3_mois=BONNE,VLOOKUP("Canola",AlimentsRationCaprinsMâles,5,FALSE),0)+(IF(QualitéAlimentsChevrette_0_3_mois=BONNE,VLOOKUP("Canola",AlimentsRationCaprinsFemelles,5,FALSE),0)+(IF(QualitéAlimentsChevreau_3_6_mois=BONNE,VLOOKUP("Canola",AlimentsRationCaprinsMâles,4,FALSE),0)+(IF(QualitéAlimentsChevrette_3_6_mois=BONNE,VLOOKUP("Canola",AlimentsRationCaprinsFemelles,4,FALSE),0)+(IF(QualitéAlimentsJeuneBouc=BONNE,VLOOKUP("Canola",AlimentsRationCaprinsMâles,3,FALSE),0)+(IF(QualitéAlimentsJeuneChèvre=BONNE,VLOOKUP("Canola",AlimentsRationCaprinsFemelles,3,FALSE),0)+(IF(QualitéAlimentsBouc=BONNE,VLOOKUP("Canola",AlimentsRationCaprinsMâles,2,FALSE),0)+(IF(QualitéAlimentsChèvre=BONNE,VLOOKUP("Canola",AlimentsRationCaprinsFemelles,2,FALSE),0))))))))))</f>
        <v>0</v>
      </c>
      <c r="BZ201" s="1269">
        <f t="array" ref="BZ201">SUM((IF(QualitéAlimentsChevreau_0_3_mois=MOYENNE,VLOOKUP("Canola",AlimentsRationCaprinsMâles,5,FALSE),0)+(IF(QualitéAlimentsChevrette_0_3_mois=MOYENNE,VLOOKUP("Canola",AlimentsRationCaprinsFemelles,5,FALSE),0)+(IF(QualitéAlimentsChevreau_3_6_mois=MOYENNE,VLOOKUP("Canola",AlimentsRationCaprinsMâles,4,FALSE),0)+(IF(QualitéAlimentsChevrette_3_6_mois=MOYENNE,VLOOKUP("Canola",AlimentsRationCaprinsFemelles,4,FALSE),0)+(IF(QualitéAlimentsJeuneBouc=MOYENNE,VLOOKUP("Canola",AlimentsRationCaprinsMâles,3,FALSE),0)+(IF(QualitéAlimentsJeuneChèvre=MOYENNE,VLOOKUP("Canola",AlimentsRationCaprinsFemelles,3,FALSE),0)+(IF(QualitéAlimentsBouc=MOYENNE,VLOOKUP("Canola",AlimentsRationCaprinsMâles,2,FALSE),0)+(IF(QualitéAlimentsChèvre=MOYENNE,VLOOKUP("Canola",AlimentsRationCaprinsFemelles,2,FALSE),0))))))))))</f>
        <v>0</v>
      </c>
      <c r="CA201" s="1269">
        <f t="array" ref="CA201">SUM((IF(QualitéAlimentsChevreau_0_3_mois=MAUVAISE,VLOOKUP("Canola",AlimentsRationCaprinsMâles,5,FALSE),0)+(IF(QualitéAlimentsChevrette_0_3_mois=MAUVAISE,VLOOKUP("Canola",AlimentsRationCaprinsFemelles,5,FALSE),0)+(IF(QualitéAlimentsChevreau_3_6_mois=MAUVAISE,VLOOKUP("Canola",AlimentsRationCaprinsMâles,4,FALSE),0)+(IF(QualitéAlimentsChevrette_3_6_mois=MAUVAISE,VLOOKUP("Canola",AlimentsRationCaprinsFemelles,4,FALSE),0)+(IF(QualitéAlimentsJeuneBouc=MAUVAISE,VLOOKUP("Canola",AlimentsRationCaprinsMâles,3,FALSE),0)+(IF(QualitéAlimentsJeuneChèvre=MAUVAISE,VLOOKUP("Canola",AlimentsRationCaprinsFemelles,3,FALSE),0)+(IF(QualitéAlimentsBouc=MAUVAISE,VLOOKUP("Canola",AlimentsRationCaprinsMâles,2,FALSE),0)+(IF(QualitéAlimentsChèvre=MAUVAISE,VLOOKUP("Canola",AlimentsRationCaprinsFemelles,2,FALSE),0))))))))))</f>
        <v>0</v>
      </c>
      <c r="CB201" s="1321"/>
      <c r="CC201" s="1321"/>
      <c r="CD201" s="1345"/>
      <c r="CE201" s="1345"/>
      <c r="CF201" s="1345"/>
      <c r="CG201" s="1345"/>
      <c r="CH201" s="1345"/>
      <c r="CI201" s="1321"/>
      <c r="CJ201" s="1321"/>
      <c r="CK201" s="1321"/>
      <c r="CL201" s="1321"/>
      <c r="CM201" s="1321"/>
      <c r="CN201" s="1321"/>
      <c r="CO201" s="1321"/>
      <c r="CP201" s="1321"/>
      <c r="CQ201" s="1321"/>
      <c r="CR201" s="1321"/>
      <c r="CS201" s="1321"/>
      <c r="CT201" s="1321"/>
      <c r="CU201" s="1321"/>
      <c r="CV201" s="1321"/>
      <c r="CW201" s="1321"/>
      <c r="CX201" s="1321"/>
      <c r="CY201" s="1321"/>
      <c r="CZ201" s="1321"/>
      <c r="DA201" s="1321"/>
      <c r="DB201" s="1321"/>
      <c r="DC201" s="1321"/>
      <c r="DD201" s="1321"/>
      <c r="DE201" s="1321"/>
      <c r="DF201" s="1321"/>
      <c r="DG201" s="1321"/>
      <c r="DH201" s="1321"/>
      <c r="DI201" s="1321"/>
      <c r="DJ201" s="1321"/>
      <c r="DK201" s="1321"/>
      <c r="DL201" s="1321"/>
      <c r="DM201" s="1321"/>
      <c r="DN201" s="1075" t="str">
        <f t="shared" si="68"/>
        <v>concentré jeunes porcins</v>
      </c>
      <c r="DO201" s="1269">
        <f t="array" ref="DO201">IF(ChoixRationComplèteOvins=OUI,0,IFERROR(IF(OR(AND(INDEX(Règles_ovins[Specificite],MATCH(ChoixRationOvins&amp;$DN201,Règles_ovins[Ration]&amp;Règles_ovins[Aliment],0))="s1",IF($DN201=Spécificité1Ovins,1)),
AND(INDEX(Règles_ovins[Specificite],MATCH(ChoixRationOvins&amp;$DN201,Règles_ovins[Ration]&amp;Règles_ovins[Aliment],0))="s2",IF($DN201=Spécificité2Ovins,1)),
INDEX(Règles_ovins[Specificite],MATCH(ChoixRationOvins&amp;$DN201,Règles_ovins[Ration]&amp;Règles_ovins[Aliment],0))="c"),
INDEX(Règles_ovins[Valeur 12 et plus],MATCH(ChoixRationOvins&amp;$DN201,Règles_ovins[Ration]&amp;Règles_ovins[Aliment],0)),0),0)*IF(ChoixOvinsPréHiver=OUI,SUM(TotalOvinsAdultesRacesLaitières)*NbreJoursNourrirOvins,TotalBrebis*SUM(NbreJoursNourrirOvins)))</f>
        <v>0</v>
      </c>
      <c r="DP201" s="1269">
        <f t="array" ref="DP201">IF(ChoixRationComplèteOvins=OUI,0,IFERROR(IF(OR(AND(INDEX(Règles_ovins[Specificite],MATCH(ChoixRationOvins&amp;$DN201,Règles_ovins[Ration]&amp;Règles_ovins[Aliment],0))="s1",IF($DN201=Spécificité1Ovins,1)),
AND(INDEX(Règles_ovins[Specificite],MATCH(ChoixRationOvins&amp;$DN201,Règles_ovins[Ration]&amp;Règles_ovins[Aliment],0))="s2",IF($DN201=Spécificité2Ovins,1)),
INDEX(Règles_ovins[Specificite],MATCH(ChoixRationOvins&amp;$DN201,Règles_ovins[Ration]&amp;Règles_ovins[Aliment],0))="c"),
INDEX(Règles_ovins[Valeur 6-12],MATCH(ChoixRationOvins&amp;$DN201,Règles_ovins[Ration]&amp;Règles_ovins[Aliment],0)),0),0)*IF(ChoixOvinsPréHiver=OUI,SUM(TotalJeunesOvinsRacesLaitières)*NbreJoursNourrirOvins,TotalJeune_brebis_6_12_mois*SUM(NbreJoursNourrirOvins)))</f>
        <v>0</v>
      </c>
      <c r="DQ201" s="1269">
        <f t="array" ref="DQ201">IF(ChoixRationComplèteOvins=OUI,0,IFERROR(IF(OR(AND(INDEX(Règles_ovins[Specificite],MATCH(ChoixRationOvins&amp;$DN201,Règles_ovins[Ration]&amp;Règles_ovins[Aliment],0))="s1",IF($DN201=Spécificité1Ovins,1)),
AND(INDEX(Règles_ovins[Specificite],MATCH(ChoixRationOvins&amp;$DN201,Règles_ovins[Ration]&amp;Règles_ovins[Aliment],0))="s2",IF($DN201=Spécificité2Ovins,1)),
INDEX(Règles_ovins[Specificite],MATCH(ChoixRationOvins&amp;$DN201,Règles_ovins[Ration]&amp;Règles_ovins[Aliment],0))="c"),
INDEX(Règles_ovins[Valeur 3-6],MATCH(ChoixRationOvins&amp;$DN201,Règles_ovins[Ration]&amp;Règles_ovins[Aliment],0)),0),0)*IF(ChoixOvinsPréHiver=OUI,SUM(TotalOvins_3_6moisRacesLaitières)*NbreJoursNourrirOvins,TotalAgnelle_3_6_mois*SUM(NbreJoursNourrirOvins)))</f>
        <v>0</v>
      </c>
      <c r="DR201" s="1269">
        <f t="array" ref="DR201">IF(ChoixRationComplèteOvins=OUI,0,IFERROR(IF(OR(AND(INDEX(Règles_ovins[Specificite],MATCH(ChoixRationOvins&amp;$DN201,Règles_ovins[Ration]&amp;Règles_ovins[Aliment],0))="s1",IF($DN201=Spécificité1Ovins,1)),
AND(INDEX(Règles_ovins[Specificite],MATCH(ChoixRationOvins&amp;$DN201,Règles_ovins[Ration]&amp;Règles_ovins[Aliment],0))="s2",IF($DN201=Spécificité2Ovins,1)),
INDEX(Règles_ovins[Specificite],MATCH(ChoixRationOvins&amp;$DN201,Règles_ovins[Ration]&amp;Règles_ovins[Aliment],0))="c"),
INDEX(Règles_ovins[Valeur 0-3],MATCH(ChoixRationOvins&amp;$DN201,Règles_ovins[Ration]&amp;Règles_ovins[Aliment],0)),0),0)*IF(ChoixOvinsPréHiver=OUI,SUM(TotalOvins_3_6moisRacesLaitières)*NbreJoursNourrirOvins,TotalAgnelle_0_3_mois*SUM(NbreJoursNourrirOvins)))</f>
        <v>0</v>
      </c>
      <c r="DS201" s="1280">
        <f t="shared" si="67"/>
        <v>0</v>
      </c>
      <c r="DT201" s="1346"/>
      <c r="DU201" s="1346"/>
      <c r="DV201" s="1321"/>
      <c r="DW201" s="1321"/>
      <c r="DX201" s="1321"/>
      <c r="DY201" s="1321"/>
      <c r="DZ201" s="1321"/>
      <c r="EA201" s="1321"/>
      <c r="EB201" s="1321"/>
      <c r="EC201" s="1321"/>
      <c r="ED201" s="1345"/>
      <c r="EE201" s="1345"/>
      <c r="EF201" s="1321"/>
      <c r="EG201" s="1321"/>
      <c r="EH201" s="1321"/>
      <c r="EI201" s="1321"/>
      <c r="EJ201" s="1321"/>
      <c r="EK201" s="1345"/>
      <c r="EL201" s="1345"/>
      <c r="EM201" s="1321"/>
      <c r="EN201" s="1321"/>
      <c r="EO201" s="1321"/>
      <c r="EP201" s="1321"/>
      <c r="EQ201" s="1321"/>
      <c r="ER201" s="1345"/>
      <c r="ES201" s="1345"/>
      <c r="ET201" s="1321"/>
      <c r="EU201" s="1336" t="s">
        <v>1749</v>
      </c>
      <c r="EV201" s="1336"/>
      <c r="EW201" s="1336"/>
      <c r="EX201" s="1336"/>
      <c r="EY201" s="1321"/>
      <c r="EZ201" s="1345"/>
      <c r="FA201" s="1345"/>
      <c r="FB201" s="1345"/>
      <c r="FC201" s="1321"/>
      <c r="FD201" s="1083" t="str">
        <f t="shared" si="72"/>
        <v>Bouchons luzerne</v>
      </c>
      <c r="FE201" s="1283">
        <f t="array" ref="FE201">SUM((IF(QualitéAlimentsPoulainMâleTrait=BONNE,VLOOKUP("Bouchons luzerne",AlimentsRationEcurieChevauxMâlesTrait,5,FALSE),0)+(IF(QualitéAlimentsPoulainFemelleTrait=BONNE,VLOOKUP("Bouchons luzerne",AlimentsRationEcurieChevauxFemellesTrait,5,FALSE),0)+(IF(QualitéAlimentsJeuneEtalon_12_24_moisTrait=BONNE,VLOOKUP("Bouchons luzerne",AlimentsRationEcurieChevauxMâlesTrait,4,FALSE),0)+(IF(QualitéAlimentsJeuneJument_12_24_moisTrait=BONNE,VLOOKUP("Bouchons luzerne",AlimentsRationEcurieChevauxFemellesTrait,4,FALSE),0)+(IF(QualitéAlimentsJeuneEtalon_24_36_moisTrait=BONNE,VLOOKUP("Bouchons luzerne",AlimentsRationEcurieChevauxMâlesTrait,3,FALSE),0)+(IF(QualitéAlimentsJeuneJument_24_36_moisTrait=BONNE,VLOOKUP("Bouchons luzerne",AlimentsRationEcurieChevauxFemellesTrait,3,FALSE),0)+(IF(QualitéAlimentsEtalonTrait=BONNE,VLOOKUP("Bouchons luzerne",AlimentsRationEcurieChevauxMâlesTrait,2,FALSE),0)+(IF(QualitéAlimentsJumentTrait=BONNE,VLOOKUP("Bouchons luzerne",AlimentsRationEcurieChevauxFemellesTrait,2,FALSE),0))))))))))</f>
        <v>0</v>
      </c>
      <c r="FF201" s="1283">
        <f t="array" ref="FF201">SUM((IF(QualitéAlimentsPoulainMâleTrait=MOYENNE,VLOOKUP("Bouchons luzerne",AlimentsRationEcurieChevauxMâlesTrait,5,FALSE),0)+(IF(QualitéAlimentsPoulainFemelleTrait=MOYENNE,VLOOKUP("Bouchons luzerne",AlimentsRationEcurieChevauxFemellesTrait,5,FALSE),0)+(IF(QualitéAlimentsJeuneEtalon_12_24_moisTrait=MOYENNE,VLOOKUP("Bouchons luzerne",AlimentsRationEcurieChevauxMâlesTrait,4,FALSE),0)+(IF(QualitéAlimentsJeuneJument_12_24_moisTrait=MOYENNE,VLOOKUP("Bouchons luzerne",AlimentsRationEcurieChevauxFemellesTrait,4,FALSE),0)+(IF(QualitéAlimentsJeuneEtalon_24_36_moisTrait=MOYENNE,VLOOKUP("Bouchons luzerne",AlimentsRationEcurieChevauxMâlesTrait,3,FALSE),0)+(IF(QualitéAlimentsJeuneJument_24_36_moisTrait=MOYENNE,VLOOKUP("Bouchons luzerne",AlimentsRationEcurieChevauxFemellesTrait,3,FALSE),0)+(IF(QualitéAlimentsEtalonTrait=MOYENNE,VLOOKUP("Bouchons luzerne",AlimentsRationEcurieChevauxMâlesTrait,2,FALSE),0)+(IF(QualitéAlimentsJumentTrait=MOYENNE,VLOOKUP("Bouchons luzerne",AlimentsRationEcurieChevauxFemellesTrait,2,FALSE),0))))))))))</f>
        <v>0</v>
      </c>
      <c r="FG201" s="1283">
        <f t="array" ref="FG201">SUM((IF(QualitéAlimentsPoulainMâleTrait=MAUVAISE,VLOOKUP("Bouchons luzerne",AlimentsRationEcurieChevauxMâlesTrait,5,FALSE),0)+(IF(QualitéAlimentsPoulainFemelleTrait=MAUVAISE,VLOOKUP("Bouchons luzerne",AlimentsRationEcurieChevauxFemellesTrait,5,FALSE),0)+(IF(QualitéAlimentsJeuneEtalon_12_24_moisTrait=MAUVAISE,VLOOKUP("Bouchons luzerne",AlimentsRationEcurieChevauxMâlesTrait,4,FALSE),0)+(IF(QualitéAlimentsJeuneJument_12_24_moisTrait=MAUVAISE,VLOOKUP("Bouchons luzerne",AlimentsRationEcurieChevauxFemellesTrait,4,FALSE),0)+(IF(QualitéAlimentsJeuneEtalon_24_36_moisTrait=MAUVAISE,VLOOKUP("Bouchons luzerne",AlimentsRationEcurieChevauxMâlesTrait,3,FALSE),0)+(IF(QualitéAlimentsJeuneJument_24_36_moisTrait=MAUVAISE,VLOOKUP("Bouchons luzerne",AlimentsRationEcurieChevauxFemellesTrait,3,FALSE),0)+(IF(QualitéAlimentsEtalonTrait=MAUVAISE,VLOOKUP("Bouchons luzerne",AlimentsRationEcurieChevauxMâlesTrait,2,FALSE),0)+(IF(QualitéAlimentsJumentTrait=MAUVAISE,VLOOKUP("Bouchons luzerne",AlimentsRationEcurieChevauxFemellesTrait,2,FALSE),0))))))))))</f>
        <v>0</v>
      </c>
      <c r="FH201" s="1321"/>
      <c r="FI201" s="1321"/>
      <c r="FJ201" s="1345"/>
      <c r="FK201" s="1345"/>
      <c r="FL201" s="1345"/>
      <c r="FM201" s="1321"/>
      <c r="FN201" s="1082" t="str">
        <f t="shared" si="71"/>
        <v>Chanvre</v>
      </c>
      <c r="FO201" s="1282">
        <f t="array" ref="FO201">SUM((IF(QualitéAlimentsPoulainMâlePoney=BONNE,VLOOKUP("Chanvre",AlimentsRationEcuriePoneysMâles,5,FALSE),0)+(IF(QualitéAlimentsPoulainFemellePoney=BONNE,VLOOKUP("Chanvre",AlimentsRationEcuriePoneysFemelles,5,FALSE),0)+(IF(QualitéAlimentsJeuneEtalon_12_24_moisPoney=BONNE,VLOOKUP("Chanvre",AlimentsRationEcuriePoneysMâles,4,FALSE),0)+(IF(QualitéAlimentsJeuneJument_12_24_moisPoney=BONNE,VLOOKUP("Chanvre",AlimentsRationEcuriePoneysFemelles,4,FALSE),0)+(IF(QualitéAlimentsJeuneEtalon_24_36_moisPoney=BONNE,VLOOKUP("Chanvre",AlimentsRationEcuriePoneysMâles,3,FALSE),0)+(IF(QualitéAlimentsJeuneJument_24_36_moisPoney=BONNE,VLOOKUP("Chanvre",AlimentsRationEcuriePoneysFemelles,3,FALSE),0)+(IF(QualitéAlimentsEtalonPoney=BONNE,VLOOKUP("Chanvre",AlimentsRationEcuriePoneysMâles,2,FALSE),0)+(IF(QualitéAlimentsJumentPoney=BONNE,VLOOKUP("Chanvre",AlimentsRationEcuriePoneysFemelles,2,FALSE),0))))))))))</f>
        <v>0</v>
      </c>
      <c r="FP201" s="1282">
        <f t="array" ref="FP201">SUM((IF(QualitéAlimentsPoulainMâlePoney=MOYENNE,VLOOKUP("Chanvre",AlimentsRationEcuriePoneysMâles,5,FALSE),0)+(IF(QualitéAlimentsPoulainFemellePoney=MOYENNE,VLOOKUP("Chanvre",AlimentsRationEcuriePoneysFemelles,5,FALSE),0)+(IF(QualitéAlimentsJeuneEtalon_12_24_moisPoney=MOYENNE,VLOOKUP("Chanvre",AlimentsRationEcuriePoneysMâles,4,FALSE),0)+(IF(QualitéAlimentsJeuneJument_12_24_moisPoney=MOYENNE,VLOOKUP("Chanvre",AlimentsRationEcuriePoneysFemelles,4,FALSE),0)+(IF(QualitéAlimentsJeuneEtalon_24_36_moisPoney=MOYENNE,VLOOKUP("Chanvre",AlimentsRationEcuriePoneysMâles,3,FALSE),0)+(IF(QualitéAlimentsJeuneJument_24_36_moisPoney=MOYENNE,VLOOKUP("Chanvre",AlimentsRationEcuriePoneysFemelles,3,FALSE),0)+(IF(QualitéAlimentsEtalonPoney=MOYENNE,VLOOKUP("Chanvre",AlimentsRationEcuriePoneysMâles,2,FALSE),0)+(IF(QualitéAlimentsJumentPoney=MOYENNE,VLOOKUP("Chanvre",AlimentsRationEcuriePoneysFemelles,2,FALSE),0))))))))))</f>
        <v>0</v>
      </c>
      <c r="FQ201" s="1282">
        <f t="array" ref="FQ201">SUM((IF(QualitéAlimentsPoulainMâlePoney=MAUVAISE,VLOOKUP("Chanvre",AlimentsRationEcuriePoneysMâles,5,FALSE),0)+(IF(QualitéAlimentsPoulainFemellePoney=MAUVAISE,VLOOKUP("Chanvre",AlimentsRationEcuriePoneysFemelles,5,FALSE),0)+(IF(QualitéAlimentsJeuneEtalon_12_24_moisPoney=MAUVAISE,VLOOKUP("Chanvre",AlimentsRationEcuriePoneysMâles,4,FALSE),0)+(IF(QualitéAlimentsJeuneJument_12_24_moisPoney=MAUVAISE,VLOOKUP("Chanvre",AlimentsRationEcuriePoneysFemelles,4,FALSE),0)+(IF(QualitéAlimentsJeuneEtalon_24_36_moisPoney=MAUVAISE,VLOOKUP("Chanvre",AlimentsRationEcuriePoneysMâles,3,FALSE),0)+(IF(QualitéAlimentsJeuneJument_24_36_moisPoney=MAUVAISE,VLOOKUP("Chanvre",AlimentsRationEcuriePoneysFemelles,3,FALSE),0)+(IF(QualitéAlimentsEtalonPoney=MAUVAISE,VLOOKUP("Chanvre",AlimentsRationEcuriePoneysMâles,2,FALSE),0)+(IF(QualitéAlimentsJumentPoney=MAUVAISE,VLOOKUP("Chanvre",AlimentsRationEcuriePoneysFemelles,2,FALSE),0))))))))))</f>
        <v>0</v>
      </c>
      <c r="FR201" s="1345"/>
      <c r="FS201" s="1345"/>
      <c r="FT201" s="1345"/>
      <c r="FU201" s="1345"/>
      <c r="FV201" s="1345"/>
      <c r="FW201" s="1345"/>
      <c r="FX201" s="1345"/>
      <c r="FY201" s="1345"/>
      <c r="FZ201" s="1345"/>
      <c r="GA201" s="1345"/>
      <c r="GB201" s="1345"/>
      <c r="GC201" s="1321"/>
      <c r="GD201" s="1321"/>
      <c r="GE201" s="1321"/>
      <c r="GF201" s="1321"/>
      <c r="GG201" s="1321" t="s">
        <v>1349</v>
      </c>
      <c r="GH201" s="1321" t="s">
        <v>1349</v>
      </c>
      <c r="GI201" s="1321" t="s">
        <v>1349</v>
      </c>
      <c r="GJ201" s="1321" t="s">
        <v>1349</v>
      </c>
      <c r="GK201" s="1321" t="s">
        <v>1349</v>
      </c>
      <c r="GL201" s="1321" t="s">
        <v>1349</v>
      </c>
      <c r="GM201" s="1321" t="s">
        <v>1349</v>
      </c>
      <c r="GN201" s="1321" t="s">
        <v>1349</v>
      </c>
      <c r="GO201" s="1321" t="s">
        <v>1349</v>
      </c>
      <c r="GP201" s="1321" t="s">
        <v>1349</v>
      </c>
      <c r="GQ201" s="1321" t="s">
        <v>1349</v>
      </c>
      <c r="GR201" s="1321" t="s">
        <v>1349</v>
      </c>
      <c r="GS201" s="1321" t="s">
        <v>1349</v>
      </c>
      <c r="GT201" s="1321" t="s">
        <v>1349</v>
      </c>
      <c r="GU201" s="1321" t="s">
        <v>1349</v>
      </c>
      <c r="GV201" s="1321" t="s">
        <v>1349</v>
      </c>
      <c r="GW201" s="1321"/>
      <c r="GX201" s="1321"/>
      <c r="GY201" s="1321"/>
      <c r="GZ201" s="1321"/>
      <c r="HA201" s="1321"/>
      <c r="HB201" s="1321"/>
      <c r="HC201" s="1321"/>
      <c r="HD201" s="1321"/>
      <c r="HE201" s="1321"/>
      <c r="HF201" s="1321"/>
      <c r="HG201" s="1321"/>
      <c r="HH201" s="1321"/>
      <c r="HI201" s="1321"/>
      <c r="HJ201" s="1321"/>
      <c r="HK201" s="1321"/>
      <c r="HL201" s="1321"/>
      <c r="HM201" s="1321"/>
      <c r="HN201" s="1321"/>
      <c r="HO201" s="1321"/>
      <c r="HP201" s="1321"/>
      <c r="HQ201" s="1321"/>
      <c r="HR201" s="1321"/>
      <c r="HS201" s="1321"/>
      <c r="HT201" s="1321"/>
      <c r="HU201" s="1321"/>
      <c r="HV201" s="1321"/>
      <c r="HW201" s="1321"/>
      <c r="HX201" s="1321"/>
      <c r="HY201" s="1321"/>
      <c r="HZ201" s="1321"/>
      <c r="IA201" s="1321"/>
      <c r="IB201" s="1321"/>
      <c r="IC201" s="1321"/>
      <c r="ID201" s="1321"/>
      <c r="IE201" s="1321"/>
      <c r="IF201" s="1321"/>
      <c r="IG201" s="1321"/>
      <c r="IH201" s="1321"/>
      <c r="II201" s="1321"/>
      <c r="IJ201" s="1321"/>
      <c r="IK201" s="1321"/>
      <c r="IL201" s="1321"/>
      <c r="IM201" s="1321"/>
      <c r="IN201" s="1368"/>
    </row>
    <row r="202" spans="1:248" ht="12.75" customHeight="1" x14ac:dyDescent="0.2">
      <c r="A202" s="1319"/>
      <c r="B202" s="1320"/>
      <c r="C202" s="1321"/>
      <c r="D202" s="1288" t="s">
        <v>1990</v>
      </c>
      <c r="E202" s="1151">
        <v>3.8</v>
      </c>
      <c r="F202" s="1321"/>
      <c r="G202" s="1321"/>
      <c r="H202" s="1321"/>
      <c r="I202" s="1321"/>
      <c r="J202" s="1321"/>
      <c r="K202" s="1321"/>
      <c r="L202" s="1321"/>
      <c r="M202" s="1321"/>
      <c r="N202" s="1321"/>
      <c r="O202" s="1321"/>
      <c r="P202" s="1321"/>
      <c r="Q202" s="1321"/>
      <c r="R202" s="1321"/>
      <c r="S202" s="1321"/>
      <c r="T202" s="1321"/>
      <c r="U202" s="1321"/>
      <c r="V202" s="1321"/>
      <c r="W202" s="1321"/>
      <c r="X202" s="1321"/>
      <c r="Y202" s="1321"/>
      <c r="Z202" s="1321"/>
      <c r="AA202" s="1321"/>
      <c r="AB202" s="1321"/>
      <c r="AC202" s="1321"/>
      <c r="AD202" s="1321"/>
      <c r="AE202" s="1321"/>
      <c r="AF202" s="1321"/>
      <c r="AG202" s="1321"/>
      <c r="AH202" s="1321"/>
      <c r="AI202" s="1321"/>
      <c r="AJ202" s="1321"/>
      <c r="AK202" s="1321"/>
      <c r="AL202" s="1321"/>
      <c r="AM202" s="1321"/>
      <c r="AN202" s="1321"/>
      <c r="AO202" s="1321"/>
      <c r="AP202" s="1321"/>
      <c r="AQ202" s="1321"/>
      <c r="AR202" s="1321"/>
      <c r="AS202" s="1321"/>
      <c r="AT202" s="1321"/>
      <c r="AU202" s="1321"/>
      <c r="AV202" s="1321"/>
      <c r="AW202" s="1321"/>
      <c r="AX202" s="1321"/>
      <c r="AY202" s="1321"/>
      <c r="AZ202" s="1321"/>
      <c r="BA202" s="1321"/>
      <c r="BB202" s="1076" t="s">
        <v>1719</v>
      </c>
      <c r="BC202" s="1267">
        <f t="array" ref="BC202">IF(Ration_complète_bovins[somme]&gt;0,0,IFERROR(IF(OR(AND(INDEX(Règles_bovins[Specificite],MATCH(ChoixRationBovins&amp;$BB202,Règles_bovins[Ration]&amp;Règles_bovins[Aliment],0))="s1",IF($BB202=Spécificité1Bovins,1)),
AND(INDEX(Règles_bovins[Specificite],MATCH(ChoixRationBovins&amp;$BB202,Règles_bovins[Ration]&amp;Règles_bovins[Aliment],0))="s2",IF($BB202=Spécificité2Bovins,1)),
INDEX(Règles_bovins[Specificite],MATCH(ChoixRationBovins&amp;$BB202,Règles_bovins[Ration]&amp;Règles_bovins[Aliment],0))="c"),
INDEX(Règles_bovins[Valeur 36 et plus],MATCH(ChoixRationBovins&amp;$BB202,Règles_bovins[Ration]&amp;Règles_bovins[Aliment],0)),0),0)*IF(ChoixBovinsPréHiver=OUI,TotalTaureauxRacesLaitières,TotalTaureaux*SUM(NbreJoursNourrirBovins)))</f>
        <v>0</v>
      </c>
      <c r="BD202" s="1267">
        <f t="array" ref="BD202">IF(Ration_complète_bovins[somme]&gt;0,0,IFERROR(IF(OR(AND(INDEX(Règles_bovins[Specificite],MATCH(ChoixRationBovins&amp;$BB202,Règles_bovins[Ration]&amp;Règles_bovins[Aliment],0))="s1",IF($BB202=Spécificité1Bovins,1)),
AND(INDEX(Règles_bovins[Specificite],MATCH(ChoixRationBovins&amp;$BB202,Règles_bovins[Ration]&amp;Règles_bovins[Aliment],0))="s2",IF($BB202=Spécificité2Bovins,1)),
INDEX(Règles_bovins[Specificite],MATCH(ChoixRationBovins&amp;$BB202,Règles_bovins[Ration]&amp;Règles_bovins[Aliment],0))="c"),
INDEX(Règles_bovins[Valeur 24-36],MATCH(ChoixRationBovins&amp;$BB202,Règles_bovins[Ration]&amp;Règles_bovins[Aliment],0)),0),0)*IF(ChoixBovinsPréHiver=OUI,TotalTaurillon_24_36_RacesLaitières,TotalBovinsMâles_24_36mois*SUM(NbreJoursNourrirBovins)))</f>
        <v>0</v>
      </c>
      <c r="BE202" s="1267">
        <f t="array" ref="BE202">IF(Ration_complète_bovins[somme]&gt;0,0,IFERROR(IF(OR(AND(INDEX(Règles_bovins[Specificite],MATCH(ChoixRationBovins&amp;$BB202,Règles_bovins[Ration]&amp;Règles_bovins[Aliment],0))="s1",IF($BB202=Spécificité1Bovins,1)),
AND(INDEX(Règles_bovins[Specificite],MATCH(ChoixRationBovins&amp;$BB202,Règles_bovins[Ration]&amp;Règles_bovins[Aliment],0))="s2",IF($BB202=Spécificité2Bovins,1)),
INDEX(Règles_bovins[Specificite],MATCH(ChoixRationBovins&amp;$BB202,Règles_bovins[Ration]&amp;Règles_bovins[Aliment],0))="c"),
INDEX(Règles_bovins[Valeur 18-24],MATCH(ChoixRationBovins&amp;$BB202,Règles_bovins[Ration]&amp;Règles_bovins[Aliment],0)),0),0)*IF(ChoixBovinsPréHiver=OUI,TotalTaurillon_18_24_RacesLaitières,TotalBovinsMâles_18_24mois*SUM(NbreJoursNourrirBovins)))</f>
        <v>0</v>
      </c>
      <c r="BF202" s="1267">
        <f t="array" ref="BF202">IF(Ration_complète_bovins[somme]&gt;0,0,IFERROR(IF(OR(AND(INDEX(Règles_bovins[Specificite],MATCH(ChoixRationBovins&amp;$BB202,Règles_bovins[Ration]&amp;Règles_bovins[Aliment],0))="s1",IF($BB202=Spécificité1Bovins,1)),
AND(INDEX(Règles_bovins[Specificite],MATCH(ChoixRationBovins&amp;$BB202,Règles_bovins[Ration]&amp;Règles_bovins[Aliment],0))="s2",IF($BB202=Spécificité2Bovins,1)),
INDEX(Règles_bovins[Specificite],MATCH(ChoixRationBovins&amp;$BB202,Règles_bovins[Ration]&amp;Règles_bovins[Aliment],0))="c"),
INDEX(Règles_bovins[Valeur 12-18],MATCH(ChoixRationBovins&amp;$BB202,Règles_bovins[Ration]&amp;Règles_bovins[Aliment],0)),0),0)*IF(ChoixBovinsPréHiver=OUI,animaux!D25,TotalBovinsMâles_12_18mois*SUM(NbreJoursNourrirBovins)))</f>
        <v>0</v>
      </c>
      <c r="BG202" s="1267">
        <f t="array" ref="BG202">IF(Ration_complète_bovins[somme]&gt;0,0,IFERROR(IF(OR(AND(INDEX(Règles_bovins[Specificite],MATCH(ChoixRationBovins&amp;$BB202,Règles_bovins[Ration]&amp;Règles_bovins[Aliment],0))="s1",IF($BB202=Spécificité1Bovins,1)),
AND(INDEX(Règles_bovins[Specificite],MATCH(ChoixRationBovins&amp;$BB202,Règles_bovins[Ration]&amp;Règles_bovins[Aliment],0))="s2",IF($BB202=Spécificité2Bovins,1)),
INDEX(Règles_bovins[Specificite],MATCH(ChoixRationBovins&amp;$BB202,Règles_bovins[Ration]&amp;Règles_bovins[Aliment],0))="c"),
INDEX(Règles_bovins[Valeur 6-12],MATCH(ChoixRationBovins&amp;$BB202,Règles_bovins[Ration]&amp;Règles_bovins[Aliment],0)),0),0)*IF(ChoixBovinsPréHiver=OUI,TotalVeauMâle_6_12_RacesLaitières,TotalBovinsMâles_6_12mois*SUM(NbreJoursNourrirBovins)))</f>
        <v>0</v>
      </c>
      <c r="BH202" s="1267">
        <f t="array" ref="BH202">IF(Ration_complète_bovins[somme]&gt;0,0,IFERROR(IF(OR(AND(INDEX(Règles_bovins[Specificite],MATCH(ChoixRationBovins&amp;$BB202,Règles_bovins[Ration]&amp;Règles_bovins[Aliment],0))="s1",IF($BB202=Spécificité1Bovins,1)),
AND(INDEX(Règles_bovins[Specificite],MATCH(ChoixRationBovins&amp;$BB202,Règles_bovins[Ration]&amp;Règles_bovins[Aliment],0))="s2",IF($BB202=Spécificité2Bovins,1)),
INDEX(Règles_bovins[Specificite],MATCH(ChoixRationBovins&amp;$BB202,Règles_bovins[Ration]&amp;Règles_bovins[Aliment],0))="c"),
INDEX(Règles_bovins[Valeur 3-6],MATCH(ChoixRationBovins&amp;$BB202,Règles_bovins[Ration]&amp;Règles_bovins[Aliment],0)),0),0)*IF(ChoixBovinsPréHiver=OUI,TotalVeauMâle_3_6_RacesLaitières,TotalBovinsMâles_3_6mois*SUM(NbreJoursNourrirBovins)))</f>
        <v>0</v>
      </c>
      <c r="BI202" s="1267">
        <f t="array" ref="BI202">IF(Ration_complète_bovins[somme]&gt;0,0,IFERROR(IF(OR(AND(INDEX(Règles_bovins[Specificite],MATCH(ChoixRationBovins&amp;$BB202,Règles_bovins[Ration]&amp;Règles_bovins[Aliment],0))="s1",IF($BB202=Spécificité1Bovins,1)),
AND(INDEX(Règles_bovins[Specificite],MATCH(ChoixRationBovins&amp;$BB202,Règles_bovins[Ration]&amp;Règles_bovins[Aliment],0))="s2",IF($BB202=Spécificité2Bovins,1)),
INDEX(Règles_bovins[Specificite],MATCH(ChoixRationBovins&amp;$BB202,Règles_bovins[Ration]&amp;Règles_bovins[Aliment],0))="c"),
INDEX(Règles_bovins[Valeur 0-3],MATCH(ChoixRationBovins&amp;$BB202,Règles_bovins[Ration]&amp;Règles_bovins[Aliment],0)),0),0)*IF(ChoixBovinsPréHiver=OUI,TotalVeauMâle_0_3_RacesLaitières,TotalBovinsMâles_0_3mois*SUM(NbreJoursNourrirBovins)))</f>
        <v>0</v>
      </c>
      <c r="BJ202" s="1268">
        <f t="shared" si="69"/>
        <v>0</v>
      </c>
      <c r="BK202" s="1321"/>
      <c r="BL202" s="1321"/>
      <c r="BM202" s="1346"/>
      <c r="BN202" s="1321"/>
      <c r="BO202" s="1321"/>
      <c r="BP202" s="1321"/>
      <c r="BQ202" s="1321"/>
      <c r="BR202" s="1321"/>
      <c r="BS202" s="1321"/>
      <c r="BT202" s="1321"/>
      <c r="BU202" s="1321"/>
      <c r="BV202" s="1345"/>
      <c r="BW202" s="1345"/>
      <c r="BX202" s="1076" t="str">
        <f t="shared" si="70"/>
        <v>Colza</v>
      </c>
      <c r="BY202" s="1267">
        <f t="array" ref="BY202">SUM((IF(QualitéAlimentsChevreau_0_3_mois=BONNE,VLOOKUP("Colza",AlimentsRationCaprinsMâles,5,FALSE),0)+(IF(QualitéAlimentsChevrette_0_3_mois=BONNE,VLOOKUP("Colza",AlimentsRationCaprinsFemelles,5,FALSE),0)+(IF(QualitéAlimentsChevreau_3_6_mois=BONNE,VLOOKUP("Colza",AlimentsRationCaprinsMâles,4,FALSE),0)+(IF(QualitéAlimentsChevrette_3_6_mois=BONNE,VLOOKUP("Colza",AlimentsRationCaprinsFemelles,4,FALSE),0)+(IF(QualitéAlimentsJeuneBouc=BONNE,VLOOKUP("Colza",AlimentsRationCaprinsMâles,3,FALSE),0)+(IF(QualitéAlimentsJeuneChèvre=BONNE,VLOOKUP("Colza",AlimentsRationCaprinsFemelles,3,FALSE),0)+(IF(QualitéAlimentsBouc=BONNE,VLOOKUP("Colza",AlimentsRationCaprinsMâles,2,FALSE),0)+(IF(QualitéAlimentsChèvre=BONNE,VLOOKUP("Colza",AlimentsRationCaprinsFemelles,2,FALSE),0))))))))))</f>
        <v>0</v>
      </c>
      <c r="BZ202" s="1267">
        <f t="array" ref="BZ202">SUM((IF(QualitéAlimentsChevreau_0_3_mois=MOYENNE,VLOOKUP("Colza",AlimentsRationCaprinsMâles,5,FALSE),0)+(IF(QualitéAlimentsChevrette_0_3_mois=MOYENNE,VLOOKUP("Colza",AlimentsRationCaprinsFemelles,5,FALSE),0)+(IF(QualitéAlimentsChevreau_3_6_mois=MOYENNE,VLOOKUP("Colza",AlimentsRationCaprinsMâles,4,FALSE),0)+(IF(QualitéAlimentsChevrette_3_6_mois=MOYENNE,VLOOKUP("Colza",AlimentsRationCaprinsFemelles,4,FALSE),0)+(IF(QualitéAlimentsJeuneBouc=MOYENNE,VLOOKUP("Colza",AlimentsRationCaprinsMâles,3,FALSE),0)+(IF(QualitéAlimentsJeuneChèvre=MOYENNE,VLOOKUP("Colza",AlimentsRationCaprinsFemelles,3,FALSE),0)+(IF(QualitéAlimentsBouc=MOYENNE,VLOOKUP("Colza",AlimentsRationCaprinsMâles,2,FALSE),0)+(IF(QualitéAlimentsChèvre=MOYENNE,VLOOKUP("Colza",AlimentsRationCaprinsFemelles,2,FALSE),0))))))))))</f>
        <v>0</v>
      </c>
      <c r="CA202" s="1267">
        <f t="array" ref="CA202">SUM((IF(QualitéAlimentsChevreau_0_3_mois=MAUVAISE,VLOOKUP("Colza",AlimentsRationCaprinsMâles,5,FALSE),0)+(IF(QualitéAlimentsChevrette_0_3_mois=MAUVAISE,VLOOKUP("Colza",AlimentsRationCaprinsFemelles,5,FALSE),0)+(IF(QualitéAlimentsChevreau_3_6_mois=MAUVAISE,VLOOKUP("Colza",AlimentsRationCaprinsMâles,4,FALSE),0)+(IF(QualitéAlimentsChevrette_3_6_mois=MAUVAISE,VLOOKUP("Colza",AlimentsRationCaprinsFemelles,4,FALSE),0)+(IF(QualitéAlimentsJeuneBouc=MAUVAISE,VLOOKUP("Colza",AlimentsRationCaprinsMâles,3,FALSE),0)+(IF(QualitéAlimentsJeuneChèvre=MAUVAISE,VLOOKUP("Colza",AlimentsRationCaprinsFemelles,3,FALSE),0)+(IF(QualitéAlimentsBouc=MAUVAISE,VLOOKUP("Colza",AlimentsRationCaprinsMâles,2,FALSE),0)+(IF(QualitéAlimentsChèvre=MAUVAISE,VLOOKUP("Colza",AlimentsRationCaprinsFemelles,2,FALSE),0))))))))))</f>
        <v>0</v>
      </c>
      <c r="CB202" s="1321"/>
      <c r="CC202" s="1321"/>
      <c r="CD202" s="1345"/>
      <c r="CE202" s="1345"/>
      <c r="CF202" s="1345"/>
      <c r="CG202" s="1345"/>
      <c r="CH202" s="1345"/>
      <c r="CI202" s="1321"/>
      <c r="CJ202" s="1321"/>
      <c r="CK202" s="1321"/>
      <c r="CL202" s="1321"/>
      <c r="CM202" s="1321"/>
      <c r="CN202" s="1321"/>
      <c r="CO202" s="1321"/>
      <c r="CP202" s="1321"/>
      <c r="CQ202" s="1321"/>
      <c r="CR202" s="1321"/>
      <c r="CS202" s="1321"/>
      <c r="CT202" s="1321"/>
      <c r="CU202" s="1321"/>
      <c r="CV202" s="1321"/>
      <c r="CW202" s="1321"/>
      <c r="CX202" s="1321"/>
      <c r="CY202" s="1321"/>
      <c r="CZ202" s="1321"/>
      <c r="DA202" s="1321"/>
      <c r="DB202" s="1321"/>
      <c r="DC202" s="1321"/>
      <c r="DD202" s="1321"/>
      <c r="DE202" s="1321"/>
      <c r="DF202" s="1321"/>
      <c r="DG202" s="1321"/>
      <c r="DH202" s="1321"/>
      <c r="DI202" s="1321"/>
      <c r="DJ202" s="1321"/>
      <c r="DK202" s="1321"/>
      <c r="DL202" s="1321"/>
      <c r="DM202" s="1321"/>
      <c r="DN202" s="1076" t="str">
        <f t="shared" si="68"/>
        <v>Ensilage d'herbe</v>
      </c>
      <c r="DO202" s="1267">
        <f t="array" ref="DO202">IF(ChoixRationComplèteOvins=OUI,0,IFERROR(IF(OR(AND(INDEX(Règles_ovins[Specificite],MATCH(ChoixRationOvins&amp;$DN202,Règles_ovins[Ration]&amp;Règles_ovins[Aliment],0))="s1",IF($DN202=Spécificité1Ovins,1)),
AND(INDEX(Règles_ovins[Specificite],MATCH(ChoixRationOvins&amp;$DN202,Règles_ovins[Ration]&amp;Règles_ovins[Aliment],0))="s2",IF($DN202=Spécificité2Ovins,1)),
INDEX(Règles_ovins[Specificite],MATCH(ChoixRationOvins&amp;$DN202,Règles_ovins[Ration]&amp;Règles_ovins[Aliment],0))="c"),
INDEX(Règles_ovins[Valeur 12 et plus],MATCH(ChoixRationOvins&amp;$DN202,Règles_ovins[Ration]&amp;Règles_ovins[Aliment],0)),0),0)*IF(ChoixOvinsPréHiver=OUI,SUM(TotalOvinsAdultesRacesLaitières)*NbreJoursNourrirOvins,TotalBrebis*SUM(NbreJoursNourrirOvins)))</f>
        <v>0</v>
      </c>
      <c r="DP202" s="1267">
        <f t="array" ref="DP202">IF(ChoixRationComplèteOvins=OUI,0,IFERROR(IF(OR(AND(INDEX(Règles_ovins[Specificite],MATCH(ChoixRationOvins&amp;$DN202,Règles_ovins[Ration]&amp;Règles_ovins[Aliment],0))="s1",IF($DN202=Spécificité1Ovins,1)),
AND(INDEX(Règles_ovins[Specificite],MATCH(ChoixRationOvins&amp;$DN202,Règles_ovins[Ration]&amp;Règles_ovins[Aliment],0))="s2",IF($DN202=Spécificité2Ovins,1)),
INDEX(Règles_ovins[Specificite],MATCH(ChoixRationOvins&amp;$DN202,Règles_ovins[Ration]&amp;Règles_ovins[Aliment],0))="c"),
INDEX(Règles_ovins[Valeur 6-12],MATCH(ChoixRationOvins&amp;$DN202,Règles_ovins[Ration]&amp;Règles_ovins[Aliment],0)),0),0)*IF(ChoixOvinsPréHiver=OUI,SUM(TotalJeunesOvinsRacesLaitières)*NbreJoursNourrirOvins,TotalJeune_brebis_6_12_mois*SUM(NbreJoursNourrirOvins)))</f>
        <v>0</v>
      </c>
      <c r="DQ202" s="1267">
        <f t="array" ref="DQ202">IF(ChoixRationComplèteOvins=OUI,0,IFERROR(IF(OR(AND(INDEX(Règles_ovins[Specificite],MATCH(ChoixRationOvins&amp;$DN202,Règles_ovins[Ration]&amp;Règles_ovins[Aliment],0))="s1",IF($DN202=Spécificité1Ovins,1)),
AND(INDEX(Règles_ovins[Specificite],MATCH(ChoixRationOvins&amp;$DN202,Règles_ovins[Ration]&amp;Règles_ovins[Aliment],0))="s2",IF($DN202=Spécificité2Ovins,1)),
INDEX(Règles_ovins[Specificite],MATCH(ChoixRationOvins&amp;$DN202,Règles_ovins[Ration]&amp;Règles_ovins[Aliment],0))="c"),
INDEX(Règles_ovins[Valeur 3-6],MATCH(ChoixRationOvins&amp;$DN202,Règles_ovins[Ration]&amp;Règles_ovins[Aliment],0)),0),0)*IF(ChoixOvinsPréHiver=OUI,SUM(TotalOvins_3_6moisRacesLaitières)*NbreJoursNourrirOvins,TotalAgnelle_3_6_mois*SUM(NbreJoursNourrirOvins)))</f>
        <v>0</v>
      </c>
      <c r="DR202" s="1267">
        <f t="array" ref="DR202">IF(ChoixRationComplèteOvins=OUI,0,IFERROR(IF(OR(AND(INDEX(Règles_ovins[Specificite],MATCH(ChoixRationOvins&amp;$DN202,Règles_ovins[Ration]&amp;Règles_ovins[Aliment],0))="s1",IF($DN202=Spécificité1Ovins,1)),
AND(INDEX(Règles_ovins[Specificite],MATCH(ChoixRationOvins&amp;$DN202,Règles_ovins[Ration]&amp;Règles_ovins[Aliment],0))="s2",IF($DN202=Spécificité2Ovins,1)),
INDEX(Règles_ovins[Specificite],MATCH(ChoixRationOvins&amp;$DN202,Règles_ovins[Ration]&amp;Règles_ovins[Aliment],0))="c"),
INDEX(Règles_ovins[Valeur 0-3],MATCH(ChoixRationOvins&amp;$DN202,Règles_ovins[Ration]&amp;Règles_ovins[Aliment],0)),0),0)*IF(ChoixOvinsPréHiver=OUI,SUM(TotalOvins_3_6moisRacesLaitières)*NbreJoursNourrirOvins,TotalAgnelle_0_3_mois*SUM(NbreJoursNourrirOvins)))</f>
        <v>0</v>
      </c>
      <c r="DS202" s="1279">
        <f t="shared" si="67"/>
        <v>0</v>
      </c>
      <c r="DT202" s="1346"/>
      <c r="DU202" s="1346"/>
      <c r="DV202" s="1321"/>
      <c r="DW202" s="1321"/>
      <c r="DX202" s="1321"/>
      <c r="DY202" s="1321"/>
      <c r="DZ202" s="1321"/>
      <c r="EA202" s="1321"/>
      <c r="EB202" s="1321"/>
      <c r="EC202" s="1321"/>
      <c r="ED202" s="1345"/>
      <c r="EE202" s="1345"/>
      <c r="EF202" s="1321"/>
      <c r="EG202" s="1321"/>
      <c r="EH202" s="1321"/>
      <c r="EI202" s="1321"/>
      <c r="EJ202" s="1321"/>
      <c r="EK202" s="1345"/>
      <c r="EL202" s="1345"/>
      <c r="EM202" s="1321"/>
      <c r="EN202" s="1321"/>
      <c r="EO202" s="1321"/>
      <c r="EP202" s="1321"/>
      <c r="EQ202" s="1321"/>
      <c r="ER202" s="1345"/>
      <c r="ES202" s="1345"/>
      <c r="ET202" s="1321"/>
      <c r="EU202" s="1281" t="s">
        <v>1276</v>
      </c>
      <c r="EV202" s="1289" t="s">
        <v>1746</v>
      </c>
      <c r="EW202" s="1289" t="s">
        <v>1747</v>
      </c>
      <c r="EX202" s="1289" t="s">
        <v>1748</v>
      </c>
      <c r="EY202" s="1321"/>
      <c r="EZ202" s="1345"/>
      <c r="FA202" s="1345"/>
      <c r="FB202" s="1345"/>
      <c r="FC202" s="1321"/>
      <c r="FD202" s="1082" t="str">
        <f t="shared" si="72"/>
        <v>Chanvre</v>
      </c>
      <c r="FE202" s="1282">
        <f t="array" ref="FE202">SUM((IF(QualitéAlimentsPoulainMâleTrait=BONNE,VLOOKUP("Chanvre",AlimentsRationEcurieChevauxMâlesTrait,5,FALSE),0)+(IF(QualitéAlimentsPoulainFemelleTrait=BONNE,VLOOKUP("Chanvre",AlimentsRationEcurieChevauxFemellesTrait,5,FALSE),0)+(IF(QualitéAlimentsJeuneEtalon_12_24_moisTrait=BONNE,VLOOKUP("Chanvre",AlimentsRationEcurieChevauxMâlesTrait,4,FALSE),0)+(IF(QualitéAlimentsJeuneJument_12_24_moisTrait=BONNE,VLOOKUP("Chanvre",AlimentsRationEcurieChevauxFemellesTrait,4,FALSE),0)+(IF(QualitéAlimentsJeuneEtalon_24_36_moisTrait=BONNE,VLOOKUP("Chanvre",AlimentsRationEcurieChevauxMâlesTrait,3,FALSE),0)+(IF(QualitéAlimentsJeuneJument_24_36_moisTrait=BONNE,VLOOKUP("Chanvre",AlimentsRationEcurieChevauxFemellesTrait,3,FALSE),0)+(IF(QualitéAlimentsEtalonTrait=BONNE,VLOOKUP("Chanvre",AlimentsRationEcurieChevauxMâlesTrait,2,FALSE),0)+(IF(QualitéAlimentsJumentTrait=BONNE,VLOOKUP("Chanvre",AlimentsRationEcurieChevauxFemellesTrait,2,FALSE),0))))))))))</f>
        <v>0</v>
      </c>
      <c r="FF202" s="1282">
        <f t="array" ref="FF202">SUM((IF(QualitéAlimentsPoulainMâleTrait=MOYENNE,VLOOKUP("Chanvre",AlimentsRationEcurieChevauxMâlesTrait,5,FALSE),0)+(IF(QualitéAlimentsPoulainFemelleTrait=MOYENNE,VLOOKUP("Chanvre",AlimentsRationEcurieChevauxFemellesTrait,5,FALSE),0)+(IF(QualitéAlimentsJeuneEtalon_12_24_moisTrait=MOYENNE,VLOOKUP("Chanvre",AlimentsRationEcurieChevauxMâlesTrait,4,FALSE),0)+(IF(QualitéAlimentsJeuneJument_12_24_moisTrait=MOYENNE,VLOOKUP("Chanvre",AlimentsRationEcurieChevauxFemellesTrait,4,FALSE),0)+(IF(QualitéAlimentsJeuneEtalon_24_36_moisTrait=MOYENNE,VLOOKUP("Chanvre",AlimentsRationEcurieChevauxMâlesTrait,3,FALSE),0)+(IF(QualitéAlimentsJeuneJument_24_36_moisTrait=MOYENNE,VLOOKUP("Chanvre",AlimentsRationEcurieChevauxFemellesTrait,3,FALSE),0)+(IF(QualitéAlimentsEtalonTrait=MOYENNE,VLOOKUP("Chanvre",AlimentsRationEcurieChevauxMâlesTrait,2,FALSE),0)+(IF(QualitéAlimentsJumentTrait=MOYENNE,VLOOKUP("Chanvre",AlimentsRationEcurieChevauxFemellesTrait,2,FALSE),0))))))))))</f>
        <v>0</v>
      </c>
      <c r="FG202" s="1282">
        <f t="array" ref="FG202">SUM((IF(QualitéAlimentsPoulainMâleTrait=MAUVAISE,VLOOKUP("Chanvre",AlimentsRationEcurieChevauxMâlesTrait,5,FALSE),0)+(IF(QualitéAlimentsPoulainFemelleTrait=MAUVAISE,VLOOKUP("Chanvre",AlimentsRationEcurieChevauxFemellesTrait,5,FALSE),0)+(IF(QualitéAlimentsJeuneEtalon_12_24_moisTrait=MAUVAISE,VLOOKUP("Chanvre",AlimentsRationEcurieChevauxMâlesTrait,4,FALSE),0)+(IF(QualitéAlimentsJeuneJument_12_24_moisTrait=MAUVAISE,VLOOKUP("Chanvre",AlimentsRationEcurieChevauxFemellesTrait,4,FALSE),0)+(IF(QualitéAlimentsJeuneEtalon_24_36_moisTrait=MAUVAISE,VLOOKUP("Chanvre",AlimentsRationEcurieChevauxMâlesTrait,3,FALSE),0)+(IF(QualitéAlimentsJeuneJument_24_36_moisTrait=MAUVAISE,VLOOKUP("Chanvre",AlimentsRationEcurieChevauxFemellesTrait,3,FALSE),0)+(IF(QualitéAlimentsEtalonTrait=MAUVAISE,VLOOKUP("Chanvre",AlimentsRationEcurieChevauxMâlesTrait,2,FALSE),0)+(IF(QualitéAlimentsJumentTrait=MAUVAISE,VLOOKUP("Chanvre",AlimentsRationEcurieChevauxFemellesTrait,2,FALSE),0))))))))))</f>
        <v>0</v>
      </c>
      <c r="FH202" s="1321"/>
      <c r="FI202" s="1321"/>
      <c r="FJ202" s="1345"/>
      <c r="FK202" s="1345"/>
      <c r="FL202" s="1345"/>
      <c r="FM202" s="1321"/>
      <c r="FN202" s="1083" t="str">
        <f t="shared" si="71"/>
        <v>Canola</v>
      </c>
      <c r="FO202" s="1283">
        <f t="array" ref="FO202">SUM((IF(QualitéAlimentsPoulainMâlePoney=BONNE,VLOOKUP("Canola",AlimentsRationEcuriePoneysMâles,5,FALSE),0)+(IF(QualitéAlimentsPoulainFemellePoney=BONNE,VLOOKUP("Canola",AlimentsRationEcuriePoneysFemelles,5,FALSE),0)+(IF(QualitéAlimentsJeuneEtalon_12_24_moisPoney=BONNE,VLOOKUP("Canola",AlimentsRationEcuriePoneysMâles,4,FALSE),0)+(IF(QualitéAlimentsJeuneJument_12_24_moisPoney=BONNE,VLOOKUP("Canola",AlimentsRationEcuriePoneysFemelles,4,FALSE),0)+(IF(QualitéAlimentsJeuneEtalon_24_36_moisPoney=BONNE,VLOOKUP("Canola",AlimentsRationEcuriePoneysMâles,3,FALSE),0)+(IF(QualitéAlimentsJeuneJument_24_36_moisPoney=BONNE,VLOOKUP("Canola",AlimentsRationEcuriePoneysFemelles,3,FALSE),0)+(IF(QualitéAlimentsEtalonPoney=BONNE,VLOOKUP("Canola",AlimentsRationEcuriePoneysMâles,2,FALSE),0)+(IF(QualitéAlimentsJumentPoney=BONNE,VLOOKUP("Canola",AlimentsRationEcuriePoneysFemelles,2,FALSE),0))))))))))</f>
        <v>0</v>
      </c>
      <c r="FP202" s="1283">
        <f t="array" ref="FP202">SUM((IF(QualitéAlimentsPoulainMâlePoney=MOYENNE,VLOOKUP("Canola",AlimentsRationEcuriePoneysMâles,5,FALSE),0)+(IF(QualitéAlimentsPoulainFemellePoney=MOYENNE,VLOOKUP("Canola",AlimentsRationEcuriePoneysFemelles,5,FALSE),0)+(IF(QualitéAlimentsJeuneEtalon_12_24_moisPoney=MOYENNE,VLOOKUP("Canola",AlimentsRationEcuriePoneysMâles,4,FALSE),0)+(IF(QualitéAlimentsJeuneJument_12_24_moisPoney=MOYENNE,VLOOKUP("Canola",AlimentsRationEcuriePoneysFemelles,4,FALSE),0)+(IF(QualitéAlimentsJeuneEtalon_24_36_moisPoney=MOYENNE,VLOOKUP("Canola",AlimentsRationEcuriePoneysMâles,3,FALSE),0)+(IF(QualitéAlimentsJeuneJument_24_36_moisPoney=MOYENNE,VLOOKUP("Canola",AlimentsRationEcuriePoneysFemelles,3,FALSE),0)+(IF(QualitéAlimentsEtalonPoney=MOYENNE,VLOOKUP("Canola",AlimentsRationEcuriePoneysMâles,2,FALSE),0)+(IF(QualitéAlimentsJumentPoney=MOYENNE,VLOOKUP("Canola",AlimentsRationEcuriePoneysFemelles,2,FALSE),0))))))))))</f>
        <v>0</v>
      </c>
      <c r="FQ202" s="1283">
        <f t="array" ref="FQ202">SUM((IF(QualitéAlimentsPoulainMâlePoney=MAUVAISE,VLOOKUP("Canola",AlimentsRationEcuriePoneysMâles,5,FALSE),0)+(IF(QualitéAlimentsPoulainFemellePoney=MAUVAISE,VLOOKUP("Canola",AlimentsRationEcuriePoneysFemelles,5,FALSE),0)+(IF(QualitéAlimentsJeuneEtalon_12_24_moisPoney=MAUVAISE,VLOOKUP("Canola",AlimentsRationEcuriePoneysMâles,4,FALSE),0)+(IF(QualitéAlimentsJeuneJument_12_24_moisPoney=MAUVAISE,VLOOKUP("Canola",AlimentsRationEcuriePoneysFemelles,4,FALSE),0)+(IF(QualitéAlimentsJeuneEtalon_24_36_moisPoney=MAUVAISE,VLOOKUP("Canola",AlimentsRationEcuriePoneysMâles,3,FALSE),0)+(IF(QualitéAlimentsJeuneJument_24_36_moisPoney=MAUVAISE,VLOOKUP("Canola",AlimentsRationEcuriePoneysFemelles,3,FALSE),0)+(IF(QualitéAlimentsEtalonPoney=MAUVAISE,VLOOKUP("Canola",AlimentsRationEcuriePoneysMâles,2,FALSE),0)+(IF(QualitéAlimentsJumentPoney=MAUVAISE,VLOOKUP("Canola",AlimentsRationEcuriePoneysFemelles,2,FALSE),0))))))))))</f>
        <v>0</v>
      </c>
      <c r="FR202" s="1345"/>
      <c r="FS202" s="1345"/>
      <c r="FT202" s="1345"/>
      <c r="FU202" s="1345"/>
      <c r="FV202" s="1345"/>
      <c r="FW202" s="1345"/>
      <c r="FX202" s="1345"/>
      <c r="FY202" s="1345"/>
      <c r="FZ202" s="1345"/>
      <c r="GA202" s="1345"/>
      <c r="GB202" s="1345"/>
      <c r="GC202" s="1321"/>
      <c r="GD202" s="1321"/>
      <c r="GE202" s="1321"/>
      <c r="GF202" s="1321"/>
      <c r="GG202" s="1321" t="s">
        <v>1349</v>
      </c>
      <c r="GH202" s="1321" t="s">
        <v>1349</v>
      </c>
      <c r="GI202" s="1321" t="s">
        <v>1349</v>
      </c>
      <c r="GJ202" s="1321" t="s">
        <v>1349</v>
      </c>
      <c r="GK202" s="1321" t="s">
        <v>1349</v>
      </c>
      <c r="GL202" s="1321" t="s">
        <v>1349</v>
      </c>
      <c r="GM202" s="1321" t="s">
        <v>1349</v>
      </c>
      <c r="GN202" s="1321" t="s">
        <v>1349</v>
      </c>
      <c r="GO202" s="1321" t="s">
        <v>1349</v>
      </c>
      <c r="GP202" s="1321" t="s">
        <v>1349</v>
      </c>
      <c r="GQ202" s="1321" t="s">
        <v>1349</v>
      </c>
      <c r="GR202" s="1321" t="s">
        <v>1349</v>
      </c>
      <c r="GS202" s="1321" t="s">
        <v>1349</v>
      </c>
      <c r="GT202" s="1321" t="s">
        <v>1349</v>
      </c>
      <c r="GU202" s="1321" t="s">
        <v>1349</v>
      </c>
      <c r="GV202" s="1321" t="s">
        <v>1349</v>
      </c>
      <c r="GW202" s="1321"/>
      <c r="GX202" s="1321"/>
      <c r="GY202" s="1321"/>
      <c r="GZ202" s="1321"/>
      <c r="HA202" s="1321"/>
      <c r="HB202" s="1321"/>
      <c r="HC202" s="1321"/>
      <c r="HD202" s="1321"/>
      <c r="HE202" s="1321"/>
      <c r="HF202" s="1321"/>
      <c r="HG202" s="1321"/>
      <c r="HH202" s="1321"/>
      <c r="HI202" s="1321"/>
      <c r="HJ202" s="1321"/>
      <c r="HK202" s="1321"/>
      <c r="HL202" s="1321"/>
      <c r="HM202" s="1321"/>
      <c r="HN202" s="1321"/>
      <c r="HO202" s="1321"/>
      <c r="HP202" s="1321"/>
      <c r="HQ202" s="1321"/>
      <c r="HR202" s="1321"/>
      <c r="HS202" s="1321"/>
      <c r="HT202" s="1321"/>
      <c r="HU202" s="1321"/>
      <c r="HV202" s="1321"/>
      <c r="HW202" s="1321"/>
      <c r="HX202" s="1321"/>
      <c r="HY202" s="1321"/>
      <c r="HZ202" s="1321"/>
      <c r="IA202" s="1321"/>
      <c r="IB202" s="1321"/>
      <c r="IC202" s="1321"/>
      <c r="ID202" s="1321"/>
      <c r="IE202" s="1321"/>
      <c r="IF202" s="1321"/>
      <c r="IG202" s="1321"/>
      <c r="IH202" s="1321"/>
      <c r="II202" s="1321"/>
      <c r="IJ202" s="1321"/>
      <c r="IK202" s="1321"/>
      <c r="IL202" s="1321"/>
      <c r="IM202" s="1321"/>
      <c r="IN202" s="1368"/>
    </row>
    <row r="203" spans="1:248" ht="12.75" customHeight="1" x14ac:dyDescent="0.2">
      <c r="A203" s="1319"/>
      <c r="B203" s="1320"/>
      <c r="C203" s="1321"/>
      <c r="D203" s="1287" t="s">
        <v>1991</v>
      </c>
      <c r="E203" s="1158">
        <v>4</v>
      </c>
      <c r="F203" s="1321"/>
      <c r="G203" s="1321"/>
      <c r="H203" s="1321"/>
      <c r="I203" s="1321"/>
      <c r="J203" s="1321"/>
      <c r="K203" s="1321"/>
      <c r="L203" s="1321"/>
      <c r="M203" s="1321"/>
      <c r="N203" s="1321"/>
      <c r="O203" s="1321"/>
      <c r="P203" s="1321"/>
      <c r="Q203" s="1321"/>
      <c r="R203" s="1321"/>
      <c r="S203" s="1321"/>
      <c r="T203" s="1321"/>
      <c r="U203" s="1321"/>
      <c r="V203" s="1321"/>
      <c r="W203" s="1321"/>
      <c r="X203" s="1321"/>
      <c r="Y203" s="1321"/>
      <c r="Z203" s="1321"/>
      <c r="AA203" s="1321"/>
      <c r="AB203" s="1321"/>
      <c r="AC203" s="1321"/>
      <c r="AD203" s="1321"/>
      <c r="AE203" s="1321"/>
      <c r="AF203" s="1321"/>
      <c r="AG203" s="1321"/>
      <c r="AH203" s="1321"/>
      <c r="AI203" s="1321"/>
      <c r="AJ203" s="1321"/>
      <c r="AK203" s="1321"/>
      <c r="AL203" s="1321"/>
      <c r="AM203" s="1321"/>
      <c r="AN203" s="1321"/>
      <c r="AO203" s="1321"/>
      <c r="AP203" s="1321"/>
      <c r="AQ203" s="1321"/>
      <c r="AR203" s="1321"/>
      <c r="AS203" s="1321"/>
      <c r="AT203" s="1321"/>
      <c r="AU203" s="1321"/>
      <c r="AV203" s="1321"/>
      <c r="AW203" s="1321"/>
      <c r="AX203" s="1321"/>
      <c r="AY203" s="1321"/>
      <c r="AZ203" s="1321"/>
      <c r="BA203" s="1321"/>
      <c r="BB203" s="1075" t="s">
        <v>1717</v>
      </c>
      <c r="BC203" s="1269">
        <f t="array" ref="BC203">IF(Ration_complète_bovins[somme]&gt;0,0,IFERROR(IF(OR(AND(INDEX(Règles_bovins[Specificite],MATCH(ChoixRationBovins&amp;$BB203,Règles_bovins[Ration]&amp;Règles_bovins[Aliment],0))="s1",IF($BB203=Spécificité1Bovins,1)),
AND(INDEX(Règles_bovins[Specificite],MATCH(ChoixRationBovins&amp;$BB203,Règles_bovins[Ration]&amp;Règles_bovins[Aliment],0))="s2",IF($BB203=Spécificité2Bovins,1)),
INDEX(Règles_bovins[Specificite],MATCH(ChoixRationBovins&amp;$BB203,Règles_bovins[Ration]&amp;Règles_bovins[Aliment],0))="c"),
INDEX(Règles_bovins[Valeur 36 et plus],MATCH(ChoixRationBovins&amp;$BB203,Règles_bovins[Ration]&amp;Règles_bovins[Aliment],0)),0),0)*IF(ChoixBovinsPréHiver=OUI,TotalTaureauxRacesLaitières,TotalTaureaux*SUM(NbreJoursNourrirBovins)))</f>
        <v>0</v>
      </c>
      <c r="BD203" s="1269">
        <f t="array" ref="BD203">IF(Ration_complète_bovins[somme]&gt;0,0,IFERROR(IF(OR(AND(INDEX(Règles_bovins[Specificite],MATCH(ChoixRationBovins&amp;$BB203,Règles_bovins[Ration]&amp;Règles_bovins[Aliment],0))="s1",IF($BB203=Spécificité1Bovins,1)),
AND(INDEX(Règles_bovins[Specificite],MATCH(ChoixRationBovins&amp;$BB203,Règles_bovins[Ration]&amp;Règles_bovins[Aliment],0))="s2",IF($BB203=Spécificité2Bovins,1)),
INDEX(Règles_bovins[Specificite],MATCH(ChoixRationBovins&amp;$BB203,Règles_bovins[Ration]&amp;Règles_bovins[Aliment],0))="c"),
INDEX(Règles_bovins[Valeur 24-36],MATCH(ChoixRationBovins&amp;$BB203,Règles_bovins[Ration]&amp;Règles_bovins[Aliment],0)),0),0)*IF(ChoixBovinsPréHiver=OUI,TotalTaurillon_24_36_RacesLaitières,TotalBovinsMâles_24_36mois*SUM(NbreJoursNourrirBovins)))</f>
        <v>0</v>
      </c>
      <c r="BE203" s="1269">
        <f t="array" ref="BE203">IF(Ration_complète_bovins[somme]&gt;0,0,IFERROR(IF(OR(AND(INDEX(Règles_bovins[Specificite],MATCH(ChoixRationBovins&amp;$BB203,Règles_bovins[Ration]&amp;Règles_bovins[Aliment],0))="s1",IF($BB203=Spécificité1Bovins,1)),
AND(INDEX(Règles_bovins[Specificite],MATCH(ChoixRationBovins&amp;$BB203,Règles_bovins[Ration]&amp;Règles_bovins[Aliment],0))="s2",IF($BB203=Spécificité2Bovins,1)),
INDEX(Règles_bovins[Specificite],MATCH(ChoixRationBovins&amp;$BB203,Règles_bovins[Ration]&amp;Règles_bovins[Aliment],0))="c"),
INDEX(Règles_bovins[Valeur 18-24],MATCH(ChoixRationBovins&amp;$BB203,Règles_bovins[Ration]&amp;Règles_bovins[Aliment],0)),0),0)*IF(ChoixBovinsPréHiver=OUI,TotalTaurillon_18_24_RacesLaitières,TotalBovinsMâles_18_24mois*SUM(NbreJoursNourrirBovins)))</f>
        <v>0</v>
      </c>
      <c r="BF203" s="1269">
        <f t="array" ref="BF203">IF(Ration_complète_bovins[somme]&gt;0,0,IFERROR(IF(OR(AND(INDEX(Règles_bovins[Specificite],MATCH(ChoixRationBovins&amp;$BB203,Règles_bovins[Ration]&amp;Règles_bovins[Aliment],0))="s1",IF($BB203=Spécificité1Bovins,1)),
AND(INDEX(Règles_bovins[Specificite],MATCH(ChoixRationBovins&amp;$BB203,Règles_bovins[Ration]&amp;Règles_bovins[Aliment],0))="s2",IF($BB203=Spécificité2Bovins,1)),
INDEX(Règles_bovins[Specificite],MATCH(ChoixRationBovins&amp;$BB203,Règles_bovins[Ration]&amp;Règles_bovins[Aliment],0))="c"),
INDEX(Règles_bovins[Valeur 12-18],MATCH(ChoixRationBovins&amp;$BB203,Règles_bovins[Ration]&amp;Règles_bovins[Aliment],0)),0),0)*IF(ChoixBovinsPréHiver=OUI,animaux!D26,TotalBovinsMâles_12_18mois*SUM(NbreJoursNourrirBovins)))</f>
        <v>0</v>
      </c>
      <c r="BG203" s="1269">
        <f t="array" ref="BG203">IF(Ration_complète_bovins[somme]&gt;0,0,IFERROR(IF(OR(AND(INDEX(Règles_bovins[Specificite],MATCH(ChoixRationBovins&amp;$BB203,Règles_bovins[Ration]&amp;Règles_bovins[Aliment],0))="s1",IF($BB203=Spécificité1Bovins,1)),
AND(INDEX(Règles_bovins[Specificite],MATCH(ChoixRationBovins&amp;$BB203,Règles_bovins[Ration]&amp;Règles_bovins[Aliment],0))="s2",IF($BB203=Spécificité2Bovins,1)),
INDEX(Règles_bovins[Specificite],MATCH(ChoixRationBovins&amp;$BB203,Règles_bovins[Ration]&amp;Règles_bovins[Aliment],0))="c"),
INDEX(Règles_bovins[Valeur 6-12],MATCH(ChoixRationBovins&amp;$BB203,Règles_bovins[Ration]&amp;Règles_bovins[Aliment],0)),0),0)*IF(ChoixBovinsPréHiver=OUI,TotalVeauMâle_6_12_RacesLaitières,TotalBovinsMâles_6_12mois*SUM(NbreJoursNourrirBovins)))</f>
        <v>0</v>
      </c>
      <c r="BH203" s="1269">
        <f t="array" ref="BH203">IF(Ration_complète_bovins[somme]&gt;0,0,IFERROR(IF(OR(AND(INDEX(Règles_bovins[Specificite],MATCH(ChoixRationBovins&amp;$BB203,Règles_bovins[Ration]&amp;Règles_bovins[Aliment],0))="s1",IF($BB203=Spécificité1Bovins,1)),
AND(INDEX(Règles_bovins[Specificite],MATCH(ChoixRationBovins&amp;$BB203,Règles_bovins[Ration]&amp;Règles_bovins[Aliment],0))="s2",IF($BB203=Spécificité2Bovins,1)),
INDEX(Règles_bovins[Specificite],MATCH(ChoixRationBovins&amp;$BB203,Règles_bovins[Ration]&amp;Règles_bovins[Aliment],0))="c"),
INDEX(Règles_bovins[Valeur 3-6],MATCH(ChoixRationBovins&amp;$BB203,Règles_bovins[Ration]&amp;Règles_bovins[Aliment],0)),0),0)*IF(ChoixBovinsPréHiver=OUI,TotalVeauMâle_3_6_RacesLaitières,TotalBovinsMâles_3_6mois*SUM(NbreJoursNourrirBovins)))</f>
        <v>0</v>
      </c>
      <c r="BI203" s="1269">
        <f t="array" ref="BI203">IF(Ration_complète_bovins[somme]&gt;0,0,IFERROR(IF(OR(AND(INDEX(Règles_bovins[Specificite],MATCH(ChoixRationBovins&amp;$BB203,Règles_bovins[Ration]&amp;Règles_bovins[Aliment],0))="s1",IF($BB203=Spécificité1Bovins,1)),
AND(INDEX(Règles_bovins[Specificite],MATCH(ChoixRationBovins&amp;$BB203,Règles_bovins[Ration]&amp;Règles_bovins[Aliment],0))="s2",IF($BB203=Spécificité2Bovins,1)),
INDEX(Règles_bovins[Specificite],MATCH(ChoixRationBovins&amp;$BB203,Règles_bovins[Ration]&amp;Règles_bovins[Aliment],0))="c"),
INDEX(Règles_bovins[Valeur 0-3],MATCH(ChoixRationBovins&amp;$BB203,Règles_bovins[Ration]&amp;Règles_bovins[Aliment],0)),0),0)*IF(ChoixBovinsPréHiver=OUI,TotalVeauMâle_0_3_RacesLaitières,TotalBovinsMâles_0_3mois*SUM(NbreJoursNourrirBovins)))</f>
        <v>0</v>
      </c>
      <c r="BJ203" s="1270">
        <f t="shared" si="69"/>
        <v>0</v>
      </c>
      <c r="BK203" s="1321"/>
      <c r="BL203" s="1321"/>
      <c r="BM203" s="1346"/>
      <c r="BN203" s="1321"/>
      <c r="BO203" s="1321"/>
      <c r="BP203" s="1321"/>
      <c r="BQ203" s="1321"/>
      <c r="BR203" s="1321"/>
      <c r="BS203" s="1321"/>
      <c r="BT203" s="1321"/>
      <c r="BU203" s="1321"/>
      <c r="BV203" s="1345"/>
      <c r="BW203" s="1345"/>
      <c r="BX203" s="1075" t="str">
        <f t="shared" si="70"/>
        <v>concentré jeunes bovins</v>
      </c>
      <c r="BY203" s="1269">
        <f t="array" ref="BY203">SUM((IF(QualitéAlimentsChevreau_0_3_mois=BONNE,VLOOKUP("Concentré jeunes bovins",AlimentsRationCaprinsMâles,5,FALSE),0)+(IF(QualitéAlimentsChevrette_0_3_mois=BONNE,VLOOKUP("Concentré jeunes bovins",AlimentsRationCaprinsFemelles,5,FALSE),0)+(IF(QualitéAlimentsChevreau_3_6_mois=BONNE,VLOOKUP("Concentré jeunes bovins",AlimentsRationCaprinsMâles,4,FALSE),0)+(IF(QualitéAlimentsChevrette_3_6_mois=BONNE,VLOOKUP("Concentré jeunes bovins",AlimentsRationCaprinsFemelles,4,FALSE),0)+(IF(QualitéAlimentsJeuneBouc=BONNE,VLOOKUP("Concentré jeunes bovins",AlimentsRationCaprinsMâles,3,FALSE),0)+(IF(QualitéAlimentsJeuneChèvre=BONNE,VLOOKUP("Concentré jeunes bovins",AlimentsRationCaprinsFemelles,3,FALSE),0)+(IF(QualitéAlimentsBouc=BONNE,VLOOKUP("Concentré jeunes bovins",AlimentsRationCaprinsMâles,2,FALSE),0)+(IF(QualitéAlimentsChèvre=BONNE,VLOOKUP("Concentré jeunes bovins",AlimentsRationCaprinsFemelles,2,FALSE),0))))))))))</f>
        <v>0</v>
      </c>
      <c r="BZ203" s="1269">
        <f t="array" ref="BZ203">SUM((IF(QualitéAlimentsChevreau_0_3_mois=MOYENNE,VLOOKUP("Concentré jeunes bovins",AlimentsRationCaprinsMâles,5,FALSE),0)+(IF(QualitéAlimentsChevrette_0_3_mois=MOYENNE,VLOOKUP("Concentré jeunes bovins",AlimentsRationCaprinsFemelles,5,FALSE),0)+(IF(QualitéAlimentsChevreau_3_6_mois=MOYENNE,VLOOKUP("Concentré jeunes bovins",AlimentsRationCaprinsMâles,4,FALSE),0)+(IF(QualitéAlimentsChevrette_3_6_mois=MOYENNE,VLOOKUP("Concentré jeunes bovins",AlimentsRationCaprinsFemelles,4,FALSE),0)+(IF(QualitéAlimentsJeuneBouc=MOYENNE,VLOOKUP("Concentré jeunes bovins",AlimentsRationCaprinsMâles,3,FALSE),0)+(IF(QualitéAlimentsJeuneChèvre=MOYENNE,VLOOKUP("Concentré jeunes bovins",AlimentsRationCaprinsFemelles,3,FALSE),0)+(IF(QualitéAlimentsBouc=MOYENNE,VLOOKUP("Concentré jeunes bovins",AlimentsRationCaprinsMâles,2,FALSE),0)+(IF(QualitéAlimentsChèvre=MOYENNE,VLOOKUP("Concentré jeunes bovins",AlimentsRationCaprinsFemelles,2,FALSE),0))))))))))</f>
        <v>0</v>
      </c>
      <c r="CA203" s="1269">
        <f t="array" ref="CA203">SUM((IF(QualitéAlimentsChevreau_0_3_mois=MAUVAISE,VLOOKUP("Concentré jeunes bovins",AlimentsRationCaprinsMâles,5,FALSE),0)+(IF(QualitéAlimentsChevrette_0_3_mois=MAUVAISE,VLOOKUP("Concentré jeunes bovins",AlimentsRationCaprinsFemelles,5,FALSE),0)+(IF(QualitéAlimentsChevreau_3_6_mois=MAUVAISE,VLOOKUP("Concentré jeunes bovins",AlimentsRationCaprinsMâles,4,FALSE),0)+(IF(QualitéAlimentsChevrette_3_6_mois=MAUVAISE,VLOOKUP("Concentré jeunes bovins",AlimentsRationCaprinsFemelles,4,FALSE),0)+(IF(QualitéAlimentsJeuneBouc=MAUVAISE,VLOOKUP("Concentré jeunes bovins",AlimentsRationCaprinsMâles,3,FALSE),0)+(IF(QualitéAlimentsJeuneChèvre=MAUVAISE,VLOOKUP("Concentré jeunes bovins",AlimentsRationCaprinsFemelles,3,FALSE),0)+(IF(QualitéAlimentsBouc=MAUVAISE,VLOOKUP("Concentré jeunes bovins",AlimentsRationCaprinsMâles,2,FALSE),0)+(IF(QualitéAlimentsChèvre=MAUVAISE,VLOOKUP("Concentré jeunes bovins",AlimentsRationCaprinsFemelles,2,FALSE),0))))))))))</f>
        <v>0</v>
      </c>
      <c r="CB203" s="1321"/>
      <c r="CC203" s="1321"/>
      <c r="CD203" s="1345"/>
      <c r="CE203" s="1345"/>
      <c r="CF203" s="1345"/>
      <c r="CG203" s="1345"/>
      <c r="CH203" s="1345"/>
      <c r="CI203" s="1321"/>
      <c r="CJ203" s="1321"/>
      <c r="CK203" s="1321"/>
      <c r="CL203" s="1321"/>
      <c r="CM203" s="1321"/>
      <c r="CN203" s="1321"/>
      <c r="CO203" s="1321"/>
      <c r="CP203" s="1321"/>
      <c r="CQ203" s="1321"/>
      <c r="CR203" s="1321"/>
      <c r="CS203" s="1321"/>
      <c r="CT203" s="1321"/>
      <c r="CU203" s="1321"/>
      <c r="CV203" s="1321"/>
      <c r="CW203" s="1321"/>
      <c r="CX203" s="1321"/>
      <c r="CY203" s="1321"/>
      <c r="CZ203" s="1321"/>
      <c r="DA203" s="1321"/>
      <c r="DB203" s="1321"/>
      <c r="DC203" s="1321"/>
      <c r="DD203" s="1321"/>
      <c r="DE203" s="1321"/>
      <c r="DF203" s="1321"/>
      <c r="DG203" s="1321"/>
      <c r="DH203" s="1321"/>
      <c r="DI203" s="1321"/>
      <c r="DJ203" s="1321"/>
      <c r="DK203" s="1321"/>
      <c r="DL203" s="1321"/>
      <c r="DM203" s="1321"/>
      <c r="DN203" s="1075" t="str">
        <f t="shared" si="68"/>
        <v>Eau</v>
      </c>
      <c r="DO203" s="1269">
        <f t="array" ref="DO203">IFERROR(IF(OR(AND(INDEX(Règles_ovins[Specificite],MATCH(ChoixRationOvins&amp;$DN203,Règles_ovins[Ration]&amp;Règles_ovins[Aliment],0))="s1",IF($DN203=Spécificité1Ovins,1)),
AND(INDEX(Règles_ovins[Specificite],MATCH(ChoixRationOvins&amp;$DN203,Règles_ovins[Ration]&amp;Règles_ovins[Aliment],0))="s2",IF($DN203=Spécificité2Ovins,1)),
INDEX(Règles_ovins[Specificite],MATCH(ChoixRationOvins&amp;$DN203,Règles_ovins[Ration]&amp;Règles_ovins[Aliment],0))="c"),
INDEX(Règles_ovins[Valeur 12 et plus],MATCH(ChoixRationOvins&amp;$DN203,Règles_ovins[Ration]&amp;Règles_ovins[Aliment],0)),0),0)*IF(ChoixOvinsPréHiver=OUI,SUM(TotalOvinsAdultesRacesLaitières)*NbreJoursNourrirOvins,TotalBrebis*SUM(NbreJoursNourrirOvins))</f>
        <v>0</v>
      </c>
      <c r="DP203" s="1269">
        <f t="array" ref="DP203">IFERROR(IF(OR(AND(INDEX(Règles_ovins[Specificite],MATCH(ChoixRationOvins&amp;$DN203,Règles_ovins[Ration]&amp;Règles_ovins[Aliment],0))="s1",IF($DN203=Spécificité1Ovins,1)),
AND(INDEX(Règles_ovins[Specificite],MATCH(ChoixRationOvins&amp;$DN203,Règles_ovins[Ration]&amp;Règles_ovins[Aliment],0))="s2",IF($DN203=Spécificité2Ovins,1)),
INDEX(Règles_ovins[Specificite],MATCH(ChoixRationOvins&amp;$DN203,Règles_ovins[Ration]&amp;Règles_ovins[Aliment],0))="c"),
INDEX(Règles_ovins[Valeur 6-12],MATCH(ChoixRationOvins&amp;$DN203,Règles_ovins[Ration]&amp;Règles_ovins[Aliment],0)),0),0)*IF(ChoixOvinsPréHiver=OUI,SUM(TotalJeunesOvinsRacesLaitières)*NbreJoursNourrirOvins,TotalJeune_brebis_6_12_mois*SUM(NbreJoursNourrirOvins))</f>
        <v>0</v>
      </c>
      <c r="DQ203" s="1269">
        <f t="array" ref="DQ203">IFERROR(IF(OR(AND(INDEX(Règles_ovins[Specificite],MATCH(ChoixRationOvins&amp;$DN203,Règles_ovins[Ration]&amp;Règles_ovins[Aliment],0))="s1",IF($DN203=Spécificité1Ovins,1)),
AND(INDEX(Règles_ovins[Specificite],MATCH(ChoixRationOvins&amp;$DN203,Règles_ovins[Ration]&amp;Règles_ovins[Aliment],0))="s2",IF($DN203=Spécificité2Ovins,1)),
INDEX(Règles_ovins[Specificite],MATCH(ChoixRationOvins&amp;$DN203,Règles_ovins[Ration]&amp;Règles_ovins[Aliment],0))="c"),
INDEX(Règles_ovins[Valeur 3-6],MATCH(ChoixRationOvins&amp;$DN203,Règles_ovins[Ration]&amp;Règles_ovins[Aliment],0)),0),0)*IF(ChoixOvinsPréHiver=OUI,SUM(TotalOvins_3_6moisRacesLaitières)*NbreJoursNourrirOvins,TotalAgnelle_3_6_mois*SUM(NbreJoursNourrirOvins))</f>
        <v>0</v>
      </c>
      <c r="DR203" s="1269">
        <f t="array" ref="DR203">IFERROR(IF(OR(AND(INDEX(Règles_ovins[Specificite],MATCH(ChoixRationOvins&amp;$DN203,Règles_ovins[Ration]&amp;Règles_ovins[Aliment],0))="s1",IF($DN203=Spécificité1Ovins,1)),
AND(INDEX(Règles_ovins[Specificite],MATCH(ChoixRationOvins&amp;$DN203,Règles_ovins[Ration]&amp;Règles_ovins[Aliment],0))="s2",IF($DN203=Spécificité2Ovins,1)),
INDEX(Règles_ovins[Specificite],MATCH(ChoixRationOvins&amp;$DN203,Règles_ovins[Ration]&amp;Règles_ovins[Aliment],0))="c"),
INDEX(Règles_ovins[Valeur 0-3],MATCH(ChoixRationOvins&amp;$DN203,Règles_ovins[Ration]&amp;Règles_ovins[Aliment],0)),0),0)*IF(ChoixOvinsPréHiver=OUI,SUM(TotalOvins_3_6moisRacesLaitières)*NbreJoursNourrirOvins,TotalAgnelle_0_3_mois*SUM(NbreJoursNourrirOvins))</f>
        <v>0</v>
      </c>
      <c r="DS203" s="1280">
        <f t="shared" si="67"/>
        <v>0</v>
      </c>
      <c r="DT203" s="1346"/>
      <c r="DU203" s="1346"/>
      <c r="DV203" s="1321"/>
      <c r="DW203" s="1321"/>
      <c r="DX203" s="1321"/>
      <c r="DY203" s="1321"/>
      <c r="DZ203" s="1321"/>
      <c r="EA203" s="1321"/>
      <c r="EB203" s="1321"/>
      <c r="EC203" s="1321"/>
      <c r="ED203" s="1345"/>
      <c r="EE203" s="1345"/>
      <c r="EF203" s="1321"/>
      <c r="EG203" s="1321"/>
      <c r="EH203" s="1321"/>
      <c r="EI203" s="1321"/>
      <c r="EJ203" s="1321"/>
      <c r="EK203" s="1345"/>
      <c r="EL203" s="1345"/>
      <c r="EM203" s="1321"/>
      <c r="EN203" s="1321"/>
      <c r="EO203" s="1321"/>
      <c r="EP203" s="1321"/>
      <c r="EQ203" s="1321"/>
      <c r="ER203" s="1345"/>
      <c r="ES203" s="1345"/>
      <c r="ET203" s="1321"/>
      <c r="EU203" s="1082" t="str">
        <f>EU60</f>
        <v>Avoine</v>
      </c>
      <c r="EV203" s="1282">
        <f t="array" ref="EV203">SUM((IF(QualitéAlimentsPoulainSelleMâle=BONNE,VLOOKUP("Avoine",AlimentsRationEcurieChevauxMâlesSelle,5,FALSE),0)+(IF(QualitéAlimentsPoulainSelleFemelle=BONNE,VLOOKUP("Avoine",AlimentsRationEcurieChevauxFemellesSelle,5,FALSE),0)+(IF(QualitéAlimentsJeuneEtalon_12_24_moisSelle=BONNE,VLOOKUP("Avoine",AlimentsRationEcurieChevauxMâlesSelle,4,FALSE),0)+(IF(QualitéAlimentsJeuneJument_12_24_moisSelle=BONNE,VLOOKUP("Avoine",AlimentsRationEcurieChevauxFemellesSelle,4,FALSE),0)+(IF(QualitéAlimentsJeuneEtalon_24_36_moisSelle=BONNE,VLOOKUP("Avoine",AlimentsRationEcurieChevauxMâlesSelle,3,FALSE),0)+(IF(QualitéAlimentsJeuneJument_24_36_moisSelle=BONNE,VLOOKUP("Avoine",AlimentsRationEcurieChevauxFemellesSelle,3,FALSE),0)+(IF(QualitéAlimentsEtalonSelle=BONNE,VLOOKUP("Avoine",AlimentsRationEcurieChevauxMâlesSelle,2,FALSE),0)+(IF(QualitéAlimentsJumentSelle=BONNE,VLOOKUP("Avoine",AlimentsRationEcurieChevauxFemellesSelle,2,FALSE),0))))))))))</f>
        <v>0</v>
      </c>
      <c r="EW203" s="1282">
        <f t="array" ref="EW203">SUM((IF(QualitéAlimentsPoulainSelleMâle=MOYENNE,VLOOKUP("Avoine",AlimentsRationEcurieChevauxMâlesSelle,5,FALSE),0)+(IF(QualitéAlimentsPoulainSelleFemelle=MOYENNE,VLOOKUP("Avoine",AlimentsRationEcurieChevauxFemellesSelle,5,FALSE),0)+(IF(QualitéAlimentsJeuneEtalon_12_24_moisSelle=MOYENNE,VLOOKUP("Avoine",AlimentsRationEcurieChevauxMâlesSelle,4,FALSE),0)+(IF(QualitéAlimentsJeuneJument_12_24_moisSelle=MOYENNE,VLOOKUP("Avoine",AlimentsRationEcurieChevauxFemellesSelle,4,FALSE),0)+(IF(QualitéAlimentsJeuneEtalon_24_36_moisSelle=MOYENNE,VLOOKUP("Avoine",AlimentsRationEcurieChevauxMâlesSelle,3,FALSE),0)+(IF(QualitéAlimentsJeuneJument_24_36_moisSelle=MOYENNE,VLOOKUP("Avoine",AlimentsRationEcurieChevauxFemellesSelle,3,FALSE),0)+(IF(QualitéAlimentsEtalonSelle=MOYENNE,VLOOKUP("Avoine",AlimentsRationEcurieChevauxMâlesSelle,2,FALSE),0)+(IF(QualitéAlimentsJumentSelle=MOYENNE,VLOOKUP("Avoine",AlimentsRationEcurieChevauxFemellesSelle,2,FALSE),0))))))))))</f>
        <v>0</v>
      </c>
      <c r="EX203" s="1282">
        <f t="array" ref="EX203">SUM((IF(QualitéAlimentsPoulainSelleMâle=MAUVAISE,VLOOKUP("Avoine",AlimentsRationEcurieChevauxMâlesSelle,5,FALSE),0)+(IF(QualitéAlimentsPoulainSelleFemelle=MAUVAISE,VLOOKUP("Avoine",AlimentsRationEcurieChevauxFemellesSelle,5,FALSE),0)+(IF(QualitéAlimentsJeuneEtalon_12_24_moisSelle=MAUVAISE,VLOOKUP("Avoine",AlimentsRationEcurieChevauxMâlesSelle,4,FALSE),0)+(IF(QualitéAlimentsJeuneJument_12_24_moisSelle=MAUVAISE,VLOOKUP("Avoine",AlimentsRationEcurieChevauxFemellesSelle,4,FALSE),0)+(IF(QualitéAlimentsJeuneEtalon_24_36_moisSelle=MAUVAISE,VLOOKUP("Avoine",AlimentsRationEcurieChevauxMâlesSelle,3,FALSE),0)+(IF(QualitéAlimentsJeuneJument_24_36_moisSelle=MAUVAISE,VLOOKUP("Avoine",AlimentsRationEcurieChevauxFemellesSelle,3,FALSE),0)+(IF(QualitéAlimentsEtalonSelle=MAUVAISE,VLOOKUP("Avoine",AlimentsRationEcurieChevauxMâlesSelle,2,FALSE),0)+(IF(QualitéAlimentsJumentSelle=MAUVAISE,VLOOKUP("Avoine",AlimentsRationEcurieChevauxFemellesSelle,2,FALSE),0))))))))))</f>
        <v>0</v>
      </c>
      <c r="EY203" s="1321"/>
      <c r="EZ203" s="1345"/>
      <c r="FA203" s="1345"/>
      <c r="FB203" s="1345"/>
      <c r="FC203" s="1321"/>
      <c r="FD203" s="1083" t="str">
        <f t="shared" si="72"/>
        <v>Canola</v>
      </c>
      <c r="FE203" s="1283">
        <f t="array" ref="FE203">SUM((IF(QualitéAlimentsPoulainMâleTrait=BONNE,VLOOKUP("Canola",AlimentsRationEcurieChevauxMâlesTrait,5,FALSE),0)+(IF(QualitéAlimentsPoulainFemelleTrait=BONNE,VLOOKUP("Canola",AlimentsRationEcurieChevauxFemellesTrait,5,FALSE),0)+(IF(QualitéAlimentsJeuneEtalon_12_24_moisTrait=BONNE,VLOOKUP("Canola",AlimentsRationEcurieChevauxMâlesTrait,4,FALSE),0)+(IF(QualitéAlimentsJeuneJument_12_24_moisTrait=BONNE,VLOOKUP("Canola",AlimentsRationEcurieChevauxFemellesTrait,4,FALSE),0)+(IF(QualitéAlimentsJeuneEtalon_24_36_moisTrait=BONNE,VLOOKUP("Canola",AlimentsRationEcurieChevauxMâlesTrait,3,FALSE),0)+(IF(QualitéAlimentsJeuneJument_24_36_moisTrait=BONNE,VLOOKUP("Canola",AlimentsRationEcurieChevauxFemellesTrait,3,FALSE),0)+(IF(QualitéAlimentsEtalonTrait=BONNE,VLOOKUP("Canola",AlimentsRationEcurieChevauxMâlesTrait,2,FALSE),0)+(IF(QualitéAlimentsJumentTrait=BONNE,VLOOKUP("Canola",AlimentsRationEcurieChevauxFemellesTrait,2,FALSE),0))))))))))</f>
        <v>0</v>
      </c>
      <c r="FF203" s="1283">
        <f t="array" ref="FF203">SUM((IF(QualitéAlimentsPoulainMâleTrait=MOYENNE,VLOOKUP("Canola",AlimentsRationEcurieChevauxMâlesTrait,5,FALSE),0)+(IF(QualitéAlimentsPoulainFemelleTrait=MOYENNE,VLOOKUP("Canola",AlimentsRationEcurieChevauxFemellesTrait,5,FALSE),0)+(IF(QualitéAlimentsJeuneEtalon_12_24_moisTrait=MOYENNE,VLOOKUP("Canola",AlimentsRationEcurieChevauxMâlesTrait,4,FALSE),0)+(IF(QualitéAlimentsJeuneJument_12_24_moisTrait=MOYENNE,VLOOKUP("Canola",AlimentsRationEcurieChevauxFemellesTrait,4,FALSE),0)+(IF(QualitéAlimentsJeuneEtalon_24_36_moisTrait=MOYENNE,VLOOKUP("Canola",AlimentsRationEcurieChevauxMâlesTrait,3,FALSE),0)+(IF(QualitéAlimentsJeuneJument_24_36_moisTrait=MOYENNE,VLOOKUP("Canola",AlimentsRationEcurieChevauxFemellesTrait,3,FALSE),0)+(IF(QualitéAlimentsEtalonTrait=MOYENNE,VLOOKUP("Canola",AlimentsRationEcurieChevauxMâlesTrait,2,FALSE),0)+(IF(QualitéAlimentsJumentTrait=MOYENNE,VLOOKUP("Canola",AlimentsRationEcurieChevauxFemellesTrait,2,FALSE),0))))))))))</f>
        <v>0</v>
      </c>
      <c r="FG203" s="1283">
        <f t="array" ref="FG203">SUM((IF(QualitéAlimentsPoulainMâleTrait=MAUVAISE,VLOOKUP("Canola",AlimentsRationEcurieChevauxMâlesTrait,5,FALSE),0)+(IF(QualitéAlimentsPoulainFemelleTrait=MAUVAISE,VLOOKUP("Canola",AlimentsRationEcurieChevauxFemellesTrait,5,FALSE),0)+(IF(QualitéAlimentsJeuneEtalon_12_24_moisTrait=MAUVAISE,VLOOKUP("Canola",AlimentsRationEcurieChevauxMâlesTrait,4,FALSE),0)+(IF(QualitéAlimentsJeuneJument_12_24_moisTrait=MAUVAISE,VLOOKUP("Canola",AlimentsRationEcurieChevauxFemellesTrait,4,FALSE),0)+(IF(QualitéAlimentsJeuneEtalon_24_36_moisTrait=MAUVAISE,VLOOKUP("Canola",AlimentsRationEcurieChevauxMâlesTrait,3,FALSE),0)+(IF(QualitéAlimentsJeuneJument_24_36_moisTrait=MAUVAISE,VLOOKUP("Canola",AlimentsRationEcurieChevauxFemellesTrait,3,FALSE),0)+(IF(QualitéAlimentsEtalonTrait=MAUVAISE,VLOOKUP("Canola",AlimentsRationEcurieChevauxMâlesTrait,2,FALSE),0)+(IF(QualitéAlimentsJumentTrait=MAUVAISE,VLOOKUP("Canola",AlimentsRationEcurieChevauxFemellesTrait,2,FALSE),0))))))))))</f>
        <v>0</v>
      </c>
      <c r="FH203" s="1321"/>
      <c r="FI203" s="1321"/>
      <c r="FJ203" s="1345"/>
      <c r="FK203" s="1345"/>
      <c r="FL203" s="1345"/>
      <c r="FM203" s="1321"/>
      <c r="FN203" s="1082" t="str">
        <f t="shared" si="71"/>
        <v>Colza</v>
      </c>
      <c r="FO203" s="1282">
        <f t="array" ref="FO203">SUM((IF(QualitéAlimentsPoulainMâlePoney=BONNE,VLOOKUP("Colza",AlimentsRationEcuriePoneysMâles,5,FALSE),0)+(IF(QualitéAlimentsPoulainFemellePoney=BONNE,VLOOKUP("Colza",AlimentsRationEcuriePoneysFemelles,5,FALSE),0)+(IF(QualitéAlimentsJeuneEtalon_12_24_moisPoney=BONNE,VLOOKUP("Colza",AlimentsRationEcuriePoneysMâles,4,FALSE),0)+(IF(QualitéAlimentsJeuneJument_12_24_moisPoney=BONNE,VLOOKUP("Colza",AlimentsRationEcuriePoneysFemelles,4,FALSE),0)+(IF(QualitéAlimentsJeuneEtalon_24_36_moisPoney=BONNE,VLOOKUP("Colza",AlimentsRationEcuriePoneysMâles,3,FALSE),0)+(IF(QualitéAlimentsJeuneJument_24_36_moisPoney=BONNE,VLOOKUP("Colza",AlimentsRationEcuriePoneysFemelles,3,FALSE),0)+(IF(QualitéAlimentsEtalonPoney=BONNE,VLOOKUP("Colza",AlimentsRationEcuriePoneysMâles,2,FALSE),0)+(IF(QualitéAlimentsJumentPoney=BONNE,VLOOKUP("Colza",AlimentsRationEcuriePoneysFemelles,2,FALSE),0))))))))))</f>
        <v>0</v>
      </c>
      <c r="FP203" s="1282">
        <f t="array" ref="FP203">SUM((IF(QualitéAlimentsPoulainMâlePoney=MOYENNE,VLOOKUP("Colza",AlimentsRationEcuriePoneysMâles,5,FALSE),0)+(IF(QualitéAlimentsPoulainFemellePoney=MOYENNE,VLOOKUP("Colza",AlimentsRationEcuriePoneysFemelles,5,FALSE),0)+(IF(QualitéAlimentsJeuneEtalon_12_24_moisPoney=MOYENNE,VLOOKUP("Colza",AlimentsRationEcuriePoneysMâles,4,FALSE),0)+(IF(QualitéAlimentsJeuneJument_12_24_moisPoney=MOYENNE,VLOOKUP("Colza",AlimentsRationEcuriePoneysFemelles,4,FALSE),0)+(IF(QualitéAlimentsJeuneEtalon_24_36_moisPoney=MOYENNE,VLOOKUP("Colza",AlimentsRationEcuriePoneysMâles,3,FALSE),0)+(IF(QualitéAlimentsJeuneJument_24_36_moisPoney=MOYENNE,VLOOKUP("Colza",AlimentsRationEcuriePoneysFemelles,3,FALSE),0)+(IF(QualitéAlimentsEtalonPoney=MOYENNE,VLOOKUP("Colza",AlimentsRationEcuriePoneysMâles,2,FALSE),0)+(IF(QualitéAlimentsJumentPoney=MOYENNE,VLOOKUP("Colza",AlimentsRationEcuriePoneysFemelles,2,FALSE),0))))))))))</f>
        <v>0</v>
      </c>
      <c r="FQ203" s="1282">
        <f t="array" ref="FQ203">SUM((IF(QualitéAlimentsPoulainMâlePoney=MAUVAISE,VLOOKUP("Colza",AlimentsRationEcuriePoneysMâles,5,FALSE),0)+(IF(QualitéAlimentsPoulainFemellePoney=MAUVAISE,VLOOKUP("Colza",AlimentsRationEcuriePoneysFemelles,5,FALSE),0)+(IF(QualitéAlimentsJeuneEtalon_12_24_moisPoney=MAUVAISE,VLOOKUP("Colza",AlimentsRationEcuriePoneysMâles,4,FALSE),0)+(IF(QualitéAlimentsJeuneJument_12_24_moisPoney=MAUVAISE,VLOOKUP("Colza",AlimentsRationEcuriePoneysFemelles,4,FALSE),0)+(IF(QualitéAlimentsJeuneEtalon_24_36_moisPoney=MAUVAISE,VLOOKUP("Colza",AlimentsRationEcuriePoneysMâles,3,FALSE),0)+(IF(QualitéAlimentsJeuneJument_24_36_moisPoney=MAUVAISE,VLOOKUP("Colza",AlimentsRationEcuriePoneysFemelles,3,FALSE),0)+(IF(QualitéAlimentsEtalonPoney=MAUVAISE,VLOOKUP("Colza",AlimentsRationEcuriePoneysMâles,2,FALSE),0)+(IF(QualitéAlimentsJumentPoney=MAUVAISE,VLOOKUP("Colza",AlimentsRationEcuriePoneysFemelles,2,FALSE),0))))))))))</f>
        <v>0</v>
      </c>
      <c r="FR203" s="1345"/>
      <c r="FS203" s="1345"/>
      <c r="FT203" s="1345"/>
      <c r="FU203" s="1345"/>
      <c r="FV203" s="1345"/>
      <c r="FW203" s="1345"/>
      <c r="FX203" s="1345"/>
      <c r="FY203" s="1345"/>
      <c r="FZ203" s="1345"/>
      <c r="GA203" s="1345"/>
      <c r="GB203" s="1345"/>
      <c r="GC203" s="1321"/>
      <c r="GD203" s="1321"/>
      <c r="GE203" s="1321"/>
      <c r="GF203" s="1321"/>
      <c r="GG203" s="1321" t="s">
        <v>1349</v>
      </c>
      <c r="GH203" s="1321" t="s">
        <v>1349</v>
      </c>
      <c r="GI203" s="1321" t="s">
        <v>1349</v>
      </c>
      <c r="GJ203" s="1321" t="s">
        <v>1349</v>
      </c>
      <c r="GK203" s="1321" t="s">
        <v>1349</v>
      </c>
      <c r="GL203" s="1321" t="s">
        <v>1349</v>
      </c>
      <c r="GM203" s="1321" t="s">
        <v>1349</v>
      </c>
      <c r="GN203" s="1321" t="s">
        <v>1349</v>
      </c>
      <c r="GO203" s="1321" t="s">
        <v>1349</v>
      </c>
      <c r="GP203" s="1321" t="s">
        <v>1349</v>
      </c>
      <c r="GQ203" s="1321" t="s">
        <v>1349</v>
      </c>
      <c r="GR203" s="1321" t="s">
        <v>1349</v>
      </c>
      <c r="GS203" s="1321" t="s">
        <v>1349</v>
      </c>
      <c r="GT203" s="1321" t="s">
        <v>1349</v>
      </c>
      <c r="GU203" s="1321" t="s">
        <v>1349</v>
      </c>
      <c r="GV203" s="1321" t="s">
        <v>1349</v>
      </c>
      <c r="GW203" s="1321"/>
      <c r="GX203" s="1321"/>
      <c r="GY203" s="1321"/>
      <c r="GZ203" s="1321"/>
      <c r="HA203" s="1321"/>
      <c r="HB203" s="1321"/>
      <c r="HC203" s="1321"/>
      <c r="HD203" s="1321"/>
      <c r="HE203" s="1321"/>
      <c r="HF203" s="1321"/>
      <c r="HG203" s="1321"/>
      <c r="HH203" s="1321"/>
      <c r="HI203" s="1321"/>
      <c r="HJ203" s="1321"/>
      <c r="HK203" s="1321"/>
      <c r="HL203" s="1321"/>
      <c r="HM203" s="1321"/>
      <c r="HN203" s="1321"/>
      <c r="HO203" s="1321"/>
      <c r="HP203" s="1321"/>
      <c r="HQ203" s="1321"/>
      <c r="HR203" s="1321"/>
      <c r="HS203" s="1321"/>
      <c r="HT203" s="1321"/>
      <c r="HU203" s="1321"/>
      <c r="HV203" s="1321"/>
      <c r="HW203" s="1321"/>
      <c r="HX203" s="1321"/>
      <c r="HY203" s="1321"/>
      <c r="HZ203" s="1321"/>
      <c r="IA203" s="1321"/>
      <c r="IB203" s="1321"/>
      <c r="IC203" s="1321"/>
      <c r="ID203" s="1321"/>
      <c r="IE203" s="1321"/>
      <c r="IF203" s="1321"/>
      <c r="IG203" s="1321"/>
      <c r="IH203" s="1321"/>
      <c r="II203" s="1321"/>
      <c r="IJ203" s="1321"/>
      <c r="IK203" s="1321"/>
      <c r="IL203" s="1321"/>
      <c r="IM203" s="1321"/>
      <c r="IN203" s="1368"/>
    </row>
    <row r="204" spans="1:248" ht="12.75" customHeight="1" x14ac:dyDescent="0.2">
      <c r="A204" s="1319"/>
      <c r="B204" s="1320"/>
      <c r="C204" s="1321"/>
      <c r="D204" s="1288" t="s">
        <v>1822</v>
      </c>
      <c r="E204" s="1151">
        <v>0.55000000000000004</v>
      </c>
      <c r="F204" s="1321"/>
      <c r="G204" s="1321"/>
      <c r="H204" s="1321"/>
      <c r="I204" s="1321"/>
      <c r="J204" s="1321"/>
      <c r="K204" s="1321"/>
      <c r="L204" s="1321"/>
      <c r="M204" s="1321"/>
      <c r="N204" s="1321"/>
      <c r="O204" s="1321"/>
      <c r="P204" s="1321"/>
      <c r="Q204" s="1321"/>
      <c r="R204" s="1321"/>
      <c r="S204" s="1321"/>
      <c r="T204" s="1321"/>
      <c r="U204" s="1321"/>
      <c r="V204" s="1321"/>
      <c r="W204" s="1321"/>
      <c r="X204" s="1321"/>
      <c r="Y204" s="1321"/>
      <c r="Z204" s="1321"/>
      <c r="AA204" s="1321"/>
      <c r="AB204" s="1321"/>
      <c r="AC204" s="1321"/>
      <c r="AD204" s="1321"/>
      <c r="AE204" s="1321"/>
      <c r="AF204" s="1321"/>
      <c r="AG204" s="1321"/>
      <c r="AH204" s="1321"/>
      <c r="AI204" s="1321"/>
      <c r="AJ204" s="1321"/>
      <c r="AK204" s="1321"/>
      <c r="AL204" s="1321"/>
      <c r="AM204" s="1321"/>
      <c r="AN204" s="1321"/>
      <c r="AO204" s="1321"/>
      <c r="AP204" s="1321"/>
      <c r="AQ204" s="1321"/>
      <c r="AR204" s="1321"/>
      <c r="AS204" s="1321"/>
      <c r="AT204" s="1321"/>
      <c r="AU204" s="1321"/>
      <c r="AV204" s="1321"/>
      <c r="AW204" s="1321"/>
      <c r="AX204" s="1321"/>
      <c r="AY204" s="1321"/>
      <c r="AZ204" s="1321"/>
      <c r="BA204" s="1321"/>
      <c r="BB204" s="1076" t="s">
        <v>728</v>
      </c>
      <c r="BC204" s="1267">
        <f t="array" ref="BC204">IF(Ration_complète_bovins[somme]&gt;0,0,IFERROR(IF(OR(AND(INDEX(Règles_bovins[Specificite],MATCH(ChoixRationBovins&amp;$BB204,Règles_bovins[Ration]&amp;Règles_bovins[Aliment],0))="s1",IF($BB204=Spécificité1Bovins,1)),
AND(INDEX(Règles_bovins[Specificite],MATCH(ChoixRationBovins&amp;$BB204,Règles_bovins[Ration]&amp;Règles_bovins[Aliment],0))="s2",IF($BB204=Spécificité2Bovins,1)),
INDEX(Règles_bovins[Specificite],MATCH(ChoixRationBovins&amp;$BB204,Règles_bovins[Ration]&amp;Règles_bovins[Aliment],0))="c"),
INDEX(Règles_bovins[Valeur 36 et plus],MATCH(ChoixRationBovins&amp;$BB204,Règles_bovins[Ration]&amp;Règles_bovins[Aliment],0)),0),0)*IF(ChoixBovinsPréHiver=OUI,TotalTaureauxRacesLaitières,TotalTaureaux*SUM(NbreJoursNourrirBovins)))</f>
        <v>0</v>
      </c>
      <c r="BD204" s="1267">
        <f t="array" ref="BD204">IF(Ration_complète_bovins[somme]&gt;0,0,IFERROR(IF(OR(AND(INDEX(Règles_bovins[Specificite],MATCH(ChoixRationBovins&amp;$BB204,Règles_bovins[Ration]&amp;Règles_bovins[Aliment],0))="s1",IF($BB204=Spécificité1Bovins,1)),
AND(INDEX(Règles_bovins[Specificite],MATCH(ChoixRationBovins&amp;$BB204,Règles_bovins[Ration]&amp;Règles_bovins[Aliment],0))="s2",IF($BB204=Spécificité2Bovins,1)),
INDEX(Règles_bovins[Specificite],MATCH(ChoixRationBovins&amp;$BB204,Règles_bovins[Ration]&amp;Règles_bovins[Aliment],0))="c"),
INDEX(Règles_bovins[Valeur 24-36],MATCH(ChoixRationBovins&amp;$BB204,Règles_bovins[Ration]&amp;Règles_bovins[Aliment],0)),0),0)*IF(ChoixBovinsPréHiver=OUI,TotalTaurillon_24_36_RacesLaitières,TotalBovinsMâles_24_36mois*SUM(NbreJoursNourrirBovins)))</f>
        <v>0</v>
      </c>
      <c r="BE204" s="1267">
        <f t="array" ref="BE204">IF(Ration_complète_bovins[somme]&gt;0,0,IFERROR(IF(OR(AND(INDEX(Règles_bovins[Specificite],MATCH(ChoixRationBovins&amp;$BB204,Règles_bovins[Ration]&amp;Règles_bovins[Aliment],0))="s1",IF($BB204=Spécificité1Bovins,1)),
AND(INDEX(Règles_bovins[Specificite],MATCH(ChoixRationBovins&amp;$BB204,Règles_bovins[Ration]&amp;Règles_bovins[Aliment],0))="s2",IF($BB204=Spécificité2Bovins,1)),
INDEX(Règles_bovins[Specificite],MATCH(ChoixRationBovins&amp;$BB204,Règles_bovins[Ration]&amp;Règles_bovins[Aliment],0))="c"),
INDEX(Règles_bovins[Valeur 18-24],MATCH(ChoixRationBovins&amp;$BB204,Règles_bovins[Ration]&amp;Règles_bovins[Aliment],0)),0),0)*IF(ChoixBovinsPréHiver=OUI,TotalTaurillon_18_24_RacesLaitières,TotalBovinsMâles_18_24mois*SUM(NbreJoursNourrirBovins)))</f>
        <v>0</v>
      </c>
      <c r="BF204" s="1267">
        <f t="array" ref="BF204">IF(Ration_complète_bovins[somme]&gt;0,0,IFERROR(IF(OR(AND(INDEX(Règles_bovins[Specificite],MATCH(ChoixRationBovins&amp;$BB204,Règles_bovins[Ration]&amp;Règles_bovins[Aliment],0))="s1",IF($BB204=Spécificité1Bovins,1)),
AND(INDEX(Règles_bovins[Specificite],MATCH(ChoixRationBovins&amp;$BB204,Règles_bovins[Ration]&amp;Règles_bovins[Aliment],0))="s2",IF($BB204=Spécificité2Bovins,1)),
INDEX(Règles_bovins[Specificite],MATCH(ChoixRationBovins&amp;$BB204,Règles_bovins[Ration]&amp;Règles_bovins[Aliment],0))="c"),
INDEX(Règles_bovins[Valeur 12-18],MATCH(ChoixRationBovins&amp;$BB204,Règles_bovins[Ration]&amp;Règles_bovins[Aliment],0)),0),0)*IF(ChoixBovinsPréHiver=OUI,animaux!D27,TotalBovinsMâles_12_18mois*SUM(NbreJoursNourrirBovins)))</f>
        <v>0</v>
      </c>
      <c r="BG204" s="1267">
        <f t="array" ref="BG204">IF(Ration_complète_bovins[somme]&gt;0,0,IFERROR(IF(OR(AND(INDEX(Règles_bovins[Specificite],MATCH(ChoixRationBovins&amp;$BB204,Règles_bovins[Ration]&amp;Règles_bovins[Aliment],0))="s1",IF($BB204=Spécificité1Bovins,1)),
AND(INDEX(Règles_bovins[Specificite],MATCH(ChoixRationBovins&amp;$BB204,Règles_bovins[Ration]&amp;Règles_bovins[Aliment],0))="s2",IF($BB204=Spécificité2Bovins,1)),
INDEX(Règles_bovins[Specificite],MATCH(ChoixRationBovins&amp;$BB204,Règles_bovins[Ration]&amp;Règles_bovins[Aliment],0))="c"),
INDEX(Règles_bovins[Valeur 6-12],MATCH(ChoixRationBovins&amp;$BB204,Règles_bovins[Ration]&amp;Règles_bovins[Aliment],0)),0),0)*IF(ChoixBovinsPréHiver=OUI,TotalVeauMâle_6_12_RacesLaitières,TotalBovinsMâles_6_12mois*SUM(NbreJoursNourrirBovins)))</f>
        <v>0</v>
      </c>
      <c r="BH204" s="1267">
        <f t="array" ref="BH204">IF(Ration_complète_bovins[somme]&gt;0,0,IFERROR(IF(OR(AND(INDEX(Règles_bovins[Specificite],MATCH(ChoixRationBovins&amp;$BB204,Règles_bovins[Ration]&amp;Règles_bovins[Aliment],0))="s1",IF($BB204=Spécificité1Bovins,1)),
AND(INDEX(Règles_bovins[Specificite],MATCH(ChoixRationBovins&amp;$BB204,Règles_bovins[Ration]&amp;Règles_bovins[Aliment],0))="s2",IF($BB204=Spécificité2Bovins,1)),
INDEX(Règles_bovins[Specificite],MATCH(ChoixRationBovins&amp;$BB204,Règles_bovins[Ration]&amp;Règles_bovins[Aliment],0))="c"),
INDEX(Règles_bovins[Valeur 3-6],MATCH(ChoixRationBovins&amp;$BB204,Règles_bovins[Ration]&amp;Règles_bovins[Aliment],0)),0),0)*IF(ChoixBovinsPréHiver=OUI,TotalVeauMâle_3_6_RacesLaitières,TotalBovinsMâles_3_6mois*SUM(NbreJoursNourrirBovins)))</f>
        <v>0</v>
      </c>
      <c r="BI204" s="1267">
        <f t="array" ref="BI204">IF(Ration_complète_bovins[somme]&gt;0,0,IFERROR(IF(OR(AND(INDEX(Règles_bovins[Specificite],MATCH(ChoixRationBovins&amp;$BB204,Règles_bovins[Ration]&amp;Règles_bovins[Aliment],0))="s1",IF($BB204=Spécificité1Bovins,1)),
AND(INDEX(Règles_bovins[Specificite],MATCH(ChoixRationBovins&amp;$BB204,Règles_bovins[Ration]&amp;Règles_bovins[Aliment],0))="s2",IF($BB204=Spécificité2Bovins,1)),
INDEX(Règles_bovins[Specificite],MATCH(ChoixRationBovins&amp;$BB204,Règles_bovins[Ration]&amp;Règles_bovins[Aliment],0))="c"),
INDEX(Règles_bovins[Valeur 0-3],MATCH(ChoixRationBovins&amp;$BB204,Règles_bovins[Ration]&amp;Règles_bovins[Aliment],0)),0),0)*IF(ChoixBovinsPréHiver=OUI,TotalVeauMâle_0_3_RacesLaitières,TotalBovinsMâles_0_3mois*SUM(NbreJoursNourrirBovins)))</f>
        <v>0</v>
      </c>
      <c r="BJ204" s="1268">
        <f t="shared" si="69"/>
        <v>0</v>
      </c>
      <c r="BK204" s="1321"/>
      <c r="BL204" s="1321"/>
      <c r="BM204" s="1346"/>
      <c r="BN204" s="1321"/>
      <c r="BO204" s="1321"/>
      <c r="BP204" s="1321"/>
      <c r="BQ204" s="1321"/>
      <c r="BR204" s="1321"/>
      <c r="BS204" s="1321"/>
      <c r="BT204" s="1321"/>
      <c r="BU204" s="1321"/>
      <c r="BV204" s="1345"/>
      <c r="BW204" s="1345"/>
      <c r="BX204" s="1076" t="str">
        <f t="shared" si="70"/>
        <v>concentré jeunes lapins</v>
      </c>
      <c r="BY204" s="1267">
        <f t="array" ref="BY204">SUM((IF(QualitéAlimentsChevreau_0_3_mois=BONNE,VLOOKUP("Concentré jeunes lapins",AlimentsRationCaprinsMâles,5,FALSE),0)+(IF(QualitéAlimentsChevrette_0_3_mois=BONNE,VLOOKUP("Concentré jeunes lapins",AlimentsRationCaprinsFemelles,5,FALSE),0)+(IF(QualitéAlimentsChevreau_3_6_mois=BONNE,VLOOKUP("Concentré jeunes lapins",AlimentsRationCaprinsMâles,4,FALSE),0)+(IF(QualitéAlimentsChevrette_3_6_mois=BONNE,VLOOKUP("Concentré jeunes lapins",AlimentsRationCaprinsFemelles,4,FALSE),0)+(IF(QualitéAlimentsJeuneBouc=BONNE,VLOOKUP("Concentré jeunes lapins",AlimentsRationCaprinsMâles,3,FALSE),0)+(IF(QualitéAlimentsJeuneChèvre=BONNE,VLOOKUP("Concentré jeunes lapins",AlimentsRationCaprinsFemelles,3,FALSE),0)+(IF(QualitéAlimentsBouc=BONNE,VLOOKUP("Concentré jeunes lapins",AlimentsRationCaprinsMâles,2,FALSE),0)+(IF(QualitéAlimentsChèvre=BONNE,VLOOKUP("Concentré jeunes lapins",AlimentsRationCaprinsFemelles,2,FALSE),0))))))))))</f>
        <v>0</v>
      </c>
      <c r="BZ204" s="1267">
        <f t="array" ref="BZ204">SUM((IF(QualitéAlimentsChevreau_0_3_mois=MOYENNE,VLOOKUP("Concentré jeunes lapins",AlimentsRationCaprinsMâles,5,FALSE),0)+(IF(QualitéAlimentsChevrette_0_3_mois=MOYENNE,VLOOKUP("Concentré jeunes lapins",AlimentsRationCaprinsFemelles,5,FALSE),0)+(IF(QualitéAlimentsChevreau_3_6_mois=MOYENNE,VLOOKUP("Concentré jeunes lapins",AlimentsRationCaprinsMâles,4,FALSE),0)+(IF(QualitéAlimentsChevrette_3_6_mois=MOYENNE,VLOOKUP("Concentré jeunes lapins",AlimentsRationCaprinsFemelles,4,FALSE),0)+(IF(QualitéAlimentsJeuneBouc=MOYENNE,VLOOKUP("Concentré jeunes lapins",AlimentsRationCaprinsMâles,3,FALSE),0)+(IF(QualitéAlimentsJeuneChèvre=MOYENNE,VLOOKUP("Concentré jeunes lapins",AlimentsRationCaprinsFemelles,3,FALSE),0)+(IF(QualitéAlimentsBouc=MOYENNE,VLOOKUP("Concentré jeunes lapins",AlimentsRationCaprinsMâles,2,FALSE),0)+(IF(QualitéAlimentsChèvre=MOYENNE,VLOOKUP("Concentré jeunes lapins",AlimentsRationCaprinsFemelles,2,FALSE),0))))))))))</f>
        <v>0</v>
      </c>
      <c r="CA204" s="1267">
        <f t="array" ref="CA204">SUM((IF(QualitéAlimentsChevreau_0_3_mois=MAUVAISE,VLOOKUP("Concentré jeunes lapins",AlimentsRationCaprinsMâles,5,FALSE),0)+(IF(QualitéAlimentsChevrette_0_3_mois=MAUVAISE,VLOOKUP("Concentré jeunes lapins",AlimentsRationCaprinsFemelles,5,FALSE),0)+(IF(QualitéAlimentsChevreau_3_6_mois=MAUVAISE,VLOOKUP("Concentré jeunes lapins",AlimentsRationCaprinsMâles,4,FALSE),0)+(IF(QualitéAlimentsChevrette_3_6_mois=MAUVAISE,VLOOKUP("Concentré jeunes lapins",AlimentsRationCaprinsFemelles,4,FALSE),0)+(IF(QualitéAlimentsJeuneBouc=MAUVAISE,VLOOKUP("Concentré jeunes lapins",AlimentsRationCaprinsMâles,3,FALSE),0)+(IF(QualitéAlimentsJeuneChèvre=MAUVAISE,VLOOKUP("Concentré jeunes lapins",AlimentsRationCaprinsFemelles,3,FALSE),0)+(IF(QualitéAlimentsBouc=MAUVAISE,VLOOKUP("Concentré jeunes lapins",AlimentsRationCaprinsMâles,2,FALSE),0)+(IF(QualitéAlimentsChèvre=MAUVAISE,VLOOKUP("Concentré jeunes lapins",AlimentsRationCaprinsFemelles,2,FALSE),0))))))))))</f>
        <v>0</v>
      </c>
      <c r="CB204" s="1321"/>
      <c r="CC204" s="1321"/>
      <c r="CD204" s="1345"/>
      <c r="CE204" s="1345"/>
      <c r="CF204" s="1345"/>
      <c r="CG204" s="1345"/>
      <c r="CH204" s="1345"/>
      <c r="CI204" s="1321"/>
      <c r="CJ204" s="1321"/>
      <c r="CK204" s="1321"/>
      <c r="CL204" s="1321"/>
      <c r="CM204" s="1321"/>
      <c r="CN204" s="1321"/>
      <c r="CO204" s="1321"/>
      <c r="CP204" s="1321"/>
      <c r="CQ204" s="1321"/>
      <c r="CR204" s="1321"/>
      <c r="CS204" s="1321"/>
      <c r="CT204" s="1321"/>
      <c r="CU204" s="1321"/>
      <c r="CV204" s="1321"/>
      <c r="CW204" s="1321"/>
      <c r="CX204" s="1321"/>
      <c r="CY204" s="1321"/>
      <c r="CZ204" s="1321"/>
      <c r="DA204" s="1321"/>
      <c r="DB204" s="1321"/>
      <c r="DC204" s="1321"/>
      <c r="DD204" s="1321"/>
      <c r="DE204" s="1321"/>
      <c r="DF204" s="1321"/>
      <c r="DG204" s="1321"/>
      <c r="DH204" s="1321"/>
      <c r="DI204" s="1321"/>
      <c r="DJ204" s="1321"/>
      <c r="DK204" s="1321"/>
      <c r="DL204" s="1321"/>
      <c r="DM204" s="1321"/>
      <c r="DN204" s="1076" t="str">
        <f t="shared" si="68"/>
        <v>Epinard</v>
      </c>
      <c r="DO204" s="1267">
        <f t="array" ref="DO204">IF(ChoixRationComplèteOvins=OUI,0,IFERROR(IF(OR(AND(INDEX(Règles_ovins[Specificite],MATCH(ChoixRationOvins&amp;$DN204,Règles_ovins[Ration]&amp;Règles_ovins[Aliment],0))="s1",IF($DN204=Spécificité1Ovins,1)),
AND(INDEX(Règles_ovins[Specificite],MATCH(ChoixRationOvins&amp;$DN204,Règles_ovins[Ration]&amp;Règles_ovins[Aliment],0))="s2",IF($DN204=Spécificité2Ovins,1)),
INDEX(Règles_ovins[Specificite],MATCH(ChoixRationOvins&amp;$DN204,Règles_ovins[Ration]&amp;Règles_ovins[Aliment],0))="c"),
INDEX(Règles_ovins[Valeur 12 et plus],MATCH(ChoixRationOvins&amp;$DN204,Règles_ovins[Ration]&amp;Règles_ovins[Aliment],0)),0),0)*IF(ChoixOvinsPréHiver=OUI,SUM(TotalOvinsAdultesRacesLaitières)*NbreJoursNourrirOvins,TotalBrebis*SUM(NbreJoursNourrirOvins)))</f>
        <v>0</v>
      </c>
      <c r="DP204" s="1267">
        <f t="array" ref="DP204">IF(ChoixRationComplèteOvins=OUI,0,IFERROR(IF(OR(AND(INDEX(Règles_ovins[Specificite],MATCH(ChoixRationOvins&amp;$DN204,Règles_ovins[Ration]&amp;Règles_ovins[Aliment],0))="s1",IF($DN204=Spécificité1Ovins,1)),
AND(INDEX(Règles_ovins[Specificite],MATCH(ChoixRationOvins&amp;$DN204,Règles_ovins[Ration]&amp;Règles_ovins[Aliment],0))="s2",IF($DN204=Spécificité2Ovins,1)),
INDEX(Règles_ovins[Specificite],MATCH(ChoixRationOvins&amp;$DN204,Règles_ovins[Ration]&amp;Règles_ovins[Aliment],0))="c"),
INDEX(Règles_ovins[Valeur 6-12],MATCH(ChoixRationOvins&amp;$DN204,Règles_ovins[Ration]&amp;Règles_ovins[Aliment],0)),0),0)*IF(ChoixOvinsPréHiver=OUI,SUM(TotalJeunesOvinsRacesLaitières)*NbreJoursNourrirOvins,TotalJeune_brebis_6_12_mois*SUM(NbreJoursNourrirOvins)))</f>
        <v>0</v>
      </c>
      <c r="DQ204" s="1267">
        <f t="array" ref="DQ204">IF(ChoixRationComplèteOvins=OUI,0,IFERROR(IF(OR(AND(INDEX(Règles_ovins[Specificite],MATCH(ChoixRationOvins&amp;$DN204,Règles_ovins[Ration]&amp;Règles_ovins[Aliment],0))="s1",IF($DN204=Spécificité1Ovins,1)),
AND(INDEX(Règles_ovins[Specificite],MATCH(ChoixRationOvins&amp;$DN204,Règles_ovins[Ration]&amp;Règles_ovins[Aliment],0))="s2",IF($DN204=Spécificité2Ovins,1)),
INDEX(Règles_ovins[Specificite],MATCH(ChoixRationOvins&amp;$DN204,Règles_ovins[Ration]&amp;Règles_ovins[Aliment],0))="c"),
INDEX(Règles_ovins[Valeur 3-6],MATCH(ChoixRationOvins&amp;$DN204,Règles_ovins[Ration]&amp;Règles_ovins[Aliment],0)),0),0)*IF(ChoixOvinsPréHiver=OUI,SUM(TotalOvins_3_6moisRacesLaitières)*NbreJoursNourrirOvins,TotalAgnelle_3_6_mois*SUM(NbreJoursNourrirOvins)))</f>
        <v>0</v>
      </c>
      <c r="DR204" s="1267">
        <f t="array" ref="DR204">IF(ChoixRationComplèteOvins=OUI,0,IFERROR(IF(OR(AND(INDEX(Règles_ovins[Specificite],MATCH(ChoixRationOvins&amp;$DN204,Règles_ovins[Ration]&amp;Règles_ovins[Aliment],0))="s1",IF($DN204=Spécificité1Ovins,1)),
AND(INDEX(Règles_ovins[Specificite],MATCH(ChoixRationOvins&amp;$DN204,Règles_ovins[Ration]&amp;Règles_ovins[Aliment],0))="s2",IF($DN204=Spécificité2Ovins,1)),
INDEX(Règles_ovins[Specificite],MATCH(ChoixRationOvins&amp;$DN204,Règles_ovins[Ration]&amp;Règles_ovins[Aliment],0))="c"),
INDEX(Règles_ovins[Valeur 0-3],MATCH(ChoixRationOvins&amp;$DN204,Règles_ovins[Ration]&amp;Règles_ovins[Aliment],0)),0),0)*IF(ChoixOvinsPréHiver=OUI,SUM(TotalOvins_3_6moisRacesLaitières)*NbreJoursNourrirOvins,TotalAgnelle_0_3_mois*SUM(NbreJoursNourrirOvins)))</f>
        <v>0</v>
      </c>
      <c r="DS204" s="1279">
        <f t="shared" si="67"/>
        <v>0</v>
      </c>
      <c r="DT204" s="1346"/>
      <c r="DU204" s="1345"/>
      <c r="DV204" s="1321"/>
      <c r="DW204" s="1321"/>
      <c r="DX204" s="1321"/>
      <c r="DY204" s="1321"/>
      <c r="DZ204" s="1321"/>
      <c r="EA204" s="1321"/>
      <c r="EB204" s="1321"/>
      <c r="EC204" s="1321"/>
      <c r="ED204" s="1345"/>
      <c r="EE204" s="1345"/>
      <c r="EF204" s="1321"/>
      <c r="EG204" s="1321"/>
      <c r="EH204" s="1321"/>
      <c r="EI204" s="1321"/>
      <c r="EJ204" s="1321"/>
      <c r="EK204" s="1345"/>
      <c r="EL204" s="1345"/>
      <c r="EM204" s="1321"/>
      <c r="EN204" s="1321"/>
      <c r="EO204" s="1321"/>
      <c r="EP204" s="1321"/>
      <c r="EQ204" s="1321"/>
      <c r="ER204" s="1345"/>
      <c r="ES204" s="1345"/>
      <c r="ET204" s="1321"/>
      <c r="EU204" s="1083" t="str">
        <f t="shared" ref="EU204:EU241" si="73">EU61</f>
        <v>Betterave</v>
      </c>
      <c r="EV204" s="1283">
        <f t="array" ref="EV204">SUM((IF(QualitéAlimentsPoulainSelleMâle=BONNE,VLOOKUP("Betterave",AlimentsRationEcurieChevauxMâlesSelle,5,FALSE),0)+(IF(QualitéAlimentsPoulainSelleFemelle=BONNE,VLOOKUP("Betterave",AlimentsRationEcurieChevauxFemellesSelle,5,FALSE),0)+(IF(QualitéAlimentsJeuneEtalon_12_24_moisSelle=BONNE,VLOOKUP("Betterave",AlimentsRationEcurieChevauxMâlesSelle,4,FALSE),0)+(IF(QualitéAlimentsJeuneJument_12_24_moisSelle=BONNE,VLOOKUP("Betterave",AlimentsRationEcurieChevauxFemellesSelle,4,FALSE),0)+(IF(QualitéAlimentsJeuneEtalon_24_36_moisSelle=BONNE,VLOOKUP("Betterave",AlimentsRationEcurieChevauxMâlesSelle,3,FALSE),0)+(IF(QualitéAlimentsJeuneJument_24_36_moisSelle=BONNE,VLOOKUP("Betterave",AlimentsRationEcurieChevauxFemellesSelle,3,FALSE),0)+(IF(QualitéAlimentsEtalonSelle=BONNE,VLOOKUP("Betterave",AlimentsRationEcurieChevauxMâlesSelle,2,FALSE),0)+(IF(QualitéAlimentsJumentSelle=BONNE,VLOOKUP("Betterave",AlimentsRationEcurieChevauxFemellesSelle,2,FALSE),0))))))))))</f>
        <v>0</v>
      </c>
      <c r="EW204" s="1283">
        <f t="array" ref="EW204">SUM((IF(QualitéAlimentsPoulainSelleMâle=MOYENNE,VLOOKUP("Betterave",AlimentsRationEcurieChevauxMâlesSelle,5,FALSE),0)+(IF(QualitéAlimentsPoulainSelleFemelle=MOYENNE,VLOOKUP("Betterave",AlimentsRationEcurieChevauxFemellesSelle,5,FALSE),0)+(IF(QualitéAlimentsJeuneEtalon_12_24_moisSelle=MOYENNE,VLOOKUP("Betterave",AlimentsRationEcurieChevauxMâlesSelle,4,FALSE),0)+(IF(QualitéAlimentsJeuneJument_12_24_moisSelle=MOYENNE,VLOOKUP("Betterave",AlimentsRationEcurieChevauxFemellesSelle,4,FALSE),0)+(IF(QualitéAlimentsJeuneEtalon_24_36_moisSelle=MOYENNE,VLOOKUP("Betterave",AlimentsRationEcurieChevauxMâlesSelle,3,FALSE),0)+(IF(QualitéAlimentsJeuneJument_24_36_moisSelle=MOYENNE,VLOOKUP("Betterave",AlimentsRationEcurieChevauxFemellesSelle,3,FALSE),0)+(IF(QualitéAlimentsEtalonSelle=MOYENNE,VLOOKUP("Betterave",AlimentsRationEcurieChevauxMâlesSelle,2,FALSE),0)+(IF(QualitéAlimentsJumentSelle=MOYENNE,VLOOKUP("Betterave",AlimentsRationEcurieChevauxFemellesSelle,2,FALSE),0))))))))))</f>
        <v>0</v>
      </c>
      <c r="EX204" s="1283">
        <f t="array" ref="EX204">SUM((IF(QualitéAlimentsPoulainSelleMâle=MAUVAISE,VLOOKUP("Betterave",AlimentsRationEcurieChevauxMâlesSelle,5,FALSE),0)+(IF(QualitéAlimentsPoulainSelleFemelle=MAUVAISE,VLOOKUP("Betterave",AlimentsRationEcurieChevauxFemellesSelle,5,FALSE),0)+(IF(QualitéAlimentsJeuneEtalon_12_24_moisSelle=MAUVAISE,VLOOKUP("Betterave",AlimentsRationEcurieChevauxMâlesSelle,4,FALSE),0)+(IF(QualitéAlimentsJeuneJument_12_24_moisSelle=MAUVAISE,VLOOKUP("Betterave",AlimentsRationEcurieChevauxFemellesSelle,4,FALSE),0)+(IF(QualitéAlimentsJeuneEtalon_24_36_moisSelle=MAUVAISE,VLOOKUP("Betterave",AlimentsRationEcurieChevauxMâlesSelle,3,FALSE),0)+(IF(QualitéAlimentsJeuneJument_24_36_moisSelle=MAUVAISE,VLOOKUP("Betterave",AlimentsRationEcurieChevauxFemellesSelle,3,FALSE),0)+(IF(QualitéAlimentsEtalonSelle=MAUVAISE,VLOOKUP("Betterave",AlimentsRationEcurieChevauxMâlesSelle,2,FALSE),0)+(IF(QualitéAlimentsJumentSelle=MAUVAISE,VLOOKUP("Betterave",AlimentsRationEcurieChevauxFemellesSelle,2,FALSE),0))))))))))</f>
        <v>0</v>
      </c>
      <c r="EY204" s="1321"/>
      <c r="EZ204" s="1345"/>
      <c r="FA204" s="1345"/>
      <c r="FB204" s="1345"/>
      <c r="FC204" s="1321"/>
      <c r="FD204" s="1082" t="str">
        <f t="shared" si="72"/>
        <v>Colza</v>
      </c>
      <c r="FE204" s="1282">
        <f t="array" ref="FE204">SUM((IF(QualitéAlimentsPoulainMâleTrait=BONNE,VLOOKUP("Colza",AlimentsRationEcurieChevauxMâlesTrait,5,FALSE),0)+(IF(QualitéAlimentsPoulainFemelleTrait=BONNE,VLOOKUP("Colza",AlimentsRationEcurieChevauxFemellesTrait,5,FALSE),0)+(IF(QualitéAlimentsJeuneEtalon_12_24_moisTrait=BONNE,VLOOKUP("Colza",AlimentsRationEcurieChevauxMâlesTrait,4,FALSE),0)+(IF(QualitéAlimentsJeuneJument_12_24_moisTrait=BONNE,VLOOKUP("Colza",AlimentsRationEcurieChevauxFemellesTrait,4,FALSE),0)+(IF(QualitéAlimentsJeuneEtalon_24_36_moisTrait=BONNE,VLOOKUP("Colza",AlimentsRationEcurieChevauxMâlesTrait,3,FALSE),0)+(IF(QualitéAlimentsJeuneJument_24_36_moisTrait=BONNE,VLOOKUP("Colza",AlimentsRationEcurieChevauxFemellesTrait,3,FALSE),0)+(IF(QualitéAlimentsEtalonTrait=BONNE,VLOOKUP("Colza",AlimentsRationEcurieChevauxMâlesTrait,2,FALSE),0)+(IF(QualitéAlimentsJumentTrait=BONNE,VLOOKUP("Colza",AlimentsRationEcurieChevauxFemellesTrait,2,FALSE),0))))))))))</f>
        <v>0</v>
      </c>
      <c r="FF204" s="1282">
        <f t="array" ref="FF204">SUM((IF(QualitéAlimentsPoulainMâleTrait=MOYENNE,VLOOKUP("Colza",AlimentsRationEcurieChevauxMâlesTrait,5,FALSE),0)+(IF(QualitéAlimentsPoulainFemelleTrait=MOYENNE,VLOOKUP("Colza",AlimentsRationEcurieChevauxFemellesTrait,5,FALSE),0)+(IF(QualitéAlimentsJeuneEtalon_12_24_moisTrait=MOYENNE,VLOOKUP("Colza",AlimentsRationEcurieChevauxMâlesTrait,4,FALSE),0)+(IF(QualitéAlimentsJeuneJument_12_24_moisTrait=MOYENNE,VLOOKUP("Colza",AlimentsRationEcurieChevauxFemellesTrait,4,FALSE),0)+(IF(QualitéAlimentsJeuneEtalon_24_36_moisTrait=MOYENNE,VLOOKUP("Colza",AlimentsRationEcurieChevauxMâlesTrait,3,FALSE),0)+(IF(QualitéAlimentsJeuneJument_24_36_moisTrait=MOYENNE,VLOOKUP("Colza",AlimentsRationEcurieChevauxFemellesTrait,3,FALSE),0)+(IF(QualitéAlimentsEtalonTrait=MOYENNE,VLOOKUP("Colza",AlimentsRationEcurieChevauxMâlesTrait,2,FALSE),0)+(IF(QualitéAlimentsJumentTrait=MOYENNE,VLOOKUP("Colza",AlimentsRationEcurieChevauxFemellesTrait,2,FALSE),0))))))))))</f>
        <v>0</v>
      </c>
      <c r="FG204" s="1282">
        <f t="array" ref="FG204">SUM((IF(QualitéAlimentsPoulainMâleTrait=MAUVAISE,VLOOKUP("Colza",AlimentsRationEcurieChevauxMâlesTrait,5,FALSE),0)+(IF(QualitéAlimentsPoulainFemelleTrait=MAUVAISE,VLOOKUP("Colza",AlimentsRationEcurieChevauxFemellesTrait,5,FALSE),0)+(IF(QualitéAlimentsJeuneEtalon_12_24_moisTrait=MAUVAISE,VLOOKUP("Colza",AlimentsRationEcurieChevauxMâlesTrait,4,FALSE),0)+(IF(QualitéAlimentsJeuneJument_12_24_moisTrait=MAUVAISE,VLOOKUP("Colza",AlimentsRationEcurieChevauxFemellesTrait,4,FALSE),0)+(IF(QualitéAlimentsJeuneEtalon_24_36_moisTrait=MAUVAISE,VLOOKUP("Colza",AlimentsRationEcurieChevauxMâlesTrait,3,FALSE),0)+(IF(QualitéAlimentsJeuneJument_24_36_moisTrait=MAUVAISE,VLOOKUP("Colza",AlimentsRationEcurieChevauxFemellesTrait,3,FALSE),0)+(IF(QualitéAlimentsEtalonTrait=MAUVAISE,VLOOKUP("Colza",AlimentsRationEcurieChevauxMâlesTrait,2,FALSE),0)+(IF(QualitéAlimentsJumentTrait=MAUVAISE,VLOOKUP("Colza",AlimentsRationEcurieChevauxFemellesTrait,2,FALSE),0))))))))))</f>
        <v>0</v>
      </c>
      <c r="FH204" s="1321"/>
      <c r="FI204" s="1321"/>
      <c r="FJ204" s="1345"/>
      <c r="FK204" s="1345"/>
      <c r="FL204" s="1345"/>
      <c r="FM204" s="1321"/>
      <c r="FN204" s="1083" t="str">
        <f t="shared" si="71"/>
        <v>concentré jeunes bovins</v>
      </c>
      <c r="FO204" s="1283">
        <f t="array" ref="FO204">SUM((IF(QualitéAlimentsPoulainMâlePoney=BONNE,VLOOKUP("Concentré jeunes bovins",AlimentsRationEcuriePoneysMâles,5,FALSE),0)+(IF(QualitéAlimentsPoulainFemellePoney=BONNE,VLOOKUP("Concentré jeunes bovins",AlimentsRationEcuriePoneysFemelles,5,FALSE),0)+(IF(QualitéAlimentsJeuneEtalon_12_24_moisPoney=BONNE,VLOOKUP("Concentré jeunes bovins",AlimentsRationEcuriePoneysMâles,4,FALSE),0)+(IF(QualitéAlimentsJeuneJument_12_24_moisPoney=BONNE,VLOOKUP("Concentré jeunes bovins",AlimentsRationEcuriePoneysFemelles,4,FALSE),0)+(IF(QualitéAlimentsJeuneEtalon_24_36_moisPoney=BONNE,VLOOKUP("Concentré jeunes bovins",AlimentsRationEcuriePoneysMâles,3,FALSE),0)+(IF(QualitéAlimentsJeuneJument_24_36_moisPoney=BONNE,VLOOKUP("Concentré jeunes bovins",AlimentsRationEcuriePoneysFemelles,3,FALSE),0)+(IF(QualitéAlimentsEtalonPoney=BONNE,VLOOKUP("Concentré jeunes bovins",AlimentsRationEcuriePoneysMâles,2,FALSE),0)+(IF(QualitéAlimentsJumentPoney=BONNE,VLOOKUP("Concentré jeunes bovins",AlimentsRationEcuriePoneysFemelles,2,FALSE),0))))))))))</f>
        <v>0</v>
      </c>
      <c r="FP204" s="1283">
        <f t="array" ref="FP204">SUM((IF(QualitéAlimentsPoulainMâlePoney=MOYENNE,VLOOKUP("Concentré jeunes bovins",AlimentsRationEcuriePoneysMâles,5,FALSE),0)+(IF(QualitéAlimentsPoulainFemellePoney=MOYENNE,VLOOKUP("Concentré jeunes bovins",AlimentsRationEcuriePoneysFemelles,5,FALSE),0)+(IF(QualitéAlimentsJeuneEtalon_12_24_moisPoney=MOYENNE,VLOOKUP("Concentré jeunes bovins",AlimentsRationEcuriePoneysMâles,4,FALSE),0)+(IF(QualitéAlimentsJeuneJument_12_24_moisPoney=MOYENNE,VLOOKUP("Concentré jeunes bovins",AlimentsRationEcuriePoneysFemelles,4,FALSE),0)+(IF(QualitéAlimentsJeuneEtalon_24_36_moisPoney=MOYENNE,VLOOKUP("Concentré jeunes bovins",AlimentsRationEcuriePoneysMâles,3,FALSE),0)+(IF(QualitéAlimentsJeuneJument_24_36_moisPoney=MOYENNE,VLOOKUP("Concentré jeunes bovins",AlimentsRationEcuriePoneysFemelles,3,FALSE),0)+(IF(QualitéAlimentsEtalonPoney=MOYENNE,VLOOKUP("Concentré jeunes bovins",AlimentsRationEcuriePoneysMâles,2,FALSE),0)+(IF(QualitéAlimentsJumentPoney=MOYENNE,VLOOKUP("Concentré jeunes bovins",AlimentsRationEcuriePoneysFemelles,2,FALSE),0))))))))))</f>
        <v>0</v>
      </c>
      <c r="FQ204" s="1283">
        <f t="array" ref="FQ204">SUM((IF(QualitéAlimentsPoulainMâlePoney=MAUVAISE,VLOOKUP("Concentré jeunes bovins",AlimentsRationEcuriePoneysMâles,5,FALSE),0)+(IF(QualitéAlimentsPoulainFemellePoney=MAUVAISE,VLOOKUP("Concentré jeunes bovins",AlimentsRationEcuriePoneysFemelles,5,FALSE),0)+(IF(QualitéAlimentsJeuneEtalon_12_24_moisPoney=MAUVAISE,VLOOKUP("Concentré jeunes bovins",AlimentsRationEcuriePoneysMâles,4,FALSE),0)+(IF(QualitéAlimentsJeuneJument_12_24_moisPoney=MAUVAISE,VLOOKUP("Concentré jeunes bovins",AlimentsRationEcuriePoneysFemelles,4,FALSE),0)+(IF(QualitéAlimentsJeuneEtalon_24_36_moisPoney=MAUVAISE,VLOOKUP("Concentré jeunes bovins",AlimentsRationEcuriePoneysMâles,3,FALSE),0)+(IF(QualitéAlimentsJeuneJument_24_36_moisPoney=MAUVAISE,VLOOKUP("Concentré jeunes bovins",AlimentsRationEcuriePoneysFemelles,3,FALSE),0)+(IF(QualitéAlimentsEtalonPoney=MAUVAISE,VLOOKUP("Concentré jeunes bovins",AlimentsRationEcuriePoneysMâles,2,FALSE),0)+(IF(QualitéAlimentsJumentPoney=MAUVAISE,VLOOKUP("Concentré jeunes bovins",AlimentsRationEcuriePoneysFemelles,2,FALSE),0))))))))))</f>
        <v>0</v>
      </c>
      <c r="FR204" s="1345"/>
      <c r="FS204" s="1345"/>
      <c r="FT204" s="1345"/>
      <c r="FU204" s="1345"/>
      <c r="FV204" s="1345"/>
      <c r="FW204" s="1345"/>
      <c r="FX204" s="1345"/>
      <c r="FY204" s="1345"/>
      <c r="FZ204" s="1345"/>
      <c r="GA204" s="1345"/>
      <c r="GB204" s="1345"/>
      <c r="GC204" s="1321"/>
      <c r="GD204" s="1321"/>
      <c r="GE204" s="1321"/>
      <c r="GF204" s="1321"/>
      <c r="GG204" s="1321" t="s">
        <v>1349</v>
      </c>
      <c r="GH204" s="1321" t="s">
        <v>1349</v>
      </c>
      <c r="GI204" s="1321" t="s">
        <v>1349</v>
      </c>
      <c r="GJ204" s="1321" t="s">
        <v>1349</v>
      </c>
      <c r="GK204" s="1321" t="s">
        <v>1349</v>
      </c>
      <c r="GL204" s="1321" t="s">
        <v>1349</v>
      </c>
      <c r="GM204" s="1321" t="s">
        <v>1349</v>
      </c>
      <c r="GN204" s="1321" t="s">
        <v>1349</v>
      </c>
      <c r="GO204" s="1321" t="s">
        <v>1349</v>
      </c>
      <c r="GP204" s="1321" t="s">
        <v>1349</v>
      </c>
      <c r="GQ204" s="1321" t="s">
        <v>1349</v>
      </c>
      <c r="GR204" s="1321" t="s">
        <v>1349</v>
      </c>
      <c r="GS204" s="1321" t="s">
        <v>1349</v>
      </c>
      <c r="GT204" s="1321" t="s">
        <v>1349</v>
      </c>
      <c r="GU204" s="1321" t="s">
        <v>1349</v>
      </c>
      <c r="GV204" s="1321" t="s">
        <v>1349</v>
      </c>
      <c r="GW204" s="1321"/>
      <c r="GX204" s="1321"/>
      <c r="GY204" s="1321"/>
      <c r="GZ204" s="1321"/>
      <c r="HA204" s="1321"/>
      <c r="HB204" s="1321"/>
      <c r="HC204" s="1321"/>
      <c r="HD204" s="1321"/>
      <c r="HE204" s="1321"/>
      <c r="HF204" s="1321"/>
      <c r="HG204" s="1321"/>
      <c r="HH204" s="1321"/>
      <c r="HI204" s="1321"/>
      <c r="HJ204" s="1321"/>
      <c r="HK204" s="1321"/>
      <c r="HL204" s="1321"/>
      <c r="HM204" s="1321"/>
      <c r="HN204" s="1321"/>
      <c r="HO204" s="1321"/>
      <c r="HP204" s="1321"/>
      <c r="HQ204" s="1321"/>
      <c r="HR204" s="1321"/>
      <c r="HS204" s="1321"/>
      <c r="HT204" s="1321"/>
      <c r="HU204" s="1321"/>
      <c r="HV204" s="1321"/>
      <c r="HW204" s="1321"/>
      <c r="HX204" s="1321"/>
      <c r="HY204" s="1321"/>
      <c r="HZ204" s="1321"/>
      <c r="IA204" s="1321"/>
      <c r="IB204" s="1321"/>
      <c r="IC204" s="1321"/>
      <c r="ID204" s="1321"/>
      <c r="IE204" s="1321"/>
      <c r="IF204" s="1321"/>
      <c r="IG204" s="1321"/>
      <c r="IH204" s="1321"/>
      <c r="II204" s="1321"/>
      <c r="IJ204" s="1321"/>
      <c r="IK204" s="1321"/>
      <c r="IL204" s="1321"/>
      <c r="IM204" s="1321"/>
      <c r="IN204" s="1368"/>
    </row>
    <row r="205" spans="1:248" ht="12.75" customHeight="1" x14ac:dyDescent="0.2">
      <c r="A205" s="1319"/>
      <c r="B205" s="1320"/>
      <c r="C205" s="1321"/>
      <c r="D205" s="1287" t="s">
        <v>1823</v>
      </c>
      <c r="E205" s="1158">
        <v>0.7</v>
      </c>
      <c r="F205" s="1321"/>
      <c r="G205" s="1321"/>
      <c r="H205" s="1321"/>
      <c r="I205" s="1321"/>
      <c r="J205" s="1321"/>
      <c r="K205" s="1321"/>
      <c r="L205" s="1321"/>
      <c r="M205" s="1321"/>
      <c r="N205" s="1321"/>
      <c r="O205" s="1321"/>
      <c r="P205" s="1321"/>
      <c r="Q205" s="1321"/>
      <c r="R205" s="1321"/>
      <c r="S205" s="1321"/>
      <c r="T205" s="1321"/>
      <c r="U205" s="1321"/>
      <c r="V205" s="1321"/>
      <c r="W205" s="1321"/>
      <c r="X205" s="1321"/>
      <c r="Y205" s="1321"/>
      <c r="Z205" s="1321"/>
      <c r="AA205" s="1321"/>
      <c r="AB205" s="1321"/>
      <c r="AC205" s="1321"/>
      <c r="AD205" s="1321"/>
      <c r="AE205" s="1321"/>
      <c r="AF205" s="1321"/>
      <c r="AG205" s="1321"/>
      <c r="AH205" s="1321"/>
      <c r="AI205" s="1321"/>
      <c r="AJ205" s="1321"/>
      <c r="AK205" s="1321"/>
      <c r="AL205" s="1321"/>
      <c r="AM205" s="1321"/>
      <c r="AN205" s="1321"/>
      <c r="AO205" s="1321"/>
      <c r="AP205" s="1321"/>
      <c r="AQ205" s="1321"/>
      <c r="AR205" s="1321"/>
      <c r="AS205" s="1321"/>
      <c r="AT205" s="1321"/>
      <c r="AU205" s="1321"/>
      <c r="AV205" s="1321"/>
      <c r="AW205" s="1321"/>
      <c r="AX205" s="1321"/>
      <c r="AY205" s="1321"/>
      <c r="AZ205" s="1321"/>
      <c r="BA205" s="1321"/>
      <c r="BB205" s="1075" t="s">
        <v>733</v>
      </c>
      <c r="BC205" s="1269">
        <f t="array" ref="BC205">IFERROR(IF(OR(AND(INDEX(Règles_bovins[Specificite],MATCH(ChoixRationBovins&amp;$BB205,Règles_bovins[Ration]&amp;Règles_bovins[Aliment],0))="s1",IF($BB205=Spécificité1Bovins,1)),
AND(INDEX(Règles_bovins[Specificite],MATCH(ChoixRationBovins&amp;$BB205,Règles_bovins[Ration]&amp;Règles_bovins[Aliment],0))="s2",IF($BB205=Spécificité2Bovins,1)),
INDEX(Règles_bovins[Specificite],MATCH(ChoixRationBovins&amp;$BB205,Règles_bovins[Ration]&amp;Règles_bovins[Aliment],0))="c"),
INDEX(Règles_bovins[Valeur 36 et plus],MATCH(ChoixRationBovins&amp;$BB205,Règles_bovins[Ration]&amp;Règles_bovins[Aliment],0)),0),0)*IF(ChoixBovinsPréHiver=OUI,TotalTaureauxRacesLaitières,TotalTaureaux*SUM(NbreJoursNourrirBovins))</f>
        <v>0</v>
      </c>
      <c r="BD205" s="1269">
        <f t="array" ref="BD205">IFERROR(IF(OR(AND(INDEX(Règles_bovins[Specificite],MATCH(ChoixRationBovins&amp;$BB205,Règles_bovins[Ration]&amp;Règles_bovins[Aliment],0))="s1",IF($BB205=Spécificité1Bovins,1)),
AND(INDEX(Règles_bovins[Specificite],MATCH(ChoixRationBovins&amp;$BB205,Règles_bovins[Ration]&amp;Règles_bovins[Aliment],0))="s2",IF($BB205=Spécificité2Bovins,1)),
INDEX(Règles_bovins[Specificite],MATCH(ChoixRationBovins&amp;$BB205,Règles_bovins[Ration]&amp;Règles_bovins[Aliment],0))="c"),
INDEX(Règles_bovins[Valeur 24-36],MATCH(ChoixRationBovins&amp;$BB205,Règles_bovins[Ration]&amp;Règles_bovins[Aliment],0)),0),0)*IF(ChoixBovinsPréHiver=OUI,TotalTaurillon_24_36_RacesLaitières,TotalBovinsMâles_24_36mois*SUM(NbreJoursNourrirBovins))</f>
        <v>0</v>
      </c>
      <c r="BE205" s="1269">
        <f t="array" ref="BE205">IFERROR(IF(OR(AND(INDEX(Règles_bovins[Specificite],MATCH(ChoixRationBovins&amp;$BB205,Règles_bovins[Ration]&amp;Règles_bovins[Aliment],0))="s1",IF($BB205=Spécificité1Bovins,1)),
AND(INDEX(Règles_bovins[Specificite],MATCH(ChoixRationBovins&amp;$BB205,Règles_bovins[Ration]&amp;Règles_bovins[Aliment],0))="s2",IF($BB205=Spécificité2Bovins,1)),
INDEX(Règles_bovins[Specificite],MATCH(ChoixRationBovins&amp;$BB205,Règles_bovins[Ration]&amp;Règles_bovins[Aliment],0))="c"),
INDEX(Règles_bovins[Valeur 18-24],MATCH(ChoixRationBovins&amp;$BB205,Règles_bovins[Ration]&amp;Règles_bovins[Aliment],0)),0),0)*IF(ChoixBovinsPréHiver=OUI,TotalTaurillon_18_24_RacesLaitières,TotalBovinsMâles_18_24mois*SUM(NbreJoursNourrirBovins))</f>
        <v>0</v>
      </c>
      <c r="BF205" s="1269">
        <f t="array" ref="BF205">IFERROR(IF(OR(AND(INDEX(Règles_bovins[Specificite],MATCH(ChoixRationBovins&amp;$BB205,Règles_bovins[Ration]&amp;Règles_bovins[Aliment],0))="s1",IF($BB205=Spécificité1Bovins,1)),
AND(INDEX(Règles_bovins[Specificite],MATCH(ChoixRationBovins&amp;$BB205,Règles_bovins[Ration]&amp;Règles_bovins[Aliment],0))="s2",IF($BB205=Spécificité2Bovins,1)),
INDEX(Règles_bovins[Specificite],MATCH(ChoixRationBovins&amp;$BB205,Règles_bovins[Ration]&amp;Règles_bovins[Aliment],0))="c"),
INDEX(Règles_bovins[Valeur 12-18],MATCH(ChoixRationBovins&amp;$BB205,Règles_bovins[Ration]&amp;Règles_bovins[Aliment],0)),0),0)*IF(ChoixBovinsPréHiver=OUI,animaux!D28,TotalBovinsMâles_12_18mois*SUM(NbreJoursNourrirBovins))</f>
        <v>0</v>
      </c>
      <c r="BG205" s="1269">
        <f t="array" ref="BG205">IFERROR(IF(OR(AND(INDEX(Règles_bovins[Specificite],MATCH(ChoixRationBovins&amp;$BB205,Règles_bovins[Ration]&amp;Règles_bovins[Aliment],0))="s1",IF($BB205=Spécificité1Bovins,1)),
AND(INDEX(Règles_bovins[Specificite],MATCH(ChoixRationBovins&amp;$BB205,Règles_bovins[Ration]&amp;Règles_bovins[Aliment],0))="s2",IF($BB205=Spécificité2Bovins,1)),
INDEX(Règles_bovins[Specificite],MATCH(ChoixRationBovins&amp;$BB205,Règles_bovins[Ration]&amp;Règles_bovins[Aliment],0))="c"),
INDEX(Règles_bovins[Valeur 6-12],MATCH(ChoixRationBovins&amp;$BB205,Règles_bovins[Ration]&amp;Règles_bovins[Aliment],0)),0),0)*IF(ChoixBovinsPréHiver=OUI,TotalVeauMâle_6_12_RacesLaitières,TotalBovinsMâles_6_12mois*SUM(NbreJoursNourrirBovins))</f>
        <v>0</v>
      </c>
      <c r="BH205" s="1269">
        <f t="array" ref="BH205">IFERROR(IF(OR(AND(INDEX(Règles_bovins[Specificite],MATCH(ChoixRationBovins&amp;$BB205,Règles_bovins[Ration]&amp;Règles_bovins[Aliment],0))="s1",IF($BB205=Spécificité1Bovins,1)),
AND(INDEX(Règles_bovins[Specificite],MATCH(ChoixRationBovins&amp;$BB205,Règles_bovins[Ration]&amp;Règles_bovins[Aliment],0))="s2",IF($BB205=Spécificité2Bovins,1)),
INDEX(Règles_bovins[Specificite],MATCH(ChoixRationBovins&amp;$BB205,Règles_bovins[Ration]&amp;Règles_bovins[Aliment],0))="c"),
INDEX(Règles_bovins[Valeur 3-6],MATCH(ChoixRationBovins&amp;$BB205,Règles_bovins[Ration]&amp;Règles_bovins[Aliment],0)),0),0)*IF(ChoixBovinsPréHiver=OUI,TotalVeauMâle_3_6_RacesLaitières,TotalBovinsMâles_3_6mois*SUM(NbreJoursNourrirBovins))</f>
        <v>0</v>
      </c>
      <c r="BI205" s="1269">
        <f t="array" ref="BI205">IFERROR(IF(OR(AND(INDEX(Règles_bovins[Specificite],MATCH(ChoixRationBovins&amp;$BB205,Règles_bovins[Ration]&amp;Règles_bovins[Aliment],0))="s1",IF($BB205=Spécificité1Bovins,1)),
AND(INDEX(Règles_bovins[Specificite],MATCH(ChoixRationBovins&amp;$BB205,Règles_bovins[Ration]&amp;Règles_bovins[Aliment],0))="s2",IF($BB205=Spécificité2Bovins,1)),
INDEX(Règles_bovins[Specificite],MATCH(ChoixRationBovins&amp;$BB205,Règles_bovins[Ration]&amp;Règles_bovins[Aliment],0))="c"),
INDEX(Règles_bovins[Valeur 0-3],MATCH(ChoixRationBovins&amp;$BB205,Règles_bovins[Ration]&amp;Règles_bovins[Aliment],0)),0),0)*IF(ChoixBovinsPréHiver=OUI,TotalVeauMâle_0_3_RacesLaitières,TotalBovinsMâles_0_3mois*SUM(NbreJoursNourrirBovins))</f>
        <v>0</v>
      </c>
      <c r="BJ205" s="1270">
        <f>SUM($BC205:$BI205)</f>
        <v>0</v>
      </c>
      <c r="BK205" s="1321"/>
      <c r="BL205" s="1321"/>
      <c r="BM205" s="1346"/>
      <c r="BN205" s="1321"/>
      <c r="BO205" s="1321"/>
      <c r="BP205" s="1321"/>
      <c r="BQ205" s="1321"/>
      <c r="BR205" s="1321"/>
      <c r="BS205" s="1321"/>
      <c r="BT205" s="1321"/>
      <c r="BU205" s="1321"/>
      <c r="BV205" s="1345"/>
      <c r="BW205" s="1345"/>
      <c r="BX205" s="1075" t="str">
        <f t="shared" si="70"/>
        <v>concentré jeunes porcins</v>
      </c>
      <c r="BY205" s="1269">
        <f t="array" ref="BY205">SUM((IF(QualitéAlimentsChevreau_0_3_mois=BONNE,VLOOKUP("Concentré jeunes porcins",AlimentsRationCaprinsMâles,5,FALSE),0)+(IF(QualitéAlimentsChevrette_0_3_mois=BONNE,VLOOKUP("Concentré jeunes porcins",AlimentsRationCaprinsFemelles,5,FALSE),0)+(IF(QualitéAlimentsChevreau_3_6_mois=BONNE,VLOOKUP("Concentré jeunes porcins",AlimentsRationCaprinsMâles,4,FALSE),0)+(IF(QualitéAlimentsChevrette_3_6_mois=BONNE,VLOOKUP("Concentré jeunes porcins",AlimentsRationCaprinsFemelles,4,FALSE),0)+(IF(QualitéAlimentsJeuneBouc=BONNE,VLOOKUP("Concentré jeunes porcins",AlimentsRationCaprinsMâles,3,FALSE),0)+(IF(QualitéAlimentsJeuneChèvre=BONNE,VLOOKUP("Concentré jeunes porcins",AlimentsRationCaprinsFemelles,3,FALSE),0)+(IF(QualitéAlimentsBouc=BONNE,VLOOKUP("Concentré jeunes porcins",AlimentsRationCaprinsMâles,2,FALSE),0)+(IF(QualitéAlimentsChèvre=BONNE,VLOOKUP("Concentré jeunes porcins",AlimentsRationCaprinsFemelles,2,FALSE),0))))))))))</f>
        <v>0</v>
      </c>
      <c r="BZ205" s="1269">
        <f t="array" ref="BZ205">SUM((IF(QualitéAlimentsChevreau_0_3_mois=MOYENNE,VLOOKUP("Concentré jeunes porcins",AlimentsRationCaprinsMâles,5,FALSE),0)+(IF(QualitéAlimentsChevrette_0_3_mois=MOYENNE,VLOOKUP("Concentré jeunes porcins",AlimentsRationCaprinsFemelles,5,FALSE),0)+(IF(QualitéAlimentsChevreau_3_6_mois=MOYENNE,VLOOKUP("Concentré jeunes porcins",AlimentsRationCaprinsMâles,4,FALSE),0)+(IF(QualitéAlimentsChevrette_3_6_mois=MOYENNE,VLOOKUP("Concentré jeunes porcins",AlimentsRationCaprinsFemelles,4,FALSE),0)+(IF(QualitéAlimentsJeuneBouc=MOYENNE,VLOOKUP("Concentré jeunes porcins",AlimentsRationCaprinsMâles,3,FALSE),0)+(IF(QualitéAlimentsJeuneChèvre=MOYENNE,VLOOKUP("Concentré jeunes porcins",AlimentsRationCaprinsFemelles,3,FALSE),0)+(IF(QualitéAlimentsBouc=MOYENNE,VLOOKUP("Concentré jeunes porcins",AlimentsRationCaprinsMâles,2,FALSE),0)+(IF(QualitéAlimentsChèvre=MOYENNE,VLOOKUP("Concentré jeunes porcins",AlimentsRationCaprinsFemelles,2,FALSE),0))))))))))</f>
        <v>0</v>
      </c>
      <c r="CA205" s="1269">
        <f t="array" ref="CA205">SUM((IF(QualitéAlimentsChevreau_0_3_mois=MAUVAISE,VLOOKUP("Concentré jeunes porcins",AlimentsRationCaprinsMâles,5,FALSE),0)+(IF(QualitéAlimentsChevrette_0_3_mois=MAUVAISE,VLOOKUP("Concentré jeunes porcins",AlimentsRationCaprinsFemelles,5,FALSE),0)+(IF(QualitéAlimentsChevreau_3_6_mois=MAUVAISE,VLOOKUP("Concentré jeunes porcins",AlimentsRationCaprinsMâles,4,FALSE),0)+(IF(QualitéAlimentsChevrette_3_6_mois=MAUVAISE,VLOOKUP("Concentré jeunes porcins",AlimentsRationCaprinsFemelles,4,FALSE),0)+(IF(QualitéAlimentsJeuneBouc=MAUVAISE,VLOOKUP("Concentré jeunes porcins",AlimentsRationCaprinsMâles,3,FALSE),0)+(IF(QualitéAlimentsJeuneChèvre=MAUVAISE,VLOOKUP("Concentré jeunes porcins",AlimentsRationCaprinsFemelles,3,FALSE),0)+(IF(QualitéAlimentsBouc=MAUVAISE,VLOOKUP("Concentré jeunes porcins",AlimentsRationCaprinsMâles,2,FALSE),0)+(IF(QualitéAlimentsChèvre=MAUVAISE,VLOOKUP("Concentré jeunes porcins",AlimentsRationCaprinsFemelles,2,FALSE),0))))))))))</f>
        <v>0</v>
      </c>
      <c r="CB205" s="1321"/>
      <c r="CC205" s="1321"/>
      <c r="CD205" s="1345"/>
      <c r="CE205" s="1345"/>
      <c r="CF205" s="1345"/>
      <c r="CG205" s="1345"/>
      <c r="CH205" s="1345"/>
      <c r="CI205" s="1321"/>
      <c r="CJ205" s="1321"/>
      <c r="CK205" s="1321"/>
      <c r="CL205" s="1321"/>
      <c r="CM205" s="1321"/>
      <c r="CN205" s="1321"/>
      <c r="CO205" s="1321"/>
      <c r="CP205" s="1321"/>
      <c r="CQ205" s="1321"/>
      <c r="CR205" s="1321"/>
      <c r="CS205" s="1321"/>
      <c r="CT205" s="1321"/>
      <c r="CU205" s="1321"/>
      <c r="CV205" s="1321"/>
      <c r="CW205" s="1321"/>
      <c r="CX205" s="1321"/>
      <c r="CY205" s="1321"/>
      <c r="CZ205" s="1321"/>
      <c r="DA205" s="1321"/>
      <c r="DB205" s="1321"/>
      <c r="DC205" s="1321"/>
      <c r="DD205" s="1321"/>
      <c r="DE205" s="1321"/>
      <c r="DF205" s="1321"/>
      <c r="DG205" s="1321"/>
      <c r="DH205" s="1321"/>
      <c r="DI205" s="1321"/>
      <c r="DJ205" s="1321"/>
      <c r="DK205" s="1321"/>
      <c r="DL205" s="1321"/>
      <c r="DM205" s="1321"/>
      <c r="DN205" s="1075" t="str">
        <f t="shared" si="68"/>
        <v>Féverole</v>
      </c>
      <c r="DO205" s="1269">
        <f t="array" ref="DO205">IF(ChoixRationComplèteOvins=OUI,0,IFERROR(IF(OR(AND(INDEX(Règles_ovins[Specificite],MATCH(ChoixRationOvins&amp;$DN205,Règles_ovins[Ration]&amp;Règles_ovins[Aliment],0))="s1",IF($DN205=Spécificité1Ovins,1)),
AND(INDEX(Règles_ovins[Specificite],MATCH(ChoixRationOvins&amp;$DN205,Règles_ovins[Ration]&amp;Règles_ovins[Aliment],0))="s2",IF($DN205=Spécificité2Ovins,1)),
INDEX(Règles_ovins[Specificite],MATCH(ChoixRationOvins&amp;$DN205,Règles_ovins[Ration]&amp;Règles_ovins[Aliment],0))="c"),
INDEX(Règles_ovins[Valeur 12 et plus],MATCH(ChoixRationOvins&amp;$DN205,Règles_ovins[Ration]&amp;Règles_ovins[Aliment],0)),0),0)*IF(ChoixOvinsPréHiver=OUI,SUM(TotalOvinsAdultesRacesLaitières)*NbreJoursNourrirOvins,TotalBrebis*SUM(NbreJoursNourrirOvins)))</f>
        <v>0</v>
      </c>
      <c r="DP205" s="1269">
        <f t="array" ref="DP205">IF(ChoixRationComplèteOvins=OUI,0,IFERROR(IF(OR(AND(INDEX(Règles_ovins[Specificite],MATCH(ChoixRationOvins&amp;$DN205,Règles_ovins[Ration]&amp;Règles_ovins[Aliment],0))="s1",IF($DN205=Spécificité1Ovins,1)),
AND(INDEX(Règles_ovins[Specificite],MATCH(ChoixRationOvins&amp;$DN205,Règles_ovins[Ration]&amp;Règles_ovins[Aliment],0))="s2",IF($DN205=Spécificité2Ovins,1)),
INDEX(Règles_ovins[Specificite],MATCH(ChoixRationOvins&amp;$DN205,Règles_ovins[Ration]&amp;Règles_ovins[Aliment],0))="c"),
INDEX(Règles_ovins[Valeur 6-12],MATCH(ChoixRationOvins&amp;$DN205,Règles_ovins[Ration]&amp;Règles_ovins[Aliment],0)),0),0)*IF(ChoixOvinsPréHiver=OUI,SUM(TotalJeunesOvinsRacesLaitières)*NbreJoursNourrirOvins,TotalJeune_brebis_6_12_mois*SUM(NbreJoursNourrirOvins)))</f>
        <v>0</v>
      </c>
      <c r="DQ205" s="1269">
        <f t="array" ref="DQ205">IF(ChoixRationComplèteOvins=OUI,0,IFERROR(IF(OR(AND(INDEX(Règles_ovins[Specificite],MATCH(ChoixRationOvins&amp;$DN205,Règles_ovins[Ration]&amp;Règles_ovins[Aliment],0))="s1",IF($DN205=Spécificité1Ovins,1)),
AND(INDEX(Règles_ovins[Specificite],MATCH(ChoixRationOvins&amp;$DN205,Règles_ovins[Ration]&amp;Règles_ovins[Aliment],0))="s2",IF($DN205=Spécificité2Ovins,1)),
INDEX(Règles_ovins[Specificite],MATCH(ChoixRationOvins&amp;$DN205,Règles_ovins[Ration]&amp;Règles_ovins[Aliment],0))="c"),
INDEX(Règles_ovins[Valeur 3-6],MATCH(ChoixRationOvins&amp;$DN205,Règles_ovins[Ration]&amp;Règles_ovins[Aliment],0)),0),0)*IF(ChoixOvinsPréHiver=OUI,SUM(TotalOvins_3_6moisRacesLaitières)*NbreJoursNourrirOvins,TotalAgnelle_3_6_mois*SUM(NbreJoursNourrirOvins)))</f>
        <v>0</v>
      </c>
      <c r="DR205" s="1269">
        <f t="array" ref="DR205">IF(ChoixRationComplèteOvins=OUI,0,IFERROR(IF(OR(AND(INDEX(Règles_ovins[Specificite],MATCH(ChoixRationOvins&amp;$DN205,Règles_ovins[Ration]&amp;Règles_ovins[Aliment],0))="s1",IF($DN205=Spécificité1Ovins,1)),
AND(INDEX(Règles_ovins[Specificite],MATCH(ChoixRationOvins&amp;$DN205,Règles_ovins[Ration]&amp;Règles_ovins[Aliment],0))="s2",IF($DN205=Spécificité2Ovins,1)),
INDEX(Règles_ovins[Specificite],MATCH(ChoixRationOvins&amp;$DN205,Règles_ovins[Ration]&amp;Règles_ovins[Aliment],0))="c"),
INDEX(Règles_ovins[Valeur 0-3],MATCH(ChoixRationOvins&amp;$DN205,Règles_ovins[Ration]&amp;Règles_ovins[Aliment],0)),0),0)*IF(ChoixOvinsPréHiver=OUI,SUM(TotalOvins_3_6moisRacesLaitières)*NbreJoursNourrirOvins,TotalAgnelle_0_3_mois*SUM(NbreJoursNourrirOvins)))</f>
        <v>0</v>
      </c>
      <c r="DS205" s="1280">
        <f t="shared" si="67"/>
        <v>0</v>
      </c>
      <c r="DT205" s="1346"/>
      <c r="DU205" s="1345"/>
      <c r="DV205" s="1321"/>
      <c r="DW205" s="1321"/>
      <c r="DX205" s="1321"/>
      <c r="DY205" s="1321"/>
      <c r="DZ205" s="1321"/>
      <c r="EA205" s="1321"/>
      <c r="EB205" s="1321"/>
      <c r="EC205" s="1321"/>
      <c r="ED205" s="1345"/>
      <c r="EE205" s="1345"/>
      <c r="EF205" s="1321"/>
      <c r="EG205" s="1321"/>
      <c r="EH205" s="1321"/>
      <c r="EI205" s="1321"/>
      <c r="EJ205" s="1321"/>
      <c r="EK205" s="1345"/>
      <c r="EL205" s="1345"/>
      <c r="EM205" s="1321"/>
      <c r="EN205" s="1321"/>
      <c r="EO205" s="1321"/>
      <c r="EP205" s="1321"/>
      <c r="EQ205" s="1321"/>
      <c r="ER205" s="1345"/>
      <c r="ES205" s="1345"/>
      <c r="ET205" s="1321"/>
      <c r="EU205" s="1082" t="str">
        <f t="shared" si="73"/>
        <v>Blé</v>
      </c>
      <c r="EV205" s="1282">
        <f t="array" ref="EV205">SUM((IF(QualitéAlimentsPoulainSelleMâle=BONNE,VLOOKUP("Blé",AlimentsRationEcurieChevauxMâlesSelle,5,FALSE),0)+(IF(QualitéAlimentsPoulainSelleFemelle=BONNE,VLOOKUP("Blé",AlimentsRationEcurieChevauxFemellesSelle,5,FALSE),0)+(IF(QualitéAlimentsJeuneEtalon_12_24_moisSelle=BONNE,VLOOKUP("Blé",AlimentsRationEcurieChevauxMâlesSelle,4,FALSE),0)+(IF(QualitéAlimentsJeuneJument_12_24_moisSelle=BONNE,VLOOKUP("Blé",AlimentsRationEcurieChevauxFemellesSelle,4,FALSE),0)+(IF(QualitéAlimentsJeuneEtalon_24_36_moisSelle=BONNE,VLOOKUP("Blé",AlimentsRationEcurieChevauxMâlesSelle,3,FALSE),0)+(IF(QualitéAlimentsJeuneJument_24_36_moisSelle=BONNE,VLOOKUP("Blé",AlimentsRationEcurieChevauxFemellesSelle,3,FALSE),0)+(IF(QualitéAlimentsEtalonSelle=BONNE,VLOOKUP("Blé",AlimentsRationEcurieChevauxMâlesSelle,2,FALSE),0)+(IF(QualitéAlimentsJumentSelle=BONNE,VLOOKUP("Blé",AlimentsRationEcurieChevauxFemellesSelle,2,FALSE),0))))))))))</f>
        <v>0</v>
      </c>
      <c r="EW205" s="1282">
        <f t="array" ref="EW205">SUM((IF(QualitéAlimentsPoulainSelleMâle=MOYENNE,VLOOKUP("Blé",AlimentsRationEcurieChevauxMâlesSelle,5,FALSE),0)+(IF(QualitéAlimentsPoulainSelleFemelle=MOYENNE,VLOOKUP("Blé",AlimentsRationEcurieChevauxFemellesSelle,5,FALSE),0)+(IF(QualitéAlimentsJeuneEtalon_12_24_moisSelle=MOYENNE,VLOOKUP("Blé",AlimentsRationEcurieChevauxMâlesSelle,4,FALSE),0)+(IF(QualitéAlimentsJeuneJument_12_24_moisSelle=MOYENNE,VLOOKUP("Blé",AlimentsRationEcurieChevauxFemellesSelle,4,FALSE),0)+(IF(QualitéAlimentsJeuneEtalon_24_36_moisSelle=MOYENNE,VLOOKUP("Blé",AlimentsRationEcurieChevauxMâlesSelle,3,FALSE),0)+(IF(QualitéAlimentsJeuneJument_24_36_moisSelle=MOYENNE,VLOOKUP("Blé",AlimentsRationEcurieChevauxFemellesSelle,3,FALSE),0)+(IF(QualitéAlimentsEtalonSelle=MOYENNE,VLOOKUP("Blé",AlimentsRationEcurieChevauxMâlesSelle,2,FALSE),0)+(IF(QualitéAlimentsJumentSelle=MOYENNE,VLOOKUP("Blé",AlimentsRationEcurieChevauxFemellesSelle,2,FALSE),0))))))))))</f>
        <v>0</v>
      </c>
      <c r="EX205" s="1282">
        <f t="array" ref="EX205">SUM((IF(QualitéAlimentsPoulainSelleMâle=MAUVAISE,VLOOKUP("Blé",AlimentsRationEcurieChevauxMâlesSelle,5,FALSE),0)+(IF(QualitéAlimentsPoulainSelleFemelle=MAUVAISE,VLOOKUP("Blé",AlimentsRationEcurieChevauxFemellesSelle,5,FALSE),0)+(IF(QualitéAlimentsJeuneEtalon_12_24_moisSelle=MAUVAISE,VLOOKUP("Blé",AlimentsRationEcurieChevauxMâlesSelle,4,FALSE),0)+(IF(QualitéAlimentsJeuneJument_12_24_moisSelle=MAUVAISE,VLOOKUP("Blé",AlimentsRationEcurieChevauxFemellesSelle,4,FALSE),0)+(IF(QualitéAlimentsJeuneEtalon_24_36_moisSelle=MAUVAISE,VLOOKUP("Blé",AlimentsRationEcurieChevauxMâlesSelle,3,FALSE),0)+(IF(QualitéAlimentsJeuneJument_24_36_moisSelle=MAUVAISE,VLOOKUP("Blé",AlimentsRationEcurieChevauxFemellesSelle,3,FALSE),0)+(IF(QualitéAlimentsEtalonSelle=MAUVAISE,VLOOKUP("Blé",AlimentsRationEcurieChevauxMâlesSelle,2,FALSE),0)+(IF(QualitéAlimentsJumentSelle=MAUVAISE,VLOOKUP("Blé",AlimentsRationEcurieChevauxFemellesSelle,2,FALSE),0))))))))))</f>
        <v>0</v>
      </c>
      <c r="EY205" s="1321"/>
      <c r="EZ205" s="1345"/>
      <c r="FA205" s="1345"/>
      <c r="FB205" s="1345"/>
      <c r="FC205" s="1321"/>
      <c r="FD205" s="1083" t="str">
        <f t="shared" si="72"/>
        <v>concentré jeunes bovins</v>
      </c>
      <c r="FE205" s="1283">
        <f t="array" ref="FE205">SUM((IF(QualitéAlimentsPoulainMâleTrait=BONNE,VLOOKUP("Concentré jeunes bovins",AlimentsRationEcurieChevauxMâlesTrait,5,FALSE),0)+(IF(QualitéAlimentsPoulainFemelleTrait=BONNE,VLOOKUP("Concentré jeunes bovins",AlimentsRationEcurieChevauxFemellesTrait,5,FALSE),0)+(IF(QualitéAlimentsJeuneEtalon_12_24_moisTrait=BONNE,VLOOKUP("Concentré jeunes bovins",AlimentsRationEcurieChevauxMâlesTrait,4,FALSE),0)+(IF(QualitéAlimentsJeuneJument_12_24_moisTrait=BONNE,VLOOKUP("Concentré jeunes bovins",AlimentsRationEcurieChevauxFemellesTrait,4,FALSE),0)+(IF(QualitéAlimentsJeuneEtalon_24_36_moisTrait=BONNE,VLOOKUP("Concentré jeunes bovins",AlimentsRationEcurieChevauxMâlesTrait,3,FALSE),0)+(IF(QualitéAlimentsJeuneJument_24_36_moisTrait=BONNE,VLOOKUP("Concentré jeunes bovins",AlimentsRationEcurieChevauxFemellesTrait,3,FALSE),0)+(IF(QualitéAlimentsEtalonTrait=BONNE,VLOOKUP("Concentré jeunes bovins",AlimentsRationEcurieChevauxMâlesTrait,2,FALSE),0)+(IF(QualitéAlimentsJumentTrait=BONNE,VLOOKUP("Concentré jeunes bovins",AlimentsRationEcurieChevauxFemellesTrait,2,FALSE),0))))))))))</f>
        <v>0</v>
      </c>
      <c r="FF205" s="1283">
        <f t="array" ref="FF205">SUM((IF(QualitéAlimentsPoulainMâleTrait=MOYENNE,VLOOKUP("Concentré jeunes bovins",AlimentsRationEcurieChevauxMâlesTrait,5,FALSE),0)+(IF(QualitéAlimentsPoulainFemelleTrait=MOYENNE,VLOOKUP("Concentré jeunes bovins",AlimentsRationEcurieChevauxFemellesTrait,5,FALSE),0)+(IF(QualitéAlimentsJeuneEtalon_12_24_moisTrait=MOYENNE,VLOOKUP("Concentré jeunes bovins",AlimentsRationEcurieChevauxMâlesTrait,4,FALSE),0)+(IF(QualitéAlimentsJeuneJument_12_24_moisTrait=MOYENNE,VLOOKUP("Concentré jeunes bovins",AlimentsRationEcurieChevauxFemellesTrait,4,FALSE),0)+(IF(QualitéAlimentsJeuneEtalon_24_36_moisTrait=MOYENNE,VLOOKUP("Concentré jeunes bovins",AlimentsRationEcurieChevauxMâlesTrait,3,FALSE),0)+(IF(QualitéAlimentsJeuneJument_24_36_moisTrait=MOYENNE,VLOOKUP("Concentré jeunes bovins",AlimentsRationEcurieChevauxFemellesTrait,3,FALSE),0)+(IF(QualitéAlimentsEtalonTrait=MOYENNE,VLOOKUP("Concentré jeunes bovins",AlimentsRationEcurieChevauxMâlesTrait,2,FALSE),0)+(IF(QualitéAlimentsJumentTrait=MOYENNE,VLOOKUP("Concentré jeunes bovins",AlimentsRationEcurieChevauxFemellesTrait,2,FALSE),0))))))))))</f>
        <v>0</v>
      </c>
      <c r="FG205" s="1283">
        <f t="array" ref="FG205">SUM((IF(QualitéAlimentsPoulainMâleTrait=MAUVAISE,VLOOKUP("Concentré jeunes bovins",AlimentsRationEcurieChevauxMâlesTrait,5,FALSE),0)+(IF(QualitéAlimentsPoulainFemelleTrait=MAUVAISE,VLOOKUP("Concentré jeunes bovins",AlimentsRationEcurieChevauxFemellesTrait,5,FALSE),0)+(IF(QualitéAlimentsJeuneEtalon_12_24_moisTrait=MAUVAISE,VLOOKUP("Concentré jeunes bovins",AlimentsRationEcurieChevauxMâlesTrait,4,FALSE),0)+(IF(QualitéAlimentsJeuneJument_12_24_moisTrait=MAUVAISE,VLOOKUP("Concentré jeunes bovins",AlimentsRationEcurieChevauxFemellesTrait,4,FALSE),0)+(IF(QualitéAlimentsJeuneEtalon_24_36_moisTrait=MAUVAISE,VLOOKUP("Concentré jeunes bovins",AlimentsRationEcurieChevauxMâlesTrait,3,FALSE),0)+(IF(QualitéAlimentsJeuneJument_24_36_moisTrait=MAUVAISE,VLOOKUP("Concentré jeunes bovins",AlimentsRationEcurieChevauxFemellesTrait,3,FALSE),0)+(IF(QualitéAlimentsEtalonTrait=MAUVAISE,VLOOKUP("Concentré jeunes bovins",AlimentsRationEcurieChevauxMâlesTrait,2,FALSE),0)+(IF(QualitéAlimentsJumentTrait=MAUVAISE,VLOOKUP("Concentré jeunes bovins",AlimentsRationEcurieChevauxFemellesTrait,2,FALSE),0))))))))))</f>
        <v>0</v>
      </c>
      <c r="FH205" s="1321"/>
      <c r="FI205" s="1321"/>
      <c r="FJ205" s="1345"/>
      <c r="FK205" s="1345"/>
      <c r="FL205" s="1345"/>
      <c r="FM205" s="1321"/>
      <c r="FN205" s="1082" t="str">
        <f t="shared" si="71"/>
        <v>concentré jeunes lapins</v>
      </c>
      <c r="FO205" s="1282">
        <f t="array" ref="FO205">SUM((IF(QualitéAlimentsPoulainMâlePoney=BONNE,VLOOKUP("Concentré jeunes lapins",AlimentsRationEcuriePoneysMâles,5,FALSE),0)+(IF(QualitéAlimentsPoulainFemellePoney=BONNE,VLOOKUP("Concentré jeunes lapins",AlimentsRationEcuriePoneysFemelles,5,FALSE),0)+(IF(QualitéAlimentsJeuneEtalon_12_24_moisPoney=BONNE,VLOOKUP("Concentré jeunes lapins",AlimentsRationEcuriePoneysMâles,4,FALSE),0)+(IF(QualitéAlimentsJeuneJument_12_24_moisPoney=BONNE,VLOOKUP("Concentré jeunes lapins",AlimentsRationEcuriePoneysFemelles,4,FALSE),0)+(IF(QualitéAlimentsJeuneEtalon_24_36_moisPoney=BONNE,VLOOKUP("Concentré jeunes lapins",AlimentsRationEcuriePoneysMâles,3,FALSE),0)+(IF(QualitéAlimentsJeuneJument_24_36_moisPoney=BONNE,VLOOKUP("Concentré jeunes lapins",AlimentsRationEcuriePoneysFemelles,3,FALSE),0)+(IF(QualitéAlimentsEtalonPoney=BONNE,VLOOKUP("Concentré jeunes lapins",AlimentsRationEcuriePoneysMâles,2,FALSE),0)+(IF(QualitéAlimentsJumentPoney=BONNE,VLOOKUP("Concentré jeunes lapins",AlimentsRationEcuriePoneysFemelles,2,FALSE),0))))))))))</f>
        <v>0</v>
      </c>
      <c r="FP205" s="1282">
        <f t="array" ref="FP205">SUM((IF(QualitéAlimentsPoulainMâlePoney=MOYENNE,VLOOKUP("Concentré jeunes lapins",AlimentsRationEcuriePoneysMâles,5,FALSE),0)+(IF(QualitéAlimentsPoulainFemellePoney=MOYENNE,VLOOKUP("Concentré jeunes lapins",AlimentsRationEcuriePoneysFemelles,5,FALSE),0)+(IF(QualitéAlimentsJeuneEtalon_12_24_moisPoney=MOYENNE,VLOOKUP("Concentré jeunes lapins",AlimentsRationEcuriePoneysMâles,4,FALSE),0)+(IF(QualitéAlimentsJeuneJument_12_24_moisPoney=MOYENNE,VLOOKUP("Concentré jeunes lapins",AlimentsRationEcuriePoneysFemelles,4,FALSE),0)+(IF(QualitéAlimentsJeuneEtalon_24_36_moisPoney=MOYENNE,VLOOKUP("Concentré jeunes lapins",AlimentsRationEcuriePoneysMâles,3,FALSE),0)+(IF(QualitéAlimentsJeuneJument_24_36_moisPoney=MOYENNE,VLOOKUP("Concentré jeunes lapins",AlimentsRationEcuriePoneysFemelles,3,FALSE),0)+(IF(QualitéAlimentsEtalonPoney=MOYENNE,VLOOKUP("Concentré jeunes lapins",AlimentsRationEcuriePoneysMâles,2,FALSE),0)+(IF(QualitéAlimentsJumentPoney=MOYENNE,VLOOKUP("Concentré jeunes lapins",AlimentsRationEcuriePoneysFemelles,2,FALSE),0))))))))))</f>
        <v>0</v>
      </c>
      <c r="FQ205" s="1282">
        <f t="array" ref="FQ205">SUM((IF(QualitéAlimentsPoulainMâlePoney=MAUVAISE,VLOOKUP("Concentré jeunes lapins",AlimentsRationEcuriePoneysMâles,5,FALSE),0)+(IF(QualitéAlimentsPoulainFemellePoney=MAUVAISE,VLOOKUP("Concentré jeunes lapins",AlimentsRationEcuriePoneysFemelles,5,FALSE),0)+(IF(QualitéAlimentsJeuneEtalon_12_24_moisPoney=MAUVAISE,VLOOKUP("Concentré jeunes lapins",AlimentsRationEcuriePoneysMâles,4,FALSE),0)+(IF(QualitéAlimentsJeuneJument_12_24_moisPoney=MAUVAISE,VLOOKUP("Concentré jeunes lapins",AlimentsRationEcuriePoneysFemelles,4,FALSE),0)+(IF(QualitéAlimentsJeuneEtalon_24_36_moisPoney=MAUVAISE,VLOOKUP("Concentré jeunes lapins",AlimentsRationEcuriePoneysMâles,3,FALSE),0)+(IF(QualitéAlimentsJeuneJument_24_36_moisPoney=MAUVAISE,VLOOKUP("Concentré jeunes lapins",AlimentsRationEcuriePoneysFemelles,3,FALSE),0)+(IF(QualitéAlimentsEtalonPoney=MAUVAISE,VLOOKUP("Concentré jeunes lapins",AlimentsRationEcuriePoneysMâles,2,FALSE),0)+(IF(QualitéAlimentsJumentPoney=MAUVAISE,VLOOKUP("Concentré jeunes lapins",AlimentsRationEcuriePoneysFemelles,2,FALSE),0))))))))))</f>
        <v>0</v>
      </c>
      <c r="FR205" s="1345"/>
      <c r="FS205" s="1345"/>
      <c r="FT205" s="1345"/>
      <c r="FU205" s="1345"/>
      <c r="FV205" s="1345"/>
      <c r="FW205" s="1345"/>
      <c r="FX205" s="1345"/>
      <c r="FY205" s="1345"/>
      <c r="FZ205" s="1345"/>
      <c r="GA205" s="1345"/>
      <c r="GB205" s="1345"/>
      <c r="GC205" s="1321"/>
      <c r="GD205" s="1321"/>
      <c r="GE205" s="1321"/>
      <c r="GF205" s="1321"/>
      <c r="GG205" s="1321" t="s">
        <v>1349</v>
      </c>
      <c r="GH205" s="1321" t="s">
        <v>1349</v>
      </c>
      <c r="GI205" s="1321" t="s">
        <v>1349</v>
      </c>
      <c r="GJ205" s="1321" t="s">
        <v>1349</v>
      </c>
      <c r="GK205" s="1321" t="s">
        <v>1349</v>
      </c>
      <c r="GL205" s="1321" t="s">
        <v>1349</v>
      </c>
      <c r="GM205" s="1321" t="s">
        <v>1349</v>
      </c>
      <c r="GN205" s="1321" t="s">
        <v>1349</v>
      </c>
      <c r="GO205" s="1321" t="s">
        <v>1349</v>
      </c>
      <c r="GP205" s="1321" t="s">
        <v>1349</v>
      </c>
      <c r="GQ205" s="1321" t="s">
        <v>1349</v>
      </c>
      <c r="GR205" s="1321" t="s">
        <v>1349</v>
      </c>
      <c r="GS205" s="1321" t="s">
        <v>1349</v>
      </c>
      <c r="GT205" s="1321" t="s">
        <v>1349</v>
      </c>
      <c r="GU205" s="1321" t="s">
        <v>1349</v>
      </c>
      <c r="GV205" s="1321" t="s">
        <v>1349</v>
      </c>
      <c r="GW205" s="1321"/>
      <c r="GX205" s="1321"/>
      <c r="GY205" s="1321"/>
      <c r="GZ205" s="1321"/>
      <c r="HA205" s="1321"/>
      <c r="HB205" s="1321"/>
      <c r="HC205" s="1321"/>
      <c r="HD205" s="1321"/>
      <c r="HE205" s="1321"/>
      <c r="HF205" s="1321"/>
      <c r="HG205" s="1321"/>
      <c r="HH205" s="1321"/>
      <c r="HI205" s="1321"/>
      <c r="HJ205" s="1321"/>
      <c r="HK205" s="1321"/>
      <c r="HL205" s="1321"/>
      <c r="HM205" s="1321"/>
      <c r="HN205" s="1321"/>
      <c r="HO205" s="1321"/>
      <c r="HP205" s="1321"/>
      <c r="HQ205" s="1321"/>
      <c r="HR205" s="1321"/>
      <c r="HS205" s="1321"/>
      <c r="HT205" s="1321"/>
      <c r="HU205" s="1321"/>
      <c r="HV205" s="1321"/>
      <c r="HW205" s="1321"/>
      <c r="HX205" s="1321"/>
      <c r="HY205" s="1321"/>
      <c r="HZ205" s="1321"/>
      <c r="IA205" s="1321"/>
      <c r="IB205" s="1321"/>
      <c r="IC205" s="1321"/>
      <c r="ID205" s="1321"/>
      <c r="IE205" s="1321"/>
      <c r="IF205" s="1321"/>
      <c r="IG205" s="1321"/>
      <c r="IH205" s="1321"/>
      <c r="II205" s="1321"/>
      <c r="IJ205" s="1321"/>
      <c r="IK205" s="1321"/>
      <c r="IL205" s="1321"/>
      <c r="IM205" s="1321"/>
      <c r="IN205" s="1368"/>
    </row>
    <row r="206" spans="1:248" ht="12.75" customHeight="1" x14ac:dyDescent="0.2">
      <c r="A206" s="1322"/>
      <c r="B206" s="1320"/>
      <c r="C206" s="1321"/>
      <c r="D206" s="1288" t="s">
        <v>1824</v>
      </c>
      <c r="E206" s="1151">
        <v>0.95</v>
      </c>
      <c r="F206" s="1321"/>
      <c r="G206" s="1321"/>
      <c r="H206" s="1321"/>
      <c r="I206" s="1321"/>
      <c r="J206" s="1321"/>
      <c r="K206" s="1321"/>
      <c r="L206" s="1321"/>
      <c r="M206" s="1321"/>
      <c r="N206" s="1321"/>
      <c r="O206" s="1321"/>
      <c r="P206" s="1321"/>
      <c r="Q206" s="1321"/>
      <c r="R206" s="1321"/>
      <c r="S206" s="1321"/>
      <c r="T206" s="1321"/>
      <c r="U206" s="1321"/>
      <c r="V206" s="1321"/>
      <c r="W206" s="1321"/>
      <c r="X206" s="1321"/>
      <c r="Y206" s="1321"/>
      <c r="Z206" s="1321"/>
      <c r="AA206" s="1321"/>
      <c r="AB206" s="1321"/>
      <c r="AC206" s="1321"/>
      <c r="AD206" s="1321"/>
      <c r="AE206" s="1321"/>
      <c r="AF206" s="1321"/>
      <c r="AG206" s="1321"/>
      <c r="AH206" s="1321"/>
      <c r="AI206" s="1321"/>
      <c r="AJ206" s="1321"/>
      <c r="AK206" s="1321"/>
      <c r="AL206" s="1321"/>
      <c r="AM206" s="1321"/>
      <c r="AN206" s="1321"/>
      <c r="AO206" s="1321"/>
      <c r="AP206" s="1321"/>
      <c r="AQ206" s="1321"/>
      <c r="AR206" s="1321"/>
      <c r="AS206" s="1321"/>
      <c r="AT206" s="1321"/>
      <c r="AU206" s="1321"/>
      <c r="AV206" s="1321"/>
      <c r="AW206" s="1321"/>
      <c r="AX206" s="1321"/>
      <c r="AY206" s="1321"/>
      <c r="AZ206" s="1321"/>
      <c r="BA206" s="1321"/>
      <c r="BB206" s="1076" t="s">
        <v>331</v>
      </c>
      <c r="BC206" s="1267">
        <f t="array" ref="BC206">IF(Ration_complète_bovins[somme]&gt;0,0,IFERROR(IF(OR(AND(INDEX(Règles_bovins[Specificite],MATCH(ChoixRationBovins&amp;$BB206,Règles_bovins[Ration]&amp;Règles_bovins[Aliment],0))="s1",IF($BB206=Spécificité1Bovins,1)),
AND(INDEX(Règles_bovins[Specificite],MATCH(ChoixRationBovins&amp;$BB206,Règles_bovins[Ration]&amp;Règles_bovins[Aliment],0))="s2",IF($BB206=Spécificité2Bovins,1)),
INDEX(Règles_bovins[Specificite],MATCH(ChoixRationBovins&amp;$BB206,Règles_bovins[Ration]&amp;Règles_bovins[Aliment],0))="c"),
INDEX(Règles_bovins[Valeur 36 et plus],MATCH(ChoixRationBovins&amp;$BB206,Règles_bovins[Ration]&amp;Règles_bovins[Aliment],0)),0),0)*IF(ChoixBovinsPréHiver=OUI,TotalTaureauxRacesLaitières,TotalTaureaux*SUM(NbreJoursNourrirBovins)))</f>
        <v>0</v>
      </c>
      <c r="BD206" s="1267">
        <f t="array" ref="BD206">IF(Ration_complète_bovins[somme]&gt;0,0,IFERROR(IF(OR(AND(INDEX(Règles_bovins[Specificite],MATCH(ChoixRationBovins&amp;$BB206,Règles_bovins[Ration]&amp;Règles_bovins[Aliment],0))="s1",IF($BB206=Spécificité1Bovins,1)),
AND(INDEX(Règles_bovins[Specificite],MATCH(ChoixRationBovins&amp;$BB206,Règles_bovins[Ration]&amp;Règles_bovins[Aliment],0))="s2",IF($BB206=Spécificité2Bovins,1)),
INDEX(Règles_bovins[Specificite],MATCH(ChoixRationBovins&amp;$BB206,Règles_bovins[Ration]&amp;Règles_bovins[Aliment],0))="c"),
INDEX(Règles_bovins[Valeur 24-36],MATCH(ChoixRationBovins&amp;$BB206,Règles_bovins[Ration]&amp;Règles_bovins[Aliment],0)),0),0)*IF(ChoixBovinsPréHiver=OUI,TotalTaurillon_24_36_RacesLaitières,TotalBovinsMâles_24_36mois*SUM(NbreJoursNourrirBovins)))</f>
        <v>0</v>
      </c>
      <c r="BE206" s="1267">
        <f t="array" ref="BE206">IF(Ration_complète_bovins[somme]&gt;0,0,IFERROR(IF(OR(AND(INDEX(Règles_bovins[Specificite],MATCH(ChoixRationBovins&amp;$BB206,Règles_bovins[Ration]&amp;Règles_bovins[Aliment],0))="s1",IF($BB206=Spécificité1Bovins,1)),
AND(INDEX(Règles_bovins[Specificite],MATCH(ChoixRationBovins&amp;$BB206,Règles_bovins[Ration]&amp;Règles_bovins[Aliment],0))="s2",IF($BB206=Spécificité2Bovins,1)),
INDEX(Règles_bovins[Specificite],MATCH(ChoixRationBovins&amp;$BB206,Règles_bovins[Ration]&amp;Règles_bovins[Aliment],0))="c"),
INDEX(Règles_bovins[Valeur 18-24],MATCH(ChoixRationBovins&amp;$BB206,Règles_bovins[Ration]&amp;Règles_bovins[Aliment],0)),0),0)*IF(ChoixBovinsPréHiver=OUI,TotalTaurillon_18_24_RacesLaitières,TotalBovinsMâles_18_24mois*SUM(NbreJoursNourrirBovins)))</f>
        <v>0</v>
      </c>
      <c r="BF206" s="1267">
        <f t="array" ref="BF206">IF(Ration_complète_bovins[somme]&gt;0,0,IFERROR(IF(OR(AND(INDEX(Règles_bovins[Specificite],MATCH(ChoixRationBovins&amp;$BB206,Règles_bovins[Ration]&amp;Règles_bovins[Aliment],0))="s1",IF($BB206=Spécificité1Bovins,1)),
AND(INDEX(Règles_bovins[Specificite],MATCH(ChoixRationBovins&amp;$BB206,Règles_bovins[Ration]&amp;Règles_bovins[Aliment],0))="s2",IF($BB206=Spécificité2Bovins,1)),
INDEX(Règles_bovins[Specificite],MATCH(ChoixRationBovins&amp;$BB206,Règles_bovins[Ration]&amp;Règles_bovins[Aliment],0))="c"),
INDEX(Règles_bovins[Valeur 12-18],MATCH(ChoixRationBovins&amp;$BB206,Règles_bovins[Ration]&amp;Règles_bovins[Aliment],0)),0),0)*IF(ChoixBovinsPréHiver=OUI,animaux!D29,TotalBovinsMâles_12_18mois*SUM(NbreJoursNourrirBovins)))</f>
        <v>0</v>
      </c>
      <c r="BG206" s="1267">
        <f t="array" ref="BG206">IF(Ration_complète_bovins[somme]&gt;0,0,IFERROR(IF(OR(AND(INDEX(Règles_bovins[Specificite],MATCH(ChoixRationBovins&amp;$BB206,Règles_bovins[Ration]&amp;Règles_bovins[Aliment],0))="s1",IF($BB206=Spécificité1Bovins,1)),
AND(INDEX(Règles_bovins[Specificite],MATCH(ChoixRationBovins&amp;$BB206,Règles_bovins[Ration]&amp;Règles_bovins[Aliment],0))="s2",IF($BB206=Spécificité2Bovins,1)),
INDEX(Règles_bovins[Specificite],MATCH(ChoixRationBovins&amp;$BB206,Règles_bovins[Ration]&amp;Règles_bovins[Aliment],0))="c"),
INDEX(Règles_bovins[Valeur 6-12],MATCH(ChoixRationBovins&amp;$BB206,Règles_bovins[Ration]&amp;Règles_bovins[Aliment],0)),0),0)*IF(ChoixBovinsPréHiver=OUI,TotalVeauMâle_6_12_RacesLaitières,TotalBovinsMâles_6_12mois*SUM(NbreJoursNourrirBovins)))</f>
        <v>0</v>
      </c>
      <c r="BH206" s="1267">
        <f t="array" ref="BH206">IF(Ration_complète_bovins[somme]&gt;0,0,IFERROR(IF(OR(AND(INDEX(Règles_bovins[Specificite],MATCH(ChoixRationBovins&amp;$BB206,Règles_bovins[Ration]&amp;Règles_bovins[Aliment],0))="s1",IF($BB206=Spécificité1Bovins,1)),
AND(INDEX(Règles_bovins[Specificite],MATCH(ChoixRationBovins&amp;$BB206,Règles_bovins[Ration]&amp;Règles_bovins[Aliment],0))="s2",IF($BB206=Spécificité2Bovins,1)),
INDEX(Règles_bovins[Specificite],MATCH(ChoixRationBovins&amp;$BB206,Règles_bovins[Ration]&amp;Règles_bovins[Aliment],0))="c"),
INDEX(Règles_bovins[Valeur 3-6],MATCH(ChoixRationBovins&amp;$BB206,Règles_bovins[Ration]&amp;Règles_bovins[Aliment],0)),0),0)*IF(ChoixBovinsPréHiver=OUI,TotalVeauMâle_3_6_RacesLaitières,TotalBovinsMâles_3_6mois*SUM(NbreJoursNourrirBovins)))</f>
        <v>0</v>
      </c>
      <c r="BI206" s="1267">
        <f t="array" ref="BI206">IF(Ration_complète_bovins[somme]&gt;0,0,IFERROR(IF(OR(AND(INDEX(Règles_bovins[Specificite],MATCH(ChoixRationBovins&amp;$BB206,Règles_bovins[Ration]&amp;Règles_bovins[Aliment],0))="s1",IF($BB206=Spécificité1Bovins,1)),
AND(INDEX(Règles_bovins[Specificite],MATCH(ChoixRationBovins&amp;$BB206,Règles_bovins[Ration]&amp;Règles_bovins[Aliment],0))="s2",IF($BB206=Spécificité2Bovins,1)),
INDEX(Règles_bovins[Specificite],MATCH(ChoixRationBovins&amp;$BB206,Règles_bovins[Ration]&amp;Règles_bovins[Aliment],0))="c"),
INDEX(Règles_bovins[Valeur 0-3],MATCH(ChoixRationBovins&amp;$BB206,Règles_bovins[Ration]&amp;Règles_bovins[Aliment],0)),0),0)*IF(ChoixBovinsPréHiver=OUI,TotalVeauMâle_0_3_RacesLaitières,TotalBovinsMâles_0_3mois*SUM(NbreJoursNourrirBovins)))</f>
        <v>0</v>
      </c>
      <c r="BJ206" s="1268">
        <f t="shared" si="69"/>
        <v>0</v>
      </c>
      <c r="BK206" s="1321"/>
      <c r="BL206" s="1321"/>
      <c r="BM206" s="1346"/>
      <c r="BN206" s="1321"/>
      <c r="BO206" s="1321"/>
      <c r="BP206" s="1321"/>
      <c r="BQ206" s="1321"/>
      <c r="BR206" s="1321"/>
      <c r="BS206" s="1321"/>
      <c r="BT206" s="1321"/>
      <c r="BU206" s="1321"/>
      <c r="BV206" s="1345"/>
      <c r="BW206" s="1345"/>
      <c r="BX206" s="1076" t="str">
        <f t="shared" si="70"/>
        <v>Ensilage d'herbe</v>
      </c>
      <c r="BY206" s="1267">
        <f t="array" ref="BY206">SUM((IF(QualitéAlimentsChevreau_0_3_mois=BONNE,VLOOKUP("Ensilage d'herbe",AlimentsRationCaprinsMâles,5,FALSE),0)+(IF(QualitéAlimentsChevrette_0_3_mois=BONNE,VLOOKUP("Ensilage d'herbe",AlimentsRationCaprinsFemelles,5,FALSE),0)+(IF(QualitéAlimentsChevreau_3_6_mois=BONNE,VLOOKUP("Ensilage d'herbe",AlimentsRationCaprinsMâles,4,FALSE),0)+(IF(QualitéAlimentsChevrette_3_6_mois=BONNE,VLOOKUP("Ensilage d'herbe",AlimentsRationCaprinsFemelles,4,FALSE),0)+(IF(QualitéAlimentsJeuneBouc=BONNE,VLOOKUP("Ensilage d'herbe",AlimentsRationCaprinsMâles,3,FALSE),0)+(IF(QualitéAlimentsJeuneChèvre=BONNE,VLOOKUP("Ensilage d'herbe",AlimentsRationCaprinsFemelles,3,FALSE),0)+(IF(QualitéAlimentsBouc=BONNE,VLOOKUP("Ensilage d'herbe",AlimentsRationCaprinsMâles,2,FALSE),0)+(IF(QualitéAlimentsChèvre=BONNE,VLOOKUP("Ensilage d'herbe",AlimentsRationCaprinsFemelles,2,FALSE),0))))))))))</f>
        <v>0</v>
      </c>
      <c r="BZ206" s="1267">
        <f t="array" ref="BZ206">SUM((IF(QualitéAlimentsChevreau_0_3_mois=MOYENNE,VLOOKUP("Ensilage d'herbe",AlimentsRationCaprinsMâles,5,FALSE),0)+(IF(QualitéAlimentsChevrette_0_3_mois=MOYENNE,VLOOKUP("Ensilage d'herbe",AlimentsRationCaprinsFemelles,5,FALSE),0)+(IF(QualitéAlimentsChevreau_3_6_mois=MOYENNE,VLOOKUP("Ensilage d'herbe",AlimentsRationCaprinsMâles,4,FALSE),0)+(IF(QualitéAlimentsChevrette_3_6_mois=MOYENNE,VLOOKUP("Ensilage d'herbe",AlimentsRationCaprinsFemelles,4,FALSE),0)+(IF(QualitéAlimentsJeuneBouc=MOYENNE,VLOOKUP("Ensilage d'herbe",AlimentsRationCaprinsMâles,3,FALSE),0)+(IF(QualitéAlimentsJeuneChèvre=MOYENNE,VLOOKUP("Ensilage d'herbe",AlimentsRationCaprinsFemelles,3,FALSE),0)+(IF(QualitéAlimentsBouc=MOYENNE,VLOOKUP("Ensilage d'herbe",AlimentsRationCaprinsMâles,2,FALSE),0)+(IF(QualitéAlimentsChèvre=MOYENNE,VLOOKUP("Ensilage d'herbe",AlimentsRationCaprinsFemelles,2,FALSE),0))))))))))</f>
        <v>0</v>
      </c>
      <c r="CA206" s="1267">
        <f t="array" ref="CA206">SUM((IF(QualitéAlimentsChevreau_0_3_mois=MAUVAISE,VLOOKUP("Ensilage d'herbe",AlimentsRationCaprinsMâles,5,FALSE),0)+(IF(QualitéAlimentsChevrette_0_3_mois=MAUVAISE,VLOOKUP("Ensilage d'herbe",AlimentsRationCaprinsFemelles,5,FALSE),0)+(IF(QualitéAlimentsChevreau_3_6_mois=MAUVAISE,VLOOKUP("Ensilage d'herbe",AlimentsRationCaprinsMâles,4,FALSE),0)+(IF(QualitéAlimentsChevrette_3_6_mois=MAUVAISE,VLOOKUP("Ensilage d'herbe",AlimentsRationCaprinsFemelles,4,FALSE),0)+(IF(QualitéAlimentsJeuneBouc=MAUVAISE,VLOOKUP("Ensilage d'herbe",AlimentsRationCaprinsMâles,3,FALSE),0)+(IF(QualitéAlimentsJeuneChèvre=MAUVAISE,VLOOKUP("Ensilage d'herbe",AlimentsRationCaprinsFemelles,3,FALSE),0)+(IF(QualitéAlimentsBouc=MAUVAISE,VLOOKUP("Ensilage d'herbe",AlimentsRationCaprinsMâles,2,FALSE),0)+(IF(QualitéAlimentsChèvre=MAUVAISE,VLOOKUP("Ensilage d'herbe",AlimentsRationCaprinsFemelles,2,FALSE),0))))))))))</f>
        <v>0</v>
      </c>
      <c r="CB206" s="1321"/>
      <c r="CC206" s="1321"/>
      <c r="CD206" s="1345"/>
      <c r="CE206" s="1345"/>
      <c r="CF206" s="1345"/>
      <c r="CG206" s="1345"/>
      <c r="CH206" s="1345"/>
      <c r="CI206" s="1321"/>
      <c r="CJ206" s="1321"/>
      <c r="CK206" s="1321"/>
      <c r="CL206" s="1321"/>
      <c r="CM206" s="1321"/>
      <c r="CN206" s="1321"/>
      <c r="CO206" s="1321"/>
      <c r="CP206" s="1321"/>
      <c r="CQ206" s="1321"/>
      <c r="CR206" s="1321"/>
      <c r="CS206" s="1321"/>
      <c r="CT206" s="1321"/>
      <c r="CU206" s="1321"/>
      <c r="CV206" s="1321"/>
      <c r="CW206" s="1321"/>
      <c r="CX206" s="1321"/>
      <c r="CY206" s="1321"/>
      <c r="CZ206" s="1321"/>
      <c r="DA206" s="1321"/>
      <c r="DB206" s="1321"/>
      <c r="DC206" s="1321"/>
      <c r="DD206" s="1321"/>
      <c r="DE206" s="1321"/>
      <c r="DF206" s="1321"/>
      <c r="DG206" s="1321"/>
      <c r="DH206" s="1321"/>
      <c r="DI206" s="1321"/>
      <c r="DJ206" s="1321"/>
      <c r="DK206" s="1321"/>
      <c r="DL206" s="1321"/>
      <c r="DM206" s="1321"/>
      <c r="DN206" s="1076" t="str">
        <f t="shared" si="68"/>
        <v>Foin</v>
      </c>
      <c r="DO206" s="1267">
        <f t="array" ref="DO206">IF(ChoixRationComplèteOvins=OUI,0,IFERROR(IF(OR(AND(INDEX(Règles_ovins[Specificite],MATCH(ChoixRationOvins&amp;$DN206,Règles_ovins[Ration]&amp;Règles_ovins[Aliment],0))="s1",IF($DN206=Spécificité1Ovins,1)),
AND(INDEX(Règles_ovins[Specificite],MATCH(ChoixRationOvins&amp;$DN206,Règles_ovins[Ration]&amp;Règles_ovins[Aliment],0))="s2",IF($DN206=Spécificité2Ovins,1)),
INDEX(Règles_ovins[Specificite],MATCH(ChoixRationOvins&amp;$DN206,Règles_ovins[Ration]&amp;Règles_ovins[Aliment],0))="c"),
INDEX(Règles_ovins[Valeur 12 et plus],MATCH(ChoixRationOvins&amp;$DN206,Règles_ovins[Ration]&amp;Règles_ovins[Aliment],0)),0),0)*IF(ChoixOvinsPréHiver=OUI,SUM(TotalOvinsAdultesRacesLaitières)*NbreJoursNourrirOvins,TotalBrebis*SUM(NbreJoursNourrirOvins)))</f>
        <v>0</v>
      </c>
      <c r="DP206" s="1267">
        <f t="array" ref="DP206">IF(ChoixRationComplèteOvins=OUI,0,IFERROR(IF(OR(AND(INDEX(Règles_ovins[Specificite],MATCH(ChoixRationOvins&amp;$DN206,Règles_ovins[Ration]&amp;Règles_ovins[Aliment],0))="s1",IF($DN206=Spécificité1Ovins,1)),
AND(INDEX(Règles_ovins[Specificite],MATCH(ChoixRationOvins&amp;$DN206,Règles_ovins[Ration]&amp;Règles_ovins[Aliment],0))="s2",IF($DN206=Spécificité2Ovins,1)),
INDEX(Règles_ovins[Specificite],MATCH(ChoixRationOvins&amp;$DN206,Règles_ovins[Ration]&amp;Règles_ovins[Aliment],0))="c"),
INDEX(Règles_ovins[Valeur 6-12],MATCH(ChoixRationOvins&amp;$DN206,Règles_ovins[Ration]&amp;Règles_ovins[Aliment],0)),0),0)*IF(ChoixOvinsPréHiver=OUI,SUM(TotalJeunesOvinsRacesLaitières)*NbreJoursNourrirOvins,TotalJeune_brebis_6_12_mois*SUM(NbreJoursNourrirOvins)))</f>
        <v>0</v>
      </c>
      <c r="DQ206" s="1267">
        <f t="array" ref="DQ206">IF(ChoixRationComplèteOvins=OUI,0,IFERROR(IF(OR(AND(INDEX(Règles_ovins[Specificite],MATCH(ChoixRationOvins&amp;$DN206,Règles_ovins[Ration]&amp;Règles_ovins[Aliment],0))="s1",IF($DN206=Spécificité1Ovins,1)),
AND(INDEX(Règles_ovins[Specificite],MATCH(ChoixRationOvins&amp;$DN206,Règles_ovins[Ration]&amp;Règles_ovins[Aliment],0))="s2",IF($DN206=Spécificité2Ovins,1)),
INDEX(Règles_ovins[Specificite],MATCH(ChoixRationOvins&amp;$DN206,Règles_ovins[Ration]&amp;Règles_ovins[Aliment],0))="c"),
INDEX(Règles_ovins[Valeur 3-6],MATCH(ChoixRationOvins&amp;$DN206,Règles_ovins[Ration]&amp;Règles_ovins[Aliment],0)),0),0)*IF(ChoixOvinsPréHiver=OUI,SUM(TotalOvins_3_6moisRacesLaitières)*NbreJoursNourrirOvins,TotalAgnelle_3_6_mois*SUM(NbreJoursNourrirOvins)))</f>
        <v>0</v>
      </c>
      <c r="DR206" s="1267">
        <f t="array" ref="DR206">IF(ChoixRationComplèteOvins=OUI,0,IFERROR(IF(OR(AND(INDEX(Règles_ovins[Specificite],MATCH(ChoixRationOvins&amp;$DN206,Règles_ovins[Ration]&amp;Règles_ovins[Aliment],0))="s1",IF($DN206=Spécificité1Ovins,1)),
AND(INDEX(Règles_ovins[Specificite],MATCH(ChoixRationOvins&amp;$DN206,Règles_ovins[Ration]&amp;Règles_ovins[Aliment],0))="s2",IF($DN206=Spécificité2Ovins,1)),
INDEX(Règles_ovins[Specificite],MATCH(ChoixRationOvins&amp;$DN206,Règles_ovins[Ration]&amp;Règles_ovins[Aliment],0))="c"),
INDEX(Règles_ovins[Valeur 0-3],MATCH(ChoixRationOvins&amp;$DN206,Règles_ovins[Ration]&amp;Règles_ovins[Aliment],0)),0),0)*IF(ChoixOvinsPréHiver=OUI,SUM(TotalOvins_3_6moisRacesLaitières)*NbreJoursNourrirOvins,TotalAgnelle_0_3_mois*SUM(NbreJoursNourrirOvins)))</f>
        <v>0</v>
      </c>
      <c r="DS206" s="1279">
        <f t="shared" si="67"/>
        <v>0</v>
      </c>
      <c r="DT206" s="1346"/>
      <c r="DU206" s="1345"/>
      <c r="DV206" s="1321"/>
      <c r="DW206" s="1321"/>
      <c r="DX206" s="1321"/>
      <c r="DY206" s="1321"/>
      <c r="DZ206" s="1321"/>
      <c r="EA206" s="1321"/>
      <c r="EB206" s="1321"/>
      <c r="EC206" s="1321"/>
      <c r="ED206" s="1345"/>
      <c r="EE206" s="1345"/>
      <c r="EF206" s="1321"/>
      <c r="EG206" s="1321"/>
      <c r="EH206" s="1321"/>
      <c r="EI206" s="1321"/>
      <c r="EJ206" s="1321"/>
      <c r="EK206" s="1345"/>
      <c r="EL206" s="1345"/>
      <c r="EM206" s="1321"/>
      <c r="EN206" s="1321"/>
      <c r="EO206" s="1321"/>
      <c r="EP206" s="1321"/>
      <c r="EQ206" s="1321"/>
      <c r="ER206" s="1345"/>
      <c r="ES206" s="1345"/>
      <c r="ET206" s="1321"/>
      <c r="EU206" s="1083" t="str">
        <f t="shared" si="73"/>
        <v>Bouchons luzerne</v>
      </c>
      <c r="EV206" s="1283">
        <f t="array" ref="EV206">SUM((IF(QualitéAlimentsPoulainSelleMâle=BONNE,VLOOKUP("Bouchons luzerne",AlimentsRationEcurieChevauxMâlesSelle,5,FALSE),0)+(IF(QualitéAlimentsPoulainSelleFemelle=BONNE,VLOOKUP("Bouchons luzerne",AlimentsRationEcurieChevauxFemellesSelle,5,FALSE),0)+(IF(QualitéAlimentsJeuneEtalon_12_24_moisSelle=BONNE,VLOOKUP("Bouchons luzerne",AlimentsRationEcurieChevauxMâlesSelle,4,FALSE),0)+(IF(QualitéAlimentsJeuneJument_12_24_moisSelle=BONNE,VLOOKUP("Bouchons luzerne",AlimentsRationEcurieChevauxFemellesSelle,4,FALSE),0)+(IF(QualitéAlimentsJeuneEtalon_24_36_moisSelle=BONNE,VLOOKUP("Bouchons luzerne",AlimentsRationEcurieChevauxMâlesSelle,3,FALSE),0)+(IF(QualitéAlimentsJeuneJument_24_36_moisSelle=BONNE,VLOOKUP("Bouchons luzerne",AlimentsRationEcurieChevauxFemellesSelle,3,FALSE),0)+(IF(QualitéAlimentsEtalonSelle=BONNE,VLOOKUP("Bouchons luzerne",AlimentsRationEcurieChevauxMâlesSelle,2,FALSE),0)+(IF(QualitéAlimentsJumentSelle=BONNE,VLOOKUP("Bouchons luzerne",AlimentsRationEcurieChevauxFemellesSelle,2,FALSE),0))))))))))</f>
        <v>0</v>
      </c>
      <c r="EW206" s="1283">
        <f t="array" ref="EW206">SUM((IF(QualitéAlimentsPoulainSelleMâle=MOYENNE,VLOOKUP("Bouchons luzerne",AlimentsRationEcurieChevauxMâlesSelle,5,FALSE),0)+(IF(QualitéAlimentsPoulainSelleFemelle=MOYENNE,VLOOKUP("Bouchons luzerne",AlimentsRationEcurieChevauxFemellesSelle,5,FALSE),0)+(IF(QualitéAlimentsJeuneEtalon_12_24_moisSelle=MOYENNE,VLOOKUP("Bouchons luzerne",AlimentsRationEcurieChevauxMâlesSelle,4,FALSE),0)+(IF(QualitéAlimentsJeuneJument_12_24_moisSelle=MOYENNE,VLOOKUP("Bouchons luzerne",AlimentsRationEcurieChevauxFemellesSelle,4,FALSE),0)+(IF(QualitéAlimentsJeuneEtalon_24_36_moisSelle=MOYENNE,VLOOKUP("Bouchons luzerne",AlimentsRationEcurieChevauxMâlesSelle,3,FALSE),0)+(IF(QualitéAlimentsJeuneJument_24_36_moisSelle=MOYENNE,VLOOKUP("Bouchons luzerne",AlimentsRationEcurieChevauxFemellesSelle,3,FALSE),0)+(IF(QualitéAlimentsEtalonSelle=MOYENNE,VLOOKUP("Bouchons luzerne",AlimentsRationEcurieChevauxMâlesSelle,2,FALSE),0)+(IF(QualitéAlimentsJumentSelle=MOYENNE,VLOOKUP("Bouchons luzerne",AlimentsRationEcurieChevauxFemellesSelle,2,FALSE),0))))))))))</f>
        <v>0</v>
      </c>
      <c r="EX206" s="1283">
        <f t="array" ref="EX206">SUM((IF(QualitéAlimentsPoulainSelleMâle=MAUVAISE,VLOOKUP("Bouchons luzerne",AlimentsRationEcurieChevauxMâlesSelle,5,FALSE),0)+(IF(QualitéAlimentsPoulainSelleFemelle=MAUVAISE,VLOOKUP("Bouchons luzerne",AlimentsRationEcurieChevauxFemellesSelle,5,FALSE),0)+(IF(QualitéAlimentsJeuneEtalon_12_24_moisSelle=MAUVAISE,VLOOKUP("Bouchons luzerne",AlimentsRationEcurieChevauxMâlesSelle,4,FALSE),0)+(IF(QualitéAlimentsJeuneJument_12_24_moisSelle=MAUVAISE,VLOOKUP("Bouchons luzerne",AlimentsRationEcurieChevauxFemellesSelle,4,FALSE),0)+(IF(QualitéAlimentsJeuneEtalon_24_36_moisSelle=MAUVAISE,VLOOKUP("Bouchons luzerne",AlimentsRationEcurieChevauxMâlesSelle,3,FALSE),0)+(IF(QualitéAlimentsJeuneJument_24_36_moisSelle=MAUVAISE,VLOOKUP("Bouchons luzerne",AlimentsRationEcurieChevauxFemellesSelle,3,FALSE),0)+(IF(QualitéAlimentsEtalonSelle=MAUVAISE,VLOOKUP("Bouchons luzerne",AlimentsRationEcurieChevauxMâlesSelle,2,FALSE),0)+(IF(QualitéAlimentsJumentSelle=MAUVAISE,VLOOKUP("Bouchons luzerne",AlimentsRationEcurieChevauxFemellesSelle,2,FALSE),0))))))))))</f>
        <v>0</v>
      </c>
      <c r="EY206" s="1321"/>
      <c r="EZ206" s="1345"/>
      <c r="FA206" s="1345"/>
      <c r="FB206" s="1345"/>
      <c r="FC206" s="1321"/>
      <c r="FD206" s="1082" t="str">
        <f t="shared" si="72"/>
        <v>concentré jeunes lapins</v>
      </c>
      <c r="FE206" s="1282">
        <f t="array" ref="FE206">SUM((IF(QualitéAlimentsPoulainMâleTrait=BONNE,VLOOKUP("Concentré jeunes lapins",AlimentsRationEcurieChevauxMâlesTrait,5,FALSE),0)+(IF(QualitéAlimentsPoulainFemelleTrait=BONNE,VLOOKUP("Concentré jeunes lapins",AlimentsRationEcurieChevauxFemellesTrait,5,FALSE),0)+(IF(QualitéAlimentsJeuneEtalon_12_24_moisTrait=BONNE,VLOOKUP("Concentré jeunes lapins",AlimentsRationEcurieChevauxMâlesTrait,4,FALSE),0)+(IF(QualitéAlimentsJeuneJument_12_24_moisTrait=BONNE,VLOOKUP("Concentré jeunes lapins",AlimentsRationEcurieChevauxFemellesTrait,4,FALSE),0)+(IF(QualitéAlimentsJeuneEtalon_24_36_moisTrait=BONNE,VLOOKUP("Concentré jeunes lapins",AlimentsRationEcurieChevauxMâlesTrait,3,FALSE),0)+(IF(QualitéAlimentsJeuneJument_24_36_moisTrait=BONNE,VLOOKUP("Concentré jeunes lapins",AlimentsRationEcurieChevauxFemellesTrait,3,FALSE),0)+(IF(QualitéAlimentsEtalonTrait=BONNE,VLOOKUP("Concentré jeunes lapins",AlimentsRationEcurieChevauxMâlesTrait,2,FALSE),0)+(IF(QualitéAlimentsJumentTrait=BONNE,VLOOKUP("Concentré jeunes lapins",AlimentsRationEcurieChevauxFemellesTrait,2,FALSE),0))))))))))</f>
        <v>0</v>
      </c>
      <c r="FF206" s="1282">
        <f t="array" ref="FF206">SUM((IF(QualitéAlimentsPoulainMâleTrait=MOYENNE,VLOOKUP("Concentré jeunes lapins",AlimentsRationEcurieChevauxMâlesTrait,5,FALSE),0)+(IF(QualitéAlimentsPoulainFemelleTrait=MOYENNE,VLOOKUP("Concentré jeunes lapins",AlimentsRationEcurieChevauxFemellesTrait,5,FALSE),0)+(IF(QualitéAlimentsJeuneEtalon_12_24_moisTrait=MOYENNE,VLOOKUP("Concentré jeunes lapins",AlimentsRationEcurieChevauxMâlesTrait,4,FALSE),0)+(IF(QualitéAlimentsJeuneJument_12_24_moisTrait=MOYENNE,VLOOKUP("Concentré jeunes lapins",AlimentsRationEcurieChevauxFemellesTrait,4,FALSE),0)+(IF(QualitéAlimentsJeuneEtalon_24_36_moisTrait=MOYENNE,VLOOKUP("Concentré jeunes lapins",AlimentsRationEcurieChevauxMâlesTrait,3,FALSE),0)+(IF(QualitéAlimentsJeuneJument_24_36_moisTrait=MOYENNE,VLOOKUP("Concentré jeunes lapins",AlimentsRationEcurieChevauxFemellesTrait,3,FALSE),0)+(IF(QualitéAlimentsEtalonTrait=MOYENNE,VLOOKUP("Concentré jeunes lapins",AlimentsRationEcurieChevauxMâlesTrait,2,FALSE),0)+(IF(QualitéAlimentsJumentTrait=MOYENNE,VLOOKUP("Concentré jeunes lapins",AlimentsRationEcurieChevauxFemellesTrait,2,FALSE),0))))))))))</f>
        <v>0</v>
      </c>
      <c r="FG206" s="1282">
        <f t="array" ref="FG206">SUM((IF(QualitéAlimentsPoulainMâleTrait=MAUVAISE,VLOOKUP("Concentré jeunes lapins",AlimentsRationEcurieChevauxMâlesTrait,5,FALSE),0)+(IF(QualitéAlimentsPoulainFemelleTrait=MAUVAISE,VLOOKUP("Concentré jeunes lapins",AlimentsRationEcurieChevauxFemellesTrait,5,FALSE),0)+(IF(QualitéAlimentsJeuneEtalon_12_24_moisTrait=MAUVAISE,VLOOKUP("Concentré jeunes lapins",AlimentsRationEcurieChevauxMâlesTrait,4,FALSE),0)+(IF(QualitéAlimentsJeuneJument_12_24_moisTrait=MAUVAISE,VLOOKUP("Concentré jeunes lapins",AlimentsRationEcurieChevauxFemellesTrait,4,FALSE),0)+(IF(QualitéAlimentsJeuneEtalon_24_36_moisTrait=MAUVAISE,VLOOKUP("Concentré jeunes lapins",AlimentsRationEcurieChevauxMâlesTrait,3,FALSE),0)+(IF(QualitéAlimentsJeuneJument_24_36_moisTrait=MAUVAISE,VLOOKUP("Concentré jeunes lapins",AlimentsRationEcurieChevauxFemellesTrait,3,FALSE),0)+(IF(QualitéAlimentsEtalonTrait=MAUVAISE,VLOOKUP("Concentré jeunes lapins",AlimentsRationEcurieChevauxMâlesTrait,2,FALSE),0)+(IF(QualitéAlimentsJumentTrait=MAUVAISE,VLOOKUP("Concentré jeunes lapins",AlimentsRationEcurieChevauxFemellesTrait,2,FALSE),0))))))))))</f>
        <v>0</v>
      </c>
      <c r="FH206" s="1321"/>
      <c r="FI206" s="1321"/>
      <c r="FJ206" s="1345"/>
      <c r="FK206" s="1345"/>
      <c r="FL206" s="1345"/>
      <c r="FM206" s="1321"/>
      <c r="FN206" s="1083" t="str">
        <f t="shared" si="71"/>
        <v>concentré jeunes porcins</v>
      </c>
      <c r="FO206" s="1283">
        <f t="array" ref="FO206">SUM((IF(QualitéAlimentsPoulainMâlePoney=BONNE,VLOOKUP("Concentré jeunes porcins",AlimentsRationEcuriePoneysMâles,5,FALSE),0)+(IF(QualitéAlimentsPoulainFemellePoney=BONNE,VLOOKUP("Concentré jeunes porcins",AlimentsRationEcuriePoneysFemelles,5,FALSE),0)+(IF(QualitéAlimentsJeuneEtalon_12_24_moisPoney=BONNE,VLOOKUP("Concentré jeunes porcins",AlimentsRationEcuriePoneysMâles,4,FALSE),0)+(IF(QualitéAlimentsJeuneJument_12_24_moisPoney=BONNE,VLOOKUP("Concentré jeunes porcins",AlimentsRationEcuriePoneysFemelles,4,FALSE),0)+(IF(QualitéAlimentsJeuneEtalon_24_36_moisPoney=BONNE,VLOOKUP("Concentré jeunes porcins",AlimentsRationEcuriePoneysMâles,3,FALSE),0)+(IF(QualitéAlimentsJeuneJument_24_36_moisPoney=BONNE,VLOOKUP("Concentré jeunes porcins",AlimentsRationEcuriePoneysFemelles,3,FALSE),0)+(IF(QualitéAlimentsEtalonPoney=BONNE,VLOOKUP("Concentré jeunes porcins",AlimentsRationEcuriePoneysMâles,2,FALSE),0)+(IF(QualitéAlimentsJumentPoney=BONNE,VLOOKUP("Concentré jeunes porcins",AlimentsRationEcuriePoneysFemelles,2,FALSE),0))))))))))</f>
        <v>0</v>
      </c>
      <c r="FP206" s="1283">
        <f t="array" ref="FP206">SUM((IF(QualitéAlimentsPoulainMâlePoney=MOYENNE,VLOOKUP("Concentré jeunes porcins",AlimentsRationEcuriePoneysMâles,5,FALSE),0)+(IF(QualitéAlimentsPoulainFemellePoney=MOYENNE,VLOOKUP("Concentré jeunes porcins",AlimentsRationEcuriePoneysFemelles,5,FALSE),0)+(IF(QualitéAlimentsJeuneEtalon_12_24_moisPoney=MOYENNE,VLOOKUP("Concentré jeunes porcins",AlimentsRationEcuriePoneysMâles,4,FALSE),0)+(IF(QualitéAlimentsJeuneJument_12_24_moisPoney=MOYENNE,VLOOKUP("Concentré jeunes porcins",AlimentsRationEcuriePoneysFemelles,4,FALSE),0)+(IF(QualitéAlimentsJeuneEtalon_24_36_moisPoney=MOYENNE,VLOOKUP("Concentré jeunes porcins",AlimentsRationEcuriePoneysMâles,3,FALSE),0)+(IF(QualitéAlimentsJeuneJument_24_36_moisPoney=MOYENNE,VLOOKUP("Concentré jeunes porcins",AlimentsRationEcuriePoneysFemelles,3,FALSE),0)+(IF(QualitéAlimentsEtalonPoney=MOYENNE,VLOOKUP("Concentré jeunes porcins",AlimentsRationEcuriePoneysMâles,2,FALSE),0)+(IF(QualitéAlimentsJumentPoney=MOYENNE,VLOOKUP("Concentré jeunes porcins",AlimentsRationEcuriePoneysFemelles,2,FALSE),0))))))))))</f>
        <v>0</v>
      </c>
      <c r="FQ206" s="1283">
        <f t="array" ref="FQ206">SUM((IF(QualitéAlimentsPoulainMâlePoney=MAUVAISE,VLOOKUP("Concentré jeunes porcins",AlimentsRationEcuriePoneysMâles,5,FALSE),0)+(IF(QualitéAlimentsPoulainFemellePoney=MAUVAISE,VLOOKUP("Concentré jeunes porcins",AlimentsRationEcuriePoneysFemelles,5,FALSE),0)+(IF(QualitéAlimentsJeuneEtalon_12_24_moisPoney=MAUVAISE,VLOOKUP("Concentré jeunes porcins",AlimentsRationEcuriePoneysMâles,4,FALSE),0)+(IF(QualitéAlimentsJeuneJument_12_24_moisPoney=MAUVAISE,VLOOKUP("Concentré jeunes porcins",AlimentsRationEcuriePoneysFemelles,4,FALSE),0)+(IF(QualitéAlimentsJeuneEtalon_24_36_moisPoney=MAUVAISE,VLOOKUP("Concentré jeunes porcins",AlimentsRationEcuriePoneysMâles,3,FALSE),0)+(IF(QualitéAlimentsJeuneJument_24_36_moisPoney=MAUVAISE,VLOOKUP("Concentré jeunes porcins",AlimentsRationEcuriePoneysFemelles,3,FALSE),0)+(IF(QualitéAlimentsEtalonPoney=MAUVAISE,VLOOKUP("Concentré jeunes porcins",AlimentsRationEcuriePoneysMâles,2,FALSE),0)+(IF(QualitéAlimentsJumentPoney=MAUVAISE,VLOOKUP("Concentré jeunes porcins",AlimentsRationEcuriePoneysFemelles,2,FALSE),0))))))))))</f>
        <v>0</v>
      </c>
      <c r="FR206" s="1345"/>
      <c r="FS206" s="1345"/>
      <c r="FT206" s="1345"/>
      <c r="FU206" s="1345"/>
      <c r="FV206" s="1345"/>
      <c r="FW206" s="1345"/>
      <c r="FX206" s="1345"/>
      <c r="FY206" s="1345"/>
      <c r="FZ206" s="1345"/>
      <c r="GA206" s="1345"/>
      <c r="GB206" s="1345"/>
      <c r="GC206" s="1321"/>
      <c r="GD206" s="1321"/>
      <c r="GE206" s="1321"/>
      <c r="GF206" s="1321"/>
      <c r="GG206" s="1321" t="s">
        <v>1349</v>
      </c>
      <c r="GH206" s="1321" t="s">
        <v>1349</v>
      </c>
      <c r="GI206" s="1321" t="s">
        <v>1349</v>
      </c>
      <c r="GJ206" s="1321" t="s">
        <v>1349</v>
      </c>
      <c r="GK206" s="1321" t="s">
        <v>1349</v>
      </c>
      <c r="GL206" s="1321" t="s">
        <v>1349</v>
      </c>
      <c r="GM206" s="1321" t="s">
        <v>1349</v>
      </c>
      <c r="GN206" s="1321" t="s">
        <v>1349</v>
      </c>
      <c r="GO206" s="1321" t="s">
        <v>1349</v>
      </c>
      <c r="GP206" s="1321" t="s">
        <v>1349</v>
      </c>
      <c r="GQ206" s="1321" t="s">
        <v>1349</v>
      </c>
      <c r="GR206" s="1321" t="s">
        <v>1349</v>
      </c>
      <c r="GS206" s="1321" t="s">
        <v>1349</v>
      </c>
      <c r="GT206" s="1321" t="s">
        <v>1349</v>
      </c>
      <c r="GU206" s="1321" t="s">
        <v>1349</v>
      </c>
      <c r="GV206" s="1321" t="s">
        <v>1349</v>
      </c>
      <c r="GW206" s="1321"/>
      <c r="GX206" s="1321"/>
      <c r="GY206" s="1321"/>
      <c r="GZ206" s="1321"/>
      <c r="HA206" s="1321"/>
      <c r="HB206" s="1321"/>
      <c r="HC206" s="1321"/>
      <c r="HD206" s="1321"/>
      <c r="HE206" s="1321"/>
      <c r="HF206" s="1321"/>
      <c r="HG206" s="1321"/>
      <c r="HH206" s="1321"/>
      <c r="HI206" s="1321"/>
      <c r="HJ206" s="1321"/>
      <c r="HK206" s="1321"/>
      <c r="HL206" s="1321"/>
      <c r="HM206" s="1321"/>
      <c r="HN206" s="1321"/>
      <c r="HO206" s="1321"/>
      <c r="HP206" s="1321"/>
      <c r="HQ206" s="1321"/>
      <c r="HR206" s="1321"/>
      <c r="HS206" s="1321"/>
      <c r="HT206" s="1321"/>
      <c r="HU206" s="1321"/>
      <c r="HV206" s="1321"/>
      <c r="HW206" s="1321"/>
      <c r="HX206" s="1321"/>
      <c r="HY206" s="1321"/>
      <c r="HZ206" s="1321"/>
      <c r="IA206" s="1321"/>
      <c r="IB206" s="1321"/>
      <c r="IC206" s="1321"/>
      <c r="ID206" s="1321"/>
      <c r="IE206" s="1321"/>
      <c r="IF206" s="1321"/>
      <c r="IG206" s="1321"/>
      <c r="IH206" s="1321"/>
      <c r="II206" s="1321"/>
      <c r="IJ206" s="1321"/>
      <c r="IK206" s="1321"/>
      <c r="IL206" s="1321"/>
      <c r="IM206" s="1321"/>
      <c r="IN206" s="1368"/>
    </row>
    <row r="207" spans="1:248" ht="12.75" customHeight="1" x14ac:dyDescent="0.2">
      <c r="A207" s="1322"/>
      <c r="B207" s="1320"/>
      <c r="C207" s="1321"/>
      <c r="D207" s="1287" t="s">
        <v>1825</v>
      </c>
      <c r="E207" s="1158">
        <v>0.57999999999999996</v>
      </c>
      <c r="F207" s="1321"/>
      <c r="G207" s="1321"/>
      <c r="H207" s="1321"/>
      <c r="I207" s="1321"/>
      <c r="J207" s="1321"/>
      <c r="K207" s="1321"/>
      <c r="L207" s="1321"/>
      <c r="M207" s="1321"/>
      <c r="N207" s="1321"/>
      <c r="O207" s="1321"/>
      <c r="P207" s="1321"/>
      <c r="Q207" s="1321"/>
      <c r="R207" s="1321"/>
      <c r="S207" s="1321"/>
      <c r="T207" s="1321"/>
      <c r="U207" s="1321"/>
      <c r="V207" s="1321"/>
      <c r="W207" s="1321"/>
      <c r="X207" s="1321"/>
      <c r="Y207" s="1321"/>
      <c r="Z207" s="1321"/>
      <c r="AA207" s="1321"/>
      <c r="AB207" s="1321"/>
      <c r="AC207" s="1321"/>
      <c r="AD207" s="1321"/>
      <c r="AE207" s="1321"/>
      <c r="AF207" s="1321"/>
      <c r="AG207" s="1321"/>
      <c r="AH207" s="1321"/>
      <c r="AI207" s="1321"/>
      <c r="AJ207" s="1321"/>
      <c r="AK207" s="1321"/>
      <c r="AL207" s="1321"/>
      <c r="AM207" s="1321"/>
      <c r="AN207" s="1321"/>
      <c r="AO207" s="1321"/>
      <c r="AP207" s="1321"/>
      <c r="AQ207" s="1321"/>
      <c r="AR207" s="1321"/>
      <c r="AS207" s="1321"/>
      <c r="AT207" s="1321"/>
      <c r="AU207" s="1321"/>
      <c r="AV207" s="1321"/>
      <c r="AW207" s="1321"/>
      <c r="AX207" s="1321"/>
      <c r="AY207" s="1321"/>
      <c r="AZ207" s="1321"/>
      <c r="BA207" s="1321"/>
      <c r="BB207" s="1075" t="s">
        <v>298</v>
      </c>
      <c r="BC207" s="1269">
        <f t="array" ref="BC207">IF(Ration_complète_bovins[somme]&gt;0,0,IFERROR(IF(OR(AND(INDEX(Règles_bovins[Specificite],MATCH(ChoixRationBovins&amp;$BB207,Règles_bovins[Ration]&amp;Règles_bovins[Aliment],0))="s1",IF($BB207=Spécificité1Bovins,1)),
AND(INDEX(Règles_bovins[Specificite],MATCH(ChoixRationBovins&amp;$BB207,Règles_bovins[Ration]&amp;Règles_bovins[Aliment],0))="s2",IF($BB207=Spécificité2Bovins,1)),
INDEX(Règles_bovins[Specificite],MATCH(ChoixRationBovins&amp;$BB207,Règles_bovins[Ration]&amp;Règles_bovins[Aliment],0))="c"),
INDEX(Règles_bovins[Valeur 36 et plus],MATCH(ChoixRationBovins&amp;$BB207,Règles_bovins[Ration]&amp;Règles_bovins[Aliment],0)),0),0)*IF(ChoixBovinsPréHiver=OUI,TotalTaureauxRacesLaitières,TotalTaureaux*SUM(NbreJoursNourrirBovins)))</f>
        <v>0</v>
      </c>
      <c r="BD207" s="1269">
        <f t="array" ref="BD207">IF(Ration_complète_bovins[somme]&gt;0,0,IFERROR(IF(OR(AND(INDEX(Règles_bovins[Specificite],MATCH(ChoixRationBovins&amp;$BB207,Règles_bovins[Ration]&amp;Règles_bovins[Aliment],0))="s1",IF($BB207=Spécificité1Bovins,1)),
AND(INDEX(Règles_bovins[Specificite],MATCH(ChoixRationBovins&amp;$BB207,Règles_bovins[Ration]&amp;Règles_bovins[Aliment],0))="s2",IF($BB207=Spécificité2Bovins,1)),
INDEX(Règles_bovins[Specificite],MATCH(ChoixRationBovins&amp;$BB207,Règles_bovins[Ration]&amp;Règles_bovins[Aliment],0))="c"),
INDEX(Règles_bovins[Valeur 24-36],MATCH(ChoixRationBovins&amp;$BB207,Règles_bovins[Ration]&amp;Règles_bovins[Aliment],0)),0),0)*IF(ChoixBovinsPréHiver=OUI,TotalTaurillon_24_36_RacesLaitières,TotalBovinsMâles_24_36mois*SUM(NbreJoursNourrirBovins)))</f>
        <v>0</v>
      </c>
      <c r="BE207" s="1269">
        <f t="array" ref="BE207">IF(Ration_complète_bovins[somme]&gt;0,0,IFERROR(IF(OR(AND(INDEX(Règles_bovins[Specificite],MATCH(ChoixRationBovins&amp;$BB207,Règles_bovins[Ration]&amp;Règles_bovins[Aliment],0))="s1",IF($BB207=Spécificité1Bovins,1)),
AND(INDEX(Règles_bovins[Specificite],MATCH(ChoixRationBovins&amp;$BB207,Règles_bovins[Ration]&amp;Règles_bovins[Aliment],0))="s2",IF($BB207=Spécificité2Bovins,1)),
INDEX(Règles_bovins[Specificite],MATCH(ChoixRationBovins&amp;$BB207,Règles_bovins[Ration]&amp;Règles_bovins[Aliment],0))="c"),
INDEX(Règles_bovins[Valeur 18-24],MATCH(ChoixRationBovins&amp;$BB207,Règles_bovins[Ration]&amp;Règles_bovins[Aliment],0)),0),0)*IF(ChoixBovinsPréHiver=OUI,TotalTaurillon_18_24_RacesLaitières,TotalBovinsMâles_18_24mois*SUM(NbreJoursNourrirBovins)))</f>
        <v>0</v>
      </c>
      <c r="BF207" s="1269">
        <f t="array" ref="BF207">IF(Ration_complète_bovins[somme]&gt;0,0,IFERROR(IF(OR(AND(INDEX(Règles_bovins[Specificite],MATCH(ChoixRationBovins&amp;$BB207,Règles_bovins[Ration]&amp;Règles_bovins[Aliment],0))="s1",IF($BB207=Spécificité1Bovins,1)),
AND(INDEX(Règles_bovins[Specificite],MATCH(ChoixRationBovins&amp;$BB207,Règles_bovins[Ration]&amp;Règles_bovins[Aliment],0))="s2",IF($BB207=Spécificité2Bovins,1)),
INDEX(Règles_bovins[Specificite],MATCH(ChoixRationBovins&amp;$BB207,Règles_bovins[Ration]&amp;Règles_bovins[Aliment],0))="c"),
INDEX(Règles_bovins[Valeur 12-18],MATCH(ChoixRationBovins&amp;$BB207,Règles_bovins[Ration]&amp;Règles_bovins[Aliment],0)),0),0)*IF(ChoixBovinsPréHiver=OUI,animaux!D30,TotalBovinsMâles_12_18mois*SUM(NbreJoursNourrirBovins)))</f>
        <v>0</v>
      </c>
      <c r="BG207" s="1269">
        <f t="array" ref="BG207">IF(Ration_complète_bovins[somme]&gt;0,0,IFERROR(IF(OR(AND(INDEX(Règles_bovins[Specificite],MATCH(ChoixRationBovins&amp;$BB207,Règles_bovins[Ration]&amp;Règles_bovins[Aliment],0))="s1",IF($BB207=Spécificité1Bovins,1)),
AND(INDEX(Règles_bovins[Specificite],MATCH(ChoixRationBovins&amp;$BB207,Règles_bovins[Ration]&amp;Règles_bovins[Aliment],0))="s2",IF($BB207=Spécificité2Bovins,1)),
INDEX(Règles_bovins[Specificite],MATCH(ChoixRationBovins&amp;$BB207,Règles_bovins[Ration]&amp;Règles_bovins[Aliment],0))="c"),
INDEX(Règles_bovins[Valeur 6-12],MATCH(ChoixRationBovins&amp;$BB207,Règles_bovins[Ration]&amp;Règles_bovins[Aliment],0)),0),0)*IF(ChoixBovinsPréHiver=OUI,TotalVeauMâle_6_12_RacesLaitières,TotalBovinsMâles_6_12mois*SUM(NbreJoursNourrirBovins)))</f>
        <v>0</v>
      </c>
      <c r="BH207" s="1269">
        <f t="array" ref="BH207">IF(Ration_complète_bovins[somme]&gt;0,0,IFERROR(IF(OR(AND(INDEX(Règles_bovins[Specificite],MATCH(ChoixRationBovins&amp;$BB207,Règles_bovins[Ration]&amp;Règles_bovins[Aliment],0))="s1",IF($BB207=Spécificité1Bovins,1)),
AND(INDEX(Règles_bovins[Specificite],MATCH(ChoixRationBovins&amp;$BB207,Règles_bovins[Ration]&amp;Règles_bovins[Aliment],0))="s2",IF($BB207=Spécificité2Bovins,1)),
INDEX(Règles_bovins[Specificite],MATCH(ChoixRationBovins&amp;$BB207,Règles_bovins[Ration]&amp;Règles_bovins[Aliment],0))="c"),
INDEX(Règles_bovins[Valeur 3-6],MATCH(ChoixRationBovins&amp;$BB207,Règles_bovins[Ration]&amp;Règles_bovins[Aliment],0)),0),0)*IF(ChoixBovinsPréHiver=OUI,TotalVeauMâle_3_6_RacesLaitières,TotalBovinsMâles_3_6mois*SUM(NbreJoursNourrirBovins)))</f>
        <v>0</v>
      </c>
      <c r="BI207" s="1269">
        <f t="array" ref="BI207">IF(Ration_complète_bovins[somme]&gt;0,0,IFERROR(IF(OR(AND(INDEX(Règles_bovins[Specificite],MATCH(ChoixRationBovins&amp;$BB207,Règles_bovins[Ration]&amp;Règles_bovins[Aliment],0))="s1",IF($BB207=Spécificité1Bovins,1)),
AND(INDEX(Règles_bovins[Specificite],MATCH(ChoixRationBovins&amp;$BB207,Règles_bovins[Ration]&amp;Règles_bovins[Aliment],0))="s2",IF($BB207=Spécificité2Bovins,1)),
INDEX(Règles_bovins[Specificite],MATCH(ChoixRationBovins&amp;$BB207,Règles_bovins[Ration]&amp;Règles_bovins[Aliment],0))="c"),
INDEX(Règles_bovins[Valeur 0-3],MATCH(ChoixRationBovins&amp;$BB207,Règles_bovins[Ration]&amp;Règles_bovins[Aliment],0)),0),0)*IF(ChoixBovinsPréHiver=OUI,TotalVeauMâle_0_3_RacesLaitières,TotalBovinsMâles_0_3mois*SUM(NbreJoursNourrirBovins)))</f>
        <v>0</v>
      </c>
      <c r="BJ207" s="1270">
        <f t="shared" si="69"/>
        <v>0</v>
      </c>
      <c r="BK207" s="1321"/>
      <c r="BL207" s="1321"/>
      <c r="BM207" s="1346"/>
      <c r="BN207" s="1321"/>
      <c r="BO207" s="1321"/>
      <c r="BP207" s="1321"/>
      <c r="BQ207" s="1321"/>
      <c r="BR207" s="1321"/>
      <c r="BS207" s="1321"/>
      <c r="BT207" s="1321"/>
      <c r="BU207" s="1321"/>
      <c r="BV207" s="1345"/>
      <c r="BW207" s="1345"/>
      <c r="BX207" s="1075" t="str">
        <f t="shared" si="70"/>
        <v>Eau</v>
      </c>
      <c r="BY207" s="1269">
        <f t="array" ref="BY207">SUM((IF(QualitéAlimentsChevreau_0_3_mois=BONNE,VLOOKUP("Eau",AlimentsRationCaprinsMâles,5,FALSE),0)+(IF(QualitéAlimentsChevrette_0_3_mois=BONNE,VLOOKUP("Eau",AlimentsRationCaprinsFemelles,5,FALSE),0)+(IF(QualitéAlimentsChevreau_3_6_mois=BONNE,VLOOKUP("Eau",AlimentsRationCaprinsMâles,4,FALSE),0)+(IF(QualitéAlimentsChevrette_3_6_mois=BONNE,VLOOKUP("Eau",AlimentsRationCaprinsFemelles,4,FALSE),0)+(IF(QualitéAlimentsJeuneBouc=BONNE,VLOOKUP("Eau",AlimentsRationCaprinsMâles,3,FALSE),0)+(IF(QualitéAlimentsJeuneChèvre=BONNE,VLOOKUP("Eau",AlimentsRationCaprinsFemelles,3,FALSE),0)+(IF(QualitéAlimentsBouc=BONNE,VLOOKUP("Eau",AlimentsRationCaprinsMâles,2,FALSE),0)+(IF(QualitéAlimentsChèvre=BONNE,VLOOKUP("Eau",AlimentsRationCaprinsFemelles,2,FALSE),0))))))))))</f>
        <v>0</v>
      </c>
      <c r="BZ207" s="1269">
        <f t="array" ref="BZ207">SUM((IF(QualitéAlimentsChevreau_0_3_mois=MOYENNE,VLOOKUP("Eau",AlimentsRationCaprinsMâles,5,FALSE),0)+(IF(QualitéAlimentsChevrette_0_3_mois=MOYENNE,VLOOKUP("Eau",AlimentsRationCaprinsFemelles,5,FALSE),0)+(IF(QualitéAlimentsChevreau_3_6_mois=MOYENNE,VLOOKUP("Eau",AlimentsRationCaprinsMâles,4,FALSE),0)+(IF(QualitéAlimentsChevrette_3_6_mois=MOYENNE,VLOOKUP("Eau",AlimentsRationCaprinsFemelles,4,FALSE),0)+(IF(QualitéAlimentsJeuneBouc=MOYENNE,VLOOKUP("Eau",AlimentsRationCaprinsMâles,3,FALSE),0)+(IF(QualitéAlimentsJeuneChèvre=MOYENNE,VLOOKUP("Eau",AlimentsRationCaprinsFemelles,3,FALSE),0)+(IF(QualitéAlimentsBouc=MOYENNE,VLOOKUP("Eau",AlimentsRationCaprinsMâles,2,FALSE),0)+(IF(QualitéAlimentsChèvre=MOYENNE,VLOOKUP("Eau",AlimentsRationCaprinsFemelles,2,FALSE),0))))))))))</f>
        <v>0</v>
      </c>
      <c r="CA207" s="1269">
        <f t="array" ref="CA207">SUM((IF(QualitéAlimentsChevreau_0_3_mois=MAUVAISE,VLOOKUP("Eau",AlimentsRationCaprinsMâles,5,FALSE),0)+(IF(QualitéAlimentsChevrette_0_3_mois=MAUVAISE,VLOOKUP("Eau",AlimentsRationCaprinsFemelles,5,FALSE),0)+(IF(QualitéAlimentsChevreau_3_6_mois=MAUVAISE,VLOOKUP("Eau",AlimentsRationCaprinsMâles,4,FALSE),0)+(IF(QualitéAlimentsChevrette_3_6_mois=MAUVAISE,VLOOKUP("Eau",AlimentsRationCaprinsFemelles,4,FALSE),0)+(IF(QualitéAlimentsJeuneBouc=MAUVAISE,VLOOKUP("Eau",AlimentsRationCaprinsMâles,3,FALSE),0)+(IF(QualitéAlimentsJeuneChèvre=MAUVAISE,VLOOKUP("Eau",AlimentsRationCaprinsFemelles,3,FALSE),0)+(IF(QualitéAlimentsBouc=MAUVAISE,VLOOKUP("Eau",AlimentsRationCaprinsMâles,2,FALSE),0)+(IF(QualitéAlimentsChèvre=MAUVAISE,VLOOKUP("Eau",AlimentsRationCaprinsFemelles,2,FALSE),0))))))))))</f>
        <v>0</v>
      </c>
      <c r="CB207" s="1321"/>
      <c r="CC207" s="1321"/>
      <c r="CD207" s="1345"/>
      <c r="CE207" s="1345"/>
      <c r="CF207" s="1345"/>
      <c r="CG207" s="1345"/>
      <c r="CH207" s="1345"/>
      <c r="CI207" s="1321"/>
      <c r="CJ207" s="1321"/>
      <c r="CK207" s="1321"/>
      <c r="CL207" s="1321"/>
      <c r="CM207" s="1321"/>
      <c r="CN207" s="1321"/>
      <c r="CO207" s="1321"/>
      <c r="CP207" s="1321"/>
      <c r="CQ207" s="1321"/>
      <c r="CR207" s="1321"/>
      <c r="CS207" s="1321"/>
      <c r="CT207" s="1321"/>
      <c r="CU207" s="1321"/>
      <c r="CV207" s="1321"/>
      <c r="CW207" s="1321"/>
      <c r="CX207" s="1321"/>
      <c r="CY207" s="1321"/>
      <c r="CZ207" s="1321"/>
      <c r="DA207" s="1321"/>
      <c r="DB207" s="1321"/>
      <c r="DC207" s="1321"/>
      <c r="DD207" s="1321"/>
      <c r="DE207" s="1321"/>
      <c r="DF207" s="1321"/>
      <c r="DG207" s="1321"/>
      <c r="DH207" s="1321"/>
      <c r="DI207" s="1321"/>
      <c r="DJ207" s="1321"/>
      <c r="DK207" s="1321"/>
      <c r="DL207" s="1321"/>
      <c r="DM207" s="1321"/>
      <c r="DN207" s="1075" t="str">
        <f t="shared" si="68"/>
        <v>Haricot vert</v>
      </c>
      <c r="DO207" s="1269">
        <f t="array" ref="DO207">IF(ChoixRationComplèteOvins=OUI,0,IFERROR(IF(OR(AND(INDEX(Règles_ovins[Specificite],MATCH(ChoixRationOvins&amp;$DN207,Règles_ovins[Ration]&amp;Règles_ovins[Aliment],0))="s1",IF($DN207=Spécificité1Ovins,1)),
AND(INDEX(Règles_ovins[Specificite],MATCH(ChoixRationOvins&amp;$DN207,Règles_ovins[Ration]&amp;Règles_ovins[Aliment],0))="s2",IF($DN207=Spécificité2Ovins,1)),
INDEX(Règles_ovins[Specificite],MATCH(ChoixRationOvins&amp;$DN207,Règles_ovins[Ration]&amp;Règles_ovins[Aliment],0))="c"),
INDEX(Règles_ovins[Valeur 12 et plus],MATCH(ChoixRationOvins&amp;$DN207,Règles_ovins[Ration]&amp;Règles_ovins[Aliment],0)),0),0)*IF(ChoixOvinsPréHiver=OUI,SUM(TotalOvinsAdultesRacesLaitières)*NbreJoursNourrirOvins,TotalBrebis*SUM(NbreJoursNourrirOvins)))</f>
        <v>0</v>
      </c>
      <c r="DP207" s="1269">
        <f t="array" ref="DP207">IF(ChoixRationComplèteOvins=OUI,0,IFERROR(IF(OR(AND(INDEX(Règles_ovins[Specificite],MATCH(ChoixRationOvins&amp;$DN207,Règles_ovins[Ration]&amp;Règles_ovins[Aliment],0))="s1",IF($DN207=Spécificité1Ovins,1)),
AND(INDEX(Règles_ovins[Specificite],MATCH(ChoixRationOvins&amp;$DN207,Règles_ovins[Ration]&amp;Règles_ovins[Aliment],0))="s2",IF($DN207=Spécificité2Ovins,1)),
INDEX(Règles_ovins[Specificite],MATCH(ChoixRationOvins&amp;$DN207,Règles_ovins[Ration]&amp;Règles_ovins[Aliment],0))="c"),
INDEX(Règles_ovins[Valeur 6-12],MATCH(ChoixRationOvins&amp;$DN207,Règles_ovins[Ration]&amp;Règles_ovins[Aliment],0)),0),0)*IF(ChoixOvinsPréHiver=OUI,SUM(TotalJeunesOvinsRacesLaitières)*NbreJoursNourrirOvins,TotalJeune_brebis_6_12_mois*SUM(NbreJoursNourrirOvins)))</f>
        <v>0</v>
      </c>
      <c r="DQ207" s="1269">
        <f t="array" ref="DQ207">IF(ChoixRationComplèteOvins=OUI,0,IFERROR(IF(OR(AND(INDEX(Règles_ovins[Specificite],MATCH(ChoixRationOvins&amp;$DN207,Règles_ovins[Ration]&amp;Règles_ovins[Aliment],0))="s1",IF($DN207=Spécificité1Ovins,1)),
AND(INDEX(Règles_ovins[Specificite],MATCH(ChoixRationOvins&amp;$DN207,Règles_ovins[Ration]&amp;Règles_ovins[Aliment],0))="s2",IF($DN207=Spécificité2Ovins,1)),
INDEX(Règles_ovins[Specificite],MATCH(ChoixRationOvins&amp;$DN207,Règles_ovins[Ration]&amp;Règles_ovins[Aliment],0))="c"),
INDEX(Règles_ovins[Valeur 3-6],MATCH(ChoixRationOvins&amp;$DN207,Règles_ovins[Ration]&amp;Règles_ovins[Aliment],0)),0),0)*IF(ChoixOvinsPréHiver=OUI,SUM(TotalOvins_3_6moisRacesLaitières)*NbreJoursNourrirOvins,TotalAgnelle_3_6_mois*SUM(NbreJoursNourrirOvins)))</f>
        <v>0</v>
      </c>
      <c r="DR207" s="1269">
        <f t="array" ref="DR207">IF(ChoixRationComplèteOvins=OUI,0,IFERROR(IF(OR(AND(INDEX(Règles_ovins[Specificite],MATCH(ChoixRationOvins&amp;$DN207,Règles_ovins[Ration]&amp;Règles_ovins[Aliment],0))="s1",IF($DN207=Spécificité1Ovins,1)),
AND(INDEX(Règles_ovins[Specificite],MATCH(ChoixRationOvins&amp;$DN207,Règles_ovins[Ration]&amp;Règles_ovins[Aliment],0))="s2",IF($DN207=Spécificité2Ovins,1)),
INDEX(Règles_ovins[Specificite],MATCH(ChoixRationOvins&amp;$DN207,Règles_ovins[Ration]&amp;Règles_ovins[Aliment],0))="c"),
INDEX(Règles_ovins[Valeur 0-3],MATCH(ChoixRationOvins&amp;$DN207,Règles_ovins[Ration]&amp;Règles_ovins[Aliment],0)),0),0)*IF(ChoixOvinsPréHiver=OUI,SUM(TotalOvins_3_6moisRacesLaitières)*NbreJoursNourrirOvins,TotalAgnelle_0_3_mois*SUM(NbreJoursNourrirOvins)))</f>
        <v>0</v>
      </c>
      <c r="DS207" s="1280">
        <f t="shared" si="67"/>
        <v>0</v>
      </c>
      <c r="DT207" s="1346"/>
      <c r="DU207" s="1345"/>
      <c r="DV207" s="1321"/>
      <c r="DW207" s="1321"/>
      <c r="DX207" s="1321"/>
      <c r="DY207" s="1321"/>
      <c r="DZ207" s="1321"/>
      <c r="EA207" s="1321"/>
      <c r="EB207" s="1321"/>
      <c r="EC207" s="1321"/>
      <c r="ED207" s="1345"/>
      <c r="EE207" s="1345"/>
      <c r="EF207" s="1321"/>
      <c r="EG207" s="1321"/>
      <c r="EH207" s="1321"/>
      <c r="EI207" s="1321"/>
      <c r="EJ207" s="1321"/>
      <c r="EK207" s="1345"/>
      <c r="EL207" s="1345"/>
      <c r="EM207" s="1321"/>
      <c r="EN207" s="1321"/>
      <c r="EO207" s="1321"/>
      <c r="EP207" s="1321"/>
      <c r="EQ207" s="1321"/>
      <c r="ER207" s="1345"/>
      <c r="ES207" s="1345"/>
      <c r="ET207" s="1321"/>
      <c r="EU207" s="1082" t="str">
        <f t="shared" si="73"/>
        <v>Chanvre</v>
      </c>
      <c r="EV207" s="1282">
        <f t="array" ref="EV207">SUM((IF(QualitéAlimentsPoulainSelleMâle=BONNE,VLOOKUP("Chanvre",AlimentsRationEcurieChevauxMâlesSelle,5,FALSE),0)+(IF(QualitéAlimentsPoulainSelleFemelle=BONNE,VLOOKUP("Chanvre",AlimentsRationEcurieChevauxFemellesSelle,5,FALSE),0)+(IF(QualitéAlimentsJeuneEtalon_12_24_moisSelle=BONNE,VLOOKUP("Chanvre",AlimentsRationEcurieChevauxMâlesSelle,4,FALSE),0)+(IF(QualitéAlimentsJeuneJument_12_24_moisSelle=BONNE,VLOOKUP("Chanvre",AlimentsRationEcurieChevauxFemellesSelle,4,FALSE),0)+(IF(QualitéAlimentsJeuneEtalon_24_36_moisSelle=BONNE,VLOOKUP("Chanvre",AlimentsRationEcurieChevauxMâlesSelle,3,FALSE),0)+(IF(QualitéAlimentsJeuneJument_24_36_moisSelle=BONNE,VLOOKUP("Chanvre",AlimentsRationEcurieChevauxFemellesSelle,3,FALSE),0)+(IF(QualitéAlimentsEtalonSelle=BONNE,VLOOKUP("Chanvre",AlimentsRationEcurieChevauxMâlesSelle,2,FALSE),0)+(IF(QualitéAlimentsJumentSelle=BONNE,VLOOKUP("Chanvre",AlimentsRationEcurieChevauxFemellesSelle,2,FALSE),0))))))))))</f>
        <v>0</v>
      </c>
      <c r="EW207" s="1282">
        <f t="array" ref="EW207">SUM((IF(QualitéAlimentsPoulainSelleMâle=MOYENNE,VLOOKUP("Chanvre",AlimentsRationEcurieChevauxMâlesSelle,5,FALSE),0)+(IF(QualitéAlimentsPoulainSelleFemelle=MOYENNE,VLOOKUP("Chanvre",AlimentsRationEcurieChevauxFemellesSelle,5,FALSE),0)+(IF(QualitéAlimentsJeuneEtalon_12_24_moisSelle=MOYENNE,VLOOKUP("Chanvre",AlimentsRationEcurieChevauxMâlesSelle,4,FALSE),0)+(IF(QualitéAlimentsJeuneJument_12_24_moisSelle=MOYENNE,VLOOKUP("Chanvre",AlimentsRationEcurieChevauxFemellesSelle,4,FALSE),0)+(IF(QualitéAlimentsJeuneEtalon_24_36_moisSelle=MOYENNE,VLOOKUP("Chanvre",AlimentsRationEcurieChevauxMâlesSelle,3,FALSE),0)+(IF(QualitéAlimentsJeuneJument_24_36_moisSelle=MOYENNE,VLOOKUP("Chanvre",AlimentsRationEcurieChevauxFemellesSelle,3,FALSE),0)+(IF(QualitéAlimentsEtalonSelle=MOYENNE,VLOOKUP("Chanvre",AlimentsRationEcurieChevauxMâlesSelle,2,FALSE),0)+(IF(QualitéAlimentsJumentSelle=MOYENNE,VLOOKUP("Chanvre",AlimentsRationEcurieChevauxFemellesSelle,2,FALSE),0))))))))))</f>
        <v>0</v>
      </c>
      <c r="EX207" s="1282">
        <f t="array" ref="EX207">SUM((IF(QualitéAlimentsPoulainSelleMâle=MAUVAISE,VLOOKUP("Chanvre",AlimentsRationEcurieChevauxMâlesSelle,5,FALSE),0)+(IF(QualitéAlimentsPoulainSelleFemelle=MAUVAISE,VLOOKUP("Chanvre",AlimentsRationEcurieChevauxFemellesSelle,5,FALSE),0)+(IF(QualitéAlimentsJeuneEtalon_12_24_moisSelle=MAUVAISE,VLOOKUP("Chanvre",AlimentsRationEcurieChevauxMâlesSelle,4,FALSE),0)+(IF(QualitéAlimentsJeuneJument_12_24_moisSelle=MAUVAISE,VLOOKUP("Chanvre",AlimentsRationEcurieChevauxFemellesSelle,4,FALSE),0)+(IF(QualitéAlimentsJeuneEtalon_24_36_moisSelle=MAUVAISE,VLOOKUP("Chanvre",AlimentsRationEcurieChevauxMâlesSelle,3,FALSE),0)+(IF(QualitéAlimentsJeuneJument_24_36_moisSelle=MAUVAISE,VLOOKUP("Chanvre",AlimentsRationEcurieChevauxFemellesSelle,3,FALSE),0)+(IF(QualitéAlimentsEtalonSelle=MAUVAISE,VLOOKUP("Chanvre",AlimentsRationEcurieChevauxMâlesSelle,2,FALSE),0)+(IF(QualitéAlimentsJumentSelle=MAUVAISE,VLOOKUP("Chanvre",AlimentsRationEcurieChevauxFemellesSelle,2,FALSE),0))))))))))</f>
        <v>0</v>
      </c>
      <c r="EY207" s="1321"/>
      <c r="EZ207" s="1345"/>
      <c r="FA207" s="1345"/>
      <c r="FB207" s="1345"/>
      <c r="FC207" s="1321"/>
      <c r="FD207" s="1083" t="str">
        <f t="shared" si="72"/>
        <v>concentré jeunes porcins</v>
      </c>
      <c r="FE207" s="1283">
        <f t="array" ref="FE207">SUM((IF(QualitéAlimentsPoulainMâleTrait=BONNE,VLOOKUP("Concentré jeunes porcins",AlimentsRationEcurieChevauxMâlesTrait,5,FALSE),0)+(IF(QualitéAlimentsPoulainFemelleTrait=BONNE,VLOOKUP("Concentré jeunes porcins",AlimentsRationEcurieChevauxFemellesTrait,5,FALSE),0)+(IF(QualitéAlimentsJeuneEtalon_12_24_moisTrait=BONNE,VLOOKUP("Concentré jeunes porcins",AlimentsRationEcurieChevauxMâlesTrait,4,FALSE),0)+(IF(QualitéAlimentsJeuneJument_12_24_moisTrait=BONNE,VLOOKUP("Concentré jeunes porcins",AlimentsRationEcurieChevauxFemellesTrait,4,FALSE),0)+(IF(QualitéAlimentsJeuneEtalon_24_36_moisTrait=BONNE,VLOOKUP("Concentré jeunes porcins",AlimentsRationEcurieChevauxMâlesTrait,3,FALSE),0)+(IF(QualitéAlimentsJeuneJument_24_36_moisTrait=BONNE,VLOOKUP("Concentré jeunes porcins",AlimentsRationEcurieChevauxFemellesTrait,3,FALSE),0)+(IF(QualitéAlimentsEtalonTrait=BONNE,VLOOKUP("Concentré jeunes porcins",AlimentsRationEcurieChevauxMâlesTrait,2,FALSE),0)+(IF(QualitéAlimentsJumentTrait=BONNE,VLOOKUP("Concentré jeunes porcins",AlimentsRationEcurieChevauxFemellesTrait,2,FALSE),0))))))))))</f>
        <v>0</v>
      </c>
      <c r="FF207" s="1283">
        <f t="array" ref="FF207">SUM((IF(QualitéAlimentsPoulainMâleTrait=MOYENNE,VLOOKUP("Concentré jeunes porcins",AlimentsRationEcurieChevauxMâlesTrait,5,FALSE),0)+(IF(QualitéAlimentsPoulainFemelleTrait=MOYENNE,VLOOKUP("Concentré jeunes porcins",AlimentsRationEcurieChevauxFemellesTrait,5,FALSE),0)+(IF(QualitéAlimentsJeuneEtalon_12_24_moisTrait=MOYENNE,VLOOKUP("Concentré jeunes porcins",AlimentsRationEcurieChevauxMâlesTrait,4,FALSE),0)+(IF(QualitéAlimentsJeuneJument_12_24_moisTrait=MOYENNE,VLOOKUP("Concentré jeunes porcins",AlimentsRationEcurieChevauxFemellesTrait,4,FALSE),0)+(IF(QualitéAlimentsJeuneEtalon_24_36_moisTrait=MOYENNE,VLOOKUP("Concentré jeunes porcins",AlimentsRationEcurieChevauxMâlesTrait,3,FALSE),0)+(IF(QualitéAlimentsJeuneJument_24_36_moisTrait=MOYENNE,VLOOKUP("Concentré jeunes porcins",AlimentsRationEcurieChevauxFemellesTrait,3,FALSE),0)+(IF(QualitéAlimentsEtalonTrait=MOYENNE,VLOOKUP("Concentré jeunes porcins",AlimentsRationEcurieChevauxMâlesTrait,2,FALSE),0)+(IF(QualitéAlimentsJumentTrait=MOYENNE,VLOOKUP("Concentré jeunes porcins",AlimentsRationEcurieChevauxFemellesTrait,2,FALSE),0))))))))))</f>
        <v>0</v>
      </c>
      <c r="FG207" s="1283">
        <f t="array" ref="FG207">SUM((IF(QualitéAlimentsPoulainMâleTrait=MAUVAISE,VLOOKUP("Concentré jeunes porcins",AlimentsRationEcurieChevauxMâlesTrait,5,FALSE),0)+(IF(QualitéAlimentsPoulainFemelleTrait=MAUVAISE,VLOOKUP("Concentré jeunes porcins",AlimentsRationEcurieChevauxFemellesTrait,5,FALSE),0)+(IF(QualitéAlimentsJeuneEtalon_12_24_moisTrait=MAUVAISE,VLOOKUP("Concentré jeunes porcins",AlimentsRationEcurieChevauxMâlesTrait,4,FALSE),0)+(IF(QualitéAlimentsJeuneJument_12_24_moisTrait=MAUVAISE,VLOOKUP("Concentré jeunes porcins",AlimentsRationEcurieChevauxFemellesTrait,4,FALSE),0)+(IF(QualitéAlimentsJeuneEtalon_24_36_moisTrait=MAUVAISE,VLOOKUP("Concentré jeunes porcins",AlimentsRationEcurieChevauxMâlesTrait,3,FALSE),0)+(IF(QualitéAlimentsJeuneJument_24_36_moisTrait=MAUVAISE,VLOOKUP("Concentré jeunes porcins",AlimentsRationEcurieChevauxFemellesTrait,3,FALSE),0)+(IF(QualitéAlimentsEtalonTrait=MAUVAISE,VLOOKUP("Concentré jeunes porcins",AlimentsRationEcurieChevauxMâlesTrait,2,FALSE),0)+(IF(QualitéAlimentsJumentTrait=MAUVAISE,VLOOKUP("Concentré jeunes porcins",AlimentsRationEcurieChevauxFemellesTrait,2,FALSE),0))))))))))</f>
        <v>0</v>
      </c>
      <c r="FH207" s="1321"/>
      <c r="FI207" s="1321"/>
      <c r="FJ207" s="1345"/>
      <c r="FK207" s="1345"/>
      <c r="FL207" s="1345"/>
      <c r="FM207" s="1321"/>
      <c r="FN207" s="1082" t="str">
        <f t="shared" si="71"/>
        <v>Ensilage d'herbe</v>
      </c>
      <c r="FO207" s="1282">
        <f t="array" ref="FO207">SUM((IF(QualitéAlimentsPoulainMâlePoney=BONNE,VLOOKUP("Ensilage d'herbe",AlimentsRationEcuriePoneysMâles,5,FALSE),0)+(IF(QualitéAlimentsPoulainFemellePoney=BONNE,VLOOKUP("Ensilage d'herbe",AlimentsRationEcuriePoneysFemelles,5,FALSE),0)+(IF(QualitéAlimentsJeuneEtalon_12_24_moisPoney=BONNE,VLOOKUP("Ensilage d'herbe",AlimentsRationEcuriePoneysMâles,4,FALSE),0)+(IF(QualitéAlimentsJeuneJument_12_24_moisPoney=BONNE,VLOOKUP("Ensilage d'herbe",AlimentsRationEcuriePoneysFemelles,4,FALSE),0)+(IF(QualitéAlimentsJeuneEtalon_24_36_moisPoney=BONNE,VLOOKUP("Ensilage d'herbe",AlimentsRationEcuriePoneysMâles,3,FALSE),0)+(IF(QualitéAlimentsJeuneJument_24_36_moisPoney=BONNE,VLOOKUP("Ensilage d'herbe",AlimentsRationEcuriePoneysFemelles,3,FALSE),0)+(IF(QualitéAlimentsEtalonPoney=BONNE,VLOOKUP("Ensilage d'herbe",AlimentsRationEcuriePoneysMâles,2,FALSE),0)+(IF(QualitéAlimentsJumentPoney=BONNE,VLOOKUP("Ensilage d'herbe",AlimentsRationEcuriePoneysFemelles,2,FALSE),0))))))))))</f>
        <v>0</v>
      </c>
      <c r="FP207" s="1282">
        <f t="array" ref="FP207">SUM((IF(QualitéAlimentsPoulainMâlePoney=MOYENNE,VLOOKUP("Ensilage d'herbe",AlimentsRationEcuriePoneysMâles,5,FALSE),0)+(IF(QualitéAlimentsPoulainFemellePoney=MOYENNE,VLOOKUP("Ensilage d'herbe",AlimentsRationEcuriePoneysFemelles,5,FALSE),0)+(IF(QualitéAlimentsJeuneEtalon_12_24_moisPoney=MOYENNE,VLOOKUP("Ensilage d'herbe",AlimentsRationEcuriePoneysMâles,4,FALSE),0)+(IF(QualitéAlimentsJeuneJument_12_24_moisPoney=MOYENNE,VLOOKUP("Ensilage d'herbe",AlimentsRationEcuriePoneysFemelles,4,FALSE),0)+(IF(QualitéAlimentsJeuneEtalon_24_36_moisPoney=MOYENNE,VLOOKUP("Ensilage d'herbe",AlimentsRationEcuriePoneysMâles,3,FALSE),0)+(IF(QualitéAlimentsJeuneJument_24_36_moisPoney=MOYENNE,VLOOKUP("Ensilage d'herbe",AlimentsRationEcuriePoneysFemelles,3,FALSE),0)+(IF(QualitéAlimentsEtalonPoney=MOYENNE,VLOOKUP("Ensilage d'herbe",AlimentsRationEcuriePoneysMâles,2,FALSE),0)+(IF(QualitéAlimentsJumentPoney=MOYENNE,VLOOKUP("Ensilage d'herbe",AlimentsRationEcuriePoneysFemelles,2,FALSE),0))))))))))</f>
        <v>0</v>
      </c>
      <c r="FQ207" s="1282">
        <f t="array" ref="FQ207">SUM((IF(QualitéAlimentsPoulainMâlePoney=MAUVAISE,VLOOKUP("Ensilage d'herbe",AlimentsRationEcuriePoneysMâles,5,FALSE),0)+(IF(QualitéAlimentsPoulainFemellePoney=MAUVAISE,VLOOKUP("Ensilage d'herbe",AlimentsRationEcuriePoneysFemelles,5,FALSE),0)+(IF(QualitéAlimentsJeuneEtalon_12_24_moisPoney=MAUVAISE,VLOOKUP("Ensilage d'herbe",AlimentsRationEcuriePoneysMâles,4,FALSE),0)+(IF(QualitéAlimentsJeuneJument_12_24_moisPoney=MAUVAISE,VLOOKUP("Ensilage d'herbe",AlimentsRationEcuriePoneysFemelles,4,FALSE),0)+(IF(QualitéAlimentsJeuneEtalon_24_36_moisPoney=MAUVAISE,VLOOKUP("Ensilage d'herbe",AlimentsRationEcuriePoneysMâles,3,FALSE),0)+(IF(QualitéAlimentsJeuneJument_24_36_moisPoney=MAUVAISE,VLOOKUP("Ensilage d'herbe",AlimentsRationEcuriePoneysFemelles,3,FALSE),0)+(IF(QualitéAlimentsEtalonPoney=MAUVAISE,VLOOKUP("Ensilage d'herbe",AlimentsRationEcuriePoneysMâles,2,FALSE),0)+(IF(QualitéAlimentsJumentPoney=MAUVAISE,VLOOKUP("Ensilage d'herbe",AlimentsRationEcuriePoneysFemelles,2,FALSE),0))))))))))</f>
        <v>0</v>
      </c>
      <c r="FR207" s="1345"/>
      <c r="FS207" s="1345"/>
      <c r="FT207" s="1345"/>
      <c r="FU207" s="1345"/>
      <c r="FV207" s="1345"/>
      <c r="FW207" s="1321"/>
      <c r="FX207" s="1321"/>
      <c r="FY207" s="1321"/>
      <c r="FZ207" s="1321"/>
      <c r="GA207" s="1345"/>
      <c r="GB207" s="1321"/>
      <c r="GC207" s="1321"/>
      <c r="GD207" s="1321"/>
      <c r="GE207" s="1321"/>
      <c r="GF207" s="1321"/>
      <c r="GG207" s="1321" t="s">
        <v>1349</v>
      </c>
      <c r="GH207" s="1321" t="s">
        <v>1349</v>
      </c>
      <c r="GI207" s="1321" t="s">
        <v>1349</v>
      </c>
      <c r="GJ207" s="1321" t="s">
        <v>1349</v>
      </c>
      <c r="GK207" s="1321" t="s">
        <v>1349</v>
      </c>
      <c r="GL207" s="1321" t="s">
        <v>1349</v>
      </c>
      <c r="GM207" s="1321" t="s">
        <v>1349</v>
      </c>
      <c r="GN207" s="1321" t="s">
        <v>1349</v>
      </c>
      <c r="GO207" s="1321" t="s">
        <v>1349</v>
      </c>
      <c r="GP207" s="1321" t="s">
        <v>1349</v>
      </c>
      <c r="GQ207" s="1321" t="s">
        <v>1349</v>
      </c>
      <c r="GR207" s="1321" t="s">
        <v>1349</v>
      </c>
      <c r="GS207" s="1321" t="s">
        <v>1349</v>
      </c>
      <c r="GT207" s="1321" t="s">
        <v>1349</v>
      </c>
      <c r="GU207" s="1321" t="s">
        <v>1349</v>
      </c>
      <c r="GV207" s="1321" t="s">
        <v>1349</v>
      </c>
      <c r="GW207" s="1321"/>
      <c r="GX207" s="1321"/>
      <c r="GY207" s="1321"/>
      <c r="GZ207" s="1321"/>
      <c r="HA207" s="1321"/>
      <c r="HB207" s="1321"/>
      <c r="HC207" s="1321"/>
      <c r="HD207" s="1321"/>
      <c r="HE207" s="1321"/>
      <c r="HF207" s="1321"/>
      <c r="HG207" s="1321"/>
      <c r="HH207" s="1321"/>
      <c r="HI207" s="1321"/>
      <c r="HJ207" s="1321"/>
      <c r="HK207" s="1321"/>
      <c r="HL207" s="1321"/>
      <c r="HM207" s="1321"/>
      <c r="HN207" s="1321"/>
      <c r="HO207" s="1321"/>
      <c r="HP207" s="1321"/>
      <c r="HQ207" s="1321"/>
      <c r="HR207" s="1321"/>
      <c r="HS207" s="1321"/>
      <c r="HT207" s="1321"/>
      <c r="HU207" s="1321"/>
      <c r="HV207" s="1321"/>
      <c r="HW207" s="1321"/>
      <c r="HX207" s="1321"/>
      <c r="HY207" s="1321"/>
      <c r="HZ207" s="1321"/>
      <c r="IA207" s="1321"/>
      <c r="IB207" s="1321"/>
      <c r="IC207" s="1321"/>
      <c r="ID207" s="1321"/>
      <c r="IE207" s="1321"/>
      <c r="IF207" s="1321"/>
      <c r="IG207" s="1321"/>
      <c r="IH207" s="1321"/>
      <c r="II207" s="1321"/>
      <c r="IJ207" s="1321"/>
      <c r="IK207" s="1321"/>
      <c r="IL207" s="1321"/>
      <c r="IM207" s="1321"/>
      <c r="IN207" s="1368"/>
    </row>
    <row r="208" spans="1:248" ht="12.75" customHeight="1" x14ac:dyDescent="0.2">
      <c r="A208" s="1322"/>
      <c r="B208" s="1320"/>
      <c r="C208" s="1321"/>
      <c r="D208" s="1288" t="s">
        <v>1827</v>
      </c>
      <c r="E208" s="1151">
        <v>0.67</v>
      </c>
      <c r="F208" s="1321"/>
      <c r="G208" s="1321"/>
      <c r="H208" s="1321"/>
      <c r="I208" s="1321"/>
      <c r="J208" s="1321"/>
      <c r="K208" s="1321"/>
      <c r="L208" s="1321"/>
      <c r="M208" s="1321"/>
      <c r="N208" s="1321"/>
      <c r="O208" s="1321"/>
      <c r="P208" s="1321"/>
      <c r="Q208" s="1321"/>
      <c r="R208" s="1321"/>
      <c r="S208" s="1321"/>
      <c r="T208" s="1321"/>
      <c r="U208" s="1321"/>
      <c r="V208" s="1321"/>
      <c r="W208" s="1321"/>
      <c r="X208" s="1321"/>
      <c r="Y208" s="1321"/>
      <c r="Z208" s="1321"/>
      <c r="AA208" s="1321"/>
      <c r="AB208" s="1321"/>
      <c r="AC208" s="1321"/>
      <c r="AD208" s="1321"/>
      <c r="AE208" s="1321"/>
      <c r="AF208" s="1321"/>
      <c r="AG208" s="1321"/>
      <c r="AH208" s="1321"/>
      <c r="AI208" s="1321"/>
      <c r="AJ208" s="1321"/>
      <c r="AK208" s="1321"/>
      <c r="AL208" s="1321"/>
      <c r="AM208" s="1321"/>
      <c r="AN208" s="1321"/>
      <c r="AO208" s="1321"/>
      <c r="AP208" s="1321"/>
      <c r="AQ208" s="1321"/>
      <c r="AR208" s="1321"/>
      <c r="AS208" s="1321"/>
      <c r="AT208" s="1321"/>
      <c r="AU208" s="1321"/>
      <c r="AV208" s="1321"/>
      <c r="AW208" s="1321"/>
      <c r="AX208" s="1321"/>
      <c r="AY208" s="1321"/>
      <c r="AZ208" s="1321"/>
      <c r="BA208" s="1321"/>
      <c r="BB208" s="1076" t="s">
        <v>219</v>
      </c>
      <c r="BC208" s="1267">
        <f t="array" ref="BC208">IF(Ration_complète_bovins[somme]&gt;0,0,IFERROR(IF(OR(AND(INDEX(Règles_bovins[Specificite],MATCH(ChoixRationBovins&amp;$BB208,Règles_bovins[Ration]&amp;Règles_bovins[Aliment],0))="s1",IF($BB208=Spécificité1Bovins,1)),
AND(INDEX(Règles_bovins[Specificite],MATCH(ChoixRationBovins&amp;$BB208,Règles_bovins[Ration]&amp;Règles_bovins[Aliment],0))="s2",IF($BB208=Spécificité2Bovins,1)),
INDEX(Règles_bovins[Specificite],MATCH(ChoixRationBovins&amp;$BB208,Règles_bovins[Ration]&amp;Règles_bovins[Aliment],0))="c"),
INDEX(Règles_bovins[Valeur 36 et plus],MATCH(ChoixRationBovins&amp;$BB208,Règles_bovins[Ration]&amp;Règles_bovins[Aliment],0)),0),0)*IF(ChoixBovinsPréHiver=OUI,TotalTaureauxRacesLaitières,TotalTaureaux*SUM(NbreJoursNourrirBovins)))</f>
        <v>0</v>
      </c>
      <c r="BD208" s="1267">
        <f t="array" ref="BD208">IF(Ration_complète_bovins[somme]&gt;0,0,IFERROR(IF(OR(AND(INDEX(Règles_bovins[Specificite],MATCH(ChoixRationBovins&amp;$BB208,Règles_bovins[Ration]&amp;Règles_bovins[Aliment],0))="s1",IF($BB208=Spécificité1Bovins,1)),
AND(INDEX(Règles_bovins[Specificite],MATCH(ChoixRationBovins&amp;$BB208,Règles_bovins[Ration]&amp;Règles_bovins[Aliment],0))="s2",IF($BB208=Spécificité2Bovins,1)),
INDEX(Règles_bovins[Specificite],MATCH(ChoixRationBovins&amp;$BB208,Règles_bovins[Ration]&amp;Règles_bovins[Aliment],0))="c"),
INDEX(Règles_bovins[Valeur 24-36],MATCH(ChoixRationBovins&amp;$BB208,Règles_bovins[Ration]&amp;Règles_bovins[Aliment],0)),0),0)*IF(ChoixBovinsPréHiver=OUI,TotalTaurillon_24_36_RacesLaitières,TotalBovinsMâles_24_36mois*SUM(NbreJoursNourrirBovins)))</f>
        <v>0</v>
      </c>
      <c r="BE208" s="1267">
        <f t="array" ref="BE208">IF(Ration_complète_bovins[somme]&gt;0,0,IFERROR(IF(OR(AND(INDEX(Règles_bovins[Specificite],MATCH(ChoixRationBovins&amp;$BB208,Règles_bovins[Ration]&amp;Règles_bovins[Aliment],0))="s1",IF($BB208=Spécificité1Bovins,1)),
AND(INDEX(Règles_bovins[Specificite],MATCH(ChoixRationBovins&amp;$BB208,Règles_bovins[Ration]&amp;Règles_bovins[Aliment],0))="s2",IF($BB208=Spécificité2Bovins,1)),
INDEX(Règles_bovins[Specificite],MATCH(ChoixRationBovins&amp;$BB208,Règles_bovins[Ration]&amp;Règles_bovins[Aliment],0))="c"),
INDEX(Règles_bovins[Valeur 18-24],MATCH(ChoixRationBovins&amp;$BB208,Règles_bovins[Ration]&amp;Règles_bovins[Aliment],0)),0),0)*IF(ChoixBovinsPréHiver=OUI,TotalTaurillon_18_24_RacesLaitières,TotalBovinsMâles_18_24mois*SUM(NbreJoursNourrirBovins)))</f>
        <v>0</v>
      </c>
      <c r="BF208" s="1267">
        <f t="array" ref="BF208">IF(Ration_complète_bovins[somme]&gt;0,0,IFERROR(IF(OR(AND(INDEX(Règles_bovins[Specificite],MATCH(ChoixRationBovins&amp;$BB208,Règles_bovins[Ration]&amp;Règles_bovins[Aliment],0))="s1",IF($BB208=Spécificité1Bovins,1)),
AND(INDEX(Règles_bovins[Specificite],MATCH(ChoixRationBovins&amp;$BB208,Règles_bovins[Ration]&amp;Règles_bovins[Aliment],0))="s2",IF($BB208=Spécificité2Bovins,1)),
INDEX(Règles_bovins[Specificite],MATCH(ChoixRationBovins&amp;$BB208,Règles_bovins[Ration]&amp;Règles_bovins[Aliment],0))="c"),
INDEX(Règles_bovins[Valeur 12-18],MATCH(ChoixRationBovins&amp;$BB208,Règles_bovins[Ration]&amp;Règles_bovins[Aliment],0)),0),0)*IF(ChoixBovinsPréHiver=OUI,animaux!D31,TotalBovinsMâles_12_18mois*SUM(NbreJoursNourrirBovins)))</f>
        <v>0</v>
      </c>
      <c r="BG208" s="1267">
        <f t="array" ref="BG208">IF(Ration_complète_bovins[somme]&gt;0,0,IFERROR(IF(OR(AND(INDEX(Règles_bovins[Specificite],MATCH(ChoixRationBovins&amp;$BB208,Règles_bovins[Ration]&amp;Règles_bovins[Aliment],0))="s1",IF($BB208=Spécificité1Bovins,1)),
AND(INDEX(Règles_bovins[Specificite],MATCH(ChoixRationBovins&amp;$BB208,Règles_bovins[Ration]&amp;Règles_bovins[Aliment],0))="s2",IF($BB208=Spécificité2Bovins,1)),
INDEX(Règles_bovins[Specificite],MATCH(ChoixRationBovins&amp;$BB208,Règles_bovins[Ration]&amp;Règles_bovins[Aliment],0))="c"),
INDEX(Règles_bovins[Valeur 6-12],MATCH(ChoixRationBovins&amp;$BB208,Règles_bovins[Ration]&amp;Règles_bovins[Aliment],0)),0),0)*IF(ChoixBovinsPréHiver=OUI,TotalVeauMâle_6_12_RacesLaitières,TotalBovinsMâles_6_12mois*SUM(NbreJoursNourrirBovins)))</f>
        <v>0</v>
      </c>
      <c r="BH208" s="1267">
        <f t="array" ref="BH208">IF(Ration_complète_bovins[somme]&gt;0,0,IFERROR(IF(OR(AND(INDEX(Règles_bovins[Specificite],MATCH(ChoixRationBovins&amp;$BB208,Règles_bovins[Ration]&amp;Règles_bovins[Aliment],0))="s1",IF($BB208=Spécificité1Bovins,1)),
AND(INDEX(Règles_bovins[Specificite],MATCH(ChoixRationBovins&amp;$BB208,Règles_bovins[Ration]&amp;Règles_bovins[Aliment],0))="s2",IF($BB208=Spécificité2Bovins,1)),
INDEX(Règles_bovins[Specificite],MATCH(ChoixRationBovins&amp;$BB208,Règles_bovins[Ration]&amp;Règles_bovins[Aliment],0))="c"),
INDEX(Règles_bovins[Valeur 3-6],MATCH(ChoixRationBovins&amp;$BB208,Règles_bovins[Ration]&amp;Règles_bovins[Aliment],0)),0),0)*IF(ChoixBovinsPréHiver=OUI,TotalVeauMâle_3_6_RacesLaitières,TotalBovinsMâles_3_6mois*SUM(NbreJoursNourrirBovins)))</f>
        <v>0</v>
      </c>
      <c r="BI208" s="1267">
        <f t="array" ref="BI208">IF(Ration_complète_bovins[somme]&gt;0,0,IFERROR(IF(OR(AND(INDEX(Règles_bovins[Specificite],MATCH(ChoixRationBovins&amp;$BB208,Règles_bovins[Ration]&amp;Règles_bovins[Aliment],0))="s1",IF($BB208=Spécificité1Bovins,1)),
AND(INDEX(Règles_bovins[Specificite],MATCH(ChoixRationBovins&amp;$BB208,Règles_bovins[Ration]&amp;Règles_bovins[Aliment],0))="s2",IF($BB208=Spécificité2Bovins,1)),
INDEX(Règles_bovins[Specificite],MATCH(ChoixRationBovins&amp;$BB208,Règles_bovins[Ration]&amp;Règles_bovins[Aliment],0))="c"),
INDEX(Règles_bovins[Valeur 0-3],MATCH(ChoixRationBovins&amp;$BB208,Règles_bovins[Ration]&amp;Règles_bovins[Aliment],0)),0),0)*IF(ChoixBovinsPréHiver=OUI,TotalVeauMâle_0_3_RacesLaitières,TotalBovinsMâles_0_3mois*SUM(NbreJoursNourrirBovins)))</f>
        <v>0</v>
      </c>
      <c r="BJ208" s="1268">
        <f t="shared" si="69"/>
        <v>0</v>
      </c>
      <c r="BK208" s="1321"/>
      <c r="BL208" s="1321"/>
      <c r="BM208" s="1346"/>
      <c r="BN208" s="1321"/>
      <c r="BO208" s="1321"/>
      <c r="BP208" s="1321"/>
      <c r="BQ208" s="1321"/>
      <c r="BR208" s="1321"/>
      <c r="BS208" s="1321"/>
      <c r="BT208" s="1321"/>
      <c r="BU208" s="1321"/>
      <c r="BV208" s="1345"/>
      <c r="BW208" s="1345"/>
      <c r="BX208" s="1076" t="str">
        <f t="shared" si="70"/>
        <v>Epinard</v>
      </c>
      <c r="BY208" s="1267">
        <f t="array" ref="BY208">SUM((IF(QualitéAlimentsChevreau_0_3_mois=BONNE,VLOOKUP("Epinard",AlimentsRationCaprinsMâles,5,FALSE),0)+(IF(QualitéAlimentsChevrette_0_3_mois=BONNE,VLOOKUP("Epinard",AlimentsRationCaprinsFemelles,5,FALSE),0)+(IF(QualitéAlimentsChevreau_3_6_mois=BONNE,VLOOKUP("Epinard",AlimentsRationCaprinsMâles,4,FALSE),0)+(IF(QualitéAlimentsChevrette_3_6_mois=BONNE,VLOOKUP("Epinard",AlimentsRationCaprinsFemelles,4,FALSE),0)+(IF(QualitéAlimentsJeuneBouc=BONNE,VLOOKUP("Epinard",AlimentsRationCaprinsMâles,3,FALSE),0)+(IF(QualitéAlimentsJeuneChèvre=BONNE,VLOOKUP("Epinard",AlimentsRationCaprinsFemelles,3,FALSE),0)+(IF(QualitéAlimentsBouc=BONNE,VLOOKUP("Epinard",AlimentsRationCaprinsMâles,2,FALSE),0)+(IF(QualitéAlimentsChèvre=BONNE,VLOOKUP("Epinard",AlimentsRationCaprinsFemelles,2,FALSE),0))))))))))</f>
        <v>0</v>
      </c>
      <c r="BZ208" s="1267">
        <f t="array" ref="BZ208">SUM((IF(QualitéAlimentsChevreau_0_3_mois=MOYENNE,VLOOKUP("Epinard",AlimentsRationCaprinsMâles,5,FALSE),0)+(IF(QualitéAlimentsChevrette_0_3_mois=MOYENNE,VLOOKUP("Epinard",AlimentsRationCaprinsFemelles,5,FALSE),0)+(IF(QualitéAlimentsChevreau_3_6_mois=MOYENNE,VLOOKUP("Epinard",AlimentsRationCaprinsMâles,4,FALSE),0)+(IF(QualitéAlimentsChevrette_3_6_mois=MOYENNE,VLOOKUP("Epinard",AlimentsRationCaprinsFemelles,4,FALSE),0)+(IF(QualitéAlimentsJeuneBouc=MOYENNE,VLOOKUP("Epinard",AlimentsRationCaprinsMâles,3,FALSE),0)+(IF(QualitéAlimentsJeuneChèvre=MOYENNE,VLOOKUP("Epinard",AlimentsRationCaprinsFemelles,3,FALSE),0)+(IF(QualitéAlimentsBouc=MOYENNE,VLOOKUP("Epinard",AlimentsRationCaprinsMâles,2,FALSE),0)+(IF(QualitéAlimentsChèvre=MOYENNE,VLOOKUP("Epinard",AlimentsRationCaprinsFemelles,2,FALSE),0))))))))))</f>
        <v>0</v>
      </c>
      <c r="CA208" s="1267">
        <f t="array" ref="CA208">SUM((IF(QualitéAlimentsChevreau_0_3_mois=MAUVAISE,VLOOKUP("Epinard",AlimentsRationCaprinsMâles,5,FALSE),0)+(IF(QualitéAlimentsChevrette_0_3_mois=MAUVAISE,VLOOKUP("Epinard",AlimentsRationCaprinsFemelles,5,FALSE),0)+(IF(QualitéAlimentsChevreau_3_6_mois=MAUVAISE,VLOOKUP("Epinard",AlimentsRationCaprinsMâles,4,FALSE),0)+(IF(QualitéAlimentsChevrette_3_6_mois=MAUVAISE,VLOOKUP("Epinard",AlimentsRationCaprinsFemelles,4,FALSE),0)+(IF(QualitéAlimentsJeuneBouc=MAUVAISE,VLOOKUP("Epinard",AlimentsRationCaprinsMâles,3,FALSE),0)+(IF(QualitéAlimentsJeuneChèvre=MAUVAISE,VLOOKUP("Epinard",AlimentsRationCaprinsFemelles,3,FALSE),0)+(IF(QualitéAlimentsBouc=MAUVAISE,VLOOKUP("Epinard",AlimentsRationCaprinsMâles,2,FALSE),0)+(IF(QualitéAlimentsChèvre=MAUVAISE,VLOOKUP("Epinard",AlimentsRationCaprinsFemelles,2,FALSE),0))))))))))</f>
        <v>0</v>
      </c>
      <c r="CB208" s="1350"/>
      <c r="CC208" s="1350"/>
      <c r="CD208" s="1345"/>
      <c r="CE208" s="1345"/>
      <c r="CF208" s="1345"/>
      <c r="CG208" s="1345"/>
      <c r="CH208" s="1345"/>
      <c r="CI208" s="1321"/>
      <c r="CJ208" s="1321"/>
      <c r="CK208" s="1321"/>
      <c r="CL208" s="1321"/>
      <c r="CM208" s="1321"/>
      <c r="CN208" s="1321"/>
      <c r="CO208" s="1321"/>
      <c r="CP208" s="1321"/>
      <c r="CQ208" s="1321"/>
      <c r="CR208" s="1321"/>
      <c r="CS208" s="1321"/>
      <c r="CT208" s="1321"/>
      <c r="CU208" s="1321"/>
      <c r="CV208" s="1321"/>
      <c r="CW208" s="1321"/>
      <c r="CX208" s="1321"/>
      <c r="CY208" s="1321"/>
      <c r="CZ208" s="1321"/>
      <c r="DA208" s="1321"/>
      <c r="DB208" s="1321"/>
      <c r="DC208" s="1321"/>
      <c r="DD208" s="1321"/>
      <c r="DE208" s="1321"/>
      <c r="DF208" s="1321"/>
      <c r="DG208" s="1321"/>
      <c r="DH208" s="1321"/>
      <c r="DI208" s="1321"/>
      <c r="DJ208" s="1321"/>
      <c r="DK208" s="1321"/>
      <c r="DL208" s="1321"/>
      <c r="DM208" s="1321"/>
      <c r="DN208" s="1076" t="str">
        <f t="shared" si="68"/>
        <v>Lentille</v>
      </c>
      <c r="DO208" s="1267">
        <f t="array" ref="DO208">IF(ChoixRationComplèteOvins=OUI,0,IFERROR(IF(OR(AND(INDEX(Règles_ovins[Specificite],MATCH(ChoixRationOvins&amp;$DN208,Règles_ovins[Ration]&amp;Règles_ovins[Aliment],0))="s1",IF($DN208=Spécificité1Ovins,1)),
AND(INDEX(Règles_ovins[Specificite],MATCH(ChoixRationOvins&amp;$DN208,Règles_ovins[Ration]&amp;Règles_ovins[Aliment],0))="s2",IF($DN208=Spécificité2Ovins,1)),
INDEX(Règles_ovins[Specificite],MATCH(ChoixRationOvins&amp;$DN208,Règles_ovins[Ration]&amp;Règles_ovins[Aliment],0))="c"),
INDEX(Règles_ovins[Valeur 12 et plus],MATCH(ChoixRationOvins&amp;$DN208,Règles_ovins[Ration]&amp;Règles_ovins[Aliment],0)),0),0)*IF(ChoixOvinsPréHiver=OUI,SUM(TotalOvinsAdultesRacesLaitières)*NbreJoursNourrirOvins,TotalBrebis*SUM(NbreJoursNourrirOvins)))</f>
        <v>0</v>
      </c>
      <c r="DP208" s="1267">
        <f t="array" ref="DP208">IF(ChoixRationComplèteOvins=OUI,0,IFERROR(IF(OR(AND(INDEX(Règles_ovins[Specificite],MATCH(ChoixRationOvins&amp;$DN208,Règles_ovins[Ration]&amp;Règles_ovins[Aliment],0))="s1",IF($DN208=Spécificité1Ovins,1)),
AND(INDEX(Règles_ovins[Specificite],MATCH(ChoixRationOvins&amp;$DN208,Règles_ovins[Ration]&amp;Règles_ovins[Aliment],0))="s2",IF($DN208=Spécificité2Ovins,1)),
INDEX(Règles_ovins[Specificite],MATCH(ChoixRationOvins&amp;$DN208,Règles_ovins[Ration]&amp;Règles_ovins[Aliment],0))="c"),
INDEX(Règles_ovins[Valeur 6-12],MATCH(ChoixRationOvins&amp;$DN208,Règles_ovins[Ration]&amp;Règles_ovins[Aliment],0)),0),0)*IF(ChoixOvinsPréHiver=OUI,SUM(TotalJeunesOvinsRacesLaitières)*NbreJoursNourrirOvins,TotalJeune_brebis_6_12_mois*SUM(NbreJoursNourrirOvins)))</f>
        <v>0</v>
      </c>
      <c r="DQ208" s="1267">
        <f t="array" ref="DQ208">IF(ChoixRationComplèteOvins=OUI,0,IFERROR(IF(OR(AND(INDEX(Règles_ovins[Specificite],MATCH(ChoixRationOvins&amp;$DN208,Règles_ovins[Ration]&amp;Règles_ovins[Aliment],0))="s1",IF($DN208=Spécificité1Ovins,1)),
AND(INDEX(Règles_ovins[Specificite],MATCH(ChoixRationOvins&amp;$DN208,Règles_ovins[Ration]&amp;Règles_ovins[Aliment],0))="s2",IF($DN208=Spécificité2Ovins,1)),
INDEX(Règles_ovins[Specificite],MATCH(ChoixRationOvins&amp;$DN208,Règles_ovins[Ration]&amp;Règles_ovins[Aliment],0))="c"),
INDEX(Règles_ovins[Valeur 3-6],MATCH(ChoixRationOvins&amp;$DN208,Règles_ovins[Ration]&amp;Règles_ovins[Aliment],0)),0),0)*IF(ChoixOvinsPréHiver=OUI,SUM(TotalOvins_3_6moisRacesLaitières)*NbreJoursNourrirOvins,TotalAgnelle_3_6_mois*SUM(NbreJoursNourrirOvins)))</f>
        <v>0</v>
      </c>
      <c r="DR208" s="1267">
        <f t="array" ref="DR208">IF(ChoixRationComplèteOvins=OUI,0,IFERROR(IF(OR(AND(INDEX(Règles_ovins[Specificite],MATCH(ChoixRationOvins&amp;$DN208,Règles_ovins[Ration]&amp;Règles_ovins[Aliment],0))="s1",IF($DN208=Spécificité1Ovins,1)),
AND(INDEX(Règles_ovins[Specificite],MATCH(ChoixRationOvins&amp;$DN208,Règles_ovins[Ration]&amp;Règles_ovins[Aliment],0))="s2",IF($DN208=Spécificité2Ovins,1)),
INDEX(Règles_ovins[Specificite],MATCH(ChoixRationOvins&amp;$DN208,Règles_ovins[Ration]&amp;Règles_ovins[Aliment],0))="c"),
INDEX(Règles_ovins[Valeur 0-3],MATCH(ChoixRationOvins&amp;$DN208,Règles_ovins[Ration]&amp;Règles_ovins[Aliment],0)),0),0)*IF(ChoixOvinsPréHiver=OUI,SUM(TotalOvins_3_6moisRacesLaitières)*NbreJoursNourrirOvins,TotalAgnelle_0_3_mois*SUM(NbreJoursNourrirOvins)))</f>
        <v>0</v>
      </c>
      <c r="DS208" s="1279">
        <f t="shared" si="67"/>
        <v>0</v>
      </c>
      <c r="DT208" s="1346"/>
      <c r="DU208" s="1345"/>
      <c r="DV208" s="1321"/>
      <c r="DW208" s="1321"/>
      <c r="DX208" s="1321"/>
      <c r="DY208" s="1321"/>
      <c r="DZ208" s="1321"/>
      <c r="EA208" s="1321"/>
      <c r="EB208" s="1321"/>
      <c r="EC208" s="1321"/>
      <c r="ED208" s="1345"/>
      <c r="EE208" s="1345"/>
      <c r="EF208" s="1321"/>
      <c r="EG208" s="1321"/>
      <c r="EH208" s="1321"/>
      <c r="EI208" s="1321"/>
      <c r="EJ208" s="1321"/>
      <c r="EK208" s="1345"/>
      <c r="EL208" s="1345"/>
      <c r="EM208" s="1321"/>
      <c r="EN208" s="1321"/>
      <c r="EO208" s="1321"/>
      <c r="EP208" s="1321"/>
      <c r="EQ208" s="1321"/>
      <c r="ER208" s="1345"/>
      <c r="ES208" s="1345"/>
      <c r="ET208" s="1321"/>
      <c r="EU208" s="1083" t="str">
        <f t="shared" si="73"/>
        <v>Canola</v>
      </c>
      <c r="EV208" s="1283">
        <f t="array" ref="EV208">SUM((IF(QualitéAlimentsPoulainSelleMâle=BONNE,VLOOKUP("Canola",AlimentsRationEcurieChevauxMâlesSelle,5,FALSE),0)+(IF(QualitéAlimentsPoulainSelleFemelle=BONNE,VLOOKUP("Canola",AlimentsRationEcurieChevauxFemellesSelle,5,FALSE),0)+(IF(QualitéAlimentsJeuneEtalon_12_24_moisSelle=BONNE,VLOOKUP("Canola",AlimentsRationEcurieChevauxMâlesSelle,4,FALSE),0)+(IF(QualitéAlimentsJeuneJument_12_24_moisSelle=BONNE,VLOOKUP("Canola",AlimentsRationEcurieChevauxFemellesSelle,4,FALSE),0)+(IF(QualitéAlimentsJeuneEtalon_24_36_moisSelle=BONNE,VLOOKUP("Canola",AlimentsRationEcurieChevauxMâlesSelle,3,FALSE),0)+(IF(QualitéAlimentsJeuneJument_24_36_moisSelle=BONNE,VLOOKUP("Canola",AlimentsRationEcurieChevauxFemellesSelle,3,FALSE),0)+(IF(QualitéAlimentsEtalonSelle=BONNE,VLOOKUP("Canola",AlimentsRationEcurieChevauxMâlesSelle,2,FALSE),0)+(IF(QualitéAlimentsJumentSelle=BONNE,VLOOKUP("Canola",AlimentsRationEcurieChevauxFemellesSelle,2,FALSE),0))))))))))</f>
        <v>0</v>
      </c>
      <c r="EW208" s="1283">
        <f t="array" ref="EW208">SUM((IF(QualitéAlimentsPoulainSelleMâle=MOYENNE,VLOOKUP("Canola",AlimentsRationEcurieChevauxMâlesSelle,5,FALSE),0)+(IF(QualitéAlimentsPoulainSelleFemelle=MOYENNE,VLOOKUP("Canola",AlimentsRationEcurieChevauxFemellesSelle,5,FALSE),0)+(IF(QualitéAlimentsJeuneEtalon_12_24_moisSelle=MOYENNE,VLOOKUP("Canola",AlimentsRationEcurieChevauxMâlesSelle,4,FALSE),0)+(IF(QualitéAlimentsJeuneJument_12_24_moisSelle=MOYENNE,VLOOKUP("Canola",AlimentsRationEcurieChevauxFemellesSelle,4,FALSE),0)+(IF(QualitéAlimentsJeuneEtalon_24_36_moisSelle=MOYENNE,VLOOKUP("Canola",AlimentsRationEcurieChevauxMâlesSelle,3,FALSE),0)+(IF(QualitéAlimentsJeuneJument_24_36_moisSelle=MOYENNE,VLOOKUP("Canola",AlimentsRationEcurieChevauxFemellesSelle,3,FALSE),0)+(IF(QualitéAlimentsEtalonSelle=MOYENNE,VLOOKUP("Canola",AlimentsRationEcurieChevauxMâlesSelle,2,FALSE),0)+(IF(QualitéAlimentsJumentSelle=MOYENNE,VLOOKUP("Canola",AlimentsRationEcurieChevauxFemellesSelle,2,FALSE),0))))))))))</f>
        <v>0</v>
      </c>
      <c r="EX208" s="1283">
        <f t="array" ref="EX208">SUM((IF(QualitéAlimentsPoulainSelleMâle=MAUVAISE,VLOOKUP("Canola",AlimentsRationEcurieChevauxMâlesSelle,5,FALSE),0)+(IF(QualitéAlimentsPoulainSelleFemelle=MAUVAISE,VLOOKUP("Canola",AlimentsRationEcurieChevauxFemellesSelle,5,FALSE),0)+(IF(QualitéAlimentsJeuneEtalon_12_24_moisSelle=MAUVAISE,VLOOKUP("Canola",AlimentsRationEcurieChevauxMâlesSelle,4,FALSE),0)+(IF(QualitéAlimentsJeuneJument_12_24_moisSelle=MAUVAISE,VLOOKUP("Canola",AlimentsRationEcurieChevauxFemellesSelle,4,FALSE),0)+(IF(QualitéAlimentsJeuneEtalon_24_36_moisSelle=MAUVAISE,VLOOKUP("Canola",AlimentsRationEcurieChevauxMâlesSelle,3,FALSE),0)+(IF(QualitéAlimentsJeuneJument_24_36_moisSelle=MAUVAISE,VLOOKUP("Canola",AlimentsRationEcurieChevauxFemellesSelle,3,FALSE),0)+(IF(QualitéAlimentsEtalonSelle=MAUVAISE,VLOOKUP("Canola",AlimentsRationEcurieChevauxMâlesSelle,2,FALSE),0)+(IF(QualitéAlimentsJumentSelle=MAUVAISE,VLOOKUP("Canola",AlimentsRationEcurieChevauxFemellesSelle,2,FALSE),0))))))))))</f>
        <v>0</v>
      </c>
      <c r="EY208" s="1321"/>
      <c r="EZ208" s="1345"/>
      <c r="FA208" s="1345"/>
      <c r="FB208" s="1345"/>
      <c r="FC208" s="1321"/>
      <c r="FD208" s="1082" t="str">
        <f t="shared" si="72"/>
        <v>Ensilage d'herbe</v>
      </c>
      <c r="FE208" s="1282">
        <f t="array" ref="FE208">SUM((IF(QualitéAlimentsPoulainMâleTrait=BONNE,VLOOKUP("Ensilage d'herbe",AlimentsRationEcurieChevauxMâlesTrait,5,FALSE),0)+(IF(QualitéAlimentsPoulainFemelleTrait=BONNE,VLOOKUP("Ensilage d'herbe",AlimentsRationEcurieChevauxFemellesTrait,5,FALSE),0)+(IF(QualitéAlimentsJeuneEtalon_12_24_moisTrait=BONNE,VLOOKUP("Ensilage d'herbe",AlimentsRationEcurieChevauxMâlesTrait,4,FALSE),0)+(IF(QualitéAlimentsJeuneJument_12_24_moisTrait=BONNE,VLOOKUP("Ensilage d'herbe",AlimentsRationEcurieChevauxFemellesTrait,4,FALSE),0)+(IF(QualitéAlimentsJeuneEtalon_24_36_moisTrait=BONNE,VLOOKUP("Ensilage d'herbe",AlimentsRationEcurieChevauxMâlesTrait,3,FALSE),0)+(IF(QualitéAlimentsJeuneJument_24_36_moisTrait=BONNE,VLOOKUP("Ensilage d'herbe",AlimentsRationEcurieChevauxFemellesTrait,3,FALSE),0)+(IF(QualitéAlimentsEtalonTrait=BONNE,VLOOKUP("Ensilage d'herbe",AlimentsRationEcurieChevauxMâlesTrait,2,FALSE),0)+(IF(QualitéAlimentsJumentTrait=BONNE,VLOOKUP("Ensilage d'herbe",AlimentsRationEcurieChevauxFemellesTrait,2,FALSE),0))))))))))</f>
        <v>0</v>
      </c>
      <c r="FF208" s="1282">
        <f t="array" ref="FF208">SUM((IF(QualitéAlimentsPoulainMâleTrait=MOYENNE,VLOOKUP("Ensilage d'herbe",AlimentsRationEcurieChevauxMâlesTrait,5,FALSE),0)+(IF(QualitéAlimentsPoulainFemelleTrait=MOYENNE,VLOOKUP("Ensilage d'herbe",AlimentsRationEcurieChevauxFemellesTrait,5,FALSE),0)+(IF(QualitéAlimentsJeuneEtalon_12_24_moisTrait=MOYENNE,VLOOKUP("Ensilage d'herbe",AlimentsRationEcurieChevauxMâlesTrait,4,FALSE),0)+(IF(QualitéAlimentsJeuneJument_12_24_moisTrait=MOYENNE,VLOOKUP("Ensilage d'herbe",AlimentsRationEcurieChevauxFemellesTrait,4,FALSE),0)+(IF(QualitéAlimentsJeuneEtalon_24_36_moisTrait=MOYENNE,VLOOKUP("Ensilage d'herbe",AlimentsRationEcurieChevauxMâlesTrait,3,FALSE),0)+(IF(QualitéAlimentsJeuneJument_24_36_moisTrait=MOYENNE,VLOOKUP("Ensilage d'herbe",AlimentsRationEcurieChevauxFemellesTrait,3,FALSE),0)+(IF(QualitéAlimentsEtalonTrait=MOYENNE,VLOOKUP("Ensilage d'herbe",AlimentsRationEcurieChevauxMâlesTrait,2,FALSE),0)+(IF(QualitéAlimentsJumentTrait=MOYENNE,VLOOKUP("Ensilage d'herbe",AlimentsRationEcurieChevauxFemellesTrait,2,FALSE),0))))))))))</f>
        <v>0</v>
      </c>
      <c r="FG208" s="1282">
        <f t="array" ref="FG208">SUM((IF(QualitéAlimentsPoulainMâleTrait=MAUVAISE,VLOOKUP("Ensilage d'herbe",AlimentsRationEcurieChevauxMâlesTrait,5,FALSE),0)+(IF(QualitéAlimentsPoulainFemelleTrait=MAUVAISE,VLOOKUP("Ensilage d'herbe",AlimentsRationEcurieChevauxFemellesTrait,5,FALSE),0)+(IF(QualitéAlimentsJeuneEtalon_12_24_moisTrait=MAUVAISE,VLOOKUP("Ensilage d'herbe",AlimentsRationEcurieChevauxMâlesTrait,4,FALSE),0)+(IF(QualitéAlimentsJeuneJument_12_24_moisTrait=MAUVAISE,VLOOKUP("Ensilage d'herbe",AlimentsRationEcurieChevauxFemellesTrait,4,FALSE),0)+(IF(QualitéAlimentsJeuneEtalon_24_36_moisTrait=MAUVAISE,VLOOKUP("Ensilage d'herbe",AlimentsRationEcurieChevauxMâlesTrait,3,FALSE),0)+(IF(QualitéAlimentsJeuneJument_24_36_moisTrait=MAUVAISE,VLOOKUP("Ensilage d'herbe",AlimentsRationEcurieChevauxFemellesTrait,3,FALSE),0)+(IF(QualitéAlimentsEtalonTrait=MAUVAISE,VLOOKUP("Ensilage d'herbe",AlimentsRationEcurieChevauxMâlesTrait,2,FALSE),0)+(IF(QualitéAlimentsJumentTrait=MAUVAISE,VLOOKUP("Ensilage d'herbe",AlimentsRationEcurieChevauxFemellesTrait,2,FALSE),0))))))))))</f>
        <v>0</v>
      </c>
      <c r="FH208" s="1321"/>
      <c r="FI208" s="1321"/>
      <c r="FJ208" s="1345"/>
      <c r="FK208" s="1345"/>
      <c r="FL208" s="1345"/>
      <c r="FM208" s="1321"/>
      <c r="FN208" s="1083" t="str">
        <f t="shared" si="71"/>
        <v>Eau</v>
      </c>
      <c r="FO208" s="1283">
        <f t="array" ref="FO208">SUM((IF(QualitéAlimentsPoulainMâlePoney=BONNE,VLOOKUP("Eau",AlimentsRationEcuriePoneysMâles,5,FALSE),0)+(IF(QualitéAlimentsPoulainFemellePoney=BONNE,VLOOKUP("Eau",AlimentsRationEcuriePoneysFemelles,5,FALSE),0)+(IF(QualitéAlimentsJeuneEtalon_12_24_moisPoney=BONNE,VLOOKUP("Eau",AlimentsRationEcuriePoneysMâles,4,FALSE),0)+(IF(QualitéAlimentsJeuneJument_12_24_moisPoney=BONNE,VLOOKUP("Eau",AlimentsRationEcuriePoneysFemelles,4,FALSE),0)+(IF(QualitéAlimentsJeuneEtalon_24_36_moisPoney=BONNE,VLOOKUP("Eau",AlimentsRationEcuriePoneysMâles,3,FALSE),0)+(IF(QualitéAlimentsJeuneJument_24_36_moisPoney=BONNE,VLOOKUP("Eau",AlimentsRationEcuriePoneysFemelles,3,FALSE),0)+(IF(QualitéAlimentsEtalonPoney=BONNE,VLOOKUP("Eau",AlimentsRationEcuriePoneysMâles,2,FALSE),0)+(IF(QualitéAlimentsJumentPoney=BONNE,VLOOKUP("Eau",AlimentsRationEcuriePoneysFemelles,2,FALSE),0))))))))))</f>
        <v>0</v>
      </c>
      <c r="FP208" s="1283">
        <f t="array" ref="FP208">SUM((IF(QualitéAlimentsPoulainMâlePoney=MOYENNE,VLOOKUP("Eau",AlimentsRationEcuriePoneysMâles,5,FALSE),0)+(IF(QualitéAlimentsPoulainFemellePoney=MOYENNE,VLOOKUP("Eau",AlimentsRationEcuriePoneysFemelles,5,FALSE),0)+(IF(QualitéAlimentsJeuneEtalon_12_24_moisPoney=MOYENNE,VLOOKUP("Eau",AlimentsRationEcuriePoneysMâles,4,FALSE),0)+(IF(QualitéAlimentsJeuneJument_12_24_moisPoney=MOYENNE,VLOOKUP("Eau",AlimentsRationEcuriePoneysFemelles,4,FALSE),0)+(IF(QualitéAlimentsJeuneEtalon_24_36_moisPoney=MOYENNE,VLOOKUP("Eau",AlimentsRationEcuriePoneysMâles,3,FALSE),0)+(IF(QualitéAlimentsJeuneJument_24_36_moisPoney=MOYENNE,VLOOKUP("Eau",AlimentsRationEcuriePoneysFemelles,3,FALSE),0)+(IF(QualitéAlimentsEtalonPoney=MOYENNE,VLOOKUP("Eau",AlimentsRationEcuriePoneysMâles,2,FALSE),0)+(IF(QualitéAlimentsJumentPoney=MOYENNE,VLOOKUP("Eau",AlimentsRationEcuriePoneysFemelles,2,FALSE),0))))))))))</f>
        <v>0</v>
      </c>
      <c r="FQ208" s="1283">
        <f t="array" ref="FQ208">SUM((IF(QualitéAlimentsPoulainMâlePoney=MAUVAISE,VLOOKUP("Eau",AlimentsRationEcuriePoneysMâles,5,FALSE),0)+(IF(QualitéAlimentsPoulainFemellePoney=MAUVAISE,VLOOKUP("Eau",AlimentsRationEcuriePoneysFemelles,5,FALSE),0)+(IF(QualitéAlimentsJeuneEtalon_12_24_moisPoney=MAUVAISE,VLOOKUP("Eau",AlimentsRationEcuriePoneysMâles,4,FALSE),0)+(IF(QualitéAlimentsJeuneJument_12_24_moisPoney=MAUVAISE,VLOOKUP("Eau",AlimentsRationEcuriePoneysFemelles,4,FALSE),0)+(IF(QualitéAlimentsJeuneEtalon_24_36_moisPoney=MAUVAISE,VLOOKUP("Eau",AlimentsRationEcuriePoneysMâles,3,FALSE),0)+(IF(QualitéAlimentsJeuneJument_24_36_moisPoney=MAUVAISE,VLOOKUP("Eau",AlimentsRationEcuriePoneysFemelles,3,FALSE),0)+(IF(QualitéAlimentsEtalonPoney=MAUVAISE,VLOOKUP("Eau",AlimentsRationEcuriePoneysMâles,2,FALSE),0)+(IF(QualitéAlimentsJumentPoney=MAUVAISE,VLOOKUP("Eau",AlimentsRationEcuriePoneysFemelles,2,FALSE),0))))))))))</f>
        <v>0</v>
      </c>
      <c r="FR208" s="1345"/>
      <c r="FS208" s="1345"/>
      <c r="FT208" s="1345"/>
      <c r="FU208" s="1345"/>
      <c r="FV208" s="1345"/>
      <c r="FW208" s="1321"/>
      <c r="FX208" s="1321"/>
      <c r="FY208" s="1321"/>
      <c r="FZ208" s="1321"/>
      <c r="GA208" s="1345"/>
      <c r="GB208" s="1321"/>
      <c r="GC208" s="1321"/>
      <c r="GD208" s="1321"/>
      <c r="GE208" s="1321"/>
      <c r="GF208" s="1321"/>
      <c r="GG208" s="1321" t="s">
        <v>1349</v>
      </c>
      <c r="GH208" s="1321" t="s">
        <v>1349</v>
      </c>
      <c r="GI208" s="1321" t="s">
        <v>1349</v>
      </c>
      <c r="GJ208" s="1321" t="s">
        <v>1349</v>
      </c>
      <c r="GK208" s="1321" t="s">
        <v>1349</v>
      </c>
      <c r="GL208" s="1321" t="s">
        <v>1349</v>
      </c>
      <c r="GM208" s="1321" t="s">
        <v>1349</v>
      </c>
      <c r="GN208" s="1321" t="s">
        <v>1349</v>
      </c>
      <c r="GO208" s="1321" t="s">
        <v>1349</v>
      </c>
      <c r="GP208" s="1321" t="s">
        <v>1349</v>
      </c>
      <c r="GQ208" s="1321" t="s">
        <v>1349</v>
      </c>
      <c r="GR208" s="1321" t="s">
        <v>1349</v>
      </c>
      <c r="GS208" s="1321" t="s">
        <v>1349</v>
      </c>
      <c r="GT208" s="1321" t="s">
        <v>1349</v>
      </c>
      <c r="GU208" s="1321" t="s">
        <v>1349</v>
      </c>
      <c r="GV208" s="1321" t="s">
        <v>1349</v>
      </c>
      <c r="GW208" s="1321"/>
      <c r="GX208" s="1321"/>
      <c r="GY208" s="1321"/>
      <c r="GZ208" s="1321"/>
      <c r="HA208" s="1321"/>
      <c r="HB208" s="1321"/>
      <c r="HC208" s="1321"/>
      <c r="HD208" s="1321"/>
      <c r="HE208" s="1321"/>
      <c r="HF208" s="1321"/>
      <c r="HG208" s="1321"/>
      <c r="HH208" s="1321"/>
      <c r="HI208" s="1321"/>
      <c r="HJ208" s="1321"/>
      <c r="HK208" s="1321"/>
      <c r="HL208" s="1321"/>
      <c r="HM208" s="1321"/>
      <c r="HN208" s="1321"/>
      <c r="HO208" s="1321"/>
      <c r="HP208" s="1321"/>
      <c r="HQ208" s="1321"/>
      <c r="HR208" s="1321"/>
      <c r="HS208" s="1321"/>
      <c r="HT208" s="1321"/>
      <c r="HU208" s="1321"/>
      <c r="HV208" s="1321"/>
      <c r="HW208" s="1321"/>
      <c r="HX208" s="1321"/>
      <c r="HY208" s="1321"/>
      <c r="HZ208" s="1321"/>
      <c r="IA208" s="1321"/>
      <c r="IB208" s="1321"/>
      <c r="IC208" s="1321"/>
      <c r="ID208" s="1321"/>
      <c r="IE208" s="1321"/>
      <c r="IF208" s="1321"/>
      <c r="IG208" s="1321"/>
      <c r="IH208" s="1321"/>
      <c r="II208" s="1321"/>
      <c r="IJ208" s="1321"/>
      <c r="IK208" s="1321"/>
      <c r="IL208" s="1321"/>
      <c r="IM208" s="1321"/>
      <c r="IN208" s="1368"/>
    </row>
    <row r="209" spans="1:248" ht="12.75" customHeight="1" x14ac:dyDescent="0.2">
      <c r="A209" s="1319"/>
      <c r="B209" s="1321"/>
      <c r="C209" s="1321"/>
      <c r="D209" s="1287" t="s">
        <v>1828</v>
      </c>
      <c r="E209" s="1158">
        <v>0.9</v>
      </c>
      <c r="F209" s="1321"/>
      <c r="G209" s="1321"/>
      <c r="H209" s="1321"/>
      <c r="I209" s="1321"/>
      <c r="J209" s="1321"/>
      <c r="K209" s="1321"/>
      <c r="L209" s="1321"/>
      <c r="M209" s="1321"/>
      <c r="N209" s="1321"/>
      <c r="O209" s="1321"/>
      <c r="P209" s="1321"/>
      <c r="Q209" s="1321"/>
      <c r="R209" s="1321"/>
      <c r="S209" s="1321"/>
      <c r="T209" s="1321"/>
      <c r="U209" s="1321"/>
      <c r="V209" s="1321"/>
      <c r="W209" s="1321"/>
      <c r="X209" s="1321"/>
      <c r="Y209" s="1321"/>
      <c r="Z209" s="1321"/>
      <c r="AA209" s="1321"/>
      <c r="AB209" s="1321"/>
      <c r="AC209" s="1321"/>
      <c r="AD209" s="1321"/>
      <c r="AE209" s="1321"/>
      <c r="AF209" s="1321"/>
      <c r="AG209" s="1321"/>
      <c r="AH209" s="1321"/>
      <c r="AI209" s="1321"/>
      <c r="AJ209" s="1321"/>
      <c r="AK209" s="1321"/>
      <c r="AL209" s="1321"/>
      <c r="AM209" s="1321"/>
      <c r="AN209" s="1321"/>
      <c r="AO209" s="1321"/>
      <c r="AP209" s="1321"/>
      <c r="AQ209" s="1321"/>
      <c r="AR209" s="1321"/>
      <c r="AS209" s="1321"/>
      <c r="AT209" s="1321"/>
      <c r="AU209" s="1321"/>
      <c r="AV209" s="1321"/>
      <c r="AW209" s="1321"/>
      <c r="AX209" s="1321"/>
      <c r="AY209" s="1321"/>
      <c r="AZ209" s="1321"/>
      <c r="BA209" s="1321"/>
      <c r="BB209" s="1075" t="s">
        <v>332</v>
      </c>
      <c r="BC209" s="1269">
        <f t="array" ref="BC209">IF(Ration_complète_bovins[somme]&gt;0,0,IFERROR(IF(OR(AND(INDEX(Règles_bovins[Specificite],MATCH(ChoixRationBovins&amp;$BB209,Règles_bovins[Ration]&amp;Règles_bovins[Aliment],0))="s1",IF($BB209=Spécificité1Bovins,1)),
AND(INDEX(Règles_bovins[Specificite],MATCH(ChoixRationBovins&amp;$BB209,Règles_bovins[Ration]&amp;Règles_bovins[Aliment],0))="s2",IF($BB209=Spécificité2Bovins,1)),
INDEX(Règles_bovins[Specificite],MATCH(ChoixRationBovins&amp;$BB209,Règles_bovins[Ration]&amp;Règles_bovins[Aliment],0))="c"),
INDEX(Règles_bovins[Valeur 36 et plus],MATCH(ChoixRationBovins&amp;$BB209,Règles_bovins[Ration]&amp;Règles_bovins[Aliment],0)),0),0)*IF(ChoixBovinsPréHiver=OUI,TotalTaureauxRacesLaitières,TotalTaureaux*SUM(NbreJoursNourrirBovins)))</f>
        <v>0</v>
      </c>
      <c r="BD209" s="1269">
        <f t="array" ref="BD209">IF(Ration_complète_bovins[somme]&gt;0,0,IFERROR(IF(OR(AND(INDEX(Règles_bovins[Specificite],MATCH(ChoixRationBovins&amp;$BB209,Règles_bovins[Ration]&amp;Règles_bovins[Aliment],0))="s1",IF($BB209=Spécificité1Bovins,1)),
AND(INDEX(Règles_bovins[Specificite],MATCH(ChoixRationBovins&amp;$BB209,Règles_bovins[Ration]&amp;Règles_bovins[Aliment],0))="s2",IF($BB209=Spécificité2Bovins,1)),
INDEX(Règles_bovins[Specificite],MATCH(ChoixRationBovins&amp;$BB209,Règles_bovins[Ration]&amp;Règles_bovins[Aliment],0))="c"),
INDEX(Règles_bovins[Valeur 24-36],MATCH(ChoixRationBovins&amp;$BB209,Règles_bovins[Ration]&amp;Règles_bovins[Aliment],0)),0),0)*IF(ChoixBovinsPréHiver=OUI,TotalTaurillon_24_36_RacesLaitières,TotalBovinsMâles_24_36mois*SUM(NbreJoursNourrirBovins)))</f>
        <v>0</v>
      </c>
      <c r="BE209" s="1269">
        <f t="array" ref="BE209">IF(Ration_complète_bovins[somme]&gt;0,0,IFERROR(IF(OR(AND(INDEX(Règles_bovins[Specificite],MATCH(ChoixRationBovins&amp;$BB209,Règles_bovins[Ration]&amp;Règles_bovins[Aliment],0))="s1",IF($BB209=Spécificité1Bovins,1)),
AND(INDEX(Règles_bovins[Specificite],MATCH(ChoixRationBovins&amp;$BB209,Règles_bovins[Ration]&amp;Règles_bovins[Aliment],0))="s2",IF($BB209=Spécificité2Bovins,1)),
INDEX(Règles_bovins[Specificite],MATCH(ChoixRationBovins&amp;$BB209,Règles_bovins[Ration]&amp;Règles_bovins[Aliment],0))="c"),
INDEX(Règles_bovins[Valeur 18-24],MATCH(ChoixRationBovins&amp;$BB209,Règles_bovins[Ration]&amp;Règles_bovins[Aliment],0)),0),0)*IF(ChoixBovinsPréHiver=OUI,TotalTaurillon_18_24_RacesLaitières,TotalBovinsMâles_18_24mois*SUM(NbreJoursNourrirBovins)))</f>
        <v>0</v>
      </c>
      <c r="BF209" s="1269">
        <f t="array" ref="BF209">IF(Ration_complète_bovins[somme]&gt;0,0,IFERROR(IF(OR(AND(INDEX(Règles_bovins[Specificite],MATCH(ChoixRationBovins&amp;$BB209,Règles_bovins[Ration]&amp;Règles_bovins[Aliment],0))="s1",IF($BB209=Spécificité1Bovins,1)),
AND(INDEX(Règles_bovins[Specificite],MATCH(ChoixRationBovins&amp;$BB209,Règles_bovins[Ration]&amp;Règles_bovins[Aliment],0))="s2",IF($BB209=Spécificité2Bovins,1)),
INDEX(Règles_bovins[Specificite],MATCH(ChoixRationBovins&amp;$BB209,Règles_bovins[Ration]&amp;Règles_bovins[Aliment],0))="c"),
INDEX(Règles_bovins[Valeur 12-18],MATCH(ChoixRationBovins&amp;$BB209,Règles_bovins[Ration]&amp;Règles_bovins[Aliment],0)),0),0)*IF(ChoixBovinsPréHiver=OUI,animaux!D32,TotalBovinsMâles_12_18mois*SUM(NbreJoursNourrirBovins)))</f>
        <v>0</v>
      </c>
      <c r="BG209" s="1269">
        <f t="array" ref="BG209">IF(Ration_complète_bovins[somme]&gt;0,0,IFERROR(IF(OR(AND(INDEX(Règles_bovins[Specificite],MATCH(ChoixRationBovins&amp;$BB209,Règles_bovins[Ration]&amp;Règles_bovins[Aliment],0))="s1",IF($BB209=Spécificité1Bovins,1)),
AND(INDEX(Règles_bovins[Specificite],MATCH(ChoixRationBovins&amp;$BB209,Règles_bovins[Ration]&amp;Règles_bovins[Aliment],0))="s2",IF($BB209=Spécificité2Bovins,1)),
INDEX(Règles_bovins[Specificite],MATCH(ChoixRationBovins&amp;$BB209,Règles_bovins[Ration]&amp;Règles_bovins[Aliment],0))="c"),
INDEX(Règles_bovins[Valeur 6-12],MATCH(ChoixRationBovins&amp;$BB209,Règles_bovins[Ration]&amp;Règles_bovins[Aliment],0)),0),0)*IF(ChoixBovinsPréHiver=OUI,TotalVeauMâle_6_12_RacesLaitières,TotalBovinsMâles_6_12mois*SUM(NbreJoursNourrirBovins)))</f>
        <v>0</v>
      </c>
      <c r="BH209" s="1269">
        <f t="array" ref="BH209">IF(Ration_complète_bovins[somme]&gt;0,0,IFERROR(IF(OR(AND(INDEX(Règles_bovins[Specificite],MATCH(ChoixRationBovins&amp;$BB209,Règles_bovins[Ration]&amp;Règles_bovins[Aliment],0))="s1",IF($BB209=Spécificité1Bovins,1)),
AND(INDEX(Règles_bovins[Specificite],MATCH(ChoixRationBovins&amp;$BB209,Règles_bovins[Ration]&amp;Règles_bovins[Aliment],0))="s2",IF($BB209=Spécificité2Bovins,1)),
INDEX(Règles_bovins[Specificite],MATCH(ChoixRationBovins&amp;$BB209,Règles_bovins[Ration]&amp;Règles_bovins[Aliment],0))="c"),
INDEX(Règles_bovins[Valeur 3-6],MATCH(ChoixRationBovins&amp;$BB209,Règles_bovins[Ration]&amp;Règles_bovins[Aliment],0)),0),0)*IF(ChoixBovinsPréHiver=OUI,TotalVeauMâle_3_6_RacesLaitières,TotalBovinsMâles_3_6mois*SUM(NbreJoursNourrirBovins)))</f>
        <v>0</v>
      </c>
      <c r="BI209" s="1269">
        <f t="array" ref="BI209">IF(Ration_complète_bovins[somme]&gt;0,0,IFERROR(IF(OR(AND(INDEX(Règles_bovins[Specificite],MATCH(ChoixRationBovins&amp;$BB209,Règles_bovins[Ration]&amp;Règles_bovins[Aliment],0))="s1",IF($BB209=Spécificité1Bovins,1)),
AND(INDEX(Règles_bovins[Specificite],MATCH(ChoixRationBovins&amp;$BB209,Règles_bovins[Ration]&amp;Règles_bovins[Aliment],0))="s2",IF($BB209=Spécificité2Bovins,1)),
INDEX(Règles_bovins[Specificite],MATCH(ChoixRationBovins&amp;$BB209,Règles_bovins[Ration]&amp;Règles_bovins[Aliment],0))="c"),
INDEX(Règles_bovins[Valeur 0-3],MATCH(ChoixRationBovins&amp;$BB209,Règles_bovins[Ration]&amp;Règles_bovins[Aliment],0)),0),0)*IF(ChoixBovinsPréHiver=OUI,TotalVeauMâle_0_3_RacesLaitières,TotalBovinsMâles_0_3mois*SUM(NbreJoursNourrirBovins)))</f>
        <v>0</v>
      </c>
      <c r="BJ209" s="1270">
        <f t="shared" si="69"/>
        <v>0</v>
      </c>
      <c r="BK209" s="1321"/>
      <c r="BL209" s="1321"/>
      <c r="BM209" s="1346"/>
      <c r="BN209" s="1321"/>
      <c r="BO209" s="1321"/>
      <c r="BP209" s="1321"/>
      <c r="BQ209" s="1321"/>
      <c r="BR209" s="1321"/>
      <c r="BS209" s="1321"/>
      <c r="BT209" s="1321"/>
      <c r="BU209" s="1321"/>
      <c r="BV209" s="1345"/>
      <c r="BW209" s="1345"/>
      <c r="BX209" s="1075" t="str">
        <f t="shared" si="70"/>
        <v>Féverole</v>
      </c>
      <c r="BY209" s="1269">
        <f t="array" ref="BY209">SUM((IF(QualitéAlimentsChevreau_0_3_mois=BONNE,VLOOKUP("Féverole",AlimentsRationCaprinsMâles,5,FALSE),0)+(IF(QualitéAlimentsChevrette_0_3_mois=BONNE,VLOOKUP("Féverole",AlimentsRationCaprinsFemelles,5,FALSE),0)+(IF(QualitéAlimentsChevreau_3_6_mois=BONNE,VLOOKUP("Féverole",AlimentsRationCaprinsMâles,4,FALSE),0)+(IF(QualitéAlimentsChevrette_3_6_mois=BONNE,VLOOKUP("Féverole",AlimentsRationCaprinsFemelles,4,FALSE),0)+(IF(QualitéAlimentsJeuneBouc=BONNE,VLOOKUP("Féverole",AlimentsRationCaprinsMâles,3,FALSE),0)+(IF(QualitéAlimentsJeuneChèvre=BONNE,VLOOKUP("Féverole",AlimentsRationCaprinsFemelles,3,FALSE),0)+(IF(QualitéAlimentsBouc=BONNE,VLOOKUP("Féverole",AlimentsRationCaprinsMâles,2,FALSE),0)+(IF(QualitéAlimentsChèvre=BONNE,VLOOKUP("Féverole",AlimentsRationCaprinsFemelles,2,FALSE),0))))))))))</f>
        <v>0</v>
      </c>
      <c r="BZ209" s="1269">
        <f t="array" ref="BZ209">SUM((IF(QualitéAlimentsChevreau_0_3_mois=MOYENNE,VLOOKUP("Féverole",AlimentsRationCaprinsMâles,5,FALSE),0)+(IF(QualitéAlimentsChevrette_0_3_mois=MOYENNE,VLOOKUP("Féverole",AlimentsRationCaprinsFemelles,5,FALSE),0)+(IF(QualitéAlimentsChevreau_3_6_mois=MOYENNE,VLOOKUP("Féverole",AlimentsRationCaprinsMâles,4,FALSE),0)+(IF(QualitéAlimentsChevrette_3_6_mois=MOYENNE,VLOOKUP("Féverole",AlimentsRationCaprinsFemelles,4,FALSE),0)+(IF(QualitéAlimentsJeuneBouc=MOYENNE,VLOOKUP("Féverole",AlimentsRationCaprinsMâles,3,FALSE),0)+(IF(QualitéAlimentsJeuneChèvre=MOYENNE,VLOOKUP("Féverole",AlimentsRationCaprinsFemelles,3,FALSE),0)+(IF(QualitéAlimentsBouc=MOYENNE,VLOOKUP("Féverole",AlimentsRationCaprinsMâles,2,FALSE),0)+(IF(QualitéAlimentsChèvre=MOYENNE,VLOOKUP("Féverole",AlimentsRationCaprinsFemelles,2,FALSE),0))))))))))</f>
        <v>0</v>
      </c>
      <c r="CA209" s="1269">
        <f t="array" ref="CA209">SUM((IF(QualitéAlimentsChevreau_0_3_mois=MAUVAISE,VLOOKUP("Féverole",AlimentsRationCaprinsMâles,5,FALSE),0)+(IF(QualitéAlimentsChevrette_0_3_mois=MAUVAISE,VLOOKUP("Féverole",AlimentsRationCaprinsFemelles,5,FALSE),0)+(IF(QualitéAlimentsChevreau_3_6_mois=MAUVAISE,VLOOKUP("Féverole",AlimentsRationCaprinsMâles,4,FALSE),0)+(IF(QualitéAlimentsChevrette_3_6_mois=MAUVAISE,VLOOKUP("Féverole",AlimentsRationCaprinsFemelles,4,FALSE),0)+(IF(QualitéAlimentsJeuneBouc=MAUVAISE,VLOOKUP("Féverole",AlimentsRationCaprinsMâles,3,FALSE),0)+(IF(QualitéAlimentsJeuneChèvre=MAUVAISE,VLOOKUP("Féverole",AlimentsRationCaprinsFemelles,3,FALSE),0)+(IF(QualitéAlimentsBouc=MAUVAISE,VLOOKUP("Féverole",AlimentsRationCaprinsMâles,2,FALSE),0)+(IF(QualitéAlimentsChèvre=MAUVAISE,VLOOKUP("Féverole",AlimentsRationCaprinsFemelles,2,FALSE),0))))))))))</f>
        <v>0</v>
      </c>
      <c r="CB209" s="1321"/>
      <c r="CC209" s="1321"/>
      <c r="CD209" s="1345"/>
      <c r="CE209" s="1345"/>
      <c r="CF209" s="1345"/>
      <c r="CG209" s="1345"/>
      <c r="CH209" s="1345"/>
      <c r="CI209" s="1321"/>
      <c r="CJ209" s="1321"/>
      <c r="CK209" s="1321"/>
      <c r="CL209" s="1321"/>
      <c r="CM209" s="1321"/>
      <c r="CN209" s="1321"/>
      <c r="CO209" s="1321"/>
      <c r="CP209" s="1321"/>
      <c r="CQ209" s="1321"/>
      <c r="CR209" s="1321"/>
      <c r="CS209" s="1321"/>
      <c r="CT209" s="1321"/>
      <c r="CU209" s="1321"/>
      <c r="CV209" s="1321"/>
      <c r="CW209" s="1321"/>
      <c r="CX209" s="1321"/>
      <c r="CY209" s="1321"/>
      <c r="CZ209" s="1321"/>
      <c r="DA209" s="1321"/>
      <c r="DB209" s="1321"/>
      <c r="DC209" s="1321"/>
      <c r="DD209" s="1321"/>
      <c r="DE209" s="1321"/>
      <c r="DF209" s="1321"/>
      <c r="DG209" s="1321"/>
      <c r="DH209" s="1321"/>
      <c r="DI209" s="1321"/>
      <c r="DJ209" s="1321"/>
      <c r="DK209" s="1321"/>
      <c r="DL209" s="1321"/>
      <c r="DM209" s="1321"/>
      <c r="DN209" s="1075" t="str">
        <f t="shared" si="68"/>
        <v>Maïs ensilé</v>
      </c>
      <c r="DO209" s="1269">
        <f t="array" ref="DO209">IF(ChoixRationComplèteOvins=OUI,0,IFERROR(IF(OR(AND(INDEX(Règles_ovins[Specificite],MATCH(ChoixRationOvins&amp;$DN209,Règles_ovins[Ration]&amp;Règles_ovins[Aliment],0))="s1",IF($DN209=Spécificité1Ovins,1)),
AND(INDEX(Règles_ovins[Specificite],MATCH(ChoixRationOvins&amp;$DN209,Règles_ovins[Ration]&amp;Règles_ovins[Aliment],0))="s2",IF($DN209=Spécificité2Ovins,1)),
INDEX(Règles_ovins[Specificite],MATCH(ChoixRationOvins&amp;$DN209,Règles_ovins[Ration]&amp;Règles_ovins[Aliment],0))="c"),
INDEX(Règles_ovins[Valeur 12 et plus],MATCH(ChoixRationOvins&amp;$DN209,Règles_ovins[Ration]&amp;Règles_ovins[Aliment],0)),0),0)*IF(ChoixOvinsPréHiver=OUI,SUM(TotalOvinsAdultesRacesLaitières)*NbreJoursNourrirOvins,TotalBrebis*SUM(NbreJoursNourrirOvins)))</f>
        <v>0</v>
      </c>
      <c r="DP209" s="1269">
        <f t="array" ref="DP209">IF(ChoixRationComplèteOvins=OUI,0,IFERROR(IF(OR(AND(INDEX(Règles_ovins[Specificite],MATCH(ChoixRationOvins&amp;$DN209,Règles_ovins[Ration]&amp;Règles_ovins[Aliment],0))="s1",IF($DN209=Spécificité1Ovins,1)),
AND(INDEX(Règles_ovins[Specificite],MATCH(ChoixRationOvins&amp;$DN209,Règles_ovins[Ration]&amp;Règles_ovins[Aliment],0))="s2",IF($DN209=Spécificité2Ovins,1)),
INDEX(Règles_ovins[Specificite],MATCH(ChoixRationOvins&amp;$DN209,Règles_ovins[Ration]&amp;Règles_ovins[Aliment],0))="c"),
INDEX(Règles_ovins[Valeur 6-12],MATCH(ChoixRationOvins&amp;$DN209,Règles_ovins[Ration]&amp;Règles_ovins[Aliment],0)),0),0)*IF(ChoixOvinsPréHiver=OUI,SUM(TotalJeunesOvinsRacesLaitières)*NbreJoursNourrirOvins,TotalJeune_brebis_6_12_mois*SUM(NbreJoursNourrirOvins)))</f>
        <v>0</v>
      </c>
      <c r="DQ209" s="1269">
        <f t="array" ref="DQ209">IF(ChoixRationComplèteOvins=OUI,0,IFERROR(IF(OR(AND(INDEX(Règles_ovins[Specificite],MATCH(ChoixRationOvins&amp;$DN209,Règles_ovins[Ration]&amp;Règles_ovins[Aliment],0))="s1",IF($DN209=Spécificité1Ovins,1)),
AND(INDEX(Règles_ovins[Specificite],MATCH(ChoixRationOvins&amp;$DN209,Règles_ovins[Ration]&amp;Règles_ovins[Aliment],0))="s2",IF($DN209=Spécificité2Ovins,1)),
INDEX(Règles_ovins[Specificite],MATCH(ChoixRationOvins&amp;$DN209,Règles_ovins[Ration]&amp;Règles_ovins[Aliment],0))="c"),
INDEX(Règles_ovins[Valeur 3-6],MATCH(ChoixRationOvins&amp;$DN209,Règles_ovins[Ration]&amp;Règles_ovins[Aliment],0)),0),0)*IF(ChoixOvinsPréHiver=OUI,SUM(TotalOvins_3_6moisRacesLaitières)*NbreJoursNourrirOvins,TotalAgnelle_3_6_mois*SUM(NbreJoursNourrirOvins)))</f>
        <v>0</v>
      </c>
      <c r="DR209" s="1269">
        <f t="array" ref="DR209">IF(ChoixRationComplèteOvins=OUI,0,IFERROR(IF(OR(AND(INDEX(Règles_ovins[Specificite],MATCH(ChoixRationOvins&amp;$DN209,Règles_ovins[Ration]&amp;Règles_ovins[Aliment],0))="s1",IF($DN209=Spécificité1Ovins,1)),
AND(INDEX(Règles_ovins[Specificite],MATCH(ChoixRationOvins&amp;$DN209,Règles_ovins[Ration]&amp;Règles_ovins[Aliment],0))="s2",IF($DN209=Spécificité2Ovins,1)),
INDEX(Règles_ovins[Specificite],MATCH(ChoixRationOvins&amp;$DN209,Règles_ovins[Ration]&amp;Règles_ovins[Aliment],0))="c"),
INDEX(Règles_ovins[Valeur 0-3],MATCH(ChoixRationOvins&amp;$DN209,Règles_ovins[Ration]&amp;Règles_ovins[Aliment],0)),0),0)*IF(ChoixOvinsPréHiver=OUI,SUM(TotalOvins_3_6moisRacesLaitières)*NbreJoursNourrirOvins,TotalAgnelle_0_3_mois*SUM(NbreJoursNourrirOvins)))</f>
        <v>0</v>
      </c>
      <c r="DS209" s="1280">
        <f t="shared" si="67"/>
        <v>0</v>
      </c>
      <c r="DT209" s="1346"/>
      <c r="DU209" s="1345"/>
      <c r="DV209" s="1321"/>
      <c r="DW209" s="1321"/>
      <c r="DX209" s="1321"/>
      <c r="DY209" s="1321"/>
      <c r="DZ209" s="1321"/>
      <c r="EA209" s="1321"/>
      <c r="EB209" s="1321"/>
      <c r="EC209" s="1321"/>
      <c r="ED209" s="1345"/>
      <c r="EE209" s="1345"/>
      <c r="EF209" s="1321"/>
      <c r="EG209" s="1321"/>
      <c r="EH209" s="1321"/>
      <c r="EI209" s="1321"/>
      <c r="EJ209" s="1321"/>
      <c r="EK209" s="1345"/>
      <c r="EL209" s="1345"/>
      <c r="EM209" s="1321"/>
      <c r="EN209" s="1321"/>
      <c r="EO209" s="1321"/>
      <c r="EP209" s="1321"/>
      <c r="EQ209" s="1321"/>
      <c r="ER209" s="1345"/>
      <c r="ES209" s="1345"/>
      <c r="ET209" s="1321"/>
      <c r="EU209" s="1082" t="str">
        <f t="shared" si="73"/>
        <v>Colza</v>
      </c>
      <c r="EV209" s="1282">
        <f t="array" ref="EV209">SUM((IF(QualitéAlimentsPoulainSelleMâle=BONNE,VLOOKUP("Colza",AlimentsRationEcurieChevauxMâlesSelle,5,FALSE),0)+(IF(QualitéAlimentsPoulainSelleFemelle=BONNE,VLOOKUP("Colza",AlimentsRationEcurieChevauxFemellesSelle,5,FALSE),0)+(IF(QualitéAlimentsJeuneEtalon_12_24_moisSelle=BONNE,VLOOKUP("Colza",AlimentsRationEcurieChevauxMâlesSelle,4,FALSE),0)+(IF(QualitéAlimentsJeuneJument_12_24_moisSelle=BONNE,VLOOKUP("Colza",AlimentsRationEcurieChevauxFemellesSelle,4,FALSE),0)+(IF(QualitéAlimentsJeuneEtalon_24_36_moisSelle=BONNE,VLOOKUP("Colza",AlimentsRationEcurieChevauxMâlesSelle,3,FALSE),0)+(IF(QualitéAlimentsJeuneJument_24_36_moisSelle=BONNE,VLOOKUP("Colza",AlimentsRationEcurieChevauxFemellesSelle,3,FALSE),0)+(IF(QualitéAlimentsEtalonSelle=BONNE,VLOOKUP("Colza",AlimentsRationEcurieChevauxMâlesSelle,2,FALSE),0)+(IF(QualitéAlimentsJumentSelle=BONNE,VLOOKUP("Colza",AlimentsRationEcurieChevauxFemellesSelle,2,FALSE),0))))))))))</f>
        <v>0</v>
      </c>
      <c r="EW209" s="1282">
        <f t="array" ref="EW209">SUM((IF(QualitéAlimentsPoulainSelleMâle=MOYENNE,VLOOKUP("Colza",AlimentsRationEcurieChevauxMâlesSelle,5,FALSE),0)+(IF(QualitéAlimentsPoulainSelleFemelle=MOYENNE,VLOOKUP("Colza",AlimentsRationEcurieChevauxFemellesSelle,5,FALSE),0)+(IF(QualitéAlimentsJeuneEtalon_12_24_moisSelle=MOYENNE,VLOOKUP("Colza",AlimentsRationEcurieChevauxMâlesSelle,4,FALSE),0)+(IF(QualitéAlimentsJeuneJument_12_24_moisSelle=MOYENNE,VLOOKUP("Colza",AlimentsRationEcurieChevauxFemellesSelle,4,FALSE),0)+(IF(QualitéAlimentsJeuneEtalon_24_36_moisSelle=MOYENNE,VLOOKUP("Colza",AlimentsRationEcurieChevauxMâlesSelle,3,FALSE),0)+(IF(QualitéAlimentsJeuneJument_24_36_moisSelle=MOYENNE,VLOOKUP("Colza",AlimentsRationEcurieChevauxFemellesSelle,3,FALSE),0)+(IF(QualitéAlimentsEtalonSelle=MOYENNE,VLOOKUP("Colza",AlimentsRationEcurieChevauxMâlesSelle,2,FALSE),0)+(IF(QualitéAlimentsJumentSelle=MOYENNE,VLOOKUP("Colza",AlimentsRationEcurieChevauxFemellesSelle,2,FALSE),0))))))))))</f>
        <v>0</v>
      </c>
      <c r="EX209" s="1282">
        <f t="array" ref="EX209">SUM((IF(QualitéAlimentsPoulainSelleMâle=MAUVAISE,VLOOKUP("Colza",AlimentsRationEcurieChevauxMâlesSelle,5,FALSE),0)+(IF(QualitéAlimentsPoulainSelleFemelle=MAUVAISE,VLOOKUP("Colza",AlimentsRationEcurieChevauxFemellesSelle,5,FALSE),0)+(IF(QualitéAlimentsJeuneEtalon_12_24_moisSelle=MAUVAISE,VLOOKUP("Colza",AlimentsRationEcurieChevauxMâlesSelle,4,FALSE),0)+(IF(QualitéAlimentsJeuneJument_12_24_moisSelle=MAUVAISE,VLOOKUP("Colza",AlimentsRationEcurieChevauxFemellesSelle,4,FALSE),0)+(IF(QualitéAlimentsJeuneEtalon_24_36_moisSelle=MAUVAISE,VLOOKUP("Colza",AlimentsRationEcurieChevauxMâlesSelle,3,FALSE),0)+(IF(QualitéAlimentsJeuneJument_24_36_moisSelle=MAUVAISE,VLOOKUP("Colza",AlimentsRationEcurieChevauxFemellesSelle,3,FALSE),0)+(IF(QualitéAlimentsEtalonSelle=MAUVAISE,VLOOKUP("Colza",AlimentsRationEcurieChevauxMâlesSelle,2,FALSE),0)+(IF(QualitéAlimentsJumentSelle=MAUVAISE,VLOOKUP("Colza",AlimentsRationEcurieChevauxFemellesSelle,2,FALSE),0))))))))))</f>
        <v>0</v>
      </c>
      <c r="EY209" s="1321"/>
      <c r="EZ209" s="1345"/>
      <c r="FA209" s="1345"/>
      <c r="FB209" s="1345"/>
      <c r="FC209" s="1321"/>
      <c r="FD209" s="1083" t="str">
        <f t="shared" si="72"/>
        <v>Eau</v>
      </c>
      <c r="FE209" s="1283">
        <f t="array" ref="FE209">SUM((IF(QualitéAlimentsPoulainMâleTrait=BONNE,VLOOKUP("Eau",AlimentsRationEcurieChevauxMâlesTrait,5,FALSE),0)+(IF(QualitéAlimentsPoulainFemelleTrait=BONNE,VLOOKUP("Eau",AlimentsRationEcurieChevauxFemellesTrait,5,FALSE),0)+(IF(QualitéAlimentsJeuneEtalon_12_24_moisTrait=BONNE,VLOOKUP("Eau",AlimentsRationEcurieChevauxMâlesTrait,4,FALSE),0)+(IF(QualitéAlimentsJeuneJument_12_24_moisTrait=BONNE,VLOOKUP("Eau",AlimentsRationEcurieChevauxFemellesTrait,4,FALSE),0)+(IF(QualitéAlimentsJeuneEtalon_24_36_moisTrait=BONNE,VLOOKUP("Eau",AlimentsRationEcurieChevauxMâlesTrait,3,FALSE),0)+(IF(QualitéAlimentsJeuneJument_24_36_moisTrait=BONNE,VLOOKUP("Eau",AlimentsRationEcurieChevauxFemellesTrait,3,FALSE),0)+(IF(QualitéAlimentsEtalonTrait=BONNE,VLOOKUP("Eau",AlimentsRationEcurieChevauxMâlesTrait,2,FALSE),0)+(IF(QualitéAlimentsJumentTrait=BONNE,VLOOKUP("Eau",AlimentsRationEcurieChevauxFemellesTrait,2,FALSE),0))))))))))</f>
        <v>0</v>
      </c>
      <c r="FF209" s="1283">
        <f t="array" ref="FF209">SUM((IF(QualitéAlimentsPoulainMâleTrait=MOYENNE,VLOOKUP("Eau",AlimentsRationEcurieChevauxMâlesTrait,5,FALSE),0)+(IF(QualitéAlimentsPoulainFemelleTrait=MOYENNE,VLOOKUP("Eau",AlimentsRationEcurieChevauxFemellesTrait,5,FALSE),0)+(IF(QualitéAlimentsJeuneEtalon_12_24_moisTrait=MOYENNE,VLOOKUP("Eau",AlimentsRationEcurieChevauxMâlesTrait,4,FALSE),0)+(IF(QualitéAlimentsJeuneJument_12_24_moisTrait=MOYENNE,VLOOKUP("Eau",AlimentsRationEcurieChevauxFemellesTrait,4,FALSE),0)+(IF(QualitéAlimentsJeuneEtalon_24_36_moisTrait=MOYENNE,VLOOKUP("Eau",AlimentsRationEcurieChevauxMâlesTrait,3,FALSE),0)+(IF(QualitéAlimentsJeuneJument_24_36_moisTrait=MOYENNE,VLOOKUP("Eau",AlimentsRationEcurieChevauxFemellesTrait,3,FALSE),0)+(IF(QualitéAlimentsEtalonTrait=MOYENNE,VLOOKUP("Eau",AlimentsRationEcurieChevauxMâlesTrait,2,FALSE),0)+(IF(QualitéAlimentsJumentTrait=MOYENNE,VLOOKUP("Eau",AlimentsRationEcurieChevauxFemellesTrait,2,FALSE),0))))))))))</f>
        <v>0</v>
      </c>
      <c r="FG209" s="1283">
        <f t="array" ref="FG209">SUM((IF(QualitéAlimentsPoulainMâleTrait=MAUVAISE,VLOOKUP("Eau",AlimentsRationEcurieChevauxMâlesTrait,5,FALSE),0)+(IF(QualitéAlimentsPoulainFemelleTrait=MAUVAISE,VLOOKUP("Eau",AlimentsRationEcurieChevauxFemellesTrait,5,FALSE),0)+(IF(QualitéAlimentsJeuneEtalon_12_24_moisTrait=MAUVAISE,VLOOKUP("Eau",AlimentsRationEcurieChevauxMâlesTrait,4,FALSE),0)+(IF(QualitéAlimentsJeuneJument_12_24_moisTrait=MAUVAISE,VLOOKUP("Eau",AlimentsRationEcurieChevauxFemellesTrait,4,FALSE),0)+(IF(QualitéAlimentsJeuneEtalon_24_36_moisTrait=MAUVAISE,VLOOKUP("Eau",AlimentsRationEcurieChevauxMâlesTrait,3,FALSE),0)+(IF(QualitéAlimentsJeuneJument_24_36_moisTrait=MAUVAISE,VLOOKUP("Eau",AlimentsRationEcurieChevauxFemellesTrait,3,FALSE),0)+(IF(QualitéAlimentsEtalonTrait=MAUVAISE,VLOOKUP("Eau",AlimentsRationEcurieChevauxMâlesTrait,2,FALSE),0)+(IF(QualitéAlimentsJumentTrait=MAUVAISE,VLOOKUP("Eau",AlimentsRationEcurieChevauxFemellesTrait,2,FALSE),0))))))))))</f>
        <v>0</v>
      </c>
      <c r="FH209" s="1321"/>
      <c r="FI209" s="1321"/>
      <c r="FJ209" s="1345"/>
      <c r="FK209" s="1345"/>
      <c r="FL209" s="1345"/>
      <c r="FM209" s="1321"/>
      <c r="FN209" s="1082" t="str">
        <f t="shared" si="71"/>
        <v>Epinard</v>
      </c>
      <c r="FO209" s="1282">
        <f t="array" ref="FO209">SUM((IF(QualitéAlimentsPoulainMâlePoney=BONNE,VLOOKUP("Epinard",AlimentsRationEcuriePoneysMâles,5,FALSE),0)+(IF(QualitéAlimentsPoulainFemellePoney=BONNE,VLOOKUP("Epinard",AlimentsRationEcuriePoneysFemelles,5,FALSE),0)+(IF(QualitéAlimentsJeuneEtalon_12_24_moisPoney=BONNE,VLOOKUP("Epinard",AlimentsRationEcuriePoneysMâles,4,FALSE),0)+(IF(QualitéAlimentsJeuneJument_12_24_moisPoney=BONNE,VLOOKUP("Epinard",AlimentsRationEcuriePoneysFemelles,4,FALSE),0)+(IF(QualitéAlimentsJeuneEtalon_24_36_moisPoney=BONNE,VLOOKUP("Epinard",AlimentsRationEcuriePoneysMâles,3,FALSE),0)+(IF(QualitéAlimentsJeuneJument_24_36_moisPoney=BONNE,VLOOKUP("Epinard",AlimentsRationEcuriePoneysFemelles,3,FALSE),0)+(IF(QualitéAlimentsEtalonPoney=BONNE,VLOOKUP("Epinard",AlimentsRationEcuriePoneysMâles,2,FALSE),0)+(IF(QualitéAlimentsJumentPoney=BONNE,VLOOKUP("Epinard",AlimentsRationEcuriePoneysFemelles,2,FALSE),0))))))))))</f>
        <v>0</v>
      </c>
      <c r="FP209" s="1282">
        <f t="array" ref="FP209">SUM((IF(QualitéAlimentsPoulainMâlePoney=MOYENNE,VLOOKUP("Epinard",AlimentsRationEcuriePoneysMâles,5,FALSE),0)+(IF(QualitéAlimentsPoulainFemellePoney=MOYENNE,VLOOKUP("Epinard",AlimentsRationEcuriePoneysFemelles,5,FALSE),0)+(IF(QualitéAlimentsJeuneEtalon_12_24_moisPoney=MOYENNE,VLOOKUP("Epinard",AlimentsRationEcuriePoneysMâles,4,FALSE),0)+(IF(QualitéAlimentsJeuneJument_12_24_moisPoney=MOYENNE,VLOOKUP("Epinard",AlimentsRationEcuriePoneysFemelles,4,FALSE),0)+(IF(QualitéAlimentsJeuneEtalon_24_36_moisPoney=MOYENNE,VLOOKUP("Epinard",AlimentsRationEcuriePoneysMâles,3,FALSE),0)+(IF(QualitéAlimentsJeuneJument_24_36_moisPoney=MOYENNE,VLOOKUP("Epinard",AlimentsRationEcuriePoneysFemelles,3,FALSE),0)+(IF(QualitéAlimentsEtalonPoney=MOYENNE,VLOOKUP("Epinard",AlimentsRationEcuriePoneysMâles,2,FALSE),0)+(IF(QualitéAlimentsJumentPoney=MOYENNE,VLOOKUP("Epinard",AlimentsRationEcuriePoneysFemelles,2,FALSE),0))))))))))</f>
        <v>0</v>
      </c>
      <c r="FQ209" s="1282">
        <f t="array" ref="FQ209">SUM((IF(QualitéAlimentsPoulainMâlePoney=MAUVAISE,VLOOKUP("Epinard",AlimentsRationEcuriePoneysMâles,5,FALSE),0)+(IF(QualitéAlimentsPoulainFemellePoney=MAUVAISE,VLOOKUP("Epinard",AlimentsRationEcuriePoneysFemelles,5,FALSE),0)+(IF(QualitéAlimentsJeuneEtalon_12_24_moisPoney=MAUVAISE,VLOOKUP("Epinard",AlimentsRationEcuriePoneysMâles,4,FALSE),0)+(IF(QualitéAlimentsJeuneJument_12_24_moisPoney=MAUVAISE,VLOOKUP("Epinard",AlimentsRationEcuriePoneysFemelles,4,FALSE),0)+(IF(QualitéAlimentsJeuneEtalon_24_36_moisPoney=MAUVAISE,VLOOKUP("Epinard",AlimentsRationEcuriePoneysMâles,3,FALSE),0)+(IF(QualitéAlimentsJeuneJument_24_36_moisPoney=MAUVAISE,VLOOKUP("Epinard",AlimentsRationEcuriePoneysFemelles,3,FALSE),0)+(IF(QualitéAlimentsEtalonPoney=MAUVAISE,VLOOKUP("Epinard",AlimentsRationEcuriePoneysMâles,2,FALSE),0)+(IF(QualitéAlimentsJumentPoney=MAUVAISE,VLOOKUP("Epinard",AlimentsRationEcuriePoneysFemelles,2,FALSE),0))))))))))</f>
        <v>0</v>
      </c>
      <c r="FR209" s="1345"/>
      <c r="FS209" s="1345"/>
      <c r="FT209" s="1345"/>
      <c r="FU209" s="1345"/>
      <c r="FV209" s="1345"/>
      <c r="FW209" s="1321"/>
      <c r="FX209" s="1321"/>
      <c r="FY209" s="1321"/>
      <c r="FZ209" s="1321"/>
      <c r="GA209" s="1345"/>
      <c r="GB209" s="1321"/>
      <c r="GC209" s="1321"/>
      <c r="GD209" s="1321"/>
      <c r="GE209" s="1321"/>
      <c r="GF209" s="1321"/>
      <c r="GG209" s="1321" t="s">
        <v>1349</v>
      </c>
      <c r="GH209" s="1321" t="s">
        <v>1349</v>
      </c>
      <c r="GI209" s="1321" t="s">
        <v>1349</v>
      </c>
      <c r="GJ209" s="1321" t="s">
        <v>1349</v>
      </c>
      <c r="GK209" s="1321" t="s">
        <v>1349</v>
      </c>
      <c r="GL209" s="1321" t="s">
        <v>1349</v>
      </c>
      <c r="GM209" s="1321" t="s">
        <v>1349</v>
      </c>
      <c r="GN209" s="1321" t="s">
        <v>1349</v>
      </c>
      <c r="GO209" s="1321" t="s">
        <v>1349</v>
      </c>
      <c r="GP209" s="1321" t="s">
        <v>1349</v>
      </c>
      <c r="GQ209" s="1321" t="s">
        <v>1349</v>
      </c>
      <c r="GR209" s="1321" t="s">
        <v>1349</v>
      </c>
      <c r="GS209" s="1321" t="s">
        <v>1349</v>
      </c>
      <c r="GT209" s="1321" t="s">
        <v>1349</v>
      </c>
      <c r="GU209" s="1321" t="s">
        <v>1349</v>
      </c>
      <c r="GV209" s="1321" t="s">
        <v>1349</v>
      </c>
      <c r="GW209" s="1321"/>
      <c r="GX209" s="1321"/>
      <c r="GY209" s="1321"/>
      <c r="GZ209" s="1321"/>
      <c r="HA209" s="1321"/>
      <c r="HB209" s="1321"/>
      <c r="HC209" s="1321"/>
      <c r="HD209" s="1321"/>
      <c r="HE209" s="1321"/>
      <c r="HF209" s="1321"/>
      <c r="HG209" s="1321"/>
      <c r="HH209" s="1321"/>
      <c r="HI209" s="1321"/>
      <c r="HJ209" s="1321"/>
      <c r="HK209" s="1321"/>
      <c r="HL209" s="1321"/>
      <c r="HM209" s="1321"/>
      <c r="HN209" s="1321"/>
      <c r="HO209" s="1321"/>
      <c r="HP209" s="1321"/>
      <c r="HQ209" s="1321"/>
      <c r="HR209" s="1321"/>
      <c r="HS209" s="1321"/>
      <c r="HT209" s="1321"/>
      <c r="HU209" s="1321"/>
      <c r="HV209" s="1321"/>
      <c r="HW209" s="1321"/>
      <c r="HX209" s="1321"/>
      <c r="HY209" s="1321"/>
      <c r="HZ209" s="1321"/>
      <c r="IA209" s="1321"/>
      <c r="IB209" s="1321"/>
      <c r="IC209" s="1321"/>
      <c r="ID209" s="1321"/>
      <c r="IE209" s="1321"/>
      <c r="IF209" s="1321"/>
      <c r="IG209" s="1321"/>
      <c r="IH209" s="1321"/>
      <c r="II209" s="1321"/>
      <c r="IJ209" s="1321"/>
      <c r="IK209" s="1321"/>
      <c r="IL209" s="1321"/>
      <c r="IM209" s="1321"/>
      <c r="IN209" s="1368"/>
    </row>
    <row r="210" spans="1:248" ht="12.75" customHeight="1" x14ac:dyDescent="0.2">
      <c r="A210" s="1319"/>
      <c r="B210" s="1321"/>
      <c r="C210" s="1321"/>
      <c r="D210" s="1288" t="s">
        <v>1829</v>
      </c>
      <c r="E210" s="1151">
        <v>1</v>
      </c>
      <c r="F210" s="1321"/>
      <c r="G210" s="1321"/>
      <c r="H210" s="1321"/>
      <c r="I210" s="1321"/>
      <c r="J210" s="1321"/>
      <c r="K210" s="1321"/>
      <c r="L210" s="1321"/>
      <c r="M210" s="1321"/>
      <c r="N210" s="1321"/>
      <c r="O210" s="1321"/>
      <c r="P210" s="1321"/>
      <c r="Q210" s="1321"/>
      <c r="R210" s="1321"/>
      <c r="S210" s="1321"/>
      <c r="T210" s="1321"/>
      <c r="U210" s="1321"/>
      <c r="V210" s="1321"/>
      <c r="W210" s="1321"/>
      <c r="X210" s="1321"/>
      <c r="Y210" s="1321"/>
      <c r="Z210" s="1321"/>
      <c r="AA210" s="1321"/>
      <c r="AB210" s="1321"/>
      <c r="AC210" s="1321"/>
      <c r="AD210" s="1321"/>
      <c r="AE210" s="1321"/>
      <c r="AF210" s="1321"/>
      <c r="AG210" s="1321"/>
      <c r="AH210" s="1321"/>
      <c r="AI210" s="1321"/>
      <c r="AJ210" s="1321"/>
      <c r="AK210" s="1321"/>
      <c r="AL210" s="1321"/>
      <c r="AM210" s="1321"/>
      <c r="AN210" s="1321"/>
      <c r="AO210" s="1321"/>
      <c r="AP210" s="1321"/>
      <c r="AQ210" s="1321"/>
      <c r="AR210" s="1321"/>
      <c r="AS210" s="1321"/>
      <c r="AT210" s="1321"/>
      <c r="AU210" s="1321"/>
      <c r="AV210" s="1321"/>
      <c r="AW210" s="1321"/>
      <c r="AX210" s="1321"/>
      <c r="AY210" s="1321"/>
      <c r="AZ210" s="1321"/>
      <c r="BA210" s="1321"/>
      <c r="BB210" s="1076" t="s">
        <v>333</v>
      </c>
      <c r="BC210" s="1267">
        <f t="array" ref="BC210">IF(Ration_complète_bovins[somme]&gt;0,0,IFERROR(IF(OR(AND(INDEX(Règles_bovins[Specificite],MATCH(ChoixRationBovins&amp;$BB210,Règles_bovins[Ration]&amp;Règles_bovins[Aliment],0))="s1",IF($BB210=Spécificité1Bovins,1)),
AND(INDEX(Règles_bovins[Specificite],MATCH(ChoixRationBovins&amp;$BB210,Règles_bovins[Ration]&amp;Règles_bovins[Aliment],0))="s2",IF($BB210=Spécificité2Bovins,1)),
INDEX(Règles_bovins[Specificite],MATCH(ChoixRationBovins&amp;$BB210,Règles_bovins[Ration]&amp;Règles_bovins[Aliment],0))="c"),
INDEX(Règles_bovins[Valeur 36 et plus],MATCH(ChoixRationBovins&amp;$BB210,Règles_bovins[Ration]&amp;Règles_bovins[Aliment],0)),0),0)*IF(ChoixBovinsPréHiver=OUI,TotalTaureauxRacesLaitières,TotalTaureaux*SUM(NbreJoursNourrirBovins)))</f>
        <v>0</v>
      </c>
      <c r="BD210" s="1267">
        <f t="array" ref="BD210">IF(Ration_complète_bovins[somme]&gt;0,0,IFERROR(IF(OR(AND(INDEX(Règles_bovins[Specificite],MATCH(ChoixRationBovins&amp;$BB210,Règles_bovins[Ration]&amp;Règles_bovins[Aliment],0))="s1",IF($BB210=Spécificité1Bovins,1)),
AND(INDEX(Règles_bovins[Specificite],MATCH(ChoixRationBovins&amp;$BB210,Règles_bovins[Ration]&amp;Règles_bovins[Aliment],0))="s2",IF($BB210=Spécificité2Bovins,1)),
INDEX(Règles_bovins[Specificite],MATCH(ChoixRationBovins&amp;$BB210,Règles_bovins[Ration]&amp;Règles_bovins[Aliment],0))="c"),
INDEX(Règles_bovins[Valeur 24-36],MATCH(ChoixRationBovins&amp;$BB210,Règles_bovins[Ration]&amp;Règles_bovins[Aliment],0)),0),0)*IF(ChoixBovinsPréHiver=OUI,TotalTaurillon_24_36_RacesLaitières,TotalBovinsMâles_24_36mois*SUM(NbreJoursNourrirBovins)))</f>
        <v>0</v>
      </c>
      <c r="BE210" s="1267">
        <f t="array" ref="BE210">IF(Ration_complète_bovins[somme]&gt;0,0,IFERROR(IF(OR(AND(INDEX(Règles_bovins[Specificite],MATCH(ChoixRationBovins&amp;$BB210,Règles_bovins[Ration]&amp;Règles_bovins[Aliment],0))="s1",IF($BB210=Spécificité1Bovins,1)),
AND(INDEX(Règles_bovins[Specificite],MATCH(ChoixRationBovins&amp;$BB210,Règles_bovins[Ration]&amp;Règles_bovins[Aliment],0))="s2",IF($BB210=Spécificité2Bovins,1)),
INDEX(Règles_bovins[Specificite],MATCH(ChoixRationBovins&amp;$BB210,Règles_bovins[Ration]&amp;Règles_bovins[Aliment],0))="c"),
INDEX(Règles_bovins[Valeur 18-24],MATCH(ChoixRationBovins&amp;$BB210,Règles_bovins[Ration]&amp;Règles_bovins[Aliment],0)),0),0)*IF(ChoixBovinsPréHiver=OUI,TotalTaurillon_18_24_RacesLaitières,TotalBovinsMâles_18_24mois*SUM(NbreJoursNourrirBovins)))</f>
        <v>0</v>
      </c>
      <c r="BF210" s="1267">
        <f t="array" ref="BF210">IF(Ration_complète_bovins[somme]&gt;0,0,IFERROR(IF(OR(AND(INDEX(Règles_bovins[Specificite],MATCH(ChoixRationBovins&amp;$BB210,Règles_bovins[Ration]&amp;Règles_bovins[Aliment],0))="s1",IF($BB210=Spécificité1Bovins,1)),
AND(INDEX(Règles_bovins[Specificite],MATCH(ChoixRationBovins&amp;$BB210,Règles_bovins[Ration]&amp;Règles_bovins[Aliment],0))="s2",IF($BB210=Spécificité2Bovins,1)),
INDEX(Règles_bovins[Specificite],MATCH(ChoixRationBovins&amp;$BB210,Règles_bovins[Ration]&amp;Règles_bovins[Aliment],0))="c"),
INDEX(Règles_bovins[Valeur 12-18],MATCH(ChoixRationBovins&amp;$BB210,Règles_bovins[Ration]&amp;Règles_bovins[Aliment],0)),0),0)*IF(ChoixBovinsPréHiver=OUI,animaux!D33,TotalBovinsMâles_12_18mois*SUM(NbreJoursNourrirBovins)))</f>
        <v>0</v>
      </c>
      <c r="BG210" s="1267">
        <f t="array" ref="BG210">IF(Ration_complète_bovins[somme]&gt;0,0,IFERROR(IF(OR(AND(INDEX(Règles_bovins[Specificite],MATCH(ChoixRationBovins&amp;$BB210,Règles_bovins[Ration]&amp;Règles_bovins[Aliment],0))="s1",IF($BB210=Spécificité1Bovins,1)),
AND(INDEX(Règles_bovins[Specificite],MATCH(ChoixRationBovins&amp;$BB210,Règles_bovins[Ration]&amp;Règles_bovins[Aliment],0))="s2",IF($BB210=Spécificité2Bovins,1)),
INDEX(Règles_bovins[Specificite],MATCH(ChoixRationBovins&amp;$BB210,Règles_bovins[Ration]&amp;Règles_bovins[Aliment],0))="c"),
INDEX(Règles_bovins[Valeur 6-12],MATCH(ChoixRationBovins&amp;$BB210,Règles_bovins[Ration]&amp;Règles_bovins[Aliment],0)),0),0)*IF(ChoixBovinsPréHiver=OUI,TotalVeauMâle_6_12_RacesLaitières,TotalBovinsMâles_6_12mois*SUM(NbreJoursNourrirBovins)))</f>
        <v>0</v>
      </c>
      <c r="BH210" s="1267">
        <f t="array" ref="BH210">IF(Ration_complète_bovins[somme]&gt;0,0,IFERROR(IF(OR(AND(INDEX(Règles_bovins[Specificite],MATCH(ChoixRationBovins&amp;$BB210,Règles_bovins[Ration]&amp;Règles_bovins[Aliment],0))="s1",IF($BB210=Spécificité1Bovins,1)),
AND(INDEX(Règles_bovins[Specificite],MATCH(ChoixRationBovins&amp;$BB210,Règles_bovins[Ration]&amp;Règles_bovins[Aliment],0))="s2",IF($BB210=Spécificité2Bovins,1)),
INDEX(Règles_bovins[Specificite],MATCH(ChoixRationBovins&amp;$BB210,Règles_bovins[Ration]&amp;Règles_bovins[Aliment],0))="c"),
INDEX(Règles_bovins[Valeur 3-6],MATCH(ChoixRationBovins&amp;$BB210,Règles_bovins[Ration]&amp;Règles_bovins[Aliment],0)),0),0)*IF(ChoixBovinsPréHiver=OUI,TotalVeauMâle_3_6_RacesLaitières,TotalBovinsMâles_3_6mois*SUM(NbreJoursNourrirBovins)))</f>
        <v>0</v>
      </c>
      <c r="BI210" s="1267">
        <f t="array" ref="BI210">IF(Ration_complète_bovins[somme]&gt;0,0,IFERROR(IF(OR(AND(INDEX(Règles_bovins[Specificite],MATCH(ChoixRationBovins&amp;$BB210,Règles_bovins[Ration]&amp;Règles_bovins[Aliment],0))="s1",IF($BB210=Spécificité1Bovins,1)),
AND(INDEX(Règles_bovins[Specificite],MATCH(ChoixRationBovins&amp;$BB210,Règles_bovins[Ration]&amp;Règles_bovins[Aliment],0))="s2",IF($BB210=Spécificité2Bovins,1)),
INDEX(Règles_bovins[Specificite],MATCH(ChoixRationBovins&amp;$BB210,Règles_bovins[Ration]&amp;Règles_bovins[Aliment],0))="c"),
INDEX(Règles_bovins[Valeur 0-3],MATCH(ChoixRationBovins&amp;$BB210,Règles_bovins[Ration]&amp;Règles_bovins[Aliment],0)),0),0)*IF(ChoixBovinsPréHiver=OUI,TotalVeauMâle_0_3_RacesLaitières,TotalBovinsMâles_0_3mois*SUM(NbreJoursNourrirBovins)))</f>
        <v>0</v>
      </c>
      <c r="BJ210" s="1268">
        <f t="shared" si="69"/>
        <v>0</v>
      </c>
      <c r="BK210" s="1321"/>
      <c r="BL210" s="1321"/>
      <c r="BM210" s="1346"/>
      <c r="BN210" s="1321"/>
      <c r="BO210" s="1321"/>
      <c r="BP210" s="1321"/>
      <c r="BQ210" s="1321"/>
      <c r="BR210" s="1321"/>
      <c r="BS210" s="1321"/>
      <c r="BT210" s="1321"/>
      <c r="BU210" s="1321"/>
      <c r="BV210" s="1345"/>
      <c r="BW210" s="1345"/>
      <c r="BX210" s="1076" t="str">
        <f t="shared" si="70"/>
        <v>Foin</v>
      </c>
      <c r="BY210" s="1267">
        <f t="array" ref="BY210">SUM((IF(QualitéAlimentsChevreau_0_3_mois=BONNE,VLOOKUP("Foin",AlimentsRationCaprinsMâles,5,FALSE),0)+(IF(QualitéAlimentsChevrette_0_3_mois=BONNE,VLOOKUP("Foin",AlimentsRationCaprinsFemelles,5,FALSE),0)+(IF(QualitéAlimentsChevreau_3_6_mois=BONNE,VLOOKUP("Foin",AlimentsRationCaprinsMâles,4,FALSE),0)+(IF(QualitéAlimentsChevrette_3_6_mois=BONNE,VLOOKUP("Foin",AlimentsRationCaprinsFemelles,4,FALSE),0)+(IF(QualitéAlimentsJeuneBouc=BONNE,VLOOKUP("Foin",AlimentsRationCaprinsMâles,3,FALSE),0)+(IF(QualitéAlimentsJeuneChèvre=BONNE,VLOOKUP("Foin",AlimentsRationCaprinsFemelles,3,FALSE),0)+(IF(QualitéAlimentsBouc=BONNE,VLOOKUP("Foin",AlimentsRationCaprinsMâles,2,FALSE),0)+(IF(QualitéAlimentsChèvre=BONNE,VLOOKUP("Foin",AlimentsRationCaprinsFemelles,2,FALSE),0))))))))))</f>
        <v>0</v>
      </c>
      <c r="BZ210" s="1267">
        <f t="array" ref="BZ210">SUM((IF(QualitéAlimentsChevreau_0_3_mois=MOYENNE,VLOOKUP("Foin",AlimentsRationCaprinsMâles,5,FALSE),0)+(IF(QualitéAlimentsChevrette_0_3_mois=MOYENNE,VLOOKUP("Foin",AlimentsRationCaprinsFemelles,5,FALSE),0)+(IF(QualitéAlimentsChevreau_3_6_mois=MOYENNE,VLOOKUP("Foin",AlimentsRationCaprinsMâles,4,FALSE),0)+(IF(QualitéAlimentsChevrette_3_6_mois=MOYENNE,VLOOKUP("Foin",AlimentsRationCaprinsFemelles,4,FALSE),0)+(IF(QualitéAlimentsJeuneBouc=MOYENNE,VLOOKUP("Foin",AlimentsRationCaprinsMâles,3,FALSE),0)+(IF(QualitéAlimentsJeuneChèvre=MOYENNE,VLOOKUP("Foin",AlimentsRationCaprinsFemelles,3,FALSE),0)+(IF(QualitéAlimentsBouc=MOYENNE,VLOOKUP("Foin",AlimentsRationCaprinsMâles,2,FALSE),0)+(IF(QualitéAlimentsChèvre=MOYENNE,VLOOKUP("Foin",AlimentsRationCaprinsFemelles,2,FALSE),0))))))))))</f>
        <v>0</v>
      </c>
      <c r="CA210" s="1267">
        <f t="array" ref="CA210">SUM((IF(QualitéAlimentsChevreau_0_3_mois=MAUVAISE,VLOOKUP("Foin",AlimentsRationCaprinsMâles,5,FALSE),0)+(IF(QualitéAlimentsChevrette_0_3_mois=MAUVAISE,VLOOKUP("Foin",AlimentsRationCaprinsFemelles,5,FALSE),0)+(IF(QualitéAlimentsChevreau_3_6_mois=MAUVAISE,VLOOKUP("Foin",AlimentsRationCaprinsMâles,4,FALSE),0)+(IF(QualitéAlimentsChevrette_3_6_mois=MAUVAISE,VLOOKUP("Foin",AlimentsRationCaprinsFemelles,4,FALSE),0)+(IF(QualitéAlimentsJeuneBouc=MAUVAISE,VLOOKUP("Foin",AlimentsRationCaprinsMâles,3,FALSE),0)+(IF(QualitéAlimentsJeuneChèvre=MAUVAISE,VLOOKUP("Foin",AlimentsRationCaprinsFemelles,3,FALSE),0)+(IF(QualitéAlimentsBouc=MAUVAISE,VLOOKUP("Foin",AlimentsRationCaprinsMâles,2,FALSE),0)+(IF(QualitéAlimentsChèvre=MAUVAISE,VLOOKUP("Foin",AlimentsRationCaprinsFemelles,2,FALSE),0))))))))))</f>
        <v>0</v>
      </c>
      <c r="CB210" s="1321"/>
      <c r="CC210" s="1321"/>
      <c r="CD210" s="1345"/>
      <c r="CE210" s="1345"/>
      <c r="CF210" s="1345"/>
      <c r="CG210" s="1345"/>
      <c r="CH210" s="1345"/>
      <c r="CI210" s="1321"/>
      <c r="CJ210" s="1321"/>
      <c r="CK210" s="1321"/>
      <c r="CL210" s="1321"/>
      <c r="CM210" s="1321"/>
      <c r="CN210" s="1321"/>
      <c r="CO210" s="1321"/>
      <c r="CP210" s="1321"/>
      <c r="CQ210" s="1321"/>
      <c r="CR210" s="1321"/>
      <c r="CS210" s="1321"/>
      <c r="CT210" s="1321"/>
      <c r="CU210" s="1321"/>
      <c r="CV210" s="1321"/>
      <c r="CW210" s="1321"/>
      <c r="CX210" s="1321"/>
      <c r="CY210" s="1321"/>
      <c r="CZ210" s="1321"/>
      <c r="DA210" s="1321"/>
      <c r="DB210" s="1321"/>
      <c r="DC210" s="1321"/>
      <c r="DD210" s="1321"/>
      <c r="DE210" s="1321"/>
      <c r="DF210" s="1321"/>
      <c r="DG210" s="1321"/>
      <c r="DH210" s="1321"/>
      <c r="DI210" s="1321"/>
      <c r="DJ210" s="1321"/>
      <c r="DK210" s="1321"/>
      <c r="DL210" s="1321"/>
      <c r="DM210" s="1321"/>
      <c r="DN210" s="1076" t="str">
        <f t="shared" si="68"/>
        <v>Maïs grain</v>
      </c>
      <c r="DO210" s="1267">
        <f t="array" ref="DO210">IF(ChoixRationComplèteOvins=OUI,0,IFERROR(IF(OR(AND(INDEX(Règles_ovins[Specificite],MATCH(ChoixRationOvins&amp;$DN210,Règles_ovins[Ration]&amp;Règles_ovins[Aliment],0))="s1",IF($DN210=Spécificité1Ovins,1)),
AND(INDEX(Règles_ovins[Specificite],MATCH(ChoixRationOvins&amp;$DN210,Règles_ovins[Ration]&amp;Règles_ovins[Aliment],0))="s2",IF($DN210=Spécificité2Ovins,1)),
INDEX(Règles_ovins[Specificite],MATCH(ChoixRationOvins&amp;$DN210,Règles_ovins[Ration]&amp;Règles_ovins[Aliment],0))="c"),
INDEX(Règles_ovins[Valeur 12 et plus],MATCH(ChoixRationOvins&amp;$DN210,Règles_ovins[Ration]&amp;Règles_ovins[Aliment],0)),0),0)*IF(ChoixOvinsPréHiver=OUI,SUM(TotalOvinsAdultesRacesLaitières)*NbreJoursNourrirOvins,TotalBrebis*SUM(NbreJoursNourrirOvins)))</f>
        <v>0</v>
      </c>
      <c r="DP210" s="1267">
        <f t="array" ref="DP210">IF(ChoixRationComplèteOvins=OUI,0,IFERROR(IF(OR(AND(INDEX(Règles_ovins[Specificite],MATCH(ChoixRationOvins&amp;$DN210,Règles_ovins[Ration]&amp;Règles_ovins[Aliment],0))="s1",IF($DN210=Spécificité1Ovins,1)),
AND(INDEX(Règles_ovins[Specificite],MATCH(ChoixRationOvins&amp;$DN210,Règles_ovins[Ration]&amp;Règles_ovins[Aliment],0))="s2",IF($DN210=Spécificité2Ovins,1)),
INDEX(Règles_ovins[Specificite],MATCH(ChoixRationOvins&amp;$DN210,Règles_ovins[Ration]&amp;Règles_ovins[Aliment],0))="c"),
INDEX(Règles_ovins[Valeur 6-12],MATCH(ChoixRationOvins&amp;$DN210,Règles_ovins[Ration]&amp;Règles_ovins[Aliment],0)),0),0)*IF(ChoixOvinsPréHiver=OUI,SUM(TotalJeunesOvinsRacesLaitières)*NbreJoursNourrirOvins,TotalJeune_brebis_6_12_mois*SUM(NbreJoursNourrirOvins)))</f>
        <v>0</v>
      </c>
      <c r="DQ210" s="1267">
        <f t="array" ref="DQ210">IF(ChoixRationComplèteOvins=OUI,0,IFERROR(IF(OR(AND(INDEX(Règles_ovins[Specificite],MATCH(ChoixRationOvins&amp;$DN210,Règles_ovins[Ration]&amp;Règles_ovins[Aliment],0))="s1",IF($DN210=Spécificité1Ovins,1)),
AND(INDEX(Règles_ovins[Specificite],MATCH(ChoixRationOvins&amp;$DN210,Règles_ovins[Ration]&amp;Règles_ovins[Aliment],0))="s2",IF($DN210=Spécificité2Ovins,1)),
INDEX(Règles_ovins[Specificite],MATCH(ChoixRationOvins&amp;$DN210,Règles_ovins[Ration]&amp;Règles_ovins[Aliment],0))="c"),
INDEX(Règles_ovins[Valeur 3-6],MATCH(ChoixRationOvins&amp;$DN210,Règles_ovins[Ration]&amp;Règles_ovins[Aliment],0)),0),0)*IF(ChoixOvinsPréHiver=OUI,SUM(TotalOvins_3_6moisRacesLaitières)*NbreJoursNourrirOvins,TotalAgnelle_3_6_mois*SUM(NbreJoursNourrirOvins)))</f>
        <v>0</v>
      </c>
      <c r="DR210" s="1267">
        <f t="array" ref="DR210">IF(ChoixRationComplèteOvins=OUI,0,IFERROR(IF(OR(AND(INDEX(Règles_ovins[Specificite],MATCH(ChoixRationOvins&amp;$DN210,Règles_ovins[Ration]&amp;Règles_ovins[Aliment],0))="s1",IF($DN210=Spécificité1Ovins,1)),
AND(INDEX(Règles_ovins[Specificite],MATCH(ChoixRationOvins&amp;$DN210,Règles_ovins[Ration]&amp;Règles_ovins[Aliment],0))="s2",IF($DN210=Spécificité2Ovins,1)),
INDEX(Règles_ovins[Specificite],MATCH(ChoixRationOvins&amp;$DN210,Règles_ovins[Ration]&amp;Règles_ovins[Aliment],0))="c"),
INDEX(Règles_ovins[Valeur 0-3],MATCH(ChoixRationOvins&amp;$DN210,Règles_ovins[Ration]&amp;Règles_ovins[Aliment],0)),0),0)*IF(ChoixOvinsPréHiver=OUI,SUM(TotalOvins_3_6moisRacesLaitières)*NbreJoursNourrirOvins,TotalAgnelle_0_3_mois*SUM(NbreJoursNourrirOvins)))</f>
        <v>0</v>
      </c>
      <c r="DS210" s="1279">
        <f t="shared" si="67"/>
        <v>0</v>
      </c>
      <c r="DT210" s="1346"/>
      <c r="DU210" s="1345"/>
      <c r="DV210" s="1321"/>
      <c r="DW210" s="1321"/>
      <c r="DX210" s="1321"/>
      <c r="DY210" s="1321"/>
      <c r="DZ210" s="1321"/>
      <c r="EA210" s="1321"/>
      <c r="EB210" s="1321"/>
      <c r="EC210" s="1321"/>
      <c r="ED210" s="1345"/>
      <c r="EE210" s="1345"/>
      <c r="EF210" s="1321"/>
      <c r="EG210" s="1321"/>
      <c r="EH210" s="1321"/>
      <c r="EI210" s="1321"/>
      <c r="EJ210" s="1321"/>
      <c r="EK210" s="1345"/>
      <c r="EL210" s="1345"/>
      <c r="EM210" s="1321"/>
      <c r="EN210" s="1321"/>
      <c r="EO210" s="1321"/>
      <c r="EP210" s="1321"/>
      <c r="EQ210" s="1321"/>
      <c r="ER210" s="1345"/>
      <c r="ES210" s="1345"/>
      <c r="ET210" s="1321"/>
      <c r="EU210" s="1083" t="str">
        <f t="shared" si="73"/>
        <v>concentré jeunes bovins</v>
      </c>
      <c r="EV210" s="1283">
        <f t="array" ref="EV210">SUM((IF(QualitéAlimentsPoulainSelleMâle=BONNE,VLOOKUP("Concentré jeunes bovins",AlimentsRationEcurieChevauxMâlesSelle,5,FALSE),0)+(IF(QualitéAlimentsPoulainSelleFemelle=BONNE,VLOOKUP("Concentré jeunes bovins",AlimentsRationEcurieChevauxFemellesSelle,5,FALSE),0)+(IF(QualitéAlimentsJeuneEtalon_12_24_moisSelle=BONNE,VLOOKUP("Concentré jeunes bovins",AlimentsRationEcurieChevauxMâlesSelle,4,FALSE),0)+(IF(QualitéAlimentsJeuneJument_12_24_moisSelle=BONNE,VLOOKUP("Concentré jeunes bovins",AlimentsRationEcurieChevauxFemellesSelle,4,FALSE),0)+(IF(QualitéAlimentsJeuneEtalon_24_36_moisSelle=BONNE,VLOOKUP("Concentré jeunes bovins",AlimentsRationEcurieChevauxMâlesSelle,3,FALSE),0)+(IF(QualitéAlimentsJeuneJument_24_36_moisSelle=BONNE,VLOOKUP("Concentré jeunes bovins",AlimentsRationEcurieChevauxFemellesSelle,3,FALSE),0)+(IF(QualitéAlimentsEtalonSelle=BONNE,VLOOKUP("Concentré jeunes bovins",AlimentsRationEcurieChevauxMâlesSelle,2,FALSE),0)+(IF(QualitéAlimentsJumentSelle=BONNE,VLOOKUP("Concentré jeunes bovins",AlimentsRationEcurieChevauxFemellesSelle,2,FALSE),0))))))))))</f>
        <v>0</v>
      </c>
      <c r="EW210" s="1283">
        <f t="array" ref="EW210">SUM((IF(QualitéAlimentsPoulainSelleMâle=MOYENNE,VLOOKUP("Concentré jeunes bovins",AlimentsRationEcurieChevauxMâlesSelle,5,FALSE),0)+(IF(QualitéAlimentsPoulainSelleFemelle=MOYENNE,VLOOKUP("Concentré jeunes bovins",AlimentsRationEcurieChevauxFemellesSelle,5,FALSE),0)+(IF(QualitéAlimentsJeuneEtalon_12_24_moisSelle=MOYENNE,VLOOKUP("Concentré jeunes bovins",AlimentsRationEcurieChevauxMâlesSelle,4,FALSE),0)+(IF(QualitéAlimentsJeuneJument_12_24_moisSelle=MOYENNE,VLOOKUP("Concentré jeunes bovins",AlimentsRationEcurieChevauxFemellesSelle,4,FALSE),0)+(IF(QualitéAlimentsJeuneEtalon_24_36_moisSelle=MOYENNE,VLOOKUP("Concentré jeunes bovins",AlimentsRationEcurieChevauxMâlesSelle,3,FALSE),0)+(IF(QualitéAlimentsJeuneJument_24_36_moisSelle=MOYENNE,VLOOKUP("Concentré jeunes bovins",AlimentsRationEcurieChevauxFemellesSelle,3,FALSE),0)+(IF(QualitéAlimentsEtalonSelle=MOYENNE,VLOOKUP("Concentré jeunes bovins",AlimentsRationEcurieChevauxMâlesSelle,2,FALSE),0)+(IF(QualitéAlimentsJumentSelle=MOYENNE,VLOOKUP("Concentré jeunes bovins",AlimentsRationEcurieChevauxFemellesSelle,2,FALSE),0))))))))))</f>
        <v>0</v>
      </c>
      <c r="EX210" s="1283">
        <f t="array" ref="EX210">SUM((IF(QualitéAlimentsPoulainSelleMâle=MAUVAISE,VLOOKUP("Concentré jeunes bovins",AlimentsRationEcurieChevauxMâlesSelle,5,FALSE),0)+(IF(QualitéAlimentsPoulainSelleFemelle=MAUVAISE,VLOOKUP("Concentré jeunes bovins",AlimentsRationEcurieChevauxFemellesSelle,5,FALSE),0)+(IF(QualitéAlimentsJeuneEtalon_12_24_moisSelle=MAUVAISE,VLOOKUP("Concentré jeunes bovins",AlimentsRationEcurieChevauxMâlesSelle,4,FALSE),0)+(IF(QualitéAlimentsJeuneJument_12_24_moisSelle=MAUVAISE,VLOOKUP("Concentré jeunes bovins",AlimentsRationEcurieChevauxFemellesSelle,4,FALSE),0)+(IF(QualitéAlimentsJeuneEtalon_24_36_moisSelle=MAUVAISE,VLOOKUP("Concentré jeunes bovins",AlimentsRationEcurieChevauxMâlesSelle,3,FALSE),0)+(IF(QualitéAlimentsJeuneJument_24_36_moisSelle=MAUVAISE,VLOOKUP("Concentré jeunes bovins",AlimentsRationEcurieChevauxFemellesSelle,3,FALSE),0)+(IF(QualitéAlimentsEtalonSelle=MAUVAISE,VLOOKUP("Concentré jeunes bovins",AlimentsRationEcurieChevauxMâlesSelle,2,FALSE),0)+(IF(QualitéAlimentsJumentSelle=MAUVAISE,VLOOKUP("Concentré jeunes bovins",AlimentsRationEcurieChevauxFemellesSelle,2,FALSE),0))))))))))</f>
        <v>0</v>
      </c>
      <c r="EY210" s="1321"/>
      <c r="EZ210" s="1345"/>
      <c r="FA210" s="1345"/>
      <c r="FB210" s="1345"/>
      <c r="FC210" s="1321"/>
      <c r="FD210" s="1082" t="str">
        <f t="shared" si="72"/>
        <v>Epinard</v>
      </c>
      <c r="FE210" s="1282">
        <f t="array" ref="FE210">SUM((IF(QualitéAlimentsPoulainMâleTrait=BONNE,VLOOKUP("Epinard",AlimentsRationEcurieChevauxMâlesTrait,5,FALSE),0)+(IF(QualitéAlimentsPoulainFemelleTrait=BONNE,VLOOKUP("Epinard",AlimentsRationEcurieChevauxFemellesTrait,5,FALSE),0)+(IF(QualitéAlimentsJeuneEtalon_12_24_moisTrait=BONNE,VLOOKUP("Epinard",AlimentsRationEcurieChevauxMâlesTrait,4,FALSE),0)+(IF(QualitéAlimentsJeuneJument_12_24_moisTrait=BONNE,VLOOKUP("Epinard",AlimentsRationEcurieChevauxFemellesTrait,4,FALSE),0)+(IF(QualitéAlimentsJeuneEtalon_24_36_moisTrait=BONNE,VLOOKUP("Epinard",AlimentsRationEcurieChevauxMâlesTrait,3,FALSE),0)+(IF(QualitéAlimentsJeuneJument_24_36_moisTrait=BONNE,VLOOKUP("Epinard",AlimentsRationEcurieChevauxFemellesTrait,3,FALSE),0)+(IF(QualitéAlimentsEtalonTrait=BONNE,VLOOKUP("Epinard",AlimentsRationEcurieChevauxMâlesTrait,2,FALSE),0)+(IF(QualitéAlimentsJumentTrait=BONNE,VLOOKUP("Epinard",AlimentsRationEcurieChevauxFemellesTrait,2,FALSE),0))))))))))</f>
        <v>0</v>
      </c>
      <c r="FF210" s="1282">
        <f t="array" ref="FF210">SUM((IF(QualitéAlimentsPoulainMâleTrait=MOYENNE,VLOOKUP("Epinard",AlimentsRationEcurieChevauxMâlesTrait,5,FALSE),0)+(IF(QualitéAlimentsPoulainFemelleTrait=MOYENNE,VLOOKUP("Epinard",AlimentsRationEcurieChevauxFemellesTrait,5,FALSE),0)+(IF(QualitéAlimentsJeuneEtalon_12_24_moisTrait=MOYENNE,VLOOKUP("Epinard",AlimentsRationEcurieChevauxMâlesTrait,4,FALSE),0)+(IF(QualitéAlimentsJeuneJument_12_24_moisTrait=MOYENNE,VLOOKUP("Epinard",AlimentsRationEcurieChevauxFemellesTrait,4,FALSE),0)+(IF(QualitéAlimentsJeuneEtalon_24_36_moisTrait=MOYENNE,VLOOKUP("Epinard",AlimentsRationEcurieChevauxMâlesTrait,3,FALSE),0)+(IF(QualitéAlimentsJeuneJument_24_36_moisTrait=MOYENNE,VLOOKUP("Epinard",AlimentsRationEcurieChevauxFemellesTrait,3,FALSE),0)+(IF(QualitéAlimentsEtalonTrait=MOYENNE,VLOOKUP("Epinard",AlimentsRationEcurieChevauxMâlesTrait,2,FALSE),0)+(IF(QualitéAlimentsJumentTrait=MOYENNE,VLOOKUP("Epinard",AlimentsRationEcurieChevauxFemellesTrait,2,FALSE),0))))))))))</f>
        <v>0</v>
      </c>
      <c r="FG210" s="1282">
        <f t="array" ref="FG210">SUM((IF(QualitéAlimentsPoulainMâleTrait=MAUVAISE,VLOOKUP("Epinard",AlimentsRationEcurieChevauxMâlesTrait,5,FALSE),0)+(IF(QualitéAlimentsPoulainFemelleTrait=MAUVAISE,VLOOKUP("Epinard",AlimentsRationEcurieChevauxFemellesTrait,5,FALSE),0)+(IF(QualitéAlimentsJeuneEtalon_12_24_moisTrait=MAUVAISE,VLOOKUP("Epinard",AlimentsRationEcurieChevauxMâlesTrait,4,FALSE),0)+(IF(QualitéAlimentsJeuneJument_12_24_moisTrait=MAUVAISE,VLOOKUP("Epinard",AlimentsRationEcurieChevauxFemellesTrait,4,FALSE),0)+(IF(QualitéAlimentsJeuneEtalon_24_36_moisTrait=MAUVAISE,VLOOKUP("Epinard",AlimentsRationEcurieChevauxMâlesTrait,3,FALSE),0)+(IF(QualitéAlimentsJeuneJument_24_36_moisTrait=MAUVAISE,VLOOKUP("Epinard",AlimentsRationEcurieChevauxFemellesTrait,3,FALSE),0)+(IF(QualitéAlimentsEtalonTrait=MAUVAISE,VLOOKUP("Epinard",AlimentsRationEcurieChevauxMâlesTrait,2,FALSE),0)+(IF(QualitéAlimentsJumentTrait=MAUVAISE,VLOOKUP("Epinard",AlimentsRationEcurieChevauxFemellesTrait,2,FALSE),0))))))))))</f>
        <v>0</v>
      </c>
      <c r="FH210" s="1321"/>
      <c r="FI210" s="1321"/>
      <c r="FJ210" s="1345"/>
      <c r="FK210" s="1345"/>
      <c r="FL210" s="1345"/>
      <c r="FM210" s="1321"/>
      <c r="FN210" s="1083" t="str">
        <f t="shared" si="71"/>
        <v>Féverole</v>
      </c>
      <c r="FO210" s="1283">
        <f t="array" ref="FO210">SUM((IF(QualitéAlimentsPoulainMâlePoney=BONNE,VLOOKUP("Féverole",AlimentsRationEcuriePoneysMâles,5,FALSE),0)+(IF(QualitéAlimentsPoulainFemellePoney=BONNE,VLOOKUP("Féverole",AlimentsRationEcuriePoneysFemelles,5,FALSE),0)+(IF(QualitéAlimentsJeuneEtalon_12_24_moisPoney=BONNE,VLOOKUP("Féverole",AlimentsRationEcuriePoneysMâles,4,FALSE),0)+(IF(QualitéAlimentsJeuneJument_12_24_moisPoney=BONNE,VLOOKUP("Féverole",AlimentsRationEcuriePoneysFemelles,4,FALSE),0)+(IF(QualitéAlimentsJeuneEtalon_24_36_moisPoney=BONNE,VLOOKUP("Féverole",AlimentsRationEcuriePoneysMâles,3,FALSE),0)+(IF(QualitéAlimentsJeuneJument_24_36_moisPoney=BONNE,VLOOKUP("Féverole",AlimentsRationEcuriePoneysFemelles,3,FALSE),0)+(IF(QualitéAlimentsEtalonPoney=BONNE,VLOOKUP("Féverole",AlimentsRationEcuriePoneysMâles,2,FALSE),0)+(IF(QualitéAlimentsJumentPoney=BONNE,VLOOKUP("Féverole",AlimentsRationEcuriePoneysFemelles,2,FALSE),0))))))))))</f>
        <v>0</v>
      </c>
      <c r="FP210" s="1283">
        <f t="array" ref="FP210">SUM((IF(QualitéAlimentsPoulainMâlePoney=MOYENNE,VLOOKUP("Féverole",AlimentsRationEcuriePoneysMâles,5,FALSE),0)+(IF(QualitéAlimentsPoulainFemellePoney=MOYENNE,VLOOKUP("Féverole",AlimentsRationEcuriePoneysFemelles,5,FALSE),0)+(IF(QualitéAlimentsJeuneEtalon_12_24_moisPoney=MOYENNE,VLOOKUP("Féverole",AlimentsRationEcuriePoneysMâles,4,FALSE),0)+(IF(QualitéAlimentsJeuneJument_12_24_moisPoney=MOYENNE,VLOOKUP("Féverole",AlimentsRationEcuriePoneysFemelles,4,FALSE),0)+(IF(QualitéAlimentsJeuneEtalon_24_36_moisPoney=MOYENNE,VLOOKUP("Féverole",AlimentsRationEcuriePoneysMâles,3,FALSE),0)+(IF(QualitéAlimentsJeuneJument_24_36_moisPoney=MOYENNE,VLOOKUP("Féverole",AlimentsRationEcuriePoneysFemelles,3,FALSE),0)+(IF(QualitéAlimentsEtalonPoney=MOYENNE,VLOOKUP("Féverole",AlimentsRationEcuriePoneysMâles,2,FALSE),0)+(IF(QualitéAlimentsJumentPoney=MOYENNE,VLOOKUP("Féverole",AlimentsRationEcuriePoneysFemelles,2,FALSE),0))))))))))</f>
        <v>0</v>
      </c>
      <c r="FQ210" s="1283">
        <f t="array" ref="FQ210">SUM((IF(QualitéAlimentsPoulainMâlePoney=MAUVAISE,VLOOKUP("Féverole",AlimentsRationEcuriePoneysMâles,5,FALSE),0)+(IF(QualitéAlimentsPoulainFemellePoney=MAUVAISE,VLOOKUP("Féverole",AlimentsRationEcuriePoneysFemelles,5,FALSE),0)+(IF(QualitéAlimentsJeuneEtalon_12_24_moisPoney=MAUVAISE,VLOOKUP("Féverole",AlimentsRationEcuriePoneysMâles,4,FALSE),0)+(IF(QualitéAlimentsJeuneJument_12_24_moisPoney=MAUVAISE,VLOOKUP("Féverole",AlimentsRationEcuriePoneysFemelles,4,FALSE),0)+(IF(QualitéAlimentsJeuneEtalon_24_36_moisPoney=MAUVAISE,VLOOKUP("Féverole",AlimentsRationEcuriePoneysMâles,3,FALSE),0)+(IF(QualitéAlimentsJeuneJument_24_36_moisPoney=MAUVAISE,VLOOKUP("Féverole",AlimentsRationEcuriePoneysFemelles,3,FALSE),0)+(IF(QualitéAlimentsEtalonPoney=MAUVAISE,VLOOKUP("Féverole",AlimentsRationEcuriePoneysMâles,2,FALSE),0)+(IF(QualitéAlimentsJumentPoney=MAUVAISE,VLOOKUP("Féverole",AlimentsRationEcuriePoneysFemelles,2,FALSE),0))))))))))</f>
        <v>0</v>
      </c>
      <c r="FR210" s="1345"/>
      <c r="FS210" s="1345"/>
      <c r="FT210" s="1345"/>
      <c r="FU210" s="1345"/>
      <c r="FV210" s="1345"/>
      <c r="FW210" s="1321"/>
      <c r="FX210" s="1321"/>
      <c r="FY210" s="1321"/>
      <c r="FZ210" s="1321"/>
      <c r="GA210" s="1345"/>
      <c r="GB210" s="1321"/>
      <c r="GC210" s="1321"/>
      <c r="GD210" s="1321"/>
      <c r="GE210" s="1321"/>
      <c r="GF210" s="1321"/>
      <c r="GG210" s="1321" t="s">
        <v>1349</v>
      </c>
      <c r="GH210" s="1321" t="s">
        <v>1349</v>
      </c>
      <c r="GI210" s="1321" t="s">
        <v>1349</v>
      </c>
      <c r="GJ210" s="1321" t="s">
        <v>1349</v>
      </c>
      <c r="GK210" s="1321" t="s">
        <v>1349</v>
      </c>
      <c r="GL210" s="1321" t="s">
        <v>1349</v>
      </c>
      <c r="GM210" s="1321" t="s">
        <v>1349</v>
      </c>
      <c r="GN210" s="1321" t="s">
        <v>1349</v>
      </c>
      <c r="GO210" s="1321" t="s">
        <v>1349</v>
      </c>
      <c r="GP210" s="1321" t="s">
        <v>1349</v>
      </c>
      <c r="GQ210" s="1321" t="s">
        <v>1349</v>
      </c>
      <c r="GR210" s="1321" t="s">
        <v>1349</v>
      </c>
      <c r="GS210" s="1321" t="s">
        <v>1349</v>
      </c>
      <c r="GT210" s="1321" t="s">
        <v>1349</v>
      </c>
      <c r="GU210" s="1321" t="s">
        <v>1349</v>
      </c>
      <c r="GV210" s="1321" t="s">
        <v>1349</v>
      </c>
      <c r="GW210" s="1321"/>
      <c r="GX210" s="1321"/>
      <c r="GY210" s="1321"/>
      <c r="GZ210" s="1321"/>
      <c r="HA210" s="1321"/>
      <c r="HB210" s="1321"/>
      <c r="HC210" s="1321"/>
      <c r="HD210" s="1321"/>
      <c r="HE210" s="1321"/>
      <c r="HF210" s="1321"/>
      <c r="HG210" s="1321"/>
      <c r="HH210" s="1321"/>
      <c r="HI210" s="1321"/>
      <c r="HJ210" s="1321"/>
      <c r="HK210" s="1321"/>
      <c r="HL210" s="1321"/>
      <c r="HM210" s="1321"/>
      <c r="HN210" s="1321"/>
      <c r="HO210" s="1321"/>
      <c r="HP210" s="1321"/>
      <c r="HQ210" s="1321"/>
      <c r="HR210" s="1321"/>
      <c r="HS210" s="1321"/>
      <c r="HT210" s="1321"/>
      <c r="HU210" s="1321"/>
      <c r="HV210" s="1321"/>
      <c r="HW210" s="1321"/>
      <c r="HX210" s="1321"/>
      <c r="HY210" s="1321"/>
      <c r="HZ210" s="1321"/>
      <c r="IA210" s="1321"/>
      <c r="IB210" s="1321"/>
      <c r="IC210" s="1321"/>
      <c r="ID210" s="1321"/>
      <c r="IE210" s="1321"/>
      <c r="IF210" s="1321"/>
      <c r="IG210" s="1321"/>
      <c r="IH210" s="1321"/>
      <c r="II210" s="1321"/>
      <c r="IJ210" s="1321"/>
      <c r="IK210" s="1321"/>
      <c r="IL210" s="1321"/>
      <c r="IM210" s="1321"/>
      <c r="IN210" s="1368"/>
    </row>
    <row r="211" spans="1:248" ht="12.75" customHeight="1" x14ac:dyDescent="0.2">
      <c r="A211" s="1319"/>
      <c r="B211" s="1321"/>
      <c r="C211" s="1321"/>
      <c r="D211" s="1287" t="s">
        <v>1830</v>
      </c>
      <c r="E211" s="1158">
        <v>1.1000000000000001</v>
      </c>
      <c r="F211" s="1321"/>
      <c r="G211" s="1321"/>
      <c r="H211" s="1321"/>
      <c r="I211" s="1321"/>
      <c r="J211" s="1321"/>
      <c r="K211" s="1321"/>
      <c r="L211" s="1321"/>
      <c r="M211" s="1321"/>
      <c r="N211" s="1321"/>
      <c r="O211" s="1321"/>
      <c r="P211" s="1321"/>
      <c r="Q211" s="1321"/>
      <c r="R211" s="1321"/>
      <c r="S211" s="1321"/>
      <c r="T211" s="1321"/>
      <c r="U211" s="1321"/>
      <c r="V211" s="1321"/>
      <c r="W211" s="1321"/>
      <c r="X211" s="1321"/>
      <c r="Y211" s="1321"/>
      <c r="Z211" s="1321"/>
      <c r="AA211" s="1321"/>
      <c r="AB211" s="1321"/>
      <c r="AC211" s="1321"/>
      <c r="AD211" s="1321"/>
      <c r="AE211" s="1321"/>
      <c r="AF211" s="1321"/>
      <c r="AG211" s="1321"/>
      <c r="AH211" s="1321"/>
      <c r="AI211" s="1321"/>
      <c r="AJ211" s="1321"/>
      <c r="AK211" s="1321"/>
      <c r="AL211" s="1321"/>
      <c r="AM211" s="1321"/>
      <c r="AN211" s="1321"/>
      <c r="AO211" s="1321"/>
      <c r="AP211" s="1321"/>
      <c r="AQ211" s="1321"/>
      <c r="AR211" s="1321"/>
      <c r="AS211" s="1321"/>
      <c r="AT211" s="1321"/>
      <c r="AU211" s="1321"/>
      <c r="AV211" s="1321"/>
      <c r="AW211" s="1321"/>
      <c r="AX211" s="1321"/>
      <c r="AY211" s="1321"/>
      <c r="AZ211" s="1321"/>
      <c r="BA211" s="1321"/>
      <c r="BB211" s="1075" t="s">
        <v>340</v>
      </c>
      <c r="BC211" s="1269">
        <f t="array" ref="BC211">IF(Ration_complète_bovins[somme]&gt;0,0,IFERROR(IF(OR(AND(INDEX(Règles_bovins[Specificite],MATCH(ChoixRationBovins&amp;$BB211,Règles_bovins[Ration]&amp;Règles_bovins[Aliment],0))="s1",IF($BB211=Spécificité1Bovins,1)),
AND(INDEX(Règles_bovins[Specificite],MATCH(ChoixRationBovins&amp;$BB211,Règles_bovins[Ration]&amp;Règles_bovins[Aliment],0))="s2",IF($BB211=Spécificité2Bovins,1)),
INDEX(Règles_bovins[Specificite],MATCH(ChoixRationBovins&amp;$BB211,Règles_bovins[Ration]&amp;Règles_bovins[Aliment],0))="c"),
INDEX(Règles_bovins[Valeur 36 et plus],MATCH(ChoixRationBovins&amp;$BB211,Règles_bovins[Ration]&amp;Règles_bovins[Aliment],0)),0),0)*IF(ChoixBovinsPréHiver=OUI,TotalTaureauxRacesLaitières,TotalTaureaux*SUM(NbreJoursNourrirBovins)))</f>
        <v>0</v>
      </c>
      <c r="BD211" s="1269">
        <f t="array" ref="BD211">IF(Ration_complète_bovins[somme]&gt;0,0,IFERROR(IF(OR(AND(INDEX(Règles_bovins[Specificite],MATCH(ChoixRationBovins&amp;$BB211,Règles_bovins[Ration]&amp;Règles_bovins[Aliment],0))="s1",IF($BB211=Spécificité1Bovins,1)),
AND(INDEX(Règles_bovins[Specificite],MATCH(ChoixRationBovins&amp;$BB211,Règles_bovins[Ration]&amp;Règles_bovins[Aliment],0))="s2",IF($BB211=Spécificité2Bovins,1)),
INDEX(Règles_bovins[Specificite],MATCH(ChoixRationBovins&amp;$BB211,Règles_bovins[Ration]&amp;Règles_bovins[Aliment],0))="c"),
INDEX(Règles_bovins[Valeur 24-36],MATCH(ChoixRationBovins&amp;$BB211,Règles_bovins[Ration]&amp;Règles_bovins[Aliment],0)),0),0)*IF(ChoixBovinsPréHiver=OUI,TotalTaurillon_24_36_RacesLaitières,TotalBovinsMâles_24_36mois*SUM(NbreJoursNourrirBovins)))</f>
        <v>0</v>
      </c>
      <c r="BE211" s="1269">
        <f t="array" ref="BE211">IF(Ration_complète_bovins[somme]&gt;0,0,IFERROR(IF(OR(AND(INDEX(Règles_bovins[Specificite],MATCH(ChoixRationBovins&amp;$BB211,Règles_bovins[Ration]&amp;Règles_bovins[Aliment],0))="s1",IF($BB211=Spécificité1Bovins,1)),
AND(INDEX(Règles_bovins[Specificite],MATCH(ChoixRationBovins&amp;$BB211,Règles_bovins[Ration]&amp;Règles_bovins[Aliment],0))="s2",IF($BB211=Spécificité2Bovins,1)),
INDEX(Règles_bovins[Specificite],MATCH(ChoixRationBovins&amp;$BB211,Règles_bovins[Ration]&amp;Règles_bovins[Aliment],0))="c"),
INDEX(Règles_bovins[Valeur 18-24],MATCH(ChoixRationBovins&amp;$BB211,Règles_bovins[Ration]&amp;Règles_bovins[Aliment],0)),0),0)*IF(ChoixBovinsPréHiver=OUI,TotalTaurillon_18_24_RacesLaitières,TotalBovinsMâles_18_24mois*SUM(NbreJoursNourrirBovins)))</f>
        <v>0</v>
      </c>
      <c r="BF211" s="1269">
        <f t="array" ref="BF211">IF(Ration_complète_bovins[somme]&gt;0,0,IFERROR(IF(OR(AND(INDEX(Règles_bovins[Specificite],MATCH(ChoixRationBovins&amp;$BB211,Règles_bovins[Ration]&amp;Règles_bovins[Aliment],0))="s1",IF($BB211=Spécificité1Bovins,1)),
AND(INDEX(Règles_bovins[Specificite],MATCH(ChoixRationBovins&amp;$BB211,Règles_bovins[Ration]&amp;Règles_bovins[Aliment],0))="s2",IF($BB211=Spécificité2Bovins,1)),
INDEX(Règles_bovins[Specificite],MATCH(ChoixRationBovins&amp;$BB211,Règles_bovins[Ration]&amp;Règles_bovins[Aliment],0))="c"),
INDEX(Règles_bovins[Valeur 12-18],MATCH(ChoixRationBovins&amp;$BB211,Règles_bovins[Ration]&amp;Règles_bovins[Aliment],0)),0),0)*IF(ChoixBovinsPréHiver=OUI,animaux!D34,TotalBovinsMâles_12_18mois*SUM(NbreJoursNourrirBovins)))</f>
        <v>0</v>
      </c>
      <c r="BG211" s="1269">
        <f t="array" ref="BG211">IF(Ration_complète_bovins[somme]&gt;0,0,IFERROR(IF(OR(AND(INDEX(Règles_bovins[Specificite],MATCH(ChoixRationBovins&amp;$BB211,Règles_bovins[Ration]&amp;Règles_bovins[Aliment],0))="s1",IF($BB211=Spécificité1Bovins,1)),
AND(INDEX(Règles_bovins[Specificite],MATCH(ChoixRationBovins&amp;$BB211,Règles_bovins[Ration]&amp;Règles_bovins[Aliment],0))="s2",IF($BB211=Spécificité2Bovins,1)),
INDEX(Règles_bovins[Specificite],MATCH(ChoixRationBovins&amp;$BB211,Règles_bovins[Ration]&amp;Règles_bovins[Aliment],0))="c"),
INDEX(Règles_bovins[Valeur 6-12],MATCH(ChoixRationBovins&amp;$BB211,Règles_bovins[Ration]&amp;Règles_bovins[Aliment],0)),0),0)*IF(ChoixBovinsPréHiver=OUI,TotalVeauMâle_6_12_RacesLaitières,TotalBovinsMâles_6_12mois*SUM(NbreJoursNourrirBovins)))</f>
        <v>0</v>
      </c>
      <c r="BH211" s="1269">
        <f t="array" ref="BH211">IF(Ration_complète_bovins[somme]&gt;0,0,IFERROR(IF(OR(AND(INDEX(Règles_bovins[Specificite],MATCH(ChoixRationBovins&amp;$BB211,Règles_bovins[Ration]&amp;Règles_bovins[Aliment],0))="s1",IF($BB211=Spécificité1Bovins,1)),
AND(INDEX(Règles_bovins[Specificite],MATCH(ChoixRationBovins&amp;$BB211,Règles_bovins[Ration]&amp;Règles_bovins[Aliment],0))="s2",IF($BB211=Spécificité2Bovins,1)),
INDEX(Règles_bovins[Specificite],MATCH(ChoixRationBovins&amp;$BB211,Règles_bovins[Ration]&amp;Règles_bovins[Aliment],0))="c"),
INDEX(Règles_bovins[Valeur 3-6],MATCH(ChoixRationBovins&amp;$BB211,Règles_bovins[Ration]&amp;Règles_bovins[Aliment],0)),0),0)*IF(ChoixBovinsPréHiver=OUI,TotalVeauMâle_3_6_RacesLaitières,TotalBovinsMâles_3_6mois*SUM(NbreJoursNourrirBovins)))</f>
        <v>0</v>
      </c>
      <c r="BI211" s="1269">
        <f t="array" ref="BI211">IF(Ration_complète_bovins[somme]&gt;0,0,IFERROR(IF(OR(AND(INDEX(Règles_bovins[Specificite],MATCH(ChoixRationBovins&amp;$BB211,Règles_bovins[Ration]&amp;Règles_bovins[Aliment],0))="s1",IF($BB211=Spécificité1Bovins,1)),
AND(INDEX(Règles_bovins[Specificite],MATCH(ChoixRationBovins&amp;$BB211,Règles_bovins[Ration]&amp;Règles_bovins[Aliment],0))="s2",IF($BB211=Spécificité2Bovins,1)),
INDEX(Règles_bovins[Specificite],MATCH(ChoixRationBovins&amp;$BB211,Règles_bovins[Ration]&amp;Règles_bovins[Aliment],0))="c"),
INDEX(Règles_bovins[Valeur 0-3],MATCH(ChoixRationBovins&amp;$BB211,Règles_bovins[Ration]&amp;Règles_bovins[Aliment],0)),0),0)*IF(ChoixBovinsPréHiver=OUI,TotalVeauMâle_0_3_RacesLaitières,TotalBovinsMâles_0_3mois*SUM(NbreJoursNourrirBovins)))</f>
        <v>0</v>
      </c>
      <c r="BJ211" s="1270">
        <f t="shared" si="69"/>
        <v>0</v>
      </c>
      <c r="BK211" s="1321"/>
      <c r="BL211" s="1321"/>
      <c r="BM211" s="1346"/>
      <c r="BN211" s="1321"/>
      <c r="BO211" s="1321"/>
      <c r="BP211" s="1321"/>
      <c r="BQ211" s="1321"/>
      <c r="BR211" s="1321"/>
      <c r="BS211" s="1321"/>
      <c r="BT211" s="1321"/>
      <c r="BU211" s="1321"/>
      <c r="BV211" s="1345"/>
      <c r="BW211" s="1345"/>
      <c r="BX211" s="1075" t="str">
        <f t="shared" si="70"/>
        <v>Haricot vert</v>
      </c>
      <c r="BY211" s="1269">
        <f t="array" ref="BY211">SUM((IF(QualitéAlimentsChevreau_0_3_mois=BONNE,VLOOKUP("Haricot vert",AlimentsRationCaprinsMâles,5,FALSE),0)+(IF(QualitéAlimentsChevrette_0_3_mois=BONNE,VLOOKUP("Haricot vert",AlimentsRationCaprinsFemelles,5,FALSE),0)+(IF(QualitéAlimentsChevreau_3_6_mois=BONNE,VLOOKUP("Haricot vert",AlimentsRationCaprinsMâles,4,FALSE),0)+(IF(QualitéAlimentsChevrette_3_6_mois=BONNE,VLOOKUP("Haricot vert",AlimentsRationCaprinsFemelles,4,FALSE),0)+(IF(QualitéAlimentsJeuneBouc=BONNE,VLOOKUP("Haricot vert",AlimentsRationCaprinsMâles,3,FALSE),0)+(IF(QualitéAlimentsJeuneChèvre=BONNE,VLOOKUP("Haricot vert",AlimentsRationCaprinsFemelles,3,FALSE),0)+(IF(QualitéAlimentsBouc=BONNE,VLOOKUP("Haricot vert",AlimentsRationCaprinsMâles,2,FALSE),0)+(IF(QualitéAlimentsChèvre=BONNE,VLOOKUP("Haricot vert",AlimentsRationCaprinsFemelles,2,FALSE),0))))))))))</f>
        <v>0</v>
      </c>
      <c r="BZ211" s="1269">
        <f t="array" ref="BZ211">SUM((IF(QualitéAlimentsChevreau_0_3_mois=MOYENNE,VLOOKUP("Haricot vert",AlimentsRationCaprinsMâles,5,FALSE),0)+(IF(QualitéAlimentsChevrette_0_3_mois=MOYENNE,VLOOKUP("Haricot vert",AlimentsRationCaprinsFemelles,5,FALSE),0)+(IF(QualitéAlimentsChevreau_3_6_mois=MOYENNE,VLOOKUP("Haricot vert",AlimentsRationCaprinsMâles,4,FALSE),0)+(IF(QualitéAlimentsChevrette_3_6_mois=MOYENNE,VLOOKUP("Haricot vert",AlimentsRationCaprinsFemelles,4,FALSE),0)+(IF(QualitéAlimentsJeuneBouc=MOYENNE,VLOOKUP("Haricot vert",AlimentsRationCaprinsMâles,3,FALSE),0)+(IF(QualitéAlimentsJeuneChèvre=MOYENNE,VLOOKUP("Haricot vert",AlimentsRationCaprinsFemelles,3,FALSE),0)+(IF(QualitéAlimentsBouc=MOYENNE,VLOOKUP("Haricot vert",AlimentsRationCaprinsMâles,2,FALSE),0)+(IF(QualitéAlimentsChèvre=MOYENNE,VLOOKUP("Haricot vert",AlimentsRationCaprinsFemelles,2,FALSE),0))))))))))</f>
        <v>0</v>
      </c>
      <c r="CA211" s="1269">
        <f t="array" ref="CA211">SUM((IF(QualitéAlimentsChevreau_0_3_mois=MAUVAISE,VLOOKUP("Haricot vert",AlimentsRationCaprinsMâles,5,FALSE),0)+(IF(QualitéAlimentsChevrette_0_3_mois=MAUVAISE,VLOOKUP("Haricot vert",AlimentsRationCaprinsFemelles,5,FALSE),0)+(IF(QualitéAlimentsChevreau_3_6_mois=MAUVAISE,VLOOKUP("Haricot vert",AlimentsRationCaprinsMâles,4,FALSE),0)+(IF(QualitéAlimentsChevrette_3_6_mois=MAUVAISE,VLOOKUP("Haricot vert",AlimentsRationCaprinsFemelles,4,FALSE),0)+(IF(QualitéAlimentsJeuneBouc=MAUVAISE,VLOOKUP("Haricot vert",AlimentsRationCaprinsMâles,3,FALSE),0)+(IF(QualitéAlimentsJeuneChèvre=MAUVAISE,VLOOKUP("Haricot vert",AlimentsRationCaprinsFemelles,3,FALSE),0)+(IF(QualitéAlimentsBouc=MAUVAISE,VLOOKUP("Haricot vert",AlimentsRationCaprinsMâles,2,FALSE),0)+(IF(QualitéAlimentsChèvre=MAUVAISE,VLOOKUP("Haricot vert",AlimentsRationCaprinsFemelles,2,FALSE),0))))))))))</f>
        <v>0</v>
      </c>
      <c r="CB211" s="1321"/>
      <c r="CC211" s="1321"/>
      <c r="CD211" s="1345"/>
      <c r="CE211" s="1345"/>
      <c r="CF211" s="1345"/>
      <c r="CG211" s="1345"/>
      <c r="CH211" s="1345"/>
      <c r="CI211" s="1321"/>
      <c r="CJ211" s="1321"/>
      <c r="CK211" s="1321"/>
      <c r="CL211" s="1321"/>
      <c r="CM211" s="1321"/>
      <c r="CN211" s="1321"/>
      <c r="CO211" s="1321"/>
      <c r="CP211" s="1321"/>
      <c r="CQ211" s="1321"/>
      <c r="CR211" s="1321"/>
      <c r="CS211" s="1321"/>
      <c r="CT211" s="1321"/>
      <c r="CU211" s="1321"/>
      <c r="CV211" s="1321"/>
      <c r="CW211" s="1321"/>
      <c r="CX211" s="1321"/>
      <c r="CY211" s="1321"/>
      <c r="CZ211" s="1321"/>
      <c r="DA211" s="1321"/>
      <c r="DB211" s="1321"/>
      <c r="DC211" s="1321"/>
      <c r="DD211" s="1321"/>
      <c r="DE211" s="1321"/>
      <c r="DF211" s="1321"/>
      <c r="DG211" s="1321"/>
      <c r="DH211" s="1321"/>
      <c r="DI211" s="1321"/>
      <c r="DJ211" s="1321"/>
      <c r="DK211" s="1321"/>
      <c r="DL211" s="1321"/>
      <c r="DM211" s="1321"/>
      <c r="DN211" s="1075" t="str">
        <f t="shared" si="68"/>
        <v>Minéraux + vitamines</v>
      </c>
      <c r="DO211" s="1269">
        <f t="array" ref="DO211">IF(ChoixRationComplèteOvins=OUI,0,IFERROR(IF(OR(AND(INDEX(Règles_ovins[Specificite],MATCH(ChoixRationOvins&amp;$DN211,Règles_ovins[Ration]&amp;Règles_ovins[Aliment],0))="s1",IF($DN211=Spécificité1Ovins,1)),
AND(INDEX(Règles_ovins[Specificite],MATCH(ChoixRationOvins&amp;$DN211,Règles_ovins[Ration]&amp;Règles_ovins[Aliment],0))="s2",IF($DN211=Spécificité2Ovins,1)),
INDEX(Règles_ovins[Specificite],MATCH(ChoixRationOvins&amp;$DN211,Règles_ovins[Ration]&amp;Règles_ovins[Aliment],0))="c"),
INDEX(Règles_ovins[Valeur 12 et plus],MATCH(ChoixRationOvins&amp;$DN211,Règles_ovins[Ration]&amp;Règles_ovins[Aliment],0)),0),0)*IF(ChoixOvinsPréHiver=OUI,SUM(TotalOvinsAdultesRacesLaitières)*NbreJoursNourrirOvins,TotalBrebis*SUM(NbreJoursNourrirOvins)))</f>
        <v>0</v>
      </c>
      <c r="DP211" s="1269">
        <f t="array" ref="DP211">IF(ChoixRationComplèteOvins=OUI,0,IFERROR(IF(OR(AND(INDEX(Règles_ovins[Specificite],MATCH(ChoixRationOvins&amp;$DN211,Règles_ovins[Ration]&amp;Règles_ovins[Aliment],0))="s1",IF($DN211=Spécificité1Ovins,1)),
AND(INDEX(Règles_ovins[Specificite],MATCH(ChoixRationOvins&amp;$DN211,Règles_ovins[Ration]&amp;Règles_ovins[Aliment],0))="s2",IF($DN211=Spécificité2Ovins,1)),
INDEX(Règles_ovins[Specificite],MATCH(ChoixRationOvins&amp;$DN211,Règles_ovins[Ration]&amp;Règles_ovins[Aliment],0))="c"),
INDEX(Règles_ovins[Valeur 6-12],MATCH(ChoixRationOvins&amp;$DN211,Règles_ovins[Ration]&amp;Règles_ovins[Aliment],0)),0),0)*IF(ChoixOvinsPréHiver=OUI,SUM(TotalJeunesOvinsRacesLaitières)*NbreJoursNourrirOvins,TotalJeune_brebis_6_12_mois*SUM(NbreJoursNourrirOvins)))</f>
        <v>0</v>
      </c>
      <c r="DQ211" s="1269">
        <f t="array" ref="DQ211">IF(ChoixRationComplèteOvins=OUI,0,IFERROR(IF(OR(AND(INDEX(Règles_ovins[Specificite],MATCH(ChoixRationOvins&amp;$DN211,Règles_ovins[Ration]&amp;Règles_ovins[Aliment],0))="s1",IF($DN211=Spécificité1Ovins,1)),
AND(INDEX(Règles_ovins[Specificite],MATCH(ChoixRationOvins&amp;$DN211,Règles_ovins[Ration]&amp;Règles_ovins[Aliment],0))="s2",IF($DN211=Spécificité2Ovins,1)),
INDEX(Règles_ovins[Specificite],MATCH(ChoixRationOvins&amp;$DN211,Règles_ovins[Ration]&amp;Règles_ovins[Aliment],0))="c"),
INDEX(Règles_ovins[Valeur 3-6],MATCH(ChoixRationOvins&amp;$DN211,Règles_ovins[Ration]&amp;Règles_ovins[Aliment],0)),0),0)*IF(ChoixOvinsPréHiver=OUI,SUM(TotalOvins_3_6moisRacesLaitières)*NbreJoursNourrirOvins,TotalAgnelle_3_6_mois*SUM(NbreJoursNourrirOvins)))</f>
        <v>0</v>
      </c>
      <c r="DR211" s="1269">
        <f t="array" ref="DR211">IF(ChoixRationComplèteOvins=OUI,0,IFERROR(IF(OR(AND(INDEX(Règles_ovins[Specificite],MATCH(ChoixRationOvins&amp;$DN211,Règles_ovins[Ration]&amp;Règles_ovins[Aliment],0))="s1",IF($DN211=Spécificité1Ovins,1)),
AND(INDEX(Règles_ovins[Specificite],MATCH(ChoixRationOvins&amp;$DN211,Règles_ovins[Ration]&amp;Règles_ovins[Aliment],0))="s2",IF($DN211=Spécificité2Ovins,1)),
INDEX(Règles_ovins[Specificite],MATCH(ChoixRationOvins&amp;$DN211,Règles_ovins[Ration]&amp;Règles_ovins[Aliment],0))="c"),
INDEX(Règles_ovins[Valeur 0-3],MATCH(ChoixRationOvins&amp;$DN211,Règles_ovins[Ration]&amp;Règles_ovins[Aliment],0)),0),0)*IF(ChoixOvinsPréHiver=OUI,SUM(TotalOvins_3_6moisRacesLaitières)*NbreJoursNourrirOvins,TotalAgnelle_0_3_mois*SUM(NbreJoursNourrirOvins)))</f>
        <v>0</v>
      </c>
      <c r="DS211" s="1280">
        <f t="shared" si="67"/>
        <v>0</v>
      </c>
      <c r="DT211" s="1346"/>
      <c r="DU211" s="1345"/>
      <c r="DV211" s="1321"/>
      <c r="DW211" s="1321"/>
      <c r="DX211" s="1321"/>
      <c r="DY211" s="1321"/>
      <c r="DZ211" s="1321"/>
      <c r="EA211" s="1321"/>
      <c r="EB211" s="1321"/>
      <c r="EC211" s="1321"/>
      <c r="ED211" s="1345"/>
      <c r="EE211" s="1345"/>
      <c r="EF211" s="1321"/>
      <c r="EG211" s="1321"/>
      <c r="EH211" s="1321"/>
      <c r="EI211" s="1321"/>
      <c r="EJ211" s="1321"/>
      <c r="EK211" s="1345"/>
      <c r="EL211" s="1345"/>
      <c r="EM211" s="1321"/>
      <c r="EN211" s="1321"/>
      <c r="EO211" s="1321"/>
      <c r="EP211" s="1321"/>
      <c r="EQ211" s="1321"/>
      <c r="ER211" s="1345"/>
      <c r="ES211" s="1345"/>
      <c r="ET211" s="1321"/>
      <c r="EU211" s="1082" t="str">
        <f t="shared" si="73"/>
        <v>concentré jeunes lapins</v>
      </c>
      <c r="EV211" s="1282">
        <f t="array" ref="EV211">SUM((IF(QualitéAlimentsPoulainSelleMâle=BONNE,VLOOKUP("Concentré jeunes lapins",AlimentsRationEcurieChevauxMâlesSelle,5,FALSE),0)+(IF(QualitéAlimentsPoulainSelleFemelle=BONNE,VLOOKUP("Concentré jeunes lapins",AlimentsRationEcurieChevauxFemellesSelle,5,FALSE),0)+(IF(QualitéAlimentsJeuneEtalon_12_24_moisSelle=BONNE,VLOOKUP("Concentré jeunes lapins",AlimentsRationEcurieChevauxMâlesSelle,4,FALSE),0)+(IF(QualitéAlimentsJeuneJument_12_24_moisSelle=BONNE,VLOOKUP("Concentré jeunes lapins",AlimentsRationEcurieChevauxFemellesSelle,4,FALSE),0)+(IF(QualitéAlimentsJeuneEtalon_24_36_moisSelle=BONNE,VLOOKUP("Concentré jeunes lapins",AlimentsRationEcurieChevauxMâlesSelle,3,FALSE),0)+(IF(QualitéAlimentsJeuneJument_24_36_moisSelle=BONNE,VLOOKUP("Concentré jeunes lapins",AlimentsRationEcurieChevauxFemellesSelle,3,FALSE),0)+(IF(QualitéAlimentsEtalonSelle=BONNE,VLOOKUP("Concentré jeunes lapins",AlimentsRationEcurieChevauxMâlesSelle,2,FALSE),0)+(IF(QualitéAlimentsJumentSelle=BONNE,VLOOKUP("Concentré jeunes lapins",AlimentsRationEcurieChevauxFemellesSelle,2,FALSE),0))))))))))</f>
        <v>0</v>
      </c>
      <c r="EW211" s="1282">
        <f t="array" ref="EW211">SUM((IF(QualitéAlimentsPoulainSelleMâle=MOYENNE,VLOOKUP("Concentré jeunes lapins",AlimentsRationEcurieChevauxMâlesSelle,5,FALSE),0)+(IF(QualitéAlimentsPoulainSelleFemelle=MOYENNE,VLOOKUP("Concentré jeunes lapins",AlimentsRationEcurieChevauxFemellesSelle,5,FALSE),0)+(IF(QualitéAlimentsJeuneEtalon_12_24_moisSelle=MOYENNE,VLOOKUP("Concentré jeunes lapins",AlimentsRationEcurieChevauxMâlesSelle,4,FALSE),0)+(IF(QualitéAlimentsJeuneJument_12_24_moisSelle=MOYENNE,VLOOKUP("Concentré jeunes lapins",AlimentsRationEcurieChevauxFemellesSelle,4,FALSE),0)+(IF(QualitéAlimentsJeuneEtalon_24_36_moisSelle=MOYENNE,VLOOKUP("Concentré jeunes lapins",AlimentsRationEcurieChevauxMâlesSelle,3,FALSE),0)+(IF(QualitéAlimentsJeuneJument_24_36_moisSelle=MOYENNE,VLOOKUP("Concentré jeunes lapins",AlimentsRationEcurieChevauxFemellesSelle,3,FALSE),0)+(IF(QualitéAlimentsEtalonSelle=MOYENNE,VLOOKUP("Concentré jeunes lapins",AlimentsRationEcurieChevauxMâlesSelle,2,FALSE),0)+(IF(QualitéAlimentsJumentSelle=MOYENNE,VLOOKUP("Concentré jeunes lapins",AlimentsRationEcurieChevauxFemellesSelle,2,FALSE),0))))))))))</f>
        <v>0</v>
      </c>
      <c r="EX211" s="1282">
        <f t="array" ref="EX211">SUM((IF(QualitéAlimentsPoulainSelleMâle=MAUVAISE,VLOOKUP("Concentré jeunes lapins",AlimentsRationEcurieChevauxMâlesSelle,5,FALSE),0)+(IF(QualitéAlimentsPoulainSelleFemelle=MAUVAISE,VLOOKUP("Concentré jeunes lapins",AlimentsRationEcurieChevauxFemellesSelle,5,FALSE),0)+(IF(QualitéAlimentsJeuneEtalon_12_24_moisSelle=MAUVAISE,VLOOKUP("Concentré jeunes lapins",AlimentsRationEcurieChevauxMâlesSelle,4,FALSE),0)+(IF(QualitéAlimentsJeuneJument_12_24_moisSelle=MAUVAISE,VLOOKUP("Concentré jeunes lapins",AlimentsRationEcurieChevauxFemellesSelle,4,FALSE),0)+(IF(QualitéAlimentsJeuneEtalon_24_36_moisSelle=MAUVAISE,VLOOKUP("Concentré jeunes lapins",AlimentsRationEcurieChevauxMâlesSelle,3,FALSE),0)+(IF(QualitéAlimentsJeuneJument_24_36_moisSelle=MAUVAISE,VLOOKUP("Concentré jeunes lapins",AlimentsRationEcurieChevauxFemellesSelle,3,FALSE),0)+(IF(QualitéAlimentsEtalonSelle=MAUVAISE,VLOOKUP("Concentré jeunes lapins",AlimentsRationEcurieChevauxMâlesSelle,2,FALSE),0)+(IF(QualitéAlimentsJumentSelle=MAUVAISE,VLOOKUP("Concentré jeunes lapins",AlimentsRationEcurieChevauxFemellesSelle,2,FALSE),0))))))))))</f>
        <v>0</v>
      </c>
      <c r="EY211" s="1321"/>
      <c r="EZ211" s="1345"/>
      <c r="FA211" s="1345"/>
      <c r="FB211" s="1345"/>
      <c r="FC211" s="1321"/>
      <c r="FD211" s="1083" t="str">
        <f t="shared" si="72"/>
        <v>Féverole</v>
      </c>
      <c r="FE211" s="1283">
        <f t="array" ref="FE211">SUM((IF(QualitéAlimentsPoulainMâleTrait=BONNE,VLOOKUP("Féverole",AlimentsRationEcurieChevauxMâlesTrait,5,FALSE),0)+(IF(QualitéAlimentsPoulainFemelleTrait=BONNE,VLOOKUP("Féverole",AlimentsRationEcurieChevauxFemellesTrait,5,FALSE),0)+(IF(QualitéAlimentsJeuneEtalon_12_24_moisTrait=BONNE,VLOOKUP("Féverole",AlimentsRationEcurieChevauxMâlesTrait,4,FALSE),0)+(IF(QualitéAlimentsJeuneJument_12_24_moisTrait=BONNE,VLOOKUP("Féverole",AlimentsRationEcurieChevauxFemellesTrait,4,FALSE),0)+(IF(QualitéAlimentsJeuneEtalon_24_36_moisTrait=BONNE,VLOOKUP("Féverole",AlimentsRationEcurieChevauxMâlesTrait,3,FALSE),0)+(IF(QualitéAlimentsJeuneJument_24_36_moisTrait=BONNE,VLOOKUP("Féverole",AlimentsRationEcurieChevauxFemellesTrait,3,FALSE),0)+(IF(QualitéAlimentsEtalonTrait=BONNE,VLOOKUP("Féverole",AlimentsRationEcurieChevauxMâlesTrait,2,FALSE),0)+(IF(QualitéAlimentsJumentTrait=BONNE,VLOOKUP("Féverole",AlimentsRationEcurieChevauxFemellesTrait,2,FALSE),0))))))))))</f>
        <v>0</v>
      </c>
      <c r="FF211" s="1283">
        <f t="array" ref="FF211">SUM((IF(QualitéAlimentsPoulainMâleTrait=MOYENNE,VLOOKUP("Féverole",AlimentsRationEcurieChevauxMâlesTrait,5,FALSE),0)+(IF(QualitéAlimentsPoulainFemelleTrait=MOYENNE,VLOOKUP("Féverole",AlimentsRationEcurieChevauxFemellesTrait,5,FALSE),0)+(IF(QualitéAlimentsJeuneEtalon_12_24_moisTrait=MOYENNE,VLOOKUP("Féverole",AlimentsRationEcurieChevauxMâlesTrait,4,FALSE),0)+(IF(QualitéAlimentsJeuneJument_12_24_moisTrait=MOYENNE,VLOOKUP("Féverole",AlimentsRationEcurieChevauxFemellesTrait,4,FALSE),0)+(IF(QualitéAlimentsJeuneEtalon_24_36_moisTrait=MOYENNE,VLOOKUP("Féverole",AlimentsRationEcurieChevauxMâlesTrait,3,FALSE),0)+(IF(QualitéAlimentsJeuneJument_24_36_moisTrait=MOYENNE,VLOOKUP("Féverole",AlimentsRationEcurieChevauxFemellesTrait,3,FALSE),0)+(IF(QualitéAlimentsEtalonTrait=MOYENNE,VLOOKUP("Féverole",AlimentsRationEcurieChevauxMâlesTrait,2,FALSE),0)+(IF(QualitéAlimentsJumentTrait=MOYENNE,VLOOKUP("Féverole",AlimentsRationEcurieChevauxFemellesTrait,2,FALSE),0))))))))))</f>
        <v>0</v>
      </c>
      <c r="FG211" s="1283">
        <f t="array" ref="FG211">SUM((IF(QualitéAlimentsPoulainMâleTrait=MAUVAISE,VLOOKUP("Féverole",AlimentsRationEcurieChevauxMâlesTrait,5,FALSE),0)+(IF(QualitéAlimentsPoulainFemelleTrait=MAUVAISE,VLOOKUP("Féverole",AlimentsRationEcurieChevauxFemellesTrait,5,FALSE),0)+(IF(QualitéAlimentsJeuneEtalon_12_24_moisTrait=MAUVAISE,VLOOKUP("Féverole",AlimentsRationEcurieChevauxMâlesTrait,4,FALSE),0)+(IF(QualitéAlimentsJeuneJument_12_24_moisTrait=MAUVAISE,VLOOKUP("Féverole",AlimentsRationEcurieChevauxFemellesTrait,4,FALSE),0)+(IF(QualitéAlimentsJeuneEtalon_24_36_moisTrait=MAUVAISE,VLOOKUP("Féverole",AlimentsRationEcurieChevauxMâlesTrait,3,FALSE),0)+(IF(QualitéAlimentsJeuneJument_24_36_moisTrait=MAUVAISE,VLOOKUP("Féverole",AlimentsRationEcurieChevauxFemellesTrait,3,FALSE),0)+(IF(QualitéAlimentsEtalonTrait=MAUVAISE,VLOOKUP("Féverole",AlimentsRationEcurieChevauxMâlesTrait,2,FALSE),0)+(IF(QualitéAlimentsJumentTrait=MAUVAISE,VLOOKUP("Féverole",AlimentsRationEcurieChevauxFemellesTrait,2,FALSE),0))))))))))</f>
        <v>0</v>
      </c>
      <c r="FH211" s="1321"/>
      <c r="FI211" s="1321"/>
      <c r="FJ211" s="1345"/>
      <c r="FK211" s="1345"/>
      <c r="FL211" s="1345"/>
      <c r="FM211" s="1321"/>
      <c r="FN211" s="1082" t="str">
        <f t="shared" si="71"/>
        <v>Foin</v>
      </c>
      <c r="FO211" s="1282">
        <f t="array" ref="FO211">SUM((IF(QualitéAlimentsPoulainMâlePoney=BONNE,VLOOKUP("Foin",AlimentsRationEcuriePoneysMâles,5,FALSE),0)+(IF(QualitéAlimentsPoulainFemellePoney=BONNE,VLOOKUP("Foin",AlimentsRationEcuriePoneysFemelles,5,FALSE),0)+(IF(QualitéAlimentsJeuneEtalon_12_24_moisPoney=BONNE,VLOOKUP("Foin",AlimentsRationEcuriePoneysMâles,4,FALSE),0)+(IF(QualitéAlimentsJeuneJument_12_24_moisPoney=BONNE,VLOOKUP("Foin",AlimentsRationEcuriePoneysFemelles,4,FALSE),0)+(IF(QualitéAlimentsJeuneEtalon_24_36_moisPoney=BONNE,VLOOKUP("Foin",AlimentsRationEcuriePoneysMâles,3,FALSE),0)+(IF(QualitéAlimentsJeuneJument_24_36_moisPoney=BONNE,VLOOKUP("Foin",AlimentsRationEcuriePoneysFemelles,3,FALSE),0)+(IF(QualitéAlimentsEtalonPoney=BONNE,VLOOKUP("Foin",AlimentsRationEcuriePoneysMâles,2,FALSE),0)+(IF(QualitéAlimentsJumentPoney=BONNE,VLOOKUP("Foin",AlimentsRationEcuriePoneysFemelles,2,FALSE),0))))))))))</f>
        <v>0</v>
      </c>
      <c r="FP211" s="1282">
        <f t="array" ref="FP211">SUM((IF(QualitéAlimentsPoulainMâlePoney=MOYENNE,VLOOKUP("Foin",AlimentsRationEcuriePoneysMâles,5,FALSE),0)+(IF(QualitéAlimentsPoulainFemellePoney=MOYENNE,VLOOKUP("Foin",AlimentsRationEcuriePoneysFemelles,5,FALSE),0)+(IF(QualitéAlimentsJeuneEtalon_12_24_moisPoney=MOYENNE,VLOOKUP("Foin",AlimentsRationEcuriePoneysMâles,4,FALSE),0)+(IF(QualitéAlimentsJeuneJument_12_24_moisPoney=MOYENNE,VLOOKUP("Foin",AlimentsRationEcuriePoneysFemelles,4,FALSE),0)+(IF(QualitéAlimentsJeuneEtalon_24_36_moisPoney=MOYENNE,VLOOKUP("Foin",AlimentsRationEcuriePoneysMâles,3,FALSE),0)+(IF(QualitéAlimentsJeuneJument_24_36_moisPoney=MOYENNE,VLOOKUP("Foin",AlimentsRationEcuriePoneysFemelles,3,FALSE),0)+(IF(QualitéAlimentsEtalonPoney=MOYENNE,VLOOKUP("Foin",AlimentsRationEcuriePoneysMâles,2,FALSE),0)+(IF(QualitéAlimentsJumentPoney=MOYENNE,VLOOKUP("Foin",AlimentsRationEcuriePoneysFemelles,2,FALSE),0))))))))))</f>
        <v>0</v>
      </c>
      <c r="FQ211" s="1282">
        <f t="array" ref="FQ211">SUM((IF(QualitéAlimentsPoulainMâlePoney=MAUVAISE,VLOOKUP("Foin",AlimentsRationEcuriePoneysMâles,5,FALSE),0)+(IF(QualitéAlimentsPoulainFemellePoney=MAUVAISE,VLOOKUP("Foin",AlimentsRationEcuriePoneysFemelles,5,FALSE),0)+(IF(QualitéAlimentsJeuneEtalon_12_24_moisPoney=MAUVAISE,VLOOKUP("Foin",AlimentsRationEcuriePoneysMâles,4,FALSE),0)+(IF(QualitéAlimentsJeuneJument_12_24_moisPoney=MAUVAISE,VLOOKUP("Foin",AlimentsRationEcuriePoneysFemelles,4,FALSE),0)+(IF(QualitéAlimentsJeuneEtalon_24_36_moisPoney=MAUVAISE,VLOOKUP("Foin",AlimentsRationEcuriePoneysMâles,3,FALSE),0)+(IF(QualitéAlimentsJeuneJument_24_36_moisPoney=MAUVAISE,VLOOKUP("Foin",AlimentsRationEcuriePoneysFemelles,3,FALSE),0)+(IF(QualitéAlimentsEtalonPoney=MAUVAISE,VLOOKUP("Foin",AlimentsRationEcuriePoneysMâles,2,FALSE),0)+(IF(QualitéAlimentsJumentPoney=MAUVAISE,VLOOKUP("Foin",AlimentsRationEcuriePoneysFemelles,2,FALSE),0))))))))))</f>
        <v>0</v>
      </c>
      <c r="FR211" s="1345"/>
      <c r="FS211" s="1345"/>
      <c r="FT211" s="1345"/>
      <c r="FU211" s="1345"/>
      <c r="FV211" s="1345"/>
      <c r="FW211" s="1321"/>
      <c r="FX211" s="1321"/>
      <c r="FY211" s="1321"/>
      <c r="FZ211" s="1321"/>
      <c r="GA211" s="1345"/>
      <c r="GB211" s="1321"/>
      <c r="GC211" s="1321"/>
      <c r="GD211" s="1321"/>
      <c r="GE211" s="1321"/>
      <c r="GF211" s="1321"/>
      <c r="GG211" s="1321" t="s">
        <v>1349</v>
      </c>
      <c r="GH211" s="1321" t="s">
        <v>1349</v>
      </c>
      <c r="GI211" s="1321" t="s">
        <v>1349</v>
      </c>
      <c r="GJ211" s="1321" t="s">
        <v>1349</v>
      </c>
      <c r="GK211" s="1321" t="s">
        <v>1349</v>
      </c>
      <c r="GL211" s="1321" t="s">
        <v>1349</v>
      </c>
      <c r="GM211" s="1321" t="s">
        <v>1349</v>
      </c>
      <c r="GN211" s="1321" t="s">
        <v>1349</v>
      </c>
      <c r="GO211" s="1321" t="s">
        <v>1349</v>
      </c>
      <c r="GP211" s="1321" t="s">
        <v>1349</v>
      </c>
      <c r="GQ211" s="1321" t="s">
        <v>1349</v>
      </c>
      <c r="GR211" s="1321" t="s">
        <v>1349</v>
      </c>
      <c r="GS211" s="1321" t="s">
        <v>1349</v>
      </c>
      <c r="GT211" s="1321" t="s">
        <v>1349</v>
      </c>
      <c r="GU211" s="1321" t="s">
        <v>1349</v>
      </c>
      <c r="GV211" s="1321" t="s">
        <v>1349</v>
      </c>
      <c r="GW211" s="1321"/>
      <c r="GX211" s="1321"/>
      <c r="GY211" s="1321"/>
      <c r="GZ211" s="1321"/>
      <c r="HA211" s="1321"/>
      <c r="HB211" s="1321"/>
      <c r="HC211" s="1321"/>
      <c r="HD211" s="1321"/>
      <c r="HE211" s="1321"/>
      <c r="HF211" s="1321"/>
      <c r="HG211" s="1321"/>
      <c r="HH211" s="1321"/>
      <c r="HI211" s="1321"/>
      <c r="HJ211" s="1321"/>
      <c r="HK211" s="1321"/>
      <c r="HL211" s="1321"/>
      <c r="HM211" s="1321"/>
      <c r="HN211" s="1321"/>
      <c r="HO211" s="1321"/>
      <c r="HP211" s="1321"/>
      <c r="HQ211" s="1321"/>
      <c r="HR211" s="1321"/>
      <c r="HS211" s="1321"/>
      <c r="HT211" s="1321"/>
      <c r="HU211" s="1321"/>
      <c r="HV211" s="1321"/>
      <c r="HW211" s="1321"/>
      <c r="HX211" s="1321"/>
      <c r="HY211" s="1321"/>
      <c r="HZ211" s="1321"/>
      <c r="IA211" s="1321"/>
      <c r="IB211" s="1321"/>
      <c r="IC211" s="1321"/>
      <c r="ID211" s="1321"/>
      <c r="IE211" s="1321"/>
      <c r="IF211" s="1321"/>
      <c r="IG211" s="1321"/>
      <c r="IH211" s="1321"/>
      <c r="II211" s="1321"/>
      <c r="IJ211" s="1321"/>
      <c r="IK211" s="1321"/>
      <c r="IL211" s="1321"/>
      <c r="IM211" s="1321"/>
      <c r="IN211" s="1368"/>
    </row>
    <row r="212" spans="1:248" ht="12.75" customHeight="1" x14ac:dyDescent="0.2">
      <c r="A212" s="1319"/>
      <c r="B212" s="1321"/>
      <c r="C212" s="1321"/>
      <c r="D212" s="1288" t="s">
        <v>1992</v>
      </c>
      <c r="E212" s="1151">
        <v>161.69</v>
      </c>
      <c r="F212" s="1321"/>
      <c r="G212" s="1321"/>
      <c r="H212" s="1321"/>
      <c r="I212" s="1321"/>
      <c r="J212" s="1321"/>
      <c r="K212" s="1321"/>
      <c r="L212" s="1321"/>
      <c r="M212" s="1321"/>
      <c r="N212" s="1321"/>
      <c r="O212" s="1321"/>
      <c r="P212" s="1321"/>
      <c r="Q212" s="1321"/>
      <c r="R212" s="1321"/>
      <c r="S212" s="1321"/>
      <c r="T212" s="1321"/>
      <c r="U212" s="1321"/>
      <c r="V212" s="1321"/>
      <c r="W212" s="1321"/>
      <c r="X212" s="1321"/>
      <c r="Y212" s="1321"/>
      <c r="Z212" s="1321"/>
      <c r="AA212" s="1321"/>
      <c r="AB212" s="1321"/>
      <c r="AC212" s="1321"/>
      <c r="AD212" s="1321"/>
      <c r="AE212" s="1321"/>
      <c r="AF212" s="1321"/>
      <c r="AG212" s="1321"/>
      <c r="AH212" s="1321"/>
      <c r="AI212" s="1321"/>
      <c r="AJ212" s="1321"/>
      <c r="AK212" s="1321"/>
      <c r="AL212" s="1321"/>
      <c r="AM212" s="1321"/>
      <c r="AN212" s="1321"/>
      <c r="AO212" s="1321"/>
      <c r="AP212" s="1321"/>
      <c r="AQ212" s="1321"/>
      <c r="AR212" s="1321"/>
      <c r="AS212" s="1321"/>
      <c r="AT212" s="1321"/>
      <c r="AU212" s="1321"/>
      <c r="AV212" s="1321"/>
      <c r="AW212" s="1321"/>
      <c r="AX212" s="1321"/>
      <c r="AY212" s="1321"/>
      <c r="AZ212" s="1321"/>
      <c r="BA212" s="1321"/>
      <c r="BB212" s="1076" t="s">
        <v>339</v>
      </c>
      <c r="BC212" s="1267">
        <f t="array" ref="BC212">IF(Ration_complète_bovins[somme]&gt;0,0,IFERROR(IF(OR(AND(INDEX(Règles_bovins[Specificite],MATCH(ChoixRationBovins&amp;$BB212,Règles_bovins[Ration]&amp;Règles_bovins[Aliment],0))="s1",IF($BB212=Spécificité1Bovins,1)),
AND(INDEX(Règles_bovins[Specificite],MATCH(ChoixRationBovins&amp;$BB212,Règles_bovins[Ration]&amp;Règles_bovins[Aliment],0))="s2",IF($BB212=Spécificité2Bovins,1)),
INDEX(Règles_bovins[Specificite],MATCH(ChoixRationBovins&amp;$BB212,Règles_bovins[Ration]&amp;Règles_bovins[Aliment],0))="c"),
INDEX(Règles_bovins[Valeur 36 et plus],MATCH(ChoixRationBovins&amp;$BB212,Règles_bovins[Ration]&amp;Règles_bovins[Aliment],0)),0),0)*IF(ChoixBovinsPréHiver=OUI,TotalTaureauxRacesLaitières,TotalTaureaux*SUM(NbreJoursNourrirBovins)))</f>
        <v>0</v>
      </c>
      <c r="BD212" s="1267">
        <f t="array" ref="BD212">IF(Ration_complète_bovins[somme]&gt;0,0,IFERROR(IF(OR(AND(INDEX(Règles_bovins[Specificite],MATCH(ChoixRationBovins&amp;$BB212,Règles_bovins[Ration]&amp;Règles_bovins[Aliment],0))="s1",IF($BB212=Spécificité1Bovins,1)),
AND(INDEX(Règles_bovins[Specificite],MATCH(ChoixRationBovins&amp;$BB212,Règles_bovins[Ration]&amp;Règles_bovins[Aliment],0))="s2",IF($BB212=Spécificité2Bovins,1)),
INDEX(Règles_bovins[Specificite],MATCH(ChoixRationBovins&amp;$BB212,Règles_bovins[Ration]&amp;Règles_bovins[Aliment],0))="c"),
INDEX(Règles_bovins[Valeur 24-36],MATCH(ChoixRationBovins&amp;$BB212,Règles_bovins[Ration]&amp;Règles_bovins[Aliment],0)),0),0)*IF(ChoixBovinsPréHiver=OUI,TotalTaurillon_24_36_RacesLaitières,TotalBovinsMâles_24_36mois*SUM(NbreJoursNourrirBovins)))</f>
        <v>0</v>
      </c>
      <c r="BE212" s="1267">
        <f t="array" ref="BE212">IF(Ration_complète_bovins[somme]&gt;0,0,IFERROR(IF(OR(AND(INDEX(Règles_bovins[Specificite],MATCH(ChoixRationBovins&amp;$BB212,Règles_bovins[Ration]&amp;Règles_bovins[Aliment],0))="s1",IF($BB212=Spécificité1Bovins,1)),
AND(INDEX(Règles_bovins[Specificite],MATCH(ChoixRationBovins&amp;$BB212,Règles_bovins[Ration]&amp;Règles_bovins[Aliment],0))="s2",IF($BB212=Spécificité2Bovins,1)),
INDEX(Règles_bovins[Specificite],MATCH(ChoixRationBovins&amp;$BB212,Règles_bovins[Ration]&amp;Règles_bovins[Aliment],0))="c"),
INDEX(Règles_bovins[Valeur 18-24],MATCH(ChoixRationBovins&amp;$BB212,Règles_bovins[Ration]&amp;Règles_bovins[Aliment],0)),0),0)*IF(ChoixBovinsPréHiver=OUI,TotalTaurillon_18_24_RacesLaitières,TotalBovinsMâles_18_24mois*SUM(NbreJoursNourrirBovins)))</f>
        <v>0</v>
      </c>
      <c r="BF212" s="1267">
        <f t="array" ref="BF212">IF(Ration_complète_bovins[somme]&gt;0,0,IFERROR(IF(OR(AND(INDEX(Règles_bovins[Specificite],MATCH(ChoixRationBovins&amp;$BB212,Règles_bovins[Ration]&amp;Règles_bovins[Aliment],0))="s1",IF($BB212=Spécificité1Bovins,1)),
AND(INDEX(Règles_bovins[Specificite],MATCH(ChoixRationBovins&amp;$BB212,Règles_bovins[Ration]&amp;Règles_bovins[Aliment],0))="s2",IF($BB212=Spécificité2Bovins,1)),
INDEX(Règles_bovins[Specificite],MATCH(ChoixRationBovins&amp;$BB212,Règles_bovins[Ration]&amp;Règles_bovins[Aliment],0))="c"),
INDEX(Règles_bovins[Valeur 12-18],MATCH(ChoixRationBovins&amp;$BB212,Règles_bovins[Ration]&amp;Règles_bovins[Aliment],0)),0),0)*IF(ChoixBovinsPréHiver=OUI,animaux!D35,TotalBovinsMâles_12_18mois*SUM(NbreJoursNourrirBovins)))</f>
        <v>0</v>
      </c>
      <c r="BG212" s="1267">
        <f t="array" ref="BG212">IF(Ration_complète_bovins[somme]&gt;0,0,IFERROR(IF(OR(AND(INDEX(Règles_bovins[Specificite],MATCH(ChoixRationBovins&amp;$BB212,Règles_bovins[Ration]&amp;Règles_bovins[Aliment],0))="s1",IF($BB212=Spécificité1Bovins,1)),
AND(INDEX(Règles_bovins[Specificite],MATCH(ChoixRationBovins&amp;$BB212,Règles_bovins[Ration]&amp;Règles_bovins[Aliment],0))="s2",IF($BB212=Spécificité2Bovins,1)),
INDEX(Règles_bovins[Specificite],MATCH(ChoixRationBovins&amp;$BB212,Règles_bovins[Ration]&amp;Règles_bovins[Aliment],0))="c"),
INDEX(Règles_bovins[Valeur 6-12],MATCH(ChoixRationBovins&amp;$BB212,Règles_bovins[Ration]&amp;Règles_bovins[Aliment],0)),0),0)*IF(ChoixBovinsPréHiver=OUI,TotalVeauMâle_6_12_RacesLaitières,TotalBovinsMâles_6_12mois*SUM(NbreJoursNourrirBovins)))</f>
        <v>0</v>
      </c>
      <c r="BH212" s="1267">
        <f t="array" ref="BH212">IF(Ration_complète_bovins[somme]&gt;0,0,IFERROR(IF(OR(AND(INDEX(Règles_bovins[Specificite],MATCH(ChoixRationBovins&amp;$BB212,Règles_bovins[Ration]&amp;Règles_bovins[Aliment],0))="s1",IF($BB212=Spécificité1Bovins,1)),
AND(INDEX(Règles_bovins[Specificite],MATCH(ChoixRationBovins&amp;$BB212,Règles_bovins[Ration]&amp;Règles_bovins[Aliment],0))="s2",IF($BB212=Spécificité2Bovins,1)),
INDEX(Règles_bovins[Specificite],MATCH(ChoixRationBovins&amp;$BB212,Règles_bovins[Ration]&amp;Règles_bovins[Aliment],0))="c"),
INDEX(Règles_bovins[Valeur 3-6],MATCH(ChoixRationBovins&amp;$BB212,Règles_bovins[Ration]&amp;Règles_bovins[Aliment],0)),0),0)*IF(ChoixBovinsPréHiver=OUI,TotalVeauMâle_3_6_RacesLaitières,TotalBovinsMâles_3_6mois*SUM(NbreJoursNourrirBovins)))</f>
        <v>0</v>
      </c>
      <c r="BI212" s="1267">
        <f t="array" ref="BI212">IF(Ration_complète_bovins[somme]&gt;0,0,IFERROR(IF(OR(AND(INDEX(Règles_bovins[Specificite],MATCH(ChoixRationBovins&amp;$BB212,Règles_bovins[Ration]&amp;Règles_bovins[Aliment],0))="s1",IF($BB212=Spécificité1Bovins,1)),
AND(INDEX(Règles_bovins[Specificite],MATCH(ChoixRationBovins&amp;$BB212,Règles_bovins[Ration]&amp;Règles_bovins[Aliment],0))="s2",IF($BB212=Spécificité2Bovins,1)),
INDEX(Règles_bovins[Specificite],MATCH(ChoixRationBovins&amp;$BB212,Règles_bovins[Ration]&amp;Règles_bovins[Aliment],0))="c"),
INDEX(Règles_bovins[Valeur 0-3],MATCH(ChoixRationBovins&amp;$BB212,Règles_bovins[Ration]&amp;Règles_bovins[Aliment],0)),0),0)*IF(ChoixBovinsPréHiver=OUI,TotalVeauMâle_0_3_RacesLaitières,TotalBovinsMâles_0_3mois*SUM(NbreJoursNourrirBovins)))</f>
        <v>0</v>
      </c>
      <c r="BJ212" s="1268">
        <f t="shared" si="69"/>
        <v>0</v>
      </c>
      <c r="BK212" s="1321"/>
      <c r="BL212" s="1321"/>
      <c r="BM212" s="1346"/>
      <c r="BN212" s="1321"/>
      <c r="BO212" s="1321"/>
      <c r="BP212" s="1321"/>
      <c r="BQ212" s="1321"/>
      <c r="BR212" s="1321"/>
      <c r="BS212" s="1321"/>
      <c r="BT212" s="1321"/>
      <c r="BU212" s="1321"/>
      <c r="BV212" s="1345"/>
      <c r="BW212" s="1345"/>
      <c r="BX212" s="1076" t="str">
        <f t="shared" si="70"/>
        <v>Lentille</v>
      </c>
      <c r="BY212" s="1267">
        <f t="array" ref="BY212">SUM((IF(QualitéAlimentsChevreau_0_3_mois=BONNE,VLOOKUP("Lentille",AlimentsRationCaprinsMâles,5,FALSE),0)+(IF(QualitéAlimentsChevrette_0_3_mois=BONNE,VLOOKUP("Lentille",AlimentsRationCaprinsFemelles,5,FALSE),0)+(IF(QualitéAlimentsChevreau_3_6_mois=BONNE,VLOOKUP("Lentille",AlimentsRationCaprinsMâles,4,FALSE),0)+(IF(QualitéAlimentsChevrette_3_6_mois=BONNE,VLOOKUP("Lentille",AlimentsRationCaprinsFemelles,4,FALSE),0)+(IF(QualitéAlimentsJeuneBouc=BONNE,VLOOKUP("Lentille",AlimentsRationCaprinsMâles,3,FALSE),0)+(IF(QualitéAlimentsJeuneChèvre=BONNE,VLOOKUP("Lentille",AlimentsRationCaprinsFemelles,3,FALSE),0)+(IF(QualitéAlimentsBouc=BONNE,VLOOKUP("Lentille",AlimentsRationCaprinsMâles,2,FALSE),0)+(IF(QualitéAlimentsChèvre=BONNE,VLOOKUP("Lentille",AlimentsRationCaprinsFemelles,2,FALSE),0))))))))))</f>
        <v>0</v>
      </c>
      <c r="BZ212" s="1267">
        <f t="array" ref="BZ212">SUM((IF(QualitéAlimentsChevreau_0_3_mois=MOYENNE,VLOOKUP("Lentille",AlimentsRationCaprinsMâles,5,FALSE),0)+(IF(QualitéAlimentsChevrette_0_3_mois=MOYENNE,VLOOKUP("Lentille",AlimentsRationCaprinsFemelles,5,FALSE),0)+(IF(QualitéAlimentsChevreau_3_6_mois=MOYENNE,VLOOKUP("Lentille",AlimentsRationCaprinsMâles,4,FALSE),0)+(IF(QualitéAlimentsChevrette_3_6_mois=MOYENNE,VLOOKUP("Lentille",AlimentsRationCaprinsFemelles,4,FALSE),0)+(IF(QualitéAlimentsJeuneBouc=MOYENNE,VLOOKUP("Lentille",AlimentsRationCaprinsMâles,3,FALSE),0)+(IF(QualitéAlimentsJeuneChèvre=MOYENNE,VLOOKUP("Lentille",AlimentsRationCaprinsFemelles,3,FALSE),0)+(IF(QualitéAlimentsBouc=MOYENNE,VLOOKUP("Lentille",AlimentsRationCaprinsMâles,2,FALSE),0)+(IF(QualitéAlimentsChèvre=MOYENNE,VLOOKUP("Lentille",AlimentsRationCaprinsFemelles,2,FALSE),0))))))))))</f>
        <v>0</v>
      </c>
      <c r="CA212" s="1267">
        <f t="array" ref="CA212">SUM((IF(QualitéAlimentsChevreau_0_3_mois=MAUVAISE,VLOOKUP("Lentille",AlimentsRationCaprinsMâles,5,FALSE),0)+(IF(QualitéAlimentsChevrette_0_3_mois=MAUVAISE,VLOOKUP("Lentille",AlimentsRationCaprinsFemelles,5,FALSE),0)+(IF(QualitéAlimentsChevreau_3_6_mois=MAUVAISE,VLOOKUP("Lentille",AlimentsRationCaprinsMâles,4,FALSE),0)+(IF(QualitéAlimentsChevrette_3_6_mois=MAUVAISE,VLOOKUP("Lentille",AlimentsRationCaprinsFemelles,4,FALSE),0)+(IF(QualitéAlimentsJeuneBouc=MAUVAISE,VLOOKUP("Lentille",AlimentsRationCaprinsMâles,3,FALSE),0)+(IF(QualitéAlimentsJeuneChèvre=MAUVAISE,VLOOKUP("Lentille",AlimentsRationCaprinsFemelles,3,FALSE),0)+(IF(QualitéAlimentsBouc=MAUVAISE,VLOOKUP("Lentille",AlimentsRationCaprinsMâles,2,FALSE),0)+(IF(QualitéAlimentsChèvre=MAUVAISE,VLOOKUP("Lentille",AlimentsRationCaprinsFemelles,2,FALSE),0))))))))))</f>
        <v>0</v>
      </c>
      <c r="CB212" s="1321"/>
      <c r="CC212" s="1321"/>
      <c r="CD212" s="1345"/>
      <c r="CE212" s="1345"/>
      <c r="CF212" s="1345"/>
      <c r="CG212" s="1345"/>
      <c r="CH212" s="1345"/>
      <c r="CI212" s="1321"/>
      <c r="CJ212" s="1321"/>
      <c r="CK212" s="1321"/>
      <c r="CL212" s="1321"/>
      <c r="CM212" s="1321"/>
      <c r="CN212" s="1321"/>
      <c r="CO212" s="1321"/>
      <c r="CP212" s="1321"/>
      <c r="CQ212" s="1321"/>
      <c r="CR212" s="1321"/>
      <c r="CS212" s="1321"/>
      <c r="CT212" s="1321"/>
      <c r="CU212" s="1321"/>
      <c r="CV212" s="1321"/>
      <c r="CW212" s="1321"/>
      <c r="CX212" s="1321"/>
      <c r="CY212" s="1321"/>
      <c r="CZ212" s="1321"/>
      <c r="DA212" s="1321"/>
      <c r="DB212" s="1321"/>
      <c r="DC212" s="1321"/>
      <c r="DD212" s="1321"/>
      <c r="DE212" s="1321"/>
      <c r="DF212" s="1321"/>
      <c r="DG212" s="1321"/>
      <c r="DH212" s="1321"/>
      <c r="DI212" s="1321"/>
      <c r="DJ212" s="1321"/>
      <c r="DK212" s="1321"/>
      <c r="DL212" s="1321"/>
      <c r="DM212" s="1321"/>
      <c r="DN212" s="1076" t="str">
        <f t="shared" si="68"/>
        <v>Orge</v>
      </c>
      <c r="DO212" s="1267">
        <f t="array" ref="DO212">IF(ChoixRationComplèteOvins=OUI,0,IFERROR(IF(OR(AND(INDEX(Règles_ovins[Specificite],MATCH(ChoixRationOvins&amp;$DN212,Règles_ovins[Ration]&amp;Règles_ovins[Aliment],0))="s1",IF($DN212=Spécificité1Ovins,1)),
AND(INDEX(Règles_ovins[Specificite],MATCH(ChoixRationOvins&amp;$DN212,Règles_ovins[Ration]&amp;Règles_ovins[Aliment],0))="s2",IF($DN212=Spécificité2Ovins,1)),
INDEX(Règles_ovins[Specificite],MATCH(ChoixRationOvins&amp;$DN212,Règles_ovins[Ration]&amp;Règles_ovins[Aliment],0))="c"),
INDEX(Règles_ovins[Valeur 12 et plus],MATCH(ChoixRationOvins&amp;$DN212,Règles_ovins[Ration]&amp;Règles_ovins[Aliment],0)),0),0)*IF(ChoixOvinsPréHiver=OUI,SUM(TotalOvinsAdultesRacesLaitières)*NbreJoursNourrirOvins,TotalBrebis*SUM(NbreJoursNourrirOvins)))</f>
        <v>0</v>
      </c>
      <c r="DP212" s="1267">
        <f t="array" ref="DP212">IF(ChoixRationComplèteOvins=OUI,0,IFERROR(IF(OR(AND(INDEX(Règles_ovins[Specificite],MATCH(ChoixRationOvins&amp;$DN212,Règles_ovins[Ration]&amp;Règles_ovins[Aliment],0))="s1",IF($DN212=Spécificité1Ovins,1)),
AND(INDEX(Règles_ovins[Specificite],MATCH(ChoixRationOvins&amp;$DN212,Règles_ovins[Ration]&amp;Règles_ovins[Aliment],0))="s2",IF($DN212=Spécificité2Ovins,1)),
INDEX(Règles_ovins[Specificite],MATCH(ChoixRationOvins&amp;$DN212,Règles_ovins[Ration]&amp;Règles_ovins[Aliment],0))="c"),
INDEX(Règles_ovins[Valeur 6-12],MATCH(ChoixRationOvins&amp;$DN212,Règles_ovins[Ration]&amp;Règles_ovins[Aliment],0)),0),0)*IF(ChoixOvinsPréHiver=OUI,SUM(TotalJeunesOvinsRacesLaitières)*NbreJoursNourrirOvins,TotalJeune_brebis_6_12_mois*SUM(NbreJoursNourrirOvins)))</f>
        <v>0</v>
      </c>
      <c r="DQ212" s="1267">
        <f t="array" ref="DQ212">IF(ChoixRationComplèteOvins=OUI,0,IFERROR(IF(OR(AND(INDEX(Règles_ovins[Specificite],MATCH(ChoixRationOvins&amp;$DN212,Règles_ovins[Ration]&amp;Règles_ovins[Aliment],0))="s1",IF($DN212=Spécificité1Ovins,1)),
AND(INDEX(Règles_ovins[Specificite],MATCH(ChoixRationOvins&amp;$DN212,Règles_ovins[Ration]&amp;Règles_ovins[Aliment],0))="s2",IF($DN212=Spécificité2Ovins,1)),
INDEX(Règles_ovins[Specificite],MATCH(ChoixRationOvins&amp;$DN212,Règles_ovins[Ration]&amp;Règles_ovins[Aliment],0))="c"),
INDEX(Règles_ovins[Valeur 3-6],MATCH(ChoixRationOvins&amp;$DN212,Règles_ovins[Ration]&amp;Règles_ovins[Aliment],0)),0),0)*IF(ChoixOvinsPréHiver=OUI,SUM(TotalOvins_3_6moisRacesLaitières)*NbreJoursNourrirOvins,TotalAgnelle_3_6_mois*SUM(NbreJoursNourrirOvins)))</f>
        <v>0</v>
      </c>
      <c r="DR212" s="1267">
        <f t="array" ref="DR212">IF(ChoixRationComplèteOvins=OUI,0,IFERROR(IF(OR(AND(INDEX(Règles_ovins[Specificite],MATCH(ChoixRationOvins&amp;$DN212,Règles_ovins[Ration]&amp;Règles_ovins[Aliment],0))="s1",IF($DN212=Spécificité1Ovins,1)),
AND(INDEX(Règles_ovins[Specificite],MATCH(ChoixRationOvins&amp;$DN212,Règles_ovins[Ration]&amp;Règles_ovins[Aliment],0))="s2",IF($DN212=Spécificité2Ovins,1)),
INDEX(Règles_ovins[Specificite],MATCH(ChoixRationOvins&amp;$DN212,Règles_ovins[Ration]&amp;Règles_ovins[Aliment],0))="c"),
INDEX(Règles_ovins[Valeur 0-3],MATCH(ChoixRationOvins&amp;$DN212,Règles_ovins[Ration]&amp;Règles_ovins[Aliment],0)),0),0)*IF(ChoixOvinsPréHiver=OUI,SUM(TotalOvins_3_6moisRacesLaitières)*NbreJoursNourrirOvins,TotalAgnelle_0_3_mois*SUM(NbreJoursNourrirOvins)))</f>
        <v>0</v>
      </c>
      <c r="DS212" s="1279">
        <f t="shared" si="67"/>
        <v>0</v>
      </c>
      <c r="DT212" s="1346"/>
      <c r="DU212" s="1345"/>
      <c r="DV212" s="1321"/>
      <c r="DW212" s="1321"/>
      <c r="DX212" s="1321"/>
      <c r="DY212" s="1321"/>
      <c r="DZ212" s="1321"/>
      <c r="EA212" s="1321"/>
      <c r="EB212" s="1321"/>
      <c r="EC212" s="1321"/>
      <c r="ED212" s="1345"/>
      <c r="EE212" s="1345"/>
      <c r="EF212" s="1321"/>
      <c r="EG212" s="1321"/>
      <c r="EH212" s="1321"/>
      <c r="EI212" s="1321"/>
      <c r="EJ212" s="1321"/>
      <c r="EK212" s="1345"/>
      <c r="EL212" s="1345"/>
      <c r="EM212" s="1321"/>
      <c r="EN212" s="1321"/>
      <c r="EO212" s="1321"/>
      <c r="EP212" s="1321"/>
      <c r="EQ212" s="1321"/>
      <c r="ER212" s="1345"/>
      <c r="ES212" s="1345"/>
      <c r="ET212" s="1321"/>
      <c r="EU212" s="1083" t="str">
        <f t="shared" si="73"/>
        <v>concentré jeunes porcins</v>
      </c>
      <c r="EV212" s="1283">
        <f t="array" ref="EV212">SUM((IF(QualitéAlimentsPoulainSelleMâle=BONNE,VLOOKUP("Concentré jeunes porcins",AlimentsRationEcurieChevauxMâlesSelle,5,FALSE),0)+(IF(QualitéAlimentsPoulainSelleFemelle=BONNE,VLOOKUP("Concentré jeunes porcins",AlimentsRationEcurieChevauxFemellesSelle,5,FALSE),0)+(IF(QualitéAlimentsJeuneEtalon_12_24_moisSelle=BONNE,VLOOKUP("Concentré jeunes porcins",AlimentsRationEcurieChevauxMâlesSelle,4,FALSE),0)+(IF(QualitéAlimentsJeuneJument_12_24_moisSelle=BONNE,VLOOKUP("Concentré jeunes porcins",AlimentsRationEcurieChevauxFemellesSelle,4,FALSE),0)+(IF(QualitéAlimentsJeuneEtalon_24_36_moisSelle=BONNE,VLOOKUP("Concentré jeunes porcins",AlimentsRationEcurieChevauxMâlesSelle,3,FALSE),0)+(IF(QualitéAlimentsJeuneJument_24_36_moisSelle=BONNE,VLOOKUP("Concentré jeunes porcins",AlimentsRationEcurieChevauxFemellesSelle,3,FALSE),0)+(IF(QualitéAlimentsEtalonSelle=BONNE,VLOOKUP("Concentré jeunes porcins",AlimentsRationEcurieChevauxMâlesSelle,2,FALSE),0)+(IF(QualitéAlimentsJumentSelle=BONNE,VLOOKUP("Concentré jeunes porcins",AlimentsRationEcurieChevauxFemellesSelle,2,FALSE),0))))))))))</f>
        <v>0</v>
      </c>
      <c r="EW212" s="1283">
        <f t="array" ref="EW212">SUM((IF(QualitéAlimentsPoulainSelleMâle=MOYENNE,VLOOKUP("Concentré jeunes porcins",AlimentsRationEcurieChevauxMâlesSelle,5,FALSE),0)+(IF(QualitéAlimentsPoulainSelleFemelle=MOYENNE,VLOOKUP("Concentré jeunes porcins",AlimentsRationEcurieChevauxFemellesSelle,5,FALSE),0)+(IF(QualitéAlimentsJeuneEtalon_12_24_moisSelle=MOYENNE,VLOOKUP("Concentré jeunes porcins",AlimentsRationEcurieChevauxMâlesSelle,4,FALSE),0)+(IF(QualitéAlimentsJeuneJument_12_24_moisSelle=MOYENNE,VLOOKUP("Concentré jeunes porcins",AlimentsRationEcurieChevauxFemellesSelle,4,FALSE),0)+(IF(QualitéAlimentsJeuneEtalon_24_36_moisSelle=MOYENNE,VLOOKUP("Concentré jeunes porcins",AlimentsRationEcurieChevauxMâlesSelle,3,FALSE),0)+(IF(QualitéAlimentsJeuneJument_24_36_moisSelle=MOYENNE,VLOOKUP("Concentré jeunes porcins",AlimentsRationEcurieChevauxFemellesSelle,3,FALSE),0)+(IF(QualitéAlimentsEtalonSelle=MOYENNE,VLOOKUP("Concentré jeunes porcins",AlimentsRationEcurieChevauxMâlesSelle,2,FALSE),0)+(IF(QualitéAlimentsJumentSelle=MOYENNE,VLOOKUP("Concentré jeunes porcins",AlimentsRationEcurieChevauxFemellesSelle,2,FALSE),0))))))))))</f>
        <v>0</v>
      </c>
      <c r="EX212" s="1283">
        <f t="array" ref="EX212">SUM((IF(QualitéAlimentsPoulainSelleMâle=MAUVAISE,VLOOKUP("Concentré jeunes porcins",AlimentsRationEcurieChevauxMâlesSelle,5,FALSE),0)+(IF(QualitéAlimentsPoulainSelleFemelle=MAUVAISE,VLOOKUP("Concentré jeunes porcins",AlimentsRationEcurieChevauxFemellesSelle,5,FALSE),0)+(IF(QualitéAlimentsJeuneEtalon_12_24_moisSelle=MAUVAISE,VLOOKUP("Concentré jeunes porcins",AlimentsRationEcurieChevauxMâlesSelle,4,FALSE),0)+(IF(QualitéAlimentsJeuneJument_12_24_moisSelle=MAUVAISE,VLOOKUP("Concentré jeunes porcins",AlimentsRationEcurieChevauxFemellesSelle,4,FALSE),0)+(IF(QualitéAlimentsJeuneEtalon_24_36_moisSelle=MAUVAISE,VLOOKUP("Concentré jeunes porcins",AlimentsRationEcurieChevauxMâlesSelle,3,FALSE),0)+(IF(QualitéAlimentsJeuneJument_24_36_moisSelle=MAUVAISE,VLOOKUP("Concentré jeunes porcins",AlimentsRationEcurieChevauxFemellesSelle,3,FALSE),0)+(IF(QualitéAlimentsEtalonSelle=MAUVAISE,VLOOKUP("Concentré jeunes porcins",AlimentsRationEcurieChevauxMâlesSelle,2,FALSE),0)+(IF(QualitéAlimentsJumentSelle=MAUVAISE,VLOOKUP("Concentré jeunes porcins",AlimentsRationEcurieChevauxFemellesSelle,2,FALSE),0))))))))))</f>
        <v>0</v>
      </c>
      <c r="EY212" s="1321"/>
      <c r="EZ212" s="1345"/>
      <c r="FA212" s="1345"/>
      <c r="FB212" s="1345"/>
      <c r="FC212" s="1321"/>
      <c r="FD212" s="1082" t="str">
        <f t="shared" si="72"/>
        <v>Foin</v>
      </c>
      <c r="FE212" s="1282">
        <f t="array" ref="FE212">SUM((IF(QualitéAlimentsPoulainMâleTrait=BONNE,VLOOKUP("Foin",AlimentsRationEcurieChevauxMâlesTrait,5,FALSE),0)+(IF(QualitéAlimentsPoulainFemelleTrait=BONNE,VLOOKUP("Foin",AlimentsRationEcurieChevauxFemellesTrait,5,FALSE),0)+(IF(QualitéAlimentsJeuneEtalon_12_24_moisTrait=BONNE,VLOOKUP("Foin",AlimentsRationEcurieChevauxMâlesTrait,4,FALSE),0)+(IF(QualitéAlimentsJeuneJument_12_24_moisTrait=BONNE,VLOOKUP("Foin",AlimentsRationEcurieChevauxFemellesTrait,4,FALSE),0)+(IF(QualitéAlimentsJeuneEtalon_24_36_moisTrait=BONNE,VLOOKUP("Foin",AlimentsRationEcurieChevauxMâlesTrait,3,FALSE),0)+(IF(QualitéAlimentsJeuneJument_24_36_moisTrait=BONNE,VLOOKUP("Foin",AlimentsRationEcurieChevauxFemellesTrait,3,FALSE),0)+(IF(QualitéAlimentsEtalonTrait=BONNE,VLOOKUP("Foin",AlimentsRationEcurieChevauxMâlesTrait,2,FALSE),0)+(IF(QualitéAlimentsJumentTrait=BONNE,VLOOKUP("Foin",AlimentsRationEcurieChevauxFemellesTrait,2,FALSE),0))))))))))</f>
        <v>0</v>
      </c>
      <c r="FF212" s="1282">
        <f t="array" ref="FF212">SUM((IF(QualitéAlimentsPoulainMâleTrait=MOYENNE,VLOOKUP("Foin",AlimentsRationEcurieChevauxMâlesTrait,5,FALSE),0)+(IF(QualitéAlimentsPoulainFemelleTrait=MOYENNE,VLOOKUP("Foin",AlimentsRationEcurieChevauxFemellesTrait,5,FALSE),0)+(IF(QualitéAlimentsJeuneEtalon_12_24_moisTrait=MOYENNE,VLOOKUP("Foin",AlimentsRationEcurieChevauxMâlesTrait,4,FALSE),0)+(IF(QualitéAlimentsJeuneJument_12_24_moisTrait=MOYENNE,VLOOKUP("Foin",AlimentsRationEcurieChevauxFemellesTrait,4,FALSE),0)+(IF(QualitéAlimentsJeuneEtalon_24_36_moisTrait=MOYENNE,VLOOKUP("Foin",AlimentsRationEcurieChevauxMâlesTrait,3,FALSE),0)+(IF(QualitéAlimentsJeuneJument_24_36_moisTrait=MOYENNE,VLOOKUP("Foin",AlimentsRationEcurieChevauxFemellesTrait,3,FALSE),0)+(IF(QualitéAlimentsEtalonTrait=MOYENNE,VLOOKUP("Foin",AlimentsRationEcurieChevauxMâlesTrait,2,FALSE),0)+(IF(QualitéAlimentsJumentTrait=MOYENNE,VLOOKUP("Foin",AlimentsRationEcurieChevauxFemellesTrait,2,FALSE),0))))))))))</f>
        <v>0</v>
      </c>
      <c r="FG212" s="1282">
        <f t="array" ref="FG212">SUM((IF(QualitéAlimentsPoulainMâleTrait=MAUVAISE,VLOOKUP("Foin",AlimentsRationEcurieChevauxMâlesTrait,5,FALSE),0)+(IF(QualitéAlimentsPoulainFemelleTrait=MAUVAISE,VLOOKUP("Foin",AlimentsRationEcurieChevauxFemellesTrait,5,FALSE),0)+(IF(QualitéAlimentsJeuneEtalon_12_24_moisTrait=MAUVAISE,VLOOKUP("Foin",AlimentsRationEcurieChevauxMâlesTrait,4,FALSE),0)+(IF(QualitéAlimentsJeuneJument_12_24_moisTrait=MAUVAISE,VLOOKUP("Foin",AlimentsRationEcurieChevauxFemellesTrait,4,FALSE),0)+(IF(QualitéAlimentsJeuneEtalon_24_36_moisTrait=MAUVAISE,VLOOKUP("Foin",AlimentsRationEcurieChevauxMâlesTrait,3,FALSE),0)+(IF(QualitéAlimentsJeuneJument_24_36_moisTrait=MAUVAISE,VLOOKUP("Foin",AlimentsRationEcurieChevauxFemellesTrait,3,FALSE),0)+(IF(QualitéAlimentsEtalonTrait=MAUVAISE,VLOOKUP("Foin",AlimentsRationEcurieChevauxMâlesTrait,2,FALSE),0)+(IF(QualitéAlimentsJumentTrait=MAUVAISE,VLOOKUP("Foin",AlimentsRationEcurieChevauxFemellesTrait,2,FALSE),0))))))))))</f>
        <v>0</v>
      </c>
      <c r="FH212" s="1321"/>
      <c r="FI212" s="1321"/>
      <c r="FJ212" s="1345"/>
      <c r="FK212" s="1345"/>
      <c r="FL212" s="1345"/>
      <c r="FM212" s="1321"/>
      <c r="FN212" s="1083" t="str">
        <f t="shared" si="71"/>
        <v>Haricot vert</v>
      </c>
      <c r="FO212" s="1283">
        <f t="array" ref="FO212">SUM((IF(QualitéAlimentsPoulainMâlePoney=BONNE,VLOOKUP("Haricot vert",AlimentsRationEcuriePoneysMâles,5,FALSE),0)+(IF(QualitéAlimentsPoulainFemellePoney=BONNE,VLOOKUP("Haricot vert",AlimentsRationEcuriePoneysFemelles,5,FALSE),0)+(IF(QualitéAlimentsJeuneEtalon_12_24_moisPoney=BONNE,VLOOKUP("Haricot vert",AlimentsRationEcuriePoneysMâles,4,FALSE),0)+(IF(QualitéAlimentsJeuneJument_12_24_moisPoney=BONNE,VLOOKUP("Haricot vert",AlimentsRationEcuriePoneysFemelles,4,FALSE),0)+(IF(QualitéAlimentsJeuneEtalon_24_36_moisPoney=BONNE,VLOOKUP("Haricot vert",AlimentsRationEcuriePoneysMâles,3,FALSE),0)+(IF(QualitéAlimentsJeuneJument_24_36_moisPoney=BONNE,VLOOKUP("Haricot vert",AlimentsRationEcuriePoneysFemelles,3,FALSE),0)+(IF(QualitéAlimentsEtalonPoney=BONNE,VLOOKUP("Haricot vert",AlimentsRationEcuriePoneysMâles,2,FALSE),0)+(IF(QualitéAlimentsJumentPoney=BONNE,VLOOKUP("Haricot vert",AlimentsRationEcuriePoneysFemelles,2,FALSE),0))))))))))</f>
        <v>0</v>
      </c>
      <c r="FP212" s="1283">
        <f t="array" ref="FP212">SUM((IF(QualitéAlimentsPoulainMâlePoney=MOYENNE,VLOOKUP("Haricot vert",AlimentsRationEcuriePoneysMâles,5,FALSE),0)+(IF(QualitéAlimentsPoulainFemellePoney=MOYENNE,VLOOKUP("Haricot vert",AlimentsRationEcuriePoneysFemelles,5,FALSE),0)+(IF(QualitéAlimentsJeuneEtalon_12_24_moisPoney=MOYENNE,VLOOKUP("Haricot vert",AlimentsRationEcuriePoneysMâles,4,FALSE),0)+(IF(QualitéAlimentsJeuneJument_12_24_moisPoney=MOYENNE,VLOOKUP("Haricot vert",AlimentsRationEcuriePoneysFemelles,4,FALSE),0)+(IF(QualitéAlimentsJeuneEtalon_24_36_moisPoney=MOYENNE,VLOOKUP("Haricot vert",AlimentsRationEcuriePoneysMâles,3,FALSE),0)+(IF(QualitéAlimentsJeuneJument_24_36_moisPoney=MOYENNE,VLOOKUP("Haricot vert",AlimentsRationEcuriePoneysFemelles,3,FALSE),0)+(IF(QualitéAlimentsEtalonPoney=MOYENNE,VLOOKUP("Haricot vert",AlimentsRationEcuriePoneysMâles,2,FALSE),0)+(IF(QualitéAlimentsJumentPoney=MOYENNE,VLOOKUP("Haricot vert",AlimentsRationEcuriePoneysFemelles,2,FALSE),0))))))))))</f>
        <v>0</v>
      </c>
      <c r="FQ212" s="1283">
        <f t="array" ref="FQ212">SUM((IF(QualitéAlimentsPoulainMâlePoney=MAUVAISE,VLOOKUP("Haricot vert",AlimentsRationEcuriePoneysMâles,5,FALSE),0)+(IF(QualitéAlimentsPoulainFemellePoney=MAUVAISE,VLOOKUP("Haricot vert",AlimentsRationEcuriePoneysFemelles,5,FALSE),0)+(IF(QualitéAlimentsJeuneEtalon_12_24_moisPoney=MAUVAISE,VLOOKUP("Haricot vert",AlimentsRationEcuriePoneysMâles,4,FALSE),0)+(IF(QualitéAlimentsJeuneJument_12_24_moisPoney=MAUVAISE,VLOOKUP("Haricot vert",AlimentsRationEcuriePoneysFemelles,4,FALSE),0)+(IF(QualitéAlimentsJeuneEtalon_24_36_moisPoney=MAUVAISE,VLOOKUP("Haricot vert",AlimentsRationEcuriePoneysMâles,3,FALSE),0)+(IF(QualitéAlimentsJeuneJument_24_36_moisPoney=MAUVAISE,VLOOKUP("Haricot vert",AlimentsRationEcuriePoneysFemelles,3,FALSE),0)+(IF(QualitéAlimentsEtalonPoney=MAUVAISE,VLOOKUP("Haricot vert",AlimentsRationEcuriePoneysMâles,2,FALSE),0)+(IF(QualitéAlimentsJumentPoney=MAUVAISE,VLOOKUP("Haricot vert",AlimentsRationEcuriePoneysFemelles,2,FALSE),0))))))))))</f>
        <v>0</v>
      </c>
      <c r="FR212" s="1345"/>
      <c r="FS212" s="1345"/>
      <c r="FT212" s="1345"/>
      <c r="FU212" s="1345"/>
      <c r="FV212" s="1345"/>
      <c r="FW212" s="1321"/>
      <c r="FX212" s="1321"/>
      <c r="FY212" s="1321"/>
      <c r="FZ212" s="1321"/>
      <c r="GA212" s="1345"/>
      <c r="GB212" s="1321"/>
      <c r="GC212" s="1321"/>
      <c r="GD212" s="1321"/>
      <c r="GE212" s="1321"/>
      <c r="GF212" s="1321"/>
      <c r="GG212" s="1321" t="s">
        <v>1349</v>
      </c>
      <c r="GH212" s="1321" t="s">
        <v>1349</v>
      </c>
      <c r="GI212" s="1321" t="s">
        <v>1349</v>
      </c>
      <c r="GJ212" s="1321" t="s">
        <v>1349</v>
      </c>
      <c r="GK212" s="1321" t="s">
        <v>1349</v>
      </c>
      <c r="GL212" s="1321" t="s">
        <v>1349</v>
      </c>
      <c r="GM212" s="1321" t="s">
        <v>1349</v>
      </c>
      <c r="GN212" s="1321" t="s">
        <v>1349</v>
      </c>
      <c r="GO212" s="1321" t="s">
        <v>1349</v>
      </c>
      <c r="GP212" s="1321" t="s">
        <v>1349</v>
      </c>
      <c r="GQ212" s="1321" t="s">
        <v>1349</v>
      </c>
      <c r="GR212" s="1321" t="s">
        <v>1349</v>
      </c>
      <c r="GS212" s="1321" t="s">
        <v>1349</v>
      </c>
      <c r="GT212" s="1321" t="s">
        <v>1349</v>
      </c>
      <c r="GU212" s="1321" t="s">
        <v>1349</v>
      </c>
      <c r="GV212" s="1321" t="s">
        <v>1349</v>
      </c>
      <c r="GW212" s="1321"/>
      <c r="GX212" s="1321"/>
      <c r="GY212" s="1321"/>
      <c r="GZ212" s="1321"/>
      <c r="HA212" s="1321"/>
      <c r="HB212" s="1321"/>
      <c r="HC212" s="1321"/>
      <c r="HD212" s="1321"/>
      <c r="HE212" s="1321"/>
      <c r="HF212" s="1321"/>
      <c r="HG212" s="1321"/>
      <c r="HH212" s="1321"/>
      <c r="HI212" s="1321"/>
      <c r="HJ212" s="1321"/>
      <c r="HK212" s="1321"/>
      <c r="HL212" s="1321"/>
      <c r="HM212" s="1321"/>
      <c r="HN212" s="1321"/>
      <c r="HO212" s="1321"/>
      <c r="HP212" s="1321"/>
      <c r="HQ212" s="1321"/>
      <c r="HR212" s="1321"/>
      <c r="HS212" s="1321"/>
      <c r="HT212" s="1321"/>
      <c r="HU212" s="1321"/>
      <c r="HV212" s="1321"/>
      <c r="HW212" s="1321"/>
      <c r="HX212" s="1321"/>
      <c r="HY212" s="1321"/>
      <c r="HZ212" s="1321"/>
      <c r="IA212" s="1321"/>
      <c r="IB212" s="1321"/>
      <c r="IC212" s="1321"/>
      <c r="ID212" s="1321"/>
      <c r="IE212" s="1321"/>
      <c r="IF212" s="1321"/>
      <c r="IG212" s="1321"/>
      <c r="IH212" s="1321"/>
      <c r="II212" s="1321"/>
      <c r="IJ212" s="1321"/>
      <c r="IK212" s="1321"/>
      <c r="IL212" s="1321"/>
      <c r="IM212" s="1321"/>
      <c r="IN212" s="1368"/>
    </row>
    <row r="213" spans="1:248" ht="12.75" customHeight="1" x14ac:dyDescent="0.2">
      <c r="A213" s="1319"/>
      <c r="B213" s="1321"/>
      <c r="C213" s="1321"/>
      <c r="D213" s="1287" t="s">
        <v>1993</v>
      </c>
      <c r="E213" s="1158">
        <v>120</v>
      </c>
      <c r="F213" s="1321"/>
      <c r="G213" s="1321"/>
      <c r="H213" s="1321"/>
      <c r="I213" s="1321"/>
      <c r="J213" s="1321"/>
      <c r="K213" s="1321"/>
      <c r="L213" s="1321"/>
      <c r="M213" s="1321"/>
      <c r="N213" s="1321"/>
      <c r="O213" s="1321"/>
      <c r="P213" s="1321"/>
      <c r="Q213" s="1321"/>
      <c r="R213" s="1321"/>
      <c r="S213" s="1321"/>
      <c r="T213" s="1321"/>
      <c r="U213" s="1321"/>
      <c r="V213" s="1321"/>
      <c r="W213" s="1321"/>
      <c r="X213" s="1321"/>
      <c r="Y213" s="1321"/>
      <c r="Z213" s="1321"/>
      <c r="AA213" s="1321"/>
      <c r="AB213" s="1321"/>
      <c r="AC213" s="1321"/>
      <c r="AD213" s="1321"/>
      <c r="AE213" s="1321"/>
      <c r="AF213" s="1321"/>
      <c r="AG213" s="1321"/>
      <c r="AH213" s="1321"/>
      <c r="AI213" s="1321"/>
      <c r="AJ213" s="1321"/>
      <c r="AK213" s="1321"/>
      <c r="AL213" s="1321"/>
      <c r="AM213" s="1321"/>
      <c r="AN213" s="1321"/>
      <c r="AO213" s="1321"/>
      <c r="AP213" s="1321"/>
      <c r="AQ213" s="1321"/>
      <c r="AR213" s="1321"/>
      <c r="AS213" s="1321"/>
      <c r="AT213" s="1321"/>
      <c r="AU213" s="1321"/>
      <c r="AV213" s="1321"/>
      <c r="AW213" s="1321"/>
      <c r="AX213" s="1321"/>
      <c r="AY213" s="1321"/>
      <c r="AZ213" s="1321"/>
      <c r="BA213" s="1321"/>
      <c r="BB213" s="1075" t="s">
        <v>1271</v>
      </c>
      <c r="BC213" s="1269">
        <f t="array" ref="BC213">IF(Ration_complète_bovins[somme]&gt;0,0,IFERROR(IF(OR(AND(INDEX(Règles_bovins[Specificite],MATCH(ChoixRationBovins&amp;$BB213,Règles_bovins[Ration]&amp;Règles_bovins[Aliment],0))="s1",IF($BB213=Spécificité1Bovins,1)),
AND(INDEX(Règles_bovins[Specificite],MATCH(ChoixRationBovins&amp;$BB213,Règles_bovins[Ration]&amp;Règles_bovins[Aliment],0))="s2",IF($BB213=Spécificité2Bovins,1)),
INDEX(Règles_bovins[Specificite],MATCH(ChoixRationBovins&amp;$BB213,Règles_bovins[Ration]&amp;Règles_bovins[Aliment],0))="c"),
INDEX(Règles_bovins[Valeur 36 et plus],MATCH(ChoixRationBovins&amp;$BB213,Règles_bovins[Ration]&amp;Règles_bovins[Aliment],0)),0),0)*IF(ChoixBovinsPréHiver=OUI,TotalTaureauxRacesLaitières,TotalTaureaux*SUM(NbreJoursNourrirBovins)))</f>
        <v>0</v>
      </c>
      <c r="BD213" s="1269">
        <f t="array" ref="BD213">IF(Ration_complète_bovins[somme]&gt;0,0,IFERROR(IF(OR(AND(INDEX(Règles_bovins[Specificite],MATCH(ChoixRationBovins&amp;$BB213,Règles_bovins[Ration]&amp;Règles_bovins[Aliment],0))="s1",IF($BB213=Spécificité1Bovins,1)),
AND(INDEX(Règles_bovins[Specificite],MATCH(ChoixRationBovins&amp;$BB213,Règles_bovins[Ration]&amp;Règles_bovins[Aliment],0))="s2",IF($BB213=Spécificité2Bovins,1)),
INDEX(Règles_bovins[Specificite],MATCH(ChoixRationBovins&amp;$BB213,Règles_bovins[Ration]&amp;Règles_bovins[Aliment],0))="c"),
INDEX(Règles_bovins[Valeur 24-36],MATCH(ChoixRationBovins&amp;$BB213,Règles_bovins[Ration]&amp;Règles_bovins[Aliment],0)),0),0)*IF(ChoixBovinsPréHiver=OUI,TotalTaurillon_24_36_RacesLaitières,TotalBovinsMâles_24_36mois*SUM(NbreJoursNourrirBovins)))</f>
        <v>0</v>
      </c>
      <c r="BE213" s="1269">
        <f t="array" ref="BE213">IF(Ration_complète_bovins[somme]&gt;0,0,IFERROR(IF(OR(AND(INDEX(Règles_bovins[Specificite],MATCH(ChoixRationBovins&amp;$BB213,Règles_bovins[Ration]&amp;Règles_bovins[Aliment],0))="s1",IF($BB213=Spécificité1Bovins,1)),
AND(INDEX(Règles_bovins[Specificite],MATCH(ChoixRationBovins&amp;$BB213,Règles_bovins[Ration]&amp;Règles_bovins[Aliment],0))="s2",IF($BB213=Spécificité2Bovins,1)),
INDEX(Règles_bovins[Specificite],MATCH(ChoixRationBovins&amp;$BB213,Règles_bovins[Ration]&amp;Règles_bovins[Aliment],0))="c"),
INDEX(Règles_bovins[Valeur 18-24],MATCH(ChoixRationBovins&amp;$BB213,Règles_bovins[Ration]&amp;Règles_bovins[Aliment],0)),0),0)*IF(ChoixBovinsPréHiver=OUI,TotalTaurillon_18_24_RacesLaitières,TotalBovinsMâles_18_24mois*SUM(NbreJoursNourrirBovins)))</f>
        <v>0</v>
      </c>
      <c r="BF213" s="1269">
        <f t="array" ref="BF213">IF(Ration_complète_bovins[somme]&gt;0,0,IFERROR(IF(OR(AND(INDEX(Règles_bovins[Specificite],MATCH(ChoixRationBovins&amp;$BB213,Règles_bovins[Ration]&amp;Règles_bovins[Aliment],0))="s1",IF($BB213=Spécificité1Bovins,1)),
AND(INDEX(Règles_bovins[Specificite],MATCH(ChoixRationBovins&amp;$BB213,Règles_bovins[Ration]&amp;Règles_bovins[Aliment],0))="s2",IF($BB213=Spécificité2Bovins,1)),
INDEX(Règles_bovins[Specificite],MATCH(ChoixRationBovins&amp;$BB213,Règles_bovins[Ration]&amp;Règles_bovins[Aliment],0))="c"),
INDEX(Règles_bovins[Valeur 12-18],MATCH(ChoixRationBovins&amp;$BB213,Règles_bovins[Ration]&amp;Règles_bovins[Aliment],0)),0),0)*IF(ChoixBovinsPréHiver=OUI,animaux!D36,TotalBovinsMâles_12_18mois*SUM(NbreJoursNourrirBovins)))</f>
        <v>0</v>
      </c>
      <c r="BG213" s="1269">
        <f t="array" ref="BG213">IF(Ration_complète_bovins[somme]&gt;0,0,IFERROR(IF(OR(AND(INDEX(Règles_bovins[Specificite],MATCH(ChoixRationBovins&amp;$BB213,Règles_bovins[Ration]&amp;Règles_bovins[Aliment],0))="s1",IF($BB213=Spécificité1Bovins,1)),
AND(INDEX(Règles_bovins[Specificite],MATCH(ChoixRationBovins&amp;$BB213,Règles_bovins[Ration]&amp;Règles_bovins[Aliment],0))="s2",IF($BB213=Spécificité2Bovins,1)),
INDEX(Règles_bovins[Specificite],MATCH(ChoixRationBovins&amp;$BB213,Règles_bovins[Ration]&amp;Règles_bovins[Aliment],0))="c"),
INDEX(Règles_bovins[Valeur 6-12],MATCH(ChoixRationBovins&amp;$BB213,Règles_bovins[Ration]&amp;Règles_bovins[Aliment],0)),0),0)*IF(ChoixBovinsPréHiver=OUI,TotalVeauMâle_6_12_RacesLaitières,TotalBovinsMâles_6_12mois*SUM(NbreJoursNourrirBovins)))</f>
        <v>0</v>
      </c>
      <c r="BH213" s="1269">
        <f t="array" ref="BH213">IF(Ration_complète_bovins[somme]&gt;0,0,IFERROR(IF(OR(AND(INDEX(Règles_bovins[Specificite],MATCH(ChoixRationBovins&amp;$BB213,Règles_bovins[Ration]&amp;Règles_bovins[Aliment],0))="s1",IF($BB213=Spécificité1Bovins,1)),
AND(INDEX(Règles_bovins[Specificite],MATCH(ChoixRationBovins&amp;$BB213,Règles_bovins[Ration]&amp;Règles_bovins[Aliment],0))="s2",IF($BB213=Spécificité2Bovins,1)),
INDEX(Règles_bovins[Specificite],MATCH(ChoixRationBovins&amp;$BB213,Règles_bovins[Ration]&amp;Règles_bovins[Aliment],0))="c"),
INDEX(Règles_bovins[Valeur 3-6],MATCH(ChoixRationBovins&amp;$BB213,Règles_bovins[Ration]&amp;Règles_bovins[Aliment],0)),0),0)*IF(ChoixBovinsPréHiver=OUI,TotalVeauMâle_3_6_RacesLaitières,TotalBovinsMâles_3_6mois*SUM(NbreJoursNourrirBovins)))</f>
        <v>0</v>
      </c>
      <c r="BI213" s="1269">
        <f t="array" ref="BI213">IF(Ration_complète_bovins[somme]&gt;0,0,IFERROR(IF(OR(AND(INDEX(Règles_bovins[Specificite],MATCH(ChoixRationBovins&amp;$BB213,Règles_bovins[Ration]&amp;Règles_bovins[Aliment],0))="s1",IF($BB213=Spécificité1Bovins,1)),
AND(INDEX(Règles_bovins[Specificite],MATCH(ChoixRationBovins&amp;$BB213,Règles_bovins[Ration]&amp;Règles_bovins[Aliment],0))="s2",IF($BB213=Spécificité2Bovins,1)),
INDEX(Règles_bovins[Specificite],MATCH(ChoixRationBovins&amp;$BB213,Règles_bovins[Ration]&amp;Règles_bovins[Aliment],0))="c"),
INDEX(Règles_bovins[Valeur 0-3],MATCH(ChoixRationBovins&amp;$BB213,Règles_bovins[Ration]&amp;Règles_bovins[Aliment],0)),0),0)*IF(ChoixBovinsPréHiver=OUI,TotalVeauMâle_0_3_RacesLaitières,TotalBovinsMâles_0_3mois*SUM(NbreJoursNourrirBovins)))</f>
        <v>0</v>
      </c>
      <c r="BJ213" s="1270">
        <f t="shared" si="69"/>
        <v>0</v>
      </c>
      <c r="BK213" s="1321"/>
      <c r="BL213" s="1321"/>
      <c r="BM213" s="1346"/>
      <c r="BN213" s="1321"/>
      <c r="BO213" s="1321"/>
      <c r="BP213" s="1321"/>
      <c r="BQ213" s="1321"/>
      <c r="BR213" s="1321"/>
      <c r="BS213" s="1321"/>
      <c r="BT213" s="1321"/>
      <c r="BU213" s="1321"/>
      <c r="BV213" s="1345"/>
      <c r="BW213" s="1345"/>
      <c r="BX213" s="1075" t="str">
        <f t="shared" si="70"/>
        <v>Maïs ensilé</v>
      </c>
      <c r="BY213" s="1269">
        <f t="array" ref="BY213">SUM((IF(QualitéAlimentsChevreau_0_3_mois=BONNE,VLOOKUP("Maïs ensilé",AlimentsRationCaprinsMâles,5,FALSE),0)+(IF(QualitéAlimentsChevrette_0_3_mois=BONNE,VLOOKUP("Maïs ensilé",AlimentsRationCaprinsFemelles,5,FALSE),0)+(IF(QualitéAlimentsChevreau_3_6_mois=BONNE,VLOOKUP("Maïs ensilé",AlimentsRationCaprinsMâles,4,FALSE),0)+(IF(QualitéAlimentsChevrette_3_6_mois=BONNE,VLOOKUP("Maïs ensilé",AlimentsRationCaprinsFemelles,4,FALSE),0)+(IF(QualitéAlimentsJeuneBouc=BONNE,VLOOKUP("Maïs ensilé",AlimentsRationCaprinsMâles,3,FALSE),0)+(IF(QualitéAlimentsJeuneChèvre=BONNE,VLOOKUP("Maïs ensilé",AlimentsRationCaprinsFemelles,3,FALSE),0)+(IF(QualitéAlimentsBouc=BONNE,VLOOKUP("Maïs ensilé",AlimentsRationCaprinsMâles,2,FALSE),0)+(IF(QualitéAlimentsChèvre=BONNE,VLOOKUP("Maïs ensilé",AlimentsRationCaprinsFemelles,2,FALSE),0))))))))))</f>
        <v>0</v>
      </c>
      <c r="BZ213" s="1269">
        <f t="array" ref="BZ213">SUM((IF(QualitéAlimentsChevreau_0_3_mois=MOYENNE,VLOOKUP("Maïs ensilé",AlimentsRationCaprinsMâles,5,FALSE),0)+(IF(QualitéAlimentsChevrette_0_3_mois=MOYENNE,VLOOKUP("Maïs ensilé",AlimentsRationCaprinsFemelles,5,FALSE),0)+(IF(QualitéAlimentsChevreau_3_6_mois=MOYENNE,VLOOKUP("Maïs ensilé",AlimentsRationCaprinsMâles,4,FALSE),0)+(IF(QualitéAlimentsChevrette_3_6_mois=MOYENNE,VLOOKUP("Maïs ensilé",AlimentsRationCaprinsFemelles,4,FALSE),0)+(IF(QualitéAlimentsJeuneBouc=MOYENNE,VLOOKUP("Maïs ensilé",AlimentsRationCaprinsMâles,3,FALSE),0)+(IF(QualitéAlimentsJeuneChèvre=MOYENNE,VLOOKUP("Maïs ensilé",AlimentsRationCaprinsFemelles,3,FALSE),0)+(IF(QualitéAlimentsBouc=MOYENNE,VLOOKUP("Maïs ensilé",AlimentsRationCaprinsMâles,2,FALSE),0)+(IF(QualitéAlimentsChèvre=MOYENNE,VLOOKUP("Maïs ensilé",AlimentsRationCaprinsFemelles,2,FALSE),0))))))))))</f>
        <v>0</v>
      </c>
      <c r="CA213" s="1269">
        <f t="array" ref="CA213">SUM((IF(QualitéAlimentsChevreau_0_3_mois=MAUVAISE,VLOOKUP("Maïs ensilé",AlimentsRationCaprinsMâles,5,FALSE),0)+(IF(QualitéAlimentsChevrette_0_3_mois=MAUVAISE,VLOOKUP("Maïs ensilé",AlimentsRationCaprinsFemelles,5,FALSE),0)+(IF(QualitéAlimentsChevreau_3_6_mois=MAUVAISE,VLOOKUP("Maïs ensilé",AlimentsRationCaprinsMâles,4,FALSE),0)+(IF(QualitéAlimentsChevrette_3_6_mois=MAUVAISE,VLOOKUP("Maïs ensilé",AlimentsRationCaprinsFemelles,4,FALSE),0)+(IF(QualitéAlimentsJeuneBouc=MAUVAISE,VLOOKUP("Maïs ensilé",AlimentsRationCaprinsMâles,3,FALSE),0)+(IF(QualitéAlimentsJeuneChèvre=MAUVAISE,VLOOKUP("Maïs ensilé",AlimentsRationCaprinsFemelles,3,FALSE),0)+(IF(QualitéAlimentsBouc=MAUVAISE,VLOOKUP("Maïs ensilé",AlimentsRationCaprinsMâles,2,FALSE),0)+(IF(QualitéAlimentsChèvre=MAUVAISE,VLOOKUP("Maïs ensilé",AlimentsRationCaprinsFemelles,2,FALSE),0))))))))))</f>
        <v>0</v>
      </c>
      <c r="CB213" s="1321"/>
      <c r="CC213" s="1321"/>
      <c r="CD213" s="1345"/>
      <c r="CE213" s="1345"/>
      <c r="CF213" s="1345"/>
      <c r="CG213" s="1345"/>
      <c r="CH213" s="1345"/>
      <c r="CI213" s="1321"/>
      <c r="CJ213" s="1321"/>
      <c r="CK213" s="1321"/>
      <c r="CL213" s="1321"/>
      <c r="CM213" s="1321"/>
      <c r="CN213" s="1321"/>
      <c r="CO213" s="1321"/>
      <c r="CP213" s="1321"/>
      <c r="CQ213" s="1321"/>
      <c r="CR213" s="1321"/>
      <c r="CS213" s="1321"/>
      <c r="CT213" s="1321"/>
      <c r="CU213" s="1321"/>
      <c r="CV213" s="1321"/>
      <c r="CW213" s="1321"/>
      <c r="CX213" s="1321"/>
      <c r="CY213" s="1321"/>
      <c r="CZ213" s="1321"/>
      <c r="DA213" s="1321"/>
      <c r="DB213" s="1321"/>
      <c r="DC213" s="1321"/>
      <c r="DD213" s="1321"/>
      <c r="DE213" s="1321"/>
      <c r="DF213" s="1321"/>
      <c r="DG213" s="1321"/>
      <c r="DH213" s="1321"/>
      <c r="DI213" s="1321"/>
      <c r="DJ213" s="1321"/>
      <c r="DK213" s="1321"/>
      <c r="DL213" s="1321"/>
      <c r="DM213" s="1321"/>
      <c r="DN213" s="1075" t="str">
        <f t="shared" si="68"/>
        <v>Paille</v>
      </c>
      <c r="DO213" s="1269">
        <f t="array" ref="DO213">IF(ChoixRationComplèteOvins=OUI,0,IFERROR(IF(OR(AND(INDEX(Règles_ovins[Specificite],MATCH(ChoixRationOvins&amp;$DN213,Règles_ovins[Ration]&amp;Règles_ovins[Aliment],0))="s1",IF($DN213=Spécificité1Ovins,1)),
AND(INDEX(Règles_ovins[Specificite],MATCH(ChoixRationOvins&amp;$DN213,Règles_ovins[Ration]&amp;Règles_ovins[Aliment],0))="s2",IF($DN213=Spécificité2Ovins,1)),
INDEX(Règles_ovins[Specificite],MATCH(ChoixRationOvins&amp;$DN213,Règles_ovins[Ration]&amp;Règles_ovins[Aliment],0))="c"),
INDEX(Règles_ovins[Valeur 12 et plus],MATCH(ChoixRationOvins&amp;$DN213,Règles_ovins[Ration]&amp;Règles_ovins[Aliment],0)),0),0)*IF(ChoixOvinsPréHiver=OUI,SUM(TotalOvinsAdultesRacesLaitières)*NbreJoursNourrirOvins,TotalBrebis*SUM(NbreJoursNourrirOvins)))</f>
        <v>0</v>
      </c>
      <c r="DP213" s="1269">
        <f t="array" ref="DP213">IF(ChoixRationComplèteOvins=OUI,0,IFERROR(IF(OR(AND(INDEX(Règles_ovins[Specificite],MATCH(ChoixRationOvins&amp;$DN213,Règles_ovins[Ration]&amp;Règles_ovins[Aliment],0))="s1",IF($DN213=Spécificité1Ovins,1)),
AND(INDEX(Règles_ovins[Specificite],MATCH(ChoixRationOvins&amp;$DN213,Règles_ovins[Ration]&amp;Règles_ovins[Aliment],0))="s2",IF($DN213=Spécificité2Ovins,1)),
INDEX(Règles_ovins[Specificite],MATCH(ChoixRationOvins&amp;$DN213,Règles_ovins[Ration]&amp;Règles_ovins[Aliment],0))="c"),
INDEX(Règles_ovins[Valeur 6-12],MATCH(ChoixRationOvins&amp;$DN213,Règles_ovins[Ration]&amp;Règles_ovins[Aliment],0)),0),0)*IF(ChoixOvinsPréHiver=OUI,SUM(TotalJeunesOvinsRacesLaitières)*NbreJoursNourrirOvins,TotalJeune_brebis_6_12_mois*SUM(NbreJoursNourrirOvins)))</f>
        <v>0</v>
      </c>
      <c r="DQ213" s="1269">
        <f t="array" ref="DQ213">IF(ChoixRationComplèteOvins=OUI,0,IFERROR(IF(OR(AND(INDEX(Règles_ovins[Specificite],MATCH(ChoixRationOvins&amp;$DN213,Règles_ovins[Ration]&amp;Règles_ovins[Aliment],0))="s1",IF($DN213=Spécificité1Ovins,1)),
AND(INDEX(Règles_ovins[Specificite],MATCH(ChoixRationOvins&amp;$DN213,Règles_ovins[Ration]&amp;Règles_ovins[Aliment],0))="s2",IF($DN213=Spécificité2Ovins,1)),
INDEX(Règles_ovins[Specificite],MATCH(ChoixRationOvins&amp;$DN213,Règles_ovins[Ration]&amp;Règles_ovins[Aliment],0))="c"),
INDEX(Règles_ovins[Valeur 3-6],MATCH(ChoixRationOvins&amp;$DN213,Règles_ovins[Ration]&amp;Règles_ovins[Aliment],0)),0),0)*IF(ChoixOvinsPréHiver=OUI,SUM(TotalOvins_3_6moisRacesLaitières)*NbreJoursNourrirOvins,TotalAgnelle_3_6_mois*SUM(NbreJoursNourrirOvins)))</f>
        <v>0</v>
      </c>
      <c r="DR213" s="1269">
        <f t="array" ref="DR213">IF(ChoixRationComplèteOvins=OUI,0,IFERROR(IF(OR(AND(INDEX(Règles_ovins[Specificite],MATCH(ChoixRationOvins&amp;$DN213,Règles_ovins[Ration]&amp;Règles_ovins[Aliment],0))="s1",IF($DN213=Spécificité1Ovins,1)),
AND(INDEX(Règles_ovins[Specificite],MATCH(ChoixRationOvins&amp;$DN213,Règles_ovins[Ration]&amp;Règles_ovins[Aliment],0))="s2",IF($DN213=Spécificité2Ovins,1)),
INDEX(Règles_ovins[Specificite],MATCH(ChoixRationOvins&amp;$DN213,Règles_ovins[Ration]&amp;Règles_ovins[Aliment],0))="c"),
INDEX(Règles_ovins[Valeur 0-3],MATCH(ChoixRationOvins&amp;$DN213,Règles_ovins[Ration]&amp;Règles_ovins[Aliment],0)),0),0)*IF(ChoixOvinsPréHiver=OUI,SUM(TotalOvins_3_6moisRacesLaitières)*NbreJoursNourrirOvins,TotalAgnelle_0_3_mois*SUM(NbreJoursNourrirOvins)))</f>
        <v>0</v>
      </c>
      <c r="DS213" s="1280">
        <f t="shared" si="67"/>
        <v>0</v>
      </c>
      <c r="DT213" s="1346"/>
      <c r="DU213" s="1346"/>
      <c r="DV213" s="1321"/>
      <c r="DW213" s="1321"/>
      <c r="DX213" s="1321"/>
      <c r="DY213" s="1321"/>
      <c r="DZ213" s="1321"/>
      <c r="EA213" s="1321"/>
      <c r="EB213" s="1321"/>
      <c r="EC213" s="1321"/>
      <c r="ED213" s="1345"/>
      <c r="EE213" s="1345"/>
      <c r="EF213" s="1321"/>
      <c r="EG213" s="1321"/>
      <c r="EH213" s="1321"/>
      <c r="EI213" s="1321"/>
      <c r="EJ213" s="1321"/>
      <c r="EK213" s="1345"/>
      <c r="EL213" s="1345"/>
      <c r="EM213" s="1321"/>
      <c r="EN213" s="1321"/>
      <c r="EO213" s="1321"/>
      <c r="EP213" s="1321"/>
      <c r="EQ213" s="1321"/>
      <c r="ER213" s="1345"/>
      <c r="ES213" s="1345"/>
      <c r="ET213" s="1321"/>
      <c r="EU213" s="1082" t="str">
        <f t="shared" si="73"/>
        <v>Ensilage d'herbe</v>
      </c>
      <c r="EV213" s="1282">
        <f t="array" ref="EV213">SUM((IF(QualitéAlimentsPoulainSelleMâle=BONNE,VLOOKUP("Ensilage d'herbe",AlimentsRationEcurieChevauxMâlesSelle,5,FALSE),0)+(IF(QualitéAlimentsPoulainSelleFemelle=BONNE,VLOOKUP("Ensilage d'herbe",AlimentsRationEcurieChevauxFemellesSelle,5,FALSE),0)+(IF(QualitéAlimentsJeuneEtalon_12_24_moisSelle=BONNE,VLOOKUP("Ensilage d'herbe",AlimentsRationEcurieChevauxMâlesSelle,4,FALSE),0)+(IF(QualitéAlimentsJeuneJument_12_24_moisSelle=BONNE,VLOOKUP("Ensilage d'herbe",AlimentsRationEcurieChevauxFemellesSelle,4,FALSE),0)+(IF(QualitéAlimentsJeuneEtalon_24_36_moisSelle=BONNE,VLOOKUP("Ensilage d'herbe",AlimentsRationEcurieChevauxMâlesSelle,3,FALSE),0)+(IF(QualitéAlimentsJeuneJument_24_36_moisSelle=BONNE,VLOOKUP("Ensilage d'herbe",AlimentsRationEcurieChevauxFemellesSelle,3,FALSE),0)+(IF(QualitéAlimentsEtalonSelle=BONNE,VLOOKUP("Ensilage d'herbe",AlimentsRationEcurieChevauxMâlesSelle,2,FALSE),0)+(IF(QualitéAlimentsJumentSelle=BONNE,VLOOKUP("Ensilage d'herbe",AlimentsRationEcurieChevauxFemellesSelle,2,FALSE),0))))))))))</f>
        <v>0</v>
      </c>
      <c r="EW213" s="1282">
        <f t="array" ref="EW213">SUM((IF(QualitéAlimentsPoulainSelleMâle=MOYENNE,VLOOKUP("Ensilage d'herbe",AlimentsRationEcurieChevauxMâlesSelle,5,FALSE),0)+(IF(QualitéAlimentsPoulainSelleFemelle=MOYENNE,VLOOKUP("Ensilage d'herbe",AlimentsRationEcurieChevauxFemellesSelle,5,FALSE),0)+(IF(QualitéAlimentsJeuneEtalon_12_24_moisSelle=MOYENNE,VLOOKUP("Ensilage d'herbe",AlimentsRationEcurieChevauxMâlesSelle,4,FALSE),0)+(IF(QualitéAlimentsJeuneJument_12_24_moisSelle=MOYENNE,VLOOKUP("Ensilage d'herbe",AlimentsRationEcurieChevauxFemellesSelle,4,FALSE),0)+(IF(QualitéAlimentsJeuneEtalon_24_36_moisSelle=MOYENNE,VLOOKUP("Ensilage d'herbe",AlimentsRationEcurieChevauxMâlesSelle,3,FALSE),0)+(IF(QualitéAlimentsJeuneJument_24_36_moisSelle=MOYENNE,VLOOKUP("Ensilage d'herbe",AlimentsRationEcurieChevauxFemellesSelle,3,FALSE),0)+(IF(QualitéAlimentsEtalonSelle=MOYENNE,VLOOKUP("Ensilage d'herbe",AlimentsRationEcurieChevauxMâlesSelle,2,FALSE),0)+(IF(QualitéAlimentsJumentSelle=MOYENNE,VLOOKUP("Ensilage d'herbe",AlimentsRationEcurieChevauxFemellesSelle,2,FALSE),0))))))))))</f>
        <v>0</v>
      </c>
      <c r="EX213" s="1282">
        <f t="array" ref="EX213">SUM((IF(QualitéAlimentsPoulainSelleMâle=MAUVAISE,VLOOKUP("Ensilage d'herbe",AlimentsRationEcurieChevauxMâlesSelle,5,FALSE),0)+(IF(QualitéAlimentsPoulainSelleFemelle=MAUVAISE,VLOOKUP("Ensilage d'herbe",AlimentsRationEcurieChevauxFemellesSelle,5,FALSE),0)+(IF(QualitéAlimentsJeuneEtalon_12_24_moisSelle=MAUVAISE,VLOOKUP("Ensilage d'herbe",AlimentsRationEcurieChevauxMâlesSelle,4,FALSE),0)+(IF(QualitéAlimentsJeuneJument_12_24_moisSelle=MAUVAISE,VLOOKUP("Ensilage d'herbe",AlimentsRationEcurieChevauxFemellesSelle,4,FALSE),0)+(IF(QualitéAlimentsJeuneEtalon_24_36_moisSelle=MAUVAISE,VLOOKUP("Ensilage d'herbe",AlimentsRationEcurieChevauxMâlesSelle,3,FALSE),0)+(IF(QualitéAlimentsJeuneJument_24_36_moisSelle=MAUVAISE,VLOOKUP("Ensilage d'herbe",AlimentsRationEcurieChevauxFemellesSelle,3,FALSE),0)+(IF(QualitéAlimentsEtalonSelle=MAUVAISE,VLOOKUP("Ensilage d'herbe",AlimentsRationEcurieChevauxMâlesSelle,2,FALSE),0)+(IF(QualitéAlimentsJumentSelle=MAUVAISE,VLOOKUP("Ensilage d'herbe",AlimentsRationEcurieChevauxFemellesSelle,2,FALSE),0))))))))))</f>
        <v>0</v>
      </c>
      <c r="EY213" s="1321"/>
      <c r="EZ213" s="1345"/>
      <c r="FA213" s="1345"/>
      <c r="FB213" s="1345"/>
      <c r="FC213" s="1321"/>
      <c r="FD213" s="1083" t="str">
        <f t="shared" si="72"/>
        <v>Haricot vert</v>
      </c>
      <c r="FE213" s="1283">
        <f t="array" ref="FE213">SUM((IF(QualitéAlimentsPoulainMâleTrait=BONNE,VLOOKUP("Haricot vert",AlimentsRationEcurieChevauxMâlesTrait,5,FALSE),0)+(IF(QualitéAlimentsPoulainFemelleTrait=BONNE,VLOOKUP("Haricot vert",AlimentsRationEcurieChevauxFemellesTrait,5,FALSE),0)+(IF(QualitéAlimentsJeuneEtalon_12_24_moisTrait=BONNE,VLOOKUP("Haricot vert",AlimentsRationEcurieChevauxMâlesTrait,4,FALSE),0)+(IF(QualitéAlimentsJeuneJument_12_24_moisTrait=BONNE,VLOOKUP("Haricot vert",AlimentsRationEcurieChevauxFemellesTrait,4,FALSE),0)+(IF(QualitéAlimentsJeuneEtalon_24_36_moisTrait=BONNE,VLOOKUP("Haricot vert",AlimentsRationEcurieChevauxMâlesTrait,3,FALSE),0)+(IF(QualitéAlimentsJeuneJument_24_36_moisTrait=BONNE,VLOOKUP("Haricot vert",AlimentsRationEcurieChevauxFemellesTrait,3,FALSE),0)+(IF(QualitéAlimentsEtalonTrait=BONNE,VLOOKUP("Haricot vert",AlimentsRationEcurieChevauxMâlesTrait,2,FALSE),0)+(IF(QualitéAlimentsJumentTrait=BONNE,VLOOKUP("Haricot vert",AlimentsRationEcurieChevauxFemellesTrait,2,FALSE),0))))))))))</f>
        <v>0</v>
      </c>
      <c r="FF213" s="1283">
        <f t="array" ref="FF213">SUM((IF(QualitéAlimentsPoulainMâleTrait=MOYENNE,VLOOKUP("Haricot vert",AlimentsRationEcurieChevauxMâlesTrait,5,FALSE),0)+(IF(QualitéAlimentsPoulainFemelleTrait=MOYENNE,VLOOKUP("Haricot vert",AlimentsRationEcurieChevauxFemellesTrait,5,FALSE),0)+(IF(QualitéAlimentsJeuneEtalon_12_24_moisTrait=MOYENNE,VLOOKUP("Haricot vert",AlimentsRationEcurieChevauxMâlesTrait,4,FALSE),0)+(IF(QualitéAlimentsJeuneJument_12_24_moisTrait=MOYENNE,VLOOKUP("Haricot vert",AlimentsRationEcurieChevauxFemellesTrait,4,FALSE),0)+(IF(QualitéAlimentsJeuneEtalon_24_36_moisTrait=MOYENNE,VLOOKUP("Haricot vert",AlimentsRationEcurieChevauxMâlesTrait,3,FALSE),0)+(IF(QualitéAlimentsJeuneJument_24_36_moisTrait=MOYENNE,VLOOKUP("Haricot vert",AlimentsRationEcurieChevauxFemellesTrait,3,FALSE),0)+(IF(QualitéAlimentsEtalonTrait=MOYENNE,VLOOKUP("Haricot vert",AlimentsRationEcurieChevauxMâlesTrait,2,FALSE),0)+(IF(QualitéAlimentsJumentTrait=MOYENNE,VLOOKUP("Haricot vert",AlimentsRationEcurieChevauxFemellesTrait,2,FALSE),0))))))))))</f>
        <v>0</v>
      </c>
      <c r="FG213" s="1283">
        <f t="array" ref="FG213">SUM((IF(QualitéAlimentsPoulainMâleTrait=MAUVAISE,VLOOKUP("Haricot vert",AlimentsRationEcurieChevauxMâlesTrait,5,FALSE),0)+(IF(QualitéAlimentsPoulainFemelleTrait=MAUVAISE,VLOOKUP("Haricot vert",AlimentsRationEcurieChevauxFemellesTrait,5,FALSE),0)+(IF(QualitéAlimentsJeuneEtalon_12_24_moisTrait=MAUVAISE,VLOOKUP("Haricot vert",AlimentsRationEcurieChevauxMâlesTrait,4,FALSE),0)+(IF(QualitéAlimentsJeuneJument_12_24_moisTrait=MAUVAISE,VLOOKUP("Haricot vert",AlimentsRationEcurieChevauxFemellesTrait,4,FALSE),0)+(IF(QualitéAlimentsJeuneEtalon_24_36_moisTrait=MAUVAISE,VLOOKUP("Haricot vert",AlimentsRationEcurieChevauxMâlesTrait,3,FALSE),0)+(IF(QualitéAlimentsJeuneJument_24_36_moisTrait=MAUVAISE,VLOOKUP("Haricot vert",AlimentsRationEcurieChevauxFemellesTrait,3,FALSE),0)+(IF(QualitéAlimentsEtalonTrait=MAUVAISE,VLOOKUP("Haricot vert",AlimentsRationEcurieChevauxMâlesTrait,2,FALSE),0)+(IF(QualitéAlimentsJumentTrait=MAUVAISE,VLOOKUP("Haricot vert",AlimentsRationEcurieChevauxFemellesTrait,2,FALSE),0))))))))))</f>
        <v>0</v>
      </c>
      <c r="FH213" s="1321"/>
      <c r="FI213" s="1321"/>
      <c r="FJ213" s="1345"/>
      <c r="FK213" s="1345"/>
      <c r="FL213" s="1345"/>
      <c r="FM213" s="1321"/>
      <c r="FN213" s="1082" t="str">
        <f t="shared" si="71"/>
        <v>Lentille</v>
      </c>
      <c r="FO213" s="1282">
        <f t="array" ref="FO213">SUM((IF(QualitéAlimentsPoulainMâlePoney=BONNE,VLOOKUP("Lentille",AlimentsRationEcuriePoneysMâles,5,FALSE),0)+(IF(QualitéAlimentsPoulainFemellePoney=BONNE,VLOOKUP("Lentille",AlimentsRationEcuriePoneysFemelles,5,FALSE),0)+(IF(QualitéAlimentsJeuneEtalon_12_24_moisPoney=BONNE,VLOOKUP("Lentille",AlimentsRationEcuriePoneysMâles,4,FALSE),0)+(IF(QualitéAlimentsJeuneJument_12_24_moisPoney=BONNE,VLOOKUP("Lentille",AlimentsRationEcuriePoneysFemelles,4,FALSE),0)+(IF(QualitéAlimentsJeuneEtalon_24_36_moisPoney=BONNE,VLOOKUP("Lentille",AlimentsRationEcuriePoneysMâles,3,FALSE),0)+(IF(QualitéAlimentsJeuneJument_24_36_moisPoney=BONNE,VLOOKUP("Lentille",AlimentsRationEcuriePoneysFemelles,3,FALSE),0)+(IF(QualitéAlimentsEtalonPoney=BONNE,VLOOKUP("Lentille",AlimentsRationEcuriePoneysMâles,2,FALSE),0)+(IF(QualitéAlimentsJumentPoney=BONNE,VLOOKUP("Lentille",AlimentsRationEcuriePoneysFemelles,2,FALSE),0))))))))))</f>
        <v>0</v>
      </c>
      <c r="FP213" s="1282">
        <f t="array" ref="FP213">SUM((IF(QualitéAlimentsPoulainMâlePoney=MOYENNE,VLOOKUP("Lentille",AlimentsRationEcuriePoneysMâles,5,FALSE),0)+(IF(QualitéAlimentsPoulainFemellePoney=MOYENNE,VLOOKUP("Lentille",AlimentsRationEcuriePoneysFemelles,5,FALSE),0)+(IF(QualitéAlimentsJeuneEtalon_12_24_moisPoney=MOYENNE,VLOOKUP("Lentille",AlimentsRationEcuriePoneysMâles,4,FALSE),0)+(IF(QualitéAlimentsJeuneJument_12_24_moisPoney=MOYENNE,VLOOKUP("Lentille",AlimentsRationEcuriePoneysFemelles,4,FALSE),0)+(IF(QualitéAlimentsJeuneEtalon_24_36_moisPoney=MOYENNE,VLOOKUP("Lentille",AlimentsRationEcuriePoneysMâles,3,FALSE),0)+(IF(QualitéAlimentsJeuneJument_24_36_moisPoney=MOYENNE,VLOOKUP("Lentille",AlimentsRationEcuriePoneysFemelles,3,FALSE),0)+(IF(QualitéAlimentsEtalonPoney=MOYENNE,VLOOKUP("Lentille",AlimentsRationEcuriePoneysMâles,2,FALSE),0)+(IF(QualitéAlimentsJumentPoney=MOYENNE,VLOOKUP("Lentille",AlimentsRationEcuriePoneysFemelles,2,FALSE),0))))))))))</f>
        <v>0</v>
      </c>
      <c r="FQ213" s="1282">
        <f t="array" ref="FQ213">SUM((IF(QualitéAlimentsPoulainMâlePoney=MAUVAISE,VLOOKUP("Lentille",AlimentsRationEcuriePoneysMâles,5,FALSE),0)+(IF(QualitéAlimentsPoulainFemellePoney=MAUVAISE,VLOOKUP("Lentille",AlimentsRationEcuriePoneysFemelles,5,FALSE),0)+(IF(QualitéAlimentsJeuneEtalon_12_24_moisPoney=MAUVAISE,VLOOKUP("Lentille",AlimentsRationEcuriePoneysMâles,4,FALSE),0)+(IF(QualitéAlimentsJeuneJument_12_24_moisPoney=MAUVAISE,VLOOKUP("Lentille",AlimentsRationEcuriePoneysFemelles,4,FALSE),0)+(IF(QualitéAlimentsJeuneEtalon_24_36_moisPoney=MAUVAISE,VLOOKUP("Lentille",AlimentsRationEcuriePoneysMâles,3,FALSE),0)+(IF(QualitéAlimentsJeuneJument_24_36_moisPoney=MAUVAISE,VLOOKUP("Lentille",AlimentsRationEcuriePoneysFemelles,3,FALSE),0)+(IF(QualitéAlimentsEtalonPoney=MAUVAISE,VLOOKUP("Lentille",AlimentsRationEcuriePoneysMâles,2,FALSE),0)+(IF(QualitéAlimentsJumentPoney=MAUVAISE,VLOOKUP("Lentille",AlimentsRationEcuriePoneysFemelles,2,FALSE),0))))))))))</f>
        <v>0</v>
      </c>
      <c r="FR213" s="1345"/>
      <c r="FS213" s="1345"/>
      <c r="FT213" s="1345"/>
      <c r="FU213" s="1345"/>
      <c r="FV213" s="1345"/>
      <c r="FW213" s="1321"/>
      <c r="FX213" s="1321"/>
      <c r="FY213" s="1321"/>
      <c r="FZ213" s="1321"/>
      <c r="GA213" s="1345"/>
      <c r="GB213" s="1321"/>
      <c r="GC213" s="1321"/>
      <c r="GD213" s="1321"/>
      <c r="GE213" s="1321"/>
      <c r="GF213" s="1321"/>
      <c r="GG213" s="1321" t="s">
        <v>1349</v>
      </c>
      <c r="GH213" s="1321" t="s">
        <v>1349</v>
      </c>
      <c r="GI213" s="1321" t="s">
        <v>1349</v>
      </c>
      <c r="GJ213" s="1321" t="s">
        <v>1349</v>
      </c>
      <c r="GK213" s="1321" t="s">
        <v>1349</v>
      </c>
      <c r="GL213" s="1321" t="s">
        <v>1349</v>
      </c>
      <c r="GM213" s="1321" t="s">
        <v>1349</v>
      </c>
      <c r="GN213" s="1321" t="s">
        <v>1349</v>
      </c>
      <c r="GO213" s="1321" t="s">
        <v>1349</v>
      </c>
      <c r="GP213" s="1321" t="s">
        <v>1349</v>
      </c>
      <c r="GQ213" s="1321" t="s">
        <v>1349</v>
      </c>
      <c r="GR213" s="1321" t="s">
        <v>1349</v>
      </c>
      <c r="GS213" s="1321" t="s">
        <v>1349</v>
      </c>
      <c r="GT213" s="1321" t="s">
        <v>1349</v>
      </c>
      <c r="GU213" s="1321" t="s">
        <v>1349</v>
      </c>
      <c r="GV213" s="1321" t="s">
        <v>1349</v>
      </c>
      <c r="GW213" s="1321"/>
      <c r="GX213" s="1321"/>
      <c r="GY213" s="1321"/>
      <c r="GZ213" s="1321"/>
      <c r="HA213" s="1321"/>
      <c r="HB213" s="1321"/>
      <c r="HC213" s="1321"/>
      <c r="HD213" s="1321"/>
      <c r="HE213" s="1321"/>
      <c r="HF213" s="1321"/>
      <c r="HG213" s="1321"/>
      <c r="HH213" s="1321"/>
      <c r="HI213" s="1321"/>
      <c r="HJ213" s="1321"/>
      <c r="HK213" s="1321"/>
      <c r="HL213" s="1321"/>
      <c r="HM213" s="1321"/>
      <c r="HN213" s="1321"/>
      <c r="HO213" s="1321"/>
      <c r="HP213" s="1321"/>
      <c r="HQ213" s="1321"/>
      <c r="HR213" s="1321"/>
      <c r="HS213" s="1321"/>
      <c r="HT213" s="1321"/>
      <c r="HU213" s="1321"/>
      <c r="HV213" s="1321"/>
      <c r="HW213" s="1321"/>
      <c r="HX213" s="1321"/>
      <c r="HY213" s="1321"/>
      <c r="HZ213" s="1321"/>
      <c r="IA213" s="1321"/>
      <c r="IB213" s="1321"/>
      <c r="IC213" s="1321"/>
      <c r="ID213" s="1321"/>
      <c r="IE213" s="1321"/>
      <c r="IF213" s="1321"/>
      <c r="IG213" s="1321"/>
      <c r="IH213" s="1321"/>
      <c r="II213" s="1321"/>
      <c r="IJ213" s="1321"/>
      <c r="IK213" s="1321"/>
      <c r="IL213" s="1321"/>
      <c r="IM213" s="1321"/>
      <c r="IN213" s="1368"/>
    </row>
    <row r="214" spans="1:248" ht="12.75" customHeight="1" x14ac:dyDescent="0.2">
      <c r="A214" s="1319"/>
      <c r="B214" s="1321"/>
      <c r="C214" s="1321"/>
      <c r="D214" s="1288" t="s">
        <v>49</v>
      </c>
      <c r="E214" s="1151">
        <v>4350</v>
      </c>
      <c r="F214" s="1321"/>
      <c r="G214" s="1321"/>
      <c r="H214" s="1321"/>
      <c r="I214" s="1321"/>
      <c r="J214" s="1321"/>
      <c r="K214" s="1321"/>
      <c r="L214" s="1321"/>
      <c r="M214" s="1321"/>
      <c r="N214" s="1321"/>
      <c r="O214" s="1321"/>
      <c r="P214" s="1321"/>
      <c r="Q214" s="1321"/>
      <c r="R214" s="1321"/>
      <c r="S214" s="1321"/>
      <c r="T214" s="1321"/>
      <c r="U214" s="1321"/>
      <c r="V214" s="1321"/>
      <c r="W214" s="1321"/>
      <c r="X214" s="1321"/>
      <c r="Y214" s="1321"/>
      <c r="Z214" s="1321"/>
      <c r="AA214" s="1321"/>
      <c r="AB214" s="1321"/>
      <c r="AC214" s="1321"/>
      <c r="AD214" s="1321"/>
      <c r="AE214" s="1321"/>
      <c r="AF214" s="1321"/>
      <c r="AG214" s="1321"/>
      <c r="AH214" s="1321"/>
      <c r="AI214" s="1321"/>
      <c r="AJ214" s="1321"/>
      <c r="AK214" s="1321"/>
      <c r="AL214" s="1321"/>
      <c r="AM214" s="1321"/>
      <c r="AN214" s="1321"/>
      <c r="AO214" s="1321"/>
      <c r="AP214" s="1321"/>
      <c r="AQ214" s="1321"/>
      <c r="AR214" s="1321"/>
      <c r="AS214" s="1321"/>
      <c r="AT214" s="1321"/>
      <c r="AU214" s="1321"/>
      <c r="AV214" s="1321"/>
      <c r="AW214" s="1321"/>
      <c r="AX214" s="1321"/>
      <c r="AY214" s="1321"/>
      <c r="AZ214" s="1321"/>
      <c r="BA214" s="1321"/>
      <c r="BB214" s="1076" t="s">
        <v>672</v>
      </c>
      <c r="BC214" s="1267">
        <f t="array" ref="BC214">IF(Ration_complète_bovins[somme]&gt;0,0,IFERROR(IF(OR(AND(INDEX(Règles_bovins[Specificite],MATCH(ChoixRationBovins&amp;$BB214,Règles_bovins[Ration]&amp;Règles_bovins[Aliment],0))="s1",IF($BB214=Spécificité1Bovins,1)),
AND(INDEX(Règles_bovins[Specificite],MATCH(ChoixRationBovins&amp;$BB214,Règles_bovins[Ration]&amp;Règles_bovins[Aliment],0))="s2",IF($BB214=Spécificité2Bovins,1)),
INDEX(Règles_bovins[Specificite],MATCH(ChoixRationBovins&amp;$BB214,Règles_bovins[Ration]&amp;Règles_bovins[Aliment],0))="c"),
INDEX(Règles_bovins[Valeur 36 et plus],MATCH(ChoixRationBovins&amp;$BB214,Règles_bovins[Ration]&amp;Règles_bovins[Aliment],0)),0),0)*IF(ChoixBovinsPréHiver=OUI,TotalTaureauxRacesLaitières,TotalTaureaux*SUM(NbreJoursNourrirBovins)))</f>
        <v>0</v>
      </c>
      <c r="BD214" s="1267">
        <f t="array" ref="BD214">IF(Ration_complète_bovins[somme]&gt;0,0,IFERROR(IF(OR(AND(INDEX(Règles_bovins[Specificite],MATCH(ChoixRationBovins&amp;$BB214,Règles_bovins[Ration]&amp;Règles_bovins[Aliment],0))="s1",IF($BB214=Spécificité1Bovins,1)),
AND(INDEX(Règles_bovins[Specificite],MATCH(ChoixRationBovins&amp;$BB214,Règles_bovins[Ration]&amp;Règles_bovins[Aliment],0))="s2",IF($BB214=Spécificité2Bovins,1)),
INDEX(Règles_bovins[Specificite],MATCH(ChoixRationBovins&amp;$BB214,Règles_bovins[Ration]&amp;Règles_bovins[Aliment],0))="c"),
INDEX(Règles_bovins[Valeur 24-36],MATCH(ChoixRationBovins&amp;$BB214,Règles_bovins[Ration]&amp;Règles_bovins[Aliment],0)),0),0)*IF(ChoixBovinsPréHiver=OUI,TotalTaurillon_24_36_RacesLaitières,TotalBovinsMâles_24_36mois*SUM(NbreJoursNourrirBovins)))</f>
        <v>0</v>
      </c>
      <c r="BE214" s="1267">
        <f t="array" ref="BE214">IF(Ration_complète_bovins[somme]&gt;0,0,IFERROR(IF(OR(AND(INDEX(Règles_bovins[Specificite],MATCH(ChoixRationBovins&amp;$BB214,Règles_bovins[Ration]&amp;Règles_bovins[Aliment],0))="s1",IF($BB214=Spécificité1Bovins,1)),
AND(INDEX(Règles_bovins[Specificite],MATCH(ChoixRationBovins&amp;$BB214,Règles_bovins[Ration]&amp;Règles_bovins[Aliment],0))="s2",IF($BB214=Spécificité2Bovins,1)),
INDEX(Règles_bovins[Specificite],MATCH(ChoixRationBovins&amp;$BB214,Règles_bovins[Ration]&amp;Règles_bovins[Aliment],0))="c"),
INDEX(Règles_bovins[Valeur 18-24],MATCH(ChoixRationBovins&amp;$BB214,Règles_bovins[Ration]&amp;Règles_bovins[Aliment],0)),0),0)*IF(ChoixBovinsPréHiver=OUI,TotalTaurillon_18_24_RacesLaitières,TotalBovinsMâles_18_24mois*SUM(NbreJoursNourrirBovins)))</f>
        <v>0</v>
      </c>
      <c r="BF214" s="1267">
        <f t="array" ref="BF214">IF(Ration_complète_bovins[somme]&gt;0,0,IFERROR(IF(OR(AND(INDEX(Règles_bovins[Specificite],MATCH(ChoixRationBovins&amp;$BB214,Règles_bovins[Ration]&amp;Règles_bovins[Aliment],0))="s1",IF($BB214=Spécificité1Bovins,1)),
AND(INDEX(Règles_bovins[Specificite],MATCH(ChoixRationBovins&amp;$BB214,Règles_bovins[Ration]&amp;Règles_bovins[Aliment],0))="s2",IF($BB214=Spécificité2Bovins,1)),
INDEX(Règles_bovins[Specificite],MATCH(ChoixRationBovins&amp;$BB214,Règles_bovins[Ration]&amp;Règles_bovins[Aliment],0))="c"),
INDEX(Règles_bovins[Valeur 12-18],MATCH(ChoixRationBovins&amp;$BB214,Règles_bovins[Ration]&amp;Règles_bovins[Aliment],0)),0),0)*IF(ChoixBovinsPréHiver=OUI,animaux!D37,TotalBovinsMâles_12_18mois*SUM(NbreJoursNourrirBovins)))</f>
        <v>0</v>
      </c>
      <c r="BG214" s="1267">
        <f t="array" ref="BG214">IF(Ration_complète_bovins[somme]&gt;0,0,IFERROR(IF(OR(AND(INDEX(Règles_bovins[Specificite],MATCH(ChoixRationBovins&amp;$BB214,Règles_bovins[Ration]&amp;Règles_bovins[Aliment],0))="s1",IF($BB214=Spécificité1Bovins,1)),
AND(INDEX(Règles_bovins[Specificite],MATCH(ChoixRationBovins&amp;$BB214,Règles_bovins[Ration]&amp;Règles_bovins[Aliment],0))="s2",IF($BB214=Spécificité2Bovins,1)),
INDEX(Règles_bovins[Specificite],MATCH(ChoixRationBovins&amp;$BB214,Règles_bovins[Ration]&amp;Règles_bovins[Aliment],0))="c"),
INDEX(Règles_bovins[Valeur 6-12],MATCH(ChoixRationBovins&amp;$BB214,Règles_bovins[Ration]&amp;Règles_bovins[Aliment],0)),0),0)*IF(ChoixBovinsPréHiver=OUI,TotalVeauMâle_6_12_RacesLaitières,TotalBovinsMâles_6_12mois*SUM(NbreJoursNourrirBovins)))</f>
        <v>0</v>
      </c>
      <c r="BH214" s="1267">
        <f t="array" ref="BH214">IF(Ration_complète_bovins[somme]&gt;0,0,IFERROR(IF(OR(AND(INDEX(Règles_bovins[Specificite],MATCH(ChoixRationBovins&amp;$BB214,Règles_bovins[Ration]&amp;Règles_bovins[Aliment],0))="s1",IF($BB214=Spécificité1Bovins,1)),
AND(INDEX(Règles_bovins[Specificite],MATCH(ChoixRationBovins&amp;$BB214,Règles_bovins[Ration]&amp;Règles_bovins[Aliment],0))="s2",IF($BB214=Spécificité2Bovins,1)),
INDEX(Règles_bovins[Specificite],MATCH(ChoixRationBovins&amp;$BB214,Règles_bovins[Ration]&amp;Règles_bovins[Aliment],0))="c"),
INDEX(Règles_bovins[Valeur 3-6],MATCH(ChoixRationBovins&amp;$BB214,Règles_bovins[Ration]&amp;Règles_bovins[Aliment],0)),0),0)*IF(ChoixBovinsPréHiver=OUI,TotalVeauMâle_3_6_RacesLaitières,TotalBovinsMâles_3_6mois*SUM(NbreJoursNourrirBovins)))</f>
        <v>0</v>
      </c>
      <c r="BI214" s="1267">
        <f t="array" ref="BI214">IF(Ration_complète_bovins[somme]&gt;0,0,IFERROR(IF(OR(AND(INDEX(Règles_bovins[Specificite],MATCH(ChoixRationBovins&amp;$BB214,Règles_bovins[Ration]&amp;Règles_bovins[Aliment],0))="s1",IF($BB214=Spécificité1Bovins,1)),
AND(INDEX(Règles_bovins[Specificite],MATCH(ChoixRationBovins&amp;$BB214,Règles_bovins[Ration]&amp;Règles_bovins[Aliment],0))="s2",IF($BB214=Spécificité2Bovins,1)),
INDEX(Règles_bovins[Specificite],MATCH(ChoixRationBovins&amp;$BB214,Règles_bovins[Ration]&amp;Règles_bovins[Aliment],0))="c"),
INDEX(Règles_bovins[Valeur 0-3],MATCH(ChoixRationBovins&amp;$BB214,Règles_bovins[Ration]&amp;Règles_bovins[Aliment],0)),0),0)*IF(ChoixBovinsPréHiver=OUI,TotalVeauMâle_0_3_RacesLaitières,TotalBovinsMâles_0_3mois*SUM(NbreJoursNourrirBovins)))</f>
        <v>0</v>
      </c>
      <c r="BJ214" s="1268">
        <f t="shared" si="69"/>
        <v>0</v>
      </c>
      <c r="BK214" s="1321"/>
      <c r="BL214" s="1321"/>
      <c r="BM214" s="1346"/>
      <c r="BN214" s="1321"/>
      <c r="BO214" s="1321"/>
      <c r="BP214" s="1321"/>
      <c r="BQ214" s="1321"/>
      <c r="BR214" s="1321"/>
      <c r="BS214" s="1321"/>
      <c r="BT214" s="1321"/>
      <c r="BU214" s="1321"/>
      <c r="BV214" s="1345"/>
      <c r="BW214" s="1345"/>
      <c r="BX214" s="1076" t="str">
        <f t="shared" si="70"/>
        <v>Maïs grain</v>
      </c>
      <c r="BY214" s="1267">
        <f t="array" ref="BY214">SUM((IF(QualitéAlimentsChevreau_0_3_mois=BONNE,VLOOKUP("Maïs grain",AlimentsRationCaprinsMâles,5,FALSE),0)+(IF(QualitéAlimentsChevrette_0_3_mois=BONNE,VLOOKUP("Maïs grain",AlimentsRationCaprinsFemelles,5,FALSE),0)+(IF(QualitéAlimentsChevreau_3_6_mois=BONNE,VLOOKUP("Maïs grain",AlimentsRationCaprinsMâles,4,FALSE),0)+(IF(QualitéAlimentsChevrette_3_6_mois=BONNE,VLOOKUP("Maïs grain",AlimentsRationCaprinsFemelles,4,FALSE),0)+(IF(QualitéAlimentsJeuneBouc=BONNE,VLOOKUP("Maïs grain",AlimentsRationCaprinsMâles,3,FALSE),0)+(IF(QualitéAlimentsJeuneChèvre=BONNE,VLOOKUP("Maïs grain",AlimentsRationCaprinsFemelles,3,FALSE),0)+(IF(QualitéAlimentsBouc=BONNE,VLOOKUP("Maïs grain",AlimentsRationCaprinsMâles,2,FALSE),0)+(IF(QualitéAlimentsChèvre=BONNE,VLOOKUP("Maïs grain",AlimentsRationCaprinsFemelles,2,FALSE),0))))))))))</f>
        <v>0</v>
      </c>
      <c r="BZ214" s="1267">
        <f t="array" ref="BZ214">SUM((IF(QualitéAlimentsChevreau_0_3_mois=MOYENNE,VLOOKUP("Maïs grain",AlimentsRationCaprinsMâles,5,FALSE),0)+(IF(QualitéAlimentsChevrette_0_3_mois=MOYENNE,VLOOKUP("Maïs grain",AlimentsRationCaprinsFemelles,5,FALSE),0)+(IF(QualitéAlimentsChevreau_3_6_mois=MOYENNE,VLOOKUP("Maïs grain",AlimentsRationCaprinsMâles,4,FALSE),0)+(IF(QualitéAlimentsChevrette_3_6_mois=MOYENNE,VLOOKUP("Maïs grain",AlimentsRationCaprinsFemelles,4,FALSE),0)+(IF(QualitéAlimentsJeuneBouc=MOYENNE,VLOOKUP("Maïs grain",AlimentsRationCaprinsMâles,3,FALSE),0)+(IF(QualitéAlimentsJeuneChèvre=MOYENNE,VLOOKUP("Maïs grain",AlimentsRationCaprinsFemelles,3,FALSE),0)+(IF(QualitéAlimentsBouc=MOYENNE,VLOOKUP("Maïs grain",AlimentsRationCaprinsMâles,2,FALSE),0)+(IF(QualitéAlimentsChèvre=MOYENNE,VLOOKUP("Maïs grain",AlimentsRationCaprinsFemelles,2,FALSE),0))))))))))</f>
        <v>0</v>
      </c>
      <c r="CA214" s="1267">
        <f t="array" ref="CA214">SUM((IF(QualitéAlimentsChevreau_0_3_mois=MAUVAISE,VLOOKUP("Maïs grain",AlimentsRationCaprinsMâles,5,FALSE),0)+(IF(QualitéAlimentsChevrette_0_3_mois=MAUVAISE,VLOOKUP("Maïs grain",AlimentsRationCaprinsFemelles,5,FALSE),0)+(IF(QualitéAlimentsChevreau_3_6_mois=MAUVAISE,VLOOKUP("Maïs grain",AlimentsRationCaprinsMâles,4,FALSE),0)+(IF(QualitéAlimentsChevrette_3_6_mois=MAUVAISE,VLOOKUP("Maïs grain",AlimentsRationCaprinsFemelles,4,FALSE),0)+(IF(QualitéAlimentsJeuneBouc=MAUVAISE,VLOOKUP("Maïs grain",AlimentsRationCaprinsMâles,3,FALSE),0)+(IF(QualitéAlimentsJeuneChèvre=MAUVAISE,VLOOKUP("Maïs grain",AlimentsRationCaprinsFemelles,3,FALSE),0)+(IF(QualitéAlimentsBouc=MAUVAISE,VLOOKUP("Maïs grain",AlimentsRationCaprinsMâles,2,FALSE),0)+(IF(QualitéAlimentsChèvre=MAUVAISE,VLOOKUP("Maïs grain",AlimentsRationCaprinsFemelles,2,FALSE),0))))))))))</f>
        <v>0</v>
      </c>
      <c r="CB214" s="1321"/>
      <c r="CC214" s="1321"/>
      <c r="CD214" s="1345"/>
      <c r="CE214" s="1345"/>
      <c r="CF214" s="1345"/>
      <c r="CG214" s="1345"/>
      <c r="CH214" s="1345"/>
      <c r="CI214" s="1321"/>
      <c r="CJ214" s="1321"/>
      <c r="CK214" s="1321"/>
      <c r="CL214" s="1321"/>
      <c r="CM214" s="1321"/>
      <c r="CN214" s="1321"/>
      <c r="CO214" s="1321"/>
      <c r="CP214" s="1321"/>
      <c r="CQ214" s="1321"/>
      <c r="CR214" s="1321"/>
      <c r="CS214" s="1321"/>
      <c r="CT214" s="1321"/>
      <c r="CU214" s="1321"/>
      <c r="CV214" s="1321"/>
      <c r="CW214" s="1321"/>
      <c r="CX214" s="1321"/>
      <c r="CY214" s="1321"/>
      <c r="CZ214" s="1321"/>
      <c r="DA214" s="1321"/>
      <c r="DB214" s="1321"/>
      <c r="DC214" s="1321"/>
      <c r="DD214" s="1321"/>
      <c r="DE214" s="1321"/>
      <c r="DF214" s="1321"/>
      <c r="DG214" s="1321"/>
      <c r="DH214" s="1321"/>
      <c r="DI214" s="1321"/>
      <c r="DJ214" s="1321"/>
      <c r="DK214" s="1321"/>
      <c r="DL214" s="1321"/>
      <c r="DM214" s="1321"/>
      <c r="DN214" s="1076" t="str">
        <f t="shared" si="68"/>
        <v>Pois</v>
      </c>
      <c r="DO214" s="1267">
        <f t="array" ref="DO214">IF(ChoixRationComplèteOvins=OUI,0,IFERROR(IF(OR(AND(INDEX(Règles_ovins[Specificite],MATCH(ChoixRationOvins&amp;$DN214,Règles_ovins[Ration]&amp;Règles_ovins[Aliment],0))="s1",IF($DN214=Spécificité1Ovins,1)),
AND(INDEX(Règles_ovins[Specificite],MATCH(ChoixRationOvins&amp;$DN214,Règles_ovins[Ration]&amp;Règles_ovins[Aliment],0))="s2",IF($DN214=Spécificité2Ovins,1)),
INDEX(Règles_ovins[Specificite],MATCH(ChoixRationOvins&amp;$DN214,Règles_ovins[Ration]&amp;Règles_ovins[Aliment],0))="c"),
INDEX(Règles_ovins[Valeur 12 et plus],MATCH(ChoixRationOvins&amp;$DN214,Règles_ovins[Ration]&amp;Règles_ovins[Aliment],0)),0),0)*IF(ChoixOvinsPréHiver=OUI,SUM(TotalOvinsAdultesRacesLaitières)*NbreJoursNourrirOvins,TotalBrebis*SUM(NbreJoursNourrirOvins)))</f>
        <v>0</v>
      </c>
      <c r="DP214" s="1267">
        <f t="array" ref="DP214">IF(ChoixRationComplèteOvins=OUI,0,IFERROR(IF(OR(AND(INDEX(Règles_ovins[Specificite],MATCH(ChoixRationOvins&amp;$DN214,Règles_ovins[Ration]&amp;Règles_ovins[Aliment],0))="s1",IF($DN214=Spécificité1Ovins,1)),
AND(INDEX(Règles_ovins[Specificite],MATCH(ChoixRationOvins&amp;$DN214,Règles_ovins[Ration]&amp;Règles_ovins[Aliment],0))="s2",IF($DN214=Spécificité2Ovins,1)),
INDEX(Règles_ovins[Specificite],MATCH(ChoixRationOvins&amp;$DN214,Règles_ovins[Ration]&amp;Règles_ovins[Aliment],0))="c"),
INDEX(Règles_ovins[Valeur 6-12],MATCH(ChoixRationOvins&amp;$DN214,Règles_ovins[Ration]&amp;Règles_ovins[Aliment],0)),0),0)*IF(ChoixOvinsPréHiver=OUI,SUM(TotalJeunesOvinsRacesLaitières)*NbreJoursNourrirOvins,TotalJeune_brebis_6_12_mois*SUM(NbreJoursNourrirOvins)))</f>
        <v>0</v>
      </c>
      <c r="DQ214" s="1267">
        <f t="array" ref="DQ214">IF(ChoixRationComplèteOvins=OUI,0,IFERROR(IF(OR(AND(INDEX(Règles_ovins[Specificite],MATCH(ChoixRationOvins&amp;$DN214,Règles_ovins[Ration]&amp;Règles_ovins[Aliment],0))="s1",IF($DN214=Spécificité1Ovins,1)),
AND(INDEX(Règles_ovins[Specificite],MATCH(ChoixRationOvins&amp;$DN214,Règles_ovins[Ration]&amp;Règles_ovins[Aliment],0))="s2",IF($DN214=Spécificité2Ovins,1)),
INDEX(Règles_ovins[Specificite],MATCH(ChoixRationOvins&amp;$DN214,Règles_ovins[Ration]&amp;Règles_ovins[Aliment],0))="c"),
INDEX(Règles_ovins[Valeur 3-6],MATCH(ChoixRationOvins&amp;$DN214,Règles_ovins[Ration]&amp;Règles_ovins[Aliment],0)),0),0)*IF(ChoixOvinsPréHiver=OUI,SUM(TotalOvins_3_6moisRacesLaitières)*NbreJoursNourrirOvins,TotalAgnelle_3_6_mois*SUM(NbreJoursNourrirOvins)))</f>
        <v>0</v>
      </c>
      <c r="DR214" s="1267">
        <f t="array" ref="DR214">IF(ChoixRationComplèteOvins=OUI,0,IFERROR(IF(OR(AND(INDEX(Règles_ovins[Specificite],MATCH(ChoixRationOvins&amp;$DN214,Règles_ovins[Ration]&amp;Règles_ovins[Aliment],0))="s1",IF($DN214=Spécificité1Ovins,1)),
AND(INDEX(Règles_ovins[Specificite],MATCH(ChoixRationOvins&amp;$DN214,Règles_ovins[Ration]&amp;Règles_ovins[Aliment],0))="s2",IF($DN214=Spécificité2Ovins,1)),
INDEX(Règles_ovins[Specificite],MATCH(ChoixRationOvins&amp;$DN214,Règles_ovins[Ration]&amp;Règles_ovins[Aliment],0))="c"),
INDEX(Règles_ovins[Valeur 0-3],MATCH(ChoixRationOvins&amp;$DN214,Règles_ovins[Ration]&amp;Règles_ovins[Aliment],0)),0),0)*IF(ChoixOvinsPréHiver=OUI,SUM(TotalOvins_3_6moisRacesLaitières)*NbreJoursNourrirOvins,TotalAgnelle_0_3_mois*SUM(NbreJoursNourrirOvins)))</f>
        <v>0</v>
      </c>
      <c r="DS214" s="1279">
        <f t="shared" si="67"/>
        <v>0</v>
      </c>
      <c r="DT214" s="1346"/>
      <c r="DU214" s="1346"/>
      <c r="DV214" s="1321"/>
      <c r="DW214" s="1321"/>
      <c r="DX214" s="1321"/>
      <c r="DY214" s="1321"/>
      <c r="DZ214" s="1321"/>
      <c r="EA214" s="1321"/>
      <c r="EB214" s="1321"/>
      <c r="EC214" s="1321"/>
      <c r="ED214" s="1345"/>
      <c r="EE214" s="1345"/>
      <c r="EF214" s="1321"/>
      <c r="EG214" s="1321"/>
      <c r="EH214" s="1321"/>
      <c r="EI214" s="1321"/>
      <c r="EJ214" s="1321"/>
      <c r="EK214" s="1345"/>
      <c r="EL214" s="1345"/>
      <c r="EM214" s="1321"/>
      <c r="EN214" s="1321"/>
      <c r="EO214" s="1321"/>
      <c r="EP214" s="1321"/>
      <c r="EQ214" s="1321"/>
      <c r="ER214" s="1345"/>
      <c r="ES214" s="1345"/>
      <c r="ET214" s="1321"/>
      <c r="EU214" s="1083" t="str">
        <f t="shared" si="73"/>
        <v>Eau</v>
      </c>
      <c r="EV214" s="1283">
        <f t="array" ref="EV214">SUM((IF(QualitéAlimentsPoulainSelleMâle=BONNE,VLOOKUP("Eau",AlimentsRationEcurieChevauxMâlesSelle,5,FALSE),0)+(IF(QualitéAlimentsPoulainSelleFemelle=BONNE,VLOOKUP("Eau",AlimentsRationEcurieChevauxFemellesSelle,5,FALSE),0)+(IF(QualitéAlimentsJeuneEtalon_12_24_moisSelle=BONNE,VLOOKUP("Eau",AlimentsRationEcurieChevauxMâlesSelle,4,FALSE),0)+(IF(QualitéAlimentsJeuneJument_12_24_moisSelle=BONNE,VLOOKUP("Eau",AlimentsRationEcurieChevauxFemellesSelle,4,FALSE),0)+(IF(QualitéAlimentsJeuneEtalon_24_36_moisSelle=BONNE,VLOOKUP("Eau",AlimentsRationEcurieChevauxMâlesSelle,3,FALSE),0)+(IF(QualitéAlimentsJeuneJument_24_36_moisSelle=BONNE,VLOOKUP("Eau",AlimentsRationEcurieChevauxFemellesSelle,3,FALSE),0)+(IF(QualitéAlimentsEtalonSelle=BONNE,VLOOKUP("Eau",AlimentsRationEcurieChevauxMâlesSelle,2,FALSE),0)+(IF(QualitéAlimentsJumentSelle=BONNE,VLOOKUP("Eau",AlimentsRationEcurieChevauxFemellesSelle,2,FALSE),0))))))))))</f>
        <v>0</v>
      </c>
      <c r="EW214" s="1283">
        <f t="array" ref="EW214">SUM((IF(QualitéAlimentsPoulainSelleMâle=MOYENNE,VLOOKUP("Eau",AlimentsRationEcurieChevauxMâlesSelle,5,FALSE),0)+(IF(QualitéAlimentsPoulainSelleFemelle=MOYENNE,VLOOKUP("Eau",AlimentsRationEcurieChevauxFemellesSelle,5,FALSE),0)+(IF(QualitéAlimentsJeuneEtalon_12_24_moisSelle=MOYENNE,VLOOKUP("Eau",AlimentsRationEcurieChevauxMâlesSelle,4,FALSE),0)+(IF(QualitéAlimentsJeuneJument_12_24_moisSelle=MOYENNE,VLOOKUP("Eau",AlimentsRationEcurieChevauxFemellesSelle,4,FALSE),0)+(IF(QualitéAlimentsJeuneEtalon_24_36_moisSelle=MOYENNE,VLOOKUP("Eau",AlimentsRationEcurieChevauxMâlesSelle,3,FALSE),0)+(IF(QualitéAlimentsJeuneJument_24_36_moisSelle=MOYENNE,VLOOKUP("Eau",AlimentsRationEcurieChevauxFemellesSelle,3,FALSE),0)+(IF(QualitéAlimentsEtalonSelle=MOYENNE,VLOOKUP("Eau",AlimentsRationEcurieChevauxMâlesSelle,2,FALSE),0)+(IF(QualitéAlimentsJumentSelle=MOYENNE,VLOOKUP("Eau",AlimentsRationEcurieChevauxFemellesSelle,2,FALSE),0))))))))))</f>
        <v>0</v>
      </c>
      <c r="EX214" s="1283">
        <f t="array" ref="EX214">SUM((IF(QualitéAlimentsPoulainSelleMâle=MAUVAISE,VLOOKUP("Eau",AlimentsRationEcurieChevauxMâlesSelle,5,FALSE),0)+(IF(QualitéAlimentsPoulainSelleFemelle=MAUVAISE,VLOOKUP("Eau",AlimentsRationEcurieChevauxFemellesSelle,5,FALSE),0)+(IF(QualitéAlimentsJeuneEtalon_12_24_moisSelle=MAUVAISE,VLOOKUP("Eau",AlimentsRationEcurieChevauxMâlesSelle,4,FALSE),0)+(IF(QualitéAlimentsJeuneJument_12_24_moisSelle=MAUVAISE,VLOOKUP("Eau",AlimentsRationEcurieChevauxFemellesSelle,4,FALSE),0)+(IF(QualitéAlimentsJeuneEtalon_24_36_moisSelle=MAUVAISE,VLOOKUP("Eau",AlimentsRationEcurieChevauxMâlesSelle,3,FALSE),0)+(IF(QualitéAlimentsJeuneJument_24_36_moisSelle=MAUVAISE,VLOOKUP("Eau",AlimentsRationEcurieChevauxFemellesSelle,3,FALSE),0)+(IF(QualitéAlimentsEtalonSelle=MAUVAISE,VLOOKUP("Eau",AlimentsRationEcurieChevauxMâlesSelle,2,FALSE),0)+(IF(QualitéAlimentsJumentSelle=MAUVAISE,VLOOKUP("Eau",AlimentsRationEcurieChevauxFemellesSelle,2,FALSE),0))))))))))</f>
        <v>0</v>
      </c>
      <c r="EY214" s="1321"/>
      <c r="EZ214" s="1345"/>
      <c r="FA214" s="1345"/>
      <c r="FB214" s="1345"/>
      <c r="FC214" s="1321"/>
      <c r="FD214" s="1082" t="str">
        <f t="shared" si="72"/>
        <v>Lentille</v>
      </c>
      <c r="FE214" s="1282">
        <f t="array" ref="FE214">SUM((IF(QualitéAlimentsPoulainMâleTrait=BONNE,VLOOKUP("Lentille",AlimentsRationEcurieChevauxMâlesTrait,5,FALSE),0)+(IF(QualitéAlimentsPoulainFemelleTrait=BONNE,VLOOKUP("Lentille",AlimentsRationEcurieChevauxFemellesTrait,5,FALSE),0)+(IF(QualitéAlimentsJeuneEtalon_12_24_moisTrait=BONNE,VLOOKUP("Lentille",AlimentsRationEcurieChevauxMâlesTrait,4,FALSE),0)+(IF(QualitéAlimentsJeuneJument_12_24_moisTrait=BONNE,VLOOKUP("Lentille",AlimentsRationEcurieChevauxFemellesTrait,4,FALSE),0)+(IF(QualitéAlimentsJeuneEtalon_24_36_moisTrait=BONNE,VLOOKUP("Lentille",AlimentsRationEcurieChevauxMâlesTrait,3,FALSE),0)+(IF(QualitéAlimentsJeuneJument_24_36_moisTrait=BONNE,VLOOKUP("Lentille",AlimentsRationEcurieChevauxFemellesTrait,3,FALSE),0)+(IF(QualitéAlimentsEtalonTrait=BONNE,VLOOKUP("Lentille",AlimentsRationEcurieChevauxMâlesTrait,2,FALSE),0)+(IF(QualitéAlimentsJumentTrait=BONNE,VLOOKUP("Lentille",AlimentsRationEcurieChevauxFemellesTrait,2,FALSE),0))))))))))</f>
        <v>0</v>
      </c>
      <c r="FF214" s="1282">
        <f t="array" ref="FF214">SUM((IF(QualitéAlimentsPoulainMâleTrait=MOYENNE,VLOOKUP("Lentille",AlimentsRationEcurieChevauxMâlesTrait,5,FALSE),0)+(IF(QualitéAlimentsPoulainFemelleTrait=MOYENNE,VLOOKUP("Lentille",AlimentsRationEcurieChevauxFemellesTrait,5,FALSE),0)+(IF(QualitéAlimentsJeuneEtalon_12_24_moisTrait=MOYENNE,VLOOKUP("Lentille",AlimentsRationEcurieChevauxMâlesTrait,4,FALSE),0)+(IF(QualitéAlimentsJeuneJument_12_24_moisTrait=MOYENNE,VLOOKUP("Lentille",AlimentsRationEcurieChevauxFemellesTrait,4,FALSE),0)+(IF(QualitéAlimentsJeuneEtalon_24_36_moisTrait=MOYENNE,VLOOKUP("Lentille",AlimentsRationEcurieChevauxMâlesTrait,3,FALSE),0)+(IF(QualitéAlimentsJeuneJument_24_36_moisTrait=MOYENNE,VLOOKUP("Lentille",AlimentsRationEcurieChevauxFemellesTrait,3,FALSE),0)+(IF(QualitéAlimentsEtalonTrait=MOYENNE,VLOOKUP("Lentille",AlimentsRationEcurieChevauxMâlesTrait,2,FALSE),0)+(IF(QualitéAlimentsJumentTrait=MOYENNE,VLOOKUP("Lentille",AlimentsRationEcurieChevauxFemellesTrait,2,FALSE),0))))))))))</f>
        <v>0</v>
      </c>
      <c r="FG214" s="1282">
        <f t="array" ref="FG214">SUM((IF(QualitéAlimentsPoulainMâleTrait=MAUVAISE,VLOOKUP("Lentille",AlimentsRationEcurieChevauxMâlesTrait,5,FALSE),0)+(IF(QualitéAlimentsPoulainFemelleTrait=MAUVAISE,VLOOKUP("Lentille",AlimentsRationEcurieChevauxFemellesTrait,5,FALSE),0)+(IF(QualitéAlimentsJeuneEtalon_12_24_moisTrait=MAUVAISE,VLOOKUP("Lentille",AlimentsRationEcurieChevauxMâlesTrait,4,FALSE),0)+(IF(QualitéAlimentsJeuneJument_12_24_moisTrait=MAUVAISE,VLOOKUP("Lentille",AlimentsRationEcurieChevauxFemellesTrait,4,FALSE),0)+(IF(QualitéAlimentsJeuneEtalon_24_36_moisTrait=MAUVAISE,VLOOKUP("Lentille",AlimentsRationEcurieChevauxMâlesTrait,3,FALSE),0)+(IF(QualitéAlimentsJeuneJument_24_36_moisTrait=MAUVAISE,VLOOKUP("Lentille",AlimentsRationEcurieChevauxFemellesTrait,3,FALSE),0)+(IF(QualitéAlimentsEtalonTrait=MAUVAISE,VLOOKUP("Lentille",AlimentsRationEcurieChevauxMâlesTrait,2,FALSE),0)+(IF(QualitéAlimentsJumentTrait=MAUVAISE,VLOOKUP("Lentille",AlimentsRationEcurieChevauxFemellesTrait,2,FALSE),0))))))))))</f>
        <v>0</v>
      </c>
      <c r="FH214" s="1321"/>
      <c r="FI214" s="1321"/>
      <c r="FJ214" s="1345"/>
      <c r="FK214" s="1345"/>
      <c r="FL214" s="1345"/>
      <c r="FM214" s="1321"/>
      <c r="FN214" s="1083" t="str">
        <f t="shared" si="71"/>
        <v>Maïs ensilé</v>
      </c>
      <c r="FO214" s="1283">
        <f t="array" ref="FO214">SUM((IF(QualitéAlimentsPoulainMâlePoney=BONNE,VLOOKUP("Maïs ensilé",AlimentsRationEcuriePoneysMâles,5,FALSE),0)+(IF(QualitéAlimentsPoulainFemellePoney=BONNE,VLOOKUP("Maïs ensilé",AlimentsRationEcuriePoneysFemelles,5,FALSE),0)+(IF(QualitéAlimentsJeuneEtalon_12_24_moisPoney=BONNE,VLOOKUP("Maïs ensilé",AlimentsRationEcuriePoneysMâles,4,FALSE),0)+(IF(QualitéAlimentsJeuneJument_12_24_moisPoney=BONNE,VLOOKUP("Maïs ensilé",AlimentsRationEcuriePoneysFemelles,4,FALSE),0)+(IF(QualitéAlimentsJeuneEtalon_24_36_moisPoney=BONNE,VLOOKUP("Maïs ensilé",AlimentsRationEcuriePoneysMâles,3,FALSE),0)+(IF(QualitéAlimentsJeuneJument_24_36_moisPoney=BONNE,VLOOKUP("Maïs ensilé",AlimentsRationEcuriePoneysFemelles,3,FALSE),0)+(IF(QualitéAlimentsEtalonPoney=BONNE,VLOOKUP("Maïs ensilé",AlimentsRationEcuriePoneysMâles,2,FALSE),0)+(IF(QualitéAlimentsJumentPoney=BONNE,VLOOKUP("Maïs ensilé",AlimentsRationEcuriePoneysFemelles,2,FALSE),0))))))))))</f>
        <v>0</v>
      </c>
      <c r="FP214" s="1283">
        <f t="array" ref="FP214">SUM((IF(QualitéAlimentsPoulainMâlePoney=MOYENNE,VLOOKUP("Maïs ensilé",AlimentsRationEcuriePoneysMâles,5,FALSE),0)+(IF(QualitéAlimentsPoulainFemellePoney=MOYENNE,VLOOKUP("Maïs ensilé",AlimentsRationEcuriePoneysFemelles,5,FALSE),0)+(IF(QualitéAlimentsJeuneEtalon_12_24_moisPoney=MOYENNE,VLOOKUP("Maïs ensilé",AlimentsRationEcuriePoneysMâles,4,FALSE),0)+(IF(QualitéAlimentsJeuneJument_12_24_moisPoney=MOYENNE,VLOOKUP("Maïs ensilé",AlimentsRationEcuriePoneysFemelles,4,FALSE),0)+(IF(QualitéAlimentsJeuneEtalon_24_36_moisPoney=MOYENNE,VLOOKUP("Maïs ensilé",AlimentsRationEcuriePoneysMâles,3,FALSE),0)+(IF(QualitéAlimentsJeuneJument_24_36_moisPoney=MOYENNE,VLOOKUP("Maïs ensilé",AlimentsRationEcuriePoneysFemelles,3,FALSE),0)+(IF(QualitéAlimentsEtalonPoney=MOYENNE,VLOOKUP("Maïs ensilé",AlimentsRationEcuriePoneysMâles,2,FALSE),0)+(IF(QualitéAlimentsJumentPoney=MOYENNE,VLOOKUP("Maïs ensilé",AlimentsRationEcuriePoneysFemelles,2,FALSE),0))))))))))</f>
        <v>0</v>
      </c>
      <c r="FQ214" s="1283">
        <f t="array" ref="FQ214">SUM((IF(QualitéAlimentsPoulainMâlePoney=MAUVAISE,VLOOKUP("Maïs ensilé",AlimentsRationEcuriePoneysMâles,5,FALSE),0)+(IF(QualitéAlimentsPoulainFemellePoney=MAUVAISE,VLOOKUP("Maïs ensilé",AlimentsRationEcuriePoneysFemelles,5,FALSE),0)+(IF(QualitéAlimentsJeuneEtalon_12_24_moisPoney=MAUVAISE,VLOOKUP("Maïs ensilé",AlimentsRationEcuriePoneysMâles,4,FALSE),0)+(IF(QualitéAlimentsJeuneJument_12_24_moisPoney=MAUVAISE,VLOOKUP("Maïs ensilé",AlimentsRationEcuriePoneysFemelles,4,FALSE),0)+(IF(QualitéAlimentsJeuneEtalon_24_36_moisPoney=MAUVAISE,VLOOKUP("Maïs ensilé",AlimentsRationEcuriePoneysMâles,3,FALSE),0)+(IF(QualitéAlimentsJeuneJument_24_36_moisPoney=MAUVAISE,VLOOKUP("Maïs ensilé",AlimentsRationEcuriePoneysFemelles,3,FALSE),0)+(IF(QualitéAlimentsEtalonPoney=MAUVAISE,VLOOKUP("Maïs ensilé",AlimentsRationEcuriePoneysMâles,2,FALSE),0)+(IF(QualitéAlimentsJumentPoney=MAUVAISE,VLOOKUP("Maïs ensilé",AlimentsRationEcuriePoneysFemelles,2,FALSE),0))))))))))</f>
        <v>0</v>
      </c>
      <c r="FR214" s="1345"/>
      <c r="FS214" s="1345"/>
      <c r="FT214" s="1345"/>
      <c r="FU214" s="1345"/>
      <c r="FV214" s="1345"/>
      <c r="FW214" s="1321"/>
      <c r="FX214" s="1321"/>
      <c r="FY214" s="1321"/>
      <c r="FZ214" s="1321"/>
      <c r="GA214" s="1345"/>
      <c r="GB214" s="1321"/>
      <c r="GC214" s="1321"/>
      <c r="GD214" s="1321"/>
      <c r="GE214" s="1321"/>
      <c r="GF214" s="1321"/>
      <c r="GG214" s="1321" t="s">
        <v>1349</v>
      </c>
      <c r="GH214" s="1321" t="s">
        <v>1349</v>
      </c>
      <c r="GI214" s="1321" t="s">
        <v>1349</v>
      </c>
      <c r="GJ214" s="1321" t="s">
        <v>1349</v>
      </c>
      <c r="GK214" s="1321" t="s">
        <v>1349</v>
      </c>
      <c r="GL214" s="1321" t="s">
        <v>1349</v>
      </c>
      <c r="GM214" s="1321" t="s">
        <v>1349</v>
      </c>
      <c r="GN214" s="1321" t="s">
        <v>1349</v>
      </c>
      <c r="GO214" s="1321" t="s">
        <v>1349</v>
      </c>
      <c r="GP214" s="1321" t="s">
        <v>1349</v>
      </c>
      <c r="GQ214" s="1321" t="s">
        <v>1349</v>
      </c>
      <c r="GR214" s="1321" t="s">
        <v>1349</v>
      </c>
      <c r="GS214" s="1321" t="s">
        <v>1349</v>
      </c>
      <c r="GT214" s="1321" t="s">
        <v>1349</v>
      </c>
      <c r="GU214" s="1321" t="s">
        <v>1349</v>
      </c>
      <c r="GV214" s="1321" t="s">
        <v>1349</v>
      </c>
      <c r="GW214" s="1321"/>
      <c r="GX214" s="1321"/>
      <c r="GY214" s="1321"/>
      <c r="GZ214" s="1321"/>
      <c r="HA214" s="1321"/>
      <c r="HB214" s="1321"/>
      <c r="HC214" s="1321"/>
      <c r="HD214" s="1321"/>
      <c r="HE214" s="1321"/>
      <c r="HF214" s="1321"/>
      <c r="HG214" s="1321"/>
      <c r="HH214" s="1321"/>
      <c r="HI214" s="1321"/>
      <c r="HJ214" s="1321"/>
      <c r="HK214" s="1321"/>
      <c r="HL214" s="1321"/>
      <c r="HM214" s="1321"/>
      <c r="HN214" s="1321"/>
      <c r="HO214" s="1321"/>
      <c r="HP214" s="1321"/>
      <c r="HQ214" s="1321"/>
      <c r="HR214" s="1321"/>
      <c r="HS214" s="1321"/>
      <c r="HT214" s="1321"/>
      <c r="HU214" s="1321"/>
      <c r="HV214" s="1321"/>
      <c r="HW214" s="1321"/>
      <c r="HX214" s="1321"/>
      <c r="HY214" s="1321"/>
      <c r="HZ214" s="1321"/>
      <c r="IA214" s="1321"/>
      <c r="IB214" s="1321"/>
      <c r="IC214" s="1321"/>
      <c r="ID214" s="1321"/>
      <c r="IE214" s="1321"/>
      <c r="IF214" s="1321"/>
      <c r="IG214" s="1321"/>
      <c r="IH214" s="1321"/>
      <c r="II214" s="1321"/>
      <c r="IJ214" s="1321"/>
      <c r="IK214" s="1321"/>
      <c r="IL214" s="1321"/>
      <c r="IM214" s="1321"/>
      <c r="IN214" s="1368"/>
    </row>
    <row r="215" spans="1:248" ht="12.75" customHeight="1" x14ac:dyDescent="0.2">
      <c r="A215" s="1319"/>
      <c r="B215" s="1321"/>
      <c r="C215" s="1321"/>
      <c r="D215" s="1321"/>
      <c r="E215" s="1321"/>
      <c r="F215" s="1321"/>
      <c r="G215" s="1321"/>
      <c r="H215" s="1321"/>
      <c r="I215" s="1321"/>
      <c r="J215" s="1321"/>
      <c r="K215" s="1321"/>
      <c r="L215" s="1321"/>
      <c r="M215" s="1321"/>
      <c r="N215" s="1321"/>
      <c r="O215" s="1321"/>
      <c r="P215" s="1321"/>
      <c r="Q215" s="1321"/>
      <c r="R215" s="1321"/>
      <c r="S215" s="1321"/>
      <c r="T215" s="1321"/>
      <c r="U215" s="1321"/>
      <c r="V215" s="1321"/>
      <c r="W215" s="1321"/>
      <c r="X215" s="1321"/>
      <c r="Y215" s="1321"/>
      <c r="Z215" s="1321"/>
      <c r="AA215" s="1321"/>
      <c r="AB215" s="1321"/>
      <c r="AC215" s="1321"/>
      <c r="AD215" s="1321"/>
      <c r="AE215" s="1321"/>
      <c r="AF215" s="1321"/>
      <c r="AG215" s="1321"/>
      <c r="AH215" s="1321"/>
      <c r="AI215" s="1321"/>
      <c r="AJ215" s="1321"/>
      <c r="AK215" s="1321"/>
      <c r="AL215" s="1321"/>
      <c r="AM215" s="1321"/>
      <c r="AN215" s="1321"/>
      <c r="AO215" s="1321"/>
      <c r="AP215" s="1321"/>
      <c r="AQ215" s="1321"/>
      <c r="AR215" s="1321"/>
      <c r="AS215" s="1321"/>
      <c r="AT215" s="1321"/>
      <c r="AU215" s="1321"/>
      <c r="AV215" s="1321"/>
      <c r="AW215" s="1321"/>
      <c r="AX215" s="1321"/>
      <c r="AY215" s="1321"/>
      <c r="AZ215" s="1321"/>
      <c r="BA215" s="1321"/>
      <c r="BB215" s="1075" t="s">
        <v>725</v>
      </c>
      <c r="BC215" s="1269">
        <f t="array" ref="BC215">IF(Ration_complète_bovins[somme]&gt;0,0,IFERROR(IF(OR(AND(INDEX(Règles_bovins[Specificite],MATCH(ChoixRationBovins&amp;$BB215,Règles_bovins[Ration]&amp;Règles_bovins[Aliment],0))="s1",IF($BB215=Spécificité1Bovins,1)),
AND(INDEX(Règles_bovins[Specificite],MATCH(ChoixRationBovins&amp;$BB215,Règles_bovins[Ration]&amp;Règles_bovins[Aliment],0))="s2",IF($BB215=Spécificité2Bovins,1)),
INDEX(Règles_bovins[Specificite],MATCH(ChoixRationBovins&amp;$BB215,Règles_bovins[Ration]&amp;Règles_bovins[Aliment],0))="c"),
INDEX(Règles_bovins[Valeur 36 et plus],MATCH(ChoixRationBovins&amp;$BB215,Règles_bovins[Ration]&amp;Règles_bovins[Aliment],0)),0),0)*IF(ChoixBovinsPréHiver=OUI,TotalTaureauxRacesLaitières,TotalTaureaux*SUM(NbreJoursNourrirBovins)))</f>
        <v>0</v>
      </c>
      <c r="BD215" s="1269">
        <f t="array" ref="BD215">IF(Ration_complète_bovins[somme]&gt;0,0,IFERROR(IF(OR(AND(INDEX(Règles_bovins[Specificite],MATCH(ChoixRationBovins&amp;$BB215,Règles_bovins[Ration]&amp;Règles_bovins[Aliment],0))="s1",IF($BB215=Spécificité1Bovins,1)),
AND(INDEX(Règles_bovins[Specificite],MATCH(ChoixRationBovins&amp;$BB215,Règles_bovins[Ration]&amp;Règles_bovins[Aliment],0))="s2",IF($BB215=Spécificité2Bovins,1)),
INDEX(Règles_bovins[Specificite],MATCH(ChoixRationBovins&amp;$BB215,Règles_bovins[Ration]&amp;Règles_bovins[Aliment],0))="c"),
INDEX(Règles_bovins[Valeur 24-36],MATCH(ChoixRationBovins&amp;$BB215,Règles_bovins[Ration]&amp;Règles_bovins[Aliment],0)),0),0)*IF(ChoixBovinsPréHiver=OUI,TotalTaurillon_24_36_RacesLaitières,TotalBovinsMâles_24_36mois*SUM(NbreJoursNourrirBovins)))</f>
        <v>0</v>
      </c>
      <c r="BE215" s="1269">
        <f t="array" ref="BE215">IF(Ration_complète_bovins[somme]&gt;0,0,IFERROR(IF(OR(AND(INDEX(Règles_bovins[Specificite],MATCH(ChoixRationBovins&amp;$BB215,Règles_bovins[Ration]&amp;Règles_bovins[Aliment],0))="s1",IF($BB215=Spécificité1Bovins,1)),
AND(INDEX(Règles_bovins[Specificite],MATCH(ChoixRationBovins&amp;$BB215,Règles_bovins[Ration]&amp;Règles_bovins[Aliment],0))="s2",IF($BB215=Spécificité2Bovins,1)),
INDEX(Règles_bovins[Specificite],MATCH(ChoixRationBovins&amp;$BB215,Règles_bovins[Ration]&amp;Règles_bovins[Aliment],0))="c"),
INDEX(Règles_bovins[Valeur 18-24],MATCH(ChoixRationBovins&amp;$BB215,Règles_bovins[Ration]&amp;Règles_bovins[Aliment],0)),0),0)*IF(ChoixBovinsPréHiver=OUI,TotalTaurillon_18_24_RacesLaitières,TotalBovinsMâles_18_24mois*SUM(NbreJoursNourrirBovins)))</f>
        <v>0</v>
      </c>
      <c r="BF215" s="1269">
        <f t="array" ref="BF215">IF(Ration_complète_bovins[somme]&gt;0,0,IFERROR(IF(OR(AND(INDEX(Règles_bovins[Specificite],MATCH(ChoixRationBovins&amp;$BB215,Règles_bovins[Ration]&amp;Règles_bovins[Aliment],0))="s1",IF($BB215=Spécificité1Bovins,1)),
AND(INDEX(Règles_bovins[Specificite],MATCH(ChoixRationBovins&amp;$BB215,Règles_bovins[Ration]&amp;Règles_bovins[Aliment],0))="s2",IF($BB215=Spécificité2Bovins,1)),
INDEX(Règles_bovins[Specificite],MATCH(ChoixRationBovins&amp;$BB215,Règles_bovins[Ration]&amp;Règles_bovins[Aliment],0))="c"),
INDEX(Règles_bovins[Valeur 12-18],MATCH(ChoixRationBovins&amp;$BB215,Règles_bovins[Ration]&amp;Règles_bovins[Aliment],0)),0),0)*IF(ChoixBovinsPréHiver=OUI,animaux!D38,TotalBovinsMâles_12_18mois*SUM(NbreJoursNourrirBovins)))</f>
        <v>0</v>
      </c>
      <c r="BG215" s="1269">
        <f t="array" ref="BG215">IF(Ration_complète_bovins[somme]&gt;0,0,IFERROR(IF(OR(AND(INDEX(Règles_bovins[Specificite],MATCH(ChoixRationBovins&amp;$BB215,Règles_bovins[Ration]&amp;Règles_bovins[Aliment],0))="s1",IF($BB215=Spécificité1Bovins,1)),
AND(INDEX(Règles_bovins[Specificite],MATCH(ChoixRationBovins&amp;$BB215,Règles_bovins[Ration]&amp;Règles_bovins[Aliment],0))="s2",IF($BB215=Spécificité2Bovins,1)),
INDEX(Règles_bovins[Specificite],MATCH(ChoixRationBovins&amp;$BB215,Règles_bovins[Ration]&amp;Règles_bovins[Aliment],0))="c"),
INDEX(Règles_bovins[Valeur 6-12],MATCH(ChoixRationBovins&amp;$BB215,Règles_bovins[Ration]&amp;Règles_bovins[Aliment],0)),0),0)*IF(ChoixBovinsPréHiver=OUI,TotalVeauMâle_6_12_RacesLaitières,TotalBovinsMâles_6_12mois*SUM(NbreJoursNourrirBovins)))</f>
        <v>0</v>
      </c>
      <c r="BH215" s="1269">
        <f t="array" ref="BH215">IF(Ration_complète_bovins[somme]&gt;0,0,IFERROR(IF(OR(AND(INDEX(Règles_bovins[Specificite],MATCH(ChoixRationBovins&amp;$BB215,Règles_bovins[Ration]&amp;Règles_bovins[Aliment],0))="s1",IF($BB215=Spécificité1Bovins,1)),
AND(INDEX(Règles_bovins[Specificite],MATCH(ChoixRationBovins&amp;$BB215,Règles_bovins[Ration]&amp;Règles_bovins[Aliment],0))="s2",IF($BB215=Spécificité2Bovins,1)),
INDEX(Règles_bovins[Specificite],MATCH(ChoixRationBovins&amp;$BB215,Règles_bovins[Ration]&amp;Règles_bovins[Aliment],0))="c"),
INDEX(Règles_bovins[Valeur 3-6],MATCH(ChoixRationBovins&amp;$BB215,Règles_bovins[Ration]&amp;Règles_bovins[Aliment],0)),0),0)*IF(ChoixBovinsPréHiver=OUI,TotalVeauMâle_3_6_RacesLaitières,TotalBovinsMâles_3_6mois*SUM(NbreJoursNourrirBovins)))</f>
        <v>0</v>
      </c>
      <c r="BI215" s="1269">
        <f t="array" ref="BI215">IF(Ration_complète_bovins[somme]&gt;0,0,IFERROR(IF(OR(AND(INDEX(Règles_bovins[Specificite],MATCH(ChoixRationBovins&amp;$BB215,Règles_bovins[Ration]&amp;Règles_bovins[Aliment],0))="s1",IF($BB215=Spécificité1Bovins,1)),
AND(INDEX(Règles_bovins[Specificite],MATCH(ChoixRationBovins&amp;$BB215,Règles_bovins[Ration]&amp;Règles_bovins[Aliment],0))="s2",IF($BB215=Spécificité2Bovins,1)),
INDEX(Règles_bovins[Specificite],MATCH(ChoixRationBovins&amp;$BB215,Règles_bovins[Ration]&amp;Règles_bovins[Aliment],0))="c"),
INDEX(Règles_bovins[Valeur 0-3],MATCH(ChoixRationBovins&amp;$BB215,Règles_bovins[Ration]&amp;Règles_bovins[Aliment],0)),0),0)*IF(ChoixBovinsPréHiver=OUI,TotalVeauMâle_0_3_RacesLaitières,TotalBovinsMâles_0_3mois*SUM(NbreJoursNourrirBovins)))</f>
        <v>0</v>
      </c>
      <c r="BJ215" s="1270">
        <f t="shared" si="69"/>
        <v>0</v>
      </c>
      <c r="BK215" s="1321"/>
      <c r="BL215" s="1321"/>
      <c r="BM215" s="1346"/>
      <c r="BN215" s="1321"/>
      <c r="BO215" s="1321"/>
      <c r="BP215" s="1321"/>
      <c r="BQ215" s="1321"/>
      <c r="BR215" s="1321"/>
      <c r="BS215" s="1321"/>
      <c r="BT215" s="1321"/>
      <c r="BU215" s="1321"/>
      <c r="BV215" s="1345"/>
      <c r="BW215" s="1345"/>
      <c r="BX215" s="1075" t="str">
        <f t="shared" si="70"/>
        <v>Minéraux + vitamines</v>
      </c>
      <c r="BY215" s="1269">
        <f t="array" ref="BY215">SUM((IF(QualitéAlimentsChevreau_0_3_mois=BONNE,VLOOKUP("Minéraux + vitamines",AlimentsRationCaprinsMâles,5,FALSE),0)+(IF(QualitéAlimentsChevrette_0_3_mois=BONNE,VLOOKUP("Minéraux + vitamines",AlimentsRationCaprinsFemelles,5,FALSE),0)+(IF(QualitéAlimentsChevreau_3_6_mois=BONNE,VLOOKUP("Minéraux + vitamines",AlimentsRationCaprinsMâles,4,FALSE),0)+(IF(QualitéAlimentsChevrette_3_6_mois=BONNE,VLOOKUP("Minéraux + vitamines",AlimentsRationCaprinsFemelles,4,FALSE),0)+(IF(QualitéAlimentsJeuneBouc=BONNE,VLOOKUP("Minéraux + vitamines",AlimentsRationCaprinsMâles,3,FALSE),0)+(IF(QualitéAlimentsJeuneChèvre=BONNE,VLOOKUP("Minéraux + vitamines",AlimentsRationCaprinsFemelles,3,FALSE),0)+(IF(QualitéAlimentsBouc=BONNE,VLOOKUP("Minéraux + vitamines",AlimentsRationCaprinsMâles,2,FALSE),0)+(IF(QualitéAlimentsChèvre=BONNE,VLOOKUP("Minéraux + vitamines",AlimentsRationCaprinsFemelles,2,FALSE),0))))))))))</f>
        <v>0</v>
      </c>
      <c r="BZ215" s="1269">
        <f t="array" ref="BZ215">SUM((IF(QualitéAlimentsChevreau_0_3_mois=MOYENNE,VLOOKUP("Minéraux + vitamines",AlimentsRationCaprinsMâles,5,FALSE),0)+(IF(QualitéAlimentsChevrette_0_3_mois=MOYENNE,VLOOKUP("Minéraux + vitamines",AlimentsRationCaprinsFemelles,5,FALSE),0)+(IF(QualitéAlimentsChevreau_3_6_mois=MOYENNE,VLOOKUP("Minéraux + vitamines",AlimentsRationCaprinsMâles,4,FALSE),0)+(IF(QualitéAlimentsChevrette_3_6_mois=MOYENNE,VLOOKUP("Minéraux + vitamines",AlimentsRationCaprinsFemelles,4,FALSE),0)+(IF(QualitéAlimentsJeuneBouc=MOYENNE,VLOOKUP("Minéraux + vitamines",AlimentsRationCaprinsMâles,3,FALSE),0)+(IF(QualitéAlimentsJeuneChèvre=MOYENNE,VLOOKUP("Minéraux + vitamines",AlimentsRationCaprinsFemelles,3,FALSE),0)+(IF(QualitéAlimentsBouc=MOYENNE,VLOOKUP("Minéraux + vitamines",AlimentsRationCaprinsMâles,2,FALSE),0)+(IF(QualitéAlimentsChèvre=MOYENNE,VLOOKUP("Minéraux + vitamines",AlimentsRationCaprinsFemelles,2,FALSE),0))))))))))</f>
        <v>0</v>
      </c>
      <c r="CA215" s="1269">
        <f t="array" ref="CA215">SUM((IF(QualitéAlimentsChevreau_0_3_mois=MAUVAISE,VLOOKUP("Minéraux + vitamines",AlimentsRationCaprinsMâles,5,FALSE),0)+(IF(QualitéAlimentsChevrette_0_3_mois=MAUVAISE,VLOOKUP("Minéraux + vitamines",AlimentsRationCaprinsFemelles,5,FALSE),0)+(IF(QualitéAlimentsChevreau_3_6_mois=MAUVAISE,VLOOKUP("Minéraux + vitamines",AlimentsRationCaprinsMâles,4,FALSE),0)+(IF(QualitéAlimentsChevrette_3_6_mois=MAUVAISE,VLOOKUP("Minéraux + vitamines",AlimentsRationCaprinsFemelles,4,FALSE),0)+(IF(QualitéAlimentsJeuneBouc=MAUVAISE,VLOOKUP("Minéraux + vitamines",AlimentsRationCaprinsMâles,3,FALSE),0)+(IF(QualitéAlimentsJeuneChèvre=MAUVAISE,VLOOKUP("Minéraux + vitamines",AlimentsRationCaprinsFemelles,3,FALSE),0)+(IF(QualitéAlimentsBouc=MAUVAISE,VLOOKUP("Minéraux + vitamines",AlimentsRationCaprinsMâles,2,FALSE),0)+(IF(QualitéAlimentsChèvre=MAUVAISE,VLOOKUP("Minéraux + vitamines",AlimentsRationCaprinsFemelles,2,FALSE),0))))))))))</f>
        <v>0</v>
      </c>
      <c r="CB215" s="1321"/>
      <c r="CC215" s="1321"/>
      <c r="CD215" s="1345"/>
      <c r="CE215" s="1345"/>
      <c r="CF215" s="1345"/>
      <c r="CG215" s="1345"/>
      <c r="CH215" s="1345"/>
      <c r="CI215" s="1321"/>
      <c r="CJ215" s="1321"/>
      <c r="CK215" s="1321"/>
      <c r="CL215" s="1321"/>
      <c r="CM215" s="1321"/>
      <c r="CN215" s="1321"/>
      <c r="CO215" s="1321"/>
      <c r="CP215" s="1321"/>
      <c r="CQ215" s="1321"/>
      <c r="CR215" s="1321"/>
      <c r="CS215" s="1321"/>
      <c r="CT215" s="1321"/>
      <c r="CU215" s="1321"/>
      <c r="CV215" s="1321"/>
      <c r="CW215" s="1321"/>
      <c r="CX215" s="1321"/>
      <c r="CY215" s="1321"/>
      <c r="CZ215" s="1321"/>
      <c r="DA215" s="1321"/>
      <c r="DB215" s="1321"/>
      <c r="DC215" s="1321"/>
      <c r="DD215" s="1321"/>
      <c r="DE215" s="1321"/>
      <c r="DF215" s="1321"/>
      <c r="DG215" s="1321"/>
      <c r="DH215" s="1321"/>
      <c r="DI215" s="1321"/>
      <c r="DJ215" s="1321"/>
      <c r="DK215" s="1321"/>
      <c r="DL215" s="1321"/>
      <c r="DM215" s="1321"/>
      <c r="DN215" s="1075" t="str">
        <f t="shared" si="68"/>
        <v>Pomme de terre</v>
      </c>
      <c r="DO215" s="1269">
        <f t="array" ref="DO215">IF(ChoixRationComplèteOvins=OUI,0,IFERROR(IF(OR(AND(INDEX(Règles_ovins[Specificite],MATCH(ChoixRationOvins&amp;$DN215,Règles_ovins[Ration]&amp;Règles_ovins[Aliment],0))="s1",IF($DN215=Spécificité1Ovins,1)),
AND(INDEX(Règles_ovins[Specificite],MATCH(ChoixRationOvins&amp;$DN215,Règles_ovins[Ration]&amp;Règles_ovins[Aliment],0))="s2",IF($DN215=Spécificité2Ovins,1)),
INDEX(Règles_ovins[Specificite],MATCH(ChoixRationOvins&amp;$DN215,Règles_ovins[Ration]&amp;Règles_ovins[Aliment],0))="c"),
INDEX(Règles_ovins[Valeur 12 et plus],MATCH(ChoixRationOvins&amp;$DN215,Règles_ovins[Ration]&amp;Règles_ovins[Aliment],0)),0),0)*IF(ChoixOvinsPréHiver=OUI,SUM(TotalOvinsAdultesRacesLaitières)*NbreJoursNourrirOvins,TotalBrebis*SUM(NbreJoursNourrirOvins)))</f>
        <v>0</v>
      </c>
      <c r="DP215" s="1269">
        <f t="array" ref="DP215">IF(ChoixRationComplèteOvins=OUI,0,IFERROR(IF(OR(AND(INDEX(Règles_ovins[Specificite],MATCH(ChoixRationOvins&amp;$DN215,Règles_ovins[Ration]&amp;Règles_ovins[Aliment],0))="s1",IF($DN215=Spécificité1Ovins,1)),
AND(INDEX(Règles_ovins[Specificite],MATCH(ChoixRationOvins&amp;$DN215,Règles_ovins[Ration]&amp;Règles_ovins[Aliment],0))="s2",IF($DN215=Spécificité2Ovins,1)),
INDEX(Règles_ovins[Specificite],MATCH(ChoixRationOvins&amp;$DN215,Règles_ovins[Ration]&amp;Règles_ovins[Aliment],0))="c"),
INDEX(Règles_ovins[Valeur 6-12],MATCH(ChoixRationOvins&amp;$DN215,Règles_ovins[Ration]&amp;Règles_ovins[Aliment],0)),0),0)*IF(ChoixOvinsPréHiver=OUI,SUM(TotalJeunesOvinsRacesLaitières)*NbreJoursNourrirOvins,TotalJeune_brebis_6_12_mois*SUM(NbreJoursNourrirOvins)))</f>
        <v>0</v>
      </c>
      <c r="DQ215" s="1269">
        <f t="array" ref="DQ215">IF(ChoixRationComplèteOvins=OUI,0,IFERROR(IF(OR(AND(INDEX(Règles_ovins[Specificite],MATCH(ChoixRationOvins&amp;$DN215,Règles_ovins[Ration]&amp;Règles_ovins[Aliment],0))="s1",IF($DN215=Spécificité1Ovins,1)),
AND(INDEX(Règles_ovins[Specificite],MATCH(ChoixRationOvins&amp;$DN215,Règles_ovins[Ration]&amp;Règles_ovins[Aliment],0))="s2",IF($DN215=Spécificité2Ovins,1)),
INDEX(Règles_ovins[Specificite],MATCH(ChoixRationOvins&amp;$DN215,Règles_ovins[Ration]&amp;Règles_ovins[Aliment],0))="c"),
INDEX(Règles_ovins[Valeur 3-6],MATCH(ChoixRationOvins&amp;$DN215,Règles_ovins[Ration]&amp;Règles_ovins[Aliment],0)),0),0)*IF(ChoixOvinsPréHiver=OUI,SUM(TotalOvins_3_6moisRacesLaitières)*NbreJoursNourrirOvins,TotalAgnelle_3_6_mois*SUM(NbreJoursNourrirOvins)))</f>
        <v>0</v>
      </c>
      <c r="DR215" s="1269">
        <f t="array" ref="DR215">IF(ChoixRationComplèteOvins=OUI,0,IFERROR(IF(OR(AND(INDEX(Règles_ovins[Specificite],MATCH(ChoixRationOvins&amp;$DN215,Règles_ovins[Ration]&amp;Règles_ovins[Aliment],0))="s1",IF($DN215=Spécificité1Ovins,1)),
AND(INDEX(Règles_ovins[Specificite],MATCH(ChoixRationOvins&amp;$DN215,Règles_ovins[Ration]&amp;Règles_ovins[Aliment],0))="s2",IF($DN215=Spécificité2Ovins,1)),
INDEX(Règles_ovins[Specificite],MATCH(ChoixRationOvins&amp;$DN215,Règles_ovins[Ration]&amp;Règles_ovins[Aliment],0))="c"),
INDEX(Règles_ovins[Valeur 0-3],MATCH(ChoixRationOvins&amp;$DN215,Règles_ovins[Ration]&amp;Règles_ovins[Aliment],0)),0),0)*IF(ChoixOvinsPréHiver=OUI,SUM(TotalOvins_3_6moisRacesLaitières)*NbreJoursNourrirOvins,TotalAgnelle_0_3_mois*SUM(NbreJoursNourrirOvins)))</f>
        <v>0</v>
      </c>
      <c r="DS215" s="1280">
        <f t="shared" si="67"/>
        <v>0</v>
      </c>
      <c r="DT215" s="1346"/>
      <c r="DU215" s="1346"/>
      <c r="DV215" s="1321"/>
      <c r="DW215" s="1321"/>
      <c r="DX215" s="1321"/>
      <c r="DY215" s="1321"/>
      <c r="DZ215" s="1321"/>
      <c r="EA215" s="1321"/>
      <c r="EB215" s="1321"/>
      <c r="EC215" s="1321"/>
      <c r="ED215" s="1345"/>
      <c r="EE215" s="1345"/>
      <c r="EF215" s="1321"/>
      <c r="EG215" s="1321"/>
      <c r="EH215" s="1321"/>
      <c r="EI215" s="1321"/>
      <c r="EJ215" s="1321"/>
      <c r="EK215" s="1345"/>
      <c r="EL215" s="1345"/>
      <c r="EM215" s="1321"/>
      <c r="EN215" s="1321"/>
      <c r="EO215" s="1321"/>
      <c r="EP215" s="1321"/>
      <c r="EQ215" s="1321"/>
      <c r="ER215" s="1345"/>
      <c r="ES215" s="1345"/>
      <c r="ET215" s="1321"/>
      <c r="EU215" s="1082" t="str">
        <f t="shared" si="73"/>
        <v>Epinard</v>
      </c>
      <c r="EV215" s="1282">
        <f t="array" ref="EV215">SUM((IF(QualitéAlimentsPoulainSelleMâle=BONNE,VLOOKUP("Epinard",AlimentsRationEcurieChevauxMâlesSelle,5,FALSE),0)+(IF(QualitéAlimentsPoulainSelleFemelle=BONNE,VLOOKUP("Epinard",AlimentsRationEcurieChevauxFemellesSelle,5,FALSE),0)+(IF(QualitéAlimentsJeuneEtalon_12_24_moisSelle=BONNE,VLOOKUP("Epinard",AlimentsRationEcurieChevauxMâlesSelle,4,FALSE),0)+(IF(QualitéAlimentsJeuneJument_12_24_moisSelle=BONNE,VLOOKUP("Epinard",AlimentsRationEcurieChevauxFemellesSelle,4,FALSE),0)+(IF(QualitéAlimentsJeuneEtalon_24_36_moisSelle=BONNE,VLOOKUP("Epinard",AlimentsRationEcurieChevauxMâlesSelle,3,FALSE),0)+(IF(QualitéAlimentsJeuneJument_24_36_moisSelle=BONNE,VLOOKUP("Epinard",AlimentsRationEcurieChevauxFemellesSelle,3,FALSE),0)+(IF(QualitéAlimentsEtalonSelle=BONNE,VLOOKUP("Epinard",AlimentsRationEcurieChevauxMâlesSelle,2,FALSE),0)+(IF(QualitéAlimentsJumentSelle=BONNE,VLOOKUP("Epinard",AlimentsRationEcurieChevauxFemellesSelle,2,FALSE),0))))))))))</f>
        <v>0</v>
      </c>
      <c r="EW215" s="1282">
        <f t="array" ref="EW215">SUM((IF(QualitéAlimentsPoulainSelleMâle=MOYENNE,VLOOKUP("Epinard",AlimentsRationEcurieChevauxMâlesSelle,5,FALSE),0)+(IF(QualitéAlimentsPoulainSelleFemelle=MOYENNE,VLOOKUP("Epinard",AlimentsRationEcurieChevauxFemellesSelle,5,FALSE),0)+(IF(QualitéAlimentsJeuneEtalon_12_24_moisSelle=MOYENNE,VLOOKUP("Epinard",AlimentsRationEcurieChevauxMâlesSelle,4,FALSE),0)+(IF(QualitéAlimentsJeuneJument_12_24_moisSelle=MOYENNE,VLOOKUP("Epinard",AlimentsRationEcurieChevauxFemellesSelle,4,FALSE),0)+(IF(QualitéAlimentsJeuneEtalon_24_36_moisSelle=MOYENNE,VLOOKUP("Epinard",AlimentsRationEcurieChevauxMâlesSelle,3,FALSE),0)+(IF(QualitéAlimentsJeuneJument_24_36_moisSelle=MOYENNE,VLOOKUP("Epinard",AlimentsRationEcurieChevauxFemellesSelle,3,FALSE),0)+(IF(QualitéAlimentsEtalonSelle=MOYENNE,VLOOKUP("Epinard",AlimentsRationEcurieChevauxMâlesSelle,2,FALSE),0)+(IF(QualitéAlimentsJumentSelle=MOYENNE,VLOOKUP("Epinard",AlimentsRationEcurieChevauxFemellesSelle,2,FALSE),0))))))))))</f>
        <v>0</v>
      </c>
      <c r="EX215" s="1282">
        <f t="array" ref="EX215">SUM((IF(QualitéAlimentsPoulainSelleMâle=MAUVAISE,VLOOKUP("Epinard",AlimentsRationEcurieChevauxMâlesSelle,5,FALSE),0)+(IF(QualitéAlimentsPoulainSelleFemelle=MAUVAISE,VLOOKUP("Epinard",AlimentsRationEcurieChevauxFemellesSelle,5,FALSE),0)+(IF(QualitéAlimentsJeuneEtalon_12_24_moisSelle=MAUVAISE,VLOOKUP("Epinard",AlimentsRationEcurieChevauxMâlesSelle,4,FALSE),0)+(IF(QualitéAlimentsJeuneJument_12_24_moisSelle=MAUVAISE,VLOOKUP("Epinard",AlimentsRationEcurieChevauxFemellesSelle,4,FALSE),0)+(IF(QualitéAlimentsJeuneEtalon_24_36_moisSelle=MAUVAISE,VLOOKUP("Epinard",AlimentsRationEcurieChevauxMâlesSelle,3,FALSE),0)+(IF(QualitéAlimentsJeuneJument_24_36_moisSelle=MAUVAISE,VLOOKUP("Epinard",AlimentsRationEcurieChevauxFemellesSelle,3,FALSE),0)+(IF(QualitéAlimentsEtalonSelle=MAUVAISE,VLOOKUP("Epinard",AlimentsRationEcurieChevauxMâlesSelle,2,FALSE),0)+(IF(QualitéAlimentsJumentSelle=MAUVAISE,VLOOKUP("Epinard",AlimentsRationEcurieChevauxFemellesSelle,2,FALSE),0))))))))))</f>
        <v>0</v>
      </c>
      <c r="EY215" s="1321"/>
      <c r="EZ215" s="1345"/>
      <c r="FA215" s="1345"/>
      <c r="FB215" s="1345"/>
      <c r="FC215" s="1321"/>
      <c r="FD215" s="1083" t="str">
        <f t="shared" si="72"/>
        <v>Maïs ensilé</v>
      </c>
      <c r="FE215" s="1283">
        <f t="array" ref="FE215">SUM((IF(QualitéAlimentsPoulainMâleTrait=BONNE,VLOOKUP("Maïs ensilé",AlimentsRationEcurieChevauxMâlesTrait,5,FALSE),0)+(IF(QualitéAlimentsPoulainFemelleTrait=BONNE,VLOOKUP("Maïs ensilé",AlimentsRationEcurieChevauxFemellesTrait,5,FALSE),0)+(IF(QualitéAlimentsJeuneEtalon_12_24_moisTrait=BONNE,VLOOKUP("Maïs ensilé",AlimentsRationEcurieChevauxMâlesTrait,4,FALSE),0)+(IF(QualitéAlimentsJeuneJument_12_24_moisTrait=BONNE,VLOOKUP("Maïs ensilé",AlimentsRationEcurieChevauxFemellesTrait,4,FALSE),0)+(IF(QualitéAlimentsJeuneEtalon_24_36_moisTrait=BONNE,VLOOKUP("Maïs ensilé",AlimentsRationEcurieChevauxMâlesTrait,3,FALSE),0)+(IF(QualitéAlimentsJeuneJument_24_36_moisTrait=BONNE,VLOOKUP("Maïs ensilé",AlimentsRationEcurieChevauxFemellesTrait,3,FALSE),0)+(IF(QualitéAlimentsEtalonTrait=BONNE,VLOOKUP("Maïs ensilé",AlimentsRationEcurieChevauxMâlesTrait,2,FALSE),0)+(IF(QualitéAlimentsJumentTrait=BONNE,VLOOKUP("Maïs ensilé",AlimentsRationEcurieChevauxFemellesTrait,2,FALSE),0))))))))))</f>
        <v>0</v>
      </c>
      <c r="FF215" s="1283">
        <f t="array" ref="FF215">SUM((IF(QualitéAlimentsPoulainMâleTrait=MOYENNE,VLOOKUP("Maïs ensilé",AlimentsRationEcurieChevauxMâlesTrait,5,FALSE),0)+(IF(QualitéAlimentsPoulainFemelleTrait=MOYENNE,VLOOKUP("Maïs ensilé",AlimentsRationEcurieChevauxFemellesTrait,5,FALSE),0)+(IF(QualitéAlimentsJeuneEtalon_12_24_moisTrait=MOYENNE,VLOOKUP("Maïs ensilé",AlimentsRationEcurieChevauxMâlesTrait,4,FALSE),0)+(IF(QualitéAlimentsJeuneJument_12_24_moisTrait=MOYENNE,VLOOKUP("Maïs ensilé",AlimentsRationEcurieChevauxFemellesTrait,4,FALSE),0)+(IF(QualitéAlimentsJeuneEtalon_24_36_moisTrait=MOYENNE,VLOOKUP("Maïs ensilé",AlimentsRationEcurieChevauxMâlesTrait,3,FALSE),0)+(IF(QualitéAlimentsJeuneJument_24_36_moisTrait=MOYENNE,VLOOKUP("Maïs ensilé",AlimentsRationEcurieChevauxFemellesTrait,3,FALSE),0)+(IF(QualitéAlimentsEtalonTrait=MOYENNE,VLOOKUP("Maïs ensilé",AlimentsRationEcurieChevauxMâlesTrait,2,FALSE),0)+(IF(QualitéAlimentsJumentTrait=MOYENNE,VLOOKUP("Maïs ensilé",AlimentsRationEcurieChevauxFemellesTrait,2,FALSE),0))))))))))</f>
        <v>0</v>
      </c>
      <c r="FG215" s="1283">
        <f t="array" ref="FG215">SUM((IF(QualitéAlimentsPoulainMâleTrait=MAUVAISE,VLOOKUP("Maïs ensilé",AlimentsRationEcurieChevauxMâlesTrait,5,FALSE),0)+(IF(QualitéAlimentsPoulainFemelleTrait=MAUVAISE,VLOOKUP("Maïs ensilé",AlimentsRationEcurieChevauxFemellesTrait,5,FALSE),0)+(IF(QualitéAlimentsJeuneEtalon_12_24_moisTrait=MAUVAISE,VLOOKUP("Maïs ensilé",AlimentsRationEcurieChevauxMâlesTrait,4,FALSE),0)+(IF(QualitéAlimentsJeuneJument_12_24_moisTrait=MAUVAISE,VLOOKUP("Maïs ensilé",AlimentsRationEcurieChevauxFemellesTrait,4,FALSE),0)+(IF(QualitéAlimentsJeuneEtalon_24_36_moisTrait=MAUVAISE,VLOOKUP("Maïs ensilé",AlimentsRationEcurieChevauxMâlesTrait,3,FALSE),0)+(IF(QualitéAlimentsJeuneJument_24_36_moisTrait=MAUVAISE,VLOOKUP("Maïs ensilé",AlimentsRationEcurieChevauxFemellesTrait,3,FALSE),0)+(IF(QualitéAlimentsEtalonTrait=MAUVAISE,VLOOKUP("Maïs ensilé",AlimentsRationEcurieChevauxMâlesTrait,2,FALSE),0)+(IF(QualitéAlimentsJumentTrait=MAUVAISE,VLOOKUP("Maïs ensilé",AlimentsRationEcurieChevauxFemellesTrait,2,FALSE),0))))))))))</f>
        <v>0</v>
      </c>
      <c r="FH215" s="1321"/>
      <c r="FI215" s="1321"/>
      <c r="FJ215" s="1345"/>
      <c r="FK215" s="1345"/>
      <c r="FL215" s="1345"/>
      <c r="FM215" s="1321"/>
      <c r="FN215" s="1082" t="str">
        <f t="shared" si="71"/>
        <v>Maïs grain</v>
      </c>
      <c r="FO215" s="1282">
        <f t="array" ref="FO215">SUM((IF(QualitéAlimentsPoulainMâlePoney=BONNE,VLOOKUP("Maïs grain",AlimentsRationEcuriePoneysMâles,5,FALSE),0)+(IF(QualitéAlimentsPoulainFemellePoney=BONNE,VLOOKUP("Maïs grain",AlimentsRationEcuriePoneysFemelles,5,FALSE),0)+(IF(QualitéAlimentsJeuneEtalon_12_24_moisPoney=BONNE,VLOOKUP("Maïs grain",AlimentsRationEcuriePoneysMâles,4,FALSE),0)+(IF(QualitéAlimentsJeuneJument_12_24_moisPoney=BONNE,VLOOKUP("Maïs grain",AlimentsRationEcuriePoneysFemelles,4,FALSE),0)+(IF(QualitéAlimentsJeuneEtalon_24_36_moisPoney=BONNE,VLOOKUP("Maïs grain",AlimentsRationEcuriePoneysMâles,3,FALSE),0)+(IF(QualitéAlimentsJeuneJument_24_36_moisPoney=BONNE,VLOOKUP("Maïs grain",AlimentsRationEcuriePoneysFemelles,3,FALSE),0)+(IF(QualitéAlimentsEtalonPoney=BONNE,VLOOKUP("Maïs grain",AlimentsRationEcuriePoneysMâles,2,FALSE),0)+(IF(QualitéAlimentsJumentPoney=BONNE,VLOOKUP("Maïs grain",AlimentsRationEcuriePoneysFemelles,2,FALSE),0))))))))))</f>
        <v>0</v>
      </c>
      <c r="FP215" s="1282">
        <f t="array" ref="FP215">SUM((IF(QualitéAlimentsPoulainMâlePoney=MOYENNE,VLOOKUP("Maïs grain",AlimentsRationEcuriePoneysMâles,5,FALSE),0)+(IF(QualitéAlimentsPoulainFemellePoney=MOYENNE,VLOOKUP("Maïs grain",AlimentsRationEcuriePoneysFemelles,5,FALSE),0)+(IF(QualitéAlimentsJeuneEtalon_12_24_moisPoney=MOYENNE,VLOOKUP("Maïs grain",AlimentsRationEcuriePoneysMâles,4,FALSE),0)+(IF(QualitéAlimentsJeuneJument_12_24_moisPoney=MOYENNE,VLOOKUP("Maïs grain",AlimentsRationEcuriePoneysFemelles,4,FALSE),0)+(IF(QualitéAlimentsJeuneEtalon_24_36_moisPoney=MOYENNE,VLOOKUP("Maïs grain",AlimentsRationEcuriePoneysMâles,3,FALSE),0)+(IF(QualitéAlimentsJeuneJument_24_36_moisPoney=MOYENNE,VLOOKUP("Maïs grain",AlimentsRationEcuriePoneysFemelles,3,FALSE),0)+(IF(QualitéAlimentsEtalonPoney=MOYENNE,VLOOKUP("Maïs grain",AlimentsRationEcuriePoneysMâles,2,FALSE),0)+(IF(QualitéAlimentsJumentPoney=MOYENNE,VLOOKUP("Maïs grain",AlimentsRationEcuriePoneysFemelles,2,FALSE),0))))))))))</f>
        <v>0</v>
      </c>
      <c r="FQ215" s="1282">
        <f t="array" ref="FQ215">SUM((IF(QualitéAlimentsPoulainMâlePoney=MAUVAISE,VLOOKUP("Maïs grain",AlimentsRationEcuriePoneysMâles,5,FALSE),0)+(IF(QualitéAlimentsPoulainFemellePoney=MAUVAISE,VLOOKUP("Maïs grain",AlimentsRationEcuriePoneysFemelles,5,FALSE),0)+(IF(QualitéAlimentsJeuneEtalon_12_24_moisPoney=MAUVAISE,VLOOKUP("Maïs grain",AlimentsRationEcuriePoneysMâles,4,FALSE),0)+(IF(QualitéAlimentsJeuneJument_12_24_moisPoney=MAUVAISE,VLOOKUP("Maïs grain",AlimentsRationEcuriePoneysFemelles,4,FALSE),0)+(IF(QualitéAlimentsJeuneEtalon_24_36_moisPoney=MAUVAISE,VLOOKUP("Maïs grain",AlimentsRationEcuriePoneysMâles,3,FALSE),0)+(IF(QualitéAlimentsJeuneJument_24_36_moisPoney=MAUVAISE,VLOOKUP("Maïs grain",AlimentsRationEcuriePoneysFemelles,3,FALSE),0)+(IF(QualitéAlimentsEtalonPoney=MAUVAISE,VLOOKUP("Maïs grain",AlimentsRationEcuriePoneysMâles,2,FALSE),0)+(IF(QualitéAlimentsJumentPoney=MAUVAISE,VLOOKUP("Maïs grain",AlimentsRationEcuriePoneysFemelles,2,FALSE),0))))))))))</f>
        <v>0</v>
      </c>
      <c r="FR215" s="1345"/>
      <c r="FS215" s="1345"/>
      <c r="FT215" s="1345"/>
      <c r="FU215" s="1345"/>
      <c r="FV215" s="1345"/>
      <c r="FW215" s="1321"/>
      <c r="FX215" s="1321"/>
      <c r="FY215" s="1321"/>
      <c r="FZ215" s="1321"/>
      <c r="GA215" s="1345"/>
      <c r="GB215" s="1321"/>
      <c r="GC215" s="1321"/>
      <c r="GD215" s="1321"/>
      <c r="GE215" s="1321"/>
      <c r="GF215" s="1321"/>
      <c r="GG215" s="1321" t="s">
        <v>1349</v>
      </c>
      <c r="GH215" s="1321" t="s">
        <v>1349</v>
      </c>
      <c r="GI215" s="1321" t="s">
        <v>1349</v>
      </c>
      <c r="GJ215" s="1321" t="s">
        <v>1349</v>
      </c>
      <c r="GK215" s="1321" t="s">
        <v>1349</v>
      </c>
      <c r="GL215" s="1321" t="s">
        <v>1349</v>
      </c>
      <c r="GM215" s="1321" t="s">
        <v>1349</v>
      </c>
      <c r="GN215" s="1321" t="s">
        <v>1349</v>
      </c>
      <c r="GO215" s="1321" t="s">
        <v>1349</v>
      </c>
      <c r="GP215" s="1321" t="s">
        <v>1349</v>
      </c>
      <c r="GQ215" s="1321" t="s">
        <v>1349</v>
      </c>
      <c r="GR215" s="1321" t="s">
        <v>1349</v>
      </c>
      <c r="GS215" s="1321" t="s">
        <v>1349</v>
      </c>
      <c r="GT215" s="1321" t="s">
        <v>1349</v>
      </c>
      <c r="GU215" s="1321" t="s">
        <v>1349</v>
      </c>
      <c r="GV215" s="1321" t="s">
        <v>1349</v>
      </c>
      <c r="GW215" s="1321"/>
      <c r="GX215" s="1321"/>
      <c r="GY215" s="1321"/>
      <c r="GZ215" s="1321"/>
      <c r="HA215" s="1321"/>
      <c r="HB215" s="1321"/>
      <c r="HC215" s="1321"/>
      <c r="HD215" s="1321"/>
      <c r="HE215" s="1321"/>
      <c r="HF215" s="1321"/>
      <c r="HG215" s="1321"/>
      <c r="HH215" s="1321"/>
      <c r="HI215" s="1321"/>
      <c r="HJ215" s="1321"/>
      <c r="HK215" s="1321"/>
      <c r="HL215" s="1321"/>
      <c r="HM215" s="1321"/>
      <c r="HN215" s="1321"/>
      <c r="HO215" s="1321"/>
      <c r="HP215" s="1321"/>
      <c r="HQ215" s="1321"/>
      <c r="HR215" s="1321"/>
      <c r="HS215" s="1321"/>
      <c r="HT215" s="1321"/>
      <c r="HU215" s="1321"/>
      <c r="HV215" s="1321"/>
      <c r="HW215" s="1321"/>
      <c r="HX215" s="1321"/>
      <c r="HY215" s="1321"/>
      <c r="HZ215" s="1321"/>
      <c r="IA215" s="1321"/>
      <c r="IB215" s="1321"/>
      <c r="IC215" s="1321"/>
      <c r="ID215" s="1321"/>
      <c r="IE215" s="1321"/>
      <c r="IF215" s="1321"/>
      <c r="IG215" s="1321"/>
      <c r="IH215" s="1321"/>
      <c r="II215" s="1321"/>
      <c r="IJ215" s="1321"/>
      <c r="IK215" s="1321"/>
      <c r="IL215" s="1321"/>
      <c r="IM215" s="1321"/>
      <c r="IN215" s="1368"/>
    </row>
    <row r="216" spans="1:248" ht="12.75" customHeight="1" x14ac:dyDescent="0.2">
      <c r="A216" s="1319"/>
      <c r="B216" s="1321"/>
      <c r="C216" s="1321"/>
      <c r="D216" s="1321"/>
      <c r="E216" s="1321"/>
      <c r="F216" s="1321"/>
      <c r="G216" s="1321"/>
      <c r="H216" s="1321"/>
      <c r="I216" s="1321"/>
      <c r="J216" s="1321"/>
      <c r="K216" s="1321"/>
      <c r="L216" s="1321"/>
      <c r="M216" s="1321"/>
      <c r="N216" s="1321"/>
      <c r="O216" s="1321"/>
      <c r="P216" s="1321"/>
      <c r="Q216" s="1321"/>
      <c r="R216" s="1321"/>
      <c r="S216" s="1321"/>
      <c r="T216" s="1321"/>
      <c r="U216" s="1321"/>
      <c r="V216" s="1321"/>
      <c r="W216" s="1321"/>
      <c r="X216" s="1321"/>
      <c r="Y216" s="1321"/>
      <c r="Z216" s="1321"/>
      <c r="AA216" s="1321"/>
      <c r="AB216" s="1321"/>
      <c r="AC216" s="1321"/>
      <c r="AD216" s="1321"/>
      <c r="AE216" s="1321"/>
      <c r="AF216" s="1321"/>
      <c r="AG216" s="1321"/>
      <c r="AH216" s="1321"/>
      <c r="AI216" s="1321"/>
      <c r="AJ216" s="1321"/>
      <c r="AK216" s="1321"/>
      <c r="AL216" s="1321"/>
      <c r="AM216" s="1321"/>
      <c r="AN216" s="1321"/>
      <c r="AO216" s="1321"/>
      <c r="AP216" s="1321"/>
      <c r="AQ216" s="1321"/>
      <c r="AR216" s="1321"/>
      <c r="AS216" s="1321"/>
      <c r="AT216" s="1321"/>
      <c r="AU216" s="1321"/>
      <c r="AV216" s="1321"/>
      <c r="AW216" s="1321"/>
      <c r="AX216" s="1321"/>
      <c r="AY216" s="1321"/>
      <c r="AZ216" s="1321"/>
      <c r="BA216" s="1321"/>
      <c r="BB216" s="1076" t="s">
        <v>297</v>
      </c>
      <c r="BC216" s="1267">
        <f t="array" ref="BC216">IF(Ration_complète_bovins[somme]&gt;0,0,IFERROR(IF(OR(AND(INDEX(Règles_bovins[Specificite],MATCH(ChoixRationBovins&amp;$BB216,Règles_bovins[Ration]&amp;Règles_bovins[Aliment],0))="s1",IF($BB216=Spécificité1Bovins,1)),
AND(INDEX(Règles_bovins[Specificite],MATCH(ChoixRationBovins&amp;$BB216,Règles_bovins[Ration]&amp;Règles_bovins[Aliment],0))="s2",IF($BB216=Spécificité2Bovins,1)),
INDEX(Règles_bovins[Specificite],MATCH(ChoixRationBovins&amp;$BB216,Règles_bovins[Ration]&amp;Règles_bovins[Aliment],0))="c"),
INDEX(Règles_bovins[Valeur 36 et plus],MATCH(ChoixRationBovins&amp;$BB216,Règles_bovins[Ration]&amp;Règles_bovins[Aliment],0)),0),0)*IF(ChoixBovinsPréHiver=OUI,TotalTaureauxRacesLaitières,TotalTaureaux*SUM(NbreJoursNourrirBovins)))</f>
        <v>0</v>
      </c>
      <c r="BD216" s="1267">
        <f t="array" ref="BD216">IF(Ration_complète_bovins[somme]&gt;0,0,IFERROR(IF(OR(AND(INDEX(Règles_bovins[Specificite],MATCH(ChoixRationBovins&amp;$BB216,Règles_bovins[Ration]&amp;Règles_bovins[Aliment],0))="s1",IF($BB216=Spécificité1Bovins,1)),
AND(INDEX(Règles_bovins[Specificite],MATCH(ChoixRationBovins&amp;$BB216,Règles_bovins[Ration]&amp;Règles_bovins[Aliment],0))="s2",IF($BB216=Spécificité2Bovins,1)),
INDEX(Règles_bovins[Specificite],MATCH(ChoixRationBovins&amp;$BB216,Règles_bovins[Ration]&amp;Règles_bovins[Aliment],0))="c"),
INDEX(Règles_bovins[Valeur 24-36],MATCH(ChoixRationBovins&amp;$BB216,Règles_bovins[Ration]&amp;Règles_bovins[Aliment],0)),0),0)*IF(ChoixBovinsPréHiver=OUI,TotalTaurillon_24_36_RacesLaitières,TotalBovinsMâles_24_36mois*SUM(NbreJoursNourrirBovins)))</f>
        <v>0</v>
      </c>
      <c r="BE216" s="1267">
        <f t="array" ref="BE216">IF(Ration_complète_bovins[somme]&gt;0,0,IFERROR(IF(OR(AND(INDEX(Règles_bovins[Specificite],MATCH(ChoixRationBovins&amp;$BB216,Règles_bovins[Ration]&amp;Règles_bovins[Aliment],0))="s1",IF($BB216=Spécificité1Bovins,1)),
AND(INDEX(Règles_bovins[Specificite],MATCH(ChoixRationBovins&amp;$BB216,Règles_bovins[Ration]&amp;Règles_bovins[Aliment],0))="s2",IF($BB216=Spécificité2Bovins,1)),
INDEX(Règles_bovins[Specificite],MATCH(ChoixRationBovins&amp;$BB216,Règles_bovins[Ration]&amp;Règles_bovins[Aliment],0))="c"),
INDEX(Règles_bovins[Valeur 18-24],MATCH(ChoixRationBovins&amp;$BB216,Règles_bovins[Ration]&amp;Règles_bovins[Aliment],0)),0),0)*IF(ChoixBovinsPréHiver=OUI,TotalTaurillon_18_24_RacesLaitières,TotalBovinsMâles_18_24mois*SUM(NbreJoursNourrirBovins)))</f>
        <v>0</v>
      </c>
      <c r="BF216" s="1267">
        <f t="array" ref="BF216">IF(Ration_complète_bovins[somme]&gt;0,0,IFERROR(IF(OR(AND(INDEX(Règles_bovins[Specificite],MATCH(ChoixRationBovins&amp;$BB216,Règles_bovins[Ration]&amp;Règles_bovins[Aliment],0))="s1",IF($BB216=Spécificité1Bovins,1)),
AND(INDEX(Règles_bovins[Specificite],MATCH(ChoixRationBovins&amp;$BB216,Règles_bovins[Ration]&amp;Règles_bovins[Aliment],0))="s2",IF($BB216=Spécificité2Bovins,1)),
INDEX(Règles_bovins[Specificite],MATCH(ChoixRationBovins&amp;$BB216,Règles_bovins[Ration]&amp;Règles_bovins[Aliment],0))="c"),
INDEX(Règles_bovins[Valeur 12-18],MATCH(ChoixRationBovins&amp;$BB216,Règles_bovins[Ration]&amp;Règles_bovins[Aliment],0)),0),0)*IF(ChoixBovinsPréHiver=OUI,animaux!D39,TotalBovinsMâles_12_18mois*SUM(NbreJoursNourrirBovins)))</f>
        <v>0</v>
      </c>
      <c r="BG216" s="1267">
        <f t="array" ref="BG216">IF(Ration_complète_bovins[somme]&gt;0,0,IFERROR(IF(OR(AND(INDEX(Règles_bovins[Specificite],MATCH(ChoixRationBovins&amp;$BB216,Règles_bovins[Ration]&amp;Règles_bovins[Aliment],0))="s1",IF($BB216=Spécificité1Bovins,1)),
AND(INDEX(Règles_bovins[Specificite],MATCH(ChoixRationBovins&amp;$BB216,Règles_bovins[Ration]&amp;Règles_bovins[Aliment],0))="s2",IF($BB216=Spécificité2Bovins,1)),
INDEX(Règles_bovins[Specificite],MATCH(ChoixRationBovins&amp;$BB216,Règles_bovins[Ration]&amp;Règles_bovins[Aliment],0))="c"),
INDEX(Règles_bovins[Valeur 6-12],MATCH(ChoixRationBovins&amp;$BB216,Règles_bovins[Ration]&amp;Règles_bovins[Aliment],0)),0),0)*IF(ChoixBovinsPréHiver=OUI,TotalVeauMâle_6_12_RacesLaitières,TotalBovinsMâles_6_12mois*SUM(NbreJoursNourrirBovins)))</f>
        <v>0</v>
      </c>
      <c r="BH216" s="1267">
        <f t="array" ref="BH216">IF(Ration_complète_bovins[somme]&gt;0,0,IFERROR(IF(OR(AND(INDEX(Règles_bovins[Specificite],MATCH(ChoixRationBovins&amp;$BB216,Règles_bovins[Ration]&amp;Règles_bovins[Aliment],0))="s1",IF($BB216=Spécificité1Bovins,1)),
AND(INDEX(Règles_bovins[Specificite],MATCH(ChoixRationBovins&amp;$BB216,Règles_bovins[Ration]&amp;Règles_bovins[Aliment],0))="s2",IF($BB216=Spécificité2Bovins,1)),
INDEX(Règles_bovins[Specificite],MATCH(ChoixRationBovins&amp;$BB216,Règles_bovins[Ration]&amp;Règles_bovins[Aliment],0))="c"),
INDEX(Règles_bovins[Valeur 3-6],MATCH(ChoixRationBovins&amp;$BB216,Règles_bovins[Ration]&amp;Règles_bovins[Aliment],0)),0),0)*IF(ChoixBovinsPréHiver=OUI,TotalVeauMâle_3_6_RacesLaitières,TotalBovinsMâles_3_6mois*SUM(NbreJoursNourrirBovins)))</f>
        <v>0</v>
      </c>
      <c r="BI216" s="1267">
        <f t="array" ref="BI216">IF(Ration_complète_bovins[somme]&gt;0,0,IFERROR(IF(OR(AND(INDEX(Règles_bovins[Specificite],MATCH(ChoixRationBovins&amp;$BB216,Règles_bovins[Ration]&amp;Règles_bovins[Aliment],0))="s1",IF($BB216=Spécificité1Bovins,1)),
AND(INDEX(Règles_bovins[Specificite],MATCH(ChoixRationBovins&amp;$BB216,Règles_bovins[Ration]&amp;Règles_bovins[Aliment],0))="s2",IF($BB216=Spécificité2Bovins,1)),
INDEX(Règles_bovins[Specificite],MATCH(ChoixRationBovins&amp;$BB216,Règles_bovins[Ration]&amp;Règles_bovins[Aliment],0))="c"),
INDEX(Règles_bovins[Valeur 0-3],MATCH(ChoixRationBovins&amp;$BB216,Règles_bovins[Ration]&amp;Règles_bovins[Aliment],0)),0),0)*IF(ChoixBovinsPréHiver=OUI,TotalVeauMâle_0_3_RacesLaitières,TotalBovinsMâles_0_3mois*SUM(NbreJoursNourrirBovins)))</f>
        <v>0</v>
      </c>
      <c r="BJ216" s="1268">
        <f t="shared" si="69"/>
        <v>0</v>
      </c>
      <c r="BK216" s="1321"/>
      <c r="BL216" s="1321"/>
      <c r="BM216" s="1346"/>
      <c r="BN216" s="1321"/>
      <c r="BO216" s="1321"/>
      <c r="BP216" s="1321"/>
      <c r="BQ216" s="1321"/>
      <c r="BR216" s="1321"/>
      <c r="BS216" s="1321"/>
      <c r="BT216" s="1321"/>
      <c r="BU216" s="1321"/>
      <c r="BV216" s="1345"/>
      <c r="BW216" s="1345"/>
      <c r="BX216" s="1076" t="str">
        <f t="shared" si="70"/>
        <v>Orge</v>
      </c>
      <c r="BY216" s="1267">
        <f t="array" ref="BY216">SUM((IF(QualitéAlimentsChevreau_0_3_mois=BONNE,VLOOKUP("Orge",AlimentsRationCaprinsMâles,5,FALSE),0)+(IF(QualitéAlimentsChevrette_0_3_mois=BONNE,VLOOKUP("Orge",AlimentsRationCaprinsFemelles,5,FALSE),0)+(IF(QualitéAlimentsChevreau_3_6_mois=BONNE,VLOOKUP("Orge",AlimentsRationCaprinsMâles,4,FALSE),0)+(IF(QualitéAlimentsChevrette_3_6_mois=BONNE,VLOOKUP("Orge",AlimentsRationCaprinsFemelles,4,FALSE),0)+(IF(QualitéAlimentsJeuneBouc=BONNE,VLOOKUP("Orge",AlimentsRationCaprinsMâles,3,FALSE),0)+(IF(QualitéAlimentsJeuneChèvre=BONNE,VLOOKUP("Orge",AlimentsRationCaprinsFemelles,3,FALSE),0)+(IF(QualitéAlimentsBouc=BONNE,VLOOKUP("Orge",AlimentsRationCaprinsMâles,2,FALSE),0)+(IF(QualitéAlimentsChèvre=BONNE,VLOOKUP("Orge",AlimentsRationCaprinsFemelles,2,FALSE),0))))))))))</f>
        <v>0</v>
      </c>
      <c r="BZ216" s="1267">
        <f t="array" ref="BZ216">SUM((IF(QualitéAlimentsChevreau_0_3_mois=MOYENNE,VLOOKUP("Orge",AlimentsRationCaprinsMâles,5,FALSE),0)+(IF(QualitéAlimentsChevrette_0_3_mois=MOYENNE,VLOOKUP("Orge",AlimentsRationCaprinsFemelles,5,FALSE),0)+(IF(QualitéAlimentsChevreau_3_6_mois=MOYENNE,VLOOKUP("Orge",AlimentsRationCaprinsMâles,4,FALSE),0)+(IF(QualitéAlimentsChevrette_3_6_mois=MOYENNE,VLOOKUP("Orge",AlimentsRationCaprinsFemelles,4,FALSE),0)+(IF(QualitéAlimentsJeuneBouc=MOYENNE,VLOOKUP("Orge",AlimentsRationCaprinsMâles,3,FALSE),0)+(IF(QualitéAlimentsJeuneChèvre=MOYENNE,VLOOKUP("Orge",AlimentsRationCaprinsFemelles,3,FALSE),0)+(IF(QualitéAlimentsBouc=MOYENNE,VLOOKUP("Orge",AlimentsRationCaprinsMâles,2,FALSE),0)+(IF(QualitéAlimentsChèvre=MOYENNE,VLOOKUP("Orge",AlimentsRationCaprinsFemelles,2,FALSE),0))))))))))</f>
        <v>0</v>
      </c>
      <c r="CA216" s="1267">
        <f t="array" ref="CA216">SUM((IF(QualitéAlimentsChevreau_0_3_mois=MAUVAISE,VLOOKUP("Orge",AlimentsRationCaprinsMâles,5,FALSE),0)+(IF(QualitéAlimentsChevrette_0_3_mois=MAUVAISE,VLOOKUP("Orge",AlimentsRationCaprinsFemelles,5,FALSE),0)+(IF(QualitéAlimentsChevreau_3_6_mois=MAUVAISE,VLOOKUP("Orge",AlimentsRationCaprinsMâles,4,FALSE),0)+(IF(QualitéAlimentsChevrette_3_6_mois=MAUVAISE,VLOOKUP("Orge",AlimentsRationCaprinsFemelles,4,FALSE),0)+(IF(QualitéAlimentsJeuneBouc=MAUVAISE,VLOOKUP("Orge",AlimentsRationCaprinsMâles,3,FALSE),0)+(IF(QualitéAlimentsJeuneChèvre=MAUVAISE,VLOOKUP("Orge",AlimentsRationCaprinsFemelles,3,FALSE),0)+(IF(QualitéAlimentsBouc=MAUVAISE,VLOOKUP("Orge",AlimentsRationCaprinsMâles,2,FALSE),0)+(IF(QualitéAlimentsChèvre=MAUVAISE,VLOOKUP("Orge",AlimentsRationCaprinsFemelles,2,FALSE),0))))))))))</f>
        <v>0</v>
      </c>
      <c r="CB216" s="1321"/>
      <c r="CC216" s="1321"/>
      <c r="CD216" s="1345"/>
      <c r="CE216" s="1345"/>
      <c r="CF216" s="1345"/>
      <c r="CG216" s="1345"/>
      <c r="CH216" s="1345"/>
      <c r="CI216" s="1321"/>
      <c r="CJ216" s="1321"/>
      <c r="CK216" s="1321"/>
      <c r="CL216" s="1321"/>
      <c r="CM216" s="1321"/>
      <c r="CN216" s="1321"/>
      <c r="CO216" s="1321"/>
      <c r="CP216" s="1321"/>
      <c r="CQ216" s="1321"/>
      <c r="CR216" s="1321"/>
      <c r="CS216" s="1321"/>
      <c r="CT216" s="1321"/>
      <c r="CU216" s="1321"/>
      <c r="CV216" s="1321"/>
      <c r="CW216" s="1321"/>
      <c r="CX216" s="1321"/>
      <c r="CY216" s="1321"/>
      <c r="CZ216" s="1321"/>
      <c r="DA216" s="1321"/>
      <c r="DB216" s="1321"/>
      <c r="DC216" s="1321"/>
      <c r="DD216" s="1321"/>
      <c r="DE216" s="1321"/>
      <c r="DF216" s="1321"/>
      <c r="DG216" s="1321"/>
      <c r="DH216" s="1321"/>
      <c r="DI216" s="1321"/>
      <c r="DJ216" s="1321"/>
      <c r="DK216" s="1321"/>
      <c r="DL216" s="1321"/>
      <c r="DM216" s="1321"/>
      <c r="DN216" s="1076" t="str">
        <f t="shared" si="68"/>
        <v>Pulpe déshydratée de betterave</v>
      </c>
      <c r="DO216" s="1267">
        <f t="array" ref="DO216">IF(ChoixRationComplèteOvins=OUI,0,IFERROR(IF(OR(AND(INDEX(Règles_ovins[Specificite],MATCH(ChoixRationOvins&amp;$DN216,Règles_ovins[Ration]&amp;Règles_ovins[Aliment],0))="s1",IF($DN216=Spécificité1Ovins,1)),
AND(INDEX(Règles_ovins[Specificite],MATCH(ChoixRationOvins&amp;$DN216,Règles_ovins[Ration]&amp;Règles_ovins[Aliment],0))="s2",IF($DN216=Spécificité2Ovins,1)),
INDEX(Règles_ovins[Specificite],MATCH(ChoixRationOvins&amp;$DN216,Règles_ovins[Ration]&amp;Règles_ovins[Aliment],0))="c"),
INDEX(Règles_ovins[Valeur 12 et plus],MATCH(ChoixRationOvins&amp;$DN216,Règles_ovins[Ration]&amp;Règles_ovins[Aliment],0)),0),0)*IF(ChoixOvinsPréHiver=OUI,SUM(TotalOvinsAdultesRacesLaitières)*NbreJoursNourrirOvins,TotalBrebis*SUM(NbreJoursNourrirOvins)))</f>
        <v>0</v>
      </c>
      <c r="DP216" s="1267">
        <f t="array" ref="DP216">IF(ChoixRationComplèteOvins=OUI,0,IFERROR(IF(OR(AND(INDEX(Règles_ovins[Specificite],MATCH(ChoixRationOvins&amp;$DN216,Règles_ovins[Ration]&amp;Règles_ovins[Aliment],0))="s1",IF($DN216=Spécificité1Ovins,1)),
AND(INDEX(Règles_ovins[Specificite],MATCH(ChoixRationOvins&amp;$DN216,Règles_ovins[Ration]&amp;Règles_ovins[Aliment],0))="s2",IF($DN216=Spécificité2Ovins,1)),
INDEX(Règles_ovins[Specificite],MATCH(ChoixRationOvins&amp;$DN216,Règles_ovins[Ration]&amp;Règles_ovins[Aliment],0))="c"),
INDEX(Règles_ovins[Valeur 6-12],MATCH(ChoixRationOvins&amp;$DN216,Règles_ovins[Ration]&amp;Règles_ovins[Aliment],0)),0),0)*IF(ChoixOvinsPréHiver=OUI,SUM(TotalJeunesOvinsRacesLaitières)*NbreJoursNourrirOvins,TotalJeune_brebis_6_12_mois*SUM(NbreJoursNourrirOvins)))</f>
        <v>0</v>
      </c>
      <c r="DQ216" s="1267">
        <f t="array" ref="DQ216">IF(ChoixRationComplèteOvins=OUI,0,IFERROR(IF(OR(AND(INDEX(Règles_ovins[Specificite],MATCH(ChoixRationOvins&amp;$DN216,Règles_ovins[Ration]&amp;Règles_ovins[Aliment],0))="s1",IF($DN216=Spécificité1Ovins,1)),
AND(INDEX(Règles_ovins[Specificite],MATCH(ChoixRationOvins&amp;$DN216,Règles_ovins[Ration]&amp;Règles_ovins[Aliment],0))="s2",IF($DN216=Spécificité2Ovins,1)),
INDEX(Règles_ovins[Specificite],MATCH(ChoixRationOvins&amp;$DN216,Règles_ovins[Ration]&amp;Règles_ovins[Aliment],0))="c"),
INDEX(Règles_ovins[Valeur 3-6],MATCH(ChoixRationOvins&amp;$DN216,Règles_ovins[Ration]&amp;Règles_ovins[Aliment],0)),0),0)*IF(ChoixOvinsPréHiver=OUI,SUM(TotalOvins_3_6moisRacesLaitières)*NbreJoursNourrirOvins,TotalAgnelle_3_6_mois*SUM(NbreJoursNourrirOvins)))</f>
        <v>0</v>
      </c>
      <c r="DR216" s="1267">
        <f t="array" ref="DR216">IF(ChoixRationComplèteOvins=OUI,0,IFERROR(IF(OR(AND(INDEX(Règles_ovins[Specificite],MATCH(ChoixRationOvins&amp;$DN216,Règles_ovins[Ration]&amp;Règles_ovins[Aliment],0))="s1",IF($DN216=Spécificité1Ovins,1)),
AND(INDEX(Règles_ovins[Specificite],MATCH(ChoixRationOvins&amp;$DN216,Règles_ovins[Ration]&amp;Règles_ovins[Aliment],0))="s2",IF($DN216=Spécificité2Ovins,1)),
INDEX(Règles_ovins[Specificite],MATCH(ChoixRationOvins&amp;$DN216,Règles_ovins[Ration]&amp;Règles_ovins[Aliment],0))="c"),
INDEX(Règles_ovins[Valeur 0-3],MATCH(ChoixRationOvins&amp;$DN216,Règles_ovins[Ration]&amp;Règles_ovins[Aliment],0)),0),0)*IF(ChoixOvinsPréHiver=OUI,SUM(TotalOvins_3_6moisRacesLaitières)*NbreJoursNourrirOvins,TotalAgnelle_0_3_mois*SUM(NbreJoursNourrirOvins)))</f>
        <v>0</v>
      </c>
      <c r="DS216" s="1279">
        <f t="shared" si="67"/>
        <v>0</v>
      </c>
      <c r="DT216" s="1346"/>
      <c r="DU216" s="1346"/>
      <c r="DV216" s="1321"/>
      <c r="DW216" s="1321"/>
      <c r="DX216" s="1321"/>
      <c r="DY216" s="1321"/>
      <c r="DZ216" s="1321"/>
      <c r="EA216" s="1321"/>
      <c r="EB216" s="1321"/>
      <c r="EC216" s="1321"/>
      <c r="ED216" s="1345"/>
      <c r="EE216" s="1345"/>
      <c r="EF216" s="1321"/>
      <c r="EG216" s="1321"/>
      <c r="EH216" s="1321"/>
      <c r="EI216" s="1321"/>
      <c r="EJ216" s="1321"/>
      <c r="EK216" s="1345"/>
      <c r="EL216" s="1345"/>
      <c r="EM216" s="1321"/>
      <c r="EN216" s="1321"/>
      <c r="EO216" s="1321"/>
      <c r="EP216" s="1321"/>
      <c r="EQ216" s="1321"/>
      <c r="ER216" s="1345"/>
      <c r="ES216" s="1345"/>
      <c r="ET216" s="1321"/>
      <c r="EU216" s="1083" t="str">
        <f t="shared" si="73"/>
        <v>Féverole</v>
      </c>
      <c r="EV216" s="1283">
        <f t="array" ref="EV216">SUM((IF(QualitéAlimentsPoulainSelleMâle=BONNE,VLOOKUP("Féverole",AlimentsRationEcurieChevauxMâlesSelle,5,FALSE),0)+(IF(QualitéAlimentsPoulainSelleFemelle=BONNE,VLOOKUP("Féverole",AlimentsRationEcurieChevauxFemellesSelle,5,FALSE),0)+(IF(QualitéAlimentsJeuneEtalon_12_24_moisSelle=BONNE,VLOOKUP("Féverole",AlimentsRationEcurieChevauxMâlesSelle,4,FALSE),0)+(IF(QualitéAlimentsJeuneJument_12_24_moisSelle=BONNE,VLOOKUP("Féverole",AlimentsRationEcurieChevauxFemellesSelle,4,FALSE),0)+(IF(QualitéAlimentsJeuneEtalon_24_36_moisSelle=BONNE,VLOOKUP("Féverole",AlimentsRationEcurieChevauxMâlesSelle,3,FALSE),0)+(IF(QualitéAlimentsJeuneJument_24_36_moisSelle=BONNE,VLOOKUP("Féverole",AlimentsRationEcurieChevauxFemellesSelle,3,FALSE),0)+(IF(QualitéAlimentsEtalonSelle=BONNE,VLOOKUP("Féverole",AlimentsRationEcurieChevauxMâlesSelle,2,FALSE),0)+(IF(QualitéAlimentsJumentSelle=BONNE,VLOOKUP("Féverole",AlimentsRationEcurieChevauxFemellesSelle,2,FALSE),0))))))))))</f>
        <v>0</v>
      </c>
      <c r="EW216" s="1283">
        <f t="array" ref="EW216">SUM((IF(QualitéAlimentsPoulainSelleMâle=MOYENNE,VLOOKUP("Féverole",AlimentsRationEcurieChevauxMâlesSelle,5,FALSE),0)+(IF(QualitéAlimentsPoulainSelleFemelle=MOYENNE,VLOOKUP("Féverole",AlimentsRationEcurieChevauxFemellesSelle,5,FALSE),0)+(IF(QualitéAlimentsJeuneEtalon_12_24_moisSelle=MOYENNE,VLOOKUP("Féverole",AlimentsRationEcurieChevauxMâlesSelle,4,FALSE),0)+(IF(QualitéAlimentsJeuneJument_12_24_moisSelle=MOYENNE,VLOOKUP("Féverole",AlimentsRationEcurieChevauxFemellesSelle,4,FALSE),0)+(IF(QualitéAlimentsJeuneEtalon_24_36_moisSelle=MOYENNE,VLOOKUP("Féverole",AlimentsRationEcurieChevauxMâlesSelle,3,FALSE),0)+(IF(QualitéAlimentsJeuneJument_24_36_moisSelle=MOYENNE,VLOOKUP("Féverole",AlimentsRationEcurieChevauxFemellesSelle,3,FALSE),0)+(IF(QualitéAlimentsEtalonSelle=MOYENNE,VLOOKUP("Féverole",AlimentsRationEcurieChevauxMâlesSelle,2,FALSE),0)+(IF(QualitéAlimentsJumentSelle=MOYENNE,VLOOKUP("Féverole",AlimentsRationEcurieChevauxFemellesSelle,2,FALSE),0))))))))))</f>
        <v>0</v>
      </c>
      <c r="EX216" s="1283">
        <f t="array" ref="EX216">SUM((IF(QualitéAlimentsPoulainSelleMâle=MAUVAISE,VLOOKUP("Féverole",AlimentsRationEcurieChevauxMâlesSelle,5,FALSE),0)+(IF(QualitéAlimentsPoulainSelleFemelle=MAUVAISE,VLOOKUP("Féverole",AlimentsRationEcurieChevauxFemellesSelle,5,FALSE),0)+(IF(QualitéAlimentsJeuneEtalon_12_24_moisSelle=MAUVAISE,VLOOKUP("Féverole",AlimentsRationEcurieChevauxMâlesSelle,4,FALSE),0)+(IF(QualitéAlimentsJeuneJument_12_24_moisSelle=MAUVAISE,VLOOKUP("Féverole",AlimentsRationEcurieChevauxFemellesSelle,4,FALSE),0)+(IF(QualitéAlimentsJeuneEtalon_24_36_moisSelle=MAUVAISE,VLOOKUP("Féverole",AlimentsRationEcurieChevauxMâlesSelle,3,FALSE),0)+(IF(QualitéAlimentsJeuneJument_24_36_moisSelle=MAUVAISE,VLOOKUP("Féverole",AlimentsRationEcurieChevauxFemellesSelle,3,FALSE),0)+(IF(QualitéAlimentsEtalonSelle=MAUVAISE,VLOOKUP("Féverole",AlimentsRationEcurieChevauxMâlesSelle,2,FALSE),0)+(IF(QualitéAlimentsJumentSelle=MAUVAISE,VLOOKUP("Féverole",AlimentsRationEcurieChevauxFemellesSelle,2,FALSE),0))))))))))</f>
        <v>0</v>
      </c>
      <c r="EY216" s="1321"/>
      <c r="EZ216" s="1345"/>
      <c r="FA216" s="1345"/>
      <c r="FB216" s="1345"/>
      <c r="FC216" s="1321"/>
      <c r="FD216" s="1082" t="str">
        <f t="shared" si="72"/>
        <v>Maïs grain</v>
      </c>
      <c r="FE216" s="1282">
        <f t="array" ref="FE216">SUM((IF(QualitéAlimentsPoulainMâleTrait=BONNE,VLOOKUP("Maïs grain",AlimentsRationEcurieChevauxMâlesTrait,5,FALSE),0)+(IF(QualitéAlimentsPoulainFemelleTrait=BONNE,VLOOKUP("Maïs grain",AlimentsRationEcurieChevauxFemellesTrait,5,FALSE),0)+(IF(QualitéAlimentsJeuneEtalon_12_24_moisTrait=BONNE,VLOOKUP("Maïs grain",AlimentsRationEcurieChevauxMâlesTrait,4,FALSE),0)+(IF(QualitéAlimentsJeuneJument_12_24_moisTrait=BONNE,VLOOKUP("Maïs grain",AlimentsRationEcurieChevauxFemellesTrait,4,FALSE),0)+(IF(QualitéAlimentsJeuneEtalon_24_36_moisTrait=BONNE,VLOOKUP("Maïs grain",AlimentsRationEcurieChevauxMâlesTrait,3,FALSE),0)+(IF(QualitéAlimentsJeuneJument_24_36_moisTrait=BONNE,VLOOKUP("Maïs grain",AlimentsRationEcurieChevauxFemellesTrait,3,FALSE),0)+(IF(QualitéAlimentsEtalonTrait=BONNE,VLOOKUP("Maïs grain",AlimentsRationEcurieChevauxMâlesTrait,2,FALSE),0)+(IF(QualitéAlimentsJumentTrait=BONNE,VLOOKUP("Maïs grain",AlimentsRationEcurieChevauxFemellesTrait,2,FALSE),0))))))))))</f>
        <v>0</v>
      </c>
      <c r="FF216" s="1282">
        <f t="array" ref="FF216">SUM((IF(QualitéAlimentsPoulainMâleTrait=MOYENNE,VLOOKUP("Maïs grain",AlimentsRationEcurieChevauxMâlesTrait,5,FALSE),0)+(IF(QualitéAlimentsPoulainFemelleTrait=MOYENNE,VLOOKUP("Maïs grain",AlimentsRationEcurieChevauxFemellesTrait,5,FALSE),0)+(IF(QualitéAlimentsJeuneEtalon_12_24_moisTrait=MOYENNE,VLOOKUP("Maïs grain",AlimentsRationEcurieChevauxMâlesTrait,4,FALSE),0)+(IF(QualitéAlimentsJeuneJument_12_24_moisTrait=MOYENNE,VLOOKUP("Maïs grain",AlimentsRationEcurieChevauxFemellesTrait,4,FALSE),0)+(IF(QualitéAlimentsJeuneEtalon_24_36_moisTrait=MOYENNE,VLOOKUP("Maïs grain",AlimentsRationEcurieChevauxMâlesTrait,3,FALSE),0)+(IF(QualitéAlimentsJeuneJument_24_36_moisTrait=MOYENNE,VLOOKUP("Maïs grain",AlimentsRationEcurieChevauxFemellesTrait,3,FALSE),0)+(IF(QualitéAlimentsEtalonTrait=MOYENNE,VLOOKUP("Maïs grain",AlimentsRationEcurieChevauxMâlesTrait,2,FALSE),0)+(IF(QualitéAlimentsJumentTrait=MOYENNE,VLOOKUP("Maïs grain",AlimentsRationEcurieChevauxFemellesTrait,2,FALSE),0))))))))))</f>
        <v>0</v>
      </c>
      <c r="FG216" s="1282">
        <f t="array" ref="FG216">SUM((IF(QualitéAlimentsPoulainMâleTrait=MAUVAISE,VLOOKUP("Maïs grain",AlimentsRationEcurieChevauxMâlesTrait,5,FALSE),0)+(IF(QualitéAlimentsPoulainFemelleTrait=MAUVAISE,VLOOKUP("Maïs grain",AlimentsRationEcurieChevauxFemellesTrait,5,FALSE),0)+(IF(QualitéAlimentsJeuneEtalon_12_24_moisTrait=MAUVAISE,VLOOKUP("Maïs grain",AlimentsRationEcurieChevauxMâlesTrait,4,FALSE),0)+(IF(QualitéAlimentsJeuneJument_12_24_moisTrait=MAUVAISE,VLOOKUP("Maïs grain",AlimentsRationEcurieChevauxFemellesTrait,4,FALSE),0)+(IF(QualitéAlimentsJeuneEtalon_24_36_moisTrait=MAUVAISE,VLOOKUP("Maïs grain",AlimentsRationEcurieChevauxMâlesTrait,3,FALSE),0)+(IF(QualitéAlimentsJeuneJument_24_36_moisTrait=MAUVAISE,VLOOKUP("Maïs grain",AlimentsRationEcurieChevauxFemellesTrait,3,FALSE),0)+(IF(QualitéAlimentsEtalonTrait=MAUVAISE,VLOOKUP("Maïs grain",AlimentsRationEcurieChevauxMâlesTrait,2,FALSE),0)+(IF(QualitéAlimentsJumentTrait=MAUVAISE,VLOOKUP("Maïs grain",AlimentsRationEcurieChevauxFemellesTrait,2,FALSE),0))))))))))</f>
        <v>0</v>
      </c>
      <c r="FH216" s="1321"/>
      <c r="FI216" s="1321"/>
      <c r="FJ216" s="1345"/>
      <c r="FK216" s="1345"/>
      <c r="FL216" s="1345"/>
      <c r="FM216" s="1321"/>
      <c r="FN216" s="1083" t="str">
        <f t="shared" si="71"/>
        <v>Minéraux + vitamines</v>
      </c>
      <c r="FO216" s="1283">
        <f t="array" ref="FO216">SUM((IF(QualitéAlimentsPoulainMâlePoney=BONNE,VLOOKUP("Minéraux + vitamines",AlimentsRationEcuriePoneysMâles,5,FALSE),0)+(IF(QualitéAlimentsPoulainFemellePoney=BONNE,VLOOKUP("Minéraux + vitamines",AlimentsRationEcuriePoneysFemelles,5,FALSE),0)+(IF(QualitéAlimentsJeuneEtalon_12_24_moisPoney=BONNE,VLOOKUP("Minéraux + vitamines",AlimentsRationEcuriePoneysMâles,4,FALSE),0)+(IF(QualitéAlimentsJeuneJument_12_24_moisPoney=BONNE,VLOOKUP("Minéraux + vitamines",AlimentsRationEcuriePoneysFemelles,4,FALSE),0)+(IF(QualitéAlimentsJeuneEtalon_24_36_moisPoney=BONNE,VLOOKUP("Minéraux + vitamines",AlimentsRationEcuriePoneysMâles,3,FALSE),0)+(IF(QualitéAlimentsJeuneJument_24_36_moisPoney=BONNE,VLOOKUP("Minéraux + vitamines",AlimentsRationEcuriePoneysFemelles,3,FALSE),0)+(IF(QualitéAlimentsEtalonPoney=BONNE,VLOOKUP("Minéraux + vitamines",AlimentsRationEcuriePoneysMâles,2,FALSE),0)+(IF(QualitéAlimentsJumentPoney=BONNE,VLOOKUP("Minéraux + vitamines",AlimentsRationEcuriePoneysFemelles,2,FALSE),0))))))))))</f>
        <v>0</v>
      </c>
      <c r="FP216" s="1283">
        <f t="array" ref="FP216">SUM((IF(QualitéAlimentsPoulainMâlePoney=MOYENNE,VLOOKUP("Minéraux + vitamines",AlimentsRationEcuriePoneysMâles,5,FALSE),0)+(IF(QualitéAlimentsPoulainFemellePoney=MOYENNE,VLOOKUP("Minéraux + vitamines",AlimentsRationEcuriePoneysFemelles,5,FALSE),0)+(IF(QualitéAlimentsJeuneEtalon_12_24_moisPoney=MOYENNE,VLOOKUP("Minéraux + vitamines",AlimentsRationEcuriePoneysMâles,4,FALSE),0)+(IF(QualitéAlimentsJeuneJument_12_24_moisPoney=MOYENNE,VLOOKUP("Minéraux + vitamines",AlimentsRationEcuriePoneysFemelles,4,FALSE),0)+(IF(QualitéAlimentsJeuneEtalon_24_36_moisPoney=MOYENNE,VLOOKUP("Minéraux + vitamines",AlimentsRationEcuriePoneysMâles,3,FALSE),0)+(IF(QualitéAlimentsJeuneJument_24_36_moisPoney=MOYENNE,VLOOKUP("Minéraux + vitamines",AlimentsRationEcuriePoneysFemelles,3,FALSE),0)+(IF(QualitéAlimentsEtalonPoney=MOYENNE,VLOOKUP("Minéraux + vitamines",AlimentsRationEcuriePoneysMâles,2,FALSE),0)+(IF(QualitéAlimentsJumentPoney=MOYENNE,VLOOKUP("Minéraux + vitamines",AlimentsRationEcuriePoneysFemelles,2,FALSE),0))))))))))</f>
        <v>0</v>
      </c>
      <c r="FQ216" s="1283">
        <f t="array" ref="FQ216">SUM((IF(QualitéAlimentsPoulainMâlePoney=MAUVAISE,VLOOKUP("Minéraux + vitamines",AlimentsRationEcuriePoneysMâles,5,FALSE),0)+(IF(QualitéAlimentsPoulainFemellePoney=MAUVAISE,VLOOKUP("Minéraux + vitamines",AlimentsRationEcuriePoneysFemelles,5,FALSE),0)+(IF(QualitéAlimentsJeuneEtalon_12_24_moisPoney=MAUVAISE,VLOOKUP("Minéraux + vitamines",AlimentsRationEcuriePoneysMâles,4,FALSE),0)+(IF(QualitéAlimentsJeuneJument_12_24_moisPoney=MAUVAISE,VLOOKUP("Minéraux + vitamines",AlimentsRationEcuriePoneysFemelles,4,FALSE),0)+(IF(QualitéAlimentsJeuneEtalon_24_36_moisPoney=MAUVAISE,VLOOKUP("Minéraux + vitamines",AlimentsRationEcuriePoneysMâles,3,FALSE),0)+(IF(QualitéAlimentsJeuneJument_24_36_moisPoney=MAUVAISE,VLOOKUP("Minéraux + vitamines",AlimentsRationEcuriePoneysFemelles,3,FALSE),0)+(IF(QualitéAlimentsEtalonPoney=MAUVAISE,VLOOKUP("Minéraux + vitamines",AlimentsRationEcuriePoneysMâles,2,FALSE),0)+(IF(QualitéAlimentsJumentPoney=MAUVAISE,VLOOKUP("Minéraux + vitamines",AlimentsRationEcuriePoneysFemelles,2,FALSE),0))))))))))</f>
        <v>0</v>
      </c>
      <c r="FR216" s="1345"/>
      <c r="FS216" s="1345"/>
      <c r="FT216" s="1345"/>
      <c r="FU216" s="1345"/>
      <c r="FV216" s="1345"/>
      <c r="FW216" s="1321"/>
      <c r="FX216" s="1321"/>
      <c r="FY216" s="1321"/>
      <c r="FZ216" s="1321"/>
      <c r="GA216" s="1345"/>
      <c r="GB216" s="1321"/>
      <c r="GC216" s="1321"/>
      <c r="GD216" s="1321"/>
      <c r="GE216" s="1321"/>
      <c r="GF216" s="1321"/>
      <c r="GG216" s="1321" t="s">
        <v>1349</v>
      </c>
      <c r="GH216" s="1321" t="s">
        <v>1349</v>
      </c>
      <c r="GI216" s="1321" t="s">
        <v>1349</v>
      </c>
      <c r="GJ216" s="1321" t="s">
        <v>1349</v>
      </c>
      <c r="GK216" s="1321" t="s">
        <v>1349</v>
      </c>
      <c r="GL216" s="1321" t="s">
        <v>1349</v>
      </c>
      <c r="GM216" s="1321" t="s">
        <v>1349</v>
      </c>
      <c r="GN216" s="1321" t="s">
        <v>1349</v>
      </c>
      <c r="GO216" s="1321" t="s">
        <v>1349</v>
      </c>
      <c r="GP216" s="1321" t="s">
        <v>1349</v>
      </c>
      <c r="GQ216" s="1321" t="s">
        <v>1349</v>
      </c>
      <c r="GR216" s="1321" t="s">
        <v>1349</v>
      </c>
      <c r="GS216" s="1321" t="s">
        <v>1349</v>
      </c>
      <c r="GT216" s="1321" t="s">
        <v>1349</v>
      </c>
      <c r="GU216" s="1321" t="s">
        <v>1349</v>
      </c>
      <c r="GV216" s="1321" t="s">
        <v>1349</v>
      </c>
      <c r="GW216" s="1321"/>
      <c r="GX216" s="1321"/>
      <c r="GY216" s="1321"/>
      <c r="GZ216" s="1321"/>
      <c r="HA216" s="1321"/>
      <c r="HB216" s="1321"/>
      <c r="HC216" s="1321"/>
      <c r="HD216" s="1321"/>
      <c r="HE216" s="1321"/>
      <c r="HF216" s="1321"/>
      <c r="HG216" s="1321"/>
      <c r="HH216" s="1321"/>
      <c r="HI216" s="1321"/>
      <c r="HJ216" s="1321"/>
      <c r="HK216" s="1321"/>
      <c r="HL216" s="1321"/>
      <c r="HM216" s="1321"/>
      <c r="HN216" s="1321"/>
      <c r="HO216" s="1321"/>
      <c r="HP216" s="1321"/>
      <c r="HQ216" s="1321"/>
      <c r="HR216" s="1321"/>
      <c r="HS216" s="1321"/>
      <c r="HT216" s="1321"/>
      <c r="HU216" s="1321"/>
      <c r="HV216" s="1321"/>
      <c r="HW216" s="1321"/>
      <c r="HX216" s="1321"/>
      <c r="HY216" s="1321"/>
      <c r="HZ216" s="1321"/>
      <c r="IA216" s="1321"/>
      <c r="IB216" s="1321"/>
      <c r="IC216" s="1321"/>
      <c r="ID216" s="1321"/>
      <c r="IE216" s="1321"/>
      <c r="IF216" s="1321"/>
      <c r="IG216" s="1321"/>
      <c r="IH216" s="1321"/>
      <c r="II216" s="1321"/>
      <c r="IJ216" s="1321"/>
      <c r="IK216" s="1321"/>
      <c r="IL216" s="1321"/>
      <c r="IM216" s="1321"/>
      <c r="IN216" s="1368"/>
    </row>
    <row r="217" spans="1:248" ht="12.75" customHeight="1" x14ac:dyDescent="0.2">
      <c r="A217" s="1319"/>
      <c r="B217" s="1321"/>
      <c r="C217" s="1321"/>
      <c r="D217" s="1321"/>
      <c r="E217" s="1321"/>
      <c r="F217" s="1321"/>
      <c r="G217" s="1321"/>
      <c r="H217" s="1321"/>
      <c r="I217" s="1321"/>
      <c r="J217" s="1321"/>
      <c r="K217" s="1321"/>
      <c r="L217" s="1321"/>
      <c r="M217" s="1321"/>
      <c r="N217" s="1321"/>
      <c r="O217" s="1321"/>
      <c r="P217" s="1321"/>
      <c r="Q217" s="1321"/>
      <c r="R217" s="1321"/>
      <c r="S217" s="1321"/>
      <c r="T217" s="1321"/>
      <c r="U217" s="1321"/>
      <c r="V217" s="1321"/>
      <c r="W217" s="1321"/>
      <c r="X217" s="1321"/>
      <c r="Y217" s="1321"/>
      <c r="Z217" s="1321"/>
      <c r="AA217" s="1321"/>
      <c r="AB217" s="1321"/>
      <c r="AC217" s="1321"/>
      <c r="AD217" s="1321"/>
      <c r="AE217" s="1321"/>
      <c r="AF217" s="1321"/>
      <c r="AG217" s="1321"/>
      <c r="AH217" s="1321"/>
      <c r="AI217" s="1321"/>
      <c r="AJ217" s="1321"/>
      <c r="AK217" s="1321"/>
      <c r="AL217" s="1321"/>
      <c r="AM217" s="1321"/>
      <c r="AN217" s="1321"/>
      <c r="AO217" s="1321"/>
      <c r="AP217" s="1321"/>
      <c r="AQ217" s="1321"/>
      <c r="AR217" s="1321"/>
      <c r="AS217" s="1321"/>
      <c r="AT217" s="1321"/>
      <c r="AU217" s="1321"/>
      <c r="AV217" s="1321"/>
      <c r="AW217" s="1321"/>
      <c r="AX217" s="1321"/>
      <c r="AY217" s="1321"/>
      <c r="AZ217" s="1321"/>
      <c r="BA217" s="1321"/>
      <c r="BB217" s="1075" t="s">
        <v>65</v>
      </c>
      <c r="BC217" s="1269">
        <f t="array" ref="BC217">IF(Ration_complète_bovins[somme]&gt;0,0,IFERROR(IF(OR(AND(INDEX(Règles_bovins[Specificite],MATCH(ChoixRationBovins&amp;$BB217,Règles_bovins[Ration]&amp;Règles_bovins[Aliment],0))="s1",IF($BB217=Spécificité1Bovins,1)),
AND(INDEX(Règles_bovins[Specificite],MATCH(ChoixRationBovins&amp;$BB217,Règles_bovins[Ration]&amp;Règles_bovins[Aliment],0))="s2",IF($BB217=Spécificité2Bovins,1)),
INDEX(Règles_bovins[Specificite],MATCH(ChoixRationBovins&amp;$BB217,Règles_bovins[Ration]&amp;Règles_bovins[Aliment],0))="c"),
INDEX(Règles_bovins[Valeur 36 et plus],MATCH(ChoixRationBovins&amp;$BB217,Règles_bovins[Ration]&amp;Règles_bovins[Aliment],0)),0),0)*IF(ChoixBovinsPréHiver=OUI,TotalTaureauxRacesLaitières,TotalTaureaux*SUM(NbreJoursNourrirBovins)))</f>
        <v>0</v>
      </c>
      <c r="BD217" s="1269">
        <f t="array" ref="BD217">IF(Ration_complète_bovins[somme]&gt;0,0,IFERROR(IF(OR(AND(INDEX(Règles_bovins[Specificite],MATCH(ChoixRationBovins&amp;$BB217,Règles_bovins[Ration]&amp;Règles_bovins[Aliment],0))="s1",IF($BB217=Spécificité1Bovins,1)),
AND(INDEX(Règles_bovins[Specificite],MATCH(ChoixRationBovins&amp;$BB217,Règles_bovins[Ration]&amp;Règles_bovins[Aliment],0))="s2",IF($BB217=Spécificité2Bovins,1)),
INDEX(Règles_bovins[Specificite],MATCH(ChoixRationBovins&amp;$BB217,Règles_bovins[Ration]&amp;Règles_bovins[Aliment],0))="c"),
INDEX(Règles_bovins[Valeur 24-36],MATCH(ChoixRationBovins&amp;$BB217,Règles_bovins[Ration]&amp;Règles_bovins[Aliment],0)),0),0)*IF(ChoixBovinsPréHiver=OUI,TotalTaurillon_24_36_RacesLaitières,TotalBovinsMâles_24_36mois*SUM(NbreJoursNourrirBovins)))</f>
        <v>0</v>
      </c>
      <c r="BE217" s="1269">
        <f t="array" ref="BE217">IF(Ration_complète_bovins[somme]&gt;0,0,IFERROR(IF(OR(AND(INDEX(Règles_bovins[Specificite],MATCH(ChoixRationBovins&amp;$BB217,Règles_bovins[Ration]&amp;Règles_bovins[Aliment],0))="s1",IF($BB217=Spécificité1Bovins,1)),
AND(INDEX(Règles_bovins[Specificite],MATCH(ChoixRationBovins&amp;$BB217,Règles_bovins[Ration]&amp;Règles_bovins[Aliment],0))="s2",IF($BB217=Spécificité2Bovins,1)),
INDEX(Règles_bovins[Specificite],MATCH(ChoixRationBovins&amp;$BB217,Règles_bovins[Ration]&amp;Règles_bovins[Aliment],0))="c"),
INDEX(Règles_bovins[Valeur 18-24],MATCH(ChoixRationBovins&amp;$BB217,Règles_bovins[Ration]&amp;Règles_bovins[Aliment],0)),0),0)*IF(ChoixBovinsPréHiver=OUI,TotalTaurillon_18_24_RacesLaitières,TotalBovinsMâles_18_24mois*SUM(NbreJoursNourrirBovins)))</f>
        <v>0</v>
      </c>
      <c r="BF217" s="1269">
        <f t="array" ref="BF217">IF(Ration_complète_bovins[somme]&gt;0,0,IFERROR(IF(OR(AND(INDEX(Règles_bovins[Specificite],MATCH(ChoixRationBovins&amp;$BB217,Règles_bovins[Ration]&amp;Règles_bovins[Aliment],0))="s1",IF($BB217=Spécificité1Bovins,1)),
AND(INDEX(Règles_bovins[Specificite],MATCH(ChoixRationBovins&amp;$BB217,Règles_bovins[Ration]&amp;Règles_bovins[Aliment],0))="s2",IF($BB217=Spécificité2Bovins,1)),
INDEX(Règles_bovins[Specificite],MATCH(ChoixRationBovins&amp;$BB217,Règles_bovins[Ration]&amp;Règles_bovins[Aliment],0))="c"),
INDEX(Règles_bovins[Valeur 12-18],MATCH(ChoixRationBovins&amp;$BB217,Règles_bovins[Ration]&amp;Règles_bovins[Aliment],0)),0),0)*IF(ChoixBovinsPréHiver=OUI,animaux!D40,TotalBovinsMâles_12_18mois*SUM(NbreJoursNourrirBovins)))</f>
        <v>0</v>
      </c>
      <c r="BG217" s="1269">
        <f t="array" ref="BG217">IF(Ration_complète_bovins[somme]&gt;0,0,IFERROR(IF(OR(AND(INDEX(Règles_bovins[Specificite],MATCH(ChoixRationBovins&amp;$BB217,Règles_bovins[Ration]&amp;Règles_bovins[Aliment],0))="s1",IF($BB217=Spécificité1Bovins,1)),
AND(INDEX(Règles_bovins[Specificite],MATCH(ChoixRationBovins&amp;$BB217,Règles_bovins[Ration]&amp;Règles_bovins[Aliment],0))="s2",IF($BB217=Spécificité2Bovins,1)),
INDEX(Règles_bovins[Specificite],MATCH(ChoixRationBovins&amp;$BB217,Règles_bovins[Ration]&amp;Règles_bovins[Aliment],0))="c"),
INDEX(Règles_bovins[Valeur 6-12],MATCH(ChoixRationBovins&amp;$BB217,Règles_bovins[Ration]&amp;Règles_bovins[Aliment],0)),0),0)*IF(ChoixBovinsPréHiver=OUI,TotalVeauMâle_6_12_RacesLaitières,TotalBovinsMâles_6_12mois*SUM(NbreJoursNourrirBovins)))</f>
        <v>0</v>
      </c>
      <c r="BH217" s="1269">
        <f t="array" ref="BH217">IF(Ration_complète_bovins[somme]&gt;0,0,IFERROR(IF(OR(AND(INDEX(Règles_bovins[Specificite],MATCH(ChoixRationBovins&amp;$BB217,Règles_bovins[Ration]&amp;Règles_bovins[Aliment],0))="s1",IF($BB217=Spécificité1Bovins,1)),
AND(INDEX(Règles_bovins[Specificite],MATCH(ChoixRationBovins&amp;$BB217,Règles_bovins[Ration]&amp;Règles_bovins[Aliment],0))="s2",IF($BB217=Spécificité2Bovins,1)),
INDEX(Règles_bovins[Specificite],MATCH(ChoixRationBovins&amp;$BB217,Règles_bovins[Ration]&amp;Règles_bovins[Aliment],0))="c"),
INDEX(Règles_bovins[Valeur 3-6],MATCH(ChoixRationBovins&amp;$BB217,Règles_bovins[Ration]&amp;Règles_bovins[Aliment],0)),0),0)*IF(ChoixBovinsPréHiver=OUI,TotalVeauMâle_3_6_RacesLaitières,TotalBovinsMâles_3_6mois*SUM(NbreJoursNourrirBovins)))</f>
        <v>0</v>
      </c>
      <c r="BI217" s="1269">
        <f t="array" ref="BI217">IF(Ration_complète_bovins[somme]&gt;0,0,IFERROR(IF(OR(AND(INDEX(Règles_bovins[Specificite],MATCH(ChoixRationBovins&amp;$BB217,Règles_bovins[Ration]&amp;Règles_bovins[Aliment],0))="s1",IF($BB217=Spécificité1Bovins,1)),
AND(INDEX(Règles_bovins[Specificite],MATCH(ChoixRationBovins&amp;$BB217,Règles_bovins[Ration]&amp;Règles_bovins[Aliment],0))="s2",IF($BB217=Spécificité2Bovins,1)),
INDEX(Règles_bovins[Specificite],MATCH(ChoixRationBovins&amp;$BB217,Règles_bovins[Ration]&amp;Règles_bovins[Aliment],0))="c"),
INDEX(Règles_bovins[Valeur 0-3],MATCH(ChoixRationBovins&amp;$BB217,Règles_bovins[Ration]&amp;Règles_bovins[Aliment],0)),0),0)*IF(ChoixBovinsPréHiver=OUI,TotalVeauMâle_0_3_RacesLaitières,TotalBovinsMâles_0_3mois*SUM(NbreJoursNourrirBovins)))</f>
        <v>0</v>
      </c>
      <c r="BJ217" s="1270">
        <f t="shared" si="69"/>
        <v>0</v>
      </c>
      <c r="BK217" s="1321"/>
      <c r="BL217" s="1321"/>
      <c r="BM217" s="1346"/>
      <c r="BN217" s="1321"/>
      <c r="BO217" s="1321"/>
      <c r="BP217" s="1321"/>
      <c r="BQ217" s="1321"/>
      <c r="BR217" s="1321"/>
      <c r="BS217" s="1321"/>
      <c r="BT217" s="1321"/>
      <c r="BU217" s="1321"/>
      <c r="BV217" s="1345"/>
      <c r="BW217" s="1345"/>
      <c r="BX217" s="1075" t="str">
        <f t="shared" si="70"/>
        <v>Paille</v>
      </c>
      <c r="BY217" s="1269">
        <f t="array" ref="BY217">SUM((IF(QualitéAlimentsChevreau_0_3_mois=BONNE,VLOOKUP("Paille",AlimentsRationCaprinsMâles,5,FALSE),0)+(IF(QualitéAlimentsChevrette_0_3_mois=BONNE,VLOOKUP("Paille",AlimentsRationCaprinsFemelles,5,FALSE),0)+(IF(QualitéAlimentsChevreau_3_6_mois=BONNE,VLOOKUP("Paille",AlimentsRationCaprinsMâles,4,FALSE),0)+(IF(QualitéAlimentsChevrette_3_6_mois=BONNE,VLOOKUP("Paille",AlimentsRationCaprinsFemelles,4,FALSE),0)+(IF(QualitéAlimentsJeuneBouc=BONNE,VLOOKUP("Paille",AlimentsRationCaprinsMâles,3,FALSE),0)+(IF(QualitéAlimentsJeuneChèvre=BONNE,VLOOKUP("Paille",AlimentsRationCaprinsFemelles,3,FALSE),0)+(IF(QualitéAlimentsBouc=BONNE,VLOOKUP("Paille",AlimentsRationCaprinsMâles,2,FALSE),0)+(IF(QualitéAlimentsChèvre=BONNE,VLOOKUP("Paille",AlimentsRationCaprinsFemelles,2,FALSE),0))))))))))</f>
        <v>0</v>
      </c>
      <c r="BZ217" s="1269">
        <f t="array" ref="BZ217">SUM((IF(QualitéAlimentsChevreau_0_3_mois=MOYENNE,VLOOKUP("Paille",AlimentsRationCaprinsMâles,5,FALSE),0)+(IF(QualitéAlimentsChevrette_0_3_mois=MOYENNE,VLOOKUP("Paille",AlimentsRationCaprinsFemelles,5,FALSE),0)+(IF(QualitéAlimentsChevreau_3_6_mois=MOYENNE,VLOOKUP("Paille",AlimentsRationCaprinsMâles,4,FALSE),0)+(IF(QualitéAlimentsChevrette_3_6_mois=MOYENNE,VLOOKUP("Paille",AlimentsRationCaprinsFemelles,4,FALSE),0)+(IF(QualitéAlimentsJeuneBouc=MOYENNE,VLOOKUP("Paille",AlimentsRationCaprinsMâles,3,FALSE),0)+(IF(QualitéAlimentsJeuneChèvre=MOYENNE,VLOOKUP("Paille",AlimentsRationCaprinsFemelles,3,FALSE),0)+(IF(QualitéAlimentsBouc=MOYENNE,VLOOKUP("Paille",AlimentsRationCaprinsMâles,2,FALSE),0)+(IF(QualitéAlimentsChèvre=MOYENNE,VLOOKUP("Paille",AlimentsRationCaprinsFemelles,2,FALSE),0))))))))))</f>
        <v>0</v>
      </c>
      <c r="CA217" s="1269">
        <f t="array" ref="CA217">SUM((IF(QualitéAlimentsChevreau_0_3_mois=MAUVAISE,VLOOKUP("Paille",AlimentsRationCaprinsMâles,5,FALSE),0)+(IF(QualitéAlimentsChevrette_0_3_mois=MAUVAISE,VLOOKUP("Paille",AlimentsRationCaprinsFemelles,5,FALSE),0)+(IF(QualitéAlimentsChevreau_3_6_mois=MAUVAISE,VLOOKUP("Paille",AlimentsRationCaprinsMâles,4,FALSE),0)+(IF(QualitéAlimentsChevrette_3_6_mois=MAUVAISE,VLOOKUP("Paille",AlimentsRationCaprinsFemelles,4,FALSE),0)+(IF(QualitéAlimentsJeuneBouc=MAUVAISE,VLOOKUP("Paille",AlimentsRationCaprinsMâles,3,FALSE),0)+(IF(QualitéAlimentsJeuneChèvre=MAUVAISE,VLOOKUP("Paille",AlimentsRationCaprinsFemelles,3,FALSE),0)+(IF(QualitéAlimentsBouc=MAUVAISE,VLOOKUP("Paille",AlimentsRationCaprinsMâles,2,FALSE),0)+(IF(QualitéAlimentsChèvre=MAUVAISE,VLOOKUP("Paille",AlimentsRationCaprinsFemelles,2,FALSE),0)+LitièreCaprins[[#Totals],[Litière]])))))))))</f>
        <v>0</v>
      </c>
      <c r="CB217" s="1350"/>
      <c r="CC217" s="1350"/>
      <c r="CD217" s="1345"/>
      <c r="CE217" s="1345"/>
      <c r="CF217" s="1345"/>
      <c r="CG217" s="1345"/>
      <c r="CH217" s="1345"/>
      <c r="CI217" s="1321"/>
      <c r="CJ217" s="1321"/>
      <c r="CK217" s="1321"/>
      <c r="CL217" s="1321"/>
      <c r="CM217" s="1321"/>
      <c r="CN217" s="1321"/>
      <c r="CO217" s="1321"/>
      <c r="CP217" s="1321"/>
      <c r="CQ217" s="1321"/>
      <c r="CR217" s="1321"/>
      <c r="CS217" s="1321"/>
      <c r="CT217" s="1321"/>
      <c r="CU217" s="1321"/>
      <c r="CV217" s="1321"/>
      <c r="CW217" s="1321"/>
      <c r="CX217" s="1321"/>
      <c r="CY217" s="1321"/>
      <c r="CZ217" s="1321"/>
      <c r="DA217" s="1321"/>
      <c r="DB217" s="1321"/>
      <c r="DC217" s="1321"/>
      <c r="DD217" s="1321"/>
      <c r="DE217" s="1321"/>
      <c r="DF217" s="1321"/>
      <c r="DG217" s="1321"/>
      <c r="DH217" s="1321"/>
      <c r="DI217" s="1321"/>
      <c r="DJ217" s="1321"/>
      <c r="DK217" s="1321"/>
      <c r="DL217" s="1321"/>
      <c r="DM217" s="1321"/>
      <c r="DN217" s="1075" t="str">
        <f t="shared" si="68"/>
        <v>Ration complète</v>
      </c>
      <c r="DO217" s="1269">
        <f t="array" ref="DO217">IF(ChoixRationComplèteOvins=OUI,0,IFERROR(IF(OR(AND(INDEX(Règles_ovins[Specificite],MATCH(ChoixRationOvins&amp;$DN217,Règles_ovins[Ration]&amp;Règles_ovins[Aliment],0))="s1",IF($DN217=Spécificité1Ovins,1)),
AND(INDEX(Règles_ovins[Specificite],MATCH(ChoixRationOvins&amp;$DN217,Règles_ovins[Ration]&amp;Règles_ovins[Aliment],0))="s2",IF($DN217=Spécificité2Ovins,1)),
INDEX(Règles_ovins[Specificite],MATCH(ChoixRationOvins&amp;$DN217,Règles_ovins[Ration]&amp;Règles_ovins[Aliment],0))="c"),
INDEX(Règles_ovins[Valeur 12 et plus],MATCH(ChoixRationOvins&amp;$DN217,Règles_ovins[Ration]&amp;Règles_ovins[Aliment],0)),0),0)*IF(ChoixOvinsPréHiver=OUI,SUM(TotalOvinsAdultesRacesLaitières)*NbreJoursNourrirOvins,TotalBrebis*SUM(NbreJoursNourrirOvins)))</f>
        <v>0</v>
      </c>
      <c r="DP217" s="1269">
        <f t="array" ref="DP217">IF(ChoixRationComplèteOvins=OUI,0,IFERROR(IF(OR(AND(INDEX(Règles_ovins[Specificite],MATCH(ChoixRationOvins&amp;$DN217,Règles_ovins[Ration]&amp;Règles_ovins[Aliment],0))="s1",IF($DN217=Spécificité1Ovins,1)),
AND(INDEX(Règles_ovins[Specificite],MATCH(ChoixRationOvins&amp;$DN217,Règles_ovins[Ration]&amp;Règles_ovins[Aliment],0))="s2",IF($DN217=Spécificité2Ovins,1)),
INDEX(Règles_ovins[Specificite],MATCH(ChoixRationOvins&amp;$DN217,Règles_ovins[Ration]&amp;Règles_ovins[Aliment],0))="c"),
INDEX(Règles_ovins[Valeur 6-12],MATCH(ChoixRationOvins&amp;$DN217,Règles_ovins[Ration]&amp;Règles_ovins[Aliment],0)),0),0)*IF(ChoixOvinsPréHiver=OUI,SUM(TotalJeunesOvinsRacesLaitières)*NbreJoursNourrirOvins,TotalJeune_brebis_6_12_mois*SUM(NbreJoursNourrirOvins)))</f>
        <v>0</v>
      </c>
      <c r="DQ217" s="1269">
        <f t="array" ref="DQ217">IF(ChoixRationComplèteOvins=OUI,0,IFERROR(IF(OR(AND(INDEX(Règles_ovins[Specificite],MATCH(ChoixRationOvins&amp;$DN217,Règles_ovins[Ration]&amp;Règles_ovins[Aliment],0))="s1",IF($DN217=Spécificité1Ovins,1)),
AND(INDEX(Règles_ovins[Specificite],MATCH(ChoixRationOvins&amp;$DN217,Règles_ovins[Ration]&amp;Règles_ovins[Aliment],0))="s2",IF($DN217=Spécificité2Ovins,1)),
INDEX(Règles_ovins[Specificite],MATCH(ChoixRationOvins&amp;$DN217,Règles_ovins[Ration]&amp;Règles_ovins[Aliment],0))="c"),
INDEX(Règles_ovins[Valeur 3-6],MATCH(ChoixRationOvins&amp;$DN217,Règles_ovins[Ration]&amp;Règles_ovins[Aliment],0)),0),0)*IF(ChoixOvinsPréHiver=OUI,SUM(TotalOvins_3_6moisRacesLaitières)*NbreJoursNourrirOvins,TotalAgnelle_3_6_mois*SUM(NbreJoursNourrirOvins)))</f>
        <v>0</v>
      </c>
      <c r="DR217" s="1269">
        <f t="array" ref="DR217">IF(ChoixRationComplèteOvins=OUI,0,IFERROR(IF(OR(AND(INDEX(Règles_ovins[Specificite],MATCH(ChoixRationOvins&amp;$DN217,Règles_ovins[Ration]&amp;Règles_ovins[Aliment],0))="s1",IF($DN217=Spécificité1Ovins,1)),
AND(INDEX(Règles_ovins[Specificite],MATCH(ChoixRationOvins&amp;$DN217,Règles_ovins[Ration]&amp;Règles_ovins[Aliment],0))="s2",IF($DN217=Spécificité2Ovins,1)),
INDEX(Règles_ovins[Specificite],MATCH(ChoixRationOvins&amp;$DN217,Règles_ovins[Ration]&amp;Règles_ovins[Aliment],0))="c"),
INDEX(Règles_ovins[Valeur 0-3],MATCH(ChoixRationOvins&amp;$DN217,Règles_ovins[Ration]&amp;Règles_ovins[Aliment],0)),0),0)*IF(ChoixOvinsPréHiver=OUI,SUM(TotalOvins_3_6moisRacesLaitières)*NbreJoursNourrirOvins,TotalAgnelle_0_3_mois*SUM(NbreJoursNourrirOvins)))</f>
        <v>0</v>
      </c>
      <c r="DS217" s="1280">
        <f t="shared" si="67"/>
        <v>0</v>
      </c>
      <c r="DT217" s="1346"/>
      <c r="DU217" s="1346"/>
      <c r="DV217" s="1321"/>
      <c r="DW217" s="1321"/>
      <c r="DX217" s="1321"/>
      <c r="DY217" s="1321"/>
      <c r="DZ217" s="1321"/>
      <c r="EA217" s="1321"/>
      <c r="EB217" s="1321"/>
      <c r="EC217" s="1321"/>
      <c r="ED217" s="1345"/>
      <c r="EE217" s="1345"/>
      <c r="EF217" s="1321"/>
      <c r="EG217" s="1321"/>
      <c r="EH217" s="1321"/>
      <c r="EI217" s="1321"/>
      <c r="EJ217" s="1321"/>
      <c r="EK217" s="1345"/>
      <c r="EL217" s="1345"/>
      <c r="EM217" s="1321"/>
      <c r="EN217" s="1321"/>
      <c r="EO217" s="1321"/>
      <c r="EP217" s="1321"/>
      <c r="EQ217" s="1321"/>
      <c r="ER217" s="1345"/>
      <c r="ES217" s="1345"/>
      <c r="ET217" s="1321"/>
      <c r="EU217" s="1082" t="str">
        <f t="shared" si="73"/>
        <v>Foin</v>
      </c>
      <c r="EV217" s="1282">
        <f t="array" ref="EV217">SUM((IF(QualitéAlimentsPoulainSelleMâle=BONNE,VLOOKUP("Foin",AlimentsRationEcurieChevauxMâlesSelle,5,FALSE),0)+(IF(QualitéAlimentsPoulainSelleFemelle=BONNE,VLOOKUP("Foin",AlimentsRationEcurieChevauxFemellesSelle,5,FALSE),0)+(IF(QualitéAlimentsJeuneEtalon_12_24_moisSelle=BONNE,VLOOKUP("Foin",AlimentsRationEcurieChevauxMâlesSelle,4,FALSE),0)+(IF(QualitéAlimentsJeuneJument_12_24_moisSelle=BONNE,VLOOKUP("Foin",AlimentsRationEcurieChevauxFemellesSelle,4,FALSE),0)+(IF(QualitéAlimentsJeuneEtalon_24_36_moisSelle=BONNE,VLOOKUP("Foin",AlimentsRationEcurieChevauxMâlesSelle,3,FALSE),0)+(IF(QualitéAlimentsJeuneJument_24_36_moisSelle=BONNE,VLOOKUP("Foin",AlimentsRationEcurieChevauxFemellesSelle,3,FALSE),0)+(IF(QualitéAlimentsEtalonSelle=BONNE,VLOOKUP("Foin",AlimentsRationEcurieChevauxMâlesSelle,2,FALSE),0)+(IF(QualitéAlimentsJumentSelle=BONNE,VLOOKUP("Foin",AlimentsRationEcurieChevauxFemellesSelle,2,FALSE),0))))))))))</f>
        <v>0</v>
      </c>
      <c r="EW217" s="1282">
        <f t="array" ref="EW217">SUM((IF(QualitéAlimentsPoulainSelleMâle=MOYENNE,VLOOKUP("Foin",AlimentsRationEcurieChevauxMâlesSelle,5,FALSE),0)+(IF(QualitéAlimentsPoulainSelleFemelle=MOYENNE,VLOOKUP("Foin",AlimentsRationEcurieChevauxFemellesSelle,5,FALSE),0)+(IF(QualitéAlimentsJeuneEtalon_12_24_moisSelle=MOYENNE,VLOOKUP("Foin",AlimentsRationEcurieChevauxMâlesSelle,4,FALSE),0)+(IF(QualitéAlimentsJeuneJument_12_24_moisSelle=MOYENNE,VLOOKUP("Foin",AlimentsRationEcurieChevauxFemellesSelle,4,FALSE),0)+(IF(QualitéAlimentsJeuneEtalon_24_36_moisSelle=MOYENNE,VLOOKUP("Foin",AlimentsRationEcurieChevauxMâlesSelle,3,FALSE),0)+(IF(QualitéAlimentsJeuneJument_24_36_moisSelle=MOYENNE,VLOOKUP("Foin",AlimentsRationEcurieChevauxFemellesSelle,3,FALSE),0)+(IF(QualitéAlimentsEtalonSelle=MOYENNE,VLOOKUP("Foin",AlimentsRationEcurieChevauxMâlesSelle,2,FALSE),0)+(IF(QualitéAlimentsJumentSelle=MOYENNE,VLOOKUP("Foin",AlimentsRationEcurieChevauxFemellesSelle,2,FALSE),0))))))))))</f>
        <v>0</v>
      </c>
      <c r="EX217" s="1282">
        <f t="array" ref="EX217">SUM((IF(QualitéAlimentsPoulainSelleMâle=MAUVAISE,VLOOKUP("Foin",AlimentsRationEcurieChevauxMâlesSelle,5,FALSE),0)+(IF(QualitéAlimentsPoulainSelleFemelle=MAUVAISE,VLOOKUP("Foin",AlimentsRationEcurieChevauxFemellesSelle,5,FALSE),0)+(IF(QualitéAlimentsJeuneEtalon_12_24_moisSelle=MAUVAISE,VLOOKUP("Foin",AlimentsRationEcurieChevauxMâlesSelle,4,FALSE),0)+(IF(QualitéAlimentsJeuneJument_12_24_moisSelle=MAUVAISE,VLOOKUP("Foin",AlimentsRationEcurieChevauxFemellesSelle,4,FALSE),0)+(IF(QualitéAlimentsJeuneEtalon_24_36_moisSelle=MAUVAISE,VLOOKUP("Foin",AlimentsRationEcurieChevauxMâlesSelle,3,FALSE),0)+(IF(QualitéAlimentsJeuneJument_24_36_moisSelle=MAUVAISE,VLOOKUP("Foin",AlimentsRationEcurieChevauxFemellesSelle,3,FALSE),0)+(IF(QualitéAlimentsEtalonSelle=MAUVAISE,VLOOKUP("Foin",AlimentsRationEcurieChevauxMâlesSelle,2,FALSE),0)+(IF(QualitéAlimentsJumentSelle=MAUVAISE,VLOOKUP("Foin",AlimentsRationEcurieChevauxFemellesSelle,2,FALSE),0))))))))))</f>
        <v>0</v>
      </c>
      <c r="EY217" s="1321"/>
      <c r="EZ217" s="1345"/>
      <c r="FA217" s="1345"/>
      <c r="FB217" s="1345"/>
      <c r="FC217" s="1321"/>
      <c r="FD217" s="1083" t="str">
        <f t="shared" si="72"/>
        <v>Minéraux + vitamines</v>
      </c>
      <c r="FE217" s="1283">
        <f t="array" ref="FE217">SUM((IF(QualitéAlimentsPoulainMâleTrait=BONNE,VLOOKUP("Minéraux + vitamines",AlimentsRationEcurieChevauxMâlesTrait,5,FALSE),0)+(IF(QualitéAlimentsPoulainFemelleTrait=BONNE,VLOOKUP("Minéraux + vitamines",AlimentsRationEcurieChevauxFemellesTrait,5,FALSE),0)+(IF(QualitéAlimentsJeuneEtalon_12_24_moisTrait=BONNE,VLOOKUP("Minéraux + vitamines",AlimentsRationEcurieChevauxMâlesTrait,4,FALSE),0)+(IF(QualitéAlimentsJeuneJument_12_24_moisTrait=BONNE,VLOOKUP("Minéraux + vitamines",AlimentsRationEcurieChevauxFemellesTrait,4,FALSE),0)+(IF(QualitéAlimentsJeuneEtalon_24_36_moisTrait=BONNE,VLOOKUP("Minéraux + vitamines",AlimentsRationEcurieChevauxMâlesTrait,3,FALSE),0)+(IF(QualitéAlimentsJeuneJument_24_36_moisTrait=BONNE,VLOOKUP("Minéraux + vitamines",AlimentsRationEcurieChevauxFemellesTrait,3,FALSE),0)+(IF(QualitéAlimentsEtalonTrait=BONNE,VLOOKUP("Minéraux + vitamines",AlimentsRationEcurieChevauxMâlesTrait,2,FALSE),0)+(IF(QualitéAlimentsJumentTrait=BONNE,VLOOKUP("Minéraux + vitamines",AlimentsRationEcurieChevauxFemellesTrait,2,FALSE),0))))))))))</f>
        <v>0</v>
      </c>
      <c r="FF217" s="1283">
        <f t="array" ref="FF217">SUM((IF(QualitéAlimentsPoulainMâleTrait=MOYENNE,VLOOKUP("Minéraux + vitamines",AlimentsRationEcurieChevauxMâlesTrait,5,FALSE),0)+(IF(QualitéAlimentsPoulainFemelleTrait=MOYENNE,VLOOKUP("Minéraux + vitamines",AlimentsRationEcurieChevauxFemellesTrait,5,FALSE),0)+(IF(QualitéAlimentsJeuneEtalon_12_24_moisTrait=MOYENNE,VLOOKUP("Minéraux + vitamines",AlimentsRationEcurieChevauxMâlesTrait,4,FALSE),0)+(IF(QualitéAlimentsJeuneJument_12_24_moisTrait=MOYENNE,VLOOKUP("Minéraux + vitamines",AlimentsRationEcurieChevauxFemellesTrait,4,FALSE),0)+(IF(QualitéAlimentsJeuneEtalon_24_36_moisTrait=MOYENNE,VLOOKUP("Minéraux + vitamines",AlimentsRationEcurieChevauxMâlesTrait,3,FALSE),0)+(IF(QualitéAlimentsJeuneJument_24_36_moisTrait=MOYENNE,VLOOKUP("Minéraux + vitamines",AlimentsRationEcurieChevauxFemellesTrait,3,FALSE),0)+(IF(QualitéAlimentsEtalonTrait=MOYENNE,VLOOKUP("Minéraux + vitamines",AlimentsRationEcurieChevauxMâlesTrait,2,FALSE),0)+(IF(QualitéAlimentsJumentTrait=MOYENNE,VLOOKUP("Minéraux + vitamines",AlimentsRationEcurieChevauxFemellesTrait,2,FALSE),0))))))))))</f>
        <v>0</v>
      </c>
      <c r="FG217" s="1283">
        <f t="array" ref="FG217">SUM((IF(QualitéAlimentsPoulainMâleTrait=MAUVAISE,VLOOKUP("Minéraux + vitamines",AlimentsRationEcurieChevauxMâlesTrait,5,FALSE),0)+(IF(QualitéAlimentsPoulainFemelleTrait=MAUVAISE,VLOOKUP("Minéraux + vitamines",AlimentsRationEcurieChevauxFemellesTrait,5,FALSE),0)+(IF(QualitéAlimentsJeuneEtalon_12_24_moisTrait=MAUVAISE,VLOOKUP("Minéraux + vitamines",AlimentsRationEcurieChevauxMâlesTrait,4,FALSE),0)+(IF(QualitéAlimentsJeuneJument_12_24_moisTrait=MAUVAISE,VLOOKUP("Minéraux + vitamines",AlimentsRationEcurieChevauxFemellesTrait,4,FALSE),0)+(IF(QualitéAlimentsJeuneEtalon_24_36_moisTrait=MAUVAISE,VLOOKUP("Minéraux + vitamines",AlimentsRationEcurieChevauxMâlesTrait,3,FALSE),0)+(IF(QualitéAlimentsJeuneJument_24_36_moisTrait=MAUVAISE,VLOOKUP("Minéraux + vitamines",AlimentsRationEcurieChevauxFemellesTrait,3,FALSE),0)+(IF(QualitéAlimentsEtalonTrait=MAUVAISE,VLOOKUP("Minéraux + vitamines",AlimentsRationEcurieChevauxMâlesTrait,2,FALSE),0)+(IF(QualitéAlimentsJumentTrait=MAUVAISE,VLOOKUP("Minéraux + vitamines",AlimentsRationEcurieChevauxFemellesTrait,2,FALSE),0))))))))))</f>
        <v>0</v>
      </c>
      <c r="FH217" s="1321"/>
      <c r="FI217" s="1321"/>
      <c r="FJ217" s="1345"/>
      <c r="FK217" s="1345"/>
      <c r="FL217" s="1345"/>
      <c r="FM217" s="1321"/>
      <c r="FN217" s="1082" t="str">
        <f t="shared" si="71"/>
        <v>Orge</v>
      </c>
      <c r="FO217" s="1282">
        <f t="array" ref="FO217">SUM((IF(QualitéAlimentsPoulainMâlePoney=BONNE,VLOOKUP("Orge",AlimentsRationEcuriePoneysMâles,5,FALSE),0)+(IF(QualitéAlimentsPoulainFemellePoney=BONNE,VLOOKUP("Orge",AlimentsRationEcuriePoneysFemelles,5,FALSE),0)+(IF(QualitéAlimentsJeuneEtalon_12_24_moisPoney=BONNE,VLOOKUP("Orge",AlimentsRationEcuriePoneysMâles,4,FALSE),0)+(IF(QualitéAlimentsJeuneJument_12_24_moisPoney=BONNE,VLOOKUP("Orge",AlimentsRationEcuriePoneysFemelles,4,FALSE),0)+(IF(QualitéAlimentsJeuneEtalon_24_36_moisPoney=BONNE,VLOOKUP("Orge",AlimentsRationEcuriePoneysMâles,3,FALSE),0)+(IF(QualitéAlimentsJeuneJument_24_36_moisPoney=BONNE,VLOOKUP("Orge",AlimentsRationEcuriePoneysFemelles,3,FALSE),0)+(IF(QualitéAlimentsEtalonPoney=BONNE,VLOOKUP("Orge",AlimentsRationEcuriePoneysMâles,2,FALSE),0)+(IF(QualitéAlimentsJumentPoney=BONNE,VLOOKUP("Orge",AlimentsRationEcuriePoneysFemelles,2,FALSE),0))))))))))</f>
        <v>0</v>
      </c>
      <c r="FP217" s="1282">
        <f t="array" ref="FP217">SUM((IF(QualitéAlimentsPoulainMâlePoney=MOYENNE,VLOOKUP("Orge",AlimentsRationEcuriePoneysMâles,5,FALSE),0)+(IF(QualitéAlimentsPoulainFemellePoney=MOYENNE,VLOOKUP("Orge",AlimentsRationEcuriePoneysFemelles,5,FALSE),0)+(IF(QualitéAlimentsJeuneEtalon_12_24_moisPoney=MOYENNE,VLOOKUP("Orge",AlimentsRationEcuriePoneysMâles,4,FALSE),0)+(IF(QualitéAlimentsJeuneJument_12_24_moisPoney=MOYENNE,VLOOKUP("Orge",AlimentsRationEcuriePoneysFemelles,4,FALSE),0)+(IF(QualitéAlimentsJeuneEtalon_24_36_moisPoney=MOYENNE,VLOOKUP("Orge",AlimentsRationEcuriePoneysMâles,3,FALSE),0)+(IF(QualitéAlimentsJeuneJument_24_36_moisPoney=MOYENNE,VLOOKUP("Orge",AlimentsRationEcuriePoneysFemelles,3,FALSE),0)+(IF(QualitéAlimentsEtalonPoney=MOYENNE,VLOOKUP("Orge",AlimentsRationEcuriePoneysMâles,2,FALSE),0)+(IF(QualitéAlimentsJumentPoney=MOYENNE,VLOOKUP("Orge",AlimentsRationEcuriePoneysFemelles,2,FALSE),0))))))))))</f>
        <v>0</v>
      </c>
      <c r="FQ217" s="1282">
        <f t="array" ref="FQ217">SUM((IF(QualitéAlimentsPoulainMâlePoney=MAUVAISE,VLOOKUP("Orge",AlimentsRationEcuriePoneysMâles,5,FALSE),0)+(IF(QualitéAlimentsPoulainFemellePoney=MAUVAISE,VLOOKUP("Orge",AlimentsRationEcuriePoneysFemelles,5,FALSE),0)+(IF(QualitéAlimentsJeuneEtalon_12_24_moisPoney=MAUVAISE,VLOOKUP("Orge",AlimentsRationEcuriePoneysMâles,4,FALSE),0)+(IF(QualitéAlimentsJeuneJument_12_24_moisPoney=MAUVAISE,VLOOKUP("Orge",AlimentsRationEcuriePoneysFemelles,4,FALSE),0)+(IF(QualitéAlimentsJeuneEtalon_24_36_moisPoney=MAUVAISE,VLOOKUP("Orge",AlimentsRationEcuriePoneysMâles,3,FALSE),0)+(IF(QualitéAlimentsJeuneJument_24_36_moisPoney=MAUVAISE,VLOOKUP("Orge",AlimentsRationEcuriePoneysFemelles,3,FALSE),0)+(IF(QualitéAlimentsEtalonPoney=MAUVAISE,VLOOKUP("Orge",AlimentsRationEcuriePoneysMâles,2,FALSE),0)+(IF(QualitéAlimentsJumentPoney=MAUVAISE,VLOOKUP("Orge",AlimentsRationEcuriePoneysFemelles,2,FALSE),0))))))))))</f>
        <v>0</v>
      </c>
      <c r="FR217" s="1345"/>
      <c r="FS217" s="1345"/>
      <c r="FT217" s="1345"/>
      <c r="FU217" s="1345"/>
      <c r="FV217" s="1345"/>
      <c r="FW217" s="1321"/>
      <c r="FX217" s="1321"/>
      <c r="FY217" s="1321"/>
      <c r="FZ217" s="1321"/>
      <c r="GA217" s="1345"/>
      <c r="GB217" s="1321"/>
      <c r="GC217" s="1321"/>
      <c r="GD217" s="1321"/>
      <c r="GE217" s="1321"/>
      <c r="GF217" s="1321"/>
      <c r="GG217" s="1321" t="s">
        <v>1349</v>
      </c>
      <c r="GH217" s="1321" t="s">
        <v>1349</v>
      </c>
      <c r="GI217" s="1321" t="s">
        <v>1349</v>
      </c>
      <c r="GJ217" s="1321" t="s">
        <v>1349</v>
      </c>
      <c r="GK217" s="1321" t="s">
        <v>1349</v>
      </c>
      <c r="GL217" s="1321" t="s">
        <v>1349</v>
      </c>
      <c r="GM217" s="1321" t="s">
        <v>1349</v>
      </c>
      <c r="GN217" s="1321" t="s">
        <v>1349</v>
      </c>
      <c r="GO217" s="1321" t="s">
        <v>1349</v>
      </c>
      <c r="GP217" s="1321" t="s">
        <v>1349</v>
      </c>
      <c r="GQ217" s="1321" t="s">
        <v>1349</v>
      </c>
      <c r="GR217" s="1321" t="s">
        <v>1349</v>
      </c>
      <c r="GS217" s="1321" t="s">
        <v>1349</v>
      </c>
      <c r="GT217" s="1321" t="s">
        <v>1349</v>
      </c>
      <c r="GU217" s="1321" t="s">
        <v>1349</v>
      </c>
      <c r="GV217" s="1321" t="s">
        <v>1349</v>
      </c>
      <c r="GW217" s="1321"/>
      <c r="GX217" s="1321"/>
      <c r="GY217" s="1321"/>
      <c r="GZ217" s="1321"/>
      <c r="HA217" s="1321"/>
      <c r="HB217" s="1321"/>
      <c r="HC217" s="1321"/>
      <c r="HD217" s="1321"/>
      <c r="HE217" s="1321"/>
      <c r="HF217" s="1321"/>
      <c r="HG217" s="1321"/>
      <c r="HH217" s="1321"/>
      <c r="HI217" s="1321"/>
      <c r="HJ217" s="1321"/>
      <c r="HK217" s="1321"/>
      <c r="HL217" s="1321"/>
      <c r="HM217" s="1321"/>
      <c r="HN217" s="1321"/>
      <c r="HO217" s="1321"/>
      <c r="HP217" s="1321"/>
      <c r="HQ217" s="1321"/>
      <c r="HR217" s="1321"/>
      <c r="HS217" s="1321"/>
      <c r="HT217" s="1321"/>
      <c r="HU217" s="1321"/>
      <c r="HV217" s="1321"/>
      <c r="HW217" s="1321"/>
      <c r="HX217" s="1321"/>
      <c r="HY217" s="1321"/>
      <c r="HZ217" s="1321"/>
      <c r="IA217" s="1321"/>
      <c r="IB217" s="1321"/>
      <c r="IC217" s="1321"/>
      <c r="ID217" s="1321"/>
      <c r="IE217" s="1321"/>
      <c r="IF217" s="1321"/>
      <c r="IG217" s="1321"/>
      <c r="IH217" s="1321"/>
      <c r="II217" s="1321"/>
      <c r="IJ217" s="1321"/>
      <c r="IK217" s="1321"/>
      <c r="IL217" s="1321"/>
      <c r="IM217" s="1321"/>
      <c r="IN217" s="1368"/>
    </row>
    <row r="218" spans="1:248" ht="12.75" customHeight="1" x14ac:dyDescent="0.2">
      <c r="A218" s="1319"/>
      <c r="B218" s="1321"/>
      <c r="C218" s="1321"/>
      <c r="D218" s="1321"/>
      <c r="E218" s="1321"/>
      <c r="F218" s="1321"/>
      <c r="G218" s="1321"/>
      <c r="H218" s="1321"/>
      <c r="I218" s="1321"/>
      <c r="J218" s="1321"/>
      <c r="K218" s="1321"/>
      <c r="L218" s="1321"/>
      <c r="M218" s="1321"/>
      <c r="N218" s="1321"/>
      <c r="O218" s="1321"/>
      <c r="P218" s="1321"/>
      <c r="Q218" s="1321"/>
      <c r="R218" s="1321"/>
      <c r="S218" s="1321"/>
      <c r="T218" s="1321"/>
      <c r="U218" s="1321"/>
      <c r="V218" s="1321"/>
      <c r="W218" s="1321"/>
      <c r="X218" s="1321"/>
      <c r="Y218" s="1321"/>
      <c r="Z218" s="1321"/>
      <c r="AA218" s="1321"/>
      <c r="AB218" s="1321"/>
      <c r="AC218" s="1321"/>
      <c r="AD218" s="1321"/>
      <c r="AE218" s="1321"/>
      <c r="AF218" s="1321"/>
      <c r="AG218" s="1321"/>
      <c r="AH218" s="1321"/>
      <c r="AI218" s="1321"/>
      <c r="AJ218" s="1321"/>
      <c r="AK218" s="1321"/>
      <c r="AL218" s="1321"/>
      <c r="AM218" s="1321"/>
      <c r="AN218" s="1321"/>
      <c r="AO218" s="1321"/>
      <c r="AP218" s="1321"/>
      <c r="AQ218" s="1321"/>
      <c r="AR218" s="1321"/>
      <c r="AS218" s="1321"/>
      <c r="AT218" s="1321"/>
      <c r="AU218" s="1321"/>
      <c r="AV218" s="1321"/>
      <c r="AW218" s="1321"/>
      <c r="AX218" s="1321"/>
      <c r="AY218" s="1321"/>
      <c r="AZ218" s="1321"/>
      <c r="BA218" s="1321"/>
      <c r="BB218" s="1076" t="s">
        <v>1272</v>
      </c>
      <c r="BC218" s="1267">
        <f t="array" ref="BC218">IF(Ration_complète_bovins[somme]&gt;0,0,IFERROR(IF(OR(AND(INDEX(Règles_bovins[Specificite],MATCH(ChoixRationBovins&amp;$BB218,Règles_bovins[Ration]&amp;Règles_bovins[Aliment],0))="s1",IF($BB218=Spécificité1Bovins,1)),
AND(INDEX(Règles_bovins[Specificite],MATCH(ChoixRationBovins&amp;$BB218,Règles_bovins[Ration]&amp;Règles_bovins[Aliment],0))="s2",IF($BB218=Spécificité2Bovins,1)),
INDEX(Règles_bovins[Specificite],MATCH(ChoixRationBovins&amp;$BB218,Règles_bovins[Ration]&amp;Règles_bovins[Aliment],0))="c"),
INDEX(Règles_bovins[Valeur 36 et plus],MATCH(ChoixRationBovins&amp;$BB218,Règles_bovins[Ration]&amp;Règles_bovins[Aliment],0)),0),0)*IF(ChoixBovinsPréHiver=OUI,TotalTaureauxRacesLaitières,TotalTaureaux*SUM(NbreJoursNourrirBovins)))</f>
        <v>0</v>
      </c>
      <c r="BD218" s="1267">
        <f t="array" ref="BD218">IF(Ration_complète_bovins[somme]&gt;0,0,IFERROR(IF(OR(AND(INDEX(Règles_bovins[Specificite],MATCH(ChoixRationBovins&amp;$BB218,Règles_bovins[Ration]&amp;Règles_bovins[Aliment],0))="s1",IF($BB218=Spécificité1Bovins,1)),
AND(INDEX(Règles_bovins[Specificite],MATCH(ChoixRationBovins&amp;$BB218,Règles_bovins[Ration]&amp;Règles_bovins[Aliment],0))="s2",IF($BB218=Spécificité2Bovins,1)),
INDEX(Règles_bovins[Specificite],MATCH(ChoixRationBovins&amp;$BB218,Règles_bovins[Ration]&amp;Règles_bovins[Aliment],0))="c"),
INDEX(Règles_bovins[Valeur 24-36],MATCH(ChoixRationBovins&amp;$BB218,Règles_bovins[Ration]&amp;Règles_bovins[Aliment],0)),0),0)*IF(ChoixBovinsPréHiver=OUI,TotalTaurillon_24_36_RacesLaitières,TotalBovinsMâles_24_36mois*SUM(NbreJoursNourrirBovins)))</f>
        <v>0</v>
      </c>
      <c r="BE218" s="1267">
        <f t="array" ref="BE218">IF(Ration_complète_bovins[somme]&gt;0,0,IFERROR(IF(OR(AND(INDEX(Règles_bovins[Specificite],MATCH(ChoixRationBovins&amp;$BB218,Règles_bovins[Ration]&amp;Règles_bovins[Aliment],0))="s1",IF($BB218=Spécificité1Bovins,1)),
AND(INDEX(Règles_bovins[Specificite],MATCH(ChoixRationBovins&amp;$BB218,Règles_bovins[Ration]&amp;Règles_bovins[Aliment],0))="s2",IF($BB218=Spécificité2Bovins,1)),
INDEX(Règles_bovins[Specificite],MATCH(ChoixRationBovins&amp;$BB218,Règles_bovins[Ration]&amp;Règles_bovins[Aliment],0))="c"),
INDEX(Règles_bovins[Valeur 18-24],MATCH(ChoixRationBovins&amp;$BB218,Règles_bovins[Ration]&amp;Règles_bovins[Aliment],0)),0),0)*IF(ChoixBovinsPréHiver=OUI,TotalTaurillon_18_24_RacesLaitières,TotalBovinsMâles_18_24mois*SUM(NbreJoursNourrirBovins)))</f>
        <v>0</v>
      </c>
      <c r="BF218" s="1267">
        <f t="array" ref="BF218">IF(Ration_complète_bovins[somme]&gt;0,0,IFERROR(IF(OR(AND(INDEX(Règles_bovins[Specificite],MATCH(ChoixRationBovins&amp;$BB218,Règles_bovins[Ration]&amp;Règles_bovins[Aliment],0))="s1",IF($BB218=Spécificité1Bovins,1)),
AND(INDEX(Règles_bovins[Specificite],MATCH(ChoixRationBovins&amp;$BB218,Règles_bovins[Ration]&amp;Règles_bovins[Aliment],0))="s2",IF($BB218=Spécificité2Bovins,1)),
INDEX(Règles_bovins[Specificite],MATCH(ChoixRationBovins&amp;$BB218,Règles_bovins[Ration]&amp;Règles_bovins[Aliment],0))="c"),
INDEX(Règles_bovins[Valeur 12-18],MATCH(ChoixRationBovins&amp;$BB218,Règles_bovins[Ration]&amp;Règles_bovins[Aliment],0)),0),0)*IF(ChoixBovinsPréHiver=OUI,animaux!D41,TotalBovinsMâles_12_18mois*SUM(NbreJoursNourrirBovins)))</f>
        <v>0</v>
      </c>
      <c r="BG218" s="1267">
        <f t="array" ref="BG218">IF(Ration_complète_bovins[somme]&gt;0,0,IFERROR(IF(OR(AND(INDEX(Règles_bovins[Specificite],MATCH(ChoixRationBovins&amp;$BB218,Règles_bovins[Ration]&amp;Règles_bovins[Aliment],0))="s1",IF($BB218=Spécificité1Bovins,1)),
AND(INDEX(Règles_bovins[Specificite],MATCH(ChoixRationBovins&amp;$BB218,Règles_bovins[Ration]&amp;Règles_bovins[Aliment],0))="s2",IF($BB218=Spécificité2Bovins,1)),
INDEX(Règles_bovins[Specificite],MATCH(ChoixRationBovins&amp;$BB218,Règles_bovins[Ration]&amp;Règles_bovins[Aliment],0))="c"),
INDEX(Règles_bovins[Valeur 6-12],MATCH(ChoixRationBovins&amp;$BB218,Règles_bovins[Ration]&amp;Règles_bovins[Aliment],0)),0),0)*IF(ChoixBovinsPréHiver=OUI,TotalVeauMâle_6_12_RacesLaitières,TotalBovinsMâles_6_12mois*SUM(NbreJoursNourrirBovins)))</f>
        <v>0</v>
      </c>
      <c r="BH218" s="1267">
        <f t="array" ref="BH218">IF(Ration_complète_bovins[somme]&gt;0,0,IFERROR(IF(OR(AND(INDEX(Règles_bovins[Specificite],MATCH(ChoixRationBovins&amp;$BB218,Règles_bovins[Ration]&amp;Règles_bovins[Aliment],0))="s1",IF($BB218=Spécificité1Bovins,1)),
AND(INDEX(Règles_bovins[Specificite],MATCH(ChoixRationBovins&amp;$BB218,Règles_bovins[Ration]&amp;Règles_bovins[Aliment],0))="s2",IF($BB218=Spécificité2Bovins,1)),
INDEX(Règles_bovins[Specificite],MATCH(ChoixRationBovins&amp;$BB218,Règles_bovins[Ration]&amp;Règles_bovins[Aliment],0))="c"),
INDEX(Règles_bovins[Valeur 3-6],MATCH(ChoixRationBovins&amp;$BB218,Règles_bovins[Ration]&amp;Règles_bovins[Aliment],0)),0),0)*IF(ChoixBovinsPréHiver=OUI,TotalVeauMâle_3_6_RacesLaitières,TotalBovinsMâles_3_6mois*SUM(NbreJoursNourrirBovins)))</f>
        <v>0</v>
      </c>
      <c r="BI218" s="1267">
        <f t="array" ref="BI218">IF(Ration_complète_bovins[somme]&gt;0,0,IFERROR(IF(OR(AND(INDEX(Règles_bovins[Specificite],MATCH(ChoixRationBovins&amp;$BB218,Règles_bovins[Ration]&amp;Règles_bovins[Aliment],0))="s1",IF($BB218=Spécificité1Bovins,1)),
AND(INDEX(Règles_bovins[Specificite],MATCH(ChoixRationBovins&amp;$BB218,Règles_bovins[Ration]&amp;Règles_bovins[Aliment],0))="s2",IF($BB218=Spécificité2Bovins,1)),
INDEX(Règles_bovins[Specificite],MATCH(ChoixRationBovins&amp;$BB218,Règles_bovins[Ration]&amp;Règles_bovins[Aliment],0))="c"),
INDEX(Règles_bovins[Valeur 0-3],MATCH(ChoixRationBovins&amp;$BB218,Règles_bovins[Ration]&amp;Règles_bovins[Aliment],0)),0),0)*IF(ChoixBovinsPréHiver=OUI,TotalVeauMâle_0_3_RacesLaitières,TotalBovinsMâles_0_3mois*SUM(NbreJoursNourrirBovins)))</f>
        <v>0</v>
      </c>
      <c r="BJ218" s="1268">
        <f t="shared" si="69"/>
        <v>0</v>
      </c>
      <c r="BK218" s="1321"/>
      <c r="BL218" s="1321"/>
      <c r="BM218" s="1346"/>
      <c r="BN218" s="1321"/>
      <c r="BO218" s="1321"/>
      <c r="BP218" s="1321"/>
      <c r="BQ218" s="1321"/>
      <c r="BR218" s="1321"/>
      <c r="BS218" s="1321"/>
      <c r="BT218" s="1321"/>
      <c r="BU218" s="1321"/>
      <c r="BV218" s="1345"/>
      <c r="BW218" s="1345"/>
      <c r="BX218" s="1076" t="str">
        <f t="shared" si="70"/>
        <v>Pois</v>
      </c>
      <c r="BY218" s="1267">
        <f t="array" ref="BY218">SUM((IF(QualitéAlimentsChevreau_0_3_mois=BONNE,VLOOKUP("Pois",AlimentsRationCaprinsMâles,5,FALSE),0)+(IF(QualitéAlimentsChevrette_0_3_mois=BONNE,VLOOKUP("Pois",AlimentsRationCaprinsFemelles,5,FALSE),0)+(IF(QualitéAlimentsChevreau_3_6_mois=BONNE,VLOOKUP("Pois",AlimentsRationCaprinsMâles,4,FALSE),0)+(IF(QualitéAlimentsChevrette_3_6_mois=BONNE,VLOOKUP("Pois",AlimentsRationCaprinsFemelles,4,FALSE),0)+(IF(QualitéAlimentsJeuneBouc=BONNE,VLOOKUP("Pois",AlimentsRationCaprinsMâles,3,FALSE),0)+(IF(QualitéAlimentsJeuneChèvre=BONNE,VLOOKUP("Pois",AlimentsRationCaprinsFemelles,3,FALSE),0)+(IF(QualitéAlimentsBouc=BONNE,VLOOKUP("Pois",AlimentsRationCaprinsMâles,2,FALSE),0)+(IF(QualitéAlimentsChèvre=BONNE,VLOOKUP("Pois",AlimentsRationCaprinsFemelles,2,FALSE),0))))))))))</f>
        <v>0</v>
      </c>
      <c r="BZ218" s="1267">
        <f t="array" ref="BZ218">SUM((IF(QualitéAlimentsChevreau_0_3_mois=MOYENNE,VLOOKUP("Pois",AlimentsRationCaprinsMâles,5,FALSE),0)+(IF(QualitéAlimentsChevrette_0_3_mois=MOYENNE,VLOOKUP("Pois",AlimentsRationCaprinsFemelles,5,FALSE),0)+(IF(QualitéAlimentsChevreau_3_6_mois=MOYENNE,VLOOKUP("Pois",AlimentsRationCaprinsMâles,4,FALSE),0)+(IF(QualitéAlimentsChevrette_3_6_mois=MOYENNE,VLOOKUP("Pois",AlimentsRationCaprinsFemelles,4,FALSE),0)+(IF(QualitéAlimentsJeuneBouc=MOYENNE,VLOOKUP("Pois",AlimentsRationCaprinsMâles,3,FALSE),0)+(IF(QualitéAlimentsJeuneChèvre=MOYENNE,VLOOKUP("Pois",AlimentsRationCaprinsFemelles,3,FALSE),0)+(IF(QualitéAlimentsBouc=MOYENNE,VLOOKUP("Pois",AlimentsRationCaprinsMâles,2,FALSE),0)+(IF(QualitéAlimentsChèvre=MOYENNE,VLOOKUP("Pois",AlimentsRationCaprinsFemelles,2,FALSE),0))))))))))</f>
        <v>0</v>
      </c>
      <c r="CA218" s="1267">
        <f t="array" ref="CA218">SUM((IF(QualitéAlimentsChevreau_0_3_mois=MAUVAISE,VLOOKUP("Pois",AlimentsRationCaprinsMâles,5,FALSE),0)+(IF(QualitéAlimentsChevrette_0_3_mois=MAUVAISE,VLOOKUP("Pois",AlimentsRationCaprinsFemelles,5,FALSE),0)+(IF(QualitéAlimentsChevreau_3_6_mois=MAUVAISE,VLOOKUP("Pois",AlimentsRationCaprinsMâles,4,FALSE),0)+(IF(QualitéAlimentsChevrette_3_6_mois=MAUVAISE,VLOOKUP("Pois",AlimentsRationCaprinsFemelles,4,FALSE),0)+(IF(QualitéAlimentsJeuneBouc=MAUVAISE,VLOOKUP("Pois",AlimentsRationCaprinsMâles,3,FALSE),0)+(IF(QualitéAlimentsJeuneChèvre=MAUVAISE,VLOOKUP("Pois",AlimentsRationCaprinsFemelles,3,FALSE),0)+(IF(QualitéAlimentsBouc=MAUVAISE,VLOOKUP("Pois",AlimentsRationCaprinsMâles,2,FALSE),0)+(IF(QualitéAlimentsChèvre=MAUVAISE,VLOOKUP("Pois",AlimentsRationCaprinsFemelles,2,FALSE),0))))))))))</f>
        <v>0</v>
      </c>
      <c r="CB218" s="1321"/>
      <c r="CC218" s="1321"/>
      <c r="CD218" s="1345"/>
      <c r="CE218" s="1345"/>
      <c r="CF218" s="1345"/>
      <c r="CG218" s="1345"/>
      <c r="CH218" s="1345"/>
      <c r="CI218" s="1321"/>
      <c r="CJ218" s="1321"/>
      <c r="CK218" s="1321"/>
      <c r="CL218" s="1321"/>
      <c r="CM218" s="1321"/>
      <c r="CN218" s="1321"/>
      <c r="CO218" s="1321"/>
      <c r="CP218" s="1321"/>
      <c r="CQ218" s="1321"/>
      <c r="CR218" s="1321"/>
      <c r="CS218" s="1321"/>
      <c r="CT218" s="1321"/>
      <c r="CU218" s="1321"/>
      <c r="CV218" s="1321"/>
      <c r="CW218" s="1321"/>
      <c r="CX218" s="1321"/>
      <c r="CY218" s="1321"/>
      <c r="CZ218" s="1321"/>
      <c r="DA218" s="1321"/>
      <c r="DB218" s="1321"/>
      <c r="DC218" s="1321"/>
      <c r="DD218" s="1321"/>
      <c r="DE218" s="1321"/>
      <c r="DF218" s="1321"/>
      <c r="DG218" s="1321"/>
      <c r="DH218" s="1321"/>
      <c r="DI218" s="1321"/>
      <c r="DJ218" s="1321"/>
      <c r="DK218" s="1321"/>
      <c r="DL218" s="1321"/>
      <c r="DM218" s="1321"/>
      <c r="DN218" s="1076" t="str">
        <f t="shared" si="68"/>
        <v>Seigle</v>
      </c>
      <c r="DO218" s="1267">
        <f t="array" ref="DO218">IF(ChoixRationComplèteOvins=OUI,0,IFERROR(IF(OR(AND(INDEX(Règles_ovins[Specificite],MATCH(ChoixRationOvins&amp;$DN218,Règles_ovins[Ration]&amp;Règles_ovins[Aliment],0))="s1",IF($DN218=Spécificité1Ovins,1)),
AND(INDEX(Règles_ovins[Specificite],MATCH(ChoixRationOvins&amp;$DN218,Règles_ovins[Ration]&amp;Règles_ovins[Aliment],0))="s2",IF($DN218=Spécificité2Ovins,1)),
INDEX(Règles_ovins[Specificite],MATCH(ChoixRationOvins&amp;$DN218,Règles_ovins[Ration]&amp;Règles_ovins[Aliment],0))="c"),
INDEX(Règles_ovins[Valeur 12 et plus],MATCH(ChoixRationOvins&amp;$DN218,Règles_ovins[Ration]&amp;Règles_ovins[Aliment],0)),0),0)*IF(ChoixOvinsPréHiver=OUI,SUM(TotalOvinsAdultesRacesLaitières)*NbreJoursNourrirOvins,TotalBrebis*SUM(NbreJoursNourrirOvins)))</f>
        <v>0</v>
      </c>
      <c r="DP218" s="1267">
        <f t="array" ref="DP218">IF(ChoixRationComplèteOvins=OUI,0,IFERROR(IF(OR(AND(INDEX(Règles_ovins[Specificite],MATCH(ChoixRationOvins&amp;$DN218,Règles_ovins[Ration]&amp;Règles_ovins[Aliment],0))="s1",IF($DN218=Spécificité1Ovins,1)),
AND(INDEX(Règles_ovins[Specificite],MATCH(ChoixRationOvins&amp;$DN218,Règles_ovins[Ration]&amp;Règles_ovins[Aliment],0))="s2",IF($DN218=Spécificité2Ovins,1)),
INDEX(Règles_ovins[Specificite],MATCH(ChoixRationOvins&amp;$DN218,Règles_ovins[Ration]&amp;Règles_ovins[Aliment],0))="c"),
INDEX(Règles_ovins[Valeur 6-12],MATCH(ChoixRationOvins&amp;$DN218,Règles_ovins[Ration]&amp;Règles_ovins[Aliment],0)),0),0)*IF(ChoixOvinsPréHiver=OUI,SUM(TotalJeunesOvinsRacesLaitières)*NbreJoursNourrirOvins,TotalJeune_brebis_6_12_mois*SUM(NbreJoursNourrirOvins)))</f>
        <v>0</v>
      </c>
      <c r="DQ218" s="1267">
        <f t="array" ref="DQ218">IF(ChoixRationComplèteOvins=OUI,0,IFERROR(IF(OR(AND(INDEX(Règles_ovins[Specificite],MATCH(ChoixRationOvins&amp;$DN218,Règles_ovins[Ration]&amp;Règles_ovins[Aliment],0))="s1",IF($DN218=Spécificité1Ovins,1)),
AND(INDEX(Règles_ovins[Specificite],MATCH(ChoixRationOvins&amp;$DN218,Règles_ovins[Ration]&amp;Règles_ovins[Aliment],0))="s2",IF($DN218=Spécificité2Ovins,1)),
INDEX(Règles_ovins[Specificite],MATCH(ChoixRationOvins&amp;$DN218,Règles_ovins[Ration]&amp;Règles_ovins[Aliment],0))="c"),
INDEX(Règles_ovins[Valeur 3-6],MATCH(ChoixRationOvins&amp;$DN218,Règles_ovins[Ration]&amp;Règles_ovins[Aliment],0)),0),0)*IF(ChoixOvinsPréHiver=OUI,SUM(TotalOvins_3_6moisRacesLaitières)*NbreJoursNourrirOvins,TotalAgnelle_3_6_mois*SUM(NbreJoursNourrirOvins)))</f>
        <v>0</v>
      </c>
      <c r="DR218" s="1267">
        <f t="array" ref="DR218">IF(ChoixRationComplèteOvins=OUI,0,IFERROR(IF(OR(AND(INDEX(Règles_ovins[Specificite],MATCH(ChoixRationOvins&amp;$DN218,Règles_ovins[Ration]&amp;Règles_ovins[Aliment],0))="s1",IF($DN218=Spécificité1Ovins,1)),
AND(INDEX(Règles_ovins[Specificite],MATCH(ChoixRationOvins&amp;$DN218,Règles_ovins[Ration]&amp;Règles_ovins[Aliment],0))="s2",IF($DN218=Spécificité2Ovins,1)),
INDEX(Règles_ovins[Specificite],MATCH(ChoixRationOvins&amp;$DN218,Règles_ovins[Ration]&amp;Règles_ovins[Aliment],0))="c"),
INDEX(Règles_ovins[Valeur 0-3],MATCH(ChoixRationOvins&amp;$DN218,Règles_ovins[Ration]&amp;Règles_ovins[Aliment],0)),0),0)*IF(ChoixOvinsPréHiver=OUI,SUM(TotalOvins_3_6moisRacesLaitières)*NbreJoursNourrirOvins,TotalAgnelle_0_3_mois*SUM(NbreJoursNourrirOvins)))</f>
        <v>0</v>
      </c>
      <c r="DS218" s="1279">
        <f t="shared" si="67"/>
        <v>0</v>
      </c>
      <c r="DT218" s="1346"/>
      <c r="DU218" s="1346"/>
      <c r="DV218" s="1321"/>
      <c r="DW218" s="1321"/>
      <c r="DX218" s="1321"/>
      <c r="DY218" s="1321"/>
      <c r="DZ218" s="1321"/>
      <c r="EA218" s="1321"/>
      <c r="EB218" s="1321"/>
      <c r="EC218" s="1321"/>
      <c r="ED218" s="1345"/>
      <c r="EE218" s="1345"/>
      <c r="EF218" s="1321"/>
      <c r="EG218" s="1321"/>
      <c r="EH218" s="1321"/>
      <c r="EI218" s="1321"/>
      <c r="EJ218" s="1321"/>
      <c r="EK218" s="1345"/>
      <c r="EL218" s="1345"/>
      <c r="EM218" s="1321"/>
      <c r="EN218" s="1321"/>
      <c r="EO218" s="1321"/>
      <c r="EP218" s="1321"/>
      <c r="EQ218" s="1321"/>
      <c r="ER218" s="1345"/>
      <c r="ES218" s="1345"/>
      <c r="ET218" s="1321"/>
      <c r="EU218" s="1083" t="str">
        <f t="shared" si="73"/>
        <v>Haricot vert</v>
      </c>
      <c r="EV218" s="1283">
        <f t="array" ref="EV218">SUM((IF(QualitéAlimentsPoulainSelleMâle=BONNE,VLOOKUP("Haricot vert",AlimentsRationEcurieChevauxMâlesSelle,5,FALSE),0)+(IF(QualitéAlimentsPoulainSelleFemelle=BONNE,VLOOKUP("Haricot vert",AlimentsRationEcurieChevauxFemellesSelle,5,FALSE),0)+(IF(QualitéAlimentsJeuneEtalon_12_24_moisSelle=BONNE,VLOOKUP("Haricot vert",AlimentsRationEcurieChevauxMâlesSelle,4,FALSE),0)+(IF(QualitéAlimentsJeuneJument_12_24_moisSelle=BONNE,VLOOKUP("Haricot vert",AlimentsRationEcurieChevauxFemellesSelle,4,FALSE),0)+(IF(QualitéAlimentsJeuneEtalon_24_36_moisSelle=BONNE,VLOOKUP("Haricot vert",AlimentsRationEcurieChevauxMâlesSelle,3,FALSE),0)+(IF(QualitéAlimentsJeuneJument_24_36_moisSelle=BONNE,VLOOKUP("Haricot vert",AlimentsRationEcurieChevauxFemellesSelle,3,FALSE),0)+(IF(QualitéAlimentsEtalonSelle=BONNE,VLOOKUP("Haricot vert",AlimentsRationEcurieChevauxMâlesSelle,2,FALSE),0)+(IF(QualitéAlimentsJumentSelle=BONNE,VLOOKUP("Haricot vert",AlimentsRationEcurieChevauxFemellesSelle,2,FALSE),0))))))))))</f>
        <v>0</v>
      </c>
      <c r="EW218" s="1283">
        <f t="array" ref="EW218">SUM((IF(QualitéAlimentsPoulainSelleMâle=MOYENNE,VLOOKUP("Haricot vert",AlimentsRationEcurieChevauxMâlesSelle,5,FALSE),0)+(IF(QualitéAlimentsPoulainSelleFemelle=MOYENNE,VLOOKUP("Haricot vert",AlimentsRationEcurieChevauxFemellesSelle,5,FALSE),0)+(IF(QualitéAlimentsJeuneEtalon_12_24_moisSelle=MOYENNE,VLOOKUP("Haricot vert",AlimentsRationEcurieChevauxMâlesSelle,4,FALSE),0)+(IF(QualitéAlimentsJeuneJument_12_24_moisSelle=MOYENNE,VLOOKUP("Haricot vert",AlimentsRationEcurieChevauxFemellesSelle,4,FALSE),0)+(IF(QualitéAlimentsJeuneEtalon_24_36_moisSelle=MOYENNE,VLOOKUP("Haricot vert",AlimentsRationEcurieChevauxMâlesSelle,3,FALSE),0)+(IF(QualitéAlimentsJeuneJument_24_36_moisSelle=MOYENNE,VLOOKUP("Haricot vert",AlimentsRationEcurieChevauxFemellesSelle,3,FALSE),0)+(IF(QualitéAlimentsEtalonSelle=MOYENNE,VLOOKUP("Haricot vert",AlimentsRationEcurieChevauxMâlesSelle,2,FALSE),0)+(IF(QualitéAlimentsJumentSelle=MOYENNE,VLOOKUP("Haricot vert",AlimentsRationEcurieChevauxFemellesSelle,2,FALSE),0))))))))))</f>
        <v>0</v>
      </c>
      <c r="EX218" s="1283">
        <f t="array" ref="EX218">SUM((IF(QualitéAlimentsPoulainSelleMâle=MAUVAISE,VLOOKUP("Haricot vert",AlimentsRationEcurieChevauxMâlesSelle,5,FALSE),0)+(IF(QualitéAlimentsPoulainSelleFemelle=MAUVAISE,VLOOKUP("Haricot vert",AlimentsRationEcurieChevauxFemellesSelle,5,FALSE),0)+(IF(QualitéAlimentsJeuneEtalon_12_24_moisSelle=MAUVAISE,VLOOKUP("Haricot vert",AlimentsRationEcurieChevauxMâlesSelle,4,FALSE),0)+(IF(QualitéAlimentsJeuneJument_12_24_moisSelle=MAUVAISE,VLOOKUP("Haricot vert",AlimentsRationEcurieChevauxFemellesSelle,4,FALSE),0)+(IF(QualitéAlimentsJeuneEtalon_24_36_moisSelle=MAUVAISE,VLOOKUP("Haricot vert",AlimentsRationEcurieChevauxMâlesSelle,3,FALSE),0)+(IF(QualitéAlimentsJeuneJument_24_36_moisSelle=MAUVAISE,VLOOKUP("Haricot vert",AlimentsRationEcurieChevauxFemellesSelle,3,FALSE),0)+(IF(QualitéAlimentsEtalonSelle=MAUVAISE,VLOOKUP("Haricot vert",AlimentsRationEcurieChevauxMâlesSelle,2,FALSE),0)+(IF(QualitéAlimentsJumentSelle=MAUVAISE,VLOOKUP("Haricot vert",AlimentsRationEcurieChevauxFemellesSelle,2,FALSE),0))))))))))</f>
        <v>0</v>
      </c>
      <c r="EY218" s="1321"/>
      <c r="EZ218" s="1345"/>
      <c r="FA218" s="1345"/>
      <c r="FB218" s="1345"/>
      <c r="FC218" s="1321"/>
      <c r="FD218" s="1082" t="str">
        <f t="shared" si="72"/>
        <v>Orge</v>
      </c>
      <c r="FE218" s="1282">
        <f t="array" ref="FE218">SUM((IF(QualitéAlimentsPoulainMâleTrait=BONNE,VLOOKUP("Orge",AlimentsRationEcurieChevauxMâlesTrait,5,FALSE),0)+(IF(QualitéAlimentsPoulainFemelleTrait=BONNE,VLOOKUP("Orge",AlimentsRationEcurieChevauxFemellesTrait,5,FALSE),0)+(IF(QualitéAlimentsJeuneEtalon_12_24_moisTrait=BONNE,VLOOKUP("Orge",AlimentsRationEcurieChevauxMâlesTrait,4,FALSE),0)+(IF(QualitéAlimentsJeuneJument_12_24_moisTrait=BONNE,VLOOKUP("Orge",AlimentsRationEcurieChevauxFemellesTrait,4,FALSE),0)+(IF(QualitéAlimentsJeuneEtalon_24_36_moisTrait=BONNE,VLOOKUP("Orge",AlimentsRationEcurieChevauxMâlesTrait,3,FALSE),0)+(IF(QualitéAlimentsJeuneJument_24_36_moisTrait=BONNE,VLOOKUP("Orge",AlimentsRationEcurieChevauxFemellesTrait,3,FALSE),0)+(IF(QualitéAlimentsEtalonTrait=BONNE,VLOOKUP("Orge",AlimentsRationEcurieChevauxMâlesTrait,2,FALSE),0)+(IF(QualitéAlimentsJumentTrait=BONNE,VLOOKUP("Orge",AlimentsRationEcurieChevauxFemellesTrait,2,FALSE),0))))))))))</f>
        <v>0</v>
      </c>
      <c r="FF218" s="1282">
        <f t="array" ref="FF218">SUM((IF(QualitéAlimentsPoulainMâleTrait=MOYENNE,VLOOKUP("Orge",AlimentsRationEcurieChevauxMâlesTrait,5,FALSE),0)+(IF(QualitéAlimentsPoulainFemelleTrait=MOYENNE,VLOOKUP("Orge",AlimentsRationEcurieChevauxFemellesTrait,5,FALSE),0)+(IF(QualitéAlimentsJeuneEtalon_12_24_moisTrait=MOYENNE,VLOOKUP("Orge",AlimentsRationEcurieChevauxMâlesTrait,4,FALSE),0)+(IF(QualitéAlimentsJeuneJument_12_24_moisTrait=MOYENNE,VLOOKUP("Orge",AlimentsRationEcurieChevauxFemellesTrait,4,FALSE),0)+(IF(QualitéAlimentsJeuneEtalon_24_36_moisTrait=MOYENNE,VLOOKUP("Orge",AlimentsRationEcurieChevauxMâlesTrait,3,FALSE),0)+(IF(QualitéAlimentsJeuneJument_24_36_moisTrait=MOYENNE,VLOOKUP("Orge",AlimentsRationEcurieChevauxFemellesTrait,3,FALSE),0)+(IF(QualitéAlimentsEtalonTrait=MOYENNE,VLOOKUP("Orge",AlimentsRationEcurieChevauxMâlesTrait,2,FALSE),0)+(IF(QualitéAlimentsJumentTrait=MOYENNE,VLOOKUP("Orge",AlimentsRationEcurieChevauxFemellesTrait,2,FALSE),0))))))))))</f>
        <v>0</v>
      </c>
      <c r="FG218" s="1282">
        <f t="array" ref="FG218">SUM((IF(QualitéAlimentsPoulainMâleTrait=MAUVAISE,VLOOKUP("Orge",AlimentsRationEcurieChevauxMâlesTrait,5,FALSE),0)+(IF(QualitéAlimentsPoulainFemelleTrait=MAUVAISE,VLOOKUP("Orge",AlimentsRationEcurieChevauxFemellesTrait,5,FALSE),0)+(IF(QualitéAlimentsJeuneEtalon_12_24_moisTrait=MAUVAISE,VLOOKUP("Orge",AlimentsRationEcurieChevauxMâlesTrait,4,FALSE),0)+(IF(QualitéAlimentsJeuneJument_12_24_moisTrait=MAUVAISE,VLOOKUP("Orge",AlimentsRationEcurieChevauxFemellesTrait,4,FALSE),0)+(IF(QualitéAlimentsJeuneEtalon_24_36_moisTrait=MAUVAISE,VLOOKUP("Orge",AlimentsRationEcurieChevauxMâlesTrait,3,FALSE),0)+(IF(QualitéAlimentsJeuneJument_24_36_moisTrait=MAUVAISE,VLOOKUP("Orge",AlimentsRationEcurieChevauxFemellesTrait,3,FALSE),0)+(IF(QualitéAlimentsEtalonTrait=MAUVAISE,VLOOKUP("Orge",AlimentsRationEcurieChevauxMâlesTrait,2,FALSE),0)+(IF(QualitéAlimentsJumentTrait=MAUVAISE,VLOOKUP("Orge",AlimentsRationEcurieChevauxFemellesTrait,2,FALSE),0))))))))))</f>
        <v>0</v>
      </c>
      <c r="FH218" s="1321"/>
      <c r="FI218" s="1321"/>
      <c r="FJ218" s="1345"/>
      <c r="FK218" s="1345"/>
      <c r="FL218" s="1345"/>
      <c r="FM218" s="1321"/>
      <c r="FN218" s="1083" t="str">
        <f t="shared" si="71"/>
        <v>Paille</v>
      </c>
      <c r="FO218" s="1283">
        <f t="array" ref="FO218">SUM((IF(QualitéAlimentsPoulainMâlePoney=BONNE,VLOOKUP("Paille",AlimentsRationEcuriePoneysMâles,5,FALSE),0)+(IF(QualitéAlimentsPoulainFemellePoney=BONNE,VLOOKUP("Paille",AlimentsRationEcuriePoneysFemelles,5,FALSE),0)+(IF(QualitéAlimentsJeuneEtalon_12_24_moisPoney=BONNE,VLOOKUP("Paille",AlimentsRationEcuriePoneysMâles,4,FALSE),0)+(IF(QualitéAlimentsJeuneJument_12_24_moisPoney=BONNE,VLOOKUP("Paille",AlimentsRationEcuriePoneysFemelles,4,FALSE),0)+(IF(QualitéAlimentsJeuneEtalon_24_36_moisPoney=BONNE,VLOOKUP("Paille",AlimentsRationEcuriePoneysMâles,3,FALSE),0)+(IF(QualitéAlimentsJeuneJument_24_36_moisPoney=BONNE,VLOOKUP("Paille",AlimentsRationEcuriePoneysFemelles,3,FALSE),0)+(IF(QualitéAlimentsEtalonPoney=BONNE,VLOOKUP("Paille",AlimentsRationEcuriePoneysMâles,2,FALSE),0)+(IF(QualitéAlimentsJumentPoney=BONNE,VLOOKUP("Paille",AlimentsRationEcuriePoneysFemelles,2,FALSE),0))))))))))</f>
        <v>0</v>
      </c>
      <c r="FP218" s="1283">
        <f t="array" ref="FP218">SUM((IF(QualitéAlimentsPoulainMâlePoney=MOYENNE,VLOOKUP("Paille",AlimentsRationEcuriePoneysMâles,5,FALSE),0)+(IF(QualitéAlimentsPoulainFemellePoney=MOYENNE,VLOOKUP("Paille",AlimentsRationEcuriePoneysFemelles,5,FALSE),0)+(IF(QualitéAlimentsJeuneEtalon_12_24_moisPoney=MOYENNE,VLOOKUP("Paille",AlimentsRationEcuriePoneysMâles,4,FALSE),0)+(IF(QualitéAlimentsJeuneJument_12_24_moisPoney=MOYENNE,VLOOKUP("Paille",AlimentsRationEcuriePoneysFemelles,4,FALSE),0)+(IF(QualitéAlimentsJeuneEtalon_24_36_moisPoney=MOYENNE,VLOOKUP("Paille",AlimentsRationEcuriePoneysMâles,3,FALSE),0)+(IF(QualitéAlimentsJeuneJument_24_36_moisPoney=MOYENNE,VLOOKUP("Paille",AlimentsRationEcuriePoneysFemelles,3,FALSE),0)+(IF(QualitéAlimentsEtalonPoney=MOYENNE,VLOOKUP("Paille",AlimentsRationEcuriePoneysMâles,2,FALSE),0)+(IF(QualitéAlimentsJumentPoney=MOYENNE,VLOOKUP("Paille",AlimentsRationEcuriePoneysFemelles,2,FALSE),0))))))))))</f>
        <v>0</v>
      </c>
      <c r="FQ218" s="1283">
        <f t="array" ref="FQ218">SUM((IF(QualitéAlimentsPoulainMâlePoney=MAUVAISE,VLOOKUP("Paille",AlimentsRationEcuriePoneysMâles,5,FALSE),0)+(IF(QualitéAlimentsPoulainFemellePoney=MAUVAISE,VLOOKUP("Paille",AlimentsRationEcuriePoneysFemelles,5,FALSE),0)+(IF(QualitéAlimentsJeuneEtalon_12_24_moisPoney=MAUVAISE,VLOOKUP("Paille",AlimentsRationEcuriePoneysMâles,4,FALSE),0)+(IF(QualitéAlimentsJeuneJument_12_24_moisPoney=MAUVAISE,VLOOKUP("Paille",AlimentsRationEcuriePoneysFemelles,4,FALSE),0)+(IF(QualitéAlimentsJeuneEtalon_24_36_moisPoney=MAUVAISE,VLOOKUP("Paille",AlimentsRationEcuriePoneysMâles,3,FALSE),0)+(IF(QualitéAlimentsJeuneJument_24_36_moisPoney=MAUVAISE,VLOOKUP("Paille",AlimentsRationEcuriePoneysFemelles,3,FALSE),0)+(IF(QualitéAlimentsEtalonPoney=MAUVAISE,VLOOKUP("Paille",AlimentsRationEcuriePoneysMâles,2,FALSE),0)+(IF(QualitéAlimentsJumentPoney=MAUVAISE,VLOOKUP("Paille",AlimentsRationEcuriePoneysFemelles,2,FALSE),0)+SUM(LitièrePoneys[[#Totals],[hiver dedans]:[hiver dehors]]))))))))))</f>
        <v>0</v>
      </c>
      <c r="FR218" s="1345"/>
      <c r="FS218" s="1345"/>
      <c r="FT218" s="1345"/>
      <c r="FU218" s="1345"/>
      <c r="FV218" s="1345"/>
      <c r="FW218" s="1321"/>
      <c r="FX218" s="1321"/>
      <c r="FY218" s="1321"/>
      <c r="FZ218" s="1321"/>
      <c r="GA218" s="1345"/>
      <c r="GB218" s="1321"/>
      <c r="GC218" s="1321"/>
      <c r="GD218" s="1321"/>
      <c r="GE218" s="1321"/>
      <c r="GF218" s="1321"/>
      <c r="GG218" s="1321" t="s">
        <v>1349</v>
      </c>
      <c r="GH218" s="1321" t="s">
        <v>1349</v>
      </c>
      <c r="GI218" s="1321" t="s">
        <v>1349</v>
      </c>
      <c r="GJ218" s="1321" t="s">
        <v>1349</v>
      </c>
      <c r="GK218" s="1321" t="s">
        <v>1349</v>
      </c>
      <c r="GL218" s="1321" t="s">
        <v>1349</v>
      </c>
      <c r="GM218" s="1321" t="s">
        <v>1349</v>
      </c>
      <c r="GN218" s="1321" t="s">
        <v>1349</v>
      </c>
      <c r="GO218" s="1321" t="s">
        <v>1349</v>
      </c>
      <c r="GP218" s="1321" t="s">
        <v>1349</v>
      </c>
      <c r="GQ218" s="1321" t="s">
        <v>1349</v>
      </c>
      <c r="GR218" s="1321" t="s">
        <v>1349</v>
      </c>
      <c r="GS218" s="1321" t="s">
        <v>1349</v>
      </c>
      <c r="GT218" s="1321" t="s">
        <v>1349</v>
      </c>
      <c r="GU218" s="1321" t="s">
        <v>1349</v>
      </c>
      <c r="GV218" s="1321" t="s">
        <v>1349</v>
      </c>
      <c r="GW218" s="1321"/>
      <c r="GX218" s="1321"/>
      <c r="GY218" s="1321"/>
      <c r="GZ218" s="1321"/>
      <c r="HA218" s="1321"/>
      <c r="HB218" s="1321"/>
      <c r="HC218" s="1321"/>
      <c r="HD218" s="1321"/>
      <c r="HE218" s="1321"/>
      <c r="HF218" s="1321"/>
      <c r="HG218" s="1321"/>
      <c r="HH218" s="1321"/>
      <c r="HI218" s="1321"/>
      <c r="HJ218" s="1321"/>
      <c r="HK218" s="1321"/>
      <c r="HL218" s="1321"/>
      <c r="HM218" s="1321"/>
      <c r="HN218" s="1321"/>
      <c r="HO218" s="1321"/>
      <c r="HP218" s="1321"/>
      <c r="HQ218" s="1321"/>
      <c r="HR218" s="1321"/>
      <c r="HS218" s="1321"/>
      <c r="HT218" s="1321"/>
      <c r="HU218" s="1321"/>
      <c r="HV218" s="1321"/>
      <c r="HW218" s="1321"/>
      <c r="HX218" s="1321"/>
      <c r="HY218" s="1321"/>
      <c r="HZ218" s="1321"/>
      <c r="IA218" s="1321"/>
      <c r="IB218" s="1321"/>
      <c r="IC218" s="1321"/>
      <c r="ID218" s="1321"/>
      <c r="IE218" s="1321"/>
      <c r="IF218" s="1321"/>
      <c r="IG218" s="1321"/>
      <c r="IH218" s="1321"/>
      <c r="II218" s="1321"/>
      <c r="IJ218" s="1321"/>
      <c r="IK218" s="1321"/>
      <c r="IL218" s="1321"/>
      <c r="IM218" s="1321"/>
      <c r="IN218" s="1368"/>
    </row>
    <row r="219" spans="1:248" ht="12.75" customHeight="1" x14ac:dyDescent="0.2">
      <c r="A219" s="1319"/>
      <c r="B219" s="1321"/>
      <c r="C219" s="1321"/>
      <c r="D219" s="1321"/>
      <c r="E219" s="1321"/>
      <c r="F219" s="1321"/>
      <c r="G219" s="1321"/>
      <c r="H219" s="1321"/>
      <c r="I219" s="1321"/>
      <c r="J219" s="1321"/>
      <c r="K219" s="1321"/>
      <c r="L219" s="1321"/>
      <c r="M219" s="1321"/>
      <c r="N219" s="1321"/>
      <c r="O219" s="1321"/>
      <c r="P219" s="1321"/>
      <c r="Q219" s="1321"/>
      <c r="R219" s="1321"/>
      <c r="S219" s="1321"/>
      <c r="T219" s="1321"/>
      <c r="U219" s="1321"/>
      <c r="V219" s="1321"/>
      <c r="W219" s="1321"/>
      <c r="X219" s="1321"/>
      <c r="Y219" s="1321"/>
      <c r="Z219" s="1321"/>
      <c r="AA219" s="1321"/>
      <c r="AB219" s="1321"/>
      <c r="AC219" s="1321"/>
      <c r="AD219" s="1321"/>
      <c r="AE219" s="1321"/>
      <c r="AF219" s="1321"/>
      <c r="AG219" s="1321"/>
      <c r="AH219" s="1321"/>
      <c r="AI219" s="1321"/>
      <c r="AJ219" s="1321"/>
      <c r="AK219" s="1321"/>
      <c r="AL219" s="1321"/>
      <c r="AM219" s="1321"/>
      <c r="AN219" s="1321"/>
      <c r="AO219" s="1321"/>
      <c r="AP219" s="1321"/>
      <c r="AQ219" s="1321"/>
      <c r="AR219" s="1321"/>
      <c r="AS219" s="1321"/>
      <c r="AT219" s="1321"/>
      <c r="AU219" s="1321"/>
      <c r="AV219" s="1321"/>
      <c r="AW219" s="1321"/>
      <c r="AX219" s="1321"/>
      <c r="AY219" s="1321"/>
      <c r="AZ219" s="1321"/>
      <c r="BA219" s="1321"/>
      <c r="BB219" s="1075" t="s">
        <v>723</v>
      </c>
      <c r="BC219" s="1269">
        <f t="array" ref="BC219">IF(Ration_complète_bovins[somme]&gt;0,0,IFERROR(IF(OR(AND(INDEX(Règles_bovins[Specificite],MATCH(ChoixRationBovins&amp;$BB219,Règles_bovins[Ration]&amp;Règles_bovins[Aliment],0))="s1",IF($BB219=Spécificité1Bovins,1)),
AND(INDEX(Règles_bovins[Specificite],MATCH(ChoixRationBovins&amp;$BB219,Règles_bovins[Ration]&amp;Règles_bovins[Aliment],0))="s2",IF($BB219=Spécificité2Bovins,1)),
INDEX(Règles_bovins[Specificite],MATCH(ChoixRationBovins&amp;$BB219,Règles_bovins[Ration]&amp;Règles_bovins[Aliment],0))="c"),
INDEX(Règles_bovins[Valeur 36 et plus],MATCH(ChoixRationBovins&amp;$BB219,Règles_bovins[Ration]&amp;Règles_bovins[Aliment],0)),0),0)*IF(ChoixBovinsPréHiver=OUI,TotalTaureauxRacesLaitières,TotalTaureaux*SUM(NbreJoursNourrirBovins)))</f>
        <v>0</v>
      </c>
      <c r="BD219" s="1269">
        <f t="array" ref="BD219">IF(Ration_complète_bovins[somme]&gt;0,0,IFERROR(IF(OR(AND(INDEX(Règles_bovins[Specificite],MATCH(ChoixRationBovins&amp;$BB219,Règles_bovins[Ration]&amp;Règles_bovins[Aliment],0))="s1",IF($BB219=Spécificité1Bovins,1)),
AND(INDEX(Règles_bovins[Specificite],MATCH(ChoixRationBovins&amp;$BB219,Règles_bovins[Ration]&amp;Règles_bovins[Aliment],0))="s2",IF($BB219=Spécificité2Bovins,1)),
INDEX(Règles_bovins[Specificite],MATCH(ChoixRationBovins&amp;$BB219,Règles_bovins[Ration]&amp;Règles_bovins[Aliment],0))="c"),
INDEX(Règles_bovins[Valeur 24-36],MATCH(ChoixRationBovins&amp;$BB219,Règles_bovins[Ration]&amp;Règles_bovins[Aliment],0)),0),0)*IF(ChoixBovinsPréHiver=OUI,TotalTaurillon_24_36_RacesLaitières,TotalBovinsMâles_24_36mois*SUM(NbreJoursNourrirBovins)))</f>
        <v>0</v>
      </c>
      <c r="BE219" s="1269">
        <f t="array" ref="BE219">IF(Ration_complète_bovins[somme]&gt;0,0,IFERROR(IF(OR(AND(INDEX(Règles_bovins[Specificite],MATCH(ChoixRationBovins&amp;$BB219,Règles_bovins[Ration]&amp;Règles_bovins[Aliment],0))="s1",IF($BB219=Spécificité1Bovins,1)),
AND(INDEX(Règles_bovins[Specificite],MATCH(ChoixRationBovins&amp;$BB219,Règles_bovins[Ration]&amp;Règles_bovins[Aliment],0))="s2",IF($BB219=Spécificité2Bovins,1)),
INDEX(Règles_bovins[Specificite],MATCH(ChoixRationBovins&amp;$BB219,Règles_bovins[Ration]&amp;Règles_bovins[Aliment],0))="c"),
INDEX(Règles_bovins[Valeur 18-24],MATCH(ChoixRationBovins&amp;$BB219,Règles_bovins[Ration]&amp;Règles_bovins[Aliment],0)),0),0)*IF(ChoixBovinsPréHiver=OUI,TotalTaurillon_18_24_RacesLaitières,TotalBovinsMâles_18_24mois*SUM(NbreJoursNourrirBovins)))</f>
        <v>0</v>
      </c>
      <c r="BF219" s="1269">
        <f t="array" ref="BF219">IF(Ration_complète_bovins[somme]&gt;0,0,IFERROR(IF(OR(AND(INDEX(Règles_bovins[Specificite],MATCH(ChoixRationBovins&amp;$BB219,Règles_bovins[Ration]&amp;Règles_bovins[Aliment],0))="s1",IF($BB219=Spécificité1Bovins,1)),
AND(INDEX(Règles_bovins[Specificite],MATCH(ChoixRationBovins&amp;$BB219,Règles_bovins[Ration]&amp;Règles_bovins[Aliment],0))="s2",IF($BB219=Spécificité2Bovins,1)),
INDEX(Règles_bovins[Specificite],MATCH(ChoixRationBovins&amp;$BB219,Règles_bovins[Ration]&amp;Règles_bovins[Aliment],0))="c"),
INDEX(Règles_bovins[Valeur 12-18],MATCH(ChoixRationBovins&amp;$BB219,Règles_bovins[Ration]&amp;Règles_bovins[Aliment],0)),0),0)*IF(ChoixBovinsPréHiver=OUI,animaux!D42,TotalBovinsMâles_12_18mois*SUM(NbreJoursNourrirBovins)))</f>
        <v>0</v>
      </c>
      <c r="BG219" s="1269">
        <f t="array" ref="BG219">IF(Ration_complète_bovins[somme]&gt;0,0,IFERROR(IF(OR(AND(INDEX(Règles_bovins[Specificite],MATCH(ChoixRationBovins&amp;$BB219,Règles_bovins[Ration]&amp;Règles_bovins[Aliment],0))="s1",IF($BB219=Spécificité1Bovins,1)),
AND(INDEX(Règles_bovins[Specificite],MATCH(ChoixRationBovins&amp;$BB219,Règles_bovins[Ration]&amp;Règles_bovins[Aliment],0))="s2",IF($BB219=Spécificité2Bovins,1)),
INDEX(Règles_bovins[Specificite],MATCH(ChoixRationBovins&amp;$BB219,Règles_bovins[Ration]&amp;Règles_bovins[Aliment],0))="c"),
INDEX(Règles_bovins[Valeur 6-12],MATCH(ChoixRationBovins&amp;$BB219,Règles_bovins[Ration]&amp;Règles_bovins[Aliment],0)),0),0)*IF(ChoixBovinsPréHiver=OUI,TotalVeauMâle_6_12_RacesLaitières,TotalBovinsMâles_6_12mois*SUM(NbreJoursNourrirBovins)))</f>
        <v>0</v>
      </c>
      <c r="BH219" s="1269">
        <f t="array" ref="BH219">IF(Ration_complète_bovins[somme]&gt;0,0,IFERROR(IF(OR(AND(INDEX(Règles_bovins[Specificite],MATCH(ChoixRationBovins&amp;$BB219,Règles_bovins[Ration]&amp;Règles_bovins[Aliment],0))="s1",IF($BB219=Spécificité1Bovins,1)),
AND(INDEX(Règles_bovins[Specificite],MATCH(ChoixRationBovins&amp;$BB219,Règles_bovins[Ration]&amp;Règles_bovins[Aliment],0))="s2",IF($BB219=Spécificité2Bovins,1)),
INDEX(Règles_bovins[Specificite],MATCH(ChoixRationBovins&amp;$BB219,Règles_bovins[Ration]&amp;Règles_bovins[Aliment],0))="c"),
INDEX(Règles_bovins[Valeur 3-6],MATCH(ChoixRationBovins&amp;$BB219,Règles_bovins[Ration]&amp;Règles_bovins[Aliment],0)),0),0)*IF(ChoixBovinsPréHiver=OUI,TotalVeauMâle_3_6_RacesLaitières,TotalBovinsMâles_3_6mois*SUM(NbreJoursNourrirBovins)))</f>
        <v>0</v>
      </c>
      <c r="BI219" s="1269">
        <f t="array" ref="BI219">IF(Ration_complète_bovins[somme]&gt;0,0,IFERROR(IF(OR(AND(INDEX(Règles_bovins[Specificite],MATCH(ChoixRationBovins&amp;$BB219,Règles_bovins[Ration]&amp;Règles_bovins[Aliment],0))="s1",IF($BB219=Spécificité1Bovins,1)),
AND(INDEX(Règles_bovins[Specificite],MATCH(ChoixRationBovins&amp;$BB219,Règles_bovins[Ration]&amp;Règles_bovins[Aliment],0))="s2",IF($BB219=Spécificité2Bovins,1)),
INDEX(Règles_bovins[Specificite],MATCH(ChoixRationBovins&amp;$BB219,Règles_bovins[Ration]&amp;Règles_bovins[Aliment],0))="c"),
INDEX(Règles_bovins[Valeur 0-3],MATCH(ChoixRationBovins&amp;$BB219,Règles_bovins[Ration]&amp;Règles_bovins[Aliment],0)),0),0)*IF(ChoixBovinsPréHiver=OUI,TotalVeauMâle_0_3_RacesLaitières,TotalBovinsMâles_0_3mois*SUM(NbreJoursNourrirBovins)))</f>
        <v>0</v>
      </c>
      <c r="BJ219" s="1270">
        <f t="shared" si="69"/>
        <v>0</v>
      </c>
      <c r="BK219" s="1321"/>
      <c r="BL219" s="1321"/>
      <c r="BM219" s="1346"/>
      <c r="BN219" s="1321"/>
      <c r="BO219" s="1321"/>
      <c r="BP219" s="1321"/>
      <c r="BQ219" s="1321"/>
      <c r="BR219" s="1321"/>
      <c r="BS219" s="1321"/>
      <c r="BT219" s="1321"/>
      <c r="BU219" s="1321"/>
      <c r="BV219" s="1345"/>
      <c r="BW219" s="1345"/>
      <c r="BX219" s="1075" t="str">
        <f t="shared" si="70"/>
        <v>Pomme de terre</v>
      </c>
      <c r="BY219" s="1269">
        <f t="array" ref="BY219">SUM((IF(QualitéAlimentsChevreau_0_3_mois=BONNE,VLOOKUP("Pomme de terre",AlimentsRationCaprinsMâles,5,FALSE),0)+(IF(QualitéAlimentsChevrette_0_3_mois=BONNE,VLOOKUP("Pomme de terre",AlimentsRationCaprinsFemelles,5,FALSE),0)+(IF(QualitéAlimentsChevreau_3_6_mois=BONNE,VLOOKUP("Pomme de terre",AlimentsRationCaprinsMâles,4,FALSE),0)+(IF(QualitéAlimentsChevrette_3_6_mois=BONNE,VLOOKUP("Pomme de terre",AlimentsRationCaprinsFemelles,4,FALSE),0)+(IF(QualitéAlimentsJeuneBouc=BONNE,VLOOKUP("Pomme de terre",AlimentsRationCaprinsMâles,3,FALSE),0)+(IF(QualitéAlimentsJeuneChèvre=BONNE,VLOOKUP("Pomme de terre",AlimentsRationCaprinsFemelles,3,FALSE),0)+(IF(QualitéAlimentsBouc=BONNE,VLOOKUP("Pomme de terre",AlimentsRationCaprinsMâles,2,FALSE),0)+(IF(QualitéAlimentsChèvre=BONNE,VLOOKUP("Pomme de terre",AlimentsRationCaprinsFemelles,2,FALSE),0))))))))))</f>
        <v>0</v>
      </c>
      <c r="BZ219" s="1269">
        <f t="array" ref="BZ219">SUM((IF(QualitéAlimentsChevreau_0_3_mois=MOYENNE,VLOOKUP("Pomme de terre",AlimentsRationCaprinsMâles,5,FALSE),0)+(IF(QualitéAlimentsChevrette_0_3_mois=MOYENNE,VLOOKUP("Pomme de terre",AlimentsRationCaprinsFemelles,5,FALSE),0)+(IF(QualitéAlimentsChevreau_3_6_mois=MOYENNE,VLOOKUP("Pomme de terre",AlimentsRationCaprinsMâles,4,FALSE),0)+(IF(QualitéAlimentsChevrette_3_6_mois=MOYENNE,VLOOKUP("Pomme de terre",AlimentsRationCaprinsFemelles,4,FALSE),0)+(IF(QualitéAlimentsJeuneBouc=MOYENNE,VLOOKUP("Pomme de terre",AlimentsRationCaprinsMâles,3,FALSE),0)+(IF(QualitéAlimentsJeuneChèvre=MOYENNE,VLOOKUP("Pomme de terre",AlimentsRationCaprinsFemelles,3,FALSE),0)+(IF(QualitéAlimentsBouc=MOYENNE,VLOOKUP("Pomme de terre",AlimentsRationCaprinsMâles,2,FALSE),0)+(IF(QualitéAlimentsChèvre=MOYENNE,VLOOKUP("Pomme de terre",AlimentsRationCaprinsFemelles,2,FALSE),0))))))))))</f>
        <v>0</v>
      </c>
      <c r="CA219" s="1269">
        <f t="array" ref="CA219">SUM((IF(QualitéAlimentsChevreau_0_3_mois=MAUVAISE,VLOOKUP("Pomme de terre",AlimentsRationCaprinsMâles,5,FALSE),0)+(IF(QualitéAlimentsChevrette_0_3_mois=MAUVAISE,VLOOKUP("Pomme de terre",AlimentsRationCaprinsFemelles,5,FALSE),0)+(IF(QualitéAlimentsChevreau_3_6_mois=MAUVAISE,VLOOKUP("Pomme de terre",AlimentsRationCaprinsMâles,4,FALSE),0)+(IF(QualitéAlimentsChevrette_3_6_mois=MAUVAISE,VLOOKUP("Pomme de terre",AlimentsRationCaprinsFemelles,4,FALSE),0)+(IF(QualitéAlimentsJeuneBouc=MAUVAISE,VLOOKUP("Pomme de terre",AlimentsRationCaprinsMâles,3,FALSE),0)+(IF(QualitéAlimentsJeuneChèvre=MAUVAISE,VLOOKUP("Pomme de terre",AlimentsRationCaprinsFemelles,3,FALSE),0)+(IF(QualitéAlimentsBouc=MAUVAISE,VLOOKUP("Pomme de terre",AlimentsRationCaprinsMâles,2,FALSE),0)+(IF(QualitéAlimentsChèvre=MAUVAISE,VLOOKUP("Pomme de terre",AlimentsRationCaprinsFemelles,2,FALSE),0))))))))))</f>
        <v>0</v>
      </c>
      <c r="CB219" s="1321"/>
      <c r="CC219" s="1321"/>
      <c r="CD219" s="1345"/>
      <c r="CE219" s="1345"/>
      <c r="CF219" s="1345"/>
      <c r="CG219" s="1345"/>
      <c r="CH219" s="1345"/>
      <c r="CI219" s="1321"/>
      <c r="CJ219" s="1321"/>
      <c r="CK219" s="1321"/>
      <c r="CL219" s="1321"/>
      <c r="CM219" s="1321"/>
      <c r="CN219" s="1321"/>
      <c r="CO219" s="1321"/>
      <c r="CP219" s="1321"/>
      <c r="CQ219" s="1321"/>
      <c r="CR219" s="1321"/>
      <c r="CS219" s="1321"/>
      <c r="CT219" s="1321"/>
      <c r="CU219" s="1321"/>
      <c r="CV219" s="1321"/>
      <c r="CW219" s="1321"/>
      <c r="CX219" s="1321"/>
      <c r="CY219" s="1321"/>
      <c r="CZ219" s="1321"/>
      <c r="DA219" s="1321"/>
      <c r="DB219" s="1321"/>
      <c r="DC219" s="1321"/>
      <c r="DD219" s="1321"/>
      <c r="DE219" s="1321"/>
      <c r="DF219" s="1321"/>
      <c r="DG219" s="1321"/>
      <c r="DH219" s="1321"/>
      <c r="DI219" s="1321"/>
      <c r="DJ219" s="1321"/>
      <c r="DK219" s="1321"/>
      <c r="DL219" s="1321"/>
      <c r="DM219" s="1321"/>
      <c r="DN219" s="1075" t="str">
        <f t="shared" si="68"/>
        <v>Soja</v>
      </c>
      <c r="DO219" s="1269">
        <f t="array" ref="DO219">IF(ChoixRationComplèteOvins=OUI,0,IFERROR(IF(OR(AND(INDEX(Règles_ovins[Specificite],MATCH(ChoixRationOvins&amp;$DN219,Règles_ovins[Ration]&amp;Règles_ovins[Aliment],0))="s1",IF($DN219=Spécificité1Ovins,1)),
AND(INDEX(Règles_ovins[Specificite],MATCH(ChoixRationOvins&amp;$DN219,Règles_ovins[Ration]&amp;Règles_ovins[Aliment],0))="s2",IF($DN219=Spécificité2Ovins,1)),
INDEX(Règles_ovins[Specificite],MATCH(ChoixRationOvins&amp;$DN219,Règles_ovins[Ration]&amp;Règles_ovins[Aliment],0))="c"),
INDEX(Règles_ovins[Valeur 12 et plus],MATCH(ChoixRationOvins&amp;$DN219,Règles_ovins[Ration]&amp;Règles_ovins[Aliment],0)),0),0)*IF(ChoixOvinsPréHiver=OUI,SUM(TotalOvinsAdultesRacesLaitières)*NbreJoursNourrirOvins,TotalBrebis*SUM(NbreJoursNourrirOvins)))</f>
        <v>0</v>
      </c>
      <c r="DP219" s="1269">
        <f t="array" ref="DP219">IF(ChoixRationComplèteOvins=OUI,0,IFERROR(IF(OR(AND(INDEX(Règles_ovins[Specificite],MATCH(ChoixRationOvins&amp;$DN219,Règles_ovins[Ration]&amp;Règles_ovins[Aliment],0))="s1",IF($DN219=Spécificité1Ovins,1)),
AND(INDEX(Règles_ovins[Specificite],MATCH(ChoixRationOvins&amp;$DN219,Règles_ovins[Ration]&amp;Règles_ovins[Aliment],0))="s2",IF($DN219=Spécificité2Ovins,1)),
INDEX(Règles_ovins[Specificite],MATCH(ChoixRationOvins&amp;$DN219,Règles_ovins[Ration]&amp;Règles_ovins[Aliment],0))="c"),
INDEX(Règles_ovins[Valeur 6-12],MATCH(ChoixRationOvins&amp;$DN219,Règles_ovins[Ration]&amp;Règles_ovins[Aliment],0)),0),0)*IF(ChoixOvinsPréHiver=OUI,SUM(TotalJeunesOvinsRacesLaitières)*NbreJoursNourrirOvins,TotalJeune_brebis_6_12_mois*SUM(NbreJoursNourrirOvins)))</f>
        <v>0</v>
      </c>
      <c r="DQ219" s="1269">
        <f t="array" ref="DQ219">IF(ChoixRationComplèteOvins=OUI,0,IFERROR(IF(OR(AND(INDEX(Règles_ovins[Specificite],MATCH(ChoixRationOvins&amp;$DN219,Règles_ovins[Ration]&amp;Règles_ovins[Aliment],0))="s1",IF($DN219=Spécificité1Ovins,1)),
AND(INDEX(Règles_ovins[Specificite],MATCH(ChoixRationOvins&amp;$DN219,Règles_ovins[Ration]&amp;Règles_ovins[Aliment],0))="s2",IF($DN219=Spécificité2Ovins,1)),
INDEX(Règles_ovins[Specificite],MATCH(ChoixRationOvins&amp;$DN219,Règles_ovins[Ration]&amp;Règles_ovins[Aliment],0))="c"),
INDEX(Règles_ovins[Valeur 3-6],MATCH(ChoixRationOvins&amp;$DN219,Règles_ovins[Ration]&amp;Règles_ovins[Aliment],0)),0),0)*IF(ChoixOvinsPréHiver=OUI,SUM(TotalOvins_3_6moisRacesLaitières)*NbreJoursNourrirOvins,TotalAgnelle_3_6_mois*SUM(NbreJoursNourrirOvins)))</f>
        <v>0</v>
      </c>
      <c r="DR219" s="1269">
        <f t="array" ref="DR219">IF(ChoixRationComplèteOvins=OUI,0,IFERROR(IF(OR(AND(INDEX(Règles_ovins[Specificite],MATCH(ChoixRationOvins&amp;$DN219,Règles_ovins[Ration]&amp;Règles_ovins[Aliment],0))="s1",IF($DN219=Spécificité1Ovins,1)),
AND(INDEX(Règles_ovins[Specificite],MATCH(ChoixRationOvins&amp;$DN219,Règles_ovins[Ration]&amp;Règles_ovins[Aliment],0))="s2",IF($DN219=Spécificité2Ovins,1)),
INDEX(Règles_ovins[Specificite],MATCH(ChoixRationOvins&amp;$DN219,Règles_ovins[Ration]&amp;Règles_ovins[Aliment],0))="c"),
INDEX(Règles_ovins[Valeur 0-3],MATCH(ChoixRationOvins&amp;$DN219,Règles_ovins[Ration]&amp;Règles_ovins[Aliment],0)),0),0)*IF(ChoixOvinsPréHiver=OUI,SUM(TotalOvins_3_6moisRacesLaitières)*NbreJoursNourrirOvins,TotalAgnelle_0_3_mois*SUM(NbreJoursNourrirOvins)))</f>
        <v>0</v>
      </c>
      <c r="DS219" s="1280">
        <f t="shared" si="67"/>
        <v>0</v>
      </c>
      <c r="DT219" s="1346"/>
      <c r="DU219" s="1346"/>
      <c r="DV219" s="1321"/>
      <c r="DW219" s="1321"/>
      <c r="DX219" s="1321"/>
      <c r="DY219" s="1321"/>
      <c r="DZ219" s="1321"/>
      <c r="EA219" s="1321"/>
      <c r="EB219" s="1321"/>
      <c r="EC219" s="1321"/>
      <c r="ED219" s="1345"/>
      <c r="EE219" s="1345"/>
      <c r="EF219" s="1321"/>
      <c r="EG219" s="1321"/>
      <c r="EH219" s="1321"/>
      <c r="EI219" s="1321"/>
      <c r="EJ219" s="1321"/>
      <c r="EK219" s="1345"/>
      <c r="EL219" s="1345"/>
      <c r="EM219" s="1321"/>
      <c r="EN219" s="1321"/>
      <c r="EO219" s="1321"/>
      <c r="EP219" s="1321"/>
      <c r="EQ219" s="1321"/>
      <c r="ER219" s="1345"/>
      <c r="ES219" s="1345"/>
      <c r="ET219" s="1321"/>
      <c r="EU219" s="1082" t="str">
        <f t="shared" si="73"/>
        <v>Lentille</v>
      </c>
      <c r="EV219" s="1282">
        <f t="array" ref="EV219">SUM((IF(QualitéAlimentsPoulainSelleMâle=BONNE,VLOOKUP("Lentille",AlimentsRationEcurieChevauxMâlesSelle,5,FALSE),0)+(IF(QualitéAlimentsPoulainSelleFemelle=BONNE,VLOOKUP("Lentille",AlimentsRationEcurieChevauxFemellesSelle,5,FALSE),0)+(IF(QualitéAlimentsJeuneEtalon_12_24_moisSelle=BONNE,VLOOKUP("Lentille",AlimentsRationEcurieChevauxMâlesSelle,4,FALSE),0)+(IF(QualitéAlimentsJeuneJument_12_24_moisSelle=BONNE,VLOOKUP("Lentille",AlimentsRationEcurieChevauxFemellesSelle,4,FALSE),0)+(IF(QualitéAlimentsJeuneEtalon_24_36_moisSelle=BONNE,VLOOKUP("Lentille",AlimentsRationEcurieChevauxMâlesSelle,3,FALSE),0)+(IF(QualitéAlimentsJeuneJument_24_36_moisSelle=BONNE,VLOOKUP("Lentille",AlimentsRationEcurieChevauxFemellesSelle,3,FALSE),0)+(IF(QualitéAlimentsEtalonSelle=BONNE,VLOOKUP("Lentille",AlimentsRationEcurieChevauxMâlesSelle,2,FALSE),0)+(IF(QualitéAlimentsJumentSelle=BONNE,VLOOKUP("Lentille",AlimentsRationEcurieChevauxFemellesSelle,2,FALSE),0))))))))))</f>
        <v>0</v>
      </c>
      <c r="EW219" s="1282">
        <f t="array" ref="EW219">SUM((IF(QualitéAlimentsPoulainSelleMâle=MOYENNE,VLOOKUP("Lentille",AlimentsRationEcurieChevauxMâlesSelle,5,FALSE),0)+(IF(QualitéAlimentsPoulainSelleFemelle=MOYENNE,VLOOKUP("Lentille",AlimentsRationEcurieChevauxFemellesSelle,5,FALSE),0)+(IF(QualitéAlimentsJeuneEtalon_12_24_moisSelle=MOYENNE,VLOOKUP("Lentille",AlimentsRationEcurieChevauxMâlesSelle,4,FALSE),0)+(IF(QualitéAlimentsJeuneJument_12_24_moisSelle=MOYENNE,VLOOKUP("Lentille",AlimentsRationEcurieChevauxFemellesSelle,4,FALSE),0)+(IF(QualitéAlimentsJeuneEtalon_24_36_moisSelle=MOYENNE,VLOOKUP("Lentille",AlimentsRationEcurieChevauxMâlesSelle,3,FALSE),0)+(IF(QualitéAlimentsJeuneJument_24_36_moisSelle=MOYENNE,VLOOKUP("Lentille",AlimentsRationEcurieChevauxFemellesSelle,3,FALSE),0)+(IF(QualitéAlimentsEtalonSelle=MOYENNE,VLOOKUP("Lentille",AlimentsRationEcurieChevauxMâlesSelle,2,FALSE),0)+(IF(QualitéAlimentsJumentSelle=MOYENNE,VLOOKUP("Lentille",AlimentsRationEcurieChevauxFemellesSelle,2,FALSE),0))))))))))</f>
        <v>0</v>
      </c>
      <c r="EX219" s="1282">
        <f t="array" ref="EX219">SUM((IF(QualitéAlimentsPoulainSelleMâle=MAUVAISE,VLOOKUP("Lentille",AlimentsRationEcurieChevauxMâlesSelle,5,FALSE),0)+(IF(QualitéAlimentsPoulainSelleFemelle=MAUVAISE,VLOOKUP("Lentille",AlimentsRationEcurieChevauxFemellesSelle,5,FALSE),0)+(IF(QualitéAlimentsJeuneEtalon_12_24_moisSelle=MAUVAISE,VLOOKUP("Lentille",AlimentsRationEcurieChevauxMâlesSelle,4,FALSE),0)+(IF(QualitéAlimentsJeuneJument_12_24_moisSelle=MAUVAISE,VLOOKUP("Lentille",AlimentsRationEcurieChevauxFemellesSelle,4,FALSE),0)+(IF(QualitéAlimentsJeuneEtalon_24_36_moisSelle=MAUVAISE,VLOOKUP("Lentille",AlimentsRationEcurieChevauxMâlesSelle,3,FALSE),0)+(IF(QualitéAlimentsJeuneJument_24_36_moisSelle=MAUVAISE,VLOOKUP("Lentille",AlimentsRationEcurieChevauxFemellesSelle,3,FALSE),0)+(IF(QualitéAlimentsEtalonSelle=MAUVAISE,VLOOKUP("Lentille",AlimentsRationEcurieChevauxMâlesSelle,2,FALSE),0)+(IF(QualitéAlimentsJumentSelle=MAUVAISE,VLOOKUP("Lentille",AlimentsRationEcurieChevauxFemellesSelle,2,FALSE),0))))))))))</f>
        <v>0</v>
      </c>
      <c r="EY219" s="1321"/>
      <c r="EZ219" s="1345"/>
      <c r="FA219" s="1345"/>
      <c r="FB219" s="1345"/>
      <c r="FC219" s="1321"/>
      <c r="FD219" s="1083" t="str">
        <f t="shared" si="72"/>
        <v>Paille</v>
      </c>
      <c r="FE219" s="1283">
        <f t="array" ref="FE219">SUM((IF(QualitéAlimentsPoulainMâleTrait=BONNE,VLOOKUP("Paille",AlimentsRationEcurieChevauxMâlesTrait,5,FALSE),0)+(IF(QualitéAlimentsPoulainFemelleTrait=BONNE,VLOOKUP("Paille",AlimentsRationEcurieChevauxFemellesTrait,5,FALSE),0)+(IF(QualitéAlimentsJeuneEtalon_12_24_moisTrait=BONNE,VLOOKUP("Paille",AlimentsRationEcurieChevauxMâlesTrait,4,FALSE),0)+(IF(QualitéAlimentsJeuneJument_12_24_moisTrait=BONNE,VLOOKUP("Paille",AlimentsRationEcurieChevauxFemellesTrait,4,FALSE),0)+(IF(QualitéAlimentsJeuneEtalon_24_36_moisTrait=BONNE,VLOOKUP("Paille",AlimentsRationEcurieChevauxMâlesTrait,3,FALSE),0)+(IF(QualitéAlimentsJeuneJument_24_36_moisTrait=BONNE,VLOOKUP("Paille",AlimentsRationEcurieChevauxFemellesTrait,3,FALSE),0)+(IF(QualitéAlimentsEtalonTrait=BONNE,VLOOKUP("Paille",AlimentsRationEcurieChevauxMâlesTrait,2,FALSE),0)+(IF(QualitéAlimentsJumentTrait=BONNE,VLOOKUP("Paille",AlimentsRationEcurieChevauxFemellesTrait,2,FALSE),0))))))))))</f>
        <v>0</v>
      </c>
      <c r="FF219" s="1283">
        <f t="array" ref="FF219">SUM((IF(QualitéAlimentsPoulainMâleTrait=MOYENNE,VLOOKUP("Paille",AlimentsRationEcurieChevauxMâlesTrait,5,FALSE),0)+(IF(QualitéAlimentsPoulainFemelleTrait=MOYENNE,VLOOKUP("Paille",AlimentsRationEcurieChevauxFemellesTrait,5,FALSE),0)+(IF(QualitéAlimentsJeuneEtalon_12_24_moisTrait=MOYENNE,VLOOKUP("Paille",AlimentsRationEcurieChevauxMâlesTrait,4,FALSE),0)+(IF(QualitéAlimentsJeuneJument_12_24_moisTrait=MOYENNE,VLOOKUP("Paille",AlimentsRationEcurieChevauxFemellesTrait,4,FALSE),0)+(IF(QualitéAlimentsJeuneEtalon_24_36_moisTrait=MOYENNE,VLOOKUP("Paille",AlimentsRationEcurieChevauxMâlesTrait,3,FALSE),0)+(IF(QualitéAlimentsJeuneJument_24_36_moisTrait=MOYENNE,VLOOKUP("Paille",AlimentsRationEcurieChevauxFemellesTrait,3,FALSE),0)+(IF(QualitéAlimentsEtalonTrait=MOYENNE,VLOOKUP("Paille",AlimentsRationEcurieChevauxMâlesTrait,2,FALSE),0)+(IF(QualitéAlimentsJumentTrait=MOYENNE,VLOOKUP("Paille",AlimentsRationEcurieChevauxFemellesTrait,2,FALSE),0))))))))))</f>
        <v>0</v>
      </c>
      <c r="FG219" s="1283">
        <f t="array" ref="FG219">SUM((IF(QualitéAlimentsPoulainMâleTrait=MAUVAISE,VLOOKUP("Paille",AlimentsRationEcurieChevauxMâlesTrait,5,FALSE),0)+(IF(QualitéAlimentsPoulainFemelleTrait=MAUVAISE,VLOOKUP("Paille",AlimentsRationEcurieChevauxFemellesTrait,5,FALSE),0)+(IF(QualitéAlimentsJeuneEtalon_12_24_moisTrait=MAUVAISE,VLOOKUP("Paille",AlimentsRationEcurieChevauxMâlesTrait,4,FALSE),0)+(IF(QualitéAlimentsJeuneJument_12_24_moisTrait=MAUVAISE,VLOOKUP("Paille",AlimentsRationEcurieChevauxFemellesTrait,4,FALSE),0)+(IF(QualitéAlimentsJeuneEtalon_24_36_moisTrait=MAUVAISE,VLOOKUP("Paille",AlimentsRationEcurieChevauxMâlesTrait,3,FALSE),0)+(IF(QualitéAlimentsJeuneJument_24_36_moisTrait=MAUVAISE,VLOOKUP("Paille",AlimentsRationEcurieChevauxFemellesTrait,3,FALSE),0)+(IF(QualitéAlimentsEtalonTrait=MAUVAISE,VLOOKUP("Paille",AlimentsRationEcurieChevauxMâlesTrait,2,FALSE),0)+(IF(QualitéAlimentsJumentTrait=MAUVAISE,VLOOKUP("Paille",AlimentsRationEcurieChevauxFemellesTrait,2,FALSE),0)+SUM(LitièreChevauxTrait[[#Totals],[hiver dedans]:[hiver dehors]]))))))))))</f>
        <v>0</v>
      </c>
      <c r="FH219" s="1321"/>
      <c r="FI219" s="1321"/>
      <c r="FJ219" s="1345"/>
      <c r="FK219" s="1345"/>
      <c r="FL219" s="1345"/>
      <c r="FM219" s="1321"/>
      <c r="FN219" s="1082" t="str">
        <f t="shared" si="71"/>
        <v>Pois</v>
      </c>
      <c r="FO219" s="1282">
        <f t="array" ref="FO219">SUM((IF(QualitéAlimentsPoulainMâlePoney=BONNE,VLOOKUP("Pois",AlimentsRationEcuriePoneysMâles,5,FALSE),0)+(IF(QualitéAlimentsPoulainFemellePoney=BONNE,VLOOKUP("Pois",AlimentsRationEcuriePoneysFemelles,5,FALSE),0)+(IF(QualitéAlimentsJeuneEtalon_12_24_moisPoney=BONNE,VLOOKUP("Pois",AlimentsRationEcuriePoneysMâles,4,FALSE),0)+(IF(QualitéAlimentsJeuneJument_12_24_moisPoney=BONNE,VLOOKUP("Pois",AlimentsRationEcuriePoneysFemelles,4,FALSE),0)+(IF(QualitéAlimentsJeuneEtalon_24_36_moisPoney=BONNE,VLOOKUP("Pois",AlimentsRationEcuriePoneysMâles,3,FALSE),0)+(IF(QualitéAlimentsJeuneJument_24_36_moisPoney=BONNE,VLOOKUP("Pois",AlimentsRationEcuriePoneysFemelles,3,FALSE),0)+(IF(QualitéAlimentsEtalonPoney=BONNE,VLOOKUP("Pois",AlimentsRationEcuriePoneysMâles,2,FALSE),0)+(IF(QualitéAlimentsJumentPoney=BONNE,VLOOKUP("Pois",AlimentsRationEcuriePoneysFemelles,2,FALSE),0))))))))))</f>
        <v>0</v>
      </c>
      <c r="FP219" s="1282">
        <f t="array" ref="FP219">SUM((IF(QualitéAlimentsPoulainMâlePoney=MOYENNE,VLOOKUP("Pois",AlimentsRationEcuriePoneysMâles,5,FALSE),0)+(IF(QualitéAlimentsPoulainFemellePoney=MOYENNE,VLOOKUP("Pois",AlimentsRationEcuriePoneysFemelles,5,FALSE),0)+(IF(QualitéAlimentsJeuneEtalon_12_24_moisPoney=MOYENNE,VLOOKUP("Pois",AlimentsRationEcuriePoneysMâles,4,FALSE),0)+(IF(QualitéAlimentsJeuneJument_12_24_moisPoney=MOYENNE,VLOOKUP("Pois",AlimentsRationEcuriePoneysFemelles,4,FALSE),0)+(IF(QualitéAlimentsJeuneEtalon_24_36_moisPoney=MOYENNE,VLOOKUP("Pois",AlimentsRationEcuriePoneysMâles,3,FALSE),0)+(IF(QualitéAlimentsJeuneJument_24_36_moisPoney=MOYENNE,VLOOKUP("Pois",AlimentsRationEcuriePoneysFemelles,3,FALSE),0)+(IF(QualitéAlimentsEtalonPoney=MOYENNE,VLOOKUP("Pois",AlimentsRationEcuriePoneysMâles,2,FALSE),0)+(IF(QualitéAlimentsJumentPoney=MOYENNE,VLOOKUP("Pois",AlimentsRationEcuriePoneysFemelles,2,FALSE),0))))))))))</f>
        <v>0</v>
      </c>
      <c r="FQ219" s="1282">
        <f t="array" ref="FQ219">SUM((IF(QualitéAlimentsPoulainMâlePoney=MAUVAISE,VLOOKUP("Pois",AlimentsRationEcuriePoneysMâles,5,FALSE),0)+(IF(QualitéAlimentsPoulainFemellePoney=MAUVAISE,VLOOKUP("Pois",AlimentsRationEcuriePoneysFemelles,5,FALSE),0)+(IF(QualitéAlimentsJeuneEtalon_12_24_moisPoney=MAUVAISE,VLOOKUP("Pois",AlimentsRationEcuriePoneysMâles,4,FALSE),0)+(IF(QualitéAlimentsJeuneJument_12_24_moisPoney=MAUVAISE,VLOOKUP("Pois",AlimentsRationEcuriePoneysFemelles,4,FALSE),0)+(IF(QualitéAlimentsJeuneEtalon_24_36_moisPoney=MAUVAISE,VLOOKUP("Pois",AlimentsRationEcuriePoneysMâles,3,FALSE),0)+(IF(QualitéAlimentsJeuneJument_24_36_moisPoney=MAUVAISE,VLOOKUP("Pois",AlimentsRationEcuriePoneysFemelles,3,FALSE),0)+(IF(QualitéAlimentsEtalonPoney=MAUVAISE,VLOOKUP("Pois",AlimentsRationEcuriePoneysMâles,2,FALSE),0)+(IF(QualitéAlimentsJumentPoney=MAUVAISE,VLOOKUP("Pois",AlimentsRationEcuriePoneysFemelles,2,FALSE),0))))))))))</f>
        <v>0</v>
      </c>
      <c r="FR219" s="1345"/>
      <c r="FS219" s="1345"/>
      <c r="FT219" s="1345"/>
      <c r="FU219" s="1345"/>
      <c r="FV219" s="1345"/>
      <c r="FW219" s="1321"/>
      <c r="FX219" s="1321"/>
      <c r="FY219" s="1321"/>
      <c r="FZ219" s="1321"/>
      <c r="GA219" s="1345"/>
      <c r="GB219" s="1321"/>
      <c r="GC219" s="1321"/>
      <c r="GD219" s="1321"/>
      <c r="GE219" s="1321"/>
      <c r="GF219" s="1321"/>
      <c r="GG219" s="1321" t="s">
        <v>1349</v>
      </c>
      <c r="GH219" s="1321" t="s">
        <v>1349</v>
      </c>
      <c r="GI219" s="1321" t="s">
        <v>1349</v>
      </c>
      <c r="GJ219" s="1321" t="s">
        <v>1349</v>
      </c>
      <c r="GK219" s="1321" t="s">
        <v>1349</v>
      </c>
      <c r="GL219" s="1321" t="s">
        <v>1349</v>
      </c>
      <c r="GM219" s="1321" t="s">
        <v>1349</v>
      </c>
      <c r="GN219" s="1321" t="s">
        <v>1349</v>
      </c>
      <c r="GO219" s="1321" t="s">
        <v>1349</v>
      </c>
      <c r="GP219" s="1321" t="s">
        <v>1349</v>
      </c>
      <c r="GQ219" s="1321" t="s">
        <v>1349</v>
      </c>
      <c r="GR219" s="1321" t="s">
        <v>1349</v>
      </c>
      <c r="GS219" s="1321" t="s">
        <v>1349</v>
      </c>
      <c r="GT219" s="1321" t="s">
        <v>1349</v>
      </c>
      <c r="GU219" s="1321" t="s">
        <v>1349</v>
      </c>
      <c r="GV219" s="1321" t="s">
        <v>1349</v>
      </c>
      <c r="GW219" s="1321"/>
      <c r="GX219" s="1321"/>
      <c r="GY219" s="1321"/>
      <c r="GZ219" s="1321"/>
      <c r="HA219" s="1321"/>
      <c r="HB219" s="1321"/>
      <c r="HC219" s="1321"/>
      <c r="HD219" s="1321"/>
      <c r="HE219" s="1321"/>
      <c r="HF219" s="1321"/>
      <c r="HG219" s="1321"/>
      <c r="HH219" s="1321"/>
      <c r="HI219" s="1321"/>
      <c r="HJ219" s="1321"/>
      <c r="HK219" s="1321"/>
      <c r="HL219" s="1321"/>
      <c r="HM219" s="1321"/>
      <c r="HN219" s="1321"/>
      <c r="HO219" s="1321"/>
      <c r="HP219" s="1321"/>
      <c r="HQ219" s="1321"/>
      <c r="HR219" s="1321"/>
      <c r="HS219" s="1321"/>
      <c r="HT219" s="1321"/>
      <c r="HU219" s="1321"/>
      <c r="HV219" s="1321"/>
      <c r="HW219" s="1321"/>
      <c r="HX219" s="1321"/>
      <c r="HY219" s="1321"/>
      <c r="HZ219" s="1321"/>
      <c r="IA219" s="1321"/>
      <c r="IB219" s="1321"/>
      <c r="IC219" s="1321"/>
      <c r="ID219" s="1321"/>
      <c r="IE219" s="1321"/>
      <c r="IF219" s="1321"/>
      <c r="IG219" s="1321"/>
      <c r="IH219" s="1321"/>
      <c r="II219" s="1321"/>
      <c r="IJ219" s="1321"/>
      <c r="IK219" s="1321"/>
      <c r="IL219" s="1321"/>
      <c r="IM219" s="1321"/>
      <c r="IN219" s="1368"/>
    </row>
    <row r="220" spans="1:248" ht="12.75" customHeight="1" x14ac:dyDescent="0.2">
      <c r="A220" s="1319"/>
      <c r="B220" s="1321"/>
      <c r="C220" s="1321"/>
      <c r="D220" s="1321"/>
      <c r="E220" s="1321"/>
      <c r="F220" s="1321"/>
      <c r="G220" s="1321"/>
      <c r="H220" s="1321"/>
      <c r="I220" s="1321"/>
      <c r="J220" s="1321"/>
      <c r="K220" s="1321"/>
      <c r="L220" s="1321"/>
      <c r="M220" s="1321"/>
      <c r="N220" s="1321"/>
      <c r="O220" s="1321"/>
      <c r="P220" s="1321"/>
      <c r="Q220" s="1321"/>
      <c r="R220" s="1321"/>
      <c r="S220" s="1321"/>
      <c r="T220" s="1321"/>
      <c r="U220" s="1321"/>
      <c r="V220" s="1321"/>
      <c r="W220" s="1321"/>
      <c r="X220" s="1321"/>
      <c r="Y220" s="1321"/>
      <c r="Z220" s="1321"/>
      <c r="AA220" s="1321"/>
      <c r="AB220" s="1321"/>
      <c r="AC220" s="1321"/>
      <c r="AD220" s="1321"/>
      <c r="AE220" s="1321"/>
      <c r="AF220" s="1321"/>
      <c r="AG220" s="1321"/>
      <c r="AH220" s="1321"/>
      <c r="AI220" s="1321"/>
      <c r="AJ220" s="1321"/>
      <c r="AK220" s="1321"/>
      <c r="AL220" s="1321"/>
      <c r="AM220" s="1321"/>
      <c r="AN220" s="1321"/>
      <c r="AO220" s="1321"/>
      <c r="AP220" s="1321"/>
      <c r="AQ220" s="1321"/>
      <c r="AR220" s="1321"/>
      <c r="AS220" s="1321"/>
      <c r="AT220" s="1321"/>
      <c r="AU220" s="1321"/>
      <c r="AV220" s="1321"/>
      <c r="AW220" s="1321"/>
      <c r="AX220" s="1321"/>
      <c r="AY220" s="1321"/>
      <c r="AZ220" s="1321"/>
      <c r="BA220" s="1321"/>
      <c r="BB220" s="1076" t="s">
        <v>500</v>
      </c>
      <c r="BC220" s="1267">
        <f t="array" ref="BC220">IF(Ration_complète_bovins[somme]&gt;0,0,IFERROR(IF(OR(AND(INDEX(Règles_bovins[Specificite],MATCH(ChoixRationBovins&amp;$BB220,Règles_bovins[Ration]&amp;Règles_bovins[Aliment],0))="s1",IF($BB220=Spécificité1Bovins,1)),
AND(INDEX(Règles_bovins[Specificite],MATCH(ChoixRationBovins&amp;$BB220,Règles_bovins[Ration]&amp;Règles_bovins[Aliment],0))="s2",IF($BB220=Spécificité2Bovins,1)),
INDEX(Règles_bovins[Specificite],MATCH(ChoixRationBovins&amp;$BB220,Règles_bovins[Ration]&amp;Règles_bovins[Aliment],0))="c"),
INDEX(Règles_bovins[Valeur 36 et plus],MATCH(ChoixRationBovins&amp;$BB220,Règles_bovins[Ration]&amp;Règles_bovins[Aliment],0)),0),0)*IF(ChoixBovinsPréHiver=OUI,TotalTaureauxRacesLaitières,TotalTaureaux*SUM(NbreJoursNourrirBovins)))</f>
        <v>0</v>
      </c>
      <c r="BD220" s="1267">
        <f t="array" ref="BD220">IF(Ration_complète_bovins[somme]&gt;0,0,IFERROR(IF(OR(AND(INDEX(Règles_bovins[Specificite],MATCH(ChoixRationBovins&amp;$BB220,Règles_bovins[Ration]&amp;Règles_bovins[Aliment],0))="s1",IF($BB220=Spécificité1Bovins,1)),
AND(INDEX(Règles_bovins[Specificite],MATCH(ChoixRationBovins&amp;$BB220,Règles_bovins[Ration]&amp;Règles_bovins[Aliment],0))="s2",IF($BB220=Spécificité2Bovins,1)),
INDEX(Règles_bovins[Specificite],MATCH(ChoixRationBovins&amp;$BB220,Règles_bovins[Ration]&amp;Règles_bovins[Aliment],0))="c"),
INDEX(Règles_bovins[Valeur 24-36],MATCH(ChoixRationBovins&amp;$BB220,Règles_bovins[Ration]&amp;Règles_bovins[Aliment],0)),0),0)*IF(ChoixBovinsPréHiver=OUI,TotalTaurillon_24_36_RacesLaitières,TotalBovinsMâles_24_36mois*SUM(NbreJoursNourrirBovins)))</f>
        <v>0</v>
      </c>
      <c r="BE220" s="1267">
        <f t="array" ref="BE220">IF(Ration_complète_bovins[somme]&gt;0,0,IFERROR(IF(OR(AND(INDEX(Règles_bovins[Specificite],MATCH(ChoixRationBovins&amp;$BB220,Règles_bovins[Ration]&amp;Règles_bovins[Aliment],0))="s1",IF($BB220=Spécificité1Bovins,1)),
AND(INDEX(Règles_bovins[Specificite],MATCH(ChoixRationBovins&amp;$BB220,Règles_bovins[Ration]&amp;Règles_bovins[Aliment],0))="s2",IF($BB220=Spécificité2Bovins,1)),
INDEX(Règles_bovins[Specificite],MATCH(ChoixRationBovins&amp;$BB220,Règles_bovins[Ration]&amp;Règles_bovins[Aliment],0))="c"),
INDEX(Règles_bovins[Valeur 18-24],MATCH(ChoixRationBovins&amp;$BB220,Règles_bovins[Ration]&amp;Règles_bovins[Aliment],0)),0),0)*IF(ChoixBovinsPréHiver=OUI,TotalTaurillon_18_24_RacesLaitières,TotalBovinsMâles_18_24mois*SUM(NbreJoursNourrirBovins)))</f>
        <v>0</v>
      </c>
      <c r="BF220" s="1267">
        <f t="array" ref="BF220">IF(Ration_complète_bovins[somme]&gt;0,0,IFERROR(IF(OR(AND(INDEX(Règles_bovins[Specificite],MATCH(ChoixRationBovins&amp;$BB220,Règles_bovins[Ration]&amp;Règles_bovins[Aliment],0))="s1",IF($BB220=Spécificité1Bovins,1)),
AND(INDEX(Règles_bovins[Specificite],MATCH(ChoixRationBovins&amp;$BB220,Règles_bovins[Ration]&amp;Règles_bovins[Aliment],0))="s2",IF($BB220=Spécificité2Bovins,1)),
INDEX(Règles_bovins[Specificite],MATCH(ChoixRationBovins&amp;$BB220,Règles_bovins[Ration]&amp;Règles_bovins[Aliment],0))="c"),
INDEX(Règles_bovins[Valeur 12-18],MATCH(ChoixRationBovins&amp;$BB220,Règles_bovins[Ration]&amp;Règles_bovins[Aliment],0)),0),0)*IF(ChoixBovinsPréHiver=OUI,animaux!D43,TotalBovinsMâles_12_18mois*SUM(NbreJoursNourrirBovins)))</f>
        <v>0</v>
      </c>
      <c r="BG220" s="1267">
        <f t="array" ref="BG220">IF(Ration_complète_bovins[somme]&gt;0,0,IFERROR(IF(OR(AND(INDEX(Règles_bovins[Specificite],MATCH(ChoixRationBovins&amp;$BB220,Règles_bovins[Ration]&amp;Règles_bovins[Aliment],0))="s1",IF($BB220=Spécificité1Bovins,1)),
AND(INDEX(Règles_bovins[Specificite],MATCH(ChoixRationBovins&amp;$BB220,Règles_bovins[Ration]&amp;Règles_bovins[Aliment],0))="s2",IF($BB220=Spécificité2Bovins,1)),
INDEX(Règles_bovins[Specificite],MATCH(ChoixRationBovins&amp;$BB220,Règles_bovins[Ration]&amp;Règles_bovins[Aliment],0))="c"),
INDEX(Règles_bovins[Valeur 6-12],MATCH(ChoixRationBovins&amp;$BB220,Règles_bovins[Ration]&amp;Règles_bovins[Aliment],0)),0),0)*IF(ChoixBovinsPréHiver=OUI,TotalVeauMâle_6_12_RacesLaitières,TotalBovinsMâles_6_12mois*SUM(NbreJoursNourrirBovins)))</f>
        <v>0</v>
      </c>
      <c r="BH220" s="1267">
        <f t="array" ref="BH220">IF(Ration_complète_bovins[somme]&gt;0,0,IFERROR(IF(OR(AND(INDEX(Règles_bovins[Specificite],MATCH(ChoixRationBovins&amp;$BB220,Règles_bovins[Ration]&amp;Règles_bovins[Aliment],0))="s1",IF($BB220=Spécificité1Bovins,1)),
AND(INDEX(Règles_bovins[Specificite],MATCH(ChoixRationBovins&amp;$BB220,Règles_bovins[Ration]&amp;Règles_bovins[Aliment],0))="s2",IF($BB220=Spécificité2Bovins,1)),
INDEX(Règles_bovins[Specificite],MATCH(ChoixRationBovins&amp;$BB220,Règles_bovins[Ration]&amp;Règles_bovins[Aliment],0))="c"),
INDEX(Règles_bovins[Valeur 3-6],MATCH(ChoixRationBovins&amp;$BB220,Règles_bovins[Ration]&amp;Règles_bovins[Aliment],0)),0),0)*IF(ChoixBovinsPréHiver=OUI,TotalVeauMâle_3_6_RacesLaitières,TotalBovinsMâles_3_6mois*SUM(NbreJoursNourrirBovins)))</f>
        <v>0</v>
      </c>
      <c r="BI220" s="1267">
        <f t="array" ref="BI220">IF(Ration_complète_bovins[somme]&gt;0,0,IFERROR(IF(OR(AND(INDEX(Règles_bovins[Specificite],MATCH(ChoixRationBovins&amp;$BB220,Règles_bovins[Ration]&amp;Règles_bovins[Aliment],0))="s1",IF($BB220=Spécificité1Bovins,1)),
AND(INDEX(Règles_bovins[Specificite],MATCH(ChoixRationBovins&amp;$BB220,Règles_bovins[Ration]&amp;Règles_bovins[Aliment],0))="s2",IF($BB220=Spécificité2Bovins,1)),
INDEX(Règles_bovins[Specificite],MATCH(ChoixRationBovins&amp;$BB220,Règles_bovins[Ration]&amp;Règles_bovins[Aliment],0))="c"),
INDEX(Règles_bovins[Valeur 0-3],MATCH(ChoixRationBovins&amp;$BB220,Règles_bovins[Ration]&amp;Règles_bovins[Aliment],0)),0),0)*IF(ChoixBovinsPréHiver=OUI,TotalVeauMâle_0_3_RacesLaitières,TotalBovinsMâles_0_3mois*SUM(NbreJoursNourrirBovins)))</f>
        <v>0</v>
      </c>
      <c r="BJ220" s="1268">
        <f t="shared" si="69"/>
        <v>0</v>
      </c>
      <c r="BK220" s="1321"/>
      <c r="BL220" s="1321"/>
      <c r="BM220" s="1346"/>
      <c r="BN220" s="1321"/>
      <c r="BO220" s="1321"/>
      <c r="BP220" s="1321"/>
      <c r="BQ220" s="1321"/>
      <c r="BR220" s="1321"/>
      <c r="BS220" s="1321"/>
      <c r="BT220" s="1321"/>
      <c r="BU220" s="1321"/>
      <c r="BV220" s="1345"/>
      <c r="BW220" s="1345"/>
      <c r="BX220" s="1076" t="str">
        <f t="shared" si="70"/>
        <v>Pulpe déshydratée de betterave</v>
      </c>
      <c r="BY220" s="1267">
        <f t="array" ref="BY220">SUM((IF(QualitéAlimentsChevreau_0_3_mois=BONNE,VLOOKUP("Pulpe déshydratée de betterave",AlimentsRationCaprinsMâles,5,FALSE),0)+(IF(QualitéAlimentsChevrette_0_3_mois=BONNE,VLOOKUP("Pulpe déshydratée de betterave",AlimentsRationCaprinsFemelles,5,FALSE),0)+(IF(QualitéAlimentsChevreau_3_6_mois=BONNE,VLOOKUP("Pulpe déshydratée de betterave",AlimentsRationCaprinsMâles,4,FALSE),0)+(IF(QualitéAlimentsChevrette_3_6_mois=BONNE,VLOOKUP("Pulpe déshydratée de betterave",AlimentsRationCaprinsFemelles,4,FALSE),0)+(IF(QualitéAlimentsJeuneBouc=BONNE,VLOOKUP("Pulpe déshydratée de betterave",AlimentsRationCaprinsMâles,3,FALSE),0)+(IF(QualitéAlimentsJeuneChèvre=BONNE,VLOOKUP("Pulpe déshydratée de betterave",AlimentsRationCaprinsFemelles,3,FALSE),0)+(IF(QualitéAlimentsBouc=BONNE,VLOOKUP("Pulpe déshydratée de betterave",AlimentsRationCaprinsMâles,2,FALSE),0)+(IF(QualitéAlimentsChèvre=BONNE,VLOOKUP("Pulpe déshydratée de betterave",AlimentsRationCaprinsFemelles,2,FALSE),0))))))))))</f>
        <v>0</v>
      </c>
      <c r="BZ220" s="1267">
        <f t="array" ref="BZ220">SUM((IF(QualitéAlimentsChevreau_0_3_mois=MOYENNE,VLOOKUP("Pulpe déshydratée de betterave",AlimentsRationCaprinsMâles,5,FALSE),0)+(IF(QualitéAlimentsChevrette_0_3_mois=MOYENNE,VLOOKUP("Pulpe déshydratée de betterave",AlimentsRationCaprinsFemelles,5,FALSE),0)+(IF(QualitéAlimentsChevreau_3_6_mois=MOYENNE,VLOOKUP("Pulpe déshydratée de betterave",AlimentsRationCaprinsMâles,4,FALSE),0)+(IF(QualitéAlimentsChevrette_3_6_mois=MOYENNE,VLOOKUP("Pulpe déshydratée de betterave",AlimentsRationCaprinsFemelles,4,FALSE),0)+(IF(QualitéAlimentsJeuneBouc=MOYENNE,VLOOKUP("Pulpe déshydratée de betterave",AlimentsRationCaprinsMâles,3,FALSE),0)+(IF(QualitéAlimentsJeuneChèvre=MOYENNE,VLOOKUP("Pulpe déshydratée de betterave",AlimentsRationCaprinsFemelles,3,FALSE),0)+(IF(QualitéAlimentsBouc=MOYENNE,VLOOKUP("Pulpe déshydratée de betterave",AlimentsRationCaprinsMâles,2,FALSE),0)+(IF(QualitéAlimentsChèvre=MOYENNE,VLOOKUP("Pulpe déshydratée de betterave",AlimentsRationCaprinsFemelles,2,FALSE),0))))))))))</f>
        <v>0</v>
      </c>
      <c r="CA220" s="1267">
        <f t="array" ref="CA220">SUM((IF(QualitéAlimentsChevreau_0_3_mois=MAUVAISE,VLOOKUP("Pulpe déshydratée de betterave",AlimentsRationCaprinsMâles,5,FALSE),0)+(IF(QualitéAlimentsChevrette_0_3_mois=MAUVAISE,VLOOKUP("Pulpe déshydratée de betterave",AlimentsRationCaprinsFemelles,5,FALSE),0)+(IF(QualitéAlimentsChevreau_3_6_mois=MAUVAISE,VLOOKUP("Pulpe déshydratée de betterave",AlimentsRationCaprinsMâles,4,FALSE),0)+(IF(QualitéAlimentsChevrette_3_6_mois=MAUVAISE,VLOOKUP("Pulpe déshydratée de betterave",AlimentsRationCaprinsFemelles,4,FALSE),0)+(IF(QualitéAlimentsJeuneBouc=MAUVAISE,VLOOKUP("Pulpe déshydratée de betterave",AlimentsRationCaprinsMâles,3,FALSE),0)+(IF(QualitéAlimentsJeuneChèvre=MAUVAISE,VLOOKUP("Pulpe déshydratée de betterave",AlimentsRationCaprinsFemelles,3,FALSE),0)+(IF(QualitéAlimentsBouc=MAUVAISE,VLOOKUP("Pulpe déshydratée de betterave",AlimentsRationCaprinsMâles,2,FALSE),0)+(IF(QualitéAlimentsChèvre=MAUVAISE,VLOOKUP("Pulpe déshydratée de betterave",AlimentsRationCaprinsFemelles,2,FALSE),0))))))))))</f>
        <v>0</v>
      </c>
      <c r="CB220" s="1321"/>
      <c r="CC220" s="1321"/>
      <c r="CD220" s="1345"/>
      <c r="CE220" s="1345"/>
      <c r="CF220" s="1345"/>
      <c r="CG220" s="1345"/>
      <c r="CH220" s="1345"/>
      <c r="CI220" s="1321"/>
      <c r="CJ220" s="1321"/>
      <c r="CK220" s="1321"/>
      <c r="CL220" s="1321"/>
      <c r="CM220" s="1321"/>
      <c r="CN220" s="1321"/>
      <c r="CO220" s="1321"/>
      <c r="CP220" s="1321"/>
      <c r="CQ220" s="1321"/>
      <c r="CR220" s="1321"/>
      <c r="CS220" s="1321"/>
      <c r="CT220" s="1321"/>
      <c r="CU220" s="1321"/>
      <c r="CV220" s="1321"/>
      <c r="CW220" s="1321"/>
      <c r="CX220" s="1321"/>
      <c r="CY220" s="1321"/>
      <c r="CZ220" s="1321"/>
      <c r="DA220" s="1321"/>
      <c r="DB220" s="1321"/>
      <c r="DC220" s="1321"/>
      <c r="DD220" s="1321"/>
      <c r="DE220" s="1321"/>
      <c r="DF220" s="1321"/>
      <c r="DG220" s="1321"/>
      <c r="DH220" s="1321"/>
      <c r="DI220" s="1321"/>
      <c r="DJ220" s="1321"/>
      <c r="DK220" s="1321"/>
      <c r="DL220" s="1321"/>
      <c r="DM220" s="1321"/>
      <c r="DN220" s="1076" t="str">
        <f t="shared" si="68"/>
        <v>Sorgho ensilé</v>
      </c>
      <c r="DO220" s="1267">
        <f t="array" ref="DO220">IF(ChoixRationComplèteOvins=OUI,0,IFERROR(IF(OR(AND(INDEX(Règles_ovins[Specificite],MATCH(ChoixRationOvins&amp;$DN220,Règles_ovins[Ration]&amp;Règles_ovins[Aliment],0))="s1",IF($DN220=Spécificité1Ovins,1)),
AND(INDEX(Règles_ovins[Specificite],MATCH(ChoixRationOvins&amp;$DN220,Règles_ovins[Ration]&amp;Règles_ovins[Aliment],0))="s2",IF($DN220=Spécificité2Ovins,1)),
INDEX(Règles_ovins[Specificite],MATCH(ChoixRationOvins&amp;$DN220,Règles_ovins[Ration]&amp;Règles_ovins[Aliment],0))="c"),
INDEX(Règles_ovins[Valeur 12 et plus],MATCH(ChoixRationOvins&amp;$DN220,Règles_ovins[Ration]&amp;Règles_ovins[Aliment],0)),0),0)*IF(ChoixOvinsPréHiver=OUI,SUM(TotalOvinsAdultesRacesLaitières)*NbreJoursNourrirOvins,TotalBrebis*SUM(NbreJoursNourrirOvins)))</f>
        <v>0</v>
      </c>
      <c r="DP220" s="1267">
        <f t="array" ref="DP220">IF(ChoixRationComplèteOvins=OUI,0,IFERROR(IF(OR(AND(INDEX(Règles_ovins[Specificite],MATCH(ChoixRationOvins&amp;$DN220,Règles_ovins[Ration]&amp;Règles_ovins[Aliment],0))="s1",IF($DN220=Spécificité1Ovins,1)),
AND(INDEX(Règles_ovins[Specificite],MATCH(ChoixRationOvins&amp;$DN220,Règles_ovins[Ration]&amp;Règles_ovins[Aliment],0))="s2",IF($DN220=Spécificité2Ovins,1)),
INDEX(Règles_ovins[Specificite],MATCH(ChoixRationOvins&amp;$DN220,Règles_ovins[Ration]&amp;Règles_ovins[Aliment],0))="c"),
INDEX(Règles_ovins[Valeur 6-12],MATCH(ChoixRationOvins&amp;$DN220,Règles_ovins[Ration]&amp;Règles_ovins[Aliment],0)),0),0)*IF(ChoixOvinsPréHiver=OUI,SUM(TotalJeunesOvinsRacesLaitières)*NbreJoursNourrirOvins,TotalJeune_brebis_6_12_mois*SUM(NbreJoursNourrirOvins)))</f>
        <v>0</v>
      </c>
      <c r="DQ220" s="1267">
        <f t="array" ref="DQ220">IF(ChoixRationComplèteOvins=OUI,0,IFERROR(IF(OR(AND(INDEX(Règles_ovins[Specificite],MATCH(ChoixRationOvins&amp;$DN220,Règles_ovins[Ration]&amp;Règles_ovins[Aliment],0))="s1",IF($DN220=Spécificité1Ovins,1)),
AND(INDEX(Règles_ovins[Specificite],MATCH(ChoixRationOvins&amp;$DN220,Règles_ovins[Ration]&amp;Règles_ovins[Aliment],0))="s2",IF($DN220=Spécificité2Ovins,1)),
INDEX(Règles_ovins[Specificite],MATCH(ChoixRationOvins&amp;$DN220,Règles_ovins[Ration]&amp;Règles_ovins[Aliment],0))="c"),
INDEX(Règles_ovins[Valeur 3-6],MATCH(ChoixRationOvins&amp;$DN220,Règles_ovins[Ration]&amp;Règles_ovins[Aliment],0)),0),0)*IF(ChoixOvinsPréHiver=OUI,SUM(TotalOvins_3_6moisRacesLaitières)*NbreJoursNourrirOvins,TotalAgnelle_3_6_mois*SUM(NbreJoursNourrirOvins)))</f>
        <v>0</v>
      </c>
      <c r="DR220" s="1267">
        <f t="array" ref="DR220">IF(ChoixRationComplèteOvins=OUI,0,IFERROR(IF(OR(AND(INDEX(Règles_ovins[Specificite],MATCH(ChoixRationOvins&amp;$DN220,Règles_ovins[Ration]&amp;Règles_ovins[Aliment],0))="s1",IF($DN220=Spécificité1Ovins,1)),
AND(INDEX(Règles_ovins[Specificite],MATCH(ChoixRationOvins&amp;$DN220,Règles_ovins[Ration]&amp;Règles_ovins[Aliment],0))="s2",IF($DN220=Spécificité2Ovins,1)),
INDEX(Règles_ovins[Specificite],MATCH(ChoixRationOvins&amp;$DN220,Règles_ovins[Ration]&amp;Règles_ovins[Aliment],0))="c"),
INDEX(Règles_ovins[Valeur 0-3],MATCH(ChoixRationOvins&amp;$DN220,Règles_ovins[Ration]&amp;Règles_ovins[Aliment],0)),0),0)*IF(ChoixOvinsPréHiver=OUI,SUM(TotalOvins_3_6moisRacesLaitières)*NbreJoursNourrirOvins,TotalAgnelle_0_3_mois*SUM(NbreJoursNourrirOvins)))</f>
        <v>0</v>
      </c>
      <c r="DS220" s="1279">
        <f t="shared" si="67"/>
        <v>0</v>
      </c>
      <c r="DT220" s="1346"/>
      <c r="DU220" s="1346"/>
      <c r="DV220" s="1321"/>
      <c r="DW220" s="1321"/>
      <c r="DX220" s="1321"/>
      <c r="DY220" s="1321"/>
      <c r="DZ220" s="1321"/>
      <c r="EA220" s="1321"/>
      <c r="EB220" s="1321"/>
      <c r="EC220" s="1321"/>
      <c r="ED220" s="1345"/>
      <c r="EE220" s="1345"/>
      <c r="EF220" s="1321"/>
      <c r="EG220" s="1321"/>
      <c r="EH220" s="1321"/>
      <c r="EI220" s="1321"/>
      <c r="EJ220" s="1321"/>
      <c r="EK220" s="1345"/>
      <c r="EL220" s="1345"/>
      <c r="EM220" s="1321"/>
      <c r="EN220" s="1321"/>
      <c r="EO220" s="1321"/>
      <c r="EP220" s="1321"/>
      <c r="EQ220" s="1321"/>
      <c r="ER220" s="1345"/>
      <c r="ES220" s="1345"/>
      <c r="ET220" s="1321"/>
      <c r="EU220" s="1083" t="str">
        <f t="shared" si="73"/>
        <v>Maïs ensilé</v>
      </c>
      <c r="EV220" s="1283">
        <f t="array" ref="EV220">SUM((IF(QualitéAlimentsPoulainSelleMâle=BONNE,VLOOKUP("Maïs ensilé",AlimentsRationEcurieChevauxMâlesSelle,5,FALSE),0)+(IF(QualitéAlimentsPoulainSelleFemelle=BONNE,VLOOKUP("Maïs ensilé",AlimentsRationEcurieChevauxFemellesSelle,5,FALSE),0)+(IF(QualitéAlimentsJeuneEtalon_12_24_moisSelle=BONNE,VLOOKUP("Maïs ensilé",AlimentsRationEcurieChevauxMâlesSelle,4,FALSE),0)+(IF(QualitéAlimentsJeuneJument_12_24_moisSelle=BONNE,VLOOKUP("Maïs ensilé",AlimentsRationEcurieChevauxFemellesSelle,4,FALSE),0)+(IF(QualitéAlimentsJeuneEtalon_24_36_moisSelle=BONNE,VLOOKUP("Maïs ensilé",AlimentsRationEcurieChevauxMâlesSelle,3,FALSE),0)+(IF(QualitéAlimentsJeuneJument_24_36_moisSelle=BONNE,VLOOKUP("Maïs ensilé",AlimentsRationEcurieChevauxFemellesSelle,3,FALSE),0)+(IF(QualitéAlimentsEtalonSelle=BONNE,VLOOKUP("Maïs ensilé",AlimentsRationEcurieChevauxMâlesSelle,2,FALSE),0)+(IF(QualitéAlimentsJumentSelle=BONNE,VLOOKUP("Maïs ensilé",AlimentsRationEcurieChevauxFemellesSelle,2,FALSE),0))))))))))</f>
        <v>0</v>
      </c>
      <c r="EW220" s="1283">
        <f t="array" ref="EW220">SUM((IF(QualitéAlimentsPoulainSelleMâle=MOYENNE,VLOOKUP("Maïs ensilé",AlimentsRationEcurieChevauxMâlesSelle,5,FALSE),0)+(IF(QualitéAlimentsPoulainSelleFemelle=MOYENNE,VLOOKUP("Maïs ensilé",AlimentsRationEcurieChevauxFemellesSelle,5,FALSE),0)+(IF(QualitéAlimentsJeuneEtalon_12_24_moisSelle=MOYENNE,VLOOKUP("Maïs ensilé",AlimentsRationEcurieChevauxMâlesSelle,4,FALSE),0)+(IF(QualitéAlimentsJeuneJument_12_24_moisSelle=MOYENNE,VLOOKUP("Maïs ensilé",AlimentsRationEcurieChevauxFemellesSelle,4,FALSE),0)+(IF(QualitéAlimentsJeuneEtalon_24_36_moisSelle=MOYENNE,VLOOKUP("Maïs ensilé",AlimentsRationEcurieChevauxMâlesSelle,3,FALSE),0)+(IF(QualitéAlimentsJeuneJument_24_36_moisSelle=MOYENNE,VLOOKUP("Maïs ensilé",AlimentsRationEcurieChevauxFemellesSelle,3,FALSE),0)+(IF(QualitéAlimentsEtalonSelle=MOYENNE,VLOOKUP("Maïs ensilé",AlimentsRationEcurieChevauxMâlesSelle,2,FALSE),0)+(IF(QualitéAlimentsJumentSelle=MOYENNE,VLOOKUP("Maïs ensilé",AlimentsRationEcurieChevauxFemellesSelle,2,FALSE),0))))))))))</f>
        <v>0</v>
      </c>
      <c r="EX220" s="1283">
        <f t="array" ref="EX220">SUM((IF(QualitéAlimentsPoulainSelleMâle=MAUVAISE,VLOOKUP("Maïs ensilé",AlimentsRationEcurieChevauxMâlesSelle,5,FALSE),0)+(IF(QualitéAlimentsPoulainSelleFemelle=MAUVAISE,VLOOKUP("Maïs ensilé",AlimentsRationEcurieChevauxFemellesSelle,5,FALSE),0)+(IF(QualitéAlimentsJeuneEtalon_12_24_moisSelle=MAUVAISE,VLOOKUP("Maïs ensilé",AlimentsRationEcurieChevauxMâlesSelle,4,FALSE),0)+(IF(QualitéAlimentsJeuneJument_12_24_moisSelle=MAUVAISE,VLOOKUP("Maïs ensilé",AlimentsRationEcurieChevauxFemellesSelle,4,FALSE),0)+(IF(QualitéAlimentsJeuneEtalon_24_36_moisSelle=MAUVAISE,VLOOKUP("Maïs ensilé",AlimentsRationEcurieChevauxMâlesSelle,3,FALSE),0)+(IF(QualitéAlimentsJeuneJument_24_36_moisSelle=MAUVAISE,VLOOKUP("Maïs ensilé",AlimentsRationEcurieChevauxFemellesSelle,3,FALSE),0)+(IF(QualitéAlimentsEtalonSelle=MAUVAISE,VLOOKUP("Maïs ensilé",AlimentsRationEcurieChevauxMâlesSelle,2,FALSE),0)+(IF(QualitéAlimentsJumentSelle=MAUVAISE,VLOOKUP("Maïs ensilé",AlimentsRationEcurieChevauxFemellesSelle,2,FALSE),0))))))))))</f>
        <v>0</v>
      </c>
      <c r="EY220" s="1321"/>
      <c r="EZ220" s="1345"/>
      <c r="FA220" s="1345"/>
      <c r="FB220" s="1345"/>
      <c r="FC220" s="1321"/>
      <c r="FD220" s="1082" t="str">
        <f t="shared" si="72"/>
        <v>Pois</v>
      </c>
      <c r="FE220" s="1282">
        <f t="array" ref="FE220">SUM((IF(QualitéAlimentsPoulainMâleTrait=BONNE,VLOOKUP("Pois",AlimentsRationEcurieChevauxMâlesTrait,5,FALSE),0)+(IF(QualitéAlimentsPoulainFemelleTrait=BONNE,VLOOKUP("Pois",AlimentsRationEcurieChevauxFemellesTrait,5,FALSE),0)+(IF(QualitéAlimentsJeuneEtalon_12_24_moisTrait=BONNE,VLOOKUP("Pois",AlimentsRationEcurieChevauxMâlesTrait,4,FALSE),0)+(IF(QualitéAlimentsJeuneJument_12_24_moisTrait=BONNE,VLOOKUP("Pois",AlimentsRationEcurieChevauxFemellesTrait,4,FALSE),0)+(IF(QualitéAlimentsJeuneEtalon_24_36_moisTrait=BONNE,VLOOKUP("Pois",AlimentsRationEcurieChevauxMâlesTrait,3,FALSE),0)+(IF(QualitéAlimentsJeuneJument_24_36_moisTrait=BONNE,VLOOKUP("Pois",AlimentsRationEcurieChevauxFemellesTrait,3,FALSE),0)+(IF(QualitéAlimentsEtalonTrait=BONNE,VLOOKUP("Pois",AlimentsRationEcurieChevauxMâlesTrait,2,FALSE),0)+(IF(QualitéAlimentsJumentTrait=BONNE,VLOOKUP("Pois",AlimentsRationEcurieChevauxFemellesTrait,2,FALSE),0))))))))))</f>
        <v>0</v>
      </c>
      <c r="FF220" s="1282">
        <f t="array" ref="FF220">SUM((IF(QualitéAlimentsPoulainMâleTrait=MOYENNE,VLOOKUP("Pois",AlimentsRationEcurieChevauxMâlesTrait,5,FALSE),0)+(IF(QualitéAlimentsPoulainFemelleTrait=MOYENNE,VLOOKUP("Pois",AlimentsRationEcurieChevauxFemellesTrait,5,FALSE),0)+(IF(QualitéAlimentsJeuneEtalon_12_24_moisTrait=MOYENNE,VLOOKUP("Pois",AlimentsRationEcurieChevauxMâlesTrait,4,FALSE),0)+(IF(QualitéAlimentsJeuneJument_12_24_moisTrait=MOYENNE,VLOOKUP("Pois",AlimentsRationEcurieChevauxFemellesTrait,4,FALSE),0)+(IF(QualitéAlimentsJeuneEtalon_24_36_moisTrait=MOYENNE,VLOOKUP("Pois",AlimentsRationEcurieChevauxMâlesTrait,3,FALSE),0)+(IF(QualitéAlimentsJeuneJument_24_36_moisTrait=MOYENNE,VLOOKUP("Pois",AlimentsRationEcurieChevauxFemellesTrait,3,FALSE),0)+(IF(QualitéAlimentsEtalonTrait=MOYENNE,VLOOKUP("Pois",AlimentsRationEcurieChevauxMâlesTrait,2,FALSE),0)+(IF(QualitéAlimentsJumentTrait=MOYENNE,VLOOKUP("Pois",AlimentsRationEcurieChevauxFemellesTrait,2,FALSE),0))))))))))</f>
        <v>0</v>
      </c>
      <c r="FG220" s="1282">
        <f t="array" ref="FG220">SUM((IF(QualitéAlimentsPoulainMâleTrait=MAUVAISE,VLOOKUP("Pois",AlimentsRationEcurieChevauxMâlesTrait,5,FALSE),0)+(IF(QualitéAlimentsPoulainFemelleTrait=MAUVAISE,VLOOKUP("Pois",AlimentsRationEcurieChevauxFemellesTrait,5,FALSE),0)+(IF(QualitéAlimentsJeuneEtalon_12_24_moisTrait=MAUVAISE,VLOOKUP("Pois",AlimentsRationEcurieChevauxMâlesTrait,4,FALSE),0)+(IF(QualitéAlimentsJeuneJument_12_24_moisTrait=MAUVAISE,VLOOKUP("Pois",AlimentsRationEcurieChevauxFemellesTrait,4,FALSE),0)+(IF(QualitéAlimentsJeuneEtalon_24_36_moisTrait=MAUVAISE,VLOOKUP("Pois",AlimentsRationEcurieChevauxMâlesTrait,3,FALSE),0)+(IF(QualitéAlimentsJeuneJument_24_36_moisTrait=MAUVAISE,VLOOKUP("Pois",AlimentsRationEcurieChevauxFemellesTrait,3,FALSE),0)+(IF(QualitéAlimentsEtalonTrait=MAUVAISE,VLOOKUP("Pois",AlimentsRationEcurieChevauxMâlesTrait,2,FALSE),0)+(IF(QualitéAlimentsJumentTrait=MAUVAISE,VLOOKUP("Pois",AlimentsRationEcurieChevauxFemellesTrait,2,FALSE),0))))))))))</f>
        <v>0</v>
      </c>
      <c r="FH220" s="1321"/>
      <c r="FI220" s="1321"/>
      <c r="FJ220" s="1345"/>
      <c r="FK220" s="1345"/>
      <c r="FL220" s="1345"/>
      <c r="FM220" s="1321"/>
      <c r="FN220" s="1083" t="str">
        <f t="shared" si="71"/>
        <v>Pomme de terre</v>
      </c>
      <c r="FO220" s="1283">
        <f t="array" ref="FO220">SUM((IF(QualitéAlimentsPoulainMâlePoney=BONNE,VLOOKUP("Pomme de terre",AlimentsRationEcuriePoneysMâles,5,FALSE),0)+(IF(QualitéAlimentsPoulainFemellePoney=BONNE,VLOOKUP("Pomme de terre",AlimentsRationEcuriePoneysFemelles,5,FALSE),0)+(IF(QualitéAlimentsJeuneEtalon_12_24_moisPoney=BONNE,VLOOKUP("Pomme de terre",AlimentsRationEcuriePoneysMâles,4,FALSE),0)+(IF(QualitéAlimentsJeuneJument_12_24_moisPoney=BONNE,VLOOKUP("Pomme de terre",AlimentsRationEcuriePoneysFemelles,4,FALSE),0)+(IF(QualitéAlimentsJeuneEtalon_24_36_moisPoney=BONNE,VLOOKUP("Pomme de terre",AlimentsRationEcuriePoneysMâles,3,FALSE),0)+(IF(QualitéAlimentsJeuneJument_24_36_moisPoney=BONNE,VLOOKUP("Pomme de terre",AlimentsRationEcuriePoneysFemelles,3,FALSE),0)+(IF(QualitéAlimentsEtalonPoney=BONNE,VLOOKUP("Pomme de terre",AlimentsRationEcuriePoneysMâles,2,FALSE),0)+(IF(QualitéAlimentsJumentPoney=BONNE,VLOOKUP("Pomme de terre",AlimentsRationEcuriePoneysFemelles,2,FALSE),0))))))))))</f>
        <v>0</v>
      </c>
      <c r="FP220" s="1283">
        <f t="array" ref="FP220">SUM((IF(QualitéAlimentsPoulainMâlePoney=MOYENNE,VLOOKUP("Pomme de terre",AlimentsRationEcuriePoneysMâles,5,FALSE),0)+(IF(QualitéAlimentsPoulainFemellePoney=MOYENNE,VLOOKUP("Pomme de terre",AlimentsRationEcuriePoneysFemelles,5,FALSE),0)+(IF(QualitéAlimentsJeuneEtalon_12_24_moisPoney=MOYENNE,VLOOKUP("Pomme de terre",AlimentsRationEcuriePoneysMâles,4,FALSE),0)+(IF(QualitéAlimentsJeuneJument_12_24_moisPoney=MOYENNE,VLOOKUP("Pomme de terre",AlimentsRationEcuriePoneysFemelles,4,FALSE),0)+(IF(QualitéAlimentsJeuneEtalon_24_36_moisPoney=MOYENNE,VLOOKUP("Pomme de terre",AlimentsRationEcuriePoneysMâles,3,FALSE),0)+(IF(QualitéAlimentsJeuneJument_24_36_moisPoney=MOYENNE,VLOOKUP("Pomme de terre",AlimentsRationEcuriePoneysFemelles,3,FALSE),0)+(IF(QualitéAlimentsEtalonPoney=MOYENNE,VLOOKUP("Pomme de terre",AlimentsRationEcuriePoneysMâles,2,FALSE),0)+(IF(QualitéAlimentsJumentPoney=MOYENNE,VLOOKUP("Pomme de terre",AlimentsRationEcuriePoneysFemelles,2,FALSE),0))))))))))</f>
        <v>0</v>
      </c>
      <c r="FQ220" s="1283">
        <f t="array" ref="FQ220">SUM((IF(QualitéAlimentsPoulainMâlePoney=MAUVAISE,VLOOKUP("Pomme de terre",AlimentsRationEcuriePoneysMâles,5,FALSE),0)+(IF(QualitéAlimentsPoulainFemellePoney=MAUVAISE,VLOOKUP("Pomme de terre",AlimentsRationEcuriePoneysFemelles,5,FALSE),0)+(IF(QualitéAlimentsJeuneEtalon_12_24_moisPoney=MAUVAISE,VLOOKUP("Pomme de terre",AlimentsRationEcuriePoneysMâles,4,FALSE),0)+(IF(QualitéAlimentsJeuneJument_12_24_moisPoney=MAUVAISE,VLOOKUP("Pomme de terre",AlimentsRationEcuriePoneysFemelles,4,FALSE),0)+(IF(QualitéAlimentsJeuneEtalon_24_36_moisPoney=MAUVAISE,VLOOKUP("Pomme de terre",AlimentsRationEcuriePoneysMâles,3,FALSE),0)+(IF(QualitéAlimentsJeuneJument_24_36_moisPoney=MAUVAISE,VLOOKUP("Pomme de terre",AlimentsRationEcuriePoneysFemelles,3,FALSE),0)+(IF(QualitéAlimentsEtalonPoney=MAUVAISE,VLOOKUP("Pomme de terre",AlimentsRationEcuriePoneysMâles,2,FALSE),0)+(IF(QualitéAlimentsJumentPoney=MAUVAISE,VLOOKUP("Pomme de terre",AlimentsRationEcuriePoneysFemelles,2,FALSE),0))))))))))</f>
        <v>0</v>
      </c>
      <c r="FR220" s="1345"/>
      <c r="FS220" s="1345"/>
      <c r="FT220" s="1345"/>
      <c r="FU220" s="1345"/>
      <c r="FV220" s="1345"/>
      <c r="FW220" s="1321"/>
      <c r="FX220" s="1321"/>
      <c r="FY220" s="1321"/>
      <c r="FZ220" s="1321"/>
      <c r="GA220" s="1345"/>
      <c r="GB220" s="1321"/>
      <c r="GC220" s="1321"/>
      <c r="GD220" s="1321"/>
      <c r="GE220" s="1321"/>
      <c r="GF220" s="1321"/>
      <c r="GG220" s="1321" t="s">
        <v>1349</v>
      </c>
      <c r="GH220" s="1321" t="s">
        <v>1349</v>
      </c>
      <c r="GI220" s="1321" t="s">
        <v>1349</v>
      </c>
      <c r="GJ220" s="1321" t="s">
        <v>1349</v>
      </c>
      <c r="GK220" s="1321" t="s">
        <v>1349</v>
      </c>
      <c r="GL220" s="1321" t="s">
        <v>1349</v>
      </c>
      <c r="GM220" s="1321" t="s">
        <v>1349</v>
      </c>
      <c r="GN220" s="1321" t="s">
        <v>1349</v>
      </c>
      <c r="GO220" s="1321" t="s">
        <v>1349</v>
      </c>
      <c r="GP220" s="1321" t="s">
        <v>1349</v>
      </c>
      <c r="GQ220" s="1321" t="s">
        <v>1349</v>
      </c>
      <c r="GR220" s="1321" t="s">
        <v>1349</v>
      </c>
      <c r="GS220" s="1321" t="s">
        <v>1349</v>
      </c>
      <c r="GT220" s="1321" t="s">
        <v>1349</v>
      </c>
      <c r="GU220" s="1321" t="s">
        <v>1349</v>
      </c>
      <c r="GV220" s="1321" t="s">
        <v>1349</v>
      </c>
      <c r="GW220" s="1321"/>
      <c r="GX220" s="1321"/>
      <c r="GY220" s="1321"/>
      <c r="GZ220" s="1321"/>
      <c r="HA220" s="1321"/>
      <c r="HB220" s="1321"/>
      <c r="HC220" s="1321"/>
      <c r="HD220" s="1321"/>
      <c r="HE220" s="1321"/>
      <c r="HF220" s="1321"/>
      <c r="HG220" s="1321"/>
      <c r="HH220" s="1321"/>
      <c r="HI220" s="1321"/>
      <c r="HJ220" s="1321"/>
      <c r="HK220" s="1321"/>
      <c r="HL220" s="1321"/>
      <c r="HM220" s="1321"/>
      <c r="HN220" s="1321"/>
      <c r="HO220" s="1321"/>
      <c r="HP220" s="1321"/>
      <c r="HQ220" s="1321"/>
      <c r="HR220" s="1321"/>
      <c r="HS220" s="1321"/>
      <c r="HT220" s="1321"/>
      <c r="HU220" s="1321"/>
      <c r="HV220" s="1321"/>
      <c r="HW220" s="1321"/>
      <c r="HX220" s="1321"/>
      <c r="HY220" s="1321"/>
      <c r="HZ220" s="1321"/>
      <c r="IA220" s="1321"/>
      <c r="IB220" s="1321"/>
      <c r="IC220" s="1321"/>
      <c r="ID220" s="1321"/>
      <c r="IE220" s="1321"/>
      <c r="IF220" s="1321"/>
      <c r="IG220" s="1321"/>
      <c r="IH220" s="1321"/>
      <c r="II220" s="1321"/>
      <c r="IJ220" s="1321"/>
      <c r="IK220" s="1321"/>
      <c r="IL220" s="1321"/>
      <c r="IM220" s="1321"/>
      <c r="IN220" s="1368"/>
    </row>
    <row r="221" spans="1:248" ht="12.75" customHeight="1" x14ac:dyDescent="0.2">
      <c r="A221" s="1319"/>
      <c r="B221" s="1321"/>
      <c r="C221" s="1321"/>
      <c r="D221" s="1321"/>
      <c r="E221" s="1321"/>
      <c r="F221" s="1321"/>
      <c r="G221" s="1321"/>
      <c r="H221" s="1321"/>
      <c r="I221" s="1321"/>
      <c r="J221" s="1321"/>
      <c r="K221" s="1321"/>
      <c r="L221" s="1321"/>
      <c r="M221" s="1321"/>
      <c r="N221" s="1321"/>
      <c r="O221" s="1321"/>
      <c r="P221" s="1321"/>
      <c r="Q221" s="1321"/>
      <c r="R221" s="1321"/>
      <c r="S221" s="1321"/>
      <c r="T221" s="1321"/>
      <c r="U221" s="1321"/>
      <c r="V221" s="1321"/>
      <c r="W221" s="1321"/>
      <c r="X221" s="1321"/>
      <c r="Y221" s="1321"/>
      <c r="Z221" s="1321"/>
      <c r="AA221" s="1321"/>
      <c r="AB221" s="1321"/>
      <c r="AC221" s="1321"/>
      <c r="AD221" s="1321"/>
      <c r="AE221" s="1321"/>
      <c r="AF221" s="1321"/>
      <c r="AG221" s="1321"/>
      <c r="AH221" s="1321"/>
      <c r="AI221" s="1321"/>
      <c r="AJ221" s="1321"/>
      <c r="AK221" s="1321"/>
      <c r="AL221" s="1321"/>
      <c r="AM221" s="1321"/>
      <c r="AN221" s="1321"/>
      <c r="AO221" s="1321"/>
      <c r="AP221" s="1321"/>
      <c r="AQ221" s="1321"/>
      <c r="AR221" s="1321"/>
      <c r="AS221" s="1321"/>
      <c r="AT221" s="1321"/>
      <c r="AU221" s="1321"/>
      <c r="AV221" s="1321"/>
      <c r="AW221" s="1321"/>
      <c r="AX221" s="1321"/>
      <c r="AY221" s="1321"/>
      <c r="AZ221" s="1321"/>
      <c r="BA221" s="1321"/>
      <c r="BB221" s="1075" t="s">
        <v>63</v>
      </c>
      <c r="BC221" s="1269">
        <f t="array" ref="BC221">IF(Ration_complète_bovins[somme]&gt;0,0,IFERROR(IF(OR(AND(INDEX(Règles_bovins[Specificite],MATCH(ChoixRationBovins&amp;$BB221,Règles_bovins[Ration]&amp;Règles_bovins[Aliment],0))="s1",IF($BB221=Spécificité1Bovins,1)),
AND(INDEX(Règles_bovins[Specificite],MATCH(ChoixRationBovins&amp;$BB221,Règles_bovins[Ration]&amp;Règles_bovins[Aliment],0))="s2",IF($BB221=Spécificité2Bovins,1)),
INDEX(Règles_bovins[Specificite],MATCH(ChoixRationBovins&amp;$BB221,Règles_bovins[Ration]&amp;Règles_bovins[Aliment],0))="c"),
INDEX(Règles_bovins[Valeur 36 et plus],MATCH(ChoixRationBovins&amp;$BB221,Règles_bovins[Ration]&amp;Règles_bovins[Aliment],0)),0),0)*IF(ChoixBovinsPréHiver=OUI,TotalTaureauxRacesLaitières,TotalTaureaux*SUM(NbreJoursNourrirBovins)))</f>
        <v>0</v>
      </c>
      <c r="BD221" s="1269">
        <f t="array" ref="BD221">IF(Ration_complète_bovins[somme]&gt;0,0,IFERROR(IF(OR(AND(INDEX(Règles_bovins[Specificite],MATCH(ChoixRationBovins&amp;$BB221,Règles_bovins[Ration]&amp;Règles_bovins[Aliment],0))="s1",IF($BB221=Spécificité1Bovins,1)),
AND(INDEX(Règles_bovins[Specificite],MATCH(ChoixRationBovins&amp;$BB221,Règles_bovins[Ration]&amp;Règles_bovins[Aliment],0))="s2",IF($BB221=Spécificité2Bovins,1)),
INDEX(Règles_bovins[Specificite],MATCH(ChoixRationBovins&amp;$BB221,Règles_bovins[Ration]&amp;Règles_bovins[Aliment],0))="c"),
INDEX(Règles_bovins[Valeur 24-36],MATCH(ChoixRationBovins&amp;$BB221,Règles_bovins[Ration]&amp;Règles_bovins[Aliment],0)),0),0)*IF(ChoixBovinsPréHiver=OUI,TotalTaurillon_24_36_RacesLaitières,TotalBovinsMâles_24_36mois*SUM(NbreJoursNourrirBovins)))</f>
        <v>0</v>
      </c>
      <c r="BE221" s="1269">
        <f t="array" ref="BE221">IF(Ration_complète_bovins[somme]&gt;0,0,IFERROR(IF(OR(AND(INDEX(Règles_bovins[Specificite],MATCH(ChoixRationBovins&amp;$BB221,Règles_bovins[Ration]&amp;Règles_bovins[Aliment],0))="s1",IF($BB221=Spécificité1Bovins,1)),
AND(INDEX(Règles_bovins[Specificite],MATCH(ChoixRationBovins&amp;$BB221,Règles_bovins[Ration]&amp;Règles_bovins[Aliment],0))="s2",IF($BB221=Spécificité2Bovins,1)),
INDEX(Règles_bovins[Specificite],MATCH(ChoixRationBovins&amp;$BB221,Règles_bovins[Ration]&amp;Règles_bovins[Aliment],0))="c"),
INDEX(Règles_bovins[Valeur 18-24],MATCH(ChoixRationBovins&amp;$BB221,Règles_bovins[Ration]&amp;Règles_bovins[Aliment],0)),0),0)*IF(ChoixBovinsPréHiver=OUI,TotalTaurillon_18_24_RacesLaitières,TotalBovinsMâles_18_24mois*SUM(NbreJoursNourrirBovins)))</f>
        <v>0</v>
      </c>
      <c r="BF221" s="1269">
        <f t="array" ref="BF221">IF(Ration_complète_bovins[somme]&gt;0,0,IFERROR(IF(OR(AND(INDEX(Règles_bovins[Specificite],MATCH(ChoixRationBovins&amp;$BB221,Règles_bovins[Ration]&amp;Règles_bovins[Aliment],0))="s1",IF($BB221=Spécificité1Bovins,1)),
AND(INDEX(Règles_bovins[Specificite],MATCH(ChoixRationBovins&amp;$BB221,Règles_bovins[Ration]&amp;Règles_bovins[Aliment],0))="s2",IF($BB221=Spécificité2Bovins,1)),
INDEX(Règles_bovins[Specificite],MATCH(ChoixRationBovins&amp;$BB221,Règles_bovins[Ration]&amp;Règles_bovins[Aliment],0))="c"),
INDEX(Règles_bovins[Valeur 12-18],MATCH(ChoixRationBovins&amp;$BB221,Règles_bovins[Ration]&amp;Règles_bovins[Aliment],0)),0),0)*IF(ChoixBovinsPréHiver=OUI,animaux!D44,TotalBovinsMâles_12_18mois*SUM(NbreJoursNourrirBovins)))</f>
        <v>0</v>
      </c>
      <c r="BG221" s="1269">
        <f t="array" ref="BG221">IF(Ration_complète_bovins[somme]&gt;0,0,IFERROR(IF(OR(AND(INDEX(Règles_bovins[Specificite],MATCH(ChoixRationBovins&amp;$BB221,Règles_bovins[Ration]&amp;Règles_bovins[Aliment],0))="s1",IF($BB221=Spécificité1Bovins,1)),
AND(INDEX(Règles_bovins[Specificite],MATCH(ChoixRationBovins&amp;$BB221,Règles_bovins[Ration]&amp;Règles_bovins[Aliment],0))="s2",IF($BB221=Spécificité2Bovins,1)),
INDEX(Règles_bovins[Specificite],MATCH(ChoixRationBovins&amp;$BB221,Règles_bovins[Ration]&amp;Règles_bovins[Aliment],0))="c"),
INDEX(Règles_bovins[Valeur 6-12],MATCH(ChoixRationBovins&amp;$BB221,Règles_bovins[Ration]&amp;Règles_bovins[Aliment],0)),0),0)*IF(ChoixBovinsPréHiver=OUI,TotalVeauMâle_6_12_RacesLaitières,TotalBovinsMâles_6_12mois*SUM(NbreJoursNourrirBovins)))</f>
        <v>0</v>
      </c>
      <c r="BH221" s="1269">
        <f t="array" ref="BH221">IF(Ration_complète_bovins[somme]&gt;0,0,IFERROR(IF(OR(AND(INDEX(Règles_bovins[Specificite],MATCH(ChoixRationBovins&amp;$BB221,Règles_bovins[Ration]&amp;Règles_bovins[Aliment],0))="s1",IF($BB221=Spécificité1Bovins,1)),
AND(INDEX(Règles_bovins[Specificite],MATCH(ChoixRationBovins&amp;$BB221,Règles_bovins[Ration]&amp;Règles_bovins[Aliment],0))="s2",IF($BB221=Spécificité2Bovins,1)),
INDEX(Règles_bovins[Specificite],MATCH(ChoixRationBovins&amp;$BB221,Règles_bovins[Ration]&amp;Règles_bovins[Aliment],0))="c"),
INDEX(Règles_bovins[Valeur 3-6],MATCH(ChoixRationBovins&amp;$BB221,Règles_bovins[Ration]&amp;Règles_bovins[Aliment],0)),0),0)*IF(ChoixBovinsPréHiver=OUI,TotalVeauMâle_3_6_RacesLaitières,TotalBovinsMâles_3_6mois*SUM(NbreJoursNourrirBovins)))</f>
        <v>0</v>
      </c>
      <c r="BI221" s="1269">
        <f t="array" ref="BI221">IF(Ration_complète_bovins[somme]&gt;0,0,IFERROR(IF(OR(AND(INDEX(Règles_bovins[Specificite],MATCH(ChoixRationBovins&amp;$BB221,Règles_bovins[Ration]&amp;Règles_bovins[Aliment],0))="s1",IF($BB221=Spécificité1Bovins,1)),
AND(INDEX(Règles_bovins[Specificite],MATCH(ChoixRationBovins&amp;$BB221,Règles_bovins[Ration]&amp;Règles_bovins[Aliment],0))="s2",IF($BB221=Spécificité2Bovins,1)),
INDEX(Règles_bovins[Specificite],MATCH(ChoixRationBovins&amp;$BB221,Règles_bovins[Ration]&amp;Règles_bovins[Aliment],0))="c"),
INDEX(Règles_bovins[Valeur 0-3],MATCH(ChoixRationBovins&amp;$BB221,Règles_bovins[Ration]&amp;Règles_bovins[Aliment],0)),0),0)*IF(ChoixBovinsPréHiver=OUI,TotalVeauMâle_0_3_RacesLaitières,TotalBovinsMâles_0_3mois*SUM(NbreJoursNourrirBovins)))</f>
        <v>0</v>
      </c>
      <c r="BJ221" s="1270">
        <f t="shared" si="69"/>
        <v>0</v>
      </c>
      <c r="BK221" s="1321"/>
      <c r="BL221" s="1321"/>
      <c r="BM221" s="1346"/>
      <c r="BN221" s="1321"/>
      <c r="BO221" s="1321"/>
      <c r="BP221" s="1321"/>
      <c r="BQ221" s="1321"/>
      <c r="BR221" s="1321"/>
      <c r="BS221" s="1321"/>
      <c r="BT221" s="1321"/>
      <c r="BU221" s="1321"/>
      <c r="BV221" s="1345"/>
      <c r="BW221" s="1345"/>
      <c r="BX221" s="1075" t="str">
        <f t="shared" si="70"/>
        <v>Ration complète</v>
      </c>
      <c r="BY221" s="1269">
        <f>IF(ChoixRationComplèteCaprins&lt;&gt;OUI,0,IF(QualitéRationComplèteCaprins=BONNE,Ration_complète_caprins[somme],0))</f>
        <v>0</v>
      </c>
      <c r="BZ221" s="1269">
        <f>IF(ChoixRationComplèteCaprins&lt;&gt;OUI,0,IF(QualitéRationComplèteCaprins=MOYENNE,Ration_complète_caprins[somme],0))</f>
        <v>0</v>
      </c>
      <c r="CA221" s="1269">
        <f>IF(ChoixRationComplèteCaprins&lt;&gt;OUI,0,IF(QualitéRationComplèteCaprins=MAUVAISE,Ration_complète_caprins[somme],0))</f>
        <v>0</v>
      </c>
      <c r="CB221" s="1321"/>
      <c r="CC221" s="1321"/>
      <c r="CD221" s="1345"/>
      <c r="CE221" s="1345"/>
      <c r="CF221" s="1345"/>
      <c r="CG221" s="1345"/>
      <c r="CH221" s="1345"/>
      <c r="CI221" s="1321"/>
      <c r="CJ221" s="1321"/>
      <c r="CK221" s="1321"/>
      <c r="CL221" s="1321"/>
      <c r="CM221" s="1321"/>
      <c r="CN221" s="1321"/>
      <c r="CO221" s="1321"/>
      <c r="CP221" s="1321"/>
      <c r="CQ221" s="1321"/>
      <c r="CR221" s="1321"/>
      <c r="CS221" s="1321"/>
      <c r="CT221" s="1321"/>
      <c r="CU221" s="1321"/>
      <c r="CV221" s="1321"/>
      <c r="CW221" s="1321"/>
      <c r="CX221" s="1321"/>
      <c r="CY221" s="1321"/>
      <c r="CZ221" s="1321"/>
      <c r="DA221" s="1321"/>
      <c r="DB221" s="1321"/>
      <c r="DC221" s="1321"/>
      <c r="DD221" s="1321"/>
      <c r="DE221" s="1321"/>
      <c r="DF221" s="1321"/>
      <c r="DG221" s="1321"/>
      <c r="DH221" s="1321"/>
      <c r="DI221" s="1321"/>
      <c r="DJ221" s="1321"/>
      <c r="DK221" s="1321"/>
      <c r="DL221" s="1321"/>
      <c r="DM221" s="1321"/>
      <c r="DN221" s="1075" t="str">
        <f t="shared" si="68"/>
        <v>Tournesol</v>
      </c>
      <c r="DO221" s="1269">
        <f t="array" ref="DO221">IF(ChoixRationComplèteOvins=OUI,0,IFERROR(IF(OR(AND(INDEX(Règles_ovins[Specificite],MATCH(ChoixRationOvins&amp;$DN221,Règles_ovins[Ration]&amp;Règles_ovins[Aliment],0))="s1",IF($DN221=Spécificité1Ovins,1)),
AND(INDEX(Règles_ovins[Specificite],MATCH(ChoixRationOvins&amp;$DN221,Règles_ovins[Ration]&amp;Règles_ovins[Aliment],0))="s2",IF($DN221=Spécificité2Ovins,1)),
INDEX(Règles_ovins[Specificite],MATCH(ChoixRationOvins&amp;$DN221,Règles_ovins[Ration]&amp;Règles_ovins[Aliment],0))="c"),
INDEX(Règles_ovins[Valeur 12 et plus],MATCH(ChoixRationOvins&amp;$DN221,Règles_ovins[Ration]&amp;Règles_ovins[Aliment],0)),0),0)*IF(ChoixOvinsPréHiver=OUI,SUM(TotalOvinsAdultesRacesLaitières)*NbreJoursNourrirOvins,TotalBrebis*SUM(NbreJoursNourrirOvins)))</f>
        <v>0</v>
      </c>
      <c r="DP221" s="1269">
        <f t="array" ref="DP221">IF(ChoixRationComplèteOvins=OUI,0,IFERROR(IF(OR(AND(INDEX(Règles_ovins[Specificite],MATCH(ChoixRationOvins&amp;$DN221,Règles_ovins[Ration]&amp;Règles_ovins[Aliment],0))="s1",IF($DN221=Spécificité1Ovins,1)),
AND(INDEX(Règles_ovins[Specificite],MATCH(ChoixRationOvins&amp;$DN221,Règles_ovins[Ration]&amp;Règles_ovins[Aliment],0))="s2",IF($DN221=Spécificité2Ovins,1)),
INDEX(Règles_ovins[Specificite],MATCH(ChoixRationOvins&amp;$DN221,Règles_ovins[Ration]&amp;Règles_ovins[Aliment],0))="c"),
INDEX(Règles_ovins[Valeur 6-12],MATCH(ChoixRationOvins&amp;$DN221,Règles_ovins[Ration]&amp;Règles_ovins[Aliment],0)),0),0)*IF(ChoixOvinsPréHiver=OUI,SUM(TotalJeunesOvinsRacesLaitières)*NbreJoursNourrirOvins,TotalJeune_brebis_6_12_mois*SUM(NbreJoursNourrirOvins)))</f>
        <v>0</v>
      </c>
      <c r="DQ221" s="1269">
        <f t="array" ref="DQ221">IF(ChoixRationComplèteOvins=OUI,0,IFERROR(IF(OR(AND(INDEX(Règles_ovins[Specificite],MATCH(ChoixRationOvins&amp;$DN221,Règles_ovins[Ration]&amp;Règles_ovins[Aliment],0))="s1",IF($DN221=Spécificité1Ovins,1)),
AND(INDEX(Règles_ovins[Specificite],MATCH(ChoixRationOvins&amp;$DN221,Règles_ovins[Ration]&amp;Règles_ovins[Aliment],0))="s2",IF($DN221=Spécificité2Ovins,1)),
INDEX(Règles_ovins[Specificite],MATCH(ChoixRationOvins&amp;$DN221,Règles_ovins[Ration]&amp;Règles_ovins[Aliment],0))="c"),
INDEX(Règles_ovins[Valeur 3-6],MATCH(ChoixRationOvins&amp;$DN221,Règles_ovins[Ration]&amp;Règles_ovins[Aliment],0)),0),0)*IF(ChoixOvinsPréHiver=OUI,SUM(TotalOvins_3_6moisRacesLaitières)*NbreJoursNourrirOvins,TotalAgnelle_3_6_mois*SUM(NbreJoursNourrirOvins)))</f>
        <v>0</v>
      </c>
      <c r="DR221" s="1269">
        <f t="array" ref="DR221">IF(ChoixRationComplèteOvins=OUI,0,IFERROR(IF(OR(AND(INDEX(Règles_ovins[Specificite],MATCH(ChoixRationOvins&amp;$DN221,Règles_ovins[Ration]&amp;Règles_ovins[Aliment],0))="s1",IF($DN221=Spécificité1Ovins,1)),
AND(INDEX(Règles_ovins[Specificite],MATCH(ChoixRationOvins&amp;$DN221,Règles_ovins[Ration]&amp;Règles_ovins[Aliment],0))="s2",IF($DN221=Spécificité2Ovins,1)),
INDEX(Règles_ovins[Specificite],MATCH(ChoixRationOvins&amp;$DN221,Règles_ovins[Ration]&amp;Règles_ovins[Aliment],0))="c"),
INDEX(Règles_ovins[Valeur 0-3],MATCH(ChoixRationOvins&amp;$DN221,Règles_ovins[Ration]&amp;Règles_ovins[Aliment],0)),0),0)*IF(ChoixOvinsPréHiver=OUI,SUM(TotalOvins_3_6moisRacesLaitières)*NbreJoursNourrirOvins,TotalAgnelle_0_3_mois*SUM(NbreJoursNourrirOvins)))</f>
        <v>0</v>
      </c>
      <c r="DS221" s="1280">
        <f t="shared" si="67"/>
        <v>0</v>
      </c>
      <c r="DT221" s="1346"/>
      <c r="DU221" s="1346"/>
      <c r="DV221" s="1321"/>
      <c r="DW221" s="1321"/>
      <c r="DX221" s="1321"/>
      <c r="DY221" s="1321"/>
      <c r="DZ221" s="1321"/>
      <c r="EA221" s="1321"/>
      <c r="EB221" s="1321"/>
      <c r="EC221" s="1321"/>
      <c r="ED221" s="1345"/>
      <c r="EE221" s="1345"/>
      <c r="EF221" s="1321"/>
      <c r="EG221" s="1321"/>
      <c r="EH221" s="1321"/>
      <c r="EI221" s="1321"/>
      <c r="EJ221" s="1321"/>
      <c r="EK221" s="1345"/>
      <c r="EL221" s="1345"/>
      <c r="EM221" s="1321"/>
      <c r="EN221" s="1321"/>
      <c r="EO221" s="1321"/>
      <c r="EP221" s="1321"/>
      <c r="EQ221" s="1321"/>
      <c r="ER221" s="1345"/>
      <c r="ES221" s="1345"/>
      <c r="ET221" s="1321"/>
      <c r="EU221" s="1082" t="str">
        <f t="shared" si="73"/>
        <v>Maïs grain</v>
      </c>
      <c r="EV221" s="1282">
        <f t="array" ref="EV221">SUM((IF(QualitéAlimentsPoulainSelleMâle=BONNE,VLOOKUP("Maïs grain",AlimentsRationEcurieChevauxMâlesSelle,5,FALSE),0)+(IF(QualitéAlimentsPoulainSelleFemelle=BONNE,VLOOKUP("Maïs grain",AlimentsRationEcurieChevauxFemellesSelle,5,FALSE),0)+(IF(QualitéAlimentsJeuneEtalon_12_24_moisSelle=BONNE,VLOOKUP("Maïs grain",AlimentsRationEcurieChevauxMâlesSelle,4,FALSE),0)+(IF(QualitéAlimentsJeuneJument_12_24_moisSelle=BONNE,VLOOKUP("Maïs grain",AlimentsRationEcurieChevauxFemellesSelle,4,FALSE),0)+(IF(QualitéAlimentsJeuneEtalon_24_36_moisSelle=BONNE,VLOOKUP("Maïs grain",AlimentsRationEcurieChevauxMâlesSelle,3,FALSE),0)+(IF(QualitéAlimentsJeuneJument_24_36_moisSelle=BONNE,VLOOKUP("Maïs grain",AlimentsRationEcurieChevauxFemellesSelle,3,FALSE),0)+(IF(QualitéAlimentsEtalonSelle=BONNE,VLOOKUP("Maïs grain",AlimentsRationEcurieChevauxMâlesSelle,2,FALSE),0)+(IF(QualitéAlimentsJumentSelle=BONNE,VLOOKUP("Maïs grain",AlimentsRationEcurieChevauxFemellesSelle,2,FALSE),0))))))))))</f>
        <v>0</v>
      </c>
      <c r="EW221" s="1282">
        <f t="array" ref="EW221">SUM((IF(QualitéAlimentsPoulainSelleMâle=MOYENNE,VLOOKUP("Maïs grain",AlimentsRationEcurieChevauxMâlesSelle,5,FALSE),0)+(IF(QualitéAlimentsPoulainSelleFemelle=MOYENNE,VLOOKUP("Maïs grain",AlimentsRationEcurieChevauxFemellesSelle,5,FALSE),0)+(IF(QualitéAlimentsJeuneEtalon_12_24_moisSelle=MOYENNE,VLOOKUP("Maïs grain",AlimentsRationEcurieChevauxMâlesSelle,4,FALSE),0)+(IF(QualitéAlimentsJeuneJument_12_24_moisSelle=MOYENNE,VLOOKUP("Maïs grain",AlimentsRationEcurieChevauxFemellesSelle,4,FALSE),0)+(IF(QualitéAlimentsJeuneEtalon_24_36_moisSelle=MOYENNE,VLOOKUP("Maïs grain",AlimentsRationEcurieChevauxMâlesSelle,3,FALSE),0)+(IF(QualitéAlimentsJeuneJument_24_36_moisSelle=MOYENNE,VLOOKUP("Maïs grain",AlimentsRationEcurieChevauxFemellesSelle,3,FALSE),0)+(IF(QualitéAlimentsEtalonSelle=MOYENNE,VLOOKUP("Maïs grain",AlimentsRationEcurieChevauxMâlesSelle,2,FALSE),0)+(IF(QualitéAlimentsJumentSelle=MOYENNE,VLOOKUP("Maïs grain",AlimentsRationEcurieChevauxFemellesSelle,2,FALSE),0))))))))))</f>
        <v>0</v>
      </c>
      <c r="EX221" s="1282">
        <f t="array" ref="EX221">SUM((IF(QualitéAlimentsPoulainSelleMâle=MAUVAISE,VLOOKUP("Maïs grain",AlimentsRationEcurieChevauxMâlesSelle,5,FALSE),0)+(IF(QualitéAlimentsPoulainSelleFemelle=MAUVAISE,VLOOKUP("Maïs grain",AlimentsRationEcurieChevauxFemellesSelle,5,FALSE),0)+(IF(QualitéAlimentsJeuneEtalon_12_24_moisSelle=MAUVAISE,VLOOKUP("Maïs grain",AlimentsRationEcurieChevauxMâlesSelle,4,FALSE),0)+(IF(QualitéAlimentsJeuneJument_12_24_moisSelle=MAUVAISE,VLOOKUP("Maïs grain",AlimentsRationEcurieChevauxFemellesSelle,4,FALSE),0)+(IF(QualitéAlimentsJeuneEtalon_24_36_moisSelle=MAUVAISE,VLOOKUP("Maïs grain",AlimentsRationEcurieChevauxMâlesSelle,3,FALSE),0)+(IF(QualitéAlimentsJeuneJument_24_36_moisSelle=MAUVAISE,VLOOKUP("Maïs grain",AlimentsRationEcurieChevauxFemellesSelle,3,FALSE),0)+(IF(QualitéAlimentsEtalonSelle=MAUVAISE,VLOOKUP("Maïs grain",AlimentsRationEcurieChevauxMâlesSelle,2,FALSE),0)+(IF(QualitéAlimentsJumentSelle=MAUVAISE,VLOOKUP("Maïs grain",AlimentsRationEcurieChevauxFemellesSelle,2,FALSE),0))))))))))</f>
        <v>0</v>
      </c>
      <c r="EY221" s="1321"/>
      <c r="EZ221" s="1345"/>
      <c r="FA221" s="1345"/>
      <c r="FB221" s="1345"/>
      <c r="FC221" s="1321"/>
      <c r="FD221" s="1083" t="str">
        <f t="shared" si="72"/>
        <v>Pomme de terre</v>
      </c>
      <c r="FE221" s="1283">
        <f t="array" ref="FE221">SUM((IF(QualitéAlimentsPoulainMâleTrait=BONNE,VLOOKUP("Pomme de terre",AlimentsRationEcurieChevauxMâlesTrait,5,FALSE),0)+(IF(QualitéAlimentsPoulainFemelleTrait=BONNE,VLOOKUP("Pomme de terre",AlimentsRationEcurieChevauxFemellesTrait,5,FALSE),0)+(IF(QualitéAlimentsJeuneEtalon_12_24_moisTrait=BONNE,VLOOKUP("Pomme de terre",AlimentsRationEcurieChevauxMâlesTrait,4,FALSE),0)+(IF(QualitéAlimentsJeuneJument_12_24_moisTrait=BONNE,VLOOKUP("Pomme de terre",AlimentsRationEcurieChevauxFemellesTrait,4,FALSE),0)+(IF(QualitéAlimentsJeuneEtalon_24_36_moisTrait=BONNE,VLOOKUP("Pomme de terre",AlimentsRationEcurieChevauxMâlesTrait,3,FALSE),0)+(IF(QualitéAlimentsJeuneJument_24_36_moisTrait=BONNE,VLOOKUP("Pomme de terre",AlimentsRationEcurieChevauxFemellesTrait,3,FALSE),0)+(IF(QualitéAlimentsEtalonTrait=BONNE,VLOOKUP("Pomme de terre",AlimentsRationEcurieChevauxMâlesTrait,2,FALSE),0)+(IF(QualitéAlimentsJumentTrait=BONNE,VLOOKUP("Pomme de terre",AlimentsRationEcurieChevauxFemellesTrait,2,FALSE),0))))))))))</f>
        <v>0</v>
      </c>
      <c r="FF221" s="1283">
        <f t="array" ref="FF221">SUM((IF(QualitéAlimentsPoulainMâleTrait=MOYENNE,VLOOKUP("Pomme de terre",AlimentsRationEcurieChevauxMâlesTrait,5,FALSE),0)+(IF(QualitéAlimentsPoulainFemelleTrait=MOYENNE,VLOOKUP("Pomme de terre",AlimentsRationEcurieChevauxFemellesTrait,5,FALSE),0)+(IF(QualitéAlimentsJeuneEtalon_12_24_moisTrait=MOYENNE,VLOOKUP("Pomme de terre",AlimentsRationEcurieChevauxMâlesTrait,4,FALSE),0)+(IF(QualitéAlimentsJeuneJument_12_24_moisTrait=MOYENNE,VLOOKUP("Pomme de terre",AlimentsRationEcurieChevauxFemellesTrait,4,FALSE),0)+(IF(QualitéAlimentsJeuneEtalon_24_36_moisTrait=MOYENNE,VLOOKUP("Pomme de terre",AlimentsRationEcurieChevauxMâlesTrait,3,FALSE),0)+(IF(QualitéAlimentsJeuneJument_24_36_moisTrait=MOYENNE,VLOOKUP("Pomme de terre",AlimentsRationEcurieChevauxFemellesTrait,3,FALSE),0)+(IF(QualitéAlimentsEtalonTrait=MOYENNE,VLOOKUP("Pomme de terre",AlimentsRationEcurieChevauxMâlesTrait,2,FALSE),0)+(IF(QualitéAlimentsJumentTrait=MOYENNE,VLOOKUP("Pomme de terre",AlimentsRationEcurieChevauxFemellesTrait,2,FALSE),0))))))))))</f>
        <v>0</v>
      </c>
      <c r="FG221" s="1283">
        <f t="array" ref="FG221">SUM((IF(QualitéAlimentsPoulainMâleTrait=MAUVAISE,VLOOKUP("Pomme de terre",AlimentsRationEcurieChevauxMâlesTrait,5,FALSE),0)+(IF(QualitéAlimentsPoulainFemelleTrait=MAUVAISE,VLOOKUP("Pomme de terre",AlimentsRationEcurieChevauxFemellesTrait,5,FALSE),0)+(IF(QualitéAlimentsJeuneEtalon_12_24_moisTrait=MAUVAISE,VLOOKUP("Pomme de terre",AlimentsRationEcurieChevauxMâlesTrait,4,FALSE),0)+(IF(QualitéAlimentsJeuneJument_12_24_moisTrait=MAUVAISE,VLOOKUP("Pomme de terre",AlimentsRationEcurieChevauxFemellesTrait,4,FALSE),0)+(IF(QualitéAlimentsJeuneEtalon_24_36_moisTrait=MAUVAISE,VLOOKUP("Pomme de terre",AlimentsRationEcurieChevauxMâlesTrait,3,FALSE),0)+(IF(QualitéAlimentsJeuneJument_24_36_moisTrait=MAUVAISE,VLOOKUP("Pomme de terre",AlimentsRationEcurieChevauxFemellesTrait,3,FALSE),0)+(IF(QualitéAlimentsEtalonTrait=MAUVAISE,VLOOKUP("Pomme de terre",AlimentsRationEcurieChevauxMâlesTrait,2,FALSE),0)+(IF(QualitéAlimentsJumentTrait=MAUVAISE,VLOOKUP("Pomme de terre",AlimentsRationEcurieChevauxFemellesTrait,2,FALSE),0))))))))))</f>
        <v>0</v>
      </c>
      <c r="FH221" s="1321"/>
      <c r="FI221" s="1321"/>
      <c r="FJ221" s="1345"/>
      <c r="FK221" s="1345"/>
      <c r="FL221" s="1345"/>
      <c r="FM221" s="1321"/>
      <c r="FN221" s="1082" t="str">
        <f t="shared" si="71"/>
        <v>Pulpe déshydratée de betterave</v>
      </c>
      <c r="FO221" s="1282">
        <f t="array" ref="FO221">SUM((IF(QualitéAlimentsPoulainMâlePoney=BONNE,VLOOKUP("Pulpe déshydratée de betterave",AlimentsRationEcuriePoneysMâles,5,FALSE),0)+(IF(QualitéAlimentsPoulainFemellePoney=BONNE,VLOOKUP("Pulpe déshydratée de betterave",AlimentsRationEcuriePoneysFemelles,5,FALSE),0)+(IF(QualitéAlimentsJeuneEtalon_12_24_moisPoney=BONNE,VLOOKUP("Pulpe déshydratée de betterave",AlimentsRationEcuriePoneysMâles,4,FALSE),0)+(IF(QualitéAlimentsJeuneJument_12_24_moisPoney=BONNE,VLOOKUP("Pulpe déshydratée de betterave",AlimentsRationEcuriePoneysFemelles,4,FALSE),0)+(IF(QualitéAlimentsJeuneEtalon_24_36_moisPoney=BONNE,VLOOKUP("Pulpe déshydratée de betterave",AlimentsRationEcuriePoneysMâles,3,FALSE),0)+(IF(QualitéAlimentsJeuneJument_24_36_moisPoney=BONNE,VLOOKUP("Pulpe déshydratée de betterave",AlimentsRationEcuriePoneysFemelles,3,FALSE),0)+(IF(QualitéAlimentsEtalonPoney=BONNE,VLOOKUP("Pulpe déshydratée de betterave",AlimentsRationEcuriePoneysMâles,2,FALSE),0)+(IF(QualitéAlimentsJumentPoney=BONNE,VLOOKUP("Pulpe déshydratée de betterave",AlimentsRationEcuriePoneysFemelles,2,FALSE),0))))))))))</f>
        <v>0</v>
      </c>
      <c r="FP221" s="1282">
        <f t="array" ref="FP221">SUM((IF(QualitéAlimentsPoulainMâlePoney=MOYENNE,VLOOKUP("Pulpe déshydratée de betterave",AlimentsRationEcuriePoneysMâles,5,FALSE),0)+(IF(QualitéAlimentsPoulainFemellePoney=MOYENNE,VLOOKUP("Pulpe déshydratée de betterave",AlimentsRationEcuriePoneysFemelles,5,FALSE),0)+(IF(QualitéAlimentsJeuneEtalon_12_24_moisPoney=MOYENNE,VLOOKUP("Pulpe déshydratée de betterave",AlimentsRationEcuriePoneysMâles,4,FALSE),0)+(IF(QualitéAlimentsJeuneJument_12_24_moisPoney=MOYENNE,VLOOKUP("Pulpe déshydratée de betterave",AlimentsRationEcuriePoneysFemelles,4,FALSE),0)+(IF(QualitéAlimentsJeuneEtalon_24_36_moisPoney=MOYENNE,VLOOKUP("Pulpe déshydratée de betterave",AlimentsRationEcuriePoneysMâles,3,FALSE),0)+(IF(QualitéAlimentsJeuneJument_24_36_moisPoney=MOYENNE,VLOOKUP("Pulpe déshydratée de betterave",AlimentsRationEcuriePoneysFemelles,3,FALSE),0)+(IF(QualitéAlimentsEtalonPoney=MOYENNE,VLOOKUP("Pulpe déshydratée de betterave",AlimentsRationEcuriePoneysMâles,2,FALSE),0)+(IF(QualitéAlimentsJumentPoney=MOYENNE,VLOOKUP("Pulpe déshydratée de betterave",AlimentsRationEcuriePoneysFemelles,2,FALSE),0))))))))))</f>
        <v>0</v>
      </c>
      <c r="FQ221" s="1282">
        <f t="array" ref="FQ221">SUM((IF(QualitéAlimentsPoulainMâlePoney=MAUVAISE,VLOOKUP("Pulpe déshydratée de betterave",AlimentsRationEcuriePoneysMâles,5,FALSE),0)+(IF(QualitéAlimentsPoulainFemellePoney=MAUVAISE,VLOOKUP("Pulpe déshydratée de betterave",AlimentsRationEcuriePoneysFemelles,5,FALSE),0)+(IF(QualitéAlimentsJeuneEtalon_12_24_moisPoney=MAUVAISE,VLOOKUP("Pulpe déshydratée de betterave",AlimentsRationEcuriePoneysMâles,4,FALSE),0)+(IF(QualitéAlimentsJeuneJument_12_24_moisPoney=MAUVAISE,VLOOKUP("Pulpe déshydratée de betterave",AlimentsRationEcuriePoneysFemelles,4,FALSE),0)+(IF(QualitéAlimentsJeuneEtalon_24_36_moisPoney=MAUVAISE,VLOOKUP("Pulpe déshydratée de betterave",AlimentsRationEcuriePoneysMâles,3,FALSE),0)+(IF(QualitéAlimentsJeuneJument_24_36_moisPoney=MAUVAISE,VLOOKUP("Pulpe déshydratée de betterave",AlimentsRationEcuriePoneysFemelles,3,FALSE),0)+(IF(QualitéAlimentsEtalonPoney=MAUVAISE,VLOOKUP("Pulpe déshydratée de betterave",AlimentsRationEcuriePoneysMâles,2,FALSE),0)+(IF(QualitéAlimentsJumentPoney=MAUVAISE,VLOOKUP("Pulpe déshydratée de betterave",AlimentsRationEcuriePoneysFemelles,2,FALSE),0))))))))))</f>
        <v>0</v>
      </c>
      <c r="FR221" s="1345"/>
      <c r="FS221" s="1345"/>
      <c r="FT221" s="1345"/>
      <c r="FU221" s="1345"/>
      <c r="FV221" s="1345"/>
      <c r="FW221" s="1321"/>
      <c r="FX221" s="1321"/>
      <c r="FY221" s="1321"/>
      <c r="FZ221" s="1321"/>
      <c r="GA221" s="1345"/>
      <c r="GB221" s="1321"/>
      <c r="GC221" s="1321"/>
      <c r="GD221" s="1321"/>
      <c r="GE221" s="1321"/>
      <c r="GF221" s="1321"/>
      <c r="GG221" s="1321" t="s">
        <v>1349</v>
      </c>
      <c r="GH221" s="1321" t="s">
        <v>1349</v>
      </c>
      <c r="GI221" s="1321" t="s">
        <v>1349</v>
      </c>
      <c r="GJ221" s="1321" t="s">
        <v>1349</v>
      </c>
      <c r="GK221" s="1321" t="s">
        <v>1349</v>
      </c>
      <c r="GL221" s="1321" t="s">
        <v>1349</v>
      </c>
      <c r="GM221" s="1321" t="s">
        <v>1349</v>
      </c>
      <c r="GN221" s="1321" t="s">
        <v>1349</v>
      </c>
      <c r="GO221" s="1321" t="s">
        <v>1349</v>
      </c>
      <c r="GP221" s="1321" t="s">
        <v>1349</v>
      </c>
      <c r="GQ221" s="1321" t="s">
        <v>1349</v>
      </c>
      <c r="GR221" s="1321" t="s">
        <v>1349</v>
      </c>
      <c r="GS221" s="1321" t="s">
        <v>1349</v>
      </c>
      <c r="GT221" s="1321" t="s">
        <v>1349</v>
      </c>
      <c r="GU221" s="1321" t="s">
        <v>1349</v>
      </c>
      <c r="GV221" s="1321" t="s">
        <v>1349</v>
      </c>
      <c r="GW221" s="1321"/>
      <c r="GX221" s="1321"/>
      <c r="GY221" s="1321"/>
      <c r="GZ221" s="1321"/>
      <c r="HA221" s="1321"/>
      <c r="HB221" s="1321"/>
      <c r="HC221" s="1321"/>
      <c r="HD221" s="1321"/>
      <c r="HE221" s="1321"/>
      <c r="HF221" s="1321"/>
      <c r="HG221" s="1321"/>
      <c r="HH221" s="1321"/>
      <c r="HI221" s="1321"/>
      <c r="HJ221" s="1321"/>
      <c r="HK221" s="1321"/>
      <c r="HL221" s="1321"/>
      <c r="HM221" s="1321"/>
      <c r="HN221" s="1321"/>
      <c r="HO221" s="1321"/>
      <c r="HP221" s="1321"/>
      <c r="HQ221" s="1321"/>
      <c r="HR221" s="1321"/>
      <c r="HS221" s="1321"/>
      <c r="HT221" s="1321"/>
      <c r="HU221" s="1321"/>
      <c r="HV221" s="1321"/>
      <c r="HW221" s="1321"/>
      <c r="HX221" s="1321"/>
      <c r="HY221" s="1321"/>
      <c r="HZ221" s="1321"/>
      <c r="IA221" s="1321"/>
      <c r="IB221" s="1321"/>
      <c r="IC221" s="1321"/>
      <c r="ID221" s="1321"/>
      <c r="IE221" s="1321"/>
      <c r="IF221" s="1321"/>
      <c r="IG221" s="1321"/>
      <c r="IH221" s="1321"/>
      <c r="II221" s="1321"/>
      <c r="IJ221" s="1321"/>
      <c r="IK221" s="1321"/>
      <c r="IL221" s="1321"/>
      <c r="IM221" s="1321"/>
      <c r="IN221" s="1368"/>
    </row>
    <row r="222" spans="1:248" ht="12.75" customHeight="1" x14ac:dyDescent="0.2">
      <c r="A222" s="1319"/>
      <c r="B222" s="1321"/>
      <c r="C222" s="1321"/>
      <c r="D222" s="1321"/>
      <c r="E222" s="1321"/>
      <c r="F222" s="1321"/>
      <c r="G222" s="1321"/>
      <c r="H222" s="1321"/>
      <c r="I222" s="1321"/>
      <c r="J222" s="1321"/>
      <c r="K222" s="1321"/>
      <c r="L222" s="1321"/>
      <c r="M222" s="1321"/>
      <c r="N222" s="1321"/>
      <c r="O222" s="1321"/>
      <c r="P222" s="1321"/>
      <c r="Q222" s="1321"/>
      <c r="R222" s="1321"/>
      <c r="S222" s="1321"/>
      <c r="T222" s="1321"/>
      <c r="U222" s="1321"/>
      <c r="V222" s="1321"/>
      <c r="W222" s="1321"/>
      <c r="X222" s="1321"/>
      <c r="Y222" s="1321"/>
      <c r="Z222" s="1321"/>
      <c r="AA222" s="1321"/>
      <c r="AB222" s="1321"/>
      <c r="AC222" s="1321"/>
      <c r="AD222" s="1321"/>
      <c r="AE222" s="1321"/>
      <c r="AF222" s="1321"/>
      <c r="AG222" s="1321"/>
      <c r="AH222" s="1321"/>
      <c r="AI222" s="1321"/>
      <c r="AJ222" s="1321"/>
      <c r="AK222" s="1321"/>
      <c r="AL222" s="1321"/>
      <c r="AM222" s="1321"/>
      <c r="AN222" s="1321"/>
      <c r="AO222" s="1321"/>
      <c r="AP222" s="1321"/>
      <c r="AQ222" s="1321"/>
      <c r="AR222" s="1321"/>
      <c r="AS222" s="1321"/>
      <c r="AT222" s="1321"/>
      <c r="AU222" s="1321"/>
      <c r="AV222" s="1321"/>
      <c r="AW222" s="1321"/>
      <c r="AX222" s="1321"/>
      <c r="AY222" s="1321"/>
      <c r="AZ222" s="1321"/>
      <c r="BA222" s="1321"/>
      <c r="BB222" s="1076" t="s">
        <v>671</v>
      </c>
      <c r="BC222" s="1267">
        <f t="array" ref="BC222">IF(Ration_complète_bovins[somme]&gt;0,0,IFERROR(IF(OR(AND(INDEX(Règles_bovins[Specificite],MATCH(ChoixRationBovins&amp;$BB222,Règles_bovins[Ration]&amp;Règles_bovins[Aliment],0))="s1",IF($BB222=Spécificité1Bovins,1)),
AND(INDEX(Règles_bovins[Specificite],MATCH(ChoixRationBovins&amp;$BB222,Règles_bovins[Ration]&amp;Règles_bovins[Aliment],0))="s2",IF($BB222=Spécificité2Bovins,1)),
INDEX(Règles_bovins[Specificite],MATCH(ChoixRationBovins&amp;$BB222,Règles_bovins[Ration]&amp;Règles_bovins[Aliment],0))="c"),
INDEX(Règles_bovins[Valeur 36 et plus],MATCH(ChoixRationBovins&amp;$BB222,Règles_bovins[Ration]&amp;Règles_bovins[Aliment],0)),0),0)*IF(ChoixBovinsPréHiver=OUI,TotalTaureauxRacesLaitières,TotalTaureaux*SUM(NbreJoursNourrirBovins)))</f>
        <v>0</v>
      </c>
      <c r="BD222" s="1267">
        <f t="array" ref="BD222">IF(Ration_complète_bovins[somme]&gt;0,0,IFERROR(IF(OR(AND(INDEX(Règles_bovins[Specificite],MATCH(ChoixRationBovins&amp;$BB222,Règles_bovins[Ration]&amp;Règles_bovins[Aliment],0))="s1",IF($BB222=Spécificité1Bovins,1)),
AND(INDEX(Règles_bovins[Specificite],MATCH(ChoixRationBovins&amp;$BB222,Règles_bovins[Ration]&amp;Règles_bovins[Aliment],0))="s2",IF($BB222=Spécificité2Bovins,1)),
INDEX(Règles_bovins[Specificite],MATCH(ChoixRationBovins&amp;$BB222,Règles_bovins[Ration]&amp;Règles_bovins[Aliment],0))="c"),
INDEX(Règles_bovins[Valeur 24-36],MATCH(ChoixRationBovins&amp;$BB222,Règles_bovins[Ration]&amp;Règles_bovins[Aliment],0)),0),0)*IF(ChoixBovinsPréHiver=OUI,TotalTaurillon_24_36_RacesLaitières,TotalBovinsMâles_24_36mois*SUM(NbreJoursNourrirBovins)))</f>
        <v>0</v>
      </c>
      <c r="BE222" s="1267">
        <f t="array" ref="BE222">IF(Ration_complète_bovins[somme]&gt;0,0,IFERROR(IF(OR(AND(INDEX(Règles_bovins[Specificite],MATCH(ChoixRationBovins&amp;$BB222,Règles_bovins[Ration]&amp;Règles_bovins[Aliment],0))="s1",IF($BB222=Spécificité1Bovins,1)),
AND(INDEX(Règles_bovins[Specificite],MATCH(ChoixRationBovins&amp;$BB222,Règles_bovins[Ration]&amp;Règles_bovins[Aliment],0))="s2",IF($BB222=Spécificité2Bovins,1)),
INDEX(Règles_bovins[Specificite],MATCH(ChoixRationBovins&amp;$BB222,Règles_bovins[Ration]&amp;Règles_bovins[Aliment],0))="c"),
INDEX(Règles_bovins[Valeur 18-24],MATCH(ChoixRationBovins&amp;$BB222,Règles_bovins[Ration]&amp;Règles_bovins[Aliment],0)),0),0)*IF(ChoixBovinsPréHiver=OUI,TotalTaurillon_18_24_RacesLaitières,TotalBovinsMâles_18_24mois*SUM(NbreJoursNourrirBovins)))</f>
        <v>0</v>
      </c>
      <c r="BF222" s="1267">
        <f t="array" ref="BF222">IF(Ration_complète_bovins[somme]&gt;0,0,IFERROR(IF(OR(AND(INDEX(Règles_bovins[Specificite],MATCH(ChoixRationBovins&amp;$BB222,Règles_bovins[Ration]&amp;Règles_bovins[Aliment],0))="s1",IF($BB222=Spécificité1Bovins,1)),
AND(INDEX(Règles_bovins[Specificite],MATCH(ChoixRationBovins&amp;$BB222,Règles_bovins[Ration]&amp;Règles_bovins[Aliment],0))="s2",IF($BB222=Spécificité2Bovins,1)),
INDEX(Règles_bovins[Specificite],MATCH(ChoixRationBovins&amp;$BB222,Règles_bovins[Ration]&amp;Règles_bovins[Aliment],0))="c"),
INDEX(Règles_bovins[Valeur 12-18],MATCH(ChoixRationBovins&amp;$BB222,Règles_bovins[Ration]&amp;Règles_bovins[Aliment],0)),0),0)*IF(ChoixBovinsPréHiver=OUI,animaux!D45,TotalBovinsMâles_12_18mois*SUM(NbreJoursNourrirBovins)))</f>
        <v>0</v>
      </c>
      <c r="BG222" s="1267">
        <f t="array" ref="BG222">IF(Ration_complète_bovins[somme]&gt;0,0,IFERROR(IF(OR(AND(INDEX(Règles_bovins[Specificite],MATCH(ChoixRationBovins&amp;$BB222,Règles_bovins[Ration]&amp;Règles_bovins[Aliment],0))="s1",IF($BB222=Spécificité1Bovins,1)),
AND(INDEX(Règles_bovins[Specificite],MATCH(ChoixRationBovins&amp;$BB222,Règles_bovins[Ration]&amp;Règles_bovins[Aliment],0))="s2",IF($BB222=Spécificité2Bovins,1)),
INDEX(Règles_bovins[Specificite],MATCH(ChoixRationBovins&amp;$BB222,Règles_bovins[Ration]&amp;Règles_bovins[Aliment],0))="c"),
INDEX(Règles_bovins[Valeur 6-12],MATCH(ChoixRationBovins&amp;$BB222,Règles_bovins[Ration]&amp;Règles_bovins[Aliment],0)),0),0)*IF(ChoixBovinsPréHiver=OUI,TotalVeauMâle_6_12_RacesLaitières,TotalBovinsMâles_6_12mois*SUM(NbreJoursNourrirBovins)))</f>
        <v>0</v>
      </c>
      <c r="BH222" s="1267">
        <f t="array" ref="BH222">IF(Ration_complète_bovins[somme]&gt;0,0,IFERROR(IF(OR(AND(INDEX(Règles_bovins[Specificite],MATCH(ChoixRationBovins&amp;$BB222,Règles_bovins[Ration]&amp;Règles_bovins[Aliment],0))="s1",IF($BB222=Spécificité1Bovins,1)),
AND(INDEX(Règles_bovins[Specificite],MATCH(ChoixRationBovins&amp;$BB222,Règles_bovins[Ration]&amp;Règles_bovins[Aliment],0))="s2",IF($BB222=Spécificité2Bovins,1)),
INDEX(Règles_bovins[Specificite],MATCH(ChoixRationBovins&amp;$BB222,Règles_bovins[Ration]&amp;Règles_bovins[Aliment],0))="c"),
INDEX(Règles_bovins[Valeur 3-6],MATCH(ChoixRationBovins&amp;$BB222,Règles_bovins[Ration]&amp;Règles_bovins[Aliment],0)),0),0)*IF(ChoixBovinsPréHiver=OUI,TotalVeauMâle_3_6_RacesLaitières,TotalBovinsMâles_3_6mois*SUM(NbreJoursNourrirBovins)))</f>
        <v>0</v>
      </c>
      <c r="BI222" s="1267">
        <f t="array" ref="BI222">IF(Ration_complète_bovins[somme]&gt;0,0,IFERROR(IF(OR(AND(INDEX(Règles_bovins[Specificite],MATCH(ChoixRationBovins&amp;$BB222,Règles_bovins[Ration]&amp;Règles_bovins[Aliment],0))="s1",IF($BB222=Spécificité1Bovins,1)),
AND(INDEX(Règles_bovins[Specificite],MATCH(ChoixRationBovins&amp;$BB222,Règles_bovins[Ration]&amp;Règles_bovins[Aliment],0))="s2",IF($BB222=Spécificité2Bovins,1)),
INDEX(Règles_bovins[Specificite],MATCH(ChoixRationBovins&amp;$BB222,Règles_bovins[Ration]&amp;Règles_bovins[Aliment],0))="c"),
INDEX(Règles_bovins[Valeur 0-3],MATCH(ChoixRationBovins&amp;$BB222,Règles_bovins[Ration]&amp;Règles_bovins[Aliment],0)),0),0)*IF(ChoixBovinsPréHiver=OUI,TotalVeauMâle_0_3_RacesLaitières,TotalBovinsMâles_0_3mois*SUM(NbreJoursNourrirBovins)))</f>
        <v>0</v>
      </c>
      <c r="BJ222" s="1268">
        <f t="shared" si="69"/>
        <v>0</v>
      </c>
      <c r="BK222" s="1321"/>
      <c r="BL222" s="1321"/>
      <c r="BM222" s="1346"/>
      <c r="BN222" s="1321"/>
      <c r="BO222" s="1321"/>
      <c r="BP222" s="1321"/>
      <c r="BQ222" s="1321"/>
      <c r="BR222" s="1321"/>
      <c r="BS222" s="1321"/>
      <c r="BT222" s="1321"/>
      <c r="BU222" s="1321"/>
      <c r="BV222" s="1345"/>
      <c r="BW222" s="1345"/>
      <c r="BX222" s="1076" t="str">
        <f t="shared" si="70"/>
        <v>Seigle</v>
      </c>
      <c r="BY222" s="1267">
        <f t="array" ref="BY222">SUM((IF(QualitéAlimentsChevreau_0_3_mois=BONNE,VLOOKUP("Seigle",AlimentsRationCaprinsMâles,5,FALSE),0)+(IF(QualitéAlimentsChevrette_0_3_mois=BONNE,VLOOKUP("Seigle",AlimentsRationCaprinsFemelles,5,FALSE),0)+(IF(QualitéAlimentsChevreau_3_6_mois=BONNE,VLOOKUP("Seigle",AlimentsRationCaprinsMâles,4,FALSE),0)+(IF(QualitéAlimentsChevrette_3_6_mois=BONNE,VLOOKUP("Seigle",AlimentsRationCaprinsFemelles,4,FALSE),0)+(IF(QualitéAlimentsJeuneBouc=BONNE,VLOOKUP("Seigle",AlimentsRationCaprinsMâles,3,FALSE),0)+(IF(QualitéAlimentsJeuneChèvre=BONNE,VLOOKUP("Seigle",AlimentsRationCaprinsFemelles,3,FALSE),0)+(IF(QualitéAlimentsBouc=BONNE,VLOOKUP("Seigle",AlimentsRationCaprinsMâles,2,FALSE),0)+(IF(QualitéAlimentsChèvre=BONNE,VLOOKUP("Seigle",AlimentsRationCaprinsFemelles,2,FALSE),0))))))))))</f>
        <v>0</v>
      </c>
      <c r="BZ222" s="1267">
        <f t="array" ref="BZ222">SUM((IF(QualitéAlimentsChevreau_0_3_mois=MOYENNE,VLOOKUP("Seigle",AlimentsRationCaprinsMâles,5,FALSE),0)+(IF(QualitéAlimentsChevrette_0_3_mois=MOYENNE,VLOOKUP("Seigle",AlimentsRationCaprinsFemelles,5,FALSE),0)+(IF(QualitéAlimentsChevreau_3_6_mois=MOYENNE,VLOOKUP("Seigle",AlimentsRationCaprinsMâles,4,FALSE),0)+(IF(QualitéAlimentsChevrette_3_6_mois=MOYENNE,VLOOKUP("Seigle",AlimentsRationCaprinsFemelles,4,FALSE),0)+(IF(QualitéAlimentsJeuneBouc=MOYENNE,VLOOKUP("Seigle",AlimentsRationCaprinsMâles,3,FALSE),0)+(IF(QualitéAlimentsJeuneChèvre=MOYENNE,VLOOKUP("Seigle",AlimentsRationCaprinsFemelles,3,FALSE),0)+(IF(QualitéAlimentsBouc=MOYENNE,VLOOKUP("Seigle",AlimentsRationCaprinsMâles,2,FALSE),0)+(IF(QualitéAlimentsChèvre=MOYENNE,VLOOKUP("Seigle",AlimentsRationCaprinsFemelles,2,FALSE),0))))))))))</f>
        <v>0</v>
      </c>
      <c r="CA222" s="1267">
        <f t="array" ref="CA222">SUM((IF(QualitéAlimentsChevreau_0_3_mois=MAUVAISE,VLOOKUP("Seigle",AlimentsRationCaprinsMâles,5,FALSE),0)+(IF(QualitéAlimentsChevrette_0_3_mois=MAUVAISE,VLOOKUP("Seigle",AlimentsRationCaprinsFemelles,5,FALSE),0)+(IF(QualitéAlimentsChevreau_3_6_mois=MAUVAISE,VLOOKUP("Seigle",AlimentsRationCaprinsMâles,4,FALSE),0)+(IF(QualitéAlimentsChevrette_3_6_mois=MAUVAISE,VLOOKUP("Seigle",AlimentsRationCaprinsFemelles,4,FALSE),0)+(IF(QualitéAlimentsJeuneBouc=MAUVAISE,VLOOKUP("Seigle",AlimentsRationCaprinsMâles,3,FALSE),0)+(IF(QualitéAlimentsJeuneChèvre=MAUVAISE,VLOOKUP("Seigle",AlimentsRationCaprinsFemelles,3,FALSE),0)+(IF(QualitéAlimentsBouc=MAUVAISE,VLOOKUP("Seigle",AlimentsRationCaprinsMâles,2,FALSE),0)+(IF(QualitéAlimentsChèvre=MAUVAISE,VLOOKUP("Seigle",AlimentsRationCaprinsFemelles,2,FALSE),0))))))))))</f>
        <v>0</v>
      </c>
      <c r="CB222" s="1321"/>
      <c r="CC222" s="1321"/>
      <c r="CD222" s="1345"/>
      <c r="CE222" s="1345"/>
      <c r="CF222" s="1345"/>
      <c r="CG222" s="1345"/>
      <c r="CH222" s="1345"/>
      <c r="CI222" s="1321"/>
      <c r="CJ222" s="1321"/>
      <c r="CK222" s="1321"/>
      <c r="CL222" s="1321"/>
      <c r="CM222" s="1321"/>
      <c r="CN222" s="1321"/>
      <c r="CO222" s="1321"/>
      <c r="CP222" s="1321"/>
      <c r="CQ222" s="1321"/>
      <c r="CR222" s="1321"/>
      <c r="CS222" s="1321"/>
      <c r="CT222" s="1321"/>
      <c r="CU222" s="1321"/>
      <c r="CV222" s="1321"/>
      <c r="CW222" s="1321"/>
      <c r="CX222" s="1321"/>
      <c r="CY222" s="1321"/>
      <c r="CZ222" s="1321"/>
      <c r="DA222" s="1321"/>
      <c r="DB222" s="1321"/>
      <c r="DC222" s="1321"/>
      <c r="DD222" s="1321"/>
      <c r="DE222" s="1321"/>
      <c r="DF222" s="1321"/>
      <c r="DG222" s="1321"/>
      <c r="DH222" s="1321"/>
      <c r="DI222" s="1321"/>
      <c r="DJ222" s="1321"/>
      <c r="DK222" s="1321"/>
      <c r="DL222" s="1321"/>
      <c r="DM222" s="1321"/>
      <c r="DN222" s="1076" t="str">
        <f t="shared" si="68"/>
        <v>Tourteau de colza</v>
      </c>
      <c r="DO222" s="1267">
        <f t="array" ref="DO222">IF(OR(ChoixPaysPartie=USA,ChoixPaysPartie=CANADA,ChoixPaysPartie=""),0,IF(ChoixRationComplèteOvins=OUI,0,IFERROR(IF(OR(AND(INDEX(Règles_ovins[Specificite],MATCH(ChoixRationOvins&amp;$DN222,Règles_ovins[Ration]&amp;Règles_ovins[Aliment],0))="s1",IF($DN222=Spécificité1Ovins,1)),
AND(INDEX(Règles_ovins[Specificite],MATCH(ChoixRationOvins&amp;$DN222,Règles_ovins[Ration]&amp;Règles_ovins[Aliment],0))="s2",IF($DN222=Spécificité2Ovins,1)),
INDEX(Règles_ovins[Specificite],MATCH(ChoixRationOvins&amp;$DN222,Règles_ovins[Ration]&amp;Règles_ovins[Aliment],0))="c"),
INDEX(Règles_ovins[Valeur 12 et plus],MATCH(ChoixRationOvins&amp;$DN222,Règles_ovins[Ration]&amp;Règles_ovins[Aliment],0)),0),0)*IF(ChoixOvinsPréHiver=OUI,SUM(TotalOvinsAdultesRacesLaitières)*NbreJoursNourrirOvins,TotalBrebis*SUM(NbreJoursNourrirOvins))))</f>
        <v>0</v>
      </c>
      <c r="DP222" s="1267">
        <f t="array" ref="DP222">IF(OR(ChoixPaysPartie=USA,ChoixPaysPartie=CANADA,ChoixPaysPartie=""),0,IF(ChoixRationComplèteOvins=OUI,0,IFERROR(IF(OR(AND(INDEX(Règles_ovins[Specificite],MATCH(ChoixRationOvins&amp;$DN222,Règles_ovins[Ration]&amp;Règles_ovins[Aliment],0))="s1",IF($DN222=Spécificité1Ovins,1)),
AND(INDEX(Règles_ovins[Specificite],MATCH(ChoixRationOvins&amp;$DN222,Règles_ovins[Ration]&amp;Règles_ovins[Aliment],0))="s2",IF($DN222=Spécificité2Ovins,1)),
INDEX(Règles_ovins[Specificite],MATCH(ChoixRationOvins&amp;$DN222,Règles_ovins[Ration]&amp;Règles_ovins[Aliment],0))="c"),
INDEX(Règles_ovins[Valeur 6-12],MATCH(ChoixRationOvins&amp;$DN222,Règles_ovins[Ration]&amp;Règles_ovins[Aliment],0)),0),0)*IF(ChoixOvinsPréHiver=OUI,SUM(TotalJeunesOvinsRacesLaitières)*NbreJoursNourrirOvins,TotalJeune_brebis_6_12_mois*SUM(NbreJoursNourrirOvins))))</f>
        <v>0</v>
      </c>
      <c r="DQ222" s="1267">
        <f t="array" ref="DQ222">IF(OR(ChoixPaysPartie=USA,ChoixPaysPartie=CANADA,ChoixPaysPartie=""),0,IF(ChoixRationComplèteOvins=OUI,0,IFERROR(IF(OR(AND(INDEX(Règles_ovins[Specificite],MATCH(ChoixRationOvins&amp;$DN222,Règles_ovins[Ration]&amp;Règles_ovins[Aliment],0))="s1",IF($DN222=Spécificité1Ovins,1)),
AND(INDEX(Règles_ovins[Specificite],MATCH(ChoixRationOvins&amp;$DN222,Règles_ovins[Ration]&amp;Règles_ovins[Aliment],0))="s2",IF($DN222=Spécificité2Ovins,1)),
INDEX(Règles_ovins[Specificite],MATCH(ChoixRationOvins&amp;$DN222,Règles_ovins[Ration]&amp;Règles_ovins[Aliment],0))="c"),
INDEX(Règles_ovins[Valeur 3-6],MATCH(ChoixRationOvins&amp;$DN222,Règles_ovins[Ration]&amp;Règles_ovins[Aliment],0)),0),0)*IF(ChoixOvinsPréHiver=OUI,SUM(TotalOvins_3_6moisRacesLaitières)*NbreJoursNourrirOvins,TotalAgnelle_3_6_mois*SUM(NbreJoursNourrirOvins))))</f>
        <v>0</v>
      </c>
      <c r="DR222" s="1267">
        <f t="array" ref="DR222">IF(OR(ChoixPaysPartie=USA,ChoixPaysPartie=CANADA,ChoixPaysPartie=""),0,IF(ChoixRationComplèteOvins=OUI,0,IFERROR(IF(OR(AND(INDEX(Règles_ovins[Specificite],MATCH(ChoixRationOvins&amp;$DN222,Règles_ovins[Ration]&amp;Règles_ovins[Aliment],0))="s1",IF($DN222=Spécificité1Ovins,1)),
AND(INDEX(Règles_ovins[Specificite],MATCH(ChoixRationOvins&amp;$DN222,Règles_ovins[Ration]&amp;Règles_ovins[Aliment],0))="s2",IF($DN222=Spécificité2Ovins,1)),
INDEX(Règles_ovins[Specificite],MATCH(ChoixRationOvins&amp;$DN222,Règles_ovins[Ration]&amp;Règles_ovins[Aliment],0))="c"),
INDEX(Règles_ovins[Valeur 0-3],MATCH(ChoixRationOvins&amp;$DN222,Règles_ovins[Ration]&amp;Règles_ovins[Aliment],0)),0),0)*IF(ChoixOvinsPréHiver=OUI,SUM(TotalOvins_3_6moisRacesLaitières)*NbreJoursNourrirOvins,TotalAgnelle_0_3_mois*SUM(NbreJoursNourrirOvins))))</f>
        <v>0</v>
      </c>
      <c r="DS222" s="1279">
        <f t="shared" si="67"/>
        <v>0</v>
      </c>
      <c r="DT222" s="1346"/>
      <c r="DU222" s="1346"/>
      <c r="DV222" s="1321"/>
      <c r="DW222" s="1321"/>
      <c r="DX222" s="1321"/>
      <c r="DY222" s="1321"/>
      <c r="DZ222" s="1321"/>
      <c r="EA222" s="1321"/>
      <c r="EB222" s="1321"/>
      <c r="EC222" s="1321"/>
      <c r="ED222" s="1345"/>
      <c r="EE222" s="1345"/>
      <c r="EF222" s="1321"/>
      <c r="EG222" s="1321"/>
      <c r="EH222" s="1321"/>
      <c r="EI222" s="1321"/>
      <c r="EJ222" s="1321"/>
      <c r="EK222" s="1345"/>
      <c r="EL222" s="1345"/>
      <c r="EM222" s="1321"/>
      <c r="EN222" s="1321"/>
      <c r="EO222" s="1321"/>
      <c r="EP222" s="1321"/>
      <c r="EQ222" s="1321"/>
      <c r="ER222" s="1345"/>
      <c r="ES222" s="1345"/>
      <c r="ET222" s="1321"/>
      <c r="EU222" s="1083" t="str">
        <f t="shared" si="73"/>
        <v>Minéraux + vitamines</v>
      </c>
      <c r="EV222" s="1283">
        <f t="array" ref="EV222">SUM((IF(QualitéAlimentsPoulainSelleMâle=BONNE,VLOOKUP("Minéraux + vitamines",AlimentsRationEcurieChevauxMâlesSelle,5,FALSE),0)+(IF(QualitéAlimentsPoulainSelleFemelle=BONNE,VLOOKUP("Minéraux + vitamines",AlimentsRationEcurieChevauxFemellesSelle,5,FALSE),0)+(IF(QualitéAlimentsJeuneEtalon_12_24_moisSelle=BONNE,VLOOKUP("Minéraux + vitamines",AlimentsRationEcurieChevauxMâlesSelle,4,FALSE),0)+(IF(QualitéAlimentsJeuneJument_12_24_moisSelle=BONNE,VLOOKUP("Minéraux + vitamines",AlimentsRationEcurieChevauxFemellesSelle,4,FALSE),0)+(IF(QualitéAlimentsJeuneEtalon_24_36_moisSelle=BONNE,VLOOKUP("Minéraux + vitamines",AlimentsRationEcurieChevauxMâlesSelle,3,FALSE),0)+(IF(QualitéAlimentsJeuneJument_24_36_moisSelle=BONNE,VLOOKUP("Minéraux + vitamines",AlimentsRationEcurieChevauxFemellesSelle,3,FALSE),0)+(IF(QualitéAlimentsEtalonSelle=BONNE,VLOOKUP("Minéraux + vitamines",AlimentsRationEcurieChevauxMâlesSelle,2,FALSE),0)+(IF(QualitéAlimentsJumentSelle=BONNE,VLOOKUP("Minéraux + vitamines",AlimentsRationEcurieChevauxFemellesSelle,2,FALSE),0))))))))))</f>
        <v>0</v>
      </c>
      <c r="EW222" s="1283">
        <f t="array" ref="EW222">SUM((IF(QualitéAlimentsPoulainSelleMâle=MOYENNE,VLOOKUP("Minéraux + vitamines",AlimentsRationEcurieChevauxMâlesSelle,5,FALSE),0)+(IF(QualitéAlimentsPoulainSelleFemelle=MOYENNE,VLOOKUP("Minéraux + vitamines",AlimentsRationEcurieChevauxFemellesSelle,5,FALSE),0)+(IF(QualitéAlimentsJeuneEtalon_12_24_moisSelle=MOYENNE,VLOOKUP("Minéraux + vitamines",AlimentsRationEcurieChevauxMâlesSelle,4,FALSE),0)+(IF(QualitéAlimentsJeuneJument_12_24_moisSelle=MOYENNE,VLOOKUP("Minéraux + vitamines",AlimentsRationEcurieChevauxFemellesSelle,4,FALSE),0)+(IF(QualitéAlimentsJeuneEtalon_24_36_moisSelle=MOYENNE,VLOOKUP("Minéraux + vitamines",AlimentsRationEcurieChevauxMâlesSelle,3,FALSE),0)+(IF(QualitéAlimentsJeuneJument_24_36_moisSelle=MOYENNE,VLOOKUP("Minéraux + vitamines",AlimentsRationEcurieChevauxFemellesSelle,3,FALSE),0)+(IF(QualitéAlimentsEtalonSelle=MOYENNE,VLOOKUP("Minéraux + vitamines",AlimentsRationEcurieChevauxMâlesSelle,2,FALSE),0)+(IF(QualitéAlimentsJumentSelle=MOYENNE,VLOOKUP("Minéraux + vitamines",AlimentsRationEcurieChevauxFemellesSelle,2,FALSE),0))))))))))</f>
        <v>0</v>
      </c>
      <c r="EX222" s="1283">
        <f t="array" ref="EX222">SUM((IF(QualitéAlimentsPoulainSelleMâle=MAUVAISE,VLOOKUP("Minéraux + vitamines",AlimentsRationEcurieChevauxMâlesSelle,5,FALSE),0)+(IF(QualitéAlimentsPoulainSelleFemelle=MAUVAISE,VLOOKUP("Minéraux + vitamines",AlimentsRationEcurieChevauxFemellesSelle,5,FALSE),0)+(IF(QualitéAlimentsJeuneEtalon_12_24_moisSelle=MAUVAISE,VLOOKUP("Minéraux + vitamines",AlimentsRationEcurieChevauxMâlesSelle,4,FALSE),0)+(IF(QualitéAlimentsJeuneJument_12_24_moisSelle=MAUVAISE,VLOOKUP("Minéraux + vitamines",AlimentsRationEcurieChevauxFemellesSelle,4,FALSE),0)+(IF(QualitéAlimentsJeuneEtalon_24_36_moisSelle=MAUVAISE,VLOOKUP("Minéraux + vitamines",AlimentsRationEcurieChevauxMâlesSelle,3,FALSE),0)+(IF(QualitéAlimentsJeuneJument_24_36_moisSelle=MAUVAISE,VLOOKUP("Minéraux + vitamines",AlimentsRationEcurieChevauxFemellesSelle,3,FALSE),0)+(IF(QualitéAlimentsEtalonSelle=MAUVAISE,VLOOKUP("Minéraux + vitamines",AlimentsRationEcurieChevauxMâlesSelle,2,FALSE),0)+(IF(QualitéAlimentsJumentSelle=MAUVAISE,VLOOKUP("Minéraux + vitamines",AlimentsRationEcurieChevauxFemellesSelle,2,FALSE),0))))))))))</f>
        <v>0</v>
      </c>
      <c r="EY222" s="1321"/>
      <c r="EZ222" s="1345"/>
      <c r="FA222" s="1345"/>
      <c r="FB222" s="1345"/>
      <c r="FC222" s="1321"/>
      <c r="FD222" s="1082" t="str">
        <f t="shared" si="72"/>
        <v>Pulpe déshydratée de betterave</v>
      </c>
      <c r="FE222" s="1282">
        <f t="array" ref="FE222">SUM((IF(QualitéAlimentsPoulainMâleTrait=BONNE,VLOOKUP("Pulpe déshydratée de betterave",AlimentsRationEcurieChevauxMâlesTrait,5,FALSE),0)+(IF(QualitéAlimentsPoulainFemelleTrait=BONNE,VLOOKUP("Pulpe déshydratée de betterave",AlimentsRationEcurieChevauxFemellesTrait,5,FALSE),0)+(IF(QualitéAlimentsJeuneEtalon_12_24_moisTrait=BONNE,VLOOKUP("Pulpe déshydratée de betterave",AlimentsRationEcurieChevauxMâlesTrait,4,FALSE),0)+(IF(QualitéAlimentsJeuneJument_12_24_moisTrait=BONNE,VLOOKUP("Pulpe déshydratée de betterave",AlimentsRationEcurieChevauxFemellesTrait,4,FALSE),0)+(IF(QualitéAlimentsJeuneEtalon_24_36_moisTrait=BONNE,VLOOKUP("Pulpe déshydratée de betterave",AlimentsRationEcurieChevauxMâlesTrait,3,FALSE),0)+(IF(QualitéAlimentsJeuneJument_24_36_moisTrait=BONNE,VLOOKUP("Pulpe déshydratée de betterave",AlimentsRationEcurieChevauxFemellesTrait,3,FALSE),0)+(IF(QualitéAlimentsEtalonTrait=BONNE,VLOOKUP("Pulpe déshydratée de betterave",AlimentsRationEcurieChevauxMâlesTrait,2,FALSE),0)+(IF(QualitéAlimentsJumentTrait=BONNE,VLOOKUP("Pulpe déshydratée de betterave",AlimentsRationEcurieChevauxFemellesTrait,2,FALSE),0))))))))))</f>
        <v>0</v>
      </c>
      <c r="FF222" s="1282">
        <f t="array" ref="FF222">SUM((IF(QualitéAlimentsPoulainMâleTrait=MOYENNE,VLOOKUP("Pulpe déshydratée de betterave",AlimentsRationEcurieChevauxMâlesTrait,5,FALSE),0)+(IF(QualitéAlimentsPoulainFemelleTrait=MOYENNE,VLOOKUP("Pulpe déshydratée de betterave",AlimentsRationEcurieChevauxFemellesTrait,5,FALSE),0)+(IF(QualitéAlimentsJeuneEtalon_12_24_moisTrait=MOYENNE,VLOOKUP("Pulpe déshydratée de betterave",AlimentsRationEcurieChevauxMâlesTrait,4,FALSE),0)+(IF(QualitéAlimentsJeuneJument_12_24_moisTrait=MOYENNE,VLOOKUP("Pulpe déshydratée de betterave",AlimentsRationEcurieChevauxFemellesTrait,4,FALSE),0)+(IF(QualitéAlimentsJeuneEtalon_24_36_moisTrait=MOYENNE,VLOOKUP("Pulpe déshydratée de betterave",AlimentsRationEcurieChevauxMâlesTrait,3,FALSE),0)+(IF(QualitéAlimentsJeuneJument_24_36_moisTrait=MOYENNE,VLOOKUP("Pulpe déshydratée de betterave",AlimentsRationEcurieChevauxFemellesTrait,3,FALSE),0)+(IF(QualitéAlimentsEtalonTrait=MOYENNE,VLOOKUP("Pulpe déshydratée de betterave",AlimentsRationEcurieChevauxMâlesTrait,2,FALSE),0)+(IF(QualitéAlimentsJumentTrait=MOYENNE,VLOOKUP("Pulpe déshydratée de betterave",AlimentsRationEcurieChevauxFemellesTrait,2,FALSE),0))))))))))</f>
        <v>0</v>
      </c>
      <c r="FG222" s="1282">
        <f t="array" ref="FG222">SUM((IF(QualitéAlimentsPoulainMâleTrait=MAUVAISE,VLOOKUP("Pulpe déshydratée de betterave",AlimentsRationEcurieChevauxMâlesTrait,5,FALSE),0)+(IF(QualitéAlimentsPoulainFemelleTrait=MAUVAISE,VLOOKUP("Pulpe déshydratée de betterave",AlimentsRationEcurieChevauxFemellesTrait,5,FALSE),0)+(IF(QualitéAlimentsJeuneEtalon_12_24_moisTrait=MAUVAISE,VLOOKUP("Pulpe déshydratée de betterave",AlimentsRationEcurieChevauxMâlesTrait,4,FALSE),0)+(IF(QualitéAlimentsJeuneJument_12_24_moisTrait=MAUVAISE,VLOOKUP("Pulpe déshydratée de betterave",AlimentsRationEcurieChevauxFemellesTrait,4,FALSE),0)+(IF(QualitéAlimentsJeuneEtalon_24_36_moisTrait=MAUVAISE,VLOOKUP("Pulpe déshydratée de betterave",AlimentsRationEcurieChevauxMâlesTrait,3,FALSE),0)+(IF(QualitéAlimentsJeuneJument_24_36_moisTrait=MAUVAISE,VLOOKUP("Pulpe déshydratée de betterave",AlimentsRationEcurieChevauxFemellesTrait,3,FALSE),0)+(IF(QualitéAlimentsEtalonTrait=MAUVAISE,VLOOKUP("Pulpe déshydratée de betterave",AlimentsRationEcurieChevauxMâlesTrait,2,FALSE),0)+(IF(QualitéAlimentsJumentTrait=MAUVAISE,VLOOKUP("Pulpe déshydratée de betterave",AlimentsRationEcurieChevauxFemellesTrait,2,FALSE),0))))))))))</f>
        <v>0</v>
      </c>
      <c r="FH222" s="1321"/>
      <c r="FI222" s="1321"/>
      <c r="FJ222" s="1345"/>
      <c r="FK222" s="1345"/>
      <c r="FL222" s="1345"/>
      <c r="FM222" s="1321"/>
      <c r="FN222" s="1083" t="str">
        <f t="shared" si="71"/>
        <v>Ration complète</v>
      </c>
      <c r="FO222" s="1269">
        <f>IF(ChoixRationComplèteEtéPoneys&lt;&gt;OUI,0,IF(QualitéRationComplètePoneys=BONNE,Ration_complète_poneys[somme],0))</f>
        <v>0</v>
      </c>
      <c r="FP222" s="1269">
        <f>IF(ChoixRationComplèteEtéPoneys&lt;&gt;OUI,0,IF(QualitéRationComplètePoneys=MOYENNE,Ration_complète_poneys[somme],0))</f>
        <v>0</v>
      </c>
      <c r="FQ222" s="1269">
        <f>IF(ChoixRationComplèteEtéPoneys&lt;&gt;OUI,0,IF(QualitéRationComplètePoneys=MAUVAISE,Ration_complète_poneys[somme],0))</f>
        <v>0</v>
      </c>
      <c r="FR222" s="1345"/>
      <c r="FS222" s="1345"/>
      <c r="FT222" s="1345"/>
      <c r="FU222" s="1345"/>
      <c r="FV222" s="1345"/>
      <c r="FW222" s="1321"/>
      <c r="FX222" s="1321"/>
      <c r="FY222" s="1321"/>
      <c r="FZ222" s="1321"/>
      <c r="GA222" s="1345"/>
      <c r="GB222" s="1321"/>
      <c r="GC222" s="1321"/>
      <c r="GD222" s="1321"/>
      <c r="GE222" s="1321"/>
      <c r="GF222" s="1321"/>
      <c r="GG222" s="1321" t="s">
        <v>1349</v>
      </c>
      <c r="GH222" s="1321" t="s">
        <v>1349</v>
      </c>
      <c r="GI222" s="1321" t="s">
        <v>1349</v>
      </c>
      <c r="GJ222" s="1321" t="s">
        <v>1349</v>
      </c>
      <c r="GK222" s="1321" t="s">
        <v>1349</v>
      </c>
      <c r="GL222" s="1321" t="s">
        <v>1349</v>
      </c>
      <c r="GM222" s="1321" t="s">
        <v>1349</v>
      </c>
      <c r="GN222" s="1321" t="s">
        <v>1349</v>
      </c>
      <c r="GO222" s="1321" t="s">
        <v>1349</v>
      </c>
      <c r="GP222" s="1321" t="s">
        <v>1349</v>
      </c>
      <c r="GQ222" s="1321" t="s">
        <v>1349</v>
      </c>
      <c r="GR222" s="1321" t="s">
        <v>1349</v>
      </c>
      <c r="GS222" s="1321" t="s">
        <v>1349</v>
      </c>
      <c r="GT222" s="1321" t="s">
        <v>1349</v>
      </c>
      <c r="GU222" s="1321" t="s">
        <v>1349</v>
      </c>
      <c r="GV222" s="1321" t="s">
        <v>1349</v>
      </c>
      <c r="GW222" s="1321"/>
      <c r="GX222" s="1321"/>
      <c r="GY222" s="1321"/>
      <c r="GZ222" s="1321"/>
      <c r="HA222" s="1321"/>
      <c r="HB222" s="1321"/>
      <c r="HC222" s="1321"/>
      <c r="HD222" s="1321"/>
      <c r="HE222" s="1321"/>
      <c r="HF222" s="1321"/>
      <c r="HG222" s="1321"/>
      <c r="HH222" s="1321"/>
      <c r="HI222" s="1321"/>
      <c r="HJ222" s="1321"/>
      <c r="HK222" s="1321"/>
      <c r="HL222" s="1321"/>
      <c r="HM222" s="1321"/>
      <c r="HN222" s="1321"/>
      <c r="HO222" s="1321"/>
      <c r="HP222" s="1321"/>
      <c r="HQ222" s="1321"/>
      <c r="HR222" s="1321"/>
      <c r="HS222" s="1321"/>
      <c r="HT222" s="1321"/>
      <c r="HU222" s="1321"/>
      <c r="HV222" s="1321"/>
      <c r="HW222" s="1321"/>
      <c r="HX222" s="1321"/>
      <c r="HY222" s="1321"/>
      <c r="HZ222" s="1321"/>
      <c r="IA222" s="1321"/>
      <c r="IB222" s="1321"/>
      <c r="IC222" s="1321"/>
      <c r="ID222" s="1321"/>
      <c r="IE222" s="1321"/>
      <c r="IF222" s="1321"/>
      <c r="IG222" s="1321"/>
      <c r="IH222" s="1321"/>
      <c r="II222" s="1321"/>
      <c r="IJ222" s="1321"/>
      <c r="IK222" s="1321"/>
      <c r="IL222" s="1321"/>
      <c r="IM222" s="1321"/>
      <c r="IN222" s="1368"/>
    </row>
    <row r="223" spans="1:248" ht="12.75" customHeight="1" x14ac:dyDescent="0.2">
      <c r="A223" s="1319"/>
      <c r="B223" s="1321"/>
      <c r="C223" s="1321"/>
      <c r="D223" s="1321"/>
      <c r="E223" s="1321"/>
      <c r="F223" s="1321"/>
      <c r="G223" s="1321"/>
      <c r="H223" s="1321"/>
      <c r="I223" s="1321"/>
      <c r="J223" s="1321"/>
      <c r="K223" s="1321"/>
      <c r="L223" s="1321"/>
      <c r="M223" s="1321"/>
      <c r="N223" s="1321"/>
      <c r="O223" s="1321"/>
      <c r="P223" s="1321"/>
      <c r="Q223" s="1321"/>
      <c r="R223" s="1321"/>
      <c r="S223" s="1321"/>
      <c r="T223" s="1321"/>
      <c r="U223" s="1321"/>
      <c r="V223" s="1321"/>
      <c r="W223" s="1321"/>
      <c r="X223" s="1321"/>
      <c r="Y223" s="1321"/>
      <c r="Z223" s="1321"/>
      <c r="AA223" s="1321"/>
      <c r="AB223" s="1321"/>
      <c r="AC223" s="1321"/>
      <c r="AD223" s="1321"/>
      <c r="AE223" s="1321"/>
      <c r="AF223" s="1321"/>
      <c r="AG223" s="1321"/>
      <c r="AH223" s="1321"/>
      <c r="AI223" s="1321"/>
      <c r="AJ223" s="1321"/>
      <c r="AK223" s="1321"/>
      <c r="AL223" s="1321"/>
      <c r="AM223" s="1321"/>
      <c r="AN223" s="1321"/>
      <c r="AO223" s="1321"/>
      <c r="AP223" s="1321"/>
      <c r="AQ223" s="1321"/>
      <c r="AR223" s="1321"/>
      <c r="AS223" s="1321"/>
      <c r="AT223" s="1321"/>
      <c r="AU223" s="1321"/>
      <c r="AV223" s="1321"/>
      <c r="AW223" s="1321"/>
      <c r="AX223" s="1321"/>
      <c r="AY223" s="1321"/>
      <c r="AZ223" s="1321"/>
      <c r="BA223" s="1321"/>
      <c r="BB223" s="1075" t="s">
        <v>296</v>
      </c>
      <c r="BC223" s="1269">
        <f t="array" ref="BC223">IF(Ration_complète_bovins[somme]&gt;0,0,IFERROR(IF(OR(AND(INDEX(Règles_bovins[Specificite],MATCH(ChoixRationBovins&amp;$BB223,Règles_bovins[Ration]&amp;Règles_bovins[Aliment],0))="s1",IF($BB223=Spécificité1Bovins,1)),
AND(INDEX(Règles_bovins[Specificite],MATCH(ChoixRationBovins&amp;$BB223,Règles_bovins[Ration]&amp;Règles_bovins[Aliment],0))="s2",IF($BB223=Spécificité2Bovins,1)),
INDEX(Règles_bovins[Specificite],MATCH(ChoixRationBovins&amp;$BB223,Règles_bovins[Ration]&amp;Règles_bovins[Aliment],0))="c"),
INDEX(Règles_bovins[Valeur 36 et plus],MATCH(ChoixRationBovins&amp;$BB223,Règles_bovins[Ration]&amp;Règles_bovins[Aliment],0)),0),0)*IF(ChoixBovinsPréHiver=OUI,TotalTaureauxRacesLaitières,TotalTaureaux*SUM(NbreJoursNourrirBovins)))</f>
        <v>0</v>
      </c>
      <c r="BD223" s="1269">
        <f t="array" ref="BD223">IF(Ration_complète_bovins[somme]&gt;0,0,IFERROR(IF(OR(AND(INDEX(Règles_bovins[Specificite],MATCH(ChoixRationBovins&amp;$BB223,Règles_bovins[Ration]&amp;Règles_bovins[Aliment],0))="s1",IF($BB223=Spécificité1Bovins,1)),
AND(INDEX(Règles_bovins[Specificite],MATCH(ChoixRationBovins&amp;$BB223,Règles_bovins[Ration]&amp;Règles_bovins[Aliment],0))="s2",IF($BB223=Spécificité2Bovins,1)),
INDEX(Règles_bovins[Specificite],MATCH(ChoixRationBovins&amp;$BB223,Règles_bovins[Ration]&amp;Règles_bovins[Aliment],0))="c"),
INDEX(Règles_bovins[Valeur 24-36],MATCH(ChoixRationBovins&amp;$BB223,Règles_bovins[Ration]&amp;Règles_bovins[Aliment],0)),0),0)*IF(ChoixBovinsPréHiver=OUI,TotalTaurillon_24_36_RacesLaitières,TotalBovinsMâles_24_36mois*SUM(NbreJoursNourrirBovins)))</f>
        <v>0</v>
      </c>
      <c r="BE223" s="1269">
        <f t="array" ref="BE223">IF(Ration_complète_bovins[somme]&gt;0,0,IFERROR(IF(OR(AND(INDEX(Règles_bovins[Specificite],MATCH(ChoixRationBovins&amp;$BB223,Règles_bovins[Ration]&amp;Règles_bovins[Aliment],0))="s1",IF($BB223=Spécificité1Bovins,1)),
AND(INDEX(Règles_bovins[Specificite],MATCH(ChoixRationBovins&amp;$BB223,Règles_bovins[Ration]&amp;Règles_bovins[Aliment],0))="s2",IF($BB223=Spécificité2Bovins,1)),
INDEX(Règles_bovins[Specificite],MATCH(ChoixRationBovins&amp;$BB223,Règles_bovins[Ration]&amp;Règles_bovins[Aliment],0))="c"),
INDEX(Règles_bovins[Valeur 18-24],MATCH(ChoixRationBovins&amp;$BB223,Règles_bovins[Ration]&amp;Règles_bovins[Aliment],0)),0),0)*IF(ChoixBovinsPréHiver=OUI,TotalTaurillon_18_24_RacesLaitières,TotalBovinsMâles_18_24mois*SUM(NbreJoursNourrirBovins)))</f>
        <v>0</v>
      </c>
      <c r="BF223" s="1269">
        <f t="array" ref="BF223">IF(Ration_complète_bovins[somme]&gt;0,0,IFERROR(IF(OR(AND(INDEX(Règles_bovins[Specificite],MATCH(ChoixRationBovins&amp;$BB223,Règles_bovins[Ration]&amp;Règles_bovins[Aliment],0))="s1",IF($BB223=Spécificité1Bovins,1)),
AND(INDEX(Règles_bovins[Specificite],MATCH(ChoixRationBovins&amp;$BB223,Règles_bovins[Ration]&amp;Règles_bovins[Aliment],0))="s2",IF($BB223=Spécificité2Bovins,1)),
INDEX(Règles_bovins[Specificite],MATCH(ChoixRationBovins&amp;$BB223,Règles_bovins[Ration]&amp;Règles_bovins[Aliment],0))="c"),
INDEX(Règles_bovins[Valeur 12-18],MATCH(ChoixRationBovins&amp;$BB223,Règles_bovins[Ration]&amp;Règles_bovins[Aliment],0)),0),0)*IF(ChoixBovinsPréHiver=OUI,animaux!D46,TotalBovinsMâles_12_18mois*SUM(NbreJoursNourrirBovins)))</f>
        <v>0</v>
      </c>
      <c r="BG223" s="1269">
        <f t="array" ref="BG223">IF(Ration_complète_bovins[somme]&gt;0,0,IFERROR(IF(OR(AND(INDEX(Règles_bovins[Specificite],MATCH(ChoixRationBovins&amp;$BB223,Règles_bovins[Ration]&amp;Règles_bovins[Aliment],0))="s1",IF($BB223=Spécificité1Bovins,1)),
AND(INDEX(Règles_bovins[Specificite],MATCH(ChoixRationBovins&amp;$BB223,Règles_bovins[Ration]&amp;Règles_bovins[Aliment],0))="s2",IF($BB223=Spécificité2Bovins,1)),
INDEX(Règles_bovins[Specificite],MATCH(ChoixRationBovins&amp;$BB223,Règles_bovins[Ration]&amp;Règles_bovins[Aliment],0))="c"),
INDEX(Règles_bovins[Valeur 6-12],MATCH(ChoixRationBovins&amp;$BB223,Règles_bovins[Ration]&amp;Règles_bovins[Aliment],0)),0),0)*IF(ChoixBovinsPréHiver=OUI,TotalVeauMâle_6_12_RacesLaitières,TotalBovinsMâles_6_12mois*SUM(NbreJoursNourrirBovins)))</f>
        <v>0</v>
      </c>
      <c r="BH223" s="1269">
        <f t="array" ref="BH223">IF(Ration_complète_bovins[somme]&gt;0,0,IFERROR(IF(OR(AND(INDEX(Règles_bovins[Specificite],MATCH(ChoixRationBovins&amp;$BB223,Règles_bovins[Ration]&amp;Règles_bovins[Aliment],0))="s1",IF($BB223=Spécificité1Bovins,1)),
AND(INDEX(Règles_bovins[Specificite],MATCH(ChoixRationBovins&amp;$BB223,Règles_bovins[Ration]&amp;Règles_bovins[Aliment],0))="s2",IF($BB223=Spécificité2Bovins,1)),
INDEX(Règles_bovins[Specificite],MATCH(ChoixRationBovins&amp;$BB223,Règles_bovins[Ration]&amp;Règles_bovins[Aliment],0))="c"),
INDEX(Règles_bovins[Valeur 3-6],MATCH(ChoixRationBovins&amp;$BB223,Règles_bovins[Ration]&amp;Règles_bovins[Aliment],0)),0),0)*IF(ChoixBovinsPréHiver=OUI,TotalVeauMâle_3_6_RacesLaitières,TotalBovinsMâles_3_6mois*SUM(NbreJoursNourrirBovins)))</f>
        <v>0</v>
      </c>
      <c r="BI223" s="1269">
        <f t="array" ref="BI223">IF(Ration_complète_bovins[somme]&gt;0,0,IFERROR(IF(OR(AND(INDEX(Règles_bovins[Specificite],MATCH(ChoixRationBovins&amp;$BB223,Règles_bovins[Ration]&amp;Règles_bovins[Aliment],0))="s1",IF($BB223=Spécificité1Bovins,1)),
AND(INDEX(Règles_bovins[Specificite],MATCH(ChoixRationBovins&amp;$BB223,Règles_bovins[Ration]&amp;Règles_bovins[Aliment],0))="s2",IF($BB223=Spécificité2Bovins,1)),
INDEX(Règles_bovins[Specificite],MATCH(ChoixRationBovins&amp;$BB223,Règles_bovins[Ration]&amp;Règles_bovins[Aliment],0))="c"),
INDEX(Règles_bovins[Valeur 0-3],MATCH(ChoixRationBovins&amp;$BB223,Règles_bovins[Ration]&amp;Règles_bovins[Aliment],0)),0),0)*IF(ChoixBovinsPréHiver=OUI,TotalVeauMâle_0_3_RacesLaitières,TotalBovinsMâles_0_3mois*SUM(NbreJoursNourrirBovins)))</f>
        <v>0</v>
      </c>
      <c r="BJ223" s="1270">
        <f t="shared" si="69"/>
        <v>0</v>
      </c>
      <c r="BK223" s="1321"/>
      <c r="BL223" s="1345"/>
      <c r="BM223" s="1346"/>
      <c r="BN223" s="1321"/>
      <c r="BO223" s="1321"/>
      <c r="BP223" s="1321"/>
      <c r="BQ223" s="1321"/>
      <c r="BR223" s="1321"/>
      <c r="BS223" s="1321"/>
      <c r="BT223" s="1321"/>
      <c r="BU223" s="1321"/>
      <c r="BV223" s="1345"/>
      <c r="BW223" s="1345"/>
      <c r="BX223" s="1075" t="str">
        <f t="shared" si="70"/>
        <v>Soja</v>
      </c>
      <c r="BY223" s="1269">
        <f t="array" ref="BY223">SUM((IF(QualitéAlimentsChevreau_0_3_mois=BONNE,VLOOKUP("Soja",AlimentsRationCaprinsMâles,5,FALSE),0)+(IF(QualitéAlimentsChevrette_0_3_mois=BONNE,VLOOKUP("Soja",AlimentsRationCaprinsFemelles,5,FALSE),0)+(IF(QualitéAlimentsChevreau_3_6_mois=BONNE,VLOOKUP("Soja",AlimentsRationCaprinsMâles,4,FALSE),0)+(IF(QualitéAlimentsChevrette_3_6_mois=BONNE,VLOOKUP("Soja",AlimentsRationCaprinsFemelles,4,FALSE),0)+(IF(QualitéAlimentsJeuneBouc=BONNE,VLOOKUP("Soja",AlimentsRationCaprinsMâles,3,FALSE),0)+(IF(QualitéAlimentsJeuneChèvre=BONNE,VLOOKUP("Soja",AlimentsRationCaprinsFemelles,3,FALSE),0)+(IF(QualitéAlimentsBouc=BONNE,VLOOKUP("Soja",AlimentsRationCaprinsMâles,2,FALSE),0)+(IF(QualitéAlimentsChèvre=BONNE,VLOOKUP("Soja",AlimentsRationCaprinsFemelles,2,FALSE),0))))))))))</f>
        <v>0</v>
      </c>
      <c r="BZ223" s="1269">
        <f t="array" ref="BZ223">SUM((IF(QualitéAlimentsChevreau_0_3_mois=MOYENNE,VLOOKUP("Soja",AlimentsRationCaprinsMâles,5,FALSE),0)+(IF(QualitéAlimentsChevrette_0_3_mois=MOYENNE,VLOOKUP("Soja",AlimentsRationCaprinsFemelles,5,FALSE),0)+(IF(QualitéAlimentsChevreau_3_6_mois=MOYENNE,VLOOKUP("Soja",AlimentsRationCaprinsMâles,4,FALSE),0)+(IF(QualitéAlimentsChevrette_3_6_mois=MOYENNE,VLOOKUP("Soja",AlimentsRationCaprinsFemelles,4,FALSE),0)+(IF(QualitéAlimentsJeuneBouc=MOYENNE,VLOOKUP("Soja",AlimentsRationCaprinsMâles,3,FALSE),0)+(IF(QualitéAlimentsJeuneChèvre=MOYENNE,VLOOKUP("Soja",AlimentsRationCaprinsFemelles,3,FALSE),0)+(IF(QualitéAlimentsBouc=MOYENNE,VLOOKUP("Soja",AlimentsRationCaprinsMâles,2,FALSE),0)+(IF(QualitéAlimentsChèvre=MOYENNE,VLOOKUP("Soja",AlimentsRationCaprinsFemelles,2,FALSE),0))))))))))</f>
        <v>0</v>
      </c>
      <c r="CA223" s="1269">
        <f t="array" ref="CA223">SUM((IF(QualitéAlimentsChevreau_0_3_mois=MAUVAISE,VLOOKUP("Soja",AlimentsRationCaprinsMâles,5,FALSE),0)+(IF(QualitéAlimentsChevrette_0_3_mois=MAUVAISE,VLOOKUP("Soja",AlimentsRationCaprinsFemelles,5,FALSE),0)+(IF(QualitéAlimentsChevreau_3_6_mois=MAUVAISE,VLOOKUP("Soja",AlimentsRationCaprinsMâles,4,FALSE),0)+(IF(QualitéAlimentsChevrette_3_6_mois=MAUVAISE,VLOOKUP("Soja",AlimentsRationCaprinsFemelles,4,FALSE),0)+(IF(QualitéAlimentsJeuneBouc=MAUVAISE,VLOOKUP("Soja",AlimentsRationCaprinsMâles,3,FALSE),0)+(IF(QualitéAlimentsJeuneChèvre=MAUVAISE,VLOOKUP("Soja",AlimentsRationCaprinsFemelles,3,FALSE),0)+(IF(QualitéAlimentsBouc=MAUVAISE,VLOOKUP("Soja",AlimentsRationCaprinsMâles,2,FALSE),0)+(IF(QualitéAlimentsChèvre=MAUVAISE,VLOOKUP("Soja",AlimentsRationCaprinsFemelles,2,FALSE),0))))))))))</f>
        <v>0</v>
      </c>
      <c r="CB223" s="1321"/>
      <c r="CC223" s="1321"/>
      <c r="CD223" s="1345"/>
      <c r="CE223" s="1345"/>
      <c r="CF223" s="1345"/>
      <c r="CG223" s="1345"/>
      <c r="CH223" s="1345"/>
      <c r="CI223" s="1321"/>
      <c r="CJ223" s="1321"/>
      <c r="CK223" s="1321"/>
      <c r="CL223" s="1321"/>
      <c r="CM223" s="1321"/>
      <c r="CN223" s="1321"/>
      <c r="CO223" s="1321"/>
      <c r="CP223" s="1321"/>
      <c r="CQ223" s="1321"/>
      <c r="CR223" s="1321"/>
      <c r="CS223" s="1321"/>
      <c r="CT223" s="1321"/>
      <c r="CU223" s="1321"/>
      <c r="CV223" s="1321"/>
      <c r="CW223" s="1321"/>
      <c r="CX223" s="1321"/>
      <c r="CY223" s="1321"/>
      <c r="CZ223" s="1321"/>
      <c r="DA223" s="1321"/>
      <c r="DB223" s="1321"/>
      <c r="DC223" s="1321"/>
      <c r="DD223" s="1321"/>
      <c r="DE223" s="1321"/>
      <c r="DF223" s="1321"/>
      <c r="DG223" s="1321"/>
      <c r="DH223" s="1321"/>
      <c r="DI223" s="1321"/>
      <c r="DJ223" s="1321"/>
      <c r="DK223" s="1321"/>
      <c r="DL223" s="1321"/>
      <c r="DM223" s="1321"/>
      <c r="DN223" s="1075" t="str">
        <f t="shared" si="68"/>
        <v>Tourteau de tournesol</v>
      </c>
      <c r="DO223" s="1269">
        <f t="array" ref="DO223">IF(ChoixRationComplèteOvins=OUI,0,IFERROR(IF(OR(AND(INDEX(Règles_ovins[Specificite],MATCH(ChoixRationOvins&amp;$DN223,Règles_ovins[Ration]&amp;Règles_ovins[Aliment],0))="s1",IF($DN223=Spécificité1Ovins,1)),
AND(INDEX(Règles_ovins[Specificite],MATCH(ChoixRationOvins&amp;$DN223,Règles_ovins[Ration]&amp;Règles_ovins[Aliment],0))="s2",IF($DN223=Spécificité2Ovins,1)),
INDEX(Règles_ovins[Specificite],MATCH(ChoixRationOvins&amp;$DN223,Règles_ovins[Ration]&amp;Règles_ovins[Aliment],0))="c"),
INDEX(Règles_ovins[Valeur 12 et plus],MATCH(ChoixRationOvins&amp;$DN223,Règles_ovins[Ration]&amp;Règles_ovins[Aliment],0)),0),0)*IF(ChoixOvinsPréHiver=OUI,SUM(TotalOvinsAdultesRacesLaitières)*NbreJoursNourrirOvins,TotalBrebis*SUM(NbreJoursNourrirOvins)))</f>
        <v>0</v>
      </c>
      <c r="DP223" s="1269">
        <f t="array" ref="DP223">IF(ChoixRationComplèteOvins=OUI,0,IFERROR(IF(OR(AND(INDEX(Règles_ovins[Specificite],MATCH(ChoixRationOvins&amp;$DN223,Règles_ovins[Ration]&amp;Règles_ovins[Aliment],0))="s1",IF($DN223=Spécificité1Ovins,1)),
AND(INDEX(Règles_ovins[Specificite],MATCH(ChoixRationOvins&amp;$DN223,Règles_ovins[Ration]&amp;Règles_ovins[Aliment],0))="s2",IF($DN223=Spécificité2Ovins,1)),
INDEX(Règles_ovins[Specificite],MATCH(ChoixRationOvins&amp;$DN223,Règles_ovins[Ration]&amp;Règles_ovins[Aliment],0))="c"),
INDEX(Règles_ovins[Valeur 6-12],MATCH(ChoixRationOvins&amp;$DN223,Règles_ovins[Ration]&amp;Règles_ovins[Aliment],0)),0),0)*IF(ChoixOvinsPréHiver=OUI,SUM(TotalJeunesOvinsRacesLaitières)*NbreJoursNourrirOvins,TotalJeune_brebis_6_12_mois*SUM(NbreJoursNourrirOvins)))</f>
        <v>0</v>
      </c>
      <c r="DQ223" s="1269">
        <f t="array" ref="DQ223">IF(ChoixRationComplèteOvins=OUI,0,IFERROR(IF(OR(AND(INDEX(Règles_ovins[Specificite],MATCH(ChoixRationOvins&amp;$DN223,Règles_ovins[Ration]&amp;Règles_ovins[Aliment],0))="s1",IF($DN223=Spécificité1Ovins,1)),
AND(INDEX(Règles_ovins[Specificite],MATCH(ChoixRationOvins&amp;$DN223,Règles_ovins[Ration]&amp;Règles_ovins[Aliment],0))="s2",IF($DN223=Spécificité2Ovins,1)),
INDEX(Règles_ovins[Specificite],MATCH(ChoixRationOvins&amp;$DN223,Règles_ovins[Ration]&amp;Règles_ovins[Aliment],0))="c"),
INDEX(Règles_ovins[Valeur 3-6],MATCH(ChoixRationOvins&amp;$DN223,Règles_ovins[Ration]&amp;Règles_ovins[Aliment],0)),0),0)*IF(ChoixOvinsPréHiver=OUI,SUM(TotalOvins_3_6moisRacesLaitières)*NbreJoursNourrirOvins,TotalAgnelle_3_6_mois*SUM(NbreJoursNourrirOvins)))</f>
        <v>0</v>
      </c>
      <c r="DR223" s="1269">
        <f t="array" ref="DR223">IF(ChoixRationComplèteOvins=OUI,0,IFERROR(IF(OR(AND(INDEX(Règles_ovins[Specificite],MATCH(ChoixRationOvins&amp;$DN223,Règles_ovins[Ration]&amp;Règles_ovins[Aliment],0))="s1",IF($DN223=Spécificité1Ovins,1)),
AND(INDEX(Règles_ovins[Specificite],MATCH(ChoixRationOvins&amp;$DN223,Règles_ovins[Ration]&amp;Règles_ovins[Aliment],0))="s2",IF($DN223=Spécificité2Ovins,1)),
INDEX(Règles_ovins[Specificite],MATCH(ChoixRationOvins&amp;$DN223,Règles_ovins[Ration]&amp;Règles_ovins[Aliment],0))="c"),
INDEX(Règles_ovins[Valeur 0-3],MATCH(ChoixRationOvins&amp;$DN223,Règles_ovins[Ration]&amp;Règles_ovins[Aliment],0)),0),0)*IF(ChoixOvinsPréHiver=OUI,SUM(TotalOvins_3_6moisRacesLaitières)*NbreJoursNourrirOvins,TotalAgnelle_0_3_mois*SUM(NbreJoursNourrirOvins)))</f>
        <v>0</v>
      </c>
      <c r="DS223" s="1280">
        <f t="shared" si="67"/>
        <v>0</v>
      </c>
      <c r="DT223" s="1346"/>
      <c r="DU223" s="1346"/>
      <c r="DV223" s="1321"/>
      <c r="DW223" s="1321"/>
      <c r="DX223" s="1321"/>
      <c r="DY223" s="1321"/>
      <c r="DZ223" s="1321"/>
      <c r="EA223" s="1321"/>
      <c r="EB223" s="1321"/>
      <c r="EC223" s="1321"/>
      <c r="ED223" s="1345"/>
      <c r="EE223" s="1345"/>
      <c r="EF223" s="1321"/>
      <c r="EG223" s="1321"/>
      <c r="EH223" s="1321"/>
      <c r="EI223" s="1321"/>
      <c r="EJ223" s="1321"/>
      <c r="EK223" s="1345"/>
      <c r="EL223" s="1345"/>
      <c r="EM223" s="1321"/>
      <c r="EN223" s="1321"/>
      <c r="EO223" s="1321"/>
      <c r="EP223" s="1321"/>
      <c r="EQ223" s="1321"/>
      <c r="ER223" s="1345"/>
      <c r="ES223" s="1345"/>
      <c r="ET223" s="1321"/>
      <c r="EU223" s="1082" t="str">
        <f t="shared" si="73"/>
        <v>Orge</v>
      </c>
      <c r="EV223" s="1282">
        <f t="array" ref="EV223">SUM((IF(QualitéAlimentsPoulainSelleMâle=BONNE,VLOOKUP("Orge",AlimentsRationEcurieChevauxMâlesSelle,5,FALSE),0)+(IF(QualitéAlimentsPoulainSelleFemelle=BONNE,VLOOKUP("Orge",AlimentsRationEcurieChevauxFemellesSelle,5,FALSE),0)+(IF(QualitéAlimentsJeuneEtalon_12_24_moisSelle=BONNE,VLOOKUP("Orge",AlimentsRationEcurieChevauxMâlesSelle,4,FALSE),0)+(IF(QualitéAlimentsJeuneJument_12_24_moisSelle=BONNE,VLOOKUP("Orge",AlimentsRationEcurieChevauxFemellesSelle,4,FALSE),0)+(IF(QualitéAlimentsJeuneEtalon_24_36_moisSelle=BONNE,VLOOKUP("Orge",AlimentsRationEcurieChevauxMâlesSelle,3,FALSE),0)+(IF(QualitéAlimentsJeuneJument_24_36_moisSelle=BONNE,VLOOKUP("Orge",AlimentsRationEcurieChevauxFemellesSelle,3,FALSE),0)+(IF(QualitéAlimentsEtalonSelle=BONNE,VLOOKUP("Orge",AlimentsRationEcurieChevauxMâlesSelle,2,FALSE),0)+(IF(QualitéAlimentsJumentSelle=BONNE,VLOOKUP("Orge",AlimentsRationEcurieChevauxFemellesSelle,2,FALSE),0))))))))))</f>
        <v>0</v>
      </c>
      <c r="EW223" s="1282">
        <f t="array" ref="EW223">SUM((IF(QualitéAlimentsPoulainSelleMâle=MOYENNE,VLOOKUP("Orge",AlimentsRationEcurieChevauxMâlesSelle,5,FALSE),0)+(IF(QualitéAlimentsPoulainSelleFemelle=MOYENNE,VLOOKUP("Orge",AlimentsRationEcurieChevauxFemellesSelle,5,FALSE),0)+(IF(QualitéAlimentsJeuneEtalon_12_24_moisSelle=MOYENNE,VLOOKUP("Orge",AlimentsRationEcurieChevauxMâlesSelle,4,FALSE),0)+(IF(QualitéAlimentsJeuneJument_12_24_moisSelle=MOYENNE,VLOOKUP("Orge",AlimentsRationEcurieChevauxFemellesSelle,4,FALSE),0)+(IF(QualitéAlimentsJeuneEtalon_24_36_moisSelle=MOYENNE,VLOOKUP("Orge",AlimentsRationEcurieChevauxMâlesSelle,3,FALSE),0)+(IF(QualitéAlimentsJeuneJument_24_36_moisSelle=MOYENNE,VLOOKUP("Orge",AlimentsRationEcurieChevauxFemellesSelle,3,FALSE),0)+(IF(QualitéAlimentsEtalonSelle=MOYENNE,VLOOKUP("Orge",AlimentsRationEcurieChevauxMâlesSelle,2,FALSE),0)+(IF(QualitéAlimentsJumentSelle=MOYENNE,VLOOKUP("Orge",AlimentsRationEcurieChevauxFemellesSelle,2,FALSE),0))))))))))</f>
        <v>0</v>
      </c>
      <c r="EX223" s="1282">
        <f t="array" ref="EX223">SUM((IF(QualitéAlimentsPoulainSelleMâle=MAUVAISE,VLOOKUP("Orge",AlimentsRationEcurieChevauxMâlesSelle,5,FALSE),0)+(IF(QualitéAlimentsPoulainSelleFemelle=MAUVAISE,VLOOKUP("Orge",AlimentsRationEcurieChevauxFemellesSelle,5,FALSE),0)+(IF(QualitéAlimentsJeuneEtalon_12_24_moisSelle=MAUVAISE,VLOOKUP("Orge",AlimentsRationEcurieChevauxMâlesSelle,4,FALSE),0)+(IF(QualitéAlimentsJeuneJument_12_24_moisSelle=MAUVAISE,VLOOKUP("Orge",AlimentsRationEcurieChevauxFemellesSelle,4,FALSE),0)+(IF(QualitéAlimentsJeuneEtalon_24_36_moisSelle=MAUVAISE,VLOOKUP("Orge",AlimentsRationEcurieChevauxMâlesSelle,3,FALSE),0)+(IF(QualitéAlimentsJeuneJument_24_36_moisSelle=MAUVAISE,VLOOKUP("Orge",AlimentsRationEcurieChevauxFemellesSelle,3,FALSE),0)+(IF(QualitéAlimentsEtalonSelle=MAUVAISE,VLOOKUP("Orge",AlimentsRationEcurieChevauxMâlesSelle,2,FALSE),0)+(IF(QualitéAlimentsJumentSelle=MAUVAISE,VLOOKUP("Orge",AlimentsRationEcurieChevauxFemellesSelle,2,FALSE),0))))))))))</f>
        <v>0</v>
      </c>
      <c r="EY223" s="1321"/>
      <c r="EZ223" s="1345"/>
      <c r="FA223" s="1345"/>
      <c r="FB223" s="1345"/>
      <c r="FC223" s="1321"/>
      <c r="FD223" s="1083" t="str">
        <f t="shared" si="72"/>
        <v>Ration complète</v>
      </c>
      <c r="FE223" s="1269">
        <f>IF(ChoixRationComplèteEtéChevauxTrait&lt;&gt;OUI,0,IF(QualitéRationComplèteChevauxTrait=BONNE,Ration_complète_chevaux_trait[somme],0))</f>
        <v>0</v>
      </c>
      <c r="FF223" s="1269">
        <f>IF(ChoixRationComplèteEtéChevauxTrait&lt;&gt;OUI,0,IF(QualitéRationComplèteChevauxTrait=MOYENNE,Ration_complète_chevaux_trait[somme],0))</f>
        <v>0</v>
      </c>
      <c r="FG223" s="1269">
        <f>IF(ChoixRationComplèteEtéChevauxTrait&lt;&gt;OUI,0,IF(QualitéRationComplèteChevauxTrait=MAUVAISE,Ration_complète_chevaux_trait[somme],0))</f>
        <v>0</v>
      </c>
      <c r="FH223" s="1321"/>
      <c r="FI223" s="1321"/>
      <c r="FJ223" s="1345"/>
      <c r="FK223" s="1345"/>
      <c r="FL223" s="1345"/>
      <c r="FM223" s="1321"/>
      <c r="FN223" s="1082" t="str">
        <f t="shared" si="71"/>
        <v>Seigle</v>
      </c>
      <c r="FO223" s="1282">
        <f t="array" ref="FO223">SUM((IF(QualitéAlimentsPoulainMâlePoney=BONNE,VLOOKUP("Seigle",AlimentsRationEcuriePoneysMâles,5,FALSE),0)+(IF(QualitéAlimentsPoulainFemellePoney=BONNE,VLOOKUP("Seigle",AlimentsRationEcuriePoneysFemelles,5,FALSE),0)+(IF(QualitéAlimentsJeuneEtalon_12_24_moisPoney=BONNE,VLOOKUP("Seigle",AlimentsRationEcuriePoneysMâles,4,FALSE),0)+(IF(QualitéAlimentsJeuneJument_12_24_moisPoney=BONNE,VLOOKUP("Seigle",AlimentsRationEcuriePoneysFemelles,4,FALSE),0)+(IF(QualitéAlimentsJeuneEtalon_24_36_moisPoney=BONNE,VLOOKUP("Seigle",AlimentsRationEcuriePoneysMâles,3,FALSE),0)+(IF(QualitéAlimentsJeuneJument_24_36_moisPoney=BONNE,VLOOKUP("Seigle",AlimentsRationEcuriePoneysFemelles,3,FALSE),0)+(IF(QualitéAlimentsEtalonPoney=BONNE,VLOOKUP("Seigle",AlimentsRationEcuriePoneysMâles,2,FALSE),0)+(IF(QualitéAlimentsJumentPoney=BONNE,VLOOKUP("Seigle",AlimentsRationEcuriePoneysFemelles,2,FALSE),0))))))))))</f>
        <v>0</v>
      </c>
      <c r="FP223" s="1282">
        <f t="array" ref="FP223">SUM((IF(QualitéAlimentsPoulainMâlePoney=MOYENNE,VLOOKUP("Seigle",AlimentsRationEcuriePoneysMâles,5,FALSE),0)+(IF(QualitéAlimentsPoulainFemellePoney=MOYENNE,VLOOKUP("Seigle",AlimentsRationEcuriePoneysFemelles,5,FALSE),0)+(IF(QualitéAlimentsJeuneEtalon_12_24_moisPoney=MOYENNE,VLOOKUP("Seigle",AlimentsRationEcuriePoneysMâles,4,FALSE),0)+(IF(QualitéAlimentsJeuneJument_12_24_moisPoney=MOYENNE,VLOOKUP("Seigle",AlimentsRationEcuriePoneysFemelles,4,FALSE),0)+(IF(QualitéAlimentsJeuneEtalon_24_36_moisPoney=MOYENNE,VLOOKUP("Seigle",AlimentsRationEcuriePoneysMâles,3,FALSE),0)+(IF(QualitéAlimentsJeuneJument_24_36_moisPoney=MOYENNE,VLOOKUP("Seigle",AlimentsRationEcuriePoneysFemelles,3,FALSE),0)+(IF(QualitéAlimentsEtalonPoney=MOYENNE,VLOOKUP("Seigle",AlimentsRationEcuriePoneysMâles,2,FALSE),0)+(IF(QualitéAlimentsJumentPoney=MOYENNE,VLOOKUP("Seigle",AlimentsRationEcuriePoneysFemelles,2,FALSE),0))))))))))</f>
        <v>0</v>
      </c>
      <c r="FQ223" s="1282">
        <f t="array" ref="FQ223">SUM((IF(QualitéAlimentsPoulainMâlePoney=MAUVAISE,VLOOKUP("Seigle",AlimentsRationEcuriePoneysMâles,5,FALSE),0)+(IF(QualitéAlimentsPoulainFemellePoney=MAUVAISE,VLOOKUP("Seigle",AlimentsRationEcuriePoneysFemelles,5,FALSE),0)+(IF(QualitéAlimentsJeuneEtalon_12_24_moisPoney=MAUVAISE,VLOOKUP("Seigle",AlimentsRationEcuriePoneysMâles,4,FALSE),0)+(IF(QualitéAlimentsJeuneJument_12_24_moisPoney=MAUVAISE,VLOOKUP("Seigle",AlimentsRationEcuriePoneysFemelles,4,FALSE),0)+(IF(QualitéAlimentsJeuneEtalon_24_36_moisPoney=MAUVAISE,VLOOKUP("Seigle",AlimentsRationEcuriePoneysMâles,3,FALSE),0)+(IF(QualitéAlimentsJeuneJument_24_36_moisPoney=MAUVAISE,VLOOKUP("Seigle",AlimentsRationEcuriePoneysFemelles,3,FALSE),0)+(IF(QualitéAlimentsEtalonPoney=MAUVAISE,VLOOKUP("Seigle",AlimentsRationEcuriePoneysMâles,2,FALSE),0)+(IF(QualitéAlimentsJumentPoney=MAUVAISE,VLOOKUP("Seigle",AlimentsRationEcuriePoneysFemelles,2,FALSE),0))))))))))</f>
        <v>0</v>
      </c>
      <c r="FR223" s="1345"/>
      <c r="FS223" s="1345"/>
      <c r="FT223" s="1345"/>
      <c r="FU223" s="1345"/>
      <c r="FV223" s="1345"/>
      <c r="FW223" s="1321"/>
      <c r="FX223" s="1321"/>
      <c r="FY223" s="1321"/>
      <c r="FZ223" s="1321"/>
      <c r="GA223" s="1345"/>
      <c r="GB223" s="1321"/>
      <c r="GC223" s="1321"/>
      <c r="GD223" s="1321"/>
      <c r="GE223" s="1321"/>
      <c r="GF223" s="1321"/>
      <c r="GG223" s="1321" t="s">
        <v>1349</v>
      </c>
      <c r="GH223" s="1321" t="s">
        <v>1349</v>
      </c>
      <c r="GI223" s="1321" t="s">
        <v>1349</v>
      </c>
      <c r="GJ223" s="1321" t="s">
        <v>1349</v>
      </c>
      <c r="GK223" s="1321" t="s">
        <v>1349</v>
      </c>
      <c r="GL223" s="1321" t="s">
        <v>1349</v>
      </c>
      <c r="GM223" s="1321" t="s">
        <v>1349</v>
      </c>
      <c r="GN223" s="1321" t="s">
        <v>1349</v>
      </c>
      <c r="GO223" s="1321" t="s">
        <v>1349</v>
      </c>
      <c r="GP223" s="1321" t="s">
        <v>1349</v>
      </c>
      <c r="GQ223" s="1321" t="s">
        <v>1349</v>
      </c>
      <c r="GR223" s="1321" t="s">
        <v>1349</v>
      </c>
      <c r="GS223" s="1321" t="s">
        <v>1349</v>
      </c>
      <c r="GT223" s="1321" t="s">
        <v>1349</v>
      </c>
      <c r="GU223" s="1321" t="s">
        <v>1349</v>
      </c>
      <c r="GV223" s="1321" t="s">
        <v>1349</v>
      </c>
      <c r="GW223" s="1321"/>
      <c r="GX223" s="1321"/>
      <c r="GY223" s="1321"/>
      <c r="GZ223" s="1321"/>
      <c r="HA223" s="1321"/>
      <c r="HB223" s="1321"/>
      <c r="HC223" s="1321"/>
      <c r="HD223" s="1321"/>
      <c r="HE223" s="1321"/>
      <c r="HF223" s="1321"/>
      <c r="HG223" s="1321"/>
      <c r="HH223" s="1321"/>
      <c r="HI223" s="1321"/>
      <c r="HJ223" s="1321"/>
      <c r="HK223" s="1321"/>
      <c r="HL223" s="1321"/>
      <c r="HM223" s="1321"/>
      <c r="HN223" s="1321"/>
      <c r="HO223" s="1321"/>
      <c r="HP223" s="1321"/>
      <c r="HQ223" s="1321"/>
      <c r="HR223" s="1321"/>
      <c r="HS223" s="1321"/>
      <c r="HT223" s="1321"/>
      <c r="HU223" s="1321"/>
      <c r="HV223" s="1321"/>
      <c r="HW223" s="1321"/>
      <c r="HX223" s="1321"/>
      <c r="HY223" s="1321"/>
      <c r="HZ223" s="1321"/>
      <c r="IA223" s="1321"/>
      <c r="IB223" s="1321"/>
      <c r="IC223" s="1321"/>
      <c r="ID223" s="1321"/>
      <c r="IE223" s="1321"/>
      <c r="IF223" s="1321"/>
      <c r="IG223" s="1321"/>
      <c r="IH223" s="1321"/>
      <c r="II223" s="1321"/>
      <c r="IJ223" s="1321"/>
      <c r="IK223" s="1321"/>
      <c r="IL223" s="1321"/>
      <c r="IM223" s="1321"/>
      <c r="IN223" s="1368"/>
    </row>
    <row r="224" spans="1:248" ht="12.75" customHeight="1" x14ac:dyDescent="0.2">
      <c r="A224" s="1319"/>
      <c r="B224" s="1321"/>
      <c r="C224" s="1321"/>
      <c r="D224" s="1321"/>
      <c r="E224" s="1321"/>
      <c r="F224" s="1321"/>
      <c r="G224" s="1321"/>
      <c r="H224" s="1321"/>
      <c r="I224" s="1321"/>
      <c r="J224" s="1321"/>
      <c r="K224" s="1321"/>
      <c r="L224" s="1321"/>
      <c r="M224" s="1321"/>
      <c r="N224" s="1321"/>
      <c r="O224" s="1321"/>
      <c r="P224" s="1321"/>
      <c r="Q224" s="1321"/>
      <c r="R224" s="1321"/>
      <c r="S224" s="1321"/>
      <c r="T224" s="1321"/>
      <c r="U224" s="1321"/>
      <c r="V224" s="1321"/>
      <c r="W224" s="1321"/>
      <c r="X224" s="1321"/>
      <c r="Y224" s="1321"/>
      <c r="Z224" s="1321"/>
      <c r="AA224" s="1321"/>
      <c r="AB224" s="1321"/>
      <c r="AC224" s="1321"/>
      <c r="AD224" s="1321"/>
      <c r="AE224" s="1321"/>
      <c r="AF224" s="1321"/>
      <c r="AG224" s="1321"/>
      <c r="AH224" s="1321"/>
      <c r="AI224" s="1321"/>
      <c r="AJ224" s="1321"/>
      <c r="AK224" s="1321"/>
      <c r="AL224" s="1321"/>
      <c r="AM224" s="1321"/>
      <c r="AN224" s="1321"/>
      <c r="AO224" s="1321"/>
      <c r="AP224" s="1321"/>
      <c r="AQ224" s="1321"/>
      <c r="AR224" s="1321"/>
      <c r="AS224" s="1321"/>
      <c r="AT224" s="1321"/>
      <c r="AU224" s="1321"/>
      <c r="AV224" s="1321"/>
      <c r="AW224" s="1321"/>
      <c r="AX224" s="1321"/>
      <c r="AY224" s="1321"/>
      <c r="AZ224" s="1321"/>
      <c r="BA224" s="1321"/>
      <c r="BB224" s="1076" t="s">
        <v>1273</v>
      </c>
      <c r="BC224" s="1267">
        <f t="array" ref="BC224">IF(Ration_complète_bovins[somme]&gt;0,0,IFERROR(IF(OR(AND(INDEX(Règles_bovins[Specificite],MATCH(ChoixRationBovins&amp;$BB224,Règles_bovins[Ration]&amp;Règles_bovins[Aliment],0))="s1",IF($BB224=Spécificité1Bovins,1)),
AND(INDEX(Règles_bovins[Specificite],MATCH(ChoixRationBovins&amp;$BB224,Règles_bovins[Ration]&amp;Règles_bovins[Aliment],0))="s2",IF($BB224=Spécificité2Bovins,1)),
INDEX(Règles_bovins[Specificite],MATCH(ChoixRationBovins&amp;$BB224,Règles_bovins[Ration]&amp;Règles_bovins[Aliment],0))="c"),
INDEX(Règles_bovins[Valeur 36 et plus],MATCH(ChoixRationBovins&amp;$BB224,Règles_bovins[Ration]&amp;Règles_bovins[Aliment],0)),0),0)*IF(ChoixBovinsPréHiver=OUI,TotalTaureauxRacesLaitières,TotalTaureaux*SUM(NbreJoursNourrirBovins)))</f>
        <v>0</v>
      </c>
      <c r="BD224" s="1267">
        <f t="array" ref="BD224">IF(Ration_complète_bovins[somme]&gt;0,0,IFERROR(IF(OR(AND(INDEX(Règles_bovins[Specificite],MATCH(ChoixRationBovins&amp;$BB224,Règles_bovins[Ration]&amp;Règles_bovins[Aliment],0))="s1",IF($BB224=Spécificité1Bovins,1)),
AND(INDEX(Règles_bovins[Specificite],MATCH(ChoixRationBovins&amp;$BB224,Règles_bovins[Ration]&amp;Règles_bovins[Aliment],0))="s2",IF($BB224=Spécificité2Bovins,1)),
INDEX(Règles_bovins[Specificite],MATCH(ChoixRationBovins&amp;$BB224,Règles_bovins[Ration]&amp;Règles_bovins[Aliment],0))="c"),
INDEX(Règles_bovins[Valeur 24-36],MATCH(ChoixRationBovins&amp;$BB224,Règles_bovins[Ration]&amp;Règles_bovins[Aliment],0)),0),0)*IF(ChoixBovinsPréHiver=OUI,TotalTaurillon_24_36_RacesLaitières,TotalBovinsMâles_24_36mois*SUM(NbreJoursNourrirBovins)))</f>
        <v>0</v>
      </c>
      <c r="BE224" s="1267">
        <f t="array" ref="BE224">IF(Ration_complète_bovins[somme]&gt;0,0,IFERROR(IF(OR(AND(INDEX(Règles_bovins[Specificite],MATCH(ChoixRationBovins&amp;$BB224,Règles_bovins[Ration]&amp;Règles_bovins[Aliment],0))="s1",IF($BB224=Spécificité1Bovins,1)),
AND(INDEX(Règles_bovins[Specificite],MATCH(ChoixRationBovins&amp;$BB224,Règles_bovins[Ration]&amp;Règles_bovins[Aliment],0))="s2",IF($BB224=Spécificité2Bovins,1)),
INDEX(Règles_bovins[Specificite],MATCH(ChoixRationBovins&amp;$BB224,Règles_bovins[Ration]&amp;Règles_bovins[Aliment],0))="c"),
INDEX(Règles_bovins[Valeur 18-24],MATCH(ChoixRationBovins&amp;$BB224,Règles_bovins[Ration]&amp;Règles_bovins[Aliment],0)),0),0)*IF(ChoixBovinsPréHiver=OUI,TotalTaurillon_18_24_RacesLaitières,TotalBovinsMâles_18_24mois*SUM(NbreJoursNourrirBovins)))</f>
        <v>0</v>
      </c>
      <c r="BF224" s="1267">
        <f t="array" ref="BF224">IF(Ration_complète_bovins[somme]&gt;0,0,IFERROR(IF(OR(AND(INDEX(Règles_bovins[Specificite],MATCH(ChoixRationBovins&amp;$BB224,Règles_bovins[Ration]&amp;Règles_bovins[Aliment],0))="s1",IF($BB224=Spécificité1Bovins,1)),
AND(INDEX(Règles_bovins[Specificite],MATCH(ChoixRationBovins&amp;$BB224,Règles_bovins[Ration]&amp;Règles_bovins[Aliment],0))="s2",IF($BB224=Spécificité2Bovins,1)),
INDEX(Règles_bovins[Specificite],MATCH(ChoixRationBovins&amp;$BB224,Règles_bovins[Ration]&amp;Règles_bovins[Aliment],0))="c"),
INDEX(Règles_bovins[Valeur 12-18],MATCH(ChoixRationBovins&amp;$BB224,Règles_bovins[Ration]&amp;Règles_bovins[Aliment],0)),0),0)*IF(ChoixBovinsPréHiver=OUI,animaux!D47,TotalBovinsMâles_12_18mois*SUM(NbreJoursNourrirBovins)))</f>
        <v>0</v>
      </c>
      <c r="BG224" s="1267">
        <f t="array" ref="BG224">IF(Ration_complète_bovins[somme]&gt;0,0,IFERROR(IF(OR(AND(INDEX(Règles_bovins[Specificite],MATCH(ChoixRationBovins&amp;$BB224,Règles_bovins[Ration]&amp;Règles_bovins[Aliment],0))="s1",IF($BB224=Spécificité1Bovins,1)),
AND(INDEX(Règles_bovins[Specificite],MATCH(ChoixRationBovins&amp;$BB224,Règles_bovins[Ration]&amp;Règles_bovins[Aliment],0))="s2",IF($BB224=Spécificité2Bovins,1)),
INDEX(Règles_bovins[Specificite],MATCH(ChoixRationBovins&amp;$BB224,Règles_bovins[Ration]&amp;Règles_bovins[Aliment],0))="c"),
INDEX(Règles_bovins[Valeur 6-12],MATCH(ChoixRationBovins&amp;$BB224,Règles_bovins[Ration]&amp;Règles_bovins[Aliment],0)),0),0)*IF(ChoixBovinsPréHiver=OUI,TotalVeauMâle_6_12_RacesLaitières,TotalBovinsMâles_6_12mois*SUM(NbreJoursNourrirBovins)))</f>
        <v>0</v>
      </c>
      <c r="BH224" s="1267">
        <f t="array" ref="BH224">IF(Ration_complète_bovins[somme]&gt;0,0,IFERROR(IF(OR(AND(INDEX(Règles_bovins[Specificite],MATCH(ChoixRationBovins&amp;$BB224,Règles_bovins[Ration]&amp;Règles_bovins[Aliment],0))="s1",IF($BB224=Spécificité1Bovins,1)),
AND(INDEX(Règles_bovins[Specificite],MATCH(ChoixRationBovins&amp;$BB224,Règles_bovins[Ration]&amp;Règles_bovins[Aliment],0))="s2",IF($BB224=Spécificité2Bovins,1)),
INDEX(Règles_bovins[Specificite],MATCH(ChoixRationBovins&amp;$BB224,Règles_bovins[Ration]&amp;Règles_bovins[Aliment],0))="c"),
INDEX(Règles_bovins[Valeur 3-6],MATCH(ChoixRationBovins&amp;$BB224,Règles_bovins[Ration]&amp;Règles_bovins[Aliment],0)),0),0)*IF(ChoixBovinsPréHiver=OUI,TotalVeauMâle_3_6_RacesLaitières,TotalBovinsMâles_3_6mois*SUM(NbreJoursNourrirBovins)))</f>
        <v>0</v>
      </c>
      <c r="BI224" s="1267">
        <f t="array" ref="BI224">IF(Ration_complète_bovins[somme]&gt;0,0,IFERROR(IF(OR(AND(INDEX(Règles_bovins[Specificite],MATCH(ChoixRationBovins&amp;$BB224,Règles_bovins[Ration]&amp;Règles_bovins[Aliment],0))="s1",IF($BB224=Spécificité1Bovins,1)),
AND(INDEX(Règles_bovins[Specificite],MATCH(ChoixRationBovins&amp;$BB224,Règles_bovins[Ration]&amp;Règles_bovins[Aliment],0))="s2",IF($BB224=Spécificité2Bovins,1)),
INDEX(Règles_bovins[Specificite],MATCH(ChoixRationBovins&amp;$BB224,Règles_bovins[Ration]&amp;Règles_bovins[Aliment],0))="c"),
INDEX(Règles_bovins[Valeur 0-3],MATCH(ChoixRationBovins&amp;$BB224,Règles_bovins[Ration]&amp;Règles_bovins[Aliment],0)),0),0)*IF(ChoixBovinsPréHiver=OUI,TotalVeauMâle_0_3_RacesLaitières,TotalBovinsMâles_0_3mois*SUM(NbreJoursNourrirBovins)))</f>
        <v>0</v>
      </c>
      <c r="BJ224" s="1268">
        <f t="shared" si="69"/>
        <v>0</v>
      </c>
      <c r="BK224" s="1321"/>
      <c r="BL224" s="1345"/>
      <c r="BM224" s="1346"/>
      <c r="BN224" s="1321"/>
      <c r="BO224" s="1321"/>
      <c r="BP224" s="1321"/>
      <c r="BQ224" s="1321"/>
      <c r="BR224" s="1321"/>
      <c r="BS224" s="1321"/>
      <c r="BT224" s="1321"/>
      <c r="BU224" s="1321"/>
      <c r="BV224" s="1345"/>
      <c r="BW224" s="1345"/>
      <c r="BX224" s="1076" t="str">
        <f t="shared" si="70"/>
        <v>Sorgho ensilé</v>
      </c>
      <c r="BY224" s="1267">
        <f t="array" ref="BY224">SUM((IF(QualitéAlimentsChevreau_0_3_mois=BONNE,VLOOKUP("Sorgho ensilé",AlimentsRationCaprinsMâles,5,FALSE),0)+(IF(QualitéAlimentsChevrette_0_3_mois=BONNE,VLOOKUP("Sorgho ensilé",AlimentsRationCaprinsFemelles,5,FALSE),0)+(IF(QualitéAlimentsChevreau_3_6_mois=BONNE,VLOOKUP("Sorgho ensilé",AlimentsRationCaprinsMâles,4,FALSE),0)+(IF(QualitéAlimentsChevrette_3_6_mois=BONNE,VLOOKUP("Sorgho ensilé",AlimentsRationCaprinsFemelles,4,FALSE),0)+(IF(QualitéAlimentsJeuneBouc=BONNE,VLOOKUP("Sorgho ensilé",AlimentsRationCaprinsMâles,3,FALSE),0)+(IF(QualitéAlimentsJeuneChèvre=BONNE,VLOOKUP("Sorgho ensilé",AlimentsRationCaprinsFemelles,3,FALSE),0)+(IF(QualitéAlimentsBouc=BONNE,VLOOKUP("Sorgho ensilé",AlimentsRationCaprinsMâles,2,FALSE),0)+(IF(QualitéAlimentsChèvre=BONNE,VLOOKUP("Sorgho ensilé",AlimentsRationCaprinsFemelles,2,FALSE),0))))))))))</f>
        <v>0</v>
      </c>
      <c r="BZ224" s="1267">
        <f t="array" ref="BZ224">SUM((IF(QualitéAlimentsChevreau_0_3_mois=MOYENNE,VLOOKUP("Sorgho ensilé",AlimentsRationCaprinsMâles,5,FALSE),0)+(IF(QualitéAlimentsChevrette_0_3_mois=MOYENNE,VLOOKUP("Sorgho ensilé",AlimentsRationCaprinsFemelles,5,FALSE),0)+(IF(QualitéAlimentsChevreau_3_6_mois=MOYENNE,VLOOKUP("Sorgho ensilé",AlimentsRationCaprinsMâles,4,FALSE),0)+(IF(QualitéAlimentsChevrette_3_6_mois=MOYENNE,VLOOKUP("Sorgho ensilé",AlimentsRationCaprinsFemelles,4,FALSE),0)+(IF(QualitéAlimentsJeuneBouc=MOYENNE,VLOOKUP("Sorgho ensilé",AlimentsRationCaprinsMâles,3,FALSE),0)+(IF(QualitéAlimentsJeuneChèvre=MOYENNE,VLOOKUP("Sorgho ensilé",AlimentsRationCaprinsFemelles,3,FALSE),0)+(IF(QualitéAlimentsBouc=MOYENNE,VLOOKUP("Sorgho ensilé",AlimentsRationCaprinsMâles,2,FALSE),0)+(IF(QualitéAlimentsChèvre=MOYENNE,VLOOKUP("Sorgho ensilé",AlimentsRationCaprinsFemelles,2,FALSE),0))))))))))</f>
        <v>0</v>
      </c>
      <c r="CA224" s="1267">
        <f t="array" ref="CA224">SUM((IF(QualitéAlimentsChevreau_0_3_mois=MAUVAISE,VLOOKUP("Sorgho ensilé",AlimentsRationCaprinsMâles,5,FALSE),0)+(IF(QualitéAlimentsChevrette_0_3_mois=MAUVAISE,VLOOKUP("Sorgho ensilé",AlimentsRationCaprinsFemelles,5,FALSE),0)+(IF(QualitéAlimentsChevreau_3_6_mois=MAUVAISE,VLOOKUP("Sorgho ensilé",AlimentsRationCaprinsMâles,4,FALSE),0)+(IF(QualitéAlimentsChevrette_3_6_mois=MAUVAISE,VLOOKUP("Sorgho ensilé",AlimentsRationCaprinsFemelles,4,FALSE),0)+(IF(QualitéAlimentsJeuneBouc=MAUVAISE,VLOOKUP("Sorgho ensilé",AlimentsRationCaprinsMâles,3,FALSE),0)+(IF(QualitéAlimentsJeuneChèvre=MAUVAISE,VLOOKUP("Sorgho ensilé",AlimentsRationCaprinsFemelles,3,FALSE),0)+(IF(QualitéAlimentsBouc=MAUVAISE,VLOOKUP("Sorgho ensilé",AlimentsRationCaprinsMâles,2,FALSE),0)+(IF(QualitéAlimentsChèvre=MAUVAISE,VLOOKUP("Sorgho ensilé",AlimentsRationCaprinsFemelles,2,FALSE),0))))))))))</f>
        <v>0</v>
      </c>
      <c r="CB224" s="1321"/>
      <c r="CC224" s="1321"/>
      <c r="CD224" s="1345"/>
      <c r="CE224" s="1345"/>
      <c r="CF224" s="1345"/>
      <c r="CG224" s="1345"/>
      <c r="CH224" s="1345"/>
      <c r="CI224" s="1321"/>
      <c r="CJ224" s="1321"/>
      <c r="CK224" s="1321"/>
      <c r="CL224" s="1321"/>
      <c r="CM224" s="1321"/>
      <c r="CN224" s="1321"/>
      <c r="CO224" s="1321"/>
      <c r="CP224" s="1321"/>
      <c r="CQ224" s="1321"/>
      <c r="CR224" s="1321"/>
      <c r="CS224" s="1321"/>
      <c r="CT224" s="1321"/>
      <c r="CU224" s="1321"/>
      <c r="CV224" s="1321"/>
      <c r="CW224" s="1321"/>
      <c r="CX224" s="1321"/>
      <c r="CY224" s="1321"/>
      <c r="CZ224" s="1321"/>
      <c r="DA224" s="1321"/>
      <c r="DB224" s="1321"/>
      <c r="DC224" s="1321"/>
      <c r="DD224" s="1321"/>
      <c r="DE224" s="1321"/>
      <c r="DF224" s="1321"/>
      <c r="DG224" s="1321"/>
      <c r="DH224" s="1321"/>
      <c r="DI224" s="1321"/>
      <c r="DJ224" s="1321"/>
      <c r="DK224" s="1321"/>
      <c r="DL224" s="1321"/>
      <c r="DM224" s="1321"/>
      <c r="DN224" s="1076" t="str">
        <f t="shared" si="68"/>
        <v>Triticale</v>
      </c>
      <c r="DO224" s="1267">
        <f t="array" ref="DO224">IF(ChoixRationComplèteOvins=OUI,0,IFERROR(IF(OR(AND(INDEX(Règles_ovins[Specificite],MATCH(ChoixRationOvins&amp;$DN224,Règles_ovins[Ration]&amp;Règles_ovins[Aliment],0))="s1",IF($DN224=Spécificité1Ovins,1)),
AND(INDEX(Règles_ovins[Specificite],MATCH(ChoixRationOvins&amp;$DN224,Règles_ovins[Ration]&amp;Règles_ovins[Aliment],0))="s2",IF($DN224=Spécificité2Ovins,1)),
INDEX(Règles_ovins[Specificite],MATCH(ChoixRationOvins&amp;$DN224,Règles_ovins[Ration]&amp;Règles_ovins[Aliment],0))="c"),
INDEX(Règles_ovins[Valeur 12 et plus],MATCH(ChoixRationOvins&amp;$DN224,Règles_ovins[Ration]&amp;Règles_ovins[Aliment],0)),0),0)*IF(ChoixOvinsPréHiver=OUI,SUM(TotalOvinsAdultesRacesLaitières)*NbreJoursNourrirOvins,TotalBrebis*SUM(NbreJoursNourrirOvins)))</f>
        <v>0</v>
      </c>
      <c r="DP224" s="1267">
        <f t="array" ref="DP224">IF(ChoixRationComplèteOvins=OUI,0,IFERROR(IF(OR(AND(INDEX(Règles_ovins[Specificite],MATCH(ChoixRationOvins&amp;$DN224,Règles_ovins[Ration]&amp;Règles_ovins[Aliment],0))="s1",IF($DN224=Spécificité1Ovins,1)),
AND(INDEX(Règles_ovins[Specificite],MATCH(ChoixRationOvins&amp;$DN224,Règles_ovins[Ration]&amp;Règles_ovins[Aliment],0))="s2",IF($DN224=Spécificité2Ovins,1)),
INDEX(Règles_ovins[Specificite],MATCH(ChoixRationOvins&amp;$DN224,Règles_ovins[Ration]&amp;Règles_ovins[Aliment],0))="c"),
INDEX(Règles_ovins[Valeur 6-12],MATCH(ChoixRationOvins&amp;$DN224,Règles_ovins[Ration]&amp;Règles_ovins[Aliment],0)),0),0)*IF(ChoixOvinsPréHiver=OUI,SUM(TotalJeunesOvinsRacesLaitières)*NbreJoursNourrirOvins,TotalJeune_brebis_6_12_mois*SUM(NbreJoursNourrirOvins)))</f>
        <v>0</v>
      </c>
      <c r="DQ224" s="1267">
        <f t="array" ref="DQ224">IF(ChoixRationComplèteOvins=OUI,0,IFERROR(IF(OR(AND(INDEX(Règles_ovins[Specificite],MATCH(ChoixRationOvins&amp;$DN224,Règles_ovins[Ration]&amp;Règles_ovins[Aliment],0))="s1",IF($DN224=Spécificité1Ovins,1)),
AND(INDEX(Règles_ovins[Specificite],MATCH(ChoixRationOvins&amp;$DN224,Règles_ovins[Ration]&amp;Règles_ovins[Aliment],0))="s2",IF($DN224=Spécificité2Ovins,1)),
INDEX(Règles_ovins[Specificite],MATCH(ChoixRationOvins&amp;$DN224,Règles_ovins[Ration]&amp;Règles_ovins[Aliment],0))="c"),
INDEX(Règles_ovins[Valeur 3-6],MATCH(ChoixRationOvins&amp;$DN224,Règles_ovins[Ration]&amp;Règles_ovins[Aliment],0)),0),0)*IF(ChoixOvinsPréHiver=OUI,SUM(TotalOvins_3_6moisRacesLaitières)*NbreJoursNourrirOvins,TotalAgnelle_3_6_mois*SUM(NbreJoursNourrirOvins)))</f>
        <v>0</v>
      </c>
      <c r="DR224" s="1267">
        <f t="array" ref="DR224">IF(ChoixRationComplèteOvins=OUI,0,IFERROR(IF(OR(AND(INDEX(Règles_ovins[Specificite],MATCH(ChoixRationOvins&amp;$DN224,Règles_ovins[Ration]&amp;Règles_ovins[Aliment],0))="s1",IF($DN224=Spécificité1Ovins,1)),
AND(INDEX(Règles_ovins[Specificite],MATCH(ChoixRationOvins&amp;$DN224,Règles_ovins[Ration]&amp;Règles_ovins[Aliment],0))="s2",IF($DN224=Spécificité2Ovins,1)),
INDEX(Règles_ovins[Specificite],MATCH(ChoixRationOvins&amp;$DN224,Règles_ovins[Ration]&amp;Règles_ovins[Aliment],0))="c"),
INDEX(Règles_ovins[Valeur 0-3],MATCH(ChoixRationOvins&amp;$DN224,Règles_ovins[Ration]&amp;Règles_ovins[Aliment],0)),0),0)*IF(ChoixOvinsPréHiver=OUI,SUM(TotalOvins_3_6moisRacesLaitières)*NbreJoursNourrirOvins,TotalAgnelle_0_3_mois*SUM(NbreJoursNourrirOvins)))</f>
        <v>0</v>
      </c>
      <c r="DS224" s="1279">
        <f t="shared" si="67"/>
        <v>0</v>
      </c>
      <c r="DT224" s="1346"/>
      <c r="DU224" s="1346"/>
      <c r="DV224" s="1321"/>
      <c r="DW224" s="1321"/>
      <c r="DX224" s="1321"/>
      <c r="DY224" s="1321"/>
      <c r="DZ224" s="1321"/>
      <c r="EA224" s="1321"/>
      <c r="EB224" s="1321"/>
      <c r="EC224" s="1321"/>
      <c r="ED224" s="1345"/>
      <c r="EE224" s="1345"/>
      <c r="EF224" s="1321"/>
      <c r="EG224" s="1321"/>
      <c r="EH224" s="1321"/>
      <c r="EI224" s="1321"/>
      <c r="EJ224" s="1321"/>
      <c r="EK224" s="1345"/>
      <c r="EL224" s="1345"/>
      <c r="EM224" s="1321"/>
      <c r="EN224" s="1321"/>
      <c r="EO224" s="1321"/>
      <c r="EP224" s="1321"/>
      <c r="EQ224" s="1321"/>
      <c r="ER224" s="1345"/>
      <c r="ES224" s="1345"/>
      <c r="ET224" s="1321"/>
      <c r="EU224" s="1083" t="str">
        <f t="shared" si="73"/>
        <v>Paille</v>
      </c>
      <c r="EV224" s="1283">
        <f t="array" ref="EV224">SUM((IF(QualitéAlimentsPoulainSelleMâle=BONNE,VLOOKUP("Paille",AlimentsRationEcurieChevauxMâlesSelle,5,FALSE),0)+(IF(QualitéAlimentsPoulainSelleFemelle=BONNE,VLOOKUP("Paille",AlimentsRationEcurieChevauxFemellesSelle,5,FALSE),0)+(IF(QualitéAlimentsJeuneEtalon_12_24_moisSelle=BONNE,VLOOKUP("Paille",AlimentsRationEcurieChevauxMâlesSelle,4,FALSE),0)+(IF(QualitéAlimentsJeuneJument_12_24_moisSelle=BONNE,VLOOKUP("Paille",AlimentsRationEcurieChevauxFemellesSelle,4,FALSE),0)+(IF(QualitéAlimentsJeuneEtalon_24_36_moisSelle=BONNE,VLOOKUP("Paille",AlimentsRationEcurieChevauxMâlesSelle,3,FALSE),0)+(IF(QualitéAlimentsJeuneJument_24_36_moisSelle=BONNE,VLOOKUP("Paille",AlimentsRationEcurieChevauxFemellesSelle,3,FALSE),0)+(IF(QualitéAlimentsEtalonSelle=BONNE,VLOOKUP("Paille",AlimentsRationEcurieChevauxMâlesSelle,2,FALSE),0)+(IF(QualitéAlimentsJumentSelle=BONNE,VLOOKUP("Paille",AlimentsRationEcurieChevauxFemellesSelle,2,FALSE),0))))))))))</f>
        <v>0</v>
      </c>
      <c r="EW224" s="1283">
        <f t="array" ref="EW224">SUM((IF(QualitéAlimentsPoulainSelleMâle=MOYENNE,VLOOKUP("Paille",AlimentsRationEcurieChevauxMâlesSelle,5,FALSE),0)+(IF(QualitéAlimentsPoulainSelleFemelle=MOYENNE,VLOOKUP("Paille",AlimentsRationEcurieChevauxFemellesSelle,5,FALSE),0)+(IF(QualitéAlimentsJeuneEtalon_12_24_moisSelle=MOYENNE,VLOOKUP("Paille",AlimentsRationEcurieChevauxMâlesSelle,4,FALSE),0)+(IF(QualitéAlimentsJeuneJument_12_24_moisSelle=MOYENNE,VLOOKUP("Paille",AlimentsRationEcurieChevauxFemellesSelle,4,FALSE),0)+(IF(QualitéAlimentsJeuneEtalon_24_36_moisSelle=MOYENNE,VLOOKUP("Paille",AlimentsRationEcurieChevauxMâlesSelle,3,FALSE),0)+(IF(QualitéAlimentsJeuneJument_24_36_moisSelle=MOYENNE,VLOOKUP("Paille",AlimentsRationEcurieChevauxFemellesSelle,3,FALSE),0)+(IF(QualitéAlimentsEtalonSelle=MOYENNE,VLOOKUP("Paille",AlimentsRationEcurieChevauxMâlesSelle,2,FALSE),0)+(IF(QualitéAlimentsJumentSelle=MOYENNE,VLOOKUP("Paille",AlimentsRationEcurieChevauxFemellesSelle,2,FALSE),0))))))))))</f>
        <v>0</v>
      </c>
      <c r="EX224" s="1283">
        <f t="array" ref="EX224">SUM((IF(QualitéAlimentsPoulainSelleMâle=MAUVAISE,VLOOKUP("Paille",AlimentsRationEcurieChevauxMâlesSelle,5,FALSE),0)+(IF(QualitéAlimentsPoulainSelleFemelle=MAUVAISE,VLOOKUP("Paille",AlimentsRationEcurieChevauxFemellesSelle,5,FALSE),0)+(IF(QualitéAlimentsJeuneEtalon_12_24_moisSelle=MAUVAISE,VLOOKUP("Paille",AlimentsRationEcurieChevauxMâlesSelle,4,FALSE),0)+(IF(QualitéAlimentsJeuneJument_12_24_moisSelle=MAUVAISE,VLOOKUP("Paille",AlimentsRationEcurieChevauxFemellesSelle,4,FALSE),0)+(IF(QualitéAlimentsJeuneEtalon_24_36_moisSelle=MAUVAISE,VLOOKUP("Paille",AlimentsRationEcurieChevauxMâlesSelle,3,FALSE),0)+(IF(QualitéAlimentsJeuneJument_24_36_moisSelle=MAUVAISE,VLOOKUP("Paille",AlimentsRationEcurieChevauxFemellesSelle,3,FALSE),0)+(IF(QualitéAlimentsEtalonSelle=MAUVAISE,VLOOKUP("Paille",AlimentsRationEcurieChevauxMâlesSelle,2,FALSE),0)+(IF(QualitéAlimentsJumentSelle=MAUVAISE,VLOOKUP("Paille",AlimentsRationEcurieChevauxFemellesSelle,2,FALSE),0)+SUM(LitièreChevauxSelles[[#Totals],[hiver dedans]:[hiver dehors]]))))))))))</f>
        <v>0</v>
      </c>
      <c r="EY224" s="1321"/>
      <c r="EZ224" s="1345"/>
      <c r="FA224" s="1345"/>
      <c r="FB224" s="1345"/>
      <c r="FC224" s="1321"/>
      <c r="FD224" s="1082" t="str">
        <f t="shared" si="72"/>
        <v>Seigle</v>
      </c>
      <c r="FE224" s="1282">
        <f t="array" ref="FE224">SUM((IF(QualitéAlimentsPoulainMâleTrait=BONNE,VLOOKUP("Seigle",AlimentsRationEcurieChevauxMâlesTrait,5,FALSE),0)+(IF(QualitéAlimentsPoulainFemelleTrait=BONNE,VLOOKUP("Seigle",AlimentsRationEcurieChevauxFemellesTrait,5,FALSE),0)+(IF(QualitéAlimentsJeuneEtalon_12_24_moisTrait=BONNE,VLOOKUP("Seigle",AlimentsRationEcurieChevauxMâlesTrait,4,FALSE),0)+(IF(QualitéAlimentsJeuneJument_12_24_moisTrait=BONNE,VLOOKUP("Seigle",AlimentsRationEcurieChevauxFemellesTrait,4,FALSE),0)+(IF(QualitéAlimentsJeuneEtalon_24_36_moisTrait=BONNE,VLOOKUP("Seigle",AlimentsRationEcurieChevauxMâlesTrait,3,FALSE),0)+(IF(QualitéAlimentsJeuneJument_24_36_moisTrait=BONNE,VLOOKUP("Seigle",AlimentsRationEcurieChevauxFemellesTrait,3,FALSE),0)+(IF(QualitéAlimentsEtalonTrait=BONNE,VLOOKUP("Seigle",AlimentsRationEcurieChevauxMâlesTrait,2,FALSE),0)+(IF(QualitéAlimentsJumentTrait=BONNE,VLOOKUP("Seigle",AlimentsRationEcurieChevauxFemellesTrait,2,FALSE),0))))))))))</f>
        <v>0</v>
      </c>
      <c r="FF224" s="1282">
        <f t="array" ref="FF224">SUM((IF(QualitéAlimentsPoulainMâleTrait=MOYENNE,VLOOKUP("Seigle",AlimentsRationEcurieChevauxMâlesTrait,5,FALSE),0)+(IF(QualitéAlimentsPoulainFemelleTrait=MOYENNE,VLOOKUP("Seigle",AlimentsRationEcurieChevauxFemellesTrait,5,FALSE),0)+(IF(QualitéAlimentsJeuneEtalon_12_24_moisTrait=MOYENNE,VLOOKUP("Seigle",AlimentsRationEcurieChevauxMâlesTrait,4,FALSE),0)+(IF(QualitéAlimentsJeuneJument_12_24_moisTrait=MOYENNE,VLOOKUP("Seigle",AlimentsRationEcurieChevauxFemellesTrait,4,FALSE),0)+(IF(QualitéAlimentsJeuneEtalon_24_36_moisTrait=MOYENNE,VLOOKUP("Seigle",AlimentsRationEcurieChevauxMâlesTrait,3,FALSE),0)+(IF(QualitéAlimentsJeuneJument_24_36_moisTrait=MOYENNE,VLOOKUP("Seigle",AlimentsRationEcurieChevauxFemellesTrait,3,FALSE),0)+(IF(QualitéAlimentsEtalonTrait=MOYENNE,VLOOKUP("Seigle",AlimentsRationEcurieChevauxMâlesTrait,2,FALSE),0)+(IF(QualitéAlimentsJumentTrait=MOYENNE,VLOOKUP("Seigle",AlimentsRationEcurieChevauxFemellesTrait,2,FALSE),0))))))))))</f>
        <v>0</v>
      </c>
      <c r="FG224" s="1282">
        <f t="array" ref="FG224">SUM((IF(QualitéAlimentsPoulainMâleTrait=MAUVAISE,VLOOKUP("Seigle",AlimentsRationEcurieChevauxMâlesTrait,5,FALSE),0)+(IF(QualitéAlimentsPoulainFemelleTrait=MAUVAISE,VLOOKUP("Seigle",AlimentsRationEcurieChevauxFemellesTrait,5,FALSE),0)+(IF(QualitéAlimentsJeuneEtalon_12_24_moisTrait=MAUVAISE,VLOOKUP("Seigle",AlimentsRationEcurieChevauxMâlesTrait,4,FALSE),0)+(IF(QualitéAlimentsJeuneJument_12_24_moisTrait=MAUVAISE,VLOOKUP("Seigle",AlimentsRationEcurieChevauxFemellesTrait,4,FALSE),0)+(IF(QualitéAlimentsJeuneEtalon_24_36_moisTrait=MAUVAISE,VLOOKUP("Seigle",AlimentsRationEcurieChevauxMâlesTrait,3,FALSE),0)+(IF(QualitéAlimentsJeuneJument_24_36_moisTrait=MAUVAISE,VLOOKUP("Seigle",AlimentsRationEcurieChevauxFemellesTrait,3,FALSE),0)+(IF(QualitéAlimentsEtalonTrait=MAUVAISE,VLOOKUP("Seigle",AlimentsRationEcurieChevauxMâlesTrait,2,FALSE),0)+(IF(QualitéAlimentsJumentTrait=MAUVAISE,VLOOKUP("Seigle",AlimentsRationEcurieChevauxFemellesTrait,2,FALSE),0))))))))))</f>
        <v>0</v>
      </c>
      <c r="FH224" s="1321"/>
      <c r="FI224" s="1321"/>
      <c r="FJ224" s="1345"/>
      <c r="FK224" s="1345"/>
      <c r="FL224" s="1345"/>
      <c r="FM224" s="1321"/>
      <c r="FN224" s="1083" t="str">
        <f t="shared" si="71"/>
        <v>Soja</v>
      </c>
      <c r="FO224" s="1283">
        <f t="array" ref="FO224">SUM((IF(QualitéAlimentsPoulainMâlePoney=BONNE,VLOOKUP("Soja",AlimentsRationEcuriePoneysMâles,5,FALSE),0)+(IF(QualitéAlimentsPoulainFemellePoney=BONNE,VLOOKUP("Soja",AlimentsRationEcuriePoneysFemelles,5,FALSE),0)+(IF(QualitéAlimentsJeuneEtalon_12_24_moisPoney=BONNE,VLOOKUP("Soja",AlimentsRationEcuriePoneysMâles,4,FALSE),0)+(IF(QualitéAlimentsJeuneJument_12_24_moisPoney=BONNE,VLOOKUP("Soja",AlimentsRationEcuriePoneysFemelles,4,FALSE),0)+(IF(QualitéAlimentsJeuneEtalon_24_36_moisPoney=BONNE,VLOOKUP("Soja",AlimentsRationEcuriePoneysMâles,3,FALSE),0)+(IF(QualitéAlimentsJeuneJument_24_36_moisPoney=BONNE,VLOOKUP("Soja",AlimentsRationEcuriePoneysFemelles,3,FALSE),0)+(IF(QualitéAlimentsEtalonPoney=BONNE,VLOOKUP("Soja",AlimentsRationEcuriePoneysMâles,2,FALSE),0)+(IF(QualitéAlimentsJumentPoney=BONNE,VLOOKUP("Soja",AlimentsRationEcuriePoneysFemelles,2,FALSE),0))))))))))</f>
        <v>0</v>
      </c>
      <c r="FP224" s="1283">
        <f t="array" ref="FP224">SUM((IF(QualitéAlimentsPoulainMâlePoney=MOYENNE,VLOOKUP("Soja",AlimentsRationEcuriePoneysMâles,5,FALSE),0)+(IF(QualitéAlimentsPoulainFemellePoney=MOYENNE,VLOOKUP("Soja",AlimentsRationEcuriePoneysFemelles,5,FALSE),0)+(IF(QualitéAlimentsJeuneEtalon_12_24_moisPoney=MOYENNE,VLOOKUP("Soja",AlimentsRationEcuriePoneysMâles,4,FALSE),0)+(IF(QualitéAlimentsJeuneJument_12_24_moisPoney=MOYENNE,VLOOKUP("Soja",AlimentsRationEcuriePoneysFemelles,4,FALSE),0)+(IF(QualitéAlimentsJeuneEtalon_24_36_moisPoney=MOYENNE,VLOOKUP("Soja",AlimentsRationEcuriePoneysMâles,3,FALSE),0)+(IF(QualitéAlimentsJeuneJument_24_36_moisPoney=MOYENNE,VLOOKUP("Soja",AlimentsRationEcuriePoneysFemelles,3,FALSE),0)+(IF(QualitéAlimentsEtalonPoney=MOYENNE,VLOOKUP("Soja",AlimentsRationEcuriePoneysMâles,2,FALSE),0)+(IF(QualitéAlimentsJumentPoney=MOYENNE,VLOOKUP("Soja",AlimentsRationEcuriePoneysFemelles,2,FALSE),0))))))))))</f>
        <v>0</v>
      </c>
      <c r="FQ224" s="1283">
        <f t="array" ref="FQ224">SUM((IF(QualitéAlimentsPoulainMâlePoney=MAUVAISE,VLOOKUP("Soja",AlimentsRationEcuriePoneysMâles,5,FALSE),0)+(IF(QualitéAlimentsPoulainFemellePoney=MAUVAISE,VLOOKUP("Soja",AlimentsRationEcuriePoneysFemelles,5,FALSE),0)+(IF(QualitéAlimentsJeuneEtalon_12_24_moisPoney=MAUVAISE,VLOOKUP("Soja",AlimentsRationEcuriePoneysMâles,4,FALSE),0)+(IF(QualitéAlimentsJeuneJument_12_24_moisPoney=MAUVAISE,VLOOKUP("Soja",AlimentsRationEcuriePoneysFemelles,4,FALSE),0)+(IF(QualitéAlimentsJeuneEtalon_24_36_moisPoney=MAUVAISE,VLOOKUP("Soja",AlimentsRationEcuriePoneysMâles,3,FALSE),0)+(IF(QualitéAlimentsJeuneJument_24_36_moisPoney=MAUVAISE,VLOOKUP("Soja",AlimentsRationEcuriePoneysFemelles,3,FALSE),0)+(IF(QualitéAlimentsEtalonPoney=MAUVAISE,VLOOKUP("Soja",AlimentsRationEcuriePoneysMâles,2,FALSE),0)+(IF(QualitéAlimentsJumentPoney=MAUVAISE,VLOOKUP("Soja",AlimentsRationEcuriePoneysFemelles,2,FALSE),0))))))))))</f>
        <v>0</v>
      </c>
      <c r="FR224" s="1345"/>
      <c r="FS224" s="1345"/>
      <c r="FT224" s="1345"/>
      <c r="FU224" s="1345"/>
      <c r="FV224" s="1345"/>
      <c r="FW224" s="1321"/>
      <c r="FX224" s="1321"/>
      <c r="FY224" s="1321"/>
      <c r="FZ224" s="1321"/>
      <c r="GA224" s="1345"/>
      <c r="GB224" s="1321"/>
      <c r="GC224" s="1321"/>
      <c r="GD224" s="1321"/>
      <c r="GE224" s="1321"/>
      <c r="GF224" s="1321"/>
      <c r="GG224" s="1321" t="s">
        <v>1349</v>
      </c>
      <c r="GH224" s="1321" t="s">
        <v>1349</v>
      </c>
      <c r="GI224" s="1321" t="s">
        <v>1349</v>
      </c>
      <c r="GJ224" s="1321" t="s">
        <v>1349</v>
      </c>
      <c r="GK224" s="1321" t="s">
        <v>1349</v>
      </c>
      <c r="GL224" s="1321" t="s">
        <v>1349</v>
      </c>
      <c r="GM224" s="1321" t="s">
        <v>1349</v>
      </c>
      <c r="GN224" s="1321" t="s">
        <v>1349</v>
      </c>
      <c r="GO224" s="1321" t="s">
        <v>1349</v>
      </c>
      <c r="GP224" s="1321" t="s">
        <v>1349</v>
      </c>
      <c r="GQ224" s="1321" t="s">
        <v>1349</v>
      </c>
      <c r="GR224" s="1321" t="s">
        <v>1349</v>
      </c>
      <c r="GS224" s="1321" t="s">
        <v>1349</v>
      </c>
      <c r="GT224" s="1321" t="s">
        <v>1349</v>
      </c>
      <c r="GU224" s="1321" t="s">
        <v>1349</v>
      </c>
      <c r="GV224" s="1321" t="s">
        <v>1349</v>
      </c>
      <c r="GW224" s="1321"/>
      <c r="GX224" s="1321"/>
      <c r="GY224" s="1321"/>
      <c r="GZ224" s="1321"/>
      <c r="HA224" s="1321"/>
      <c r="HB224" s="1321"/>
      <c r="HC224" s="1321"/>
      <c r="HD224" s="1321"/>
      <c r="HE224" s="1321"/>
      <c r="HF224" s="1321"/>
      <c r="HG224" s="1321"/>
      <c r="HH224" s="1321"/>
      <c r="HI224" s="1321"/>
      <c r="HJ224" s="1321"/>
      <c r="HK224" s="1321"/>
      <c r="HL224" s="1321"/>
      <c r="HM224" s="1321"/>
      <c r="HN224" s="1321"/>
      <c r="HO224" s="1321"/>
      <c r="HP224" s="1321"/>
      <c r="HQ224" s="1321"/>
      <c r="HR224" s="1321"/>
      <c r="HS224" s="1321"/>
      <c r="HT224" s="1321"/>
      <c r="HU224" s="1321"/>
      <c r="HV224" s="1321"/>
      <c r="HW224" s="1321"/>
      <c r="HX224" s="1321"/>
      <c r="HY224" s="1321"/>
      <c r="HZ224" s="1321"/>
      <c r="IA224" s="1321"/>
      <c r="IB224" s="1321"/>
      <c r="IC224" s="1321"/>
      <c r="ID224" s="1321"/>
      <c r="IE224" s="1321"/>
      <c r="IF224" s="1321"/>
      <c r="IG224" s="1321"/>
      <c r="IH224" s="1321"/>
      <c r="II224" s="1321"/>
      <c r="IJ224" s="1321"/>
      <c r="IK224" s="1321"/>
      <c r="IL224" s="1321"/>
      <c r="IM224" s="1321"/>
      <c r="IN224" s="1368"/>
    </row>
    <row r="225" spans="1:248" ht="12.75" customHeight="1" x14ac:dyDescent="0.2">
      <c r="A225" s="1319"/>
      <c r="B225" s="1321"/>
      <c r="C225" s="1321"/>
      <c r="D225" s="1321"/>
      <c r="E225" s="1321"/>
      <c r="F225" s="1321"/>
      <c r="G225" s="1321"/>
      <c r="H225" s="1321"/>
      <c r="I225" s="1321"/>
      <c r="J225" s="1321"/>
      <c r="K225" s="1321"/>
      <c r="L225" s="1321"/>
      <c r="M225" s="1321"/>
      <c r="N225" s="1321"/>
      <c r="O225" s="1321"/>
      <c r="P225" s="1321"/>
      <c r="Q225" s="1321"/>
      <c r="R225" s="1321"/>
      <c r="S225" s="1321"/>
      <c r="T225" s="1321"/>
      <c r="U225" s="1321"/>
      <c r="V225" s="1321"/>
      <c r="W225" s="1321"/>
      <c r="X225" s="1321"/>
      <c r="Y225" s="1321"/>
      <c r="Z225" s="1321"/>
      <c r="AA225" s="1321"/>
      <c r="AB225" s="1321"/>
      <c r="AC225" s="1321"/>
      <c r="AD225" s="1321"/>
      <c r="AE225" s="1321"/>
      <c r="AF225" s="1321"/>
      <c r="AG225" s="1321"/>
      <c r="AH225" s="1321"/>
      <c r="AI225" s="1321"/>
      <c r="AJ225" s="1321"/>
      <c r="AK225" s="1321"/>
      <c r="AL225" s="1321"/>
      <c r="AM225" s="1321"/>
      <c r="AN225" s="1321"/>
      <c r="AO225" s="1321"/>
      <c r="AP225" s="1321"/>
      <c r="AQ225" s="1321"/>
      <c r="AR225" s="1321"/>
      <c r="AS225" s="1321"/>
      <c r="AT225" s="1321"/>
      <c r="AU225" s="1321"/>
      <c r="AV225" s="1321"/>
      <c r="AW225" s="1321"/>
      <c r="AX225" s="1321"/>
      <c r="AY225" s="1321"/>
      <c r="AZ225" s="1321"/>
      <c r="BA225" s="1321"/>
      <c r="BB225" s="1075" t="s">
        <v>1274</v>
      </c>
      <c r="BC225" s="1269">
        <f t="array" ref="BC225">IF(Ration_complète_bovins[somme]&gt;0,0,IFERROR(IF(OR(AND(INDEX(Règles_bovins[Specificite],MATCH(ChoixRationBovins&amp;$BB225,Règles_bovins[Ration]&amp;Règles_bovins[Aliment],0))="s1",IF($BB225=Spécificité1Bovins,1)),
AND(INDEX(Règles_bovins[Specificite],MATCH(ChoixRationBovins&amp;$BB225,Règles_bovins[Ration]&amp;Règles_bovins[Aliment],0))="s2",IF($BB225=Spécificité2Bovins,1)),
INDEX(Règles_bovins[Specificite],MATCH(ChoixRationBovins&amp;$BB225,Règles_bovins[Ration]&amp;Règles_bovins[Aliment],0))="c"),
INDEX(Règles_bovins[Valeur 36 et plus],MATCH(ChoixRationBovins&amp;$BB225,Règles_bovins[Ration]&amp;Règles_bovins[Aliment],0)),0),0)*IF(ChoixBovinsPréHiver=OUI,TotalTaureauxRacesLaitières,TotalTaureaux*SUM(NbreJoursNourrirBovins)))</f>
        <v>0</v>
      </c>
      <c r="BD225" s="1269">
        <f t="array" ref="BD225">IF(Ration_complète_bovins[somme]&gt;0,0,IFERROR(IF(OR(AND(INDEX(Règles_bovins[Specificite],MATCH(ChoixRationBovins&amp;$BB225,Règles_bovins[Ration]&amp;Règles_bovins[Aliment],0))="s1",IF($BB225=Spécificité1Bovins,1)),
AND(INDEX(Règles_bovins[Specificite],MATCH(ChoixRationBovins&amp;$BB225,Règles_bovins[Ration]&amp;Règles_bovins[Aliment],0))="s2",IF($BB225=Spécificité2Bovins,1)),
INDEX(Règles_bovins[Specificite],MATCH(ChoixRationBovins&amp;$BB225,Règles_bovins[Ration]&amp;Règles_bovins[Aliment],0))="c"),
INDEX(Règles_bovins[Valeur 24-36],MATCH(ChoixRationBovins&amp;$BB225,Règles_bovins[Ration]&amp;Règles_bovins[Aliment],0)),0),0)*IF(ChoixBovinsPréHiver=OUI,TotalTaurillon_24_36_RacesLaitières,TotalBovinsMâles_24_36mois*SUM(NbreJoursNourrirBovins)))</f>
        <v>0</v>
      </c>
      <c r="BE225" s="1269">
        <f t="array" ref="BE225">IF(Ration_complète_bovins[somme]&gt;0,0,IFERROR(IF(OR(AND(INDEX(Règles_bovins[Specificite],MATCH(ChoixRationBovins&amp;$BB225,Règles_bovins[Ration]&amp;Règles_bovins[Aliment],0))="s1",IF($BB225=Spécificité1Bovins,1)),
AND(INDEX(Règles_bovins[Specificite],MATCH(ChoixRationBovins&amp;$BB225,Règles_bovins[Ration]&amp;Règles_bovins[Aliment],0))="s2",IF($BB225=Spécificité2Bovins,1)),
INDEX(Règles_bovins[Specificite],MATCH(ChoixRationBovins&amp;$BB225,Règles_bovins[Ration]&amp;Règles_bovins[Aliment],0))="c"),
INDEX(Règles_bovins[Valeur 18-24],MATCH(ChoixRationBovins&amp;$BB225,Règles_bovins[Ration]&amp;Règles_bovins[Aliment],0)),0),0)*IF(ChoixBovinsPréHiver=OUI,TotalTaurillon_18_24_RacesLaitières,TotalBovinsMâles_18_24mois*SUM(NbreJoursNourrirBovins)))</f>
        <v>0</v>
      </c>
      <c r="BF225" s="1269">
        <f t="array" ref="BF225">IF(Ration_complète_bovins[somme]&gt;0,0,IFERROR(IF(OR(AND(INDEX(Règles_bovins[Specificite],MATCH(ChoixRationBovins&amp;$BB225,Règles_bovins[Ration]&amp;Règles_bovins[Aliment],0))="s1",IF($BB225=Spécificité1Bovins,1)),
AND(INDEX(Règles_bovins[Specificite],MATCH(ChoixRationBovins&amp;$BB225,Règles_bovins[Ration]&amp;Règles_bovins[Aliment],0))="s2",IF($BB225=Spécificité2Bovins,1)),
INDEX(Règles_bovins[Specificite],MATCH(ChoixRationBovins&amp;$BB225,Règles_bovins[Ration]&amp;Règles_bovins[Aliment],0))="c"),
INDEX(Règles_bovins[Valeur 12-18],MATCH(ChoixRationBovins&amp;$BB225,Règles_bovins[Ration]&amp;Règles_bovins[Aliment],0)),0),0)*IF(ChoixBovinsPréHiver=OUI,animaux!D48,TotalBovinsMâles_12_18mois*SUM(NbreJoursNourrirBovins)))</f>
        <v>0</v>
      </c>
      <c r="BG225" s="1269">
        <f t="array" ref="BG225">IF(Ration_complète_bovins[somme]&gt;0,0,IFERROR(IF(OR(AND(INDEX(Règles_bovins[Specificite],MATCH(ChoixRationBovins&amp;$BB225,Règles_bovins[Ration]&amp;Règles_bovins[Aliment],0))="s1",IF($BB225=Spécificité1Bovins,1)),
AND(INDEX(Règles_bovins[Specificite],MATCH(ChoixRationBovins&amp;$BB225,Règles_bovins[Ration]&amp;Règles_bovins[Aliment],0))="s2",IF($BB225=Spécificité2Bovins,1)),
INDEX(Règles_bovins[Specificite],MATCH(ChoixRationBovins&amp;$BB225,Règles_bovins[Ration]&amp;Règles_bovins[Aliment],0))="c"),
INDEX(Règles_bovins[Valeur 6-12],MATCH(ChoixRationBovins&amp;$BB225,Règles_bovins[Ration]&amp;Règles_bovins[Aliment],0)),0),0)*IF(ChoixBovinsPréHiver=OUI,TotalVeauMâle_6_12_RacesLaitières,TotalBovinsMâles_6_12mois*SUM(NbreJoursNourrirBovins)))</f>
        <v>0</v>
      </c>
      <c r="BH225" s="1269">
        <f t="array" ref="BH225">IF(Ration_complète_bovins[somme]&gt;0,0,IFERROR(IF(OR(AND(INDEX(Règles_bovins[Specificite],MATCH(ChoixRationBovins&amp;$BB225,Règles_bovins[Ration]&amp;Règles_bovins[Aliment],0))="s1",IF($BB225=Spécificité1Bovins,1)),
AND(INDEX(Règles_bovins[Specificite],MATCH(ChoixRationBovins&amp;$BB225,Règles_bovins[Ration]&amp;Règles_bovins[Aliment],0))="s2",IF($BB225=Spécificité2Bovins,1)),
INDEX(Règles_bovins[Specificite],MATCH(ChoixRationBovins&amp;$BB225,Règles_bovins[Ration]&amp;Règles_bovins[Aliment],0))="c"),
INDEX(Règles_bovins[Valeur 3-6],MATCH(ChoixRationBovins&amp;$BB225,Règles_bovins[Ration]&amp;Règles_bovins[Aliment],0)),0),0)*IF(ChoixBovinsPréHiver=OUI,TotalVeauMâle_3_6_RacesLaitières,TotalBovinsMâles_3_6mois*SUM(NbreJoursNourrirBovins)))</f>
        <v>0</v>
      </c>
      <c r="BI225" s="1269">
        <f t="array" ref="BI225">IF(Ration_complète_bovins[somme]&gt;0,0,IFERROR(IF(OR(AND(INDEX(Règles_bovins[Specificite],MATCH(ChoixRationBovins&amp;$BB225,Règles_bovins[Ration]&amp;Règles_bovins[Aliment],0))="s1",IF($BB225=Spécificité1Bovins,1)),
AND(INDEX(Règles_bovins[Specificite],MATCH(ChoixRationBovins&amp;$BB225,Règles_bovins[Ration]&amp;Règles_bovins[Aliment],0))="s2",IF($BB225=Spécificité2Bovins,1)),
INDEX(Règles_bovins[Specificite],MATCH(ChoixRationBovins&amp;$BB225,Règles_bovins[Ration]&amp;Règles_bovins[Aliment],0))="c"),
INDEX(Règles_bovins[Valeur 0-3],MATCH(ChoixRationBovins&amp;$BB225,Règles_bovins[Ration]&amp;Règles_bovins[Aliment],0)),0),0)*IF(ChoixBovinsPréHiver=OUI,TotalVeauMâle_0_3_RacesLaitières,TotalBovinsMâles_0_3mois*SUM(NbreJoursNourrirBovins)))</f>
        <v>0</v>
      </c>
      <c r="BJ225" s="1270">
        <f t="shared" si="69"/>
        <v>0</v>
      </c>
      <c r="BK225" s="1321"/>
      <c r="BL225" s="1345"/>
      <c r="BM225" s="1346"/>
      <c r="BN225" s="1321"/>
      <c r="BO225" s="1321"/>
      <c r="BP225" s="1321"/>
      <c r="BQ225" s="1321"/>
      <c r="BR225" s="1321"/>
      <c r="BS225" s="1321"/>
      <c r="BT225" s="1321"/>
      <c r="BU225" s="1321"/>
      <c r="BV225" s="1345"/>
      <c r="BW225" s="1345"/>
      <c r="BX225" s="1075" t="str">
        <f t="shared" si="70"/>
        <v>Tournesol</v>
      </c>
      <c r="BY225" s="1269">
        <f t="array" ref="BY225">SUM((IF(QualitéAlimentsChevreau_0_3_mois=BONNE,VLOOKUP("Tournesol",AlimentsRationCaprinsMâles,5,FALSE),0)+(IF(QualitéAlimentsChevrette_0_3_mois=BONNE,VLOOKUP("Tournesol",AlimentsRationCaprinsFemelles,5,FALSE),0)+(IF(QualitéAlimentsChevreau_3_6_mois=BONNE,VLOOKUP("Tournesol",AlimentsRationCaprinsMâles,4,FALSE),0)+(IF(QualitéAlimentsChevrette_3_6_mois=BONNE,VLOOKUP("Tournesol",AlimentsRationCaprinsFemelles,4,FALSE),0)+(IF(QualitéAlimentsJeuneBouc=BONNE,VLOOKUP("Tournesol",AlimentsRationCaprinsMâles,3,FALSE),0)+(IF(QualitéAlimentsJeuneChèvre=BONNE,VLOOKUP("Tournesol",AlimentsRationCaprinsFemelles,3,FALSE),0)+(IF(QualitéAlimentsBouc=BONNE,VLOOKUP("Tournesol",AlimentsRationCaprinsMâles,2,FALSE),0)+(IF(QualitéAlimentsChèvre=BONNE,VLOOKUP("Tournesol",AlimentsRationCaprinsFemelles,2,FALSE),0))))))))))</f>
        <v>0</v>
      </c>
      <c r="BZ225" s="1269">
        <f t="array" ref="BZ225">SUM((IF(QualitéAlimentsChevreau_0_3_mois=MOYENNE,VLOOKUP("Tournesol",AlimentsRationCaprinsMâles,5,FALSE),0)+(IF(QualitéAlimentsChevrette_0_3_mois=MOYENNE,VLOOKUP("Tournesol",AlimentsRationCaprinsFemelles,5,FALSE),0)+(IF(QualitéAlimentsChevreau_3_6_mois=MOYENNE,VLOOKUP("Tournesol",AlimentsRationCaprinsMâles,4,FALSE),0)+(IF(QualitéAlimentsChevrette_3_6_mois=MOYENNE,VLOOKUP("Tournesol",AlimentsRationCaprinsFemelles,4,FALSE),0)+(IF(QualitéAlimentsJeuneBouc=MOYENNE,VLOOKUP("Tournesol",AlimentsRationCaprinsMâles,3,FALSE),0)+(IF(QualitéAlimentsJeuneChèvre=MOYENNE,VLOOKUP("Tournesol",AlimentsRationCaprinsFemelles,3,FALSE),0)+(IF(QualitéAlimentsBouc=MOYENNE,VLOOKUP("Tournesol",AlimentsRationCaprinsMâles,2,FALSE),0)+(IF(QualitéAlimentsChèvre=MOYENNE,VLOOKUP("Tournesol",AlimentsRationCaprinsFemelles,2,FALSE),0))))))))))</f>
        <v>0</v>
      </c>
      <c r="CA225" s="1269">
        <f t="array" ref="CA225">SUM((IF(QualitéAlimentsChevreau_0_3_mois=MAUVAISE,VLOOKUP("Tournesol",AlimentsRationCaprinsMâles,5,FALSE),0)+(IF(QualitéAlimentsChevrette_0_3_mois=MAUVAISE,VLOOKUP("Tournesol",AlimentsRationCaprinsFemelles,5,FALSE),0)+(IF(QualitéAlimentsChevreau_3_6_mois=MAUVAISE,VLOOKUP("Tournesol",AlimentsRationCaprinsMâles,4,FALSE),0)+(IF(QualitéAlimentsChevrette_3_6_mois=MAUVAISE,VLOOKUP("Tournesol",AlimentsRationCaprinsFemelles,4,FALSE),0)+(IF(QualitéAlimentsJeuneBouc=MAUVAISE,VLOOKUP("Tournesol",AlimentsRationCaprinsMâles,3,FALSE),0)+(IF(QualitéAlimentsJeuneChèvre=MAUVAISE,VLOOKUP("Tournesol",AlimentsRationCaprinsFemelles,3,FALSE),0)+(IF(QualitéAlimentsBouc=MAUVAISE,VLOOKUP("Tournesol",AlimentsRationCaprinsMâles,2,FALSE),0)+(IF(QualitéAlimentsChèvre=MAUVAISE,VLOOKUP("Tournesol",AlimentsRationCaprinsFemelles,2,FALSE),0))))))))))</f>
        <v>0</v>
      </c>
      <c r="CB225" s="1321"/>
      <c r="CC225" s="1321"/>
      <c r="CD225" s="1345"/>
      <c r="CE225" s="1345"/>
      <c r="CF225" s="1345"/>
      <c r="CG225" s="1345"/>
      <c r="CH225" s="1345"/>
      <c r="CI225" s="1321"/>
      <c r="CJ225" s="1321"/>
      <c r="CK225" s="1321"/>
      <c r="CL225" s="1321"/>
      <c r="CM225" s="1321"/>
      <c r="CN225" s="1321"/>
      <c r="CO225" s="1321"/>
      <c r="CP225" s="1321"/>
      <c r="CQ225" s="1321"/>
      <c r="CR225" s="1321"/>
      <c r="CS225" s="1321"/>
      <c r="CT225" s="1321"/>
      <c r="CU225" s="1321"/>
      <c r="CV225" s="1321"/>
      <c r="CW225" s="1321"/>
      <c r="CX225" s="1321"/>
      <c r="CY225" s="1321"/>
      <c r="CZ225" s="1321"/>
      <c r="DA225" s="1321"/>
      <c r="DB225" s="1321"/>
      <c r="DC225" s="1321"/>
      <c r="DD225" s="1321"/>
      <c r="DE225" s="1321"/>
      <c r="DF225" s="1321"/>
      <c r="DG225" s="1321"/>
      <c r="DH225" s="1321"/>
      <c r="DI225" s="1321"/>
      <c r="DJ225" s="1321"/>
      <c r="DK225" s="1321"/>
      <c r="DL225" s="1321"/>
      <c r="DM225" s="1321"/>
      <c r="DN225" s="1075">
        <f t="shared" si="68"/>
        <v>0</v>
      </c>
      <c r="DO225" s="1269">
        <f t="array" ref="DO225">IF(ChoixRationComplèteOvins=OUI,0,IFERROR(IF(OR(AND(INDEX(Règles_ovins[Specificite],MATCH(ChoixRationOvins&amp;$DN225,Règles_ovins[Ration]&amp;Règles_ovins[Aliment],0))="s1",IF($DN225=Spécificité1Ovins,1)),
AND(INDEX(Règles_ovins[Specificite],MATCH(ChoixRationOvins&amp;$DN225,Règles_ovins[Ration]&amp;Règles_ovins[Aliment],0))="s2",IF($DN225=Spécificité2Ovins,1)),
INDEX(Règles_ovins[Specificite],MATCH(ChoixRationOvins&amp;$DN225,Règles_ovins[Ration]&amp;Règles_ovins[Aliment],0))="c"),
INDEX(Règles_ovins[Valeur 12 et plus],MATCH(ChoixRationOvins&amp;$DN225,Règles_ovins[Ration]&amp;Règles_ovins[Aliment],0)),0),0)*IF(ChoixOvinsPréHiver=OUI,SUM(TotalOvinsAdultesRacesLaitières)*NbreJoursNourrirOvins,TotalBrebis*SUM(NbreJoursNourrirOvins)))</f>
        <v>0</v>
      </c>
      <c r="DP225" s="1269">
        <f t="array" ref="DP225">IF(ChoixRationComplèteOvins=OUI,0,IFERROR(IF(OR(AND(INDEX(Règles_ovins[Specificite],MATCH(ChoixRationOvins&amp;$DN225,Règles_ovins[Ration]&amp;Règles_ovins[Aliment],0))="s1",IF($DN225=Spécificité1Ovins,1)),
AND(INDEX(Règles_ovins[Specificite],MATCH(ChoixRationOvins&amp;$DN225,Règles_ovins[Ration]&amp;Règles_ovins[Aliment],0))="s2",IF($DN225=Spécificité2Ovins,1)),
INDEX(Règles_ovins[Specificite],MATCH(ChoixRationOvins&amp;$DN225,Règles_ovins[Ration]&amp;Règles_ovins[Aliment],0))="c"),
INDEX(Règles_ovins[Valeur 6-12],MATCH(ChoixRationOvins&amp;$DN225,Règles_ovins[Ration]&amp;Règles_ovins[Aliment],0)),0),0)*IF(ChoixOvinsPréHiver=OUI,SUM(TotalJeunesOvinsRacesLaitières)*NbreJoursNourrirOvins,TotalJeune_brebis_6_12_mois*SUM(NbreJoursNourrirOvins)))</f>
        <v>0</v>
      </c>
      <c r="DQ225" s="1269">
        <f t="array" ref="DQ225">IF(ChoixRationComplèteOvins=OUI,0,IFERROR(IF(OR(AND(INDEX(Règles_ovins[Specificite],MATCH(ChoixRationOvins&amp;$DN225,Règles_ovins[Ration]&amp;Règles_ovins[Aliment],0))="s1",IF($DN225=Spécificité1Ovins,1)),
AND(INDEX(Règles_ovins[Specificite],MATCH(ChoixRationOvins&amp;$DN225,Règles_ovins[Ration]&amp;Règles_ovins[Aliment],0))="s2",IF($DN225=Spécificité2Ovins,1)),
INDEX(Règles_ovins[Specificite],MATCH(ChoixRationOvins&amp;$DN225,Règles_ovins[Ration]&amp;Règles_ovins[Aliment],0))="c"),
INDEX(Règles_ovins[Valeur 3-6],MATCH(ChoixRationOvins&amp;$DN225,Règles_ovins[Ration]&amp;Règles_ovins[Aliment],0)),0),0)*IF(ChoixOvinsPréHiver=OUI,SUM(TotalOvins_3_6moisRacesLaitières)*NbreJoursNourrirOvins,TotalAgnelle_3_6_mois*SUM(NbreJoursNourrirOvins)))</f>
        <v>0</v>
      </c>
      <c r="DR225" s="1269">
        <f t="array" ref="DR225">IF(ChoixRationComplèteOvins=OUI,0,IFERROR(IF(OR(AND(INDEX(Règles_ovins[Specificite],MATCH(ChoixRationOvins&amp;$DN225,Règles_ovins[Ration]&amp;Règles_ovins[Aliment],0))="s1",IF($DN225=Spécificité1Ovins,1)),
AND(INDEX(Règles_ovins[Specificite],MATCH(ChoixRationOvins&amp;$DN225,Règles_ovins[Ration]&amp;Règles_ovins[Aliment],0))="s2",IF($DN225=Spécificité2Ovins,1)),
INDEX(Règles_ovins[Specificite],MATCH(ChoixRationOvins&amp;$DN225,Règles_ovins[Ration]&amp;Règles_ovins[Aliment],0))="c"),
INDEX(Règles_ovins[Valeur 0-3],MATCH(ChoixRationOvins&amp;$DN225,Règles_ovins[Ration]&amp;Règles_ovins[Aliment],0)),0),0)*IF(ChoixOvinsPréHiver=OUI,SUM(TotalOvins_3_6moisRacesLaitières)*NbreJoursNourrirOvins,TotalAgnelle_0_3_mois*SUM(NbreJoursNourrirOvins)))</f>
        <v>0</v>
      </c>
      <c r="DS225" s="1280">
        <f t="shared" si="67"/>
        <v>0</v>
      </c>
      <c r="DT225" s="1346"/>
      <c r="DU225" s="1346"/>
      <c r="DV225" s="1321"/>
      <c r="DW225" s="1321"/>
      <c r="DX225" s="1321"/>
      <c r="DY225" s="1321"/>
      <c r="DZ225" s="1321"/>
      <c r="EA225" s="1321"/>
      <c r="EB225" s="1321"/>
      <c r="EC225" s="1321"/>
      <c r="ED225" s="1345"/>
      <c r="EE225" s="1345"/>
      <c r="EF225" s="1321"/>
      <c r="EG225" s="1321"/>
      <c r="EH225" s="1321"/>
      <c r="EI225" s="1321"/>
      <c r="EJ225" s="1321"/>
      <c r="EK225" s="1345"/>
      <c r="EL225" s="1345"/>
      <c r="EM225" s="1321"/>
      <c r="EN225" s="1321"/>
      <c r="EO225" s="1321"/>
      <c r="EP225" s="1321"/>
      <c r="EQ225" s="1321"/>
      <c r="ER225" s="1345"/>
      <c r="ES225" s="1345"/>
      <c r="ET225" s="1321"/>
      <c r="EU225" s="1082" t="str">
        <f t="shared" si="73"/>
        <v>Pois</v>
      </c>
      <c r="EV225" s="1282">
        <f t="array" ref="EV225">SUM((IF(QualitéAlimentsPoulainSelleMâle=BONNE,VLOOKUP("Pois",AlimentsRationEcurieChevauxMâlesSelle,5,FALSE),0)+(IF(QualitéAlimentsPoulainSelleFemelle=BONNE,VLOOKUP("Pois",AlimentsRationEcurieChevauxFemellesSelle,5,FALSE),0)+(IF(QualitéAlimentsJeuneEtalon_12_24_moisSelle=BONNE,VLOOKUP("Pois",AlimentsRationEcurieChevauxMâlesSelle,4,FALSE),0)+(IF(QualitéAlimentsJeuneJument_12_24_moisSelle=BONNE,VLOOKUP("Pois",AlimentsRationEcurieChevauxFemellesSelle,4,FALSE),0)+(IF(QualitéAlimentsJeuneEtalon_24_36_moisSelle=BONNE,VLOOKUP("Pois",AlimentsRationEcurieChevauxMâlesSelle,3,FALSE),0)+(IF(QualitéAlimentsJeuneJument_24_36_moisSelle=BONNE,VLOOKUP("Pois",AlimentsRationEcurieChevauxFemellesSelle,3,FALSE),0)+(IF(QualitéAlimentsEtalonSelle=BONNE,VLOOKUP("Pois",AlimentsRationEcurieChevauxMâlesSelle,2,FALSE),0)+(IF(QualitéAlimentsJumentSelle=BONNE,VLOOKUP("Pois",AlimentsRationEcurieChevauxFemellesSelle,2,FALSE),0))))))))))</f>
        <v>0</v>
      </c>
      <c r="EW225" s="1282">
        <f t="array" ref="EW225">SUM((IF(QualitéAlimentsPoulainSelleMâle=MOYENNE,VLOOKUP("Pois",AlimentsRationEcurieChevauxMâlesSelle,5,FALSE),0)+(IF(QualitéAlimentsPoulainSelleFemelle=MOYENNE,VLOOKUP("Pois",AlimentsRationEcurieChevauxFemellesSelle,5,FALSE),0)+(IF(QualitéAlimentsJeuneEtalon_12_24_moisSelle=MOYENNE,VLOOKUP("Pois",AlimentsRationEcurieChevauxMâlesSelle,4,FALSE),0)+(IF(QualitéAlimentsJeuneJument_12_24_moisSelle=MOYENNE,VLOOKUP("Pois",AlimentsRationEcurieChevauxFemellesSelle,4,FALSE),0)+(IF(QualitéAlimentsJeuneEtalon_24_36_moisSelle=MOYENNE,VLOOKUP("Pois",AlimentsRationEcurieChevauxMâlesSelle,3,FALSE),0)+(IF(QualitéAlimentsJeuneJument_24_36_moisSelle=MOYENNE,VLOOKUP("Pois",AlimentsRationEcurieChevauxFemellesSelle,3,FALSE),0)+(IF(QualitéAlimentsEtalonSelle=MOYENNE,VLOOKUP("Pois",AlimentsRationEcurieChevauxMâlesSelle,2,FALSE),0)+(IF(QualitéAlimentsJumentSelle=MOYENNE,VLOOKUP("Pois",AlimentsRationEcurieChevauxFemellesSelle,2,FALSE),0))))))))))</f>
        <v>0</v>
      </c>
      <c r="EX225" s="1282">
        <f t="array" ref="EX225">SUM((IF(QualitéAlimentsPoulainSelleMâle=MAUVAISE,VLOOKUP("Pois",AlimentsRationEcurieChevauxMâlesSelle,5,FALSE),0)+(IF(QualitéAlimentsPoulainSelleFemelle=MAUVAISE,VLOOKUP("Pois",AlimentsRationEcurieChevauxFemellesSelle,5,FALSE),0)+(IF(QualitéAlimentsJeuneEtalon_12_24_moisSelle=MAUVAISE,VLOOKUP("Pois",AlimentsRationEcurieChevauxMâlesSelle,4,FALSE),0)+(IF(QualitéAlimentsJeuneJument_12_24_moisSelle=MAUVAISE,VLOOKUP("Pois",AlimentsRationEcurieChevauxFemellesSelle,4,FALSE),0)+(IF(QualitéAlimentsJeuneEtalon_24_36_moisSelle=MAUVAISE,VLOOKUP("Pois",AlimentsRationEcurieChevauxMâlesSelle,3,FALSE),0)+(IF(QualitéAlimentsJeuneJument_24_36_moisSelle=MAUVAISE,VLOOKUP("Pois",AlimentsRationEcurieChevauxFemellesSelle,3,FALSE),0)+(IF(QualitéAlimentsEtalonSelle=MAUVAISE,VLOOKUP("Pois",AlimentsRationEcurieChevauxMâlesSelle,2,FALSE),0)+(IF(QualitéAlimentsJumentSelle=MAUVAISE,VLOOKUP("Pois",AlimentsRationEcurieChevauxFemellesSelle,2,FALSE),0))))))))))</f>
        <v>0</v>
      </c>
      <c r="EY225" s="1321"/>
      <c r="EZ225" s="1345"/>
      <c r="FA225" s="1345"/>
      <c r="FB225" s="1345"/>
      <c r="FC225" s="1321"/>
      <c r="FD225" s="1083" t="str">
        <f t="shared" si="72"/>
        <v>Soja</v>
      </c>
      <c r="FE225" s="1283">
        <f t="array" ref="FE225">SUM((IF(QualitéAlimentsPoulainMâleTrait=BONNE,VLOOKUP("Soja",AlimentsRationEcurieChevauxMâlesTrait,5,FALSE),0)+(IF(QualitéAlimentsPoulainFemelleTrait=BONNE,VLOOKUP("Soja",AlimentsRationEcurieChevauxFemellesTrait,5,FALSE),0)+(IF(QualitéAlimentsJeuneEtalon_12_24_moisTrait=BONNE,VLOOKUP("Soja",AlimentsRationEcurieChevauxMâlesTrait,4,FALSE),0)+(IF(QualitéAlimentsJeuneJument_12_24_moisTrait=BONNE,VLOOKUP("Soja",AlimentsRationEcurieChevauxFemellesTrait,4,FALSE),0)+(IF(QualitéAlimentsJeuneEtalon_24_36_moisTrait=BONNE,VLOOKUP("Soja",AlimentsRationEcurieChevauxMâlesTrait,3,FALSE),0)+(IF(QualitéAlimentsJeuneJument_24_36_moisTrait=BONNE,VLOOKUP("Soja",AlimentsRationEcurieChevauxFemellesTrait,3,FALSE),0)+(IF(QualitéAlimentsEtalonTrait=BONNE,VLOOKUP("Soja",AlimentsRationEcurieChevauxMâlesTrait,2,FALSE),0)+(IF(QualitéAlimentsJumentTrait=BONNE,VLOOKUP("Soja",AlimentsRationEcurieChevauxFemellesTrait,2,FALSE),0))))))))))</f>
        <v>0</v>
      </c>
      <c r="FF225" s="1283">
        <f t="array" ref="FF225">SUM((IF(QualitéAlimentsPoulainMâleTrait=MOYENNE,VLOOKUP("Soja",AlimentsRationEcurieChevauxMâlesTrait,5,FALSE),0)+(IF(QualitéAlimentsPoulainFemelleTrait=MOYENNE,VLOOKUP("Soja",AlimentsRationEcurieChevauxFemellesTrait,5,FALSE),0)+(IF(QualitéAlimentsJeuneEtalon_12_24_moisTrait=MOYENNE,VLOOKUP("Soja",AlimentsRationEcurieChevauxMâlesTrait,4,FALSE),0)+(IF(QualitéAlimentsJeuneJument_12_24_moisTrait=MOYENNE,VLOOKUP("Soja",AlimentsRationEcurieChevauxFemellesTrait,4,FALSE),0)+(IF(QualitéAlimentsJeuneEtalon_24_36_moisTrait=MOYENNE,VLOOKUP("Soja",AlimentsRationEcurieChevauxMâlesTrait,3,FALSE),0)+(IF(QualitéAlimentsJeuneJument_24_36_moisTrait=MOYENNE,VLOOKUP("Soja",AlimentsRationEcurieChevauxFemellesTrait,3,FALSE),0)+(IF(QualitéAlimentsEtalonTrait=MOYENNE,VLOOKUP("Soja",AlimentsRationEcurieChevauxMâlesTrait,2,FALSE),0)+(IF(QualitéAlimentsJumentTrait=MOYENNE,VLOOKUP("Soja",AlimentsRationEcurieChevauxFemellesTrait,2,FALSE),0))))))))))</f>
        <v>0</v>
      </c>
      <c r="FG225" s="1283">
        <f t="array" ref="FG225">SUM((IF(QualitéAlimentsPoulainMâleTrait=MAUVAISE,VLOOKUP("Soja",AlimentsRationEcurieChevauxMâlesTrait,5,FALSE),0)+(IF(QualitéAlimentsPoulainFemelleTrait=MAUVAISE,VLOOKUP("Soja",AlimentsRationEcurieChevauxFemellesTrait,5,FALSE),0)+(IF(QualitéAlimentsJeuneEtalon_12_24_moisTrait=MAUVAISE,VLOOKUP("Soja",AlimentsRationEcurieChevauxMâlesTrait,4,FALSE),0)+(IF(QualitéAlimentsJeuneJument_12_24_moisTrait=MAUVAISE,VLOOKUP("Soja",AlimentsRationEcurieChevauxFemellesTrait,4,FALSE),0)+(IF(QualitéAlimentsJeuneEtalon_24_36_moisTrait=MAUVAISE,VLOOKUP("Soja",AlimentsRationEcurieChevauxMâlesTrait,3,FALSE),0)+(IF(QualitéAlimentsJeuneJument_24_36_moisTrait=MAUVAISE,VLOOKUP("Soja",AlimentsRationEcurieChevauxFemellesTrait,3,FALSE),0)+(IF(QualitéAlimentsEtalonTrait=MAUVAISE,VLOOKUP("Soja",AlimentsRationEcurieChevauxMâlesTrait,2,FALSE),0)+(IF(QualitéAlimentsJumentTrait=MAUVAISE,VLOOKUP("Soja",AlimentsRationEcurieChevauxFemellesTrait,2,FALSE),0))))))))))</f>
        <v>0</v>
      </c>
      <c r="FH225" s="1321"/>
      <c r="FI225" s="1321"/>
      <c r="FJ225" s="1345"/>
      <c r="FK225" s="1345"/>
      <c r="FL225" s="1345"/>
      <c r="FM225" s="1321"/>
      <c r="FN225" s="1082" t="str">
        <f t="shared" si="71"/>
        <v>Sorgho ensilé</v>
      </c>
      <c r="FO225" s="1282">
        <f t="array" ref="FO225">SUM((IF(QualitéAlimentsPoulainMâlePoney=BONNE,VLOOKUP("Sorgho ensilé",AlimentsRationEcuriePoneysMâles,5,FALSE),0)+(IF(QualitéAlimentsPoulainFemellePoney=BONNE,VLOOKUP("Sorgho ensilé",AlimentsRationEcuriePoneysFemelles,5,FALSE),0)+(IF(QualitéAlimentsJeuneEtalon_12_24_moisPoney=BONNE,VLOOKUP("Sorgho ensilé",AlimentsRationEcuriePoneysMâles,4,FALSE),0)+(IF(QualitéAlimentsJeuneJument_12_24_moisPoney=BONNE,VLOOKUP("Sorgho ensilé",AlimentsRationEcuriePoneysFemelles,4,FALSE),0)+(IF(QualitéAlimentsJeuneEtalon_24_36_moisPoney=BONNE,VLOOKUP("Sorgho ensilé",AlimentsRationEcuriePoneysMâles,3,FALSE),0)+(IF(QualitéAlimentsJeuneJument_24_36_moisPoney=BONNE,VLOOKUP("Sorgho ensilé",AlimentsRationEcuriePoneysFemelles,3,FALSE),0)+(IF(QualitéAlimentsEtalonPoney=BONNE,VLOOKUP("Sorgho ensilé",AlimentsRationEcuriePoneysMâles,2,FALSE),0)+(IF(QualitéAlimentsJumentPoney=BONNE,VLOOKUP("Sorgho ensilé",AlimentsRationEcuriePoneysFemelles,2,FALSE),0))))))))))</f>
        <v>0</v>
      </c>
      <c r="FP225" s="1282">
        <f t="array" ref="FP225">SUM((IF(QualitéAlimentsPoulainMâlePoney=MOYENNE,VLOOKUP("Sorgho ensilé",AlimentsRationEcuriePoneysMâles,5,FALSE),0)+(IF(QualitéAlimentsPoulainFemellePoney=MOYENNE,VLOOKUP("Sorgho ensilé",AlimentsRationEcuriePoneysFemelles,5,FALSE),0)+(IF(QualitéAlimentsJeuneEtalon_12_24_moisPoney=MOYENNE,VLOOKUP("Sorgho ensilé",AlimentsRationEcuriePoneysMâles,4,FALSE),0)+(IF(QualitéAlimentsJeuneJument_12_24_moisPoney=MOYENNE,VLOOKUP("Sorgho ensilé",AlimentsRationEcuriePoneysFemelles,4,FALSE),0)+(IF(QualitéAlimentsJeuneEtalon_24_36_moisPoney=MOYENNE,VLOOKUP("Sorgho ensilé",AlimentsRationEcuriePoneysMâles,3,FALSE),0)+(IF(QualitéAlimentsJeuneJument_24_36_moisPoney=MOYENNE,VLOOKUP("Sorgho ensilé",AlimentsRationEcuriePoneysFemelles,3,FALSE),0)+(IF(QualitéAlimentsEtalonPoney=MOYENNE,VLOOKUP("Sorgho ensilé",AlimentsRationEcuriePoneysMâles,2,FALSE),0)+(IF(QualitéAlimentsJumentPoney=MOYENNE,VLOOKUP("Sorgho ensilé",AlimentsRationEcuriePoneysFemelles,2,FALSE),0))))))))))</f>
        <v>0</v>
      </c>
      <c r="FQ225" s="1282">
        <f t="array" ref="FQ225">SUM((IF(QualitéAlimentsPoulainMâlePoney=MAUVAISE,VLOOKUP("Sorgho ensilé",AlimentsRationEcuriePoneysMâles,5,FALSE),0)+(IF(QualitéAlimentsPoulainFemellePoney=MAUVAISE,VLOOKUP("Sorgho ensilé",AlimentsRationEcuriePoneysFemelles,5,FALSE),0)+(IF(QualitéAlimentsJeuneEtalon_12_24_moisPoney=MAUVAISE,VLOOKUP("Sorgho ensilé",AlimentsRationEcuriePoneysMâles,4,FALSE),0)+(IF(QualitéAlimentsJeuneJument_12_24_moisPoney=MAUVAISE,VLOOKUP("Sorgho ensilé",AlimentsRationEcuriePoneysFemelles,4,FALSE),0)+(IF(QualitéAlimentsJeuneEtalon_24_36_moisPoney=MAUVAISE,VLOOKUP("Sorgho ensilé",AlimentsRationEcuriePoneysMâles,3,FALSE),0)+(IF(QualitéAlimentsJeuneJument_24_36_moisPoney=MAUVAISE,VLOOKUP("Sorgho ensilé",AlimentsRationEcuriePoneysFemelles,3,FALSE),0)+(IF(QualitéAlimentsEtalonPoney=MAUVAISE,VLOOKUP("Sorgho ensilé",AlimentsRationEcuriePoneysMâles,2,FALSE),0)+(IF(QualitéAlimentsJumentPoney=MAUVAISE,VLOOKUP("Sorgho ensilé",AlimentsRationEcuriePoneysFemelles,2,FALSE),0))))))))))</f>
        <v>0</v>
      </c>
      <c r="FR225" s="1345"/>
      <c r="FS225" s="1345"/>
      <c r="FT225" s="1345"/>
      <c r="FU225" s="1345"/>
      <c r="FV225" s="1345"/>
      <c r="FW225" s="1321"/>
      <c r="FX225" s="1321"/>
      <c r="FY225" s="1321"/>
      <c r="FZ225" s="1321"/>
      <c r="GA225" s="1345"/>
      <c r="GB225" s="1321"/>
      <c r="GC225" s="1321"/>
      <c r="GD225" s="1321"/>
      <c r="GE225" s="1321"/>
      <c r="GF225" s="1321"/>
      <c r="GG225" s="1321" t="s">
        <v>1349</v>
      </c>
      <c r="GH225" s="1321" t="s">
        <v>1349</v>
      </c>
      <c r="GI225" s="1321" t="s">
        <v>1349</v>
      </c>
      <c r="GJ225" s="1321" t="s">
        <v>1349</v>
      </c>
      <c r="GK225" s="1321" t="s">
        <v>1349</v>
      </c>
      <c r="GL225" s="1321" t="s">
        <v>1349</v>
      </c>
      <c r="GM225" s="1321" t="s">
        <v>1349</v>
      </c>
      <c r="GN225" s="1321" t="s">
        <v>1349</v>
      </c>
      <c r="GO225" s="1321" t="s">
        <v>1349</v>
      </c>
      <c r="GP225" s="1321" t="s">
        <v>1349</v>
      </c>
      <c r="GQ225" s="1321" t="s">
        <v>1349</v>
      </c>
      <c r="GR225" s="1321" t="s">
        <v>1349</v>
      </c>
      <c r="GS225" s="1321" t="s">
        <v>1349</v>
      </c>
      <c r="GT225" s="1321" t="s">
        <v>1349</v>
      </c>
      <c r="GU225" s="1321" t="s">
        <v>1349</v>
      </c>
      <c r="GV225" s="1321" t="s">
        <v>1349</v>
      </c>
      <c r="GW225" s="1321"/>
      <c r="GX225" s="1321"/>
      <c r="GY225" s="1321"/>
      <c r="GZ225" s="1321"/>
      <c r="HA225" s="1321"/>
      <c r="HB225" s="1321"/>
      <c r="HC225" s="1321"/>
      <c r="HD225" s="1321"/>
      <c r="HE225" s="1321"/>
      <c r="HF225" s="1321"/>
      <c r="HG225" s="1321"/>
      <c r="HH225" s="1321"/>
      <c r="HI225" s="1321"/>
      <c r="HJ225" s="1321"/>
      <c r="HK225" s="1321"/>
      <c r="HL225" s="1321"/>
      <c r="HM225" s="1321"/>
      <c r="HN225" s="1321"/>
      <c r="HO225" s="1321"/>
      <c r="HP225" s="1321"/>
      <c r="HQ225" s="1321"/>
      <c r="HR225" s="1321"/>
      <c r="HS225" s="1321"/>
      <c r="HT225" s="1321"/>
      <c r="HU225" s="1321"/>
      <c r="HV225" s="1321"/>
      <c r="HW225" s="1321"/>
      <c r="HX225" s="1321"/>
      <c r="HY225" s="1321"/>
      <c r="HZ225" s="1321"/>
      <c r="IA225" s="1321"/>
      <c r="IB225" s="1321"/>
      <c r="IC225" s="1321"/>
      <c r="ID225" s="1321"/>
      <c r="IE225" s="1321"/>
      <c r="IF225" s="1321"/>
      <c r="IG225" s="1321"/>
      <c r="IH225" s="1321"/>
      <c r="II225" s="1321"/>
      <c r="IJ225" s="1321"/>
      <c r="IK225" s="1321"/>
      <c r="IL225" s="1321"/>
      <c r="IM225" s="1321"/>
      <c r="IN225" s="1368"/>
    </row>
    <row r="226" spans="1:248" ht="12.75" customHeight="1" x14ac:dyDescent="0.2">
      <c r="A226" s="1319"/>
      <c r="B226" s="1321"/>
      <c r="C226" s="1321"/>
      <c r="D226" s="1321"/>
      <c r="E226" s="1321"/>
      <c r="F226" s="1321"/>
      <c r="G226" s="1321"/>
      <c r="H226" s="1321"/>
      <c r="I226" s="1321"/>
      <c r="J226" s="1321"/>
      <c r="K226" s="1321"/>
      <c r="L226" s="1321"/>
      <c r="M226" s="1321"/>
      <c r="N226" s="1321"/>
      <c r="O226" s="1321"/>
      <c r="P226" s="1321"/>
      <c r="Q226" s="1321"/>
      <c r="R226" s="1321"/>
      <c r="S226" s="1321"/>
      <c r="T226" s="1321"/>
      <c r="U226" s="1321"/>
      <c r="V226" s="1321"/>
      <c r="W226" s="1321"/>
      <c r="X226" s="1321"/>
      <c r="Y226" s="1321"/>
      <c r="Z226" s="1321"/>
      <c r="AA226" s="1321"/>
      <c r="AB226" s="1321"/>
      <c r="AC226" s="1321"/>
      <c r="AD226" s="1321"/>
      <c r="AE226" s="1321"/>
      <c r="AF226" s="1321"/>
      <c r="AG226" s="1321"/>
      <c r="AH226" s="1321"/>
      <c r="AI226" s="1321"/>
      <c r="AJ226" s="1321"/>
      <c r="AK226" s="1321"/>
      <c r="AL226" s="1321"/>
      <c r="AM226" s="1321"/>
      <c r="AN226" s="1321"/>
      <c r="AO226" s="1321"/>
      <c r="AP226" s="1321"/>
      <c r="AQ226" s="1321"/>
      <c r="AR226" s="1321"/>
      <c r="AS226" s="1321"/>
      <c r="AT226" s="1321"/>
      <c r="AU226" s="1321"/>
      <c r="AV226" s="1321"/>
      <c r="AW226" s="1321"/>
      <c r="AX226" s="1321"/>
      <c r="AY226" s="1321"/>
      <c r="AZ226" s="1321"/>
      <c r="BA226" s="1321"/>
      <c r="BB226" s="1076" t="s">
        <v>76</v>
      </c>
      <c r="BC226" s="1267">
        <f t="array" ref="BC226">IF(Ration_complète_bovins[somme]&gt;0,0,IFERROR(IF(OR(AND(INDEX(Règles_bovins[Specificite],MATCH(ChoixRationBovins&amp;$BB226,Règles_bovins[Ration]&amp;Règles_bovins[Aliment],0))="s1",IF($BB226=Spécificité1Bovins,1)),
AND(INDEX(Règles_bovins[Specificite],MATCH(ChoixRationBovins&amp;$BB226,Règles_bovins[Ration]&amp;Règles_bovins[Aliment],0))="s2",IF($BB226=Spécificité2Bovins,1)),
INDEX(Règles_bovins[Specificite],MATCH(ChoixRationBovins&amp;$BB226,Règles_bovins[Ration]&amp;Règles_bovins[Aliment],0))="c"),
INDEX(Règles_bovins[Valeur 36 et plus],MATCH(ChoixRationBovins&amp;$BB226,Règles_bovins[Ration]&amp;Règles_bovins[Aliment],0)),0),0)*IF(ChoixBovinsPréHiver=OUI,TotalTaureauxRacesLaitières,TotalTaureaux*SUM(NbreJoursNourrirBovins)))</f>
        <v>0</v>
      </c>
      <c r="BD226" s="1267">
        <f t="array" ref="BD226">IF(Ration_complète_bovins[somme]&gt;0,0,IFERROR(IF(OR(AND(INDEX(Règles_bovins[Specificite],MATCH(ChoixRationBovins&amp;$BB226,Règles_bovins[Ration]&amp;Règles_bovins[Aliment],0))="s1",IF($BB226=Spécificité1Bovins,1)),
AND(INDEX(Règles_bovins[Specificite],MATCH(ChoixRationBovins&amp;$BB226,Règles_bovins[Ration]&amp;Règles_bovins[Aliment],0))="s2",IF($BB226=Spécificité2Bovins,1)),
INDEX(Règles_bovins[Specificite],MATCH(ChoixRationBovins&amp;$BB226,Règles_bovins[Ration]&amp;Règles_bovins[Aliment],0))="c"),
INDEX(Règles_bovins[Valeur 24-36],MATCH(ChoixRationBovins&amp;$BB226,Règles_bovins[Ration]&amp;Règles_bovins[Aliment],0)),0),0)*IF(ChoixBovinsPréHiver=OUI,TotalTaurillon_24_36_RacesLaitières,TotalBovinsMâles_24_36mois*SUM(NbreJoursNourrirBovins)))</f>
        <v>0</v>
      </c>
      <c r="BE226" s="1267">
        <f t="array" ref="BE226">IF(Ration_complète_bovins[somme]&gt;0,0,IFERROR(IF(OR(AND(INDEX(Règles_bovins[Specificite],MATCH(ChoixRationBovins&amp;$BB226,Règles_bovins[Ration]&amp;Règles_bovins[Aliment],0))="s1",IF($BB226=Spécificité1Bovins,1)),
AND(INDEX(Règles_bovins[Specificite],MATCH(ChoixRationBovins&amp;$BB226,Règles_bovins[Ration]&amp;Règles_bovins[Aliment],0))="s2",IF($BB226=Spécificité2Bovins,1)),
INDEX(Règles_bovins[Specificite],MATCH(ChoixRationBovins&amp;$BB226,Règles_bovins[Ration]&amp;Règles_bovins[Aliment],0))="c"),
INDEX(Règles_bovins[Valeur 18-24],MATCH(ChoixRationBovins&amp;$BB226,Règles_bovins[Ration]&amp;Règles_bovins[Aliment],0)),0),0)*IF(ChoixBovinsPréHiver=OUI,TotalTaurillon_18_24_RacesLaitières,TotalBovinsMâles_18_24mois*SUM(NbreJoursNourrirBovins)))</f>
        <v>0</v>
      </c>
      <c r="BF226" s="1267">
        <f t="array" ref="BF226">IF(Ration_complète_bovins[somme]&gt;0,0,IFERROR(IF(OR(AND(INDEX(Règles_bovins[Specificite],MATCH(ChoixRationBovins&amp;$BB226,Règles_bovins[Ration]&amp;Règles_bovins[Aliment],0))="s1",IF($BB226=Spécificité1Bovins,1)),
AND(INDEX(Règles_bovins[Specificite],MATCH(ChoixRationBovins&amp;$BB226,Règles_bovins[Ration]&amp;Règles_bovins[Aliment],0))="s2",IF($BB226=Spécificité2Bovins,1)),
INDEX(Règles_bovins[Specificite],MATCH(ChoixRationBovins&amp;$BB226,Règles_bovins[Ration]&amp;Règles_bovins[Aliment],0))="c"),
INDEX(Règles_bovins[Valeur 12-18],MATCH(ChoixRationBovins&amp;$BB226,Règles_bovins[Ration]&amp;Règles_bovins[Aliment],0)),0),0)*IF(ChoixBovinsPréHiver=OUI,animaux!D49,TotalBovinsMâles_12_18mois*SUM(NbreJoursNourrirBovins)))</f>
        <v>0</v>
      </c>
      <c r="BG226" s="1267">
        <f t="array" ref="BG226">IF(Ration_complète_bovins[somme]&gt;0,0,IFERROR(IF(OR(AND(INDEX(Règles_bovins[Specificite],MATCH(ChoixRationBovins&amp;$BB226,Règles_bovins[Ration]&amp;Règles_bovins[Aliment],0))="s1",IF($BB226=Spécificité1Bovins,1)),
AND(INDEX(Règles_bovins[Specificite],MATCH(ChoixRationBovins&amp;$BB226,Règles_bovins[Ration]&amp;Règles_bovins[Aliment],0))="s2",IF($BB226=Spécificité2Bovins,1)),
INDEX(Règles_bovins[Specificite],MATCH(ChoixRationBovins&amp;$BB226,Règles_bovins[Ration]&amp;Règles_bovins[Aliment],0))="c"),
INDEX(Règles_bovins[Valeur 6-12],MATCH(ChoixRationBovins&amp;$BB226,Règles_bovins[Ration]&amp;Règles_bovins[Aliment],0)),0),0)*IF(ChoixBovinsPréHiver=OUI,TotalVeauMâle_6_12_RacesLaitières,TotalBovinsMâles_6_12mois*SUM(NbreJoursNourrirBovins)))</f>
        <v>0</v>
      </c>
      <c r="BH226" s="1267">
        <f t="array" ref="BH226">IF(Ration_complète_bovins[somme]&gt;0,0,IFERROR(IF(OR(AND(INDEX(Règles_bovins[Specificite],MATCH(ChoixRationBovins&amp;$BB226,Règles_bovins[Ration]&amp;Règles_bovins[Aliment],0))="s1",IF($BB226=Spécificité1Bovins,1)),
AND(INDEX(Règles_bovins[Specificite],MATCH(ChoixRationBovins&amp;$BB226,Règles_bovins[Ration]&amp;Règles_bovins[Aliment],0))="s2",IF($BB226=Spécificité2Bovins,1)),
INDEX(Règles_bovins[Specificite],MATCH(ChoixRationBovins&amp;$BB226,Règles_bovins[Ration]&amp;Règles_bovins[Aliment],0))="c"),
INDEX(Règles_bovins[Valeur 3-6],MATCH(ChoixRationBovins&amp;$BB226,Règles_bovins[Ration]&amp;Règles_bovins[Aliment],0)),0),0)*IF(ChoixBovinsPréHiver=OUI,TotalVeauMâle_3_6_RacesLaitières,TotalBovinsMâles_3_6mois*SUM(NbreJoursNourrirBovins)))</f>
        <v>0</v>
      </c>
      <c r="BI226" s="1267">
        <f t="array" ref="BI226">IF(Ration_complète_bovins[somme]&gt;0,0,IFERROR(IF(OR(AND(INDEX(Règles_bovins[Specificite],MATCH(ChoixRationBovins&amp;$BB226,Règles_bovins[Ration]&amp;Règles_bovins[Aliment],0))="s1",IF($BB226=Spécificité1Bovins,1)),
AND(INDEX(Règles_bovins[Specificite],MATCH(ChoixRationBovins&amp;$BB226,Règles_bovins[Ration]&amp;Règles_bovins[Aliment],0))="s2",IF($BB226=Spécificité2Bovins,1)),
INDEX(Règles_bovins[Specificite],MATCH(ChoixRationBovins&amp;$BB226,Règles_bovins[Ration]&amp;Règles_bovins[Aliment],0))="c"),
INDEX(Règles_bovins[Valeur 0-3],MATCH(ChoixRationBovins&amp;$BB226,Règles_bovins[Ration]&amp;Règles_bovins[Aliment],0)),0),0)*IF(ChoixBovinsPréHiver=OUI,TotalVeauMâle_0_3_RacesLaitières,TotalBovinsMâles_0_3mois*SUM(NbreJoursNourrirBovins)))</f>
        <v>0</v>
      </c>
      <c r="BJ226" s="1268">
        <f t="shared" si="69"/>
        <v>0</v>
      </c>
      <c r="BK226" s="1321"/>
      <c r="BL226" s="1345"/>
      <c r="BM226" s="1346"/>
      <c r="BN226" s="1321"/>
      <c r="BO226" s="1321"/>
      <c r="BP226" s="1321"/>
      <c r="BQ226" s="1321"/>
      <c r="BR226" s="1321"/>
      <c r="BS226" s="1321"/>
      <c r="BT226" s="1321"/>
      <c r="BU226" s="1321"/>
      <c r="BV226" s="1345"/>
      <c r="BW226" s="1345"/>
      <c r="BX226" s="1076" t="str">
        <f t="shared" si="70"/>
        <v>Tourteau de colza</v>
      </c>
      <c r="BY226" s="1267">
        <f t="array" ref="BY226">SUM((IF(QualitéAlimentsChevreau_0_3_mois=BONNE,VLOOKUP("Tourteau de colza",AlimentsRationCaprinsMâles,5,FALSE),0)+(IF(QualitéAlimentsChevrette_0_3_mois=BONNE,VLOOKUP("Tourteau de colza",AlimentsRationCaprinsFemelles,5,FALSE),0)+(IF(QualitéAlimentsChevreau_3_6_mois=BONNE,VLOOKUP("Tourteau de colza",AlimentsRationCaprinsMâles,4,FALSE),0)+(IF(QualitéAlimentsChevrette_3_6_mois=BONNE,VLOOKUP("Tourteau de colza",AlimentsRationCaprinsFemelles,4,FALSE),0)+(IF(QualitéAlimentsJeuneBouc=BONNE,VLOOKUP("Tourteau de colza",AlimentsRationCaprinsMâles,3,FALSE),0)+(IF(QualitéAlimentsJeuneChèvre=BONNE,VLOOKUP("Tourteau de colza",AlimentsRationCaprinsFemelles,3,FALSE),0)+(IF(QualitéAlimentsBouc=BONNE,VLOOKUP("Tourteau de colza",AlimentsRationCaprinsMâles,2,FALSE),0)+(IF(QualitéAlimentsChèvre=BONNE,VLOOKUP("Tourteau de colza",AlimentsRationCaprinsFemelles,2,FALSE),0))))))))))</f>
        <v>0</v>
      </c>
      <c r="BZ226" s="1267">
        <f t="array" ref="BZ226">SUM((IF(QualitéAlimentsChevreau_0_3_mois=MOYENNE,VLOOKUP("Tourteau de colza",AlimentsRationCaprinsMâles,5,FALSE),0)+(IF(QualitéAlimentsChevrette_0_3_mois=MOYENNE,VLOOKUP("Tourteau de colza",AlimentsRationCaprinsFemelles,5,FALSE),0)+(IF(QualitéAlimentsChevreau_3_6_mois=MOYENNE,VLOOKUP("Tourteau de colza",AlimentsRationCaprinsMâles,4,FALSE),0)+(IF(QualitéAlimentsChevrette_3_6_mois=MOYENNE,VLOOKUP("Tourteau de colza",AlimentsRationCaprinsFemelles,4,FALSE),0)+(IF(QualitéAlimentsJeuneBouc=MOYENNE,VLOOKUP("Tourteau de colza",AlimentsRationCaprinsMâles,3,FALSE),0)+(IF(QualitéAlimentsJeuneChèvre=MOYENNE,VLOOKUP("Tourteau de colza",AlimentsRationCaprinsFemelles,3,FALSE),0)+(IF(QualitéAlimentsBouc=MOYENNE,VLOOKUP("Tourteau de colza",AlimentsRationCaprinsMâles,2,FALSE),0)+(IF(QualitéAlimentsChèvre=MOYENNE,VLOOKUP("Tourteau de colza",AlimentsRationCaprinsFemelles,2,FALSE),0))))))))))</f>
        <v>0</v>
      </c>
      <c r="CA226" s="1267">
        <f t="array" ref="CA226">SUM((IF(QualitéAlimentsChevreau_0_3_mois=MAUVAISE,VLOOKUP("Tourteau de colza",AlimentsRationCaprinsMâles,5,FALSE),0)+(IF(QualitéAlimentsChevrette_0_3_mois=MAUVAISE,VLOOKUP("Tourteau de colza",AlimentsRationCaprinsFemelles,5,FALSE),0)+(IF(QualitéAlimentsChevreau_3_6_mois=MAUVAISE,VLOOKUP("Tourteau de colza",AlimentsRationCaprinsMâles,4,FALSE),0)+(IF(QualitéAlimentsChevrette_3_6_mois=MAUVAISE,VLOOKUP("Tourteau de colza",AlimentsRationCaprinsFemelles,4,FALSE),0)+(IF(QualitéAlimentsJeuneBouc=MAUVAISE,VLOOKUP("Tourteau de colza",AlimentsRationCaprinsMâles,3,FALSE),0)+(IF(QualitéAlimentsJeuneChèvre=MAUVAISE,VLOOKUP("Tourteau de colza",AlimentsRationCaprinsFemelles,3,FALSE),0)+(IF(QualitéAlimentsBouc=MAUVAISE,VLOOKUP("Tourteau de colza",AlimentsRationCaprinsMâles,2,FALSE),0)+(IF(QualitéAlimentsChèvre=MAUVAISE,VLOOKUP("Tourteau de colza",AlimentsRationCaprinsFemelles,2,FALSE),0))))))))))</f>
        <v>0</v>
      </c>
      <c r="CB226" s="1321"/>
      <c r="CC226" s="1321"/>
      <c r="CD226" s="1345"/>
      <c r="CE226" s="1345"/>
      <c r="CF226" s="1345"/>
      <c r="CG226" s="1345"/>
      <c r="CH226" s="1345"/>
      <c r="CI226" s="1321"/>
      <c r="CJ226" s="1321"/>
      <c r="CK226" s="1321"/>
      <c r="CL226" s="1321"/>
      <c r="CM226" s="1321"/>
      <c r="CN226" s="1321"/>
      <c r="CO226" s="1321"/>
      <c r="CP226" s="1321"/>
      <c r="CQ226" s="1321"/>
      <c r="CR226" s="1321"/>
      <c r="CS226" s="1321"/>
      <c r="CT226" s="1321"/>
      <c r="CU226" s="1321"/>
      <c r="CV226" s="1321"/>
      <c r="CW226" s="1321"/>
      <c r="CX226" s="1321"/>
      <c r="CY226" s="1321"/>
      <c r="CZ226" s="1321"/>
      <c r="DA226" s="1321"/>
      <c r="DB226" s="1321"/>
      <c r="DC226" s="1321"/>
      <c r="DD226" s="1321"/>
      <c r="DE226" s="1321"/>
      <c r="DF226" s="1321"/>
      <c r="DG226" s="1321"/>
      <c r="DH226" s="1321"/>
      <c r="DI226" s="1321"/>
      <c r="DJ226" s="1321"/>
      <c r="DK226" s="1321"/>
      <c r="DL226" s="1321"/>
      <c r="DM226" s="1321"/>
      <c r="DN226" s="1076">
        <f t="shared" si="68"/>
        <v>0</v>
      </c>
      <c r="DO226" s="1267">
        <f t="array" ref="DO226">IF(ChoixRationComplèteOvins=OUI,0,IFERROR(IF(OR(AND(INDEX(Règles_ovins[Specificite],MATCH(ChoixRationOvins&amp;$DN226,Règles_ovins[Ration]&amp;Règles_ovins[Aliment],0))="s1",IF($DN226=Spécificité1Ovins,1)),
AND(INDEX(Règles_ovins[Specificite],MATCH(ChoixRationOvins&amp;$DN226,Règles_ovins[Ration]&amp;Règles_ovins[Aliment],0))="s2",IF($DN226=Spécificité2Ovins,1)),
INDEX(Règles_ovins[Specificite],MATCH(ChoixRationOvins&amp;$DN226,Règles_ovins[Ration]&amp;Règles_ovins[Aliment],0))="c"),
INDEX(Règles_ovins[Valeur 12 et plus],MATCH(ChoixRationOvins&amp;$DN226,Règles_ovins[Ration]&amp;Règles_ovins[Aliment],0)),0),0)*IF(ChoixOvinsPréHiver=OUI,SUM(TotalOvinsAdultesRacesLaitières)*NbreJoursNourrirOvins,TotalBrebis*SUM(NbreJoursNourrirOvins)))</f>
        <v>0</v>
      </c>
      <c r="DP226" s="1267">
        <f t="array" ref="DP226">IF(ChoixRationComplèteOvins=OUI,0,IFERROR(IF(OR(AND(INDEX(Règles_ovins[Specificite],MATCH(ChoixRationOvins&amp;$DN226,Règles_ovins[Ration]&amp;Règles_ovins[Aliment],0))="s1",IF($DN226=Spécificité1Ovins,1)),
AND(INDEX(Règles_ovins[Specificite],MATCH(ChoixRationOvins&amp;$DN226,Règles_ovins[Ration]&amp;Règles_ovins[Aliment],0))="s2",IF($DN226=Spécificité2Ovins,1)),
INDEX(Règles_ovins[Specificite],MATCH(ChoixRationOvins&amp;$DN226,Règles_ovins[Ration]&amp;Règles_ovins[Aliment],0))="c"),
INDEX(Règles_ovins[Valeur 6-12],MATCH(ChoixRationOvins&amp;$DN226,Règles_ovins[Ration]&amp;Règles_ovins[Aliment],0)),0),0)*IF(ChoixOvinsPréHiver=OUI,SUM(TotalJeunesOvinsRacesLaitières)*NbreJoursNourrirOvins,TotalJeune_brebis_6_12_mois*SUM(NbreJoursNourrirOvins)))</f>
        <v>0</v>
      </c>
      <c r="DQ226" s="1267">
        <f t="array" ref="DQ226">IF(ChoixRationComplèteOvins=OUI,0,IFERROR(IF(OR(AND(INDEX(Règles_ovins[Specificite],MATCH(ChoixRationOvins&amp;$DN226,Règles_ovins[Ration]&amp;Règles_ovins[Aliment],0))="s1",IF($DN226=Spécificité1Ovins,1)),
AND(INDEX(Règles_ovins[Specificite],MATCH(ChoixRationOvins&amp;$DN226,Règles_ovins[Ration]&amp;Règles_ovins[Aliment],0))="s2",IF($DN226=Spécificité2Ovins,1)),
INDEX(Règles_ovins[Specificite],MATCH(ChoixRationOvins&amp;$DN226,Règles_ovins[Ration]&amp;Règles_ovins[Aliment],0))="c"),
INDEX(Règles_ovins[Valeur 3-6],MATCH(ChoixRationOvins&amp;$DN226,Règles_ovins[Ration]&amp;Règles_ovins[Aliment],0)),0),0)*IF(ChoixOvinsPréHiver=OUI,SUM(TotalOvins_3_6moisRacesLaitières)*NbreJoursNourrirOvins,TotalAgnelle_3_6_mois*SUM(NbreJoursNourrirOvins)))</f>
        <v>0</v>
      </c>
      <c r="DR226" s="1267">
        <f t="array" ref="DR226">IF(ChoixRationComplèteOvins=OUI,0,IFERROR(IF(OR(AND(INDEX(Règles_ovins[Specificite],MATCH(ChoixRationOvins&amp;$DN226,Règles_ovins[Ration]&amp;Règles_ovins[Aliment],0))="s1",IF($DN226=Spécificité1Ovins,1)),
AND(INDEX(Règles_ovins[Specificite],MATCH(ChoixRationOvins&amp;$DN226,Règles_ovins[Ration]&amp;Règles_ovins[Aliment],0))="s2",IF($DN226=Spécificité2Ovins,1)),
INDEX(Règles_ovins[Specificite],MATCH(ChoixRationOvins&amp;$DN226,Règles_ovins[Ration]&amp;Règles_ovins[Aliment],0))="c"),
INDEX(Règles_ovins[Valeur 0-3],MATCH(ChoixRationOvins&amp;$DN226,Règles_ovins[Ration]&amp;Règles_ovins[Aliment],0)),0),0)*IF(ChoixOvinsPréHiver=OUI,SUM(TotalOvins_3_6moisRacesLaitières)*NbreJoursNourrirOvins,TotalAgnelle_0_3_mois*SUM(NbreJoursNourrirOvins)))</f>
        <v>0</v>
      </c>
      <c r="DS226" s="1279">
        <f t="shared" si="67"/>
        <v>0</v>
      </c>
      <c r="DT226" s="1346"/>
      <c r="DU226" s="1346"/>
      <c r="DV226" s="1321"/>
      <c r="DW226" s="1321"/>
      <c r="DX226" s="1321"/>
      <c r="DY226" s="1321"/>
      <c r="DZ226" s="1321"/>
      <c r="EA226" s="1321"/>
      <c r="EB226" s="1321"/>
      <c r="EC226" s="1321"/>
      <c r="ED226" s="1345"/>
      <c r="EE226" s="1345"/>
      <c r="EF226" s="1321"/>
      <c r="EG226" s="1321"/>
      <c r="EH226" s="1321"/>
      <c r="EI226" s="1321"/>
      <c r="EJ226" s="1321"/>
      <c r="EK226" s="1345"/>
      <c r="EL226" s="1345"/>
      <c r="EM226" s="1321"/>
      <c r="EN226" s="1321"/>
      <c r="EO226" s="1321"/>
      <c r="EP226" s="1321"/>
      <c r="EQ226" s="1321"/>
      <c r="ER226" s="1345"/>
      <c r="ES226" s="1345"/>
      <c r="ET226" s="1321"/>
      <c r="EU226" s="1083" t="str">
        <f t="shared" si="73"/>
        <v>Pomme de terre</v>
      </c>
      <c r="EV226" s="1283">
        <f t="array" ref="EV226">SUM((IF(QualitéAlimentsPoulainSelleMâle=BONNE,VLOOKUP("Pomme de terre",AlimentsRationEcurieChevauxMâlesSelle,5,FALSE),0)+(IF(QualitéAlimentsPoulainSelleFemelle=BONNE,VLOOKUP("Pomme de terre",AlimentsRationEcurieChevauxFemellesSelle,5,FALSE),0)+(IF(QualitéAlimentsJeuneEtalon_12_24_moisSelle=BONNE,VLOOKUP("Pomme de terre",AlimentsRationEcurieChevauxMâlesSelle,4,FALSE),0)+(IF(QualitéAlimentsJeuneJument_12_24_moisSelle=BONNE,VLOOKUP("Pomme de terre",AlimentsRationEcurieChevauxFemellesSelle,4,FALSE),0)+(IF(QualitéAlimentsJeuneEtalon_24_36_moisSelle=BONNE,VLOOKUP("Pomme de terre",AlimentsRationEcurieChevauxMâlesSelle,3,FALSE),0)+(IF(QualitéAlimentsJeuneJument_24_36_moisSelle=BONNE,VLOOKUP("Pomme de terre",AlimentsRationEcurieChevauxFemellesSelle,3,FALSE),0)+(IF(QualitéAlimentsEtalonSelle=BONNE,VLOOKUP("Pomme de terre",AlimentsRationEcurieChevauxMâlesSelle,2,FALSE),0)+(IF(QualitéAlimentsJumentSelle=BONNE,VLOOKUP("Pomme de terre",AlimentsRationEcurieChevauxFemellesSelle,2,FALSE),0))))))))))</f>
        <v>0</v>
      </c>
      <c r="EW226" s="1283">
        <f t="array" ref="EW226">SUM((IF(QualitéAlimentsPoulainSelleMâle=MOYENNE,VLOOKUP("Pomme de terre",AlimentsRationEcurieChevauxMâlesSelle,5,FALSE),0)+(IF(QualitéAlimentsPoulainSelleFemelle=MOYENNE,VLOOKUP("Pomme de terre",AlimentsRationEcurieChevauxFemellesSelle,5,FALSE),0)+(IF(QualitéAlimentsJeuneEtalon_12_24_moisSelle=MOYENNE,VLOOKUP("Pomme de terre",AlimentsRationEcurieChevauxMâlesSelle,4,FALSE),0)+(IF(QualitéAlimentsJeuneJument_12_24_moisSelle=MOYENNE,VLOOKUP("Pomme de terre",AlimentsRationEcurieChevauxFemellesSelle,4,FALSE),0)+(IF(QualitéAlimentsJeuneEtalon_24_36_moisSelle=MOYENNE,VLOOKUP("Pomme de terre",AlimentsRationEcurieChevauxMâlesSelle,3,FALSE),0)+(IF(QualitéAlimentsJeuneJument_24_36_moisSelle=MOYENNE,VLOOKUP("Pomme de terre",AlimentsRationEcurieChevauxFemellesSelle,3,FALSE),0)+(IF(QualitéAlimentsEtalonSelle=MOYENNE,VLOOKUP("Pomme de terre",AlimentsRationEcurieChevauxMâlesSelle,2,FALSE),0)+(IF(QualitéAlimentsJumentSelle=MOYENNE,VLOOKUP("Pomme de terre",AlimentsRationEcurieChevauxFemellesSelle,2,FALSE),0))))))))))</f>
        <v>0</v>
      </c>
      <c r="EX226" s="1283">
        <f t="array" ref="EX226">SUM((IF(QualitéAlimentsPoulainSelleMâle=MAUVAISE,VLOOKUP("Pomme de terre",AlimentsRationEcurieChevauxMâlesSelle,5,FALSE),0)+(IF(QualitéAlimentsPoulainSelleFemelle=MAUVAISE,VLOOKUP("Pomme de terre",AlimentsRationEcurieChevauxFemellesSelle,5,FALSE),0)+(IF(QualitéAlimentsJeuneEtalon_12_24_moisSelle=MAUVAISE,VLOOKUP("Pomme de terre",AlimentsRationEcurieChevauxMâlesSelle,4,FALSE),0)+(IF(QualitéAlimentsJeuneJument_12_24_moisSelle=MAUVAISE,VLOOKUP("Pomme de terre",AlimentsRationEcurieChevauxFemellesSelle,4,FALSE),0)+(IF(QualitéAlimentsJeuneEtalon_24_36_moisSelle=MAUVAISE,VLOOKUP("Pomme de terre",AlimentsRationEcurieChevauxMâlesSelle,3,FALSE),0)+(IF(QualitéAlimentsJeuneJument_24_36_moisSelle=MAUVAISE,VLOOKUP("Pomme de terre",AlimentsRationEcurieChevauxFemellesSelle,3,FALSE),0)+(IF(QualitéAlimentsEtalonSelle=MAUVAISE,VLOOKUP("Pomme de terre",AlimentsRationEcurieChevauxMâlesSelle,2,FALSE),0)+(IF(QualitéAlimentsJumentSelle=MAUVAISE,VLOOKUP("Pomme de terre",AlimentsRationEcurieChevauxFemellesSelle,2,FALSE),0))))))))))</f>
        <v>0</v>
      </c>
      <c r="EY226" s="1321"/>
      <c r="EZ226" s="1345"/>
      <c r="FA226" s="1345"/>
      <c r="FB226" s="1345"/>
      <c r="FC226" s="1321"/>
      <c r="FD226" s="1082" t="str">
        <f t="shared" si="72"/>
        <v>Sorgho ensilé</v>
      </c>
      <c r="FE226" s="1282">
        <f t="array" ref="FE226">SUM((IF(QualitéAlimentsPoulainMâleTrait=BONNE,VLOOKUP("Sorgho ensilé",AlimentsRationEcurieChevauxMâlesTrait,5,FALSE),0)+(IF(QualitéAlimentsPoulainFemelleTrait=BONNE,VLOOKUP("Sorgho ensilé",AlimentsRationEcurieChevauxFemellesTrait,5,FALSE),0)+(IF(QualitéAlimentsJeuneEtalon_12_24_moisTrait=BONNE,VLOOKUP("Sorgho ensilé",AlimentsRationEcurieChevauxMâlesTrait,4,FALSE),0)+(IF(QualitéAlimentsJeuneJument_12_24_moisTrait=BONNE,VLOOKUP("Sorgho ensilé",AlimentsRationEcurieChevauxFemellesTrait,4,FALSE),0)+(IF(QualitéAlimentsJeuneEtalon_24_36_moisTrait=BONNE,VLOOKUP("Sorgho ensilé",AlimentsRationEcurieChevauxMâlesTrait,3,FALSE),0)+(IF(QualitéAlimentsJeuneJument_24_36_moisTrait=BONNE,VLOOKUP("Sorgho ensilé",AlimentsRationEcurieChevauxFemellesTrait,3,FALSE),0)+(IF(QualitéAlimentsEtalonTrait=BONNE,VLOOKUP("Sorgho ensilé",AlimentsRationEcurieChevauxMâlesTrait,2,FALSE),0)+(IF(QualitéAlimentsJumentTrait=BONNE,VLOOKUP("Sorgho ensilé",AlimentsRationEcurieChevauxFemellesTrait,2,FALSE),0))))))))))</f>
        <v>0</v>
      </c>
      <c r="FF226" s="1282">
        <f t="array" ref="FF226">SUM((IF(QualitéAlimentsPoulainMâleTrait=MOYENNE,VLOOKUP("Sorgho ensilé",AlimentsRationEcurieChevauxMâlesTrait,5,FALSE),0)+(IF(QualitéAlimentsPoulainFemelleTrait=MOYENNE,VLOOKUP("Sorgho ensilé",AlimentsRationEcurieChevauxFemellesTrait,5,FALSE),0)+(IF(QualitéAlimentsJeuneEtalon_12_24_moisTrait=MOYENNE,VLOOKUP("Sorgho ensilé",AlimentsRationEcurieChevauxMâlesTrait,4,FALSE),0)+(IF(QualitéAlimentsJeuneJument_12_24_moisTrait=MOYENNE,VLOOKUP("Sorgho ensilé",AlimentsRationEcurieChevauxFemellesTrait,4,FALSE),0)+(IF(QualitéAlimentsJeuneEtalon_24_36_moisTrait=MOYENNE,VLOOKUP("Sorgho ensilé",AlimentsRationEcurieChevauxMâlesTrait,3,FALSE),0)+(IF(QualitéAlimentsJeuneJument_24_36_moisTrait=MOYENNE,VLOOKUP("Sorgho ensilé",AlimentsRationEcurieChevauxFemellesTrait,3,FALSE),0)+(IF(QualitéAlimentsEtalonTrait=MOYENNE,VLOOKUP("Sorgho ensilé",AlimentsRationEcurieChevauxMâlesTrait,2,FALSE),0)+(IF(QualitéAlimentsJumentTrait=MOYENNE,VLOOKUP("Sorgho ensilé",AlimentsRationEcurieChevauxFemellesTrait,2,FALSE),0))))))))))</f>
        <v>0</v>
      </c>
      <c r="FG226" s="1282">
        <f t="array" ref="FG226">SUM((IF(QualitéAlimentsPoulainMâleTrait=MAUVAISE,VLOOKUP("Sorgho ensilé",AlimentsRationEcurieChevauxMâlesTrait,5,FALSE),0)+(IF(QualitéAlimentsPoulainFemelleTrait=MAUVAISE,VLOOKUP("Sorgho ensilé",AlimentsRationEcurieChevauxFemellesTrait,5,FALSE),0)+(IF(QualitéAlimentsJeuneEtalon_12_24_moisTrait=MAUVAISE,VLOOKUP("Sorgho ensilé",AlimentsRationEcurieChevauxMâlesTrait,4,FALSE),0)+(IF(QualitéAlimentsJeuneJument_12_24_moisTrait=MAUVAISE,VLOOKUP("Sorgho ensilé",AlimentsRationEcurieChevauxFemellesTrait,4,FALSE),0)+(IF(QualitéAlimentsJeuneEtalon_24_36_moisTrait=MAUVAISE,VLOOKUP("Sorgho ensilé",AlimentsRationEcurieChevauxMâlesTrait,3,FALSE),0)+(IF(QualitéAlimentsJeuneJument_24_36_moisTrait=MAUVAISE,VLOOKUP("Sorgho ensilé",AlimentsRationEcurieChevauxFemellesTrait,3,FALSE),0)+(IF(QualitéAlimentsEtalonTrait=MAUVAISE,VLOOKUP("Sorgho ensilé",AlimentsRationEcurieChevauxMâlesTrait,2,FALSE),0)+(IF(QualitéAlimentsJumentTrait=MAUVAISE,VLOOKUP("Sorgho ensilé",AlimentsRationEcurieChevauxFemellesTrait,2,FALSE),0))))))))))</f>
        <v>0</v>
      </c>
      <c r="FH226" s="1321"/>
      <c r="FI226" s="1321"/>
      <c r="FJ226" s="1345"/>
      <c r="FK226" s="1345"/>
      <c r="FL226" s="1345"/>
      <c r="FM226" s="1321"/>
      <c r="FN226" s="1083" t="str">
        <f t="shared" si="71"/>
        <v>Tournesol</v>
      </c>
      <c r="FO226" s="1283">
        <f t="array" ref="FO226">SUM((IF(QualitéAlimentsPoulainMâlePoney=BONNE,VLOOKUP("Tournesol",AlimentsRationEcuriePoneysMâles,5,FALSE),0)+(IF(QualitéAlimentsPoulainFemellePoney=BONNE,VLOOKUP("Tournesol",AlimentsRationEcuriePoneysFemelles,5,FALSE),0)+(IF(QualitéAlimentsJeuneEtalon_12_24_moisPoney=BONNE,VLOOKUP("Tournesol",AlimentsRationEcuriePoneysMâles,4,FALSE),0)+(IF(QualitéAlimentsJeuneJument_12_24_moisPoney=BONNE,VLOOKUP("Tournesol",AlimentsRationEcuriePoneysFemelles,4,FALSE),0)+(IF(QualitéAlimentsJeuneEtalon_24_36_moisPoney=BONNE,VLOOKUP("Tournesol",AlimentsRationEcuriePoneysMâles,3,FALSE),0)+(IF(QualitéAlimentsJeuneJument_24_36_moisPoney=BONNE,VLOOKUP("Tournesol",AlimentsRationEcuriePoneysFemelles,3,FALSE),0)+(IF(QualitéAlimentsEtalonPoney=BONNE,VLOOKUP("Tournesol",AlimentsRationEcuriePoneysMâles,2,FALSE),0)+(IF(QualitéAlimentsJumentPoney=BONNE,VLOOKUP("Tournesol",AlimentsRationEcuriePoneysFemelles,2,FALSE),0))))))))))</f>
        <v>0</v>
      </c>
      <c r="FP226" s="1283">
        <f t="array" ref="FP226">SUM((IF(QualitéAlimentsPoulainMâlePoney=MOYENNE,VLOOKUP("Tournesol",AlimentsRationEcuriePoneysMâles,5,FALSE),0)+(IF(QualitéAlimentsPoulainFemellePoney=MOYENNE,VLOOKUP("Tournesol",AlimentsRationEcuriePoneysFemelles,5,FALSE),0)+(IF(QualitéAlimentsJeuneEtalon_12_24_moisPoney=MOYENNE,VLOOKUP("Tournesol",AlimentsRationEcuriePoneysMâles,4,FALSE),0)+(IF(QualitéAlimentsJeuneJument_12_24_moisPoney=MOYENNE,VLOOKUP("Tournesol",AlimentsRationEcuriePoneysFemelles,4,FALSE),0)+(IF(QualitéAlimentsJeuneEtalon_24_36_moisPoney=MOYENNE,VLOOKUP("Tournesol",AlimentsRationEcuriePoneysMâles,3,FALSE),0)+(IF(QualitéAlimentsJeuneJument_24_36_moisPoney=MOYENNE,VLOOKUP("Tournesol",AlimentsRationEcuriePoneysFemelles,3,FALSE),0)+(IF(QualitéAlimentsEtalonPoney=MOYENNE,VLOOKUP("Tournesol",AlimentsRationEcuriePoneysMâles,2,FALSE),0)+(IF(QualitéAlimentsJumentPoney=MOYENNE,VLOOKUP("Tournesol",AlimentsRationEcuriePoneysFemelles,2,FALSE),0))))))))))</f>
        <v>0</v>
      </c>
      <c r="FQ226" s="1283">
        <f t="array" ref="FQ226">SUM((IF(QualitéAlimentsPoulainMâlePoney=MAUVAISE,VLOOKUP("Tournesol",AlimentsRationEcuriePoneysMâles,5,FALSE),0)+(IF(QualitéAlimentsPoulainFemellePoney=MAUVAISE,VLOOKUP("Tournesol",AlimentsRationEcuriePoneysFemelles,5,FALSE),0)+(IF(QualitéAlimentsJeuneEtalon_12_24_moisPoney=MAUVAISE,VLOOKUP("Tournesol",AlimentsRationEcuriePoneysMâles,4,FALSE),0)+(IF(QualitéAlimentsJeuneJument_12_24_moisPoney=MAUVAISE,VLOOKUP("Tournesol",AlimentsRationEcuriePoneysFemelles,4,FALSE),0)+(IF(QualitéAlimentsJeuneEtalon_24_36_moisPoney=MAUVAISE,VLOOKUP("Tournesol",AlimentsRationEcuriePoneysMâles,3,FALSE),0)+(IF(QualitéAlimentsJeuneJument_24_36_moisPoney=MAUVAISE,VLOOKUP("Tournesol",AlimentsRationEcuriePoneysFemelles,3,FALSE),0)+(IF(QualitéAlimentsEtalonPoney=MAUVAISE,VLOOKUP("Tournesol",AlimentsRationEcuriePoneysMâles,2,FALSE),0)+(IF(QualitéAlimentsJumentPoney=MAUVAISE,VLOOKUP("Tournesol",AlimentsRationEcuriePoneysFemelles,2,FALSE),0))))))))))</f>
        <v>0</v>
      </c>
      <c r="FR226" s="1345"/>
      <c r="FS226" s="1345"/>
      <c r="FT226" s="1345"/>
      <c r="FU226" s="1345"/>
      <c r="FV226" s="1345"/>
      <c r="FW226" s="1321"/>
      <c r="FX226" s="1321"/>
      <c r="FY226" s="1321"/>
      <c r="FZ226" s="1321"/>
      <c r="GA226" s="1345"/>
      <c r="GB226" s="1321"/>
      <c r="GC226" s="1321"/>
      <c r="GD226" s="1321"/>
      <c r="GE226" s="1321"/>
      <c r="GF226" s="1321"/>
      <c r="GG226" s="1321" t="s">
        <v>1349</v>
      </c>
      <c r="GH226" s="1321" t="s">
        <v>1349</v>
      </c>
      <c r="GI226" s="1321" t="s">
        <v>1349</v>
      </c>
      <c r="GJ226" s="1321" t="s">
        <v>1349</v>
      </c>
      <c r="GK226" s="1321" t="s">
        <v>1349</v>
      </c>
      <c r="GL226" s="1321" t="s">
        <v>1349</v>
      </c>
      <c r="GM226" s="1321" t="s">
        <v>1349</v>
      </c>
      <c r="GN226" s="1321" t="s">
        <v>1349</v>
      </c>
      <c r="GO226" s="1321" t="s">
        <v>1349</v>
      </c>
      <c r="GP226" s="1321" t="s">
        <v>1349</v>
      </c>
      <c r="GQ226" s="1321" t="s">
        <v>1349</v>
      </c>
      <c r="GR226" s="1321" t="s">
        <v>1349</v>
      </c>
      <c r="GS226" s="1321" t="s">
        <v>1349</v>
      </c>
      <c r="GT226" s="1321" t="s">
        <v>1349</v>
      </c>
      <c r="GU226" s="1321" t="s">
        <v>1349</v>
      </c>
      <c r="GV226" s="1321" t="s">
        <v>1349</v>
      </c>
      <c r="GW226" s="1321"/>
      <c r="GX226" s="1321"/>
      <c r="GY226" s="1321"/>
      <c r="GZ226" s="1321"/>
      <c r="HA226" s="1321"/>
      <c r="HB226" s="1321"/>
      <c r="HC226" s="1321"/>
      <c r="HD226" s="1321"/>
      <c r="HE226" s="1321"/>
      <c r="HF226" s="1321"/>
      <c r="HG226" s="1321"/>
      <c r="HH226" s="1321"/>
      <c r="HI226" s="1321"/>
      <c r="HJ226" s="1321"/>
      <c r="HK226" s="1321"/>
      <c r="HL226" s="1321"/>
      <c r="HM226" s="1321"/>
      <c r="HN226" s="1321"/>
      <c r="HO226" s="1321"/>
      <c r="HP226" s="1321"/>
      <c r="HQ226" s="1321"/>
      <c r="HR226" s="1321"/>
      <c r="HS226" s="1321"/>
      <c r="HT226" s="1321"/>
      <c r="HU226" s="1321"/>
      <c r="HV226" s="1321"/>
      <c r="HW226" s="1321"/>
      <c r="HX226" s="1321"/>
      <c r="HY226" s="1321"/>
      <c r="HZ226" s="1321"/>
      <c r="IA226" s="1321"/>
      <c r="IB226" s="1321"/>
      <c r="IC226" s="1321"/>
      <c r="ID226" s="1321"/>
      <c r="IE226" s="1321"/>
      <c r="IF226" s="1321"/>
      <c r="IG226" s="1321"/>
      <c r="IH226" s="1321"/>
      <c r="II226" s="1321"/>
      <c r="IJ226" s="1321"/>
      <c r="IK226" s="1321"/>
      <c r="IL226" s="1321"/>
      <c r="IM226" s="1321"/>
      <c r="IN226" s="1368"/>
    </row>
    <row r="227" spans="1:248" ht="12.75" customHeight="1" x14ac:dyDescent="0.2">
      <c r="A227" s="1319"/>
      <c r="B227" s="1321"/>
      <c r="C227" s="1321"/>
      <c r="D227" s="1321"/>
      <c r="E227" s="1321"/>
      <c r="F227" s="1321"/>
      <c r="G227" s="1321"/>
      <c r="H227" s="1321"/>
      <c r="I227" s="1321"/>
      <c r="J227" s="1321"/>
      <c r="K227" s="1321"/>
      <c r="L227" s="1321"/>
      <c r="M227" s="1321"/>
      <c r="N227" s="1321"/>
      <c r="O227" s="1321"/>
      <c r="P227" s="1321"/>
      <c r="Q227" s="1321"/>
      <c r="R227" s="1321"/>
      <c r="S227" s="1321"/>
      <c r="T227" s="1321"/>
      <c r="U227" s="1321"/>
      <c r="V227" s="1321"/>
      <c r="W227" s="1321"/>
      <c r="X227" s="1321"/>
      <c r="Y227" s="1321"/>
      <c r="Z227" s="1321"/>
      <c r="AA227" s="1321"/>
      <c r="AB227" s="1321"/>
      <c r="AC227" s="1321"/>
      <c r="AD227" s="1321"/>
      <c r="AE227" s="1321"/>
      <c r="AF227" s="1321"/>
      <c r="AG227" s="1321"/>
      <c r="AH227" s="1321"/>
      <c r="AI227" s="1321"/>
      <c r="AJ227" s="1321"/>
      <c r="AK227" s="1321"/>
      <c r="AL227" s="1321"/>
      <c r="AM227" s="1321"/>
      <c r="AN227" s="1321"/>
      <c r="AO227" s="1321"/>
      <c r="AP227" s="1321"/>
      <c r="AQ227" s="1321"/>
      <c r="AR227" s="1321"/>
      <c r="AS227" s="1321"/>
      <c r="AT227" s="1321"/>
      <c r="AU227" s="1321"/>
      <c r="AV227" s="1321"/>
      <c r="AW227" s="1321"/>
      <c r="AX227" s="1321"/>
      <c r="AY227" s="1321"/>
      <c r="AZ227" s="1321"/>
      <c r="BA227" s="1321"/>
      <c r="BB227" s="1075"/>
      <c r="BC227" s="1269">
        <f t="array" ref="BC227">IF(Ration_complète_bovins[somme]&gt;0,0,IFERROR(IF(OR(AND(INDEX(Règles_bovins[Specificite],MATCH(ChoixRationBovins&amp;$BB227,Règles_bovins[Ration]&amp;Règles_bovins[Aliment],0))="s1",IF($BB227=Spécificité1Bovins,1)),
AND(INDEX(Règles_bovins[Specificite],MATCH(ChoixRationBovins&amp;$BB227,Règles_bovins[Ration]&amp;Règles_bovins[Aliment],0))="s2",IF($BB227=Spécificité2Bovins,1)),
INDEX(Règles_bovins[Specificite],MATCH(ChoixRationBovins&amp;$BB227,Règles_bovins[Ration]&amp;Règles_bovins[Aliment],0))="c"),
INDEX(Règles_bovins[Valeur 36 et plus],MATCH(ChoixRationBovins&amp;$BB227,Règles_bovins[Ration]&amp;Règles_bovins[Aliment],0)),0),0)*IF(ChoixBovinsPréHiver=OUI,TotalTaureauxRacesLaitières,TotalTaureaux*SUM(NbreJoursNourrirBovins)))</f>
        <v>0</v>
      </c>
      <c r="BD227" s="1269">
        <f t="array" ref="BD227">IF(Ration_complète_bovins[somme]&gt;0,0,IFERROR(IF(OR(AND(INDEX(Règles_bovins[Specificite],MATCH(ChoixRationBovins&amp;$BB227,Règles_bovins[Ration]&amp;Règles_bovins[Aliment],0))="s1",IF($BB227=Spécificité1Bovins,1)),
AND(INDEX(Règles_bovins[Specificite],MATCH(ChoixRationBovins&amp;$BB227,Règles_bovins[Ration]&amp;Règles_bovins[Aliment],0))="s2",IF($BB227=Spécificité2Bovins,1)),
INDEX(Règles_bovins[Specificite],MATCH(ChoixRationBovins&amp;$BB227,Règles_bovins[Ration]&amp;Règles_bovins[Aliment],0))="c"),
INDEX(Règles_bovins[Valeur 24-36],MATCH(ChoixRationBovins&amp;$BB227,Règles_bovins[Ration]&amp;Règles_bovins[Aliment],0)),0),0)*IF(ChoixBovinsPréHiver=OUI,TotalTaurillon_24_36_RacesLaitières,TotalBovinsMâles_24_36mois*SUM(NbreJoursNourrirBovins)))</f>
        <v>0</v>
      </c>
      <c r="BE227" s="1269">
        <f t="array" ref="BE227">IF(Ration_complète_bovins[somme]&gt;0,0,IFERROR(IF(OR(AND(INDEX(Règles_bovins[Specificite],MATCH(ChoixRationBovins&amp;$BB227,Règles_bovins[Ration]&amp;Règles_bovins[Aliment],0))="s1",IF($BB227=Spécificité1Bovins,1)),
AND(INDEX(Règles_bovins[Specificite],MATCH(ChoixRationBovins&amp;$BB227,Règles_bovins[Ration]&amp;Règles_bovins[Aliment],0))="s2",IF($BB227=Spécificité2Bovins,1)),
INDEX(Règles_bovins[Specificite],MATCH(ChoixRationBovins&amp;$BB227,Règles_bovins[Ration]&amp;Règles_bovins[Aliment],0))="c"),
INDEX(Règles_bovins[Valeur 18-24],MATCH(ChoixRationBovins&amp;$BB227,Règles_bovins[Ration]&amp;Règles_bovins[Aliment],0)),0),0)*IF(ChoixBovinsPréHiver=OUI,TotalTaurillon_18_24_RacesLaitières,TotalBovinsMâles_18_24mois*SUM(NbreJoursNourrirBovins)))</f>
        <v>0</v>
      </c>
      <c r="BF227" s="1269">
        <f t="array" ref="BF227">IF(Ration_complète_bovins[somme]&gt;0,0,IFERROR(IF(OR(AND(INDEX(Règles_bovins[Specificite],MATCH(ChoixRationBovins&amp;$BB227,Règles_bovins[Ration]&amp;Règles_bovins[Aliment],0))="s1",IF($BB227=Spécificité1Bovins,1)),
AND(INDEX(Règles_bovins[Specificite],MATCH(ChoixRationBovins&amp;$BB227,Règles_bovins[Ration]&amp;Règles_bovins[Aliment],0))="s2",IF($BB227=Spécificité2Bovins,1)),
INDEX(Règles_bovins[Specificite],MATCH(ChoixRationBovins&amp;$BB227,Règles_bovins[Ration]&amp;Règles_bovins[Aliment],0))="c"),
INDEX(Règles_bovins[Valeur 12-18],MATCH(ChoixRationBovins&amp;$BB227,Règles_bovins[Ration]&amp;Règles_bovins[Aliment],0)),0),0)*IF(ChoixBovinsPréHiver=OUI,animaux!D50,TotalBovinsMâles_12_18mois*SUM(NbreJoursNourrirBovins)))</f>
        <v>0</v>
      </c>
      <c r="BG227" s="1269">
        <f t="array" ref="BG227">IF(Ration_complète_bovins[somme]&gt;0,0,IFERROR(IF(OR(AND(INDEX(Règles_bovins[Specificite],MATCH(ChoixRationBovins&amp;$BB227,Règles_bovins[Ration]&amp;Règles_bovins[Aliment],0))="s1",IF($BB227=Spécificité1Bovins,1)),
AND(INDEX(Règles_bovins[Specificite],MATCH(ChoixRationBovins&amp;$BB227,Règles_bovins[Ration]&amp;Règles_bovins[Aliment],0))="s2",IF($BB227=Spécificité2Bovins,1)),
INDEX(Règles_bovins[Specificite],MATCH(ChoixRationBovins&amp;$BB227,Règles_bovins[Ration]&amp;Règles_bovins[Aliment],0))="c"),
INDEX(Règles_bovins[Valeur 6-12],MATCH(ChoixRationBovins&amp;$BB227,Règles_bovins[Ration]&amp;Règles_bovins[Aliment],0)),0),0)*IF(ChoixBovinsPréHiver=OUI,TotalVeauMâle_6_12_RacesLaitières,TotalBovinsMâles_6_12mois*SUM(NbreJoursNourrirBovins)))</f>
        <v>0</v>
      </c>
      <c r="BH227" s="1269">
        <f t="array" ref="BH227">IF(Ration_complète_bovins[somme]&gt;0,0,IFERROR(IF(OR(AND(INDEX(Règles_bovins[Specificite],MATCH(ChoixRationBovins&amp;$BB227,Règles_bovins[Ration]&amp;Règles_bovins[Aliment],0))="s1",IF($BB227=Spécificité1Bovins,1)),
AND(INDEX(Règles_bovins[Specificite],MATCH(ChoixRationBovins&amp;$BB227,Règles_bovins[Ration]&amp;Règles_bovins[Aliment],0))="s2",IF($BB227=Spécificité2Bovins,1)),
INDEX(Règles_bovins[Specificite],MATCH(ChoixRationBovins&amp;$BB227,Règles_bovins[Ration]&amp;Règles_bovins[Aliment],0))="c"),
INDEX(Règles_bovins[Valeur 3-6],MATCH(ChoixRationBovins&amp;$BB227,Règles_bovins[Ration]&amp;Règles_bovins[Aliment],0)),0),0)*IF(ChoixBovinsPréHiver=OUI,TotalVeauMâle_3_6_RacesLaitières,TotalBovinsMâles_3_6mois*SUM(NbreJoursNourrirBovins)))</f>
        <v>0</v>
      </c>
      <c r="BI227" s="1269">
        <f t="array" ref="BI227">IF(Ration_complète_bovins[somme]&gt;0,0,IFERROR(IF(OR(AND(INDEX(Règles_bovins[Specificite],MATCH(ChoixRationBovins&amp;$BB227,Règles_bovins[Ration]&amp;Règles_bovins[Aliment],0))="s1",IF($BB227=Spécificité1Bovins,1)),
AND(INDEX(Règles_bovins[Specificite],MATCH(ChoixRationBovins&amp;$BB227,Règles_bovins[Ration]&amp;Règles_bovins[Aliment],0))="s2",IF($BB227=Spécificité2Bovins,1)),
INDEX(Règles_bovins[Specificite],MATCH(ChoixRationBovins&amp;$BB227,Règles_bovins[Ration]&amp;Règles_bovins[Aliment],0))="c"),
INDEX(Règles_bovins[Valeur 0-3],MATCH(ChoixRationBovins&amp;$BB227,Règles_bovins[Ration]&amp;Règles_bovins[Aliment],0)),0),0)*IF(ChoixBovinsPréHiver=OUI,TotalVeauMâle_0_3_RacesLaitières,TotalBovinsMâles_0_3mois*SUM(NbreJoursNourrirBovins)))</f>
        <v>0</v>
      </c>
      <c r="BJ227" s="1270">
        <f t="shared" si="69"/>
        <v>0</v>
      </c>
      <c r="BK227" s="1321"/>
      <c r="BL227" s="1345"/>
      <c r="BM227" s="1346"/>
      <c r="BN227" s="1321"/>
      <c r="BO227" s="1321"/>
      <c r="BP227" s="1321"/>
      <c r="BQ227" s="1321"/>
      <c r="BR227" s="1321"/>
      <c r="BS227" s="1321"/>
      <c r="BT227" s="1321"/>
      <c r="BU227" s="1321"/>
      <c r="BV227" s="1345"/>
      <c r="BW227" s="1345"/>
      <c r="BX227" s="1075" t="str">
        <f t="shared" si="70"/>
        <v>Tourteau de tournesol</v>
      </c>
      <c r="BY227" s="1269">
        <f t="array" ref="BY227">SUM((IF(QualitéAlimentsChevreau_0_3_mois=BONNE,VLOOKUP("Tourteau de tournesol",AlimentsRationCaprinsMâles,5,FALSE),0)+(IF(QualitéAlimentsChevrette_0_3_mois=BONNE,VLOOKUP("Tourteau de tournesol",AlimentsRationCaprinsFemelles,5,FALSE),0)+(IF(QualitéAlimentsChevreau_3_6_mois=BONNE,VLOOKUP("Tourteau de tournesol",AlimentsRationCaprinsMâles,4,FALSE),0)+(IF(QualitéAlimentsChevrette_3_6_mois=BONNE,VLOOKUP("Tourteau de tournesol",AlimentsRationCaprinsFemelles,4,FALSE),0)+(IF(QualitéAlimentsJeuneBouc=BONNE,VLOOKUP("Tourteau de tournesol",AlimentsRationCaprinsMâles,3,FALSE),0)+(IF(QualitéAlimentsJeuneChèvre=BONNE,VLOOKUP("Tourteau de tournesol",AlimentsRationCaprinsFemelles,3,FALSE),0)+(IF(QualitéAlimentsBouc=BONNE,VLOOKUP("Tourteau de tournesol",AlimentsRationCaprinsMâles,2,FALSE),0)+(IF(QualitéAlimentsChèvre=BONNE,VLOOKUP("Tourteau de tournesol",AlimentsRationCaprinsFemelles,2,FALSE),0))))))))))</f>
        <v>0</v>
      </c>
      <c r="BZ227" s="1269">
        <f t="array" ref="BZ227">SUM((IF(QualitéAlimentsChevreau_0_3_mois=MOYENNE,VLOOKUP("Tourteau de tournesol",AlimentsRationCaprinsMâles,5,FALSE),0)+(IF(QualitéAlimentsChevrette_0_3_mois=MOYENNE,VLOOKUP("Tourteau de tournesol",AlimentsRationCaprinsFemelles,5,FALSE),0)+(IF(QualitéAlimentsChevreau_3_6_mois=MOYENNE,VLOOKUP("Tourteau de tournesol",AlimentsRationCaprinsMâles,4,FALSE),0)+(IF(QualitéAlimentsChevrette_3_6_mois=MOYENNE,VLOOKUP("Tourteau de tournesol",AlimentsRationCaprinsFemelles,4,FALSE),0)+(IF(QualitéAlimentsJeuneBouc=MOYENNE,VLOOKUP("Tourteau de tournesol",AlimentsRationCaprinsMâles,3,FALSE),0)+(IF(QualitéAlimentsJeuneChèvre=MOYENNE,VLOOKUP("Tourteau de tournesol",AlimentsRationCaprinsFemelles,3,FALSE),0)+(IF(QualitéAlimentsBouc=MOYENNE,VLOOKUP("Tourteau de tournesol",AlimentsRationCaprinsMâles,2,FALSE),0)+(IF(QualitéAlimentsChèvre=MOYENNE,VLOOKUP("Tourteau de tournesol",AlimentsRationCaprinsFemelles,2,FALSE),0))))))))))</f>
        <v>0</v>
      </c>
      <c r="CA227" s="1269">
        <f t="array" ref="CA227">SUM((IF(QualitéAlimentsChevreau_0_3_mois=MAUVAISE,VLOOKUP("Tourteau de tournesol",AlimentsRationCaprinsMâles,5,FALSE),0)+(IF(QualitéAlimentsChevrette_0_3_mois=MAUVAISE,VLOOKUP("Tourteau de tournesol",AlimentsRationCaprinsFemelles,5,FALSE),0)+(IF(QualitéAlimentsChevreau_3_6_mois=MAUVAISE,VLOOKUP("Tourteau de tournesol",AlimentsRationCaprinsMâles,4,FALSE),0)+(IF(QualitéAlimentsChevrette_3_6_mois=MAUVAISE,VLOOKUP("Tourteau de tournesol",AlimentsRationCaprinsFemelles,4,FALSE),0)+(IF(QualitéAlimentsJeuneBouc=MAUVAISE,VLOOKUP("Tourteau de tournesol",AlimentsRationCaprinsMâles,3,FALSE),0)+(IF(QualitéAlimentsJeuneChèvre=MAUVAISE,VLOOKUP("Tourteau de tournesol",AlimentsRationCaprinsFemelles,3,FALSE),0)+(IF(QualitéAlimentsBouc=MAUVAISE,VLOOKUP("Tourteau de tournesol",AlimentsRationCaprinsMâles,2,FALSE),0)+(IF(QualitéAlimentsChèvre=MAUVAISE,VLOOKUP("Tourteau de tournesol",AlimentsRationCaprinsFemelles,2,FALSE),0))))))))))</f>
        <v>0</v>
      </c>
      <c r="CB227" s="1321"/>
      <c r="CC227" s="1321"/>
      <c r="CD227" s="1345"/>
      <c r="CE227" s="1345"/>
      <c r="CF227" s="1345"/>
      <c r="CG227" s="1345"/>
      <c r="CH227" s="1345"/>
      <c r="CI227" s="1321"/>
      <c r="CJ227" s="1321"/>
      <c r="CK227" s="1321"/>
      <c r="CL227" s="1321"/>
      <c r="CM227" s="1321"/>
      <c r="CN227" s="1321"/>
      <c r="CO227" s="1321"/>
      <c r="CP227" s="1321"/>
      <c r="CQ227" s="1321"/>
      <c r="CR227" s="1321"/>
      <c r="CS227" s="1321"/>
      <c r="CT227" s="1321"/>
      <c r="CU227" s="1321"/>
      <c r="CV227" s="1321"/>
      <c r="CW227" s="1321"/>
      <c r="CX227" s="1321"/>
      <c r="CY227" s="1321"/>
      <c r="CZ227" s="1321"/>
      <c r="DA227" s="1321"/>
      <c r="DB227" s="1321"/>
      <c r="DC227" s="1321"/>
      <c r="DD227" s="1321"/>
      <c r="DE227" s="1321"/>
      <c r="DF227" s="1321"/>
      <c r="DG227" s="1321"/>
      <c r="DH227" s="1321"/>
      <c r="DI227" s="1321"/>
      <c r="DJ227" s="1321"/>
      <c r="DK227" s="1321"/>
      <c r="DL227" s="1321"/>
      <c r="DM227" s="1321"/>
      <c r="DN227" s="1075">
        <f t="shared" si="68"/>
        <v>0</v>
      </c>
      <c r="DO227" s="1269">
        <f t="array" ref="DO227">IF(ChoixRationComplèteOvins=OUI,0,IFERROR(IF(OR(AND(INDEX(Règles_ovins[Specificite],MATCH(ChoixRationOvins&amp;$DN227,Règles_ovins[Ration]&amp;Règles_ovins[Aliment],0))="s1",IF($DN227=Spécificité1Ovins,1)),
AND(INDEX(Règles_ovins[Specificite],MATCH(ChoixRationOvins&amp;$DN227,Règles_ovins[Ration]&amp;Règles_ovins[Aliment],0))="s2",IF($DN227=Spécificité2Ovins,1)),
INDEX(Règles_ovins[Specificite],MATCH(ChoixRationOvins&amp;$DN227,Règles_ovins[Ration]&amp;Règles_ovins[Aliment],0))="c"),
INDEX(Règles_ovins[Valeur 12 et plus],MATCH(ChoixRationOvins&amp;$DN227,Règles_ovins[Ration]&amp;Règles_ovins[Aliment],0)),0),0)*IF(ChoixOvinsPréHiver=OUI,SUM(TotalOvinsAdultesRacesLaitières)*NbreJoursNourrirOvins,TotalBrebis*SUM(NbreJoursNourrirOvins)))</f>
        <v>0</v>
      </c>
      <c r="DP227" s="1269">
        <f t="array" ref="DP227">IF(ChoixRationComplèteOvins=OUI,0,IFERROR(IF(OR(AND(INDEX(Règles_ovins[Specificite],MATCH(ChoixRationOvins&amp;$DN227,Règles_ovins[Ration]&amp;Règles_ovins[Aliment],0))="s1",IF($DN227=Spécificité1Ovins,1)),
AND(INDEX(Règles_ovins[Specificite],MATCH(ChoixRationOvins&amp;$DN227,Règles_ovins[Ration]&amp;Règles_ovins[Aliment],0))="s2",IF($DN227=Spécificité2Ovins,1)),
INDEX(Règles_ovins[Specificite],MATCH(ChoixRationOvins&amp;$DN227,Règles_ovins[Ration]&amp;Règles_ovins[Aliment],0))="c"),
INDEX(Règles_ovins[Valeur 6-12],MATCH(ChoixRationOvins&amp;$DN227,Règles_ovins[Ration]&amp;Règles_ovins[Aliment],0)),0),0)*IF(ChoixOvinsPréHiver=OUI,SUM(TotalJeunesOvinsRacesLaitières)*NbreJoursNourrirOvins,TotalJeune_brebis_6_12_mois*SUM(NbreJoursNourrirOvins)))</f>
        <v>0</v>
      </c>
      <c r="DQ227" s="1269">
        <f t="array" ref="DQ227">IF(ChoixRationComplèteOvins=OUI,0,IFERROR(IF(OR(AND(INDEX(Règles_ovins[Specificite],MATCH(ChoixRationOvins&amp;$DN227,Règles_ovins[Ration]&amp;Règles_ovins[Aliment],0))="s1",IF($DN227=Spécificité1Ovins,1)),
AND(INDEX(Règles_ovins[Specificite],MATCH(ChoixRationOvins&amp;$DN227,Règles_ovins[Ration]&amp;Règles_ovins[Aliment],0))="s2",IF($DN227=Spécificité2Ovins,1)),
INDEX(Règles_ovins[Specificite],MATCH(ChoixRationOvins&amp;$DN227,Règles_ovins[Ration]&amp;Règles_ovins[Aliment],0))="c"),
INDEX(Règles_ovins[Valeur 3-6],MATCH(ChoixRationOvins&amp;$DN227,Règles_ovins[Ration]&amp;Règles_ovins[Aliment],0)),0),0)*IF(ChoixOvinsPréHiver=OUI,SUM(TotalOvins_3_6moisRacesLaitières)*NbreJoursNourrirOvins,TotalAgnelle_3_6_mois*SUM(NbreJoursNourrirOvins)))</f>
        <v>0</v>
      </c>
      <c r="DR227" s="1269">
        <f t="array" ref="DR227">IF(ChoixRationComplèteOvins=OUI,0,IFERROR(IF(OR(AND(INDEX(Règles_ovins[Specificite],MATCH(ChoixRationOvins&amp;$DN227,Règles_ovins[Ration]&amp;Règles_ovins[Aliment],0))="s1",IF($DN227=Spécificité1Ovins,1)),
AND(INDEX(Règles_ovins[Specificite],MATCH(ChoixRationOvins&amp;$DN227,Règles_ovins[Ration]&amp;Règles_ovins[Aliment],0))="s2",IF($DN227=Spécificité2Ovins,1)),
INDEX(Règles_ovins[Specificite],MATCH(ChoixRationOvins&amp;$DN227,Règles_ovins[Ration]&amp;Règles_ovins[Aliment],0))="c"),
INDEX(Règles_ovins[Valeur 0-3],MATCH(ChoixRationOvins&amp;$DN227,Règles_ovins[Ration]&amp;Règles_ovins[Aliment],0)),0),0)*IF(ChoixOvinsPréHiver=OUI,SUM(TotalOvins_3_6moisRacesLaitières)*NbreJoursNourrirOvins,TotalAgnelle_0_3_mois*SUM(NbreJoursNourrirOvins)))</f>
        <v>0</v>
      </c>
      <c r="DS227" s="1280">
        <f t="shared" si="67"/>
        <v>0</v>
      </c>
      <c r="DT227" s="1346"/>
      <c r="DU227" s="1346"/>
      <c r="DV227" s="1321"/>
      <c r="DW227" s="1321"/>
      <c r="DX227" s="1321"/>
      <c r="DY227" s="1321"/>
      <c r="DZ227" s="1321"/>
      <c r="EA227" s="1321"/>
      <c r="EB227" s="1321"/>
      <c r="EC227" s="1321"/>
      <c r="ED227" s="1345"/>
      <c r="EE227" s="1345"/>
      <c r="EF227" s="1321"/>
      <c r="EG227" s="1321"/>
      <c r="EH227" s="1321"/>
      <c r="EI227" s="1321"/>
      <c r="EJ227" s="1321"/>
      <c r="EK227" s="1345"/>
      <c r="EL227" s="1345"/>
      <c r="EM227" s="1321"/>
      <c r="EN227" s="1321"/>
      <c r="EO227" s="1321"/>
      <c r="EP227" s="1321"/>
      <c r="EQ227" s="1321"/>
      <c r="ER227" s="1345"/>
      <c r="ES227" s="1345"/>
      <c r="ET227" s="1321"/>
      <c r="EU227" s="1082" t="str">
        <f t="shared" si="73"/>
        <v>Pulpe déshydratée de betterave</v>
      </c>
      <c r="EV227" s="1282">
        <f t="array" ref="EV227">SUM((IF(QualitéAlimentsPoulainSelleMâle=BONNE,VLOOKUP("Pulpe déshydratée de betterave",AlimentsRationEcurieChevauxMâlesSelle,5,FALSE),0)+(IF(QualitéAlimentsPoulainSelleFemelle=BONNE,VLOOKUP("Pulpe déshydratée de betterave",AlimentsRationEcurieChevauxFemellesSelle,5,FALSE),0)+(IF(QualitéAlimentsJeuneEtalon_12_24_moisSelle=BONNE,VLOOKUP("Pulpe déshydratée de betterave",AlimentsRationEcurieChevauxMâlesSelle,4,FALSE),0)+(IF(QualitéAlimentsJeuneJument_12_24_moisSelle=BONNE,VLOOKUP("Pulpe déshydratée de betterave",AlimentsRationEcurieChevauxFemellesSelle,4,FALSE),0)+(IF(QualitéAlimentsJeuneEtalon_24_36_moisSelle=BONNE,VLOOKUP("Pulpe déshydratée de betterave",AlimentsRationEcurieChevauxMâlesSelle,3,FALSE),0)+(IF(QualitéAlimentsJeuneJument_24_36_moisSelle=BONNE,VLOOKUP("Pulpe déshydratée de betterave",AlimentsRationEcurieChevauxFemellesSelle,3,FALSE),0)+(IF(QualitéAlimentsEtalonSelle=BONNE,VLOOKUP("Pulpe déshydratée de betterave",AlimentsRationEcurieChevauxMâlesSelle,2,FALSE),0)+(IF(QualitéAlimentsJumentSelle=BONNE,VLOOKUP("Pulpe déshydratée de betterave",AlimentsRationEcurieChevauxFemellesSelle,2,FALSE),0))))))))))</f>
        <v>0</v>
      </c>
      <c r="EW227" s="1282">
        <f t="array" ref="EW227">SUM((IF(QualitéAlimentsPoulainSelleMâle=MOYENNE,VLOOKUP("Pulpe déshydratée de betterave",AlimentsRationEcurieChevauxMâlesSelle,5,FALSE),0)+(IF(QualitéAlimentsPoulainSelleFemelle=MOYENNE,VLOOKUP("Pulpe déshydratée de betterave",AlimentsRationEcurieChevauxFemellesSelle,5,FALSE),0)+(IF(QualitéAlimentsJeuneEtalon_12_24_moisSelle=MOYENNE,VLOOKUP("Pulpe déshydratée de betterave",AlimentsRationEcurieChevauxMâlesSelle,4,FALSE),0)+(IF(QualitéAlimentsJeuneJument_12_24_moisSelle=MOYENNE,VLOOKUP("Pulpe déshydratée de betterave",AlimentsRationEcurieChevauxFemellesSelle,4,FALSE),0)+(IF(QualitéAlimentsJeuneEtalon_24_36_moisSelle=MOYENNE,VLOOKUP("Pulpe déshydratée de betterave",AlimentsRationEcurieChevauxMâlesSelle,3,FALSE),0)+(IF(QualitéAlimentsJeuneJument_24_36_moisSelle=MOYENNE,VLOOKUP("Pulpe déshydratée de betterave",AlimentsRationEcurieChevauxFemellesSelle,3,FALSE),0)+(IF(QualitéAlimentsEtalonSelle=MOYENNE,VLOOKUP("Pulpe déshydratée de betterave",AlimentsRationEcurieChevauxMâlesSelle,2,FALSE),0)+(IF(QualitéAlimentsJumentSelle=MOYENNE,VLOOKUP("Pulpe déshydratée de betterave",AlimentsRationEcurieChevauxFemellesSelle,2,FALSE),0))))))))))</f>
        <v>0</v>
      </c>
      <c r="EX227" s="1282">
        <f t="array" ref="EX227">SUM((IF(QualitéAlimentsPoulainSelleMâle=MAUVAISE,VLOOKUP("Pulpe déshydratée de betterave",AlimentsRationEcurieChevauxMâlesSelle,5,FALSE),0)+(IF(QualitéAlimentsPoulainSelleFemelle=MAUVAISE,VLOOKUP("Pulpe déshydratée de betterave",AlimentsRationEcurieChevauxFemellesSelle,5,FALSE),0)+(IF(QualitéAlimentsJeuneEtalon_12_24_moisSelle=MAUVAISE,VLOOKUP("Pulpe déshydratée de betterave",AlimentsRationEcurieChevauxMâlesSelle,4,FALSE),0)+(IF(QualitéAlimentsJeuneJument_12_24_moisSelle=MAUVAISE,VLOOKUP("Pulpe déshydratée de betterave",AlimentsRationEcurieChevauxFemellesSelle,4,FALSE),0)+(IF(QualitéAlimentsJeuneEtalon_24_36_moisSelle=MAUVAISE,VLOOKUP("Pulpe déshydratée de betterave",AlimentsRationEcurieChevauxMâlesSelle,3,FALSE),0)+(IF(QualitéAlimentsJeuneJument_24_36_moisSelle=MAUVAISE,VLOOKUP("Pulpe déshydratée de betterave",AlimentsRationEcurieChevauxFemellesSelle,3,FALSE),0)+(IF(QualitéAlimentsEtalonSelle=MAUVAISE,VLOOKUP("Pulpe déshydratée de betterave",AlimentsRationEcurieChevauxMâlesSelle,2,FALSE),0)+(IF(QualitéAlimentsJumentSelle=MAUVAISE,VLOOKUP("Pulpe déshydratée de betterave",AlimentsRationEcurieChevauxFemellesSelle,2,FALSE),0))))))))))</f>
        <v>0</v>
      </c>
      <c r="EY227" s="1321"/>
      <c r="EZ227" s="1345"/>
      <c r="FA227" s="1345"/>
      <c r="FB227" s="1345"/>
      <c r="FC227" s="1321"/>
      <c r="FD227" s="1083" t="str">
        <f t="shared" si="72"/>
        <v>Tournesol</v>
      </c>
      <c r="FE227" s="1283">
        <f t="array" ref="FE227">SUM((IF(QualitéAlimentsPoulainMâleTrait=BONNE,VLOOKUP("Tournesol",AlimentsRationEcurieChevauxMâlesTrait,5,FALSE),0)+(IF(QualitéAlimentsPoulainFemelleTrait=BONNE,VLOOKUP("Tournesol",AlimentsRationEcurieChevauxFemellesTrait,5,FALSE),0)+(IF(QualitéAlimentsJeuneEtalon_12_24_moisTrait=BONNE,VLOOKUP("Tournesol",AlimentsRationEcurieChevauxMâlesTrait,4,FALSE),0)+(IF(QualitéAlimentsJeuneJument_12_24_moisTrait=BONNE,VLOOKUP("Tournesol",AlimentsRationEcurieChevauxFemellesTrait,4,FALSE),0)+(IF(QualitéAlimentsJeuneEtalon_24_36_moisTrait=BONNE,VLOOKUP("Tournesol",AlimentsRationEcurieChevauxMâlesTrait,3,FALSE),0)+(IF(QualitéAlimentsJeuneJument_24_36_moisTrait=BONNE,VLOOKUP("Tournesol",AlimentsRationEcurieChevauxFemellesTrait,3,FALSE),0)+(IF(QualitéAlimentsEtalonTrait=BONNE,VLOOKUP("Tournesol",AlimentsRationEcurieChevauxMâlesTrait,2,FALSE),0)+(IF(QualitéAlimentsJumentTrait=BONNE,VLOOKUP("Tournesol",AlimentsRationEcurieChevauxFemellesTrait,2,FALSE),0))))))))))</f>
        <v>0</v>
      </c>
      <c r="FF227" s="1283">
        <f t="array" ref="FF227">SUM((IF(QualitéAlimentsPoulainMâleTrait=MOYENNE,VLOOKUP("Tournesol",AlimentsRationEcurieChevauxMâlesTrait,5,FALSE),0)+(IF(QualitéAlimentsPoulainFemelleTrait=MOYENNE,VLOOKUP("Tournesol",AlimentsRationEcurieChevauxFemellesTrait,5,FALSE),0)+(IF(QualitéAlimentsJeuneEtalon_12_24_moisTrait=MOYENNE,VLOOKUP("Tournesol",AlimentsRationEcurieChevauxMâlesTrait,4,FALSE),0)+(IF(QualitéAlimentsJeuneJument_12_24_moisTrait=MOYENNE,VLOOKUP("Tournesol",AlimentsRationEcurieChevauxFemellesTrait,4,FALSE),0)+(IF(QualitéAlimentsJeuneEtalon_24_36_moisTrait=MOYENNE,VLOOKUP("Tournesol",AlimentsRationEcurieChevauxMâlesTrait,3,FALSE),0)+(IF(QualitéAlimentsJeuneJument_24_36_moisTrait=MOYENNE,VLOOKUP("Tournesol",AlimentsRationEcurieChevauxFemellesTrait,3,FALSE),0)+(IF(QualitéAlimentsEtalonTrait=MOYENNE,VLOOKUP("Tournesol",AlimentsRationEcurieChevauxMâlesTrait,2,FALSE),0)+(IF(QualitéAlimentsJumentTrait=MOYENNE,VLOOKUP("Tournesol",AlimentsRationEcurieChevauxFemellesTrait,2,FALSE),0))))))))))</f>
        <v>0</v>
      </c>
      <c r="FG227" s="1283">
        <f t="array" ref="FG227">SUM((IF(QualitéAlimentsPoulainMâleTrait=MAUVAISE,VLOOKUP("Tournesol",AlimentsRationEcurieChevauxMâlesTrait,5,FALSE),0)+(IF(QualitéAlimentsPoulainFemelleTrait=MAUVAISE,VLOOKUP("Tournesol",AlimentsRationEcurieChevauxFemellesTrait,5,FALSE),0)+(IF(QualitéAlimentsJeuneEtalon_12_24_moisTrait=MAUVAISE,VLOOKUP("Tournesol",AlimentsRationEcurieChevauxMâlesTrait,4,FALSE),0)+(IF(QualitéAlimentsJeuneJument_12_24_moisTrait=MAUVAISE,VLOOKUP("Tournesol",AlimentsRationEcurieChevauxFemellesTrait,4,FALSE),0)+(IF(QualitéAlimentsJeuneEtalon_24_36_moisTrait=MAUVAISE,VLOOKUP("Tournesol",AlimentsRationEcurieChevauxMâlesTrait,3,FALSE),0)+(IF(QualitéAlimentsJeuneJument_24_36_moisTrait=MAUVAISE,VLOOKUP("Tournesol",AlimentsRationEcurieChevauxFemellesTrait,3,FALSE),0)+(IF(QualitéAlimentsEtalonTrait=MAUVAISE,VLOOKUP("Tournesol",AlimentsRationEcurieChevauxMâlesTrait,2,FALSE),0)+(IF(QualitéAlimentsJumentTrait=MAUVAISE,VLOOKUP("Tournesol",AlimentsRationEcurieChevauxFemellesTrait,2,FALSE),0))))))))))</f>
        <v>0</v>
      </c>
      <c r="FH227" s="1321"/>
      <c r="FI227" s="1321"/>
      <c r="FJ227" s="1345"/>
      <c r="FK227" s="1345"/>
      <c r="FL227" s="1345"/>
      <c r="FM227" s="1321"/>
      <c r="FN227" s="1082" t="str">
        <f t="shared" si="71"/>
        <v>Tourteau de colza</v>
      </c>
      <c r="FO227" s="1282">
        <f t="array" ref="FO227">SUM((IF(QualitéAlimentsPoulainMâlePoney=BONNE,VLOOKUP("Tourteau de colza",AlimentsRationEcuriePoneysMâles,5,FALSE),0)+(IF(QualitéAlimentsPoulainFemellePoney=BONNE,VLOOKUP("Tourteau de colza",AlimentsRationEcuriePoneysFemelles,5,FALSE),0)+(IF(QualitéAlimentsJeuneEtalon_12_24_moisPoney=BONNE,VLOOKUP("Tourteau de colza",AlimentsRationEcuriePoneysMâles,4,FALSE),0)+(IF(QualitéAlimentsJeuneJument_12_24_moisPoney=BONNE,VLOOKUP("Tourteau de colza",AlimentsRationEcuriePoneysFemelles,4,FALSE),0)+(IF(QualitéAlimentsJeuneEtalon_24_36_moisPoney=BONNE,VLOOKUP("Tourteau de colza",AlimentsRationEcuriePoneysMâles,3,FALSE),0)+(IF(QualitéAlimentsJeuneJument_24_36_moisPoney=BONNE,VLOOKUP("Tourteau de colza",AlimentsRationEcuriePoneysFemelles,3,FALSE),0)+(IF(QualitéAlimentsEtalonPoney=BONNE,VLOOKUP("Tourteau de colza",AlimentsRationEcuriePoneysMâles,2,FALSE),0)+(IF(QualitéAlimentsJumentPoney=BONNE,VLOOKUP("Tourteau de colza",AlimentsRationEcuriePoneysFemelles,2,FALSE),0))))))))))</f>
        <v>0</v>
      </c>
      <c r="FP227" s="1282">
        <f t="array" ref="FP227">SUM((IF(QualitéAlimentsPoulainMâlePoney=MOYENNE,VLOOKUP("Tourteau de colza",AlimentsRationEcuriePoneysMâles,5,FALSE),0)+(IF(QualitéAlimentsPoulainFemellePoney=MOYENNE,VLOOKUP("Tourteau de colza",AlimentsRationEcuriePoneysFemelles,5,FALSE),0)+(IF(QualitéAlimentsJeuneEtalon_12_24_moisPoney=MOYENNE,VLOOKUP("Tourteau de colza",AlimentsRationEcuriePoneysMâles,4,FALSE),0)+(IF(QualitéAlimentsJeuneJument_12_24_moisPoney=MOYENNE,VLOOKUP("Tourteau de colza",AlimentsRationEcuriePoneysFemelles,4,FALSE),0)+(IF(QualitéAlimentsJeuneEtalon_24_36_moisPoney=MOYENNE,VLOOKUP("Tourteau de colza",AlimentsRationEcuriePoneysMâles,3,FALSE),0)+(IF(QualitéAlimentsJeuneJument_24_36_moisPoney=MOYENNE,VLOOKUP("Tourteau de colza",AlimentsRationEcuriePoneysFemelles,3,FALSE),0)+(IF(QualitéAlimentsEtalonPoney=MOYENNE,VLOOKUP("Tourteau de colza",AlimentsRationEcuriePoneysMâles,2,FALSE),0)+(IF(QualitéAlimentsJumentPoney=MOYENNE,VLOOKUP("Tourteau de colza",AlimentsRationEcuriePoneysFemelles,2,FALSE),0))))))))))</f>
        <v>0</v>
      </c>
      <c r="FQ227" s="1282">
        <f t="array" ref="FQ227">SUM((IF(QualitéAlimentsPoulainMâlePoney=MAUVAISE,VLOOKUP("Tourteau de colza",AlimentsRationEcuriePoneysMâles,5,FALSE),0)+(IF(QualitéAlimentsPoulainFemellePoney=MAUVAISE,VLOOKUP("Tourteau de colza",AlimentsRationEcuriePoneysFemelles,5,FALSE),0)+(IF(QualitéAlimentsJeuneEtalon_12_24_moisPoney=MAUVAISE,VLOOKUP("Tourteau de colza",AlimentsRationEcuriePoneysMâles,4,FALSE),0)+(IF(QualitéAlimentsJeuneJument_12_24_moisPoney=MAUVAISE,VLOOKUP("Tourteau de colza",AlimentsRationEcuriePoneysFemelles,4,FALSE),0)+(IF(QualitéAlimentsJeuneEtalon_24_36_moisPoney=MAUVAISE,VLOOKUP("Tourteau de colza",AlimentsRationEcuriePoneysMâles,3,FALSE),0)+(IF(QualitéAlimentsJeuneJument_24_36_moisPoney=MAUVAISE,VLOOKUP("Tourteau de colza",AlimentsRationEcuriePoneysFemelles,3,FALSE),0)+(IF(QualitéAlimentsEtalonPoney=MAUVAISE,VLOOKUP("Tourteau de colza",AlimentsRationEcuriePoneysMâles,2,FALSE),0)+(IF(QualitéAlimentsJumentPoney=MAUVAISE,VLOOKUP("Tourteau de colza",AlimentsRationEcuriePoneysFemelles,2,FALSE),0))))))))))</f>
        <v>0</v>
      </c>
      <c r="FR227" s="1345"/>
      <c r="FS227" s="1345"/>
      <c r="FT227" s="1345"/>
      <c r="FU227" s="1345"/>
      <c r="FV227" s="1345"/>
      <c r="FW227" s="1321"/>
      <c r="FX227" s="1321"/>
      <c r="FY227" s="1321"/>
      <c r="FZ227" s="1321"/>
      <c r="GA227" s="1345"/>
      <c r="GB227" s="1321"/>
      <c r="GC227" s="1321"/>
      <c r="GD227" s="1321"/>
      <c r="GE227" s="1321"/>
      <c r="GF227" s="1321"/>
      <c r="GG227" s="1321" t="s">
        <v>1349</v>
      </c>
      <c r="GH227" s="1321" t="s">
        <v>1349</v>
      </c>
      <c r="GI227" s="1321" t="s">
        <v>1349</v>
      </c>
      <c r="GJ227" s="1321" t="s">
        <v>1349</v>
      </c>
      <c r="GK227" s="1321" t="s">
        <v>1349</v>
      </c>
      <c r="GL227" s="1321" t="s">
        <v>1349</v>
      </c>
      <c r="GM227" s="1321" t="s">
        <v>1349</v>
      </c>
      <c r="GN227" s="1321" t="s">
        <v>1349</v>
      </c>
      <c r="GO227" s="1321" t="s">
        <v>1349</v>
      </c>
      <c r="GP227" s="1321" t="s">
        <v>1349</v>
      </c>
      <c r="GQ227" s="1321" t="s">
        <v>1349</v>
      </c>
      <c r="GR227" s="1321" t="s">
        <v>1349</v>
      </c>
      <c r="GS227" s="1321" t="s">
        <v>1349</v>
      </c>
      <c r="GT227" s="1321" t="s">
        <v>1349</v>
      </c>
      <c r="GU227" s="1321" t="s">
        <v>1349</v>
      </c>
      <c r="GV227" s="1321" t="s">
        <v>1349</v>
      </c>
      <c r="GW227" s="1321"/>
      <c r="GX227" s="1321"/>
      <c r="GY227" s="1321"/>
      <c r="GZ227" s="1321"/>
      <c r="HA227" s="1321"/>
      <c r="HB227" s="1321"/>
      <c r="HC227" s="1321"/>
      <c r="HD227" s="1321"/>
      <c r="HE227" s="1321"/>
      <c r="HF227" s="1321"/>
      <c r="HG227" s="1321"/>
      <c r="HH227" s="1321"/>
      <c r="HI227" s="1321"/>
      <c r="HJ227" s="1321"/>
      <c r="HK227" s="1321"/>
      <c r="HL227" s="1321"/>
      <c r="HM227" s="1321"/>
      <c r="HN227" s="1321"/>
      <c r="HO227" s="1321"/>
      <c r="HP227" s="1321"/>
      <c r="HQ227" s="1321"/>
      <c r="HR227" s="1321"/>
      <c r="HS227" s="1321"/>
      <c r="HT227" s="1321"/>
      <c r="HU227" s="1321"/>
      <c r="HV227" s="1321"/>
      <c r="HW227" s="1321"/>
      <c r="HX227" s="1321"/>
      <c r="HY227" s="1321"/>
      <c r="HZ227" s="1321"/>
      <c r="IA227" s="1321"/>
      <c r="IB227" s="1321"/>
      <c r="IC227" s="1321"/>
      <c r="ID227" s="1321"/>
      <c r="IE227" s="1321"/>
      <c r="IF227" s="1321"/>
      <c r="IG227" s="1321"/>
      <c r="IH227" s="1321"/>
      <c r="II227" s="1321"/>
      <c r="IJ227" s="1321"/>
      <c r="IK227" s="1321"/>
      <c r="IL227" s="1321"/>
      <c r="IM227" s="1321"/>
      <c r="IN227" s="1368"/>
    </row>
    <row r="228" spans="1:248" ht="12.75" customHeight="1" x14ac:dyDescent="0.2">
      <c r="A228" s="1319"/>
      <c r="B228" s="1321"/>
      <c r="C228" s="1321"/>
      <c r="D228" s="1321"/>
      <c r="E228" s="1321"/>
      <c r="F228" s="1321"/>
      <c r="G228" s="1321"/>
      <c r="H228" s="1321"/>
      <c r="I228" s="1321"/>
      <c r="J228" s="1321"/>
      <c r="K228" s="1321"/>
      <c r="L228" s="1321"/>
      <c r="M228" s="1321"/>
      <c r="N228" s="1321"/>
      <c r="O228" s="1321"/>
      <c r="P228" s="1321"/>
      <c r="Q228" s="1321"/>
      <c r="R228" s="1321"/>
      <c r="S228" s="1321"/>
      <c r="T228" s="1321"/>
      <c r="U228" s="1321"/>
      <c r="V228" s="1321"/>
      <c r="W228" s="1321"/>
      <c r="X228" s="1321"/>
      <c r="Y228" s="1321"/>
      <c r="Z228" s="1321"/>
      <c r="AA228" s="1321"/>
      <c r="AB228" s="1321"/>
      <c r="AC228" s="1321"/>
      <c r="AD228" s="1321"/>
      <c r="AE228" s="1321"/>
      <c r="AF228" s="1321"/>
      <c r="AG228" s="1321"/>
      <c r="AH228" s="1321"/>
      <c r="AI228" s="1321"/>
      <c r="AJ228" s="1321"/>
      <c r="AK228" s="1321"/>
      <c r="AL228" s="1321"/>
      <c r="AM228" s="1321"/>
      <c r="AN228" s="1321"/>
      <c r="AO228" s="1321"/>
      <c r="AP228" s="1321"/>
      <c r="AQ228" s="1321"/>
      <c r="AR228" s="1321"/>
      <c r="AS228" s="1321"/>
      <c r="AT228" s="1321"/>
      <c r="AU228" s="1321"/>
      <c r="AV228" s="1321"/>
      <c r="AW228" s="1321"/>
      <c r="AX228" s="1321"/>
      <c r="AY228" s="1321"/>
      <c r="AZ228" s="1321"/>
      <c r="BA228" s="1321"/>
      <c r="BB228" s="1076"/>
      <c r="BC228" s="1267">
        <f t="array" ref="BC228">IF(Ration_complète_bovins[somme]&gt;0,0,IFERROR(IF(OR(AND(INDEX(Règles_bovins[Specificite],MATCH(ChoixRationBovins&amp;$BB228,Règles_bovins[Ration]&amp;Règles_bovins[Aliment],0))="s1",IF($BB228=Spécificité1Bovins,1)),
AND(INDEX(Règles_bovins[Specificite],MATCH(ChoixRationBovins&amp;$BB228,Règles_bovins[Ration]&amp;Règles_bovins[Aliment],0))="s2",IF($BB228=Spécificité2Bovins,1)),
INDEX(Règles_bovins[Specificite],MATCH(ChoixRationBovins&amp;$BB228,Règles_bovins[Ration]&amp;Règles_bovins[Aliment],0))="c"),
INDEX(Règles_bovins[Valeur 36 et plus],MATCH(ChoixRationBovins&amp;$BB228,Règles_bovins[Ration]&amp;Règles_bovins[Aliment],0)),0),0)*IF(ChoixBovinsPréHiver=OUI,TotalTaureauxRacesLaitières,TotalTaureaux*SUM(NbreJoursNourrirBovins)))</f>
        <v>0</v>
      </c>
      <c r="BD228" s="1267">
        <f t="array" ref="BD228">IF(Ration_complète_bovins[somme]&gt;0,0,IFERROR(IF(OR(AND(INDEX(Règles_bovins[Specificite],MATCH(ChoixRationBovins&amp;$BB228,Règles_bovins[Ration]&amp;Règles_bovins[Aliment],0))="s1",IF($BB228=Spécificité1Bovins,1)),
AND(INDEX(Règles_bovins[Specificite],MATCH(ChoixRationBovins&amp;$BB228,Règles_bovins[Ration]&amp;Règles_bovins[Aliment],0))="s2",IF($BB228=Spécificité2Bovins,1)),
INDEX(Règles_bovins[Specificite],MATCH(ChoixRationBovins&amp;$BB228,Règles_bovins[Ration]&amp;Règles_bovins[Aliment],0))="c"),
INDEX(Règles_bovins[Valeur 24-36],MATCH(ChoixRationBovins&amp;$BB228,Règles_bovins[Ration]&amp;Règles_bovins[Aliment],0)),0),0)*IF(ChoixBovinsPréHiver=OUI,TotalTaurillon_24_36_RacesLaitières,TotalBovinsMâles_24_36mois*SUM(NbreJoursNourrirBovins)))</f>
        <v>0</v>
      </c>
      <c r="BE228" s="1267">
        <f t="array" ref="BE228">IF(Ration_complète_bovins[somme]&gt;0,0,IFERROR(IF(OR(AND(INDEX(Règles_bovins[Specificite],MATCH(ChoixRationBovins&amp;$BB228,Règles_bovins[Ration]&amp;Règles_bovins[Aliment],0))="s1",IF($BB228=Spécificité1Bovins,1)),
AND(INDEX(Règles_bovins[Specificite],MATCH(ChoixRationBovins&amp;$BB228,Règles_bovins[Ration]&amp;Règles_bovins[Aliment],0))="s2",IF($BB228=Spécificité2Bovins,1)),
INDEX(Règles_bovins[Specificite],MATCH(ChoixRationBovins&amp;$BB228,Règles_bovins[Ration]&amp;Règles_bovins[Aliment],0))="c"),
INDEX(Règles_bovins[Valeur 18-24],MATCH(ChoixRationBovins&amp;$BB228,Règles_bovins[Ration]&amp;Règles_bovins[Aliment],0)),0),0)*IF(ChoixBovinsPréHiver=OUI,TotalTaurillon_18_24_RacesLaitières,TotalBovinsMâles_18_24mois*SUM(NbreJoursNourrirBovins)))</f>
        <v>0</v>
      </c>
      <c r="BF228" s="1267">
        <f t="array" ref="BF228">IF(Ration_complète_bovins[somme]&gt;0,0,IFERROR(IF(OR(AND(INDEX(Règles_bovins[Specificite],MATCH(ChoixRationBovins&amp;$BB228,Règles_bovins[Ration]&amp;Règles_bovins[Aliment],0))="s1",IF($BB228=Spécificité1Bovins,1)),
AND(INDEX(Règles_bovins[Specificite],MATCH(ChoixRationBovins&amp;$BB228,Règles_bovins[Ration]&amp;Règles_bovins[Aliment],0))="s2",IF($BB228=Spécificité2Bovins,1)),
INDEX(Règles_bovins[Specificite],MATCH(ChoixRationBovins&amp;$BB228,Règles_bovins[Ration]&amp;Règles_bovins[Aliment],0))="c"),
INDEX(Règles_bovins[Valeur 12-18],MATCH(ChoixRationBovins&amp;$BB228,Règles_bovins[Ration]&amp;Règles_bovins[Aliment],0)),0),0)*IF(ChoixBovinsPréHiver=OUI,animaux!D51,TotalBovinsMâles_12_18mois*SUM(NbreJoursNourrirBovins)))</f>
        <v>0</v>
      </c>
      <c r="BG228" s="1267">
        <f t="array" ref="BG228">IF(Ration_complète_bovins[somme]&gt;0,0,IFERROR(IF(OR(AND(INDEX(Règles_bovins[Specificite],MATCH(ChoixRationBovins&amp;$BB228,Règles_bovins[Ration]&amp;Règles_bovins[Aliment],0))="s1",IF($BB228=Spécificité1Bovins,1)),
AND(INDEX(Règles_bovins[Specificite],MATCH(ChoixRationBovins&amp;$BB228,Règles_bovins[Ration]&amp;Règles_bovins[Aliment],0))="s2",IF($BB228=Spécificité2Bovins,1)),
INDEX(Règles_bovins[Specificite],MATCH(ChoixRationBovins&amp;$BB228,Règles_bovins[Ration]&amp;Règles_bovins[Aliment],0))="c"),
INDEX(Règles_bovins[Valeur 6-12],MATCH(ChoixRationBovins&amp;$BB228,Règles_bovins[Ration]&amp;Règles_bovins[Aliment],0)),0),0)*IF(ChoixBovinsPréHiver=OUI,TotalVeauMâle_6_12_RacesLaitières,TotalBovinsMâles_6_12mois*SUM(NbreJoursNourrirBovins)))</f>
        <v>0</v>
      </c>
      <c r="BH228" s="1267">
        <f t="array" ref="BH228">IF(Ration_complète_bovins[somme]&gt;0,0,IFERROR(IF(OR(AND(INDEX(Règles_bovins[Specificite],MATCH(ChoixRationBovins&amp;$BB228,Règles_bovins[Ration]&amp;Règles_bovins[Aliment],0))="s1",IF($BB228=Spécificité1Bovins,1)),
AND(INDEX(Règles_bovins[Specificite],MATCH(ChoixRationBovins&amp;$BB228,Règles_bovins[Ration]&amp;Règles_bovins[Aliment],0))="s2",IF($BB228=Spécificité2Bovins,1)),
INDEX(Règles_bovins[Specificite],MATCH(ChoixRationBovins&amp;$BB228,Règles_bovins[Ration]&amp;Règles_bovins[Aliment],0))="c"),
INDEX(Règles_bovins[Valeur 3-6],MATCH(ChoixRationBovins&amp;$BB228,Règles_bovins[Ration]&amp;Règles_bovins[Aliment],0)),0),0)*IF(ChoixBovinsPréHiver=OUI,TotalVeauMâle_3_6_RacesLaitières,TotalBovinsMâles_3_6mois*SUM(NbreJoursNourrirBovins)))</f>
        <v>0</v>
      </c>
      <c r="BI228" s="1267">
        <f t="array" ref="BI228">IF(Ration_complète_bovins[somme]&gt;0,0,IFERROR(IF(OR(AND(INDEX(Règles_bovins[Specificite],MATCH(ChoixRationBovins&amp;$BB228,Règles_bovins[Ration]&amp;Règles_bovins[Aliment],0))="s1",IF($BB228=Spécificité1Bovins,1)),
AND(INDEX(Règles_bovins[Specificite],MATCH(ChoixRationBovins&amp;$BB228,Règles_bovins[Ration]&amp;Règles_bovins[Aliment],0))="s2",IF($BB228=Spécificité2Bovins,1)),
INDEX(Règles_bovins[Specificite],MATCH(ChoixRationBovins&amp;$BB228,Règles_bovins[Ration]&amp;Règles_bovins[Aliment],0))="c"),
INDEX(Règles_bovins[Valeur 0-3],MATCH(ChoixRationBovins&amp;$BB228,Règles_bovins[Ration]&amp;Règles_bovins[Aliment],0)),0),0)*IF(ChoixBovinsPréHiver=OUI,TotalVeauMâle_0_3_RacesLaitières,TotalBovinsMâles_0_3mois*SUM(NbreJoursNourrirBovins)))</f>
        <v>0</v>
      </c>
      <c r="BJ228" s="1268">
        <f t="shared" si="69"/>
        <v>0</v>
      </c>
      <c r="BK228" s="1321"/>
      <c r="BL228" s="1345"/>
      <c r="BM228" s="1346"/>
      <c r="BN228" s="1321"/>
      <c r="BO228" s="1321"/>
      <c r="BP228" s="1321"/>
      <c r="BQ228" s="1321"/>
      <c r="BR228" s="1321"/>
      <c r="BS228" s="1321"/>
      <c r="BT228" s="1321"/>
      <c r="BU228" s="1321"/>
      <c r="BV228" s="1345"/>
      <c r="BW228" s="1345"/>
      <c r="BX228" s="1076" t="str">
        <f t="shared" si="70"/>
        <v>Triticale</v>
      </c>
      <c r="BY228" s="1267">
        <f t="array" ref="BY228">SUM((IF(QualitéAlimentsChevreau_0_3_mois=BONNE,VLOOKUP("Triticale",AlimentsRationCaprinsMâles,5,FALSE),0)+(IF(QualitéAlimentsChevrette_0_3_mois=BONNE,VLOOKUP("Triticale",AlimentsRationCaprinsFemelles,5,FALSE),0)+(IF(QualitéAlimentsChevreau_3_6_mois=BONNE,VLOOKUP("Triticale",AlimentsRationCaprinsMâles,4,FALSE),0)+(IF(QualitéAlimentsChevrette_3_6_mois=BONNE,VLOOKUP("Triticale",AlimentsRationCaprinsFemelles,4,FALSE),0)+(IF(QualitéAlimentsJeuneBouc=BONNE,VLOOKUP("Triticale",AlimentsRationCaprinsMâles,3,FALSE),0)+(IF(QualitéAlimentsJeuneChèvre=BONNE,VLOOKUP("Triticale",AlimentsRationCaprinsFemelles,3,FALSE),0)+(IF(QualitéAlimentsBouc=BONNE,VLOOKUP("Triticale",AlimentsRationCaprinsMâles,2,FALSE),0)+(IF(QualitéAlimentsChèvre=BONNE,VLOOKUP("Triticale",AlimentsRationCaprinsFemelles,2,FALSE),0))))))))))</f>
        <v>0</v>
      </c>
      <c r="BZ228" s="1267">
        <f t="array" ref="BZ228">SUM((IF(QualitéAlimentsChevreau_0_3_mois=MOYENNE,VLOOKUP("Triticale",AlimentsRationCaprinsMâles,5,FALSE),0)+(IF(QualitéAlimentsChevrette_0_3_mois=MOYENNE,VLOOKUP("Triticale",AlimentsRationCaprinsFemelles,5,FALSE),0)+(IF(QualitéAlimentsChevreau_3_6_mois=MOYENNE,VLOOKUP("Triticale",AlimentsRationCaprinsMâles,4,FALSE),0)+(IF(QualitéAlimentsChevrette_3_6_mois=MOYENNE,VLOOKUP("Triticale",AlimentsRationCaprinsFemelles,4,FALSE),0)+(IF(QualitéAlimentsJeuneBouc=MOYENNE,VLOOKUP("Triticale",AlimentsRationCaprinsMâles,3,FALSE),0)+(IF(QualitéAlimentsJeuneChèvre=MOYENNE,VLOOKUP("Triticale",AlimentsRationCaprinsFemelles,3,FALSE),0)+(IF(QualitéAlimentsBouc=MOYENNE,VLOOKUP("Triticale",AlimentsRationCaprinsMâles,2,FALSE),0)+(IF(QualitéAlimentsChèvre=MOYENNE,VLOOKUP("Triticale",AlimentsRationCaprinsFemelles,2,FALSE),0))))))))))</f>
        <v>0</v>
      </c>
      <c r="CA228" s="1267">
        <f t="array" ref="CA228">SUM((IF(QualitéAlimentsChevreau_0_3_mois=MAUVAISE,VLOOKUP("Triticale",AlimentsRationCaprinsMâles,5,FALSE),0)+(IF(QualitéAlimentsChevrette_0_3_mois=MAUVAISE,VLOOKUP("Triticale",AlimentsRationCaprinsFemelles,5,FALSE),0)+(IF(QualitéAlimentsChevreau_3_6_mois=MAUVAISE,VLOOKUP("Triticale",AlimentsRationCaprinsMâles,4,FALSE),0)+(IF(QualitéAlimentsChevrette_3_6_mois=MAUVAISE,VLOOKUP("Triticale",AlimentsRationCaprinsFemelles,4,FALSE),0)+(IF(QualitéAlimentsJeuneBouc=MAUVAISE,VLOOKUP("Triticale",AlimentsRationCaprinsMâles,3,FALSE),0)+(IF(QualitéAlimentsJeuneChèvre=MAUVAISE,VLOOKUP("Triticale",AlimentsRationCaprinsFemelles,3,FALSE),0)+(IF(QualitéAlimentsBouc=MAUVAISE,VLOOKUP("Triticale",AlimentsRationCaprinsMâles,2,FALSE),0)+(IF(QualitéAlimentsChèvre=MAUVAISE,VLOOKUP("Triticale",AlimentsRationCaprinsFemelles,2,FALSE),0))))))))))</f>
        <v>0</v>
      </c>
      <c r="CB228" s="1350"/>
      <c r="CC228" s="1350"/>
      <c r="CD228" s="1345"/>
      <c r="CE228" s="1345"/>
      <c r="CF228" s="1345"/>
      <c r="CG228" s="1345"/>
      <c r="CH228" s="1345"/>
      <c r="CI228" s="1321"/>
      <c r="CJ228" s="1321"/>
      <c r="CK228" s="1321"/>
      <c r="CL228" s="1321"/>
      <c r="CM228" s="1321"/>
      <c r="CN228" s="1321"/>
      <c r="CO228" s="1321"/>
      <c r="CP228" s="1321"/>
      <c r="CQ228" s="1321"/>
      <c r="CR228" s="1321"/>
      <c r="CS228" s="1321"/>
      <c r="CT228" s="1321"/>
      <c r="CU228" s="1321"/>
      <c r="CV228" s="1321"/>
      <c r="CW228" s="1321"/>
      <c r="CX228" s="1321"/>
      <c r="CY228" s="1321"/>
      <c r="CZ228" s="1321"/>
      <c r="DA228" s="1321"/>
      <c r="DB228" s="1321"/>
      <c r="DC228" s="1321"/>
      <c r="DD228" s="1321"/>
      <c r="DE228" s="1321"/>
      <c r="DF228" s="1321"/>
      <c r="DG228" s="1321"/>
      <c r="DH228" s="1321"/>
      <c r="DI228" s="1321"/>
      <c r="DJ228" s="1321"/>
      <c r="DK228" s="1321"/>
      <c r="DL228" s="1321"/>
      <c r="DM228" s="1321"/>
      <c r="DN228" s="1076">
        <f t="shared" si="68"/>
        <v>0</v>
      </c>
      <c r="DO228" s="1267">
        <f t="array" ref="DO228">IF(ChoixRationComplèteOvins=OUI,0,IFERROR(IF(OR(AND(INDEX(Règles_ovins[Specificite],MATCH(ChoixRationOvins&amp;$DN228,Règles_ovins[Ration]&amp;Règles_ovins[Aliment],0))="s1",IF($DN228=Spécificité1Ovins,1)),
AND(INDEX(Règles_ovins[Specificite],MATCH(ChoixRationOvins&amp;$DN228,Règles_ovins[Ration]&amp;Règles_ovins[Aliment],0))="s2",IF($DN228=Spécificité2Ovins,1)),
INDEX(Règles_ovins[Specificite],MATCH(ChoixRationOvins&amp;$DN228,Règles_ovins[Ration]&amp;Règles_ovins[Aliment],0))="c"),
INDEX(Règles_ovins[Valeur 12 et plus],MATCH(ChoixRationOvins&amp;$DN228,Règles_ovins[Ration]&amp;Règles_ovins[Aliment],0)),0),0)*IF(ChoixOvinsPréHiver=OUI,SUM(TotalOvinsAdultesRacesLaitières)*NbreJoursNourrirOvins,TotalBrebis*SUM(NbreJoursNourrirOvins)))</f>
        <v>0</v>
      </c>
      <c r="DP228" s="1267">
        <f t="array" ref="DP228">IF(ChoixRationComplèteOvins=OUI,0,IFERROR(IF(OR(AND(INDEX(Règles_ovins[Specificite],MATCH(ChoixRationOvins&amp;$DN228,Règles_ovins[Ration]&amp;Règles_ovins[Aliment],0))="s1",IF($DN228=Spécificité1Ovins,1)),
AND(INDEX(Règles_ovins[Specificite],MATCH(ChoixRationOvins&amp;$DN228,Règles_ovins[Ration]&amp;Règles_ovins[Aliment],0))="s2",IF($DN228=Spécificité2Ovins,1)),
INDEX(Règles_ovins[Specificite],MATCH(ChoixRationOvins&amp;$DN228,Règles_ovins[Ration]&amp;Règles_ovins[Aliment],0))="c"),
INDEX(Règles_ovins[Valeur 6-12],MATCH(ChoixRationOvins&amp;$DN228,Règles_ovins[Ration]&amp;Règles_ovins[Aliment],0)),0),0)*IF(ChoixOvinsPréHiver=OUI,SUM(TotalJeunesOvinsRacesLaitières)*NbreJoursNourrirOvins,TotalJeune_brebis_6_12_mois*SUM(NbreJoursNourrirOvins)))</f>
        <v>0</v>
      </c>
      <c r="DQ228" s="1267">
        <f t="array" ref="DQ228">IF(ChoixRationComplèteOvins=OUI,0,IFERROR(IF(OR(AND(INDEX(Règles_ovins[Specificite],MATCH(ChoixRationOvins&amp;$DN228,Règles_ovins[Ration]&amp;Règles_ovins[Aliment],0))="s1",IF($DN228=Spécificité1Ovins,1)),
AND(INDEX(Règles_ovins[Specificite],MATCH(ChoixRationOvins&amp;$DN228,Règles_ovins[Ration]&amp;Règles_ovins[Aliment],0))="s2",IF($DN228=Spécificité2Ovins,1)),
INDEX(Règles_ovins[Specificite],MATCH(ChoixRationOvins&amp;$DN228,Règles_ovins[Ration]&amp;Règles_ovins[Aliment],0))="c"),
INDEX(Règles_ovins[Valeur 3-6],MATCH(ChoixRationOvins&amp;$DN228,Règles_ovins[Ration]&amp;Règles_ovins[Aliment],0)),0),0)*IF(ChoixOvinsPréHiver=OUI,SUM(TotalOvins_3_6moisRacesLaitières)*NbreJoursNourrirOvins,TotalAgnelle_3_6_mois*SUM(NbreJoursNourrirOvins)))</f>
        <v>0</v>
      </c>
      <c r="DR228" s="1267">
        <f t="array" ref="DR228">IF(ChoixRationComplèteOvins=OUI,0,IFERROR(IF(OR(AND(INDEX(Règles_ovins[Specificite],MATCH(ChoixRationOvins&amp;$DN228,Règles_ovins[Ration]&amp;Règles_ovins[Aliment],0))="s1",IF($DN228=Spécificité1Ovins,1)),
AND(INDEX(Règles_ovins[Specificite],MATCH(ChoixRationOvins&amp;$DN228,Règles_ovins[Ration]&amp;Règles_ovins[Aliment],0))="s2",IF($DN228=Spécificité2Ovins,1)),
INDEX(Règles_ovins[Specificite],MATCH(ChoixRationOvins&amp;$DN228,Règles_ovins[Ration]&amp;Règles_ovins[Aliment],0))="c"),
INDEX(Règles_ovins[Valeur 0-3],MATCH(ChoixRationOvins&amp;$DN228,Règles_ovins[Ration]&amp;Règles_ovins[Aliment],0)),0),0)*IF(ChoixOvinsPréHiver=OUI,SUM(TotalOvins_3_6moisRacesLaitières)*NbreJoursNourrirOvins,TotalAgnelle_0_3_mois*SUM(NbreJoursNourrirOvins)))</f>
        <v>0</v>
      </c>
      <c r="DS228" s="1279">
        <f t="shared" si="67"/>
        <v>0</v>
      </c>
      <c r="DT228" s="1346"/>
      <c r="DU228" s="1346"/>
      <c r="DV228" s="1321"/>
      <c r="DW228" s="1321"/>
      <c r="DX228" s="1321"/>
      <c r="DY228" s="1321"/>
      <c r="DZ228" s="1321"/>
      <c r="EA228" s="1321"/>
      <c r="EB228" s="1321"/>
      <c r="EC228" s="1321"/>
      <c r="ED228" s="1345"/>
      <c r="EE228" s="1345"/>
      <c r="EF228" s="1321"/>
      <c r="EG228" s="1321"/>
      <c r="EH228" s="1321"/>
      <c r="EI228" s="1321"/>
      <c r="EJ228" s="1321"/>
      <c r="EK228" s="1345"/>
      <c r="EL228" s="1345"/>
      <c r="EM228" s="1321"/>
      <c r="EN228" s="1321"/>
      <c r="EO228" s="1321"/>
      <c r="EP228" s="1321"/>
      <c r="EQ228" s="1321"/>
      <c r="ER228" s="1345"/>
      <c r="ES228" s="1345"/>
      <c r="ET228" s="1321"/>
      <c r="EU228" s="1083" t="str">
        <f t="shared" si="73"/>
        <v>Ration complète</v>
      </c>
      <c r="EV228" s="1269">
        <f>IF(ChoixRationComplèteEtéChevauxSelle&lt;&gt;OUI,0,IF(QualitéRationComplèteChevauxSelle=BONNE,Ration_complète_chevaux_selle[somme],0))</f>
        <v>0</v>
      </c>
      <c r="EW228" s="1269">
        <f>IF(ChoixRationComplèteEtéChevauxSelle&lt;&gt;OUI,0,IF(QualitéRationComplèteChevauxSelle=MOYENNE,Ration_complète_chevaux_selle[somme],0))</f>
        <v>0</v>
      </c>
      <c r="EX228" s="1269">
        <f>IF(ChoixRationComplèteEtéChevauxSelle&lt;&gt;OUI,0,IF(QualitéRationComplèteChevauxSelle=MAUVAISE,Ration_complète_chevaux_selle[somme],0))</f>
        <v>0</v>
      </c>
      <c r="EY228" s="1321"/>
      <c r="EZ228" s="1345"/>
      <c r="FA228" s="1345"/>
      <c r="FB228" s="1345"/>
      <c r="FC228" s="1321"/>
      <c r="FD228" s="1082" t="str">
        <f t="shared" si="72"/>
        <v>Tourteau de colza</v>
      </c>
      <c r="FE228" s="1282">
        <f t="array" ref="FE228">SUM((IF(QualitéAlimentsPoulainMâleTrait=BONNE,VLOOKUP("Tourteau de colza",AlimentsRationEcurieChevauxMâlesTrait,5,FALSE),0)+(IF(QualitéAlimentsPoulainFemelleTrait=BONNE,VLOOKUP("Tourteau de colza",AlimentsRationEcurieChevauxFemellesTrait,5,FALSE),0)+(IF(QualitéAlimentsJeuneEtalon_12_24_moisTrait=BONNE,VLOOKUP("Tourteau de colza",AlimentsRationEcurieChevauxMâlesTrait,4,FALSE),0)+(IF(QualitéAlimentsJeuneJument_12_24_moisTrait=BONNE,VLOOKUP("Tourteau de colza",AlimentsRationEcurieChevauxFemellesTrait,4,FALSE),0)+(IF(QualitéAlimentsJeuneEtalon_24_36_moisTrait=BONNE,VLOOKUP("Tourteau de colza",AlimentsRationEcurieChevauxMâlesTrait,3,FALSE),0)+(IF(QualitéAlimentsJeuneJument_24_36_moisTrait=BONNE,VLOOKUP("Tourteau de colza",AlimentsRationEcurieChevauxFemellesTrait,3,FALSE),0)+(IF(QualitéAlimentsEtalonTrait=BONNE,VLOOKUP("Tourteau de colza",AlimentsRationEcurieChevauxMâlesTrait,2,FALSE),0)+(IF(QualitéAlimentsJumentTrait=BONNE,VLOOKUP("Tourteau de colza",AlimentsRationEcurieChevauxFemellesTrait,2,FALSE),0))))))))))</f>
        <v>0</v>
      </c>
      <c r="FF228" s="1282">
        <f t="array" ref="FF228">SUM((IF(QualitéAlimentsPoulainMâleTrait=MOYENNE,VLOOKUP("Tourteau de colza",AlimentsRationEcurieChevauxMâlesTrait,5,FALSE),0)+(IF(QualitéAlimentsPoulainFemelleTrait=MOYENNE,VLOOKUP("Tourteau de colza",AlimentsRationEcurieChevauxFemellesTrait,5,FALSE),0)+(IF(QualitéAlimentsJeuneEtalon_12_24_moisTrait=MOYENNE,VLOOKUP("Tourteau de colza",AlimentsRationEcurieChevauxMâlesTrait,4,FALSE),0)+(IF(QualitéAlimentsJeuneJument_12_24_moisTrait=MOYENNE,VLOOKUP("Tourteau de colza",AlimentsRationEcurieChevauxFemellesTrait,4,FALSE),0)+(IF(QualitéAlimentsJeuneEtalon_24_36_moisTrait=MOYENNE,VLOOKUP("Tourteau de colza",AlimentsRationEcurieChevauxMâlesTrait,3,FALSE),0)+(IF(QualitéAlimentsJeuneJument_24_36_moisTrait=MOYENNE,VLOOKUP("Tourteau de colza",AlimentsRationEcurieChevauxFemellesTrait,3,FALSE),0)+(IF(QualitéAlimentsEtalonTrait=MOYENNE,VLOOKUP("Tourteau de colza",AlimentsRationEcurieChevauxMâlesTrait,2,FALSE),0)+(IF(QualitéAlimentsJumentTrait=MOYENNE,VLOOKUP("Tourteau de colza",AlimentsRationEcurieChevauxFemellesTrait,2,FALSE),0))))))))))</f>
        <v>0</v>
      </c>
      <c r="FG228" s="1282">
        <f t="array" ref="FG228">SUM((IF(QualitéAlimentsPoulainMâleTrait=MAUVAISE,VLOOKUP("Tourteau de colza",AlimentsRationEcurieChevauxMâlesTrait,5,FALSE),0)+(IF(QualitéAlimentsPoulainFemelleTrait=MAUVAISE,VLOOKUP("Tourteau de colza",AlimentsRationEcurieChevauxFemellesTrait,5,FALSE),0)+(IF(QualitéAlimentsJeuneEtalon_12_24_moisTrait=MAUVAISE,VLOOKUP("Tourteau de colza",AlimentsRationEcurieChevauxMâlesTrait,4,FALSE),0)+(IF(QualitéAlimentsJeuneJument_12_24_moisTrait=MAUVAISE,VLOOKUP("Tourteau de colza",AlimentsRationEcurieChevauxFemellesTrait,4,FALSE),0)+(IF(QualitéAlimentsJeuneEtalon_24_36_moisTrait=MAUVAISE,VLOOKUP("Tourteau de colza",AlimentsRationEcurieChevauxMâlesTrait,3,FALSE),0)+(IF(QualitéAlimentsJeuneJument_24_36_moisTrait=MAUVAISE,VLOOKUP("Tourteau de colza",AlimentsRationEcurieChevauxFemellesTrait,3,FALSE),0)+(IF(QualitéAlimentsEtalonTrait=MAUVAISE,VLOOKUP("Tourteau de colza",AlimentsRationEcurieChevauxMâlesTrait,2,FALSE),0)+(IF(QualitéAlimentsJumentTrait=MAUVAISE,VLOOKUP("Tourteau de colza",AlimentsRationEcurieChevauxFemellesTrait,2,FALSE),0))))))))))</f>
        <v>0</v>
      </c>
      <c r="FH228" s="1321"/>
      <c r="FI228" s="1321"/>
      <c r="FJ228" s="1345"/>
      <c r="FK228" s="1345"/>
      <c r="FL228" s="1345"/>
      <c r="FM228" s="1321"/>
      <c r="FN228" s="1083" t="str">
        <f t="shared" si="71"/>
        <v>Tourteau de tournesol</v>
      </c>
      <c r="FO228" s="1283">
        <f t="array" ref="FO228">SUM((IF(QualitéAlimentsPoulainMâlePoney=BONNE,VLOOKUP("Tourteau de tournesol",AlimentsRationEcuriePoneysMâles,5,FALSE),0)+(IF(QualitéAlimentsPoulainFemellePoney=BONNE,VLOOKUP("Tourteau de tournesol",AlimentsRationEcuriePoneysFemelles,5,FALSE),0)+(IF(QualitéAlimentsJeuneEtalon_12_24_moisPoney=BONNE,VLOOKUP("Tourteau de tournesol",AlimentsRationEcuriePoneysMâles,4,FALSE),0)+(IF(QualitéAlimentsJeuneJument_12_24_moisPoney=BONNE,VLOOKUP("Tourteau de tournesol",AlimentsRationEcuriePoneysFemelles,4,FALSE),0)+(IF(QualitéAlimentsJeuneEtalon_24_36_moisPoney=BONNE,VLOOKUP("Tourteau de tournesol",AlimentsRationEcuriePoneysMâles,3,FALSE),0)+(IF(QualitéAlimentsJeuneJument_24_36_moisPoney=BONNE,VLOOKUP("Tourteau de tournesol",AlimentsRationEcuriePoneysFemelles,3,FALSE),0)+(IF(QualitéAlimentsEtalonPoney=BONNE,VLOOKUP("Tourteau de tournesol",AlimentsRationEcuriePoneysMâles,2,FALSE),0)+(IF(QualitéAlimentsJumentPoney=BONNE,VLOOKUP("Tourteau de tournesol",AlimentsRationEcuriePoneysFemelles,2,FALSE),0))))))))))</f>
        <v>0</v>
      </c>
      <c r="FP228" s="1283">
        <f t="array" ref="FP228">SUM((IF(QualitéAlimentsPoulainMâlePoney=MOYENNE,VLOOKUP("Tourteau de tournesol",AlimentsRationEcuriePoneysMâles,5,FALSE),0)+(IF(QualitéAlimentsPoulainFemellePoney=MOYENNE,VLOOKUP("Tourteau de tournesol",AlimentsRationEcuriePoneysFemelles,5,FALSE),0)+(IF(QualitéAlimentsJeuneEtalon_12_24_moisPoney=MOYENNE,VLOOKUP("Tourteau de tournesol",AlimentsRationEcuriePoneysMâles,4,FALSE),0)+(IF(QualitéAlimentsJeuneJument_12_24_moisPoney=MOYENNE,VLOOKUP("Tourteau de tournesol",AlimentsRationEcuriePoneysFemelles,4,FALSE),0)+(IF(QualitéAlimentsJeuneEtalon_24_36_moisPoney=MOYENNE,VLOOKUP("Tourteau de tournesol",AlimentsRationEcuriePoneysMâles,3,FALSE),0)+(IF(QualitéAlimentsJeuneJument_24_36_moisPoney=MOYENNE,VLOOKUP("Tourteau de tournesol",AlimentsRationEcuriePoneysFemelles,3,FALSE),0)+(IF(QualitéAlimentsEtalonPoney=MOYENNE,VLOOKUP("Tourteau de tournesol",AlimentsRationEcuriePoneysMâles,2,FALSE),0)+(IF(QualitéAlimentsJumentPoney=MOYENNE,VLOOKUP("Tourteau de tournesol",AlimentsRationEcuriePoneysFemelles,2,FALSE),0))))))))))</f>
        <v>0</v>
      </c>
      <c r="FQ228" s="1283">
        <f t="array" ref="FQ228">SUM((IF(QualitéAlimentsPoulainMâlePoney=MAUVAISE,VLOOKUP("Tourteau de tournesol",AlimentsRationEcuriePoneysMâles,5,FALSE),0)+(IF(QualitéAlimentsPoulainFemellePoney=MAUVAISE,VLOOKUP("Tourteau de tournesol",AlimentsRationEcuriePoneysFemelles,5,FALSE),0)+(IF(QualitéAlimentsJeuneEtalon_12_24_moisPoney=MAUVAISE,VLOOKUP("Tourteau de tournesol",AlimentsRationEcuriePoneysMâles,4,FALSE),0)+(IF(QualitéAlimentsJeuneJument_12_24_moisPoney=MAUVAISE,VLOOKUP("Tourteau de tournesol",AlimentsRationEcuriePoneysFemelles,4,FALSE),0)+(IF(QualitéAlimentsJeuneEtalon_24_36_moisPoney=MAUVAISE,VLOOKUP("Tourteau de tournesol",AlimentsRationEcuriePoneysMâles,3,FALSE),0)+(IF(QualitéAlimentsJeuneJument_24_36_moisPoney=MAUVAISE,VLOOKUP("Tourteau de tournesol",AlimentsRationEcuriePoneysFemelles,3,FALSE),0)+(IF(QualitéAlimentsEtalonPoney=MAUVAISE,VLOOKUP("Tourteau de tournesol",AlimentsRationEcuriePoneysMâles,2,FALSE),0)+(IF(QualitéAlimentsJumentPoney=MAUVAISE,VLOOKUP("Tourteau de tournesol",AlimentsRationEcuriePoneysFemelles,2,FALSE),0))))))))))</f>
        <v>0</v>
      </c>
      <c r="FR228" s="1345"/>
      <c r="FS228" s="1345"/>
      <c r="FT228" s="1345"/>
      <c r="FU228" s="1345"/>
      <c r="FV228" s="1345"/>
      <c r="FW228" s="1321"/>
      <c r="FX228" s="1321"/>
      <c r="FY228" s="1321"/>
      <c r="FZ228" s="1321"/>
      <c r="GA228" s="1345"/>
      <c r="GB228" s="1321"/>
      <c r="GC228" s="1321"/>
      <c r="GD228" s="1321"/>
      <c r="GE228" s="1321"/>
      <c r="GF228" s="1321"/>
      <c r="GG228" s="1321" t="s">
        <v>1349</v>
      </c>
      <c r="GH228" s="1321" t="s">
        <v>1349</v>
      </c>
      <c r="GI228" s="1321" t="s">
        <v>1349</v>
      </c>
      <c r="GJ228" s="1321" t="s">
        <v>1349</v>
      </c>
      <c r="GK228" s="1321" t="s">
        <v>1349</v>
      </c>
      <c r="GL228" s="1321" t="s">
        <v>1349</v>
      </c>
      <c r="GM228" s="1321" t="s">
        <v>1349</v>
      </c>
      <c r="GN228" s="1321" t="s">
        <v>1349</v>
      </c>
      <c r="GO228" s="1321" t="s">
        <v>1349</v>
      </c>
      <c r="GP228" s="1321" t="s">
        <v>1349</v>
      </c>
      <c r="GQ228" s="1321" t="s">
        <v>1349</v>
      </c>
      <c r="GR228" s="1321" t="s">
        <v>1349</v>
      </c>
      <c r="GS228" s="1321" t="s">
        <v>1349</v>
      </c>
      <c r="GT228" s="1321" t="s">
        <v>1349</v>
      </c>
      <c r="GU228" s="1321" t="s">
        <v>1349</v>
      </c>
      <c r="GV228" s="1321" t="s">
        <v>1349</v>
      </c>
      <c r="GW228" s="1321"/>
      <c r="GX228" s="1321"/>
      <c r="GY228" s="1321"/>
      <c r="GZ228" s="1321"/>
      <c r="HA228" s="1321"/>
      <c r="HB228" s="1321"/>
      <c r="HC228" s="1321"/>
      <c r="HD228" s="1321"/>
      <c r="HE228" s="1321"/>
      <c r="HF228" s="1321"/>
      <c r="HG228" s="1321"/>
      <c r="HH228" s="1321"/>
      <c r="HI228" s="1321"/>
      <c r="HJ228" s="1321"/>
      <c r="HK228" s="1321"/>
      <c r="HL228" s="1321"/>
      <c r="HM228" s="1321"/>
      <c r="HN228" s="1321"/>
      <c r="HO228" s="1321"/>
      <c r="HP228" s="1321"/>
      <c r="HQ228" s="1321"/>
      <c r="HR228" s="1321"/>
      <c r="HS228" s="1321"/>
      <c r="HT228" s="1321"/>
      <c r="HU228" s="1321"/>
      <c r="HV228" s="1321"/>
      <c r="HW228" s="1321"/>
      <c r="HX228" s="1321"/>
      <c r="HY228" s="1321"/>
      <c r="HZ228" s="1321"/>
      <c r="IA228" s="1321"/>
      <c r="IB228" s="1321"/>
      <c r="IC228" s="1321"/>
      <c r="ID228" s="1321"/>
      <c r="IE228" s="1321"/>
      <c r="IF228" s="1321"/>
      <c r="IG228" s="1321"/>
      <c r="IH228" s="1321"/>
      <c r="II228" s="1321"/>
      <c r="IJ228" s="1321"/>
      <c r="IK228" s="1321"/>
      <c r="IL228" s="1321"/>
      <c r="IM228" s="1321"/>
      <c r="IN228" s="1368"/>
    </row>
    <row r="229" spans="1:248" ht="12.75" customHeight="1" x14ac:dyDescent="0.2">
      <c r="A229" s="1319"/>
      <c r="B229" s="1321"/>
      <c r="C229" s="1321"/>
      <c r="D229" s="1321"/>
      <c r="E229" s="1321"/>
      <c r="F229" s="1321"/>
      <c r="G229" s="1321"/>
      <c r="H229" s="1321"/>
      <c r="I229" s="1321"/>
      <c r="J229" s="1321"/>
      <c r="K229" s="1321"/>
      <c r="L229" s="1321"/>
      <c r="M229" s="1321"/>
      <c r="N229" s="1321"/>
      <c r="O229" s="1321"/>
      <c r="P229" s="1321"/>
      <c r="Q229" s="1321"/>
      <c r="R229" s="1321"/>
      <c r="S229" s="1321"/>
      <c r="T229" s="1321"/>
      <c r="U229" s="1321"/>
      <c r="V229" s="1321"/>
      <c r="W229" s="1321"/>
      <c r="X229" s="1321"/>
      <c r="Y229" s="1321"/>
      <c r="Z229" s="1321"/>
      <c r="AA229" s="1321"/>
      <c r="AB229" s="1321"/>
      <c r="AC229" s="1321"/>
      <c r="AD229" s="1321"/>
      <c r="AE229" s="1321"/>
      <c r="AF229" s="1321"/>
      <c r="AG229" s="1321"/>
      <c r="AH229" s="1321"/>
      <c r="AI229" s="1321"/>
      <c r="AJ229" s="1321"/>
      <c r="AK229" s="1321"/>
      <c r="AL229" s="1321"/>
      <c r="AM229" s="1321"/>
      <c r="AN229" s="1321"/>
      <c r="AO229" s="1321"/>
      <c r="AP229" s="1321"/>
      <c r="AQ229" s="1321"/>
      <c r="AR229" s="1321"/>
      <c r="AS229" s="1321"/>
      <c r="AT229" s="1321"/>
      <c r="AU229" s="1321"/>
      <c r="AV229" s="1321"/>
      <c r="AW229" s="1321"/>
      <c r="AX229" s="1321"/>
      <c r="AY229" s="1321"/>
      <c r="AZ229" s="1321"/>
      <c r="BA229" s="1321"/>
      <c r="BB229" s="1075"/>
      <c r="BC229" s="1269">
        <f t="array" ref="BC229">IF(Ration_complète_bovins[somme]&gt;0,0,IFERROR(IF(OR(AND(INDEX(Règles_bovins[Specificite],MATCH(ChoixRationBovins&amp;$BB229,Règles_bovins[Ration]&amp;Règles_bovins[Aliment],0))="s1",IF($BB229=Spécificité1Bovins,1)),
AND(INDEX(Règles_bovins[Specificite],MATCH(ChoixRationBovins&amp;$BB229,Règles_bovins[Ration]&amp;Règles_bovins[Aliment],0))="s2",IF($BB229=Spécificité2Bovins,1)),
INDEX(Règles_bovins[Specificite],MATCH(ChoixRationBovins&amp;$BB229,Règles_bovins[Ration]&amp;Règles_bovins[Aliment],0))="c"),
INDEX(Règles_bovins[Valeur 36 et plus],MATCH(ChoixRationBovins&amp;$BB229,Règles_bovins[Ration]&amp;Règles_bovins[Aliment],0)),0),0)*IF(ChoixBovinsPréHiver=OUI,TotalTaureauxRacesLaitières,TotalTaureaux*SUM(NbreJoursNourrirBovins)))</f>
        <v>0</v>
      </c>
      <c r="BD229" s="1269">
        <f t="array" ref="BD229">IF(Ration_complète_bovins[somme]&gt;0,0,IFERROR(IF(OR(AND(INDEX(Règles_bovins[Specificite],MATCH(ChoixRationBovins&amp;$BB229,Règles_bovins[Ration]&amp;Règles_bovins[Aliment],0))="s1",IF($BB229=Spécificité1Bovins,1)),
AND(INDEX(Règles_bovins[Specificite],MATCH(ChoixRationBovins&amp;$BB229,Règles_bovins[Ration]&amp;Règles_bovins[Aliment],0))="s2",IF($BB229=Spécificité2Bovins,1)),
INDEX(Règles_bovins[Specificite],MATCH(ChoixRationBovins&amp;$BB229,Règles_bovins[Ration]&amp;Règles_bovins[Aliment],0))="c"),
INDEX(Règles_bovins[Valeur 24-36],MATCH(ChoixRationBovins&amp;$BB229,Règles_bovins[Ration]&amp;Règles_bovins[Aliment],0)),0),0)*IF(ChoixBovinsPréHiver=OUI,TotalTaurillon_24_36_RacesLaitières,TotalBovinsMâles_24_36mois*SUM(NbreJoursNourrirBovins)))</f>
        <v>0</v>
      </c>
      <c r="BE229" s="1269">
        <f t="array" ref="BE229">IF(Ration_complète_bovins[somme]&gt;0,0,IFERROR(IF(OR(AND(INDEX(Règles_bovins[Specificite],MATCH(ChoixRationBovins&amp;$BB229,Règles_bovins[Ration]&amp;Règles_bovins[Aliment],0))="s1",IF($BB229=Spécificité1Bovins,1)),
AND(INDEX(Règles_bovins[Specificite],MATCH(ChoixRationBovins&amp;$BB229,Règles_bovins[Ration]&amp;Règles_bovins[Aliment],0))="s2",IF($BB229=Spécificité2Bovins,1)),
INDEX(Règles_bovins[Specificite],MATCH(ChoixRationBovins&amp;$BB229,Règles_bovins[Ration]&amp;Règles_bovins[Aliment],0))="c"),
INDEX(Règles_bovins[Valeur 18-24],MATCH(ChoixRationBovins&amp;$BB229,Règles_bovins[Ration]&amp;Règles_bovins[Aliment],0)),0),0)*IF(ChoixBovinsPréHiver=OUI,TotalTaurillon_18_24_RacesLaitières,TotalBovinsMâles_18_24mois*SUM(NbreJoursNourrirBovins)))</f>
        <v>0</v>
      </c>
      <c r="BF229" s="1269">
        <f t="array" ref="BF229">IF(Ration_complète_bovins[somme]&gt;0,0,IFERROR(IF(OR(AND(INDEX(Règles_bovins[Specificite],MATCH(ChoixRationBovins&amp;$BB229,Règles_bovins[Ration]&amp;Règles_bovins[Aliment],0))="s1",IF($BB229=Spécificité1Bovins,1)),
AND(INDEX(Règles_bovins[Specificite],MATCH(ChoixRationBovins&amp;$BB229,Règles_bovins[Ration]&amp;Règles_bovins[Aliment],0))="s2",IF($BB229=Spécificité2Bovins,1)),
INDEX(Règles_bovins[Specificite],MATCH(ChoixRationBovins&amp;$BB229,Règles_bovins[Ration]&amp;Règles_bovins[Aliment],0))="c"),
INDEX(Règles_bovins[Valeur 12-18],MATCH(ChoixRationBovins&amp;$BB229,Règles_bovins[Ration]&amp;Règles_bovins[Aliment],0)),0),0)*IF(ChoixBovinsPréHiver=OUI,animaux!D52,TotalBovinsMâles_12_18mois*SUM(NbreJoursNourrirBovins)))</f>
        <v>0</v>
      </c>
      <c r="BG229" s="1269">
        <f t="array" ref="BG229">IF(Ration_complète_bovins[somme]&gt;0,0,IFERROR(IF(OR(AND(INDEX(Règles_bovins[Specificite],MATCH(ChoixRationBovins&amp;$BB229,Règles_bovins[Ration]&amp;Règles_bovins[Aliment],0))="s1",IF($BB229=Spécificité1Bovins,1)),
AND(INDEX(Règles_bovins[Specificite],MATCH(ChoixRationBovins&amp;$BB229,Règles_bovins[Ration]&amp;Règles_bovins[Aliment],0))="s2",IF($BB229=Spécificité2Bovins,1)),
INDEX(Règles_bovins[Specificite],MATCH(ChoixRationBovins&amp;$BB229,Règles_bovins[Ration]&amp;Règles_bovins[Aliment],0))="c"),
INDEX(Règles_bovins[Valeur 6-12],MATCH(ChoixRationBovins&amp;$BB229,Règles_bovins[Ration]&amp;Règles_bovins[Aliment],0)),0),0)*IF(ChoixBovinsPréHiver=OUI,TotalVeauMâle_6_12_RacesLaitières,TotalBovinsMâles_6_12mois*SUM(NbreJoursNourrirBovins)))</f>
        <v>0</v>
      </c>
      <c r="BH229" s="1269">
        <f t="array" ref="BH229">IF(Ration_complète_bovins[somme]&gt;0,0,IFERROR(IF(OR(AND(INDEX(Règles_bovins[Specificite],MATCH(ChoixRationBovins&amp;$BB229,Règles_bovins[Ration]&amp;Règles_bovins[Aliment],0))="s1",IF($BB229=Spécificité1Bovins,1)),
AND(INDEX(Règles_bovins[Specificite],MATCH(ChoixRationBovins&amp;$BB229,Règles_bovins[Ration]&amp;Règles_bovins[Aliment],0))="s2",IF($BB229=Spécificité2Bovins,1)),
INDEX(Règles_bovins[Specificite],MATCH(ChoixRationBovins&amp;$BB229,Règles_bovins[Ration]&amp;Règles_bovins[Aliment],0))="c"),
INDEX(Règles_bovins[Valeur 3-6],MATCH(ChoixRationBovins&amp;$BB229,Règles_bovins[Ration]&amp;Règles_bovins[Aliment],0)),0),0)*IF(ChoixBovinsPréHiver=OUI,TotalVeauMâle_3_6_RacesLaitières,TotalBovinsMâles_3_6mois*SUM(NbreJoursNourrirBovins)))</f>
        <v>0</v>
      </c>
      <c r="BI229" s="1269">
        <f t="array" ref="BI229">IF(Ration_complète_bovins[somme]&gt;0,0,IFERROR(IF(OR(AND(INDEX(Règles_bovins[Specificite],MATCH(ChoixRationBovins&amp;$BB229,Règles_bovins[Ration]&amp;Règles_bovins[Aliment],0))="s1",IF($BB229=Spécificité1Bovins,1)),
AND(INDEX(Règles_bovins[Specificite],MATCH(ChoixRationBovins&amp;$BB229,Règles_bovins[Ration]&amp;Règles_bovins[Aliment],0))="s2",IF($BB229=Spécificité2Bovins,1)),
INDEX(Règles_bovins[Specificite],MATCH(ChoixRationBovins&amp;$BB229,Règles_bovins[Ration]&amp;Règles_bovins[Aliment],0))="c"),
INDEX(Règles_bovins[Valeur 0-3],MATCH(ChoixRationBovins&amp;$BB229,Règles_bovins[Ration]&amp;Règles_bovins[Aliment],0)),0),0)*IF(ChoixBovinsPréHiver=OUI,TotalVeauMâle_0_3_RacesLaitières,TotalBovinsMâles_0_3mois*SUM(NbreJoursNourrirBovins)))</f>
        <v>0</v>
      </c>
      <c r="BJ229" s="1270">
        <f t="shared" si="69"/>
        <v>0</v>
      </c>
      <c r="BK229" s="1321"/>
      <c r="BL229" s="1345"/>
      <c r="BM229" s="1346"/>
      <c r="BN229" s="1321"/>
      <c r="BO229" s="1321"/>
      <c r="BP229" s="1321"/>
      <c r="BQ229" s="1321"/>
      <c r="BR229" s="1321"/>
      <c r="BS229" s="1321"/>
      <c r="BT229" s="1321"/>
      <c r="BU229" s="1321"/>
      <c r="BV229" s="1345"/>
      <c r="BW229" s="1345"/>
      <c r="BX229" s="1075">
        <f t="shared" si="70"/>
        <v>0</v>
      </c>
      <c r="BY229" s="1269"/>
      <c r="BZ229" s="1269"/>
      <c r="CA229" s="1269"/>
      <c r="CB229" s="1321"/>
      <c r="CC229" s="1321"/>
      <c r="CD229" s="1345"/>
      <c r="CE229" s="1345"/>
      <c r="CF229" s="1345"/>
      <c r="CG229" s="1345"/>
      <c r="CH229" s="1345"/>
      <c r="CI229" s="1321"/>
      <c r="CJ229" s="1321"/>
      <c r="CK229" s="1321"/>
      <c r="CL229" s="1321"/>
      <c r="CM229" s="1321"/>
      <c r="CN229" s="1321"/>
      <c r="CO229" s="1321"/>
      <c r="CP229" s="1321"/>
      <c r="CQ229" s="1321"/>
      <c r="CR229" s="1321"/>
      <c r="CS229" s="1321"/>
      <c r="CT229" s="1321"/>
      <c r="CU229" s="1321"/>
      <c r="CV229" s="1321"/>
      <c r="CW229" s="1321"/>
      <c r="CX229" s="1321"/>
      <c r="CY229" s="1321"/>
      <c r="CZ229" s="1321"/>
      <c r="DA229" s="1321"/>
      <c r="DB229" s="1321"/>
      <c r="DC229" s="1321"/>
      <c r="DD229" s="1321"/>
      <c r="DE229" s="1321"/>
      <c r="DF229" s="1321"/>
      <c r="DG229" s="1321"/>
      <c r="DH229" s="1321"/>
      <c r="DI229" s="1321"/>
      <c r="DJ229" s="1321"/>
      <c r="DK229" s="1321"/>
      <c r="DL229" s="1321"/>
      <c r="DM229" s="1321"/>
      <c r="DN229" s="1075">
        <f t="shared" si="68"/>
        <v>0</v>
      </c>
      <c r="DO229" s="1269">
        <f t="array" ref="DO229">IF(ChoixRationComplèteOvins=OUI,0,IFERROR(IF(OR(AND(INDEX(Règles_ovins[Specificite],MATCH(ChoixRationOvins&amp;$DN229,Règles_ovins[Ration]&amp;Règles_ovins[Aliment],0))="s1",IF($DN229=Spécificité1Ovins,1)),
AND(INDEX(Règles_ovins[Specificite],MATCH(ChoixRationOvins&amp;$DN229,Règles_ovins[Ration]&amp;Règles_ovins[Aliment],0))="s2",IF($DN229=Spécificité2Ovins,1)),
INDEX(Règles_ovins[Specificite],MATCH(ChoixRationOvins&amp;$DN229,Règles_ovins[Ration]&amp;Règles_ovins[Aliment],0))="c"),
INDEX(Règles_ovins[Valeur 12 et plus],MATCH(ChoixRationOvins&amp;$DN229,Règles_ovins[Ration]&amp;Règles_ovins[Aliment],0)),0),0)*IF(ChoixOvinsPréHiver=OUI,SUM(TotalOvinsAdultesRacesLaitières)*NbreJoursNourrirOvins,TotalBrebis*SUM(NbreJoursNourrirOvins)))</f>
        <v>0</v>
      </c>
      <c r="DP229" s="1269">
        <f t="array" ref="DP229">IF(ChoixRationComplèteOvins=OUI,0,IFERROR(IF(OR(AND(INDEX(Règles_ovins[Specificite],MATCH(ChoixRationOvins&amp;$DN229,Règles_ovins[Ration]&amp;Règles_ovins[Aliment],0))="s1",IF($DN229=Spécificité1Ovins,1)),
AND(INDEX(Règles_ovins[Specificite],MATCH(ChoixRationOvins&amp;$DN229,Règles_ovins[Ration]&amp;Règles_ovins[Aliment],0))="s2",IF($DN229=Spécificité2Ovins,1)),
INDEX(Règles_ovins[Specificite],MATCH(ChoixRationOvins&amp;$DN229,Règles_ovins[Ration]&amp;Règles_ovins[Aliment],0))="c"),
INDEX(Règles_ovins[Valeur 6-12],MATCH(ChoixRationOvins&amp;$DN229,Règles_ovins[Ration]&amp;Règles_ovins[Aliment],0)),0),0)*IF(ChoixOvinsPréHiver=OUI,SUM(TotalJeunesOvinsRacesLaitières)*NbreJoursNourrirOvins,TotalJeune_brebis_6_12_mois*SUM(NbreJoursNourrirOvins)))</f>
        <v>0</v>
      </c>
      <c r="DQ229" s="1269">
        <f t="array" ref="DQ229">IF(ChoixRationComplèteOvins=OUI,0,IFERROR(IF(OR(AND(INDEX(Règles_ovins[Specificite],MATCH(ChoixRationOvins&amp;$DN229,Règles_ovins[Ration]&amp;Règles_ovins[Aliment],0))="s1",IF($DN229=Spécificité1Ovins,1)),
AND(INDEX(Règles_ovins[Specificite],MATCH(ChoixRationOvins&amp;$DN229,Règles_ovins[Ration]&amp;Règles_ovins[Aliment],0))="s2",IF($DN229=Spécificité2Ovins,1)),
INDEX(Règles_ovins[Specificite],MATCH(ChoixRationOvins&amp;$DN229,Règles_ovins[Ration]&amp;Règles_ovins[Aliment],0))="c"),
INDEX(Règles_ovins[Valeur 3-6],MATCH(ChoixRationOvins&amp;$DN229,Règles_ovins[Ration]&amp;Règles_ovins[Aliment],0)),0),0)*IF(ChoixOvinsPréHiver=OUI,SUM(TotalOvins_3_6moisRacesLaitières)*NbreJoursNourrirOvins,TotalAgnelle_3_6_mois*SUM(NbreJoursNourrirOvins)))</f>
        <v>0</v>
      </c>
      <c r="DR229" s="1269">
        <f t="array" ref="DR229">IF(ChoixRationComplèteOvins=OUI,0,IFERROR(IF(OR(AND(INDEX(Règles_ovins[Specificite],MATCH(ChoixRationOvins&amp;$DN229,Règles_ovins[Ration]&amp;Règles_ovins[Aliment],0))="s1",IF($DN229=Spécificité1Ovins,1)),
AND(INDEX(Règles_ovins[Specificite],MATCH(ChoixRationOvins&amp;$DN229,Règles_ovins[Ration]&amp;Règles_ovins[Aliment],0))="s2",IF($DN229=Spécificité2Ovins,1)),
INDEX(Règles_ovins[Specificite],MATCH(ChoixRationOvins&amp;$DN229,Règles_ovins[Ration]&amp;Règles_ovins[Aliment],0))="c"),
INDEX(Règles_ovins[Valeur 0-3],MATCH(ChoixRationOvins&amp;$DN229,Règles_ovins[Ration]&amp;Règles_ovins[Aliment],0)),0),0)*IF(ChoixOvinsPréHiver=OUI,SUM(TotalOvins_3_6moisRacesLaitières)*NbreJoursNourrirOvins,TotalAgnelle_0_3_mois*SUM(NbreJoursNourrirOvins)))</f>
        <v>0</v>
      </c>
      <c r="DS229" s="1280">
        <f t="shared" si="67"/>
        <v>0</v>
      </c>
      <c r="DT229" s="1346"/>
      <c r="DU229" s="1346"/>
      <c r="DV229" s="1321"/>
      <c r="DW229" s="1321"/>
      <c r="DX229" s="1321"/>
      <c r="DY229" s="1321"/>
      <c r="DZ229" s="1321"/>
      <c r="EA229" s="1321"/>
      <c r="EB229" s="1321"/>
      <c r="EC229" s="1321"/>
      <c r="ED229" s="1345"/>
      <c r="EE229" s="1345"/>
      <c r="EF229" s="1321"/>
      <c r="EG229" s="1321"/>
      <c r="EH229" s="1321"/>
      <c r="EI229" s="1321"/>
      <c r="EJ229" s="1321"/>
      <c r="EK229" s="1345"/>
      <c r="EL229" s="1345"/>
      <c r="EM229" s="1321"/>
      <c r="EN229" s="1321"/>
      <c r="EO229" s="1321"/>
      <c r="EP229" s="1321"/>
      <c r="EQ229" s="1321"/>
      <c r="ER229" s="1345"/>
      <c r="ES229" s="1345"/>
      <c r="ET229" s="1321"/>
      <c r="EU229" s="1082" t="str">
        <f t="shared" si="73"/>
        <v>Seigle</v>
      </c>
      <c r="EV229" s="1282">
        <f t="array" ref="EV229">SUM((IF(QualitéAlimentsPoulainSelleMâle=BONNE,VLOOKUP("Seigle",AlimentsRationEcurieChevauxMâlesSelle,5,FALSE),0)+(IF(QualitéAlimentsPoulainSelleFemelle=BONNE,VLOOKUP("Seigle",AlimentsRationEcurieChevauxFemellesSelle,5,FALSE),0)+(IF(QualitéAlimentsJeuneEtalon_12_24_moisSelle=BONNE,VLOOKUP("Seigle",AlimentsRationEcurieChevauxMâlesSelle,4,FALSE),0)+(IF(QualitéAlimentsJeuneJument_12_24_moisSelle=BONNE,VLOOKUP("Seigle",AlimentsRationEcurieChevauxFemellesSelle,4,FALSE),0)+(IF(QualitéAlimentsJeuneEtalon_24_36_moisSelle=BONNE,VLOOKUP("Seigle",AlimentsRationEcurieChevauxMâlesSelle,3,FALSE),0)+(IF(QualitéAlimentsJeuneJument_24_36_moisSelle=BONNE,VLOOKUP("Seigle",AlimentsRationEcurieChevauxFemellesSelle,3,FALSE),0)+(IF(QualitéAlimentsEtalonSelle=BONNE,VLOOKUP("Seigle",AlimentsRationEcurieChevauxMâlesSelle,2,FALSE),0)+(IF(QualitéAlimentsJumentSelle=BONNE,VLOOKUP("Seigle",AlimentsRationEcurieChevauxFemellesSelle,2,FALSE),0))))))))))</f>
        <v>0</v>
      </c>
      <c r="EW229" s="1282">
        <f t="array" ref="EW229">SUM((IF(QualitéAlimentsPoulainSelleMâle=MOYENNE,VLOOKUP("Seigle",AlimentsRationEcurieChevauxMâlesSelle,5,FALSE),0)+(IF(QualitéAlimentsPoulainSelleFemelle=MOYENNE,VLOOKUP("Seigle",AlimentsRationEcurieChevauxFemellesSelle,5,FALSE),0)+(IF(QualitéAlimentsJeuneEtalon_12_24_moisSelle=MOYENNE,VLOOKUP("Seigle",AlimentsRationEcurieChevauxMâlesSelle,4,FALSE),0)+(IF(QualitéAlimentsJeuneJument_12_24_moisSelle=MOYENNE,VLOOKUP("Seigle",AlimentsRationEcurieChevauxFemellesSelle,4,FALSE),0)+(IF(QualitéAlimentsJeuneEtalon_24_36_moisSelle=MOYENNE,VLOOKUP("Seigle",AlimentsRationEcurieChevauxMâlesSelle,3,FALSE),0)+(IF(QualitéAlimentsJeuneJument_24_36_moisSelle=MOYENNE,VLOOKUP("Seigle",AlimentsRationEcurieChevauxFemellesSelle,3,FALSE),0)+(IF(QualitéAlimentsEtalonSelle=MOYENNE,VLOOKUP("Seigle",AlimentsRationEcurieChevauxMâlesSelle,2,FALSE),0)+(IF(QualitéAlimentsJumentSelle=MOYENNE,VLOOKUP("Seigle",AlimentsRationEcurieChevauxFemellesSelle,2,FALSE),0))))))))))</f>
        <v>0</v>
      </c>
      <c r="EX229" s="1282">
        <f t="array" ref="EX229">SUM((IF(QualitéAlimentsPoulainSelleMâle=MAUVAISE,VLOOKUP("Seigle",AlimentsRationEcurieChevauxMâlesSelle,5,FALSE),0)+(IF(QualitéAlimentsPoulainSelleFemelle=MAUVAISE,VLOOKUP("Seigle",AlimentsRationEcurieChevauxFemellesSelle,5,FALSE),0)+(IF(QualitéAlimentsJeuneEtalon_12_24_moisSelle=MAUVAISE,VLOOKUP("Seigle",AlimentsRationEcurieChevauxMâlesSelle,4,FALSE),0)+(IF(QualitéAlimentsJeuneJument_12_24_moisSelle=MAUVAISE,VLOOKUP("Seigle",AlimentsRationEcurieChevauxFemellesSelle,4,FALSE),0)+(IF(QualitéAlimentsJeuneEtalon_24_36_moisSelle=MAUVAISE,VLOOKUP("Seigle",AlimentsRationEcurieChevauxMâlesSelle,3,FALSE),0)+(IF(QualitéAlimentsJeuneJument_24_36_moisSelle=MAUVAISE,VLOOKUP("Seigle",AlimentsRationEcurieChevauxFemellesSelle,3,FALSE),0)+(IF(QualitéAlimentsEtalonSelle=MAUVAISE,VLOOKUP("Seigle",AlimentsRationEcurieChevauxMâlesSelle,2,FALSE),0)+(IF(QualitéAlimentsJumentSelle=MAUVAISE,VLOOKUP("Seigle",AlimentsRationEcurieChevauxFemellesSelle,2,FALSE),0))))))))))</f>
        <v>0</v>
      </c>
      <c r="EY229" s="1321"/>
      <c r="EZ229" s="1345"/>
      <c r="FA229" s="1345"/>
      <c r="FB229" s="1345"/>
      <c r="FC229" s="1321"/>
      <c r="FD229" s="1083" t="str">
        <f t="shared" si="72"/>
        <v>Tourteau de tournesol</v>
      </c>
      <c r="FE229" s="1283">
        <f t="array" ref="FE229">SUM((IF(QualitéAlimentsPoulainMâleTrait=BONNE,VLOOKUP("Tourteau de tournesol",AlimentsRationEcurieChevauxMâlesTrait,5,FALSE),0)+(IF(QualitéAlimentsPoulainFemelleTrait=BONNE,VLOOKUP("Tourteau de tournesol",AlimentsRationEcurieChevauxFemellesTrait,5,FALSE),0)+(IF(QualitéAlimentsJeuneEtalon_12_24_moisTrait=BONNE,VLOOKUP("Tourteau de tournesol",AlimentsRationEcurieChevauxMâlesTrait,4,FALSE),0)+(IF(QualitéAlimentsJeuneJument_12_24_moisTrait=BONNE,VLOOKUP("Tourteau de tournesol",AlimentsRationEcurieChevauxFemellesTrait,4,FALSE),0)+(IF(QualitéAlimentsJeuneEtalon_24_36_moisTrait=BONNE,VLOOKUP("Tourteau de tournesol",AlimentsRationEcurieChevauxMâlesTrait,3,FALSE),0)+(IF(QualitéAlimentsJeuneJument_24_36_moisTrait=BONNE,VLOOKUP("Tourteau de tournesol",AlimentsRationEcurieChevauxFemellesTrait,3,FALSE),0)+(IF(QualitéAlimentsEtalonTrait=BONNE,VLOOKUP("Tourteau de tournesol",AlimentsRationEcurieChevauxMâlesTrait,2,FALSE),0)+(IF(QualitéAlimentsJumentTrait=BONNE,VLOOKUP("Tourteau de tournesol",AlimentsRationEcurieChevauxFemellesTrait,2,FALSE),0))))))))))</f>
        <v>0</v>
      </c>
      <c r="FF229" s="1283">
        <f t="array" ref="FF229">SUM((IF(QualitéAlimentsPoulainMâleTrait=MOYENNE,VLOOKUP("Tourteau de tournesol",AlimentsRationEcurieChevauxMâlesTrait,5,FALSE),0)+(IF(QualitéAlimentsPoulainFemelleTrait=MOYENNE,VLOOKUP("Tourteau de tournesol",AlimentsRationEcurieChevauxFemellesTrait,5,FALSE),0)+(IF(QualitéAlimentsJeuneEtalon_12_24_moisTrait=MOYENNE,VLOOKUP("Tourteau de tournesol",AlimentsRationEcurieChevauxMâlesTrait,4,FALSE),0)+(IF(QualitéAlimentsJeuneJument_12_24_moisTrait=MOYENNE,VLOOKUP("Tourteau de tournesol",AlimentsRationEcurieChevauxFemellesTrait,4,FALSE),0)+(IF(QualitéAlimentsJeuneEtalon_24_36_moisTrait=MOYENNE,VLOOKUP("Tourteau de tournesol",AlimentsRationEcurieChevauxMâlesTrait,3,FALSE),0)+(IF(QualitéAlimentsJeuneJument_24_36_moisTrait=MOYENNE,VLOOKUP("Tourteau de tournesol",AlimentsRationEcurieChevauxFemellesTrait,3,FALSE),0)+(IF(QualitéAlimentsEtalonTrait=MOYENNE,VLOOKUP("Tourteau de tournesol",AlimentsRationEcurieChevauxMâlesTrait,2,FALSE),0)+(IF(QualitéAlimentsJumentTrait=MOYENNE,VLOOKUP("Tourteau de tournesol",AlimentsRationEcurieChevauxFemellesTrait,2,FALSE),0))))))))))</f>
        <v>0</v>
      </c>
      <c r="FG229" s="1283">
        <f t="array" ref="FG229">SUM((IF(QualitéAlimentsPoulainMâleTrait=MAUVAISE,VLOOKUP("Tourteau de tournesol",AlimentsRationEcurieChevauxMâlesTrait,5,FALSE),0)+(IF(QualitéAlimentsPoulainFemelleTrait=MAUVAISE,VLOOKUP("Tourteau de tournesol",AlimentsRationEcurieChevauxFemellesTrait,5,FALSE),0)+(IF(QualitéAlimentsJeuneEtalon_12_24_moisTrait=MAUVAISE,VLOOKUP("Tourteau de tournesol",AlimentsRationEcurieChevauxMâlesTrait,4,FALSE),0)+(IF(QualitéAlimentsJeuneJument_12_24_moisTrait=MAUVAISE,VLOOKUP("Tourteau de tournesol",AlimentsRationEcurieChevauxFemellesTrait,4,FALSE),0)+(IF(QualitéAlimentsJeuneEtalon_24_36_moisTrait=MAUVAISE,VLOOKUP("Tourteau de tournesol",AlimentsRationEcurieChevauxMâlesTrait,3,FALSE),0)+(IF(QualitéAlimentsJeuneJument_24_36_moisTrait=MAUVAISE,VLOOKUP("Tourteau de tournesol",AlimentsRationEcurieChevauxFemellesTrait,3,FALSE),0)+(IF(QualitéAlimentsEtalonTrait=MAUVAISE,VLOOKUP("Tourteau de tournesol",AlimentsRationEcurieChevauxMâlesTrait,2,FALSE),0)+(IF(QualitéAlimentsJumentTrait=MAUVAISE,VLOOKUP("Tourteau de tournesol",AlimentsRationEcurieChevauxFemellesTrait,2,FALSE),0))))))))))</f>
        <v>0</v>
      </c>
      <c r="FH229" s="1321"/>
      <c r="FI229" s="1321"/>
      <c r="FJ229" s="1345"/>
      <c r="FK229" s="1345"/>
      <c r="FL229" s="1345"/>
      <c r="FM229" s="1321"/>
      <c r="FN229" s="1082" t="str">
        <f t="shared" si="71"/>
        <v>Triticale</v>
      </c>
      <c r="FO229" s="1282">
        <f t="array" ref="FO229">SUM((IF(QualitéAlimentsPoulainMâlePoney=BONNE,VLOOKUP("Triticale",AlimentsRationEcuriePoneysMâles,5,FALSE),0)+(IF(QualitéAlimentsPoulainFemellePoney=BONNE,VLOOKUP("Triticale",AlimentsRationEcuriePoneysFemelles,5,FALSE),0)+(IF(QualitéAlimentsJeuneEtalon_12_24_moisPoney=BONNE,VLOOKUP("Triticale",AlimentsRationEcuriePoneysMâles,4,FALSE),0)+(IF(QualitéAlimentsJeuneJument_12_24_moisPoney=BONNE,VLOOKUP("Triticale",AlimentsRationEcuriePoneysFemelles,4,FALSE),0)+(IF(QualitéAlimentsJeuneEtalon_24_36_moisPoney=BONNE,VLOOKUP("Triticale",AlimentsRationEcuriePoneysMâles,3,FALSE),0)+(IF(QualitéAlimentsJeuneJument_24_36_moisPoney=BONNE,VLOOKUP("Triticale",AlimentsRationEcuriePoneysFemelles,3,FALSE),0)+(IF(QualitéAlimentsEtalonPoney=BONNE,VLOOKUP("Triticale",AlimentsRationEcuriePoneysMâles,2,FALSE),0)+(IF(QualitéAlimentsJumentPoney=BONNE,VLOOKUP("Triticale",AlimentsRationEcuriePoneysFemelles,2,FALSE),0))))))))))</f>
        <v>0</v>
      </c>
      <c r="FP229" s="1282">
        <f t="array" ref="FP229">SUM((IF(QualitéAlimentsPoulainMâlePoney=MOYENNE,VLOOKUP("Triticale",AlimentsRationEcuriePoneysMâles,5,FALSE),0)+(IF(QualitéAlimentsPoulainFemellePoney=MOYENNE,VLOOKUP("Triticale",AlimentsRationEcuriePoneysFemelles,5,FALSE),0)+(IF(QualitéAlimentsJeuneEtalon_12_24_moisPoney=MOYENNE,VLOOKUP("Triticale",AlimentsRationEcuriePoneysMâles,4,FALSE),0)+(IF(QualitéAlimentsJeuneJument_12_24_moisPoney=MOYENNE,VLOOKUP("Triticale",AlimentsRationEcuriePoneysFemelles,4,FALSE),0)+(IF(QualitéAlimentsJeuneEtalon_24_36_moisPoney=MOYENNE,VLOOKUP("Triticale",AlimentsRationEcuriePoneysMâles,3,FALSE),0)+(IF(QualitéAlimentsJeuneJument_24_36_moisPoney=MOYENNE,VLOOKUP("Triticale",AlimentsRationEcuriePoneysFemelles,3,FALSE),0)+(IF(QualitéAlimentsEtalonPoney=MOYENNE,VLOOKUP("Triticale",AlimentsRationEcuriePoneysMâles,2,FALSE),0)+(IF(QualitéAlimentsJumentPoney=MOYENNE,VLOOKUP("Triticale",AlimentsRationEcuriePoneysFemelles,2,FALSE),0))))))))))</f>
        <v>0</v>
      </c>
      <c r="FQ229" s="1282">
        <f t="array" ref="FQ229">SUM((IF(QualitéAlimentsPoulainMâlePoney=MAUVAISE,VLOOKUP("Triticale",AlimentsRationEcuriePoneysMâles,5,FALSE),0)+(IF(QualitéAlimentsPoulainFemellePoney=MAUVAISE,VLOOKUP("Triticale",AlimentsRationEcuriePoneysFemelles,5,FALSE),0)+(IF(QualitéAlimentsJeuneEtalon_12_24_moisPoney=MAUVAISE,VLOOKUP("Triticale",AlimentsRationEcuriePoneysMâles,4,FALSE),0)+(IF(QualitéAlimentsJeuneJument_12_24_moisPoney=MAUVAISE,VLOOKUP("Triticale",AlimentsRationEcuriePoneysFemelles,4,FALSE),0)+(IF(QualitéAlimentsJeuneEtalon_24_36_moisPoney=MAUVAISE,VLOOKUP("Triticale",AlimentsRationEcuriePoneysMâles,3,FALSE),0)+(IF(QualitéAlimentsJeuneJument_24_36_moisPoney=MAUVAISE,VLOOKUP("Triticale",AlimentsRationEcuriePoneysFemelles,3,FALSE),0)+(IF(QualitéAlimentsEtalonPoney=MAUVAISE,VLOOKUP("Triticale",AlimentsRationEcuriePoneysMâles,2,FALSE),0)+(IF(QualitéAlimentsJumentPoney=MAUVAISE,VLOOKUP("Triticale",AlimentsRationEcuriePoneysFemelles,2,FALSE),0))))))))))</f>
        <v>0</v>
      </c>
      <c r="FR229" s="1345"/>
      <c r="FS229" s="1345"/>
      <c r="FT229" s="1345"/>
      <c r="FU229" s="1345"/>
      <c r="FV229" s="1345"/>
      <c r="FW229" s="1321"/>
      <c r="FX229" s="1321"/>
      <c r="FY229" s="1321"/>
      <c r="FZ229" s="1321"/>
      <c r="GA229" s="1345"/>
      <c r="GB229" s="1321"/>
      <c r="GC229" s="1321"/>
      <c r="GD229" s="1321"/>
      <c r="GE229" s="1321"/>
      <c r="GF229" s="1321"/>
      <c r="GG229" s="1321" t="s">
        <v>1349</v>
      </c>
      <c r="GH229" s="1321" t="s">
        <v>1349</v>
      </c>
      <c r="GI229" s="1321" t="s">
        <v>1349</v>
      </c>
      <c r="GJ229" s="1321" t="s">
        <v>1349</v>
      </c>
      <c r="GK229" s="1321" t="s">
        <v>1349</v>
      </c>
      <c r="GL229" s="1321" t="s">
        <v>1349</v>
      </c>
      <c r="GM229" s="1321" t="s">
        <v>1349</v>
      </c>
      <c r="GN229" s="1321" t="s">
        <v>1349</v>
      </c>
      <c r="GO229" s="1321" t="s">
        <v>1349</v>
      </c>
      <c r="GP229" s="1321" t="s">
        <v>1349</v>
      </c>
      <c r="GQ229" s="1321" t="s">
        <v>1349</v>
      </c>
      <c r="GR229" s="1321" t="s">
        <v>1349</v>
      </c>
      <c r="GS229" s="1321" t="s">
        <v>1349</v>
      </c>
      <c r="GT229" s="1321" t="s">
        <v>1349</v>
      </c>
      <c r="GU229" s="1321" t="s">
        <v>1349</v>
      </c>
      <c r="GV229" s="1321" t="s">
        <v>1349</v>
      </c>
      <c r="GW229" s="1321"/>
      <c r="GX229" s="1321"/>
      <c r="GY229" s="1321"/>
      <c r="GZ229" s="1321"/>
      <c r="HA229" s="1321"/>
      <c r="HB229" s="1321"/>
      <c r="HC229" s="1321"/>
      <c r="HD229" s="1321"/>
      <c r="HE229" s="1321"/>
      <c r="HF229" s="1321"/>
      <c r="HG229" s="1321"/>
      <c r="HH229" s="1321"/>
      <c r="HI229" s="1321"/>
      <c r="HJ229" s="1321"/>
      <c r="HK229" s="1321"/>
      <c r="HL229" s="1321"/>
      <c r="HM229" s="1321"/>
      <c r="HN229" s="1321"/>
      <c r="HO229" s="1321"/>
      <c r="HP229" s="1321"/>
      <c r="HQ229" s="1321"/>
      <c r="HR229" s="1321"/>
      <c r="HS229" s="1321"/>
      <c r="HT229" s="1321"/>
      <c r="HU229" s="1321"/>
      <c r="HV229" s="1321"/>
      <c r="HW229" s="1321"/>
      <c r="HX229" s="1321"/>
      <c r="HY229" s="1321"/>
      <c r="HZ229" s="1321"/>
      <c r="IA229" s="1321"/>
      <c r="IB229" s="1321"/>
      <c r="IC229" s="1321"/>
      <c r="ID229" s="1321"/>
      <c r="IE229" s="1321"/>
      <c r="IF229" s="1321"/>
      <c r="IG229" s="1321"/>
      <c r="IH229" s="1321"/>
      <c r="II229" s="1321"/>
      <c r="IJ229" s="1321"/>
      <c r="IK229" s="1321"/>
      <c r="IL229" s="1321"/>
      <c r="IM229" s="1321"/>
      <c r="IN229" s="1368"/>
    </row>
    <row r="230" spans="1:248" ht="12.75" customHeight="1" x14ac:dyDescent="0.2">
      <c r="A230" s="1319"/>
      <c r="B230" s="1321"/>
      <c r="C230" s="1321"/>
      <c r="D230" s="1321"/>
      <c r="E230" s="1321"/>
      <c r="F230" s="1321"/>
      <c r="G230" s="1321"/>
      <c r="H230" s="1321"/>
      <c r="I230" s="1321"/>
      <c r="J230" s="1321"/>
      <c r="K230" s="1321"/>
      <c r="L230" s="1321"/>
      <c r="M230" s="1321"/>
      <c r="N230" s="1321"/>
      <c r="O230" s="1321"/>
      <c r="P230" s="1321"/>
      <c r="Q230" s="1321"/>
      <c r="R230" s="1321"/>
      <c r="S230" s="1321"/>
      <c r="T230" s="1321"/>
      <c r="U230" s="1321"/>
      <c r="V230" s="1321"/>
      <c r="W230" s="1321"/>
      <c r="X230" s="1321"/>
      <c r="Y230" s="1321"/>
      <c r="Z230" s="1321"/>
      <c r="AA230" s="1321"/>
      <c r="AB230" s="1321"/>
      <c r="AC230" s="1321"/>
      <c r="AD230" s="1321"/>
      <c r="AE230" s="1321"/>
      <c r="AF230" s="1321"/>
      <c r="AG230" s="1321"/>
      <c r="AH230" s="1321"/>
      <c r="AI230" s="1321"/>
      <c r="AJ230" s="1321"/>
      <c r="AK230" s="1321"/>
      <c r="AL230" s="1321"/>
      <c r="AM230" s="1321"/>
      <c r="AN230" s="1321"/>
      <c r="AO230" s="1321"/>
      <c r="AP230" s="1321"/>
      <c r="AQ230" s="1321"/>
      <c r="AR230" s="1321"/>
      <c r="AS230" s="1321"/>
      <c r="AT230" s="1321"/>
      <c r="AU230" s="1321"/>
      <c r="AV230" s="1321"/>
      <c r="AW230" s="1321"/>
      <c r="AX230" s="1321"/>
      <c r="AY230" s="1321"/>
      <c r="AZ230" s="1321"/>
      <c r="BA230" s="1321"/>
      <c r="BB230" s="1076"/>
      <c r="BC230" s="1267">
        <f t="array" ref="BC230">IF(Ration_complète_bovins[somme]&gt;0,0,IFERROR(IF(OR(AND(INDEX(Règles_bovins[Specificite],MATCH(ChoixRationBovins&amp;$BB230,Règles_bovins[Ration]&amp;Règles_bovins[Aliment],0))="s1",IF($BB230=Spécificité1Bovins,1)),
AND(INDEX(Règles_bovins[Specificite],MATCH(ChoixRationBovins&amp;$BB230,Règles_bovins[Ration]&amp;Règles_bovins[Aliment],0))="s2",IF($BB230=Spécificité2Bovins,1)),
INDEX(Règles_bovins[Specificite],MATCH(ChoixRationBovins&amp;$BB230,Règles_bovins[Ration]&amp;Règles_bovins[Aliment],0))="c"),
INDEX(Règles_bovins[Valeur 36 et plus],MATCH(ChoixRationBovins&amp;$BB230,Règles_bovins[Ration]&amp;Règles_bovins[Aliment],0)),0),0)*IF(ChoixBovinsPréHiver=OUI,TotalTaureauxRacesLaitières,TotalTaureaux*SUM(NbreJoursNourrirBovins)))</f>
        <v>0</v>
      </c>
      <c r="BD230" s="1267">
        <f t="array" ref="BD230">IF(Ration_complète_bovins[somme]&gt;0,0,IFERROR(IF(OR(AND(INDEX(Règles_bovins[Specificite],MATCH(ChoixRationBovins&amp;$BB230,Règles_bovins[Ration]&amp;Règles_bovins[Aliment],0))="s1",IF($BB230=Spécificité1Bovins,1)),
AND(INDEX(Règles_bovins[Specificite],MATCH(ChoixRationBovins&amp;$BB230,Règles_bovins[Ration]&amp;Règles_bovins[Aliment],0))="s2",IF($BB230=Spécificité2Bovins,1)),
INDEX(Règles_bovins[Specificite],MATCH(ChoixRationBovins&amp;$BB230,Règles_bovins[Ration]&amp;Règles_bovins[Aliment],0))="c"),
INDEX(Règles_bovins[Valeur 24-36],MATCH(ChoixRationBovins&amp;$BB230,Règles_bovins[Ration]&amp;Règles_bovins[Aliment],0)),0),0)*IF(ChoixBovinsPréHiver=OUI,TotalTaurillon_24_36_RacesLaitières,TotalBovinsMâles_24_36mois*SUM(NbreJoursNourrirBovins)))</f>
        <v>0</v>
      </c>
      <c r="BE230" s="1267">
        <f t="array" ref="BE230">IF(Ration_complète_bovins[somme]&gt;0,0,IFERROR(IF(OR(AND(INDEX(Règles_bovins[Specificite],MATCH(ChoixRationBovins&amp;$BB230,Règles_bovins[Ration]&amp;Règles_bovins[Aliment],0))="s1",IF($BB230=Spécificité1Bovins,1)),
AND(INDEX(Règles_bovins[Specificite],MATCH(ChoixRationBovins&amp;$BB230,Règles_bovins[Ration]&amp;Règles_bovins[Aliment],0))="s2",IF($BB230=Spécificité2Bovins,1)),
INDEX(Règles_bovins[Specificite],MATCH(ChoixRationBovins&amp;$BB230,Règles_bovins[Ration]&amp;Règles_bovins[Aliment],0))="c"),
INDEX(Règles_bovins[Valeur 18-24],MATCH(ChoixRationBovins&amp;$BB230,Règles_bovins[Ration]&amp;Règles_bovins[Aliment],0)),0),0)*IF(ChoixBovinsPréHiver=OUI,TotalTaurillon_18_24_RacesLaitières,TotalBovinsMâles_18_24mois*SUM(NbreJoursNourrirBovins)))</f>
        <v>0</v>
      </c>
      <c r="BF230" s="1267">
        <f t="array" ref="BF230">IF(Ration_complète_bovins[somme]&gt;0,0,IFERROR(IF(OR(AND(INDEX(Règles_bovins[Specificite],MATCH(ChoixRationBovins&amp;$BB230,Règles_bovins[Ration]&amp;Règles_bovins[Aliment],0))="s1",IF($BB230=Spécificité1Bovins,1)),
AND(INDEX(Règles_bovins[Specificite],MATCH(ChoixRationBovins&amp;$BB230,Règles_bovins[Ration]&amp;Règles_bovins[Aliment],0))="s2",IF($BB230=Spécificité2Bovins,1)),
INDEX(Règles_bovins[Specificite],MATCH(ChoixRationBovins&amp;$BB230,Règles_bovins[Ration]&amp;Règles_bovins[Aliment],0))="c"),
INDEX(Règles_bovins[Valeur 12-18],MATCH(ChoixRationBovins&amp;$BB230,Règles_bovins[Ration]&amp;Règles_bovins[Aliment],0)),0),0)*IF(ChoixBovinsPréHiver=OUI,animaux!D53,TotalBovinsMâles_12_18mois*SUM(NbreJoursNourrirBovins)))</f>
        <v>0</v>
      </c>
      <c r="BG230" s="1267">
        <f t="array" ref="BG230">IF(Ration_complète_bovins[somme]&gt;0,0,IFERROR(IF(OR(AND(INDEX(Règles_bovins[Specificite],MATCH(ChoixRationBovins&amp;$BB230,Règles_bovins[Ration]&amp;Règles_bovins[Aliment],0))="s1",IF($BB230=Spécificité1Bovins,1)),
AND(INDEX(Règles_bovins[Specificite],MATCH(ChoixRationBovins&amp;$BB230,Règles_bovins[Ration]&amp;Règles_bovins[Aliment],0))="s2",IF($BB230=Spécificité2Bovins,1)),
INDEX(Règles_bovins[Specificite],MATCH(ChoixRationBovins&amp;$BB230,Règles_bovins[Ration]&amp;Règles_bovins[Aliment],0))="c"),
INDEX(Règles_bovins[Valeur 6-12],MATCH(ChoixRationBovins&amp;$BB230,Règles_bovins[Ration]&amp;Règles_bovins[Aliment],0)),0),0)*IF(ChoixBovinsPréHiver=OUI,TotalVeauMâle_6_12_RacesLaitières,TotalBovinsMâles_6_12mois*SUM(NbreJoursNourrirBovins)))</f>
        <v>0</v>
      </c>
      <c r="BH230" s="1267">
        <f t="array" ref="BH230">IF(Ration_complète_bovins[somme]&gt;0,0,IFERROR(IF(OR(AND(INDEX(Règles_bovins[Specificite],MATCH(ChoixRationBovins&amp;$BB230,Règles_bovins[Ration]&amp;Règles_bovins[Aliment],0))="s1",IF($BB230=Spécificité1Bovins,1)),
AND(INDEX(Règles_bovins[Specificite],MATCH(ChoixRationBovins&amp;$BB230,Règles_bovins[Ration]&amp;Règles_bovins[Aliment],0))="s2",IF($BB230=Spécificité2Bovins,1)),
INDEX(Règles_bovins[Specificite],MATCH(ChoixRationBovins&amp;$BB230,Règles_bovins[Ration]&amp;Règles_bovins[Aliment],0))="c"),
INDEX(Règles_bovins[Valeur 3-6],MATCH(ChoixRationBovins&amp;$BB230,Règles_bovins[Ration]&amp;Règles_bovins[Aliment],0)),0),0)*IF(ChoixBovinsPréHiver=OUI,TotalVeauMâle_3_6_RacesLaitières,TotalBovinsMâles_3_6mois*SUM(NbreJoursNourrirBovins)))</f>
        <v>0</v>
      </c>
      <c r="BI230" s="1267">
        <f t="array" ref="BI230">IF(Ration_complète_bovins[somme]&gt;0,0,IFERROR(IF(OR(AND(INDEX(Règles_bovins[Specificite],MATCH(ChoixRationBovins&amp;$BB230,Règles_bovins[Ration]&amp;Règles_bovins[Aliment],0))="s1",IF($BB230=Spécificité1Bovins,1)),
AND(INDEX(Règles_bovins[Specificite],MATCH(ChoixRationBovins&amp;$BB230,Règles_bovins[Ration]&amp;Règles_bovins[Aliment],0))="s2",IF($BB230=Spécificité2Bovins,1)),
INDEX(Règles_bovins[Specificite],MATCH(ChoixRationBovins&amp;$BB230,Règles_bovins[Ration]&amp;Règles_bovins[Aliment],0))="c"),
INDEX(Règles_bovins[Valeur 0-3],MATCH(ChoixRationBovins&amp;$BB230,Règles_bovins[Ration]&amp;Règles_bovins[Aliment],0)),0),0)*IF(ChoixBovinsPréHiver=OUI,TotalVeauMâle_0_3_RacesLaitières,TotalBovinsMâles_0_3mois*SUM(NbreJoursNourrirBovins)))</f>
        <v>0</v>
      </c>
      <c r="BJ230" s="1268">
        <f t="shared" si="69"/>
        <v>0</v>
      </c>
      <c r="BK230" s="1321"/>
      <c r="BL230" s="1345"/>
      <c r="BM230" s="1346"/>
      <c r="BN230" s="1321"/>
      <c r="BO230" s="1321"/>
      <c r="BP230" s="1321"/>
      <c r="BQ230" s="1321"/>
      <c r="BR230" s="1321"/>
      <c r="BS230" s="1321"/>
      <c r="BT230" s="1321"/>
      <c r="BU230" s="1321"/>
      <c r="BV230" s="1345"/>
      <c r="BW230" s="1345"/>
      <c r="BX230" s="1076">
        <f t="shared" si="70"/>
        <v>0</v>
      </c>
      <c r="BY230" s="1267"/>
      <c r="BZ230" s="1267"/>
      <c r="CA230" s="1267"/>
      <c r="CB230" s="1321"/>
      <c r="CC230" s="1321"/>
      <c r="CD230" s="1345"/>
      <c r="CE230" s="1345"/>
      <c r="CF230" s="1345"/>
      <c r="CG230" s="1345"/>
      <c r="CH230" s="1345"/>
      <c r="CI230" s="1321"/>
      <c r="CJ230" s="1321"/>
      <c r="CK230" s="1321"/>
      <c r="CL230" s="1321"/>
      <c r="CM230" s="1321"/>
      <c r="CN230" s="1321"/>
      <c r="CO230" s="1321"/>
      <c r="CP230" s="1321"/>
      <c r="CQ230" s="1321"/>
      <c r="CR230" s="1321"/>
      <c r="CS230" s="1321"/>
      <c r="CT230" s="1321"/>
      <c r="CU230" s="1321"/>
      <c r="CV230" s="1321"/>
      <c r="CW230" s="1321"/>
      <c r="CX230" s="1321"/>
      <c r="CY230" s="1321"/>
      <c r="CZ230" s="1321"/>
      <c r="DA230" s="1321"/>
      <c r="DB230" s="1321"/>
      <c r="DC230" s="1321"/>
      <c r="DD230" s="1321"/>
      <c r="DE230" s="1321"/>
      <c r="DF230" s="1321"/>
      <c r="DG230" s="1321"/>
      <c r="DH230" s="1321"/>
      <c r="DI230" s="1321"/>
      <c r="DJ230" s="1321"/>
      <c r="DK230" s="1321"/>
      <c r="DL230" s="1321"/>
      <c r="DM230" s="1321"/>
      <c r="DN230" s="1076">
        <f t="shared" si="68"/>
        <v>0</v>
      </c>
      <c r="DO230" s="1267">
        <f t="array" ref="DO230">IF(ChoixRationComplèteOvins=OUI,0,IFERROR(IF(OR(AND(INDEX(Règles_ovins[Specificite],MATCH(ChoixRationOvins&amp;$DN230,Règles_ovins[Ration]&amp;Règles_ovins[Aliment],0))="s1",IF($DN230=Spécificité1Ovins,1)),
AND(INDEX(Règles_ovins[Specificite],MATCH(ChoixRationOvins&amp;$DN230,Règles_ovins[Ration]&amp;Règles_ovins[Aliment],0))="s2",IF($DN230=Spécificité2Ovins,1)),
INDEX(Règles_ovins[Specificite],MATCH(ChoixRationOvins&amp;$DN230,Règles_ovins[Ration]&amp;Règles_ovins[Aliment],0))="c"),
INDEX(Règles_ovins[Valeur 12 et plus],MATCH(ChoixRationOvins&amp;$DN230,Règles_ovins[Ration]&amp;Règles_ovins[Aliment],0)),0),0)*IF(ChoixOvinsPréHiver=OUI,SUM(TotalOvinsAdultesRacesLaitières)*NbreJoursNourrirOvins,TotalBrebis*SUM(NbreJoursNourrirOvins)))</f>
        <v>0</v>
      </c>
      <c r="DP230" s="1267">
        <f t="array" ref="DP230">IF(ChoixRationComplèteOvins=OUI,0,IFERROR(IF(OR(AND(INDEX(Règles_ovins[Specificite],MATCH(ChoixRationOvins&amp;$DN230,Règles_ovins[Ration]&amp;Règles_ovins[Aliment],0))="s1",IF($DN230=Spécificité1Ovins,1)),
AND(INDEX(Règles_ovins[Specificite],MATCH(ChoixRationOvins&amp;$DN230,Règles_ovins[Ration]&amp;Règles_ovins[Aliment],0))="s2",IF($DN230=Spécificité2Ovins,1)),
INDEX(Règles_ovins[Specificite],MATCH(ChoixRationOvins&amp;$DN230,Règles_ovins[Ration]&amp;Règles_ovins[Aliment],0))="c"),
INDEX(Règles_ovins[Valeur 6-12],MATCH(ChoixRationOvins&amp;$DN230,Règles_ovins[Ration]&amp;Règles_ovins[Aliment],0)),0),0)*IF(ChoixOvinsPréHiver=OUI,SUM(TotalJeunesOvinsRacesLaitières)*NbreJoursNourrirOvins,TotalJeune_brebis_6_12_mois*SUM(NbreJoursNourrirOvins)))</f>
        <v>0</v>
      </c>
      <c r="DQ230" s="1267">
        <f t="array" ref="DQ230">IF(ChoixRationComplèteOvins=OUI,0,IFERROR(IF(OR(AND(INDEX(Règles_ovins[Specificite],MATCH(ChoixRationOvins&amp;$DN230,Règles_ovins[Ration]&amp;Règles_ovins[Aliment],0))="s1",IF($DN230=Spécificité1Ovins,1)),
AND(INDEX(Règles_ovins[Specificite],MATCH(ChoixRationOvins&amp;$DN230,Règles_ovins[Ration]&amp;Règles_ovins[Aliment],0))="s2",IF($DN230=Spécificité2Ovins,1)),
INDEX(Règles_ovins[Specificite],MATCH(ChoixRationOvins&amp;$DN230,Règles_ovins[Ration]&amp;Règles_ovins[Aliment],0))="c"),
INDEX(Règles_ovins[Valeur 3-6],MATCH(ChoixRationOvins&amp;$DN230,Règles_ovins[Ration]&amp;Règles_ovins[Aliment],0)),0),0)*IF(ChoixOvinsPréHiver=OUI,SUM(TotalOvins_3_6moisRacesLaitières)*NbreJoursNourrirOvins,TotalAgnelle_3_6_mois*SUM(NbreJoursNourrirOvins)))</f>
        <v>0</v>
      </c>
      <c r="DR230" s="1267">
        <f t="array" ref="DR230">IF(ChoixRationComplèteOvins=OUI,0,IFERROR(IF(OR(AND(INDEX(Règles_ovins[Specificite],MATCH(ChoixRationOvins&amp;$DN230,Règles_ovins[Ration]&amp;Règles_ovins[Aliment],0))="s1",IF($DN230=Spécificité1Ovins,1)),
AND(INDEX(Règles_ovins[Specificite],MATCH(ChoixRationOvins&amp;$DN230,Règles_ovins[Ration]&amp;Règles_ovins[Aliment],0))="s2",IF($DN230=Spécificité2Ovins,1)),
INDEX(Règles_ovins[Specificite],MATCH(ChoixRationOvins&amp;$DN230,Règles_ovins[Ration]&amp;Règles_ovins[Aliment],0))="c"),
INDEX(Règles_ovins[Valeur 0-3],MATCH(ChoixRationOvins&amp;$DN230,Règles_ovins[Ration]&amp;Règles_ovins[Aliment],0)),0),0)*IF(ChoixOvinsPréHiver=OUI,SUM(TotalOvins_3_6moisRacesLaitières)*NbreJoursNourrirOvins,TotalAgnelle_0_3_mois*SUM(NbreJoursNourrirOvins)))</f>
        <v>0</v>
      </c>
      <c r="DS230" s="1279">
        <f t="shared" si="67"/>
        <v>0</v>
      </c>
      <c r="DT230" s="1346"/>
      <c r="DU230" s="1346"/>
      <c r="DV230" s="1321"/>
      <c r="DW230" s="1321"/>
      <c r="DX230" s="1321"/>
      <c r="DY230" s="1321"/>
      <c r="DZ230" s="1321"/>
      <c r="EA230" s="1321"/>
      <c r="EB230" s="1321"/>
      <c r="EC230" s="1321"/>
      <c r="ED230" s="1345"/>
      <c r="EE230" s="1345"/>
      <c r="EF230" s="1321"/>
      <c r="EG230" s="1321"/>
      <c r="EH230" s="1321"/>
      <c r="EI230" s="1321"/>
      <c r="EJ230" s="1321"/>
      <c r="EK230" s="1345"/>
      <c r="EL230" s="1345"/>
      <c r="EM230" s="1321"/>
      <c r="EN230" s="1321"/>
      <c r="EO230" s="1321"/>
      <c r="EP230" s="1321"/>
      <c r="EQ230" s="1321"/>
      <c r="ER230" s="1345"/>
      <c r="ES230" s="1345"/>
      <c r="ET230" s="1321"/>
      <c r="EU230" s="1083" t="str">
        <f t="shared" si="73"/>
        <v>Soja</v>
      </c>
      <c r="EV230" s="1283">
        <f t="array" ref="EV230">SUM((IF(QualitéAlimentsPoulainSelleMâle=BONNE,VLOOKUP("Soja",AlimentsRationEcurieChevauxMâlesSelle,5,FALSE),0)+(IF(QualitéAlimentsPoulainSelleFemelle=BONNE,VLOOKUP("Soja",AlimentsRationEcurieChevauxFemellesSelle,5,FALSE),0)+(IF(QualitéAlimentsJeuneEtalon_12_24_moisSelle=BONNE,VLOOKUP("Soja",AlimentsRationEcurieChevauxMâlesSelle,4,FALSE),0)+(IF(QualitéAlimentsJeuneJument_12_24_moisSelle=BONNE,VLOOKUP("Soja",AlimentsRationEcurieChevauxFemellesSelle,4,FALSE),0)+(IF(QualitéAlimentsJeuneEtalon_24_36_moisSelle=BONNE,VLOOKUP("Soja",AlimentsRationEcurieChevauxMâlesSelle,3,FALSE),0)+(IF(QualitéAlimentsJeuneJument_24_36_moisSelle=BONNE,VLOOKUP("Soja",AlimentsRationEcurieChevauxFemellesSelle,3,FALSE),0)+(IF(QualitéAlimentsEtalonSelle=BONNE,VLOOKUP("Soja",AlimentsRationEcurieChevauxMâlesSelle,2,FALSE),0)+(IF(QualitéAlimentsJumentSelle=BONNE,VLOOKUP("Soja",AlimentsRationEcurieChevauxFemellesSelle,2,FALSE),0))))))))))</f>
        <v>0</v>
      </c>
      <c r="EW230" s="1283">
        <f t="array" ref="EW230">SUM((IF(QualitéAlimentsPoulainSelleMâle=MOYENNE,VLOOKUP("Soja",AlimentsRationEcurieChevauxMâlesSelle,5,FALSE),0)+(IF(QualitéAlimentsPoulainSelleFemelle=MOYENNE,VLOOKUP("Soja",AlimentsRationEcurieChevauxFemellesSelle,5,FALSE),0)+(IF(QualitéAlimentsJeuneEtalon_12_24_moisSelle=MOYENNE,VLOOKUP("Soja",AlimentsRationEcurieChevauxMâlesSelle,4,FALSE),0)+(IF(QualitéAlimentsJeuneJument_12_24_moisSelle=MOYENNE,VLOOKUP("Soja",AlimentsRationEcurieChevauxFemellesSelle,4,FALSE),0)+(IF(QualitéAlimentsJeuneEtalon_24_36_moisSelle=MOYENNE,VLOOKUP("Soja",AlimentsRationEcurieChevauxMâlesSelle,3,FALSE),0)+(IF(QualitéAlimentsJeuneJument_24_36_moisSelle=MOYENNE,VLOOKUP("Soja",AlimentsRationEcurieChevauxFemellesSelle,3,FALSE),0)+(IF(QualitéAlimentsEtalonSelle=MOYENNE,VLOOKUP("Soja",AlimentsRationEcurieChevauxMâlesSelle,2,FALSE),0)+(IF(QualitéAlimentsJumentSelle=MOYENNE,VLOOKUP("Soja",AlimentsRationEcurieChevauxFemellesSelle,2,FALSE),0))))))))))</f>
        <v>0</v>
      </c>
      <c r="EX230" s="1283">
        <f t="array" ref="EX230">SUM((IF(QualitéAlimentsPoulainSelleMâle=MAUVAISE,VLOOKUP("Soja",AlimentsRationEcurieChevauxMâlesSelle,5,FALSE),0)+(IF(QualitéAlimentsPoulainSelleFemelle=MAUVAISE,VLOOKUP("Soja",AlimentsRationEcurieChevauxFemellesSelle,5,FALSE),0)+(IF(QualitéAlimentsJeuneEtalon_12_24_moisSelle=MAUVAISE,VLOOKUP("Soja",AlimentsRationEcurieChevauxMâlesSelle,4,FALSE),0)+(IF(QualitéAlimentsJeuneJument_12_24_moisSelle=MAUVAISE,VLOOKUP("Soja",AlimentsRationEcurieChevauxFemellesSelle,4,FALSE),0)+(IF(QualitéAlimentsJeuneEtalon_24_36_moisSelle=MAUVAISE,VLOOKUP("Soja",AlimentsRationEcurieChevauxMâlesSelle,3,FALSE),0)+(IF(QualitéAlimentsJeuneJument_24_36_moisSelle=MAUVAISE,VLOOKUP("Soja",AlimentsRationEcurieChevauxFemellesSelle,3,FALSE),0)+(IF(QualitéAlimentsEtalonSelle=MAUVAISE,VLOOKUP("Soja",AlimentsRationEcurieChevauxMâlesSelle,2,FALSE),0)+(IF(QualitéAlimentsJumentSelle=MAUVAISE,VLOOKUP("Soja",AlimentsRationEcurieChevauxFemellesSelle,2,FALSE),0))))))))))</f>
        <v>0</v>
      </c>
      <c r="EY230" s="1321"/>
      <c r="EZ230" s="1345"/>
      <c r="FA230" s="1345"/>
      <c r="FB230" s="1345"/>
      <c r="FC230" s="1321"/>
      <c r="FD230" s="1082" t="str">
        <f t="shared" si="72"/>
        <v>Triticale</v>
      </c>
      <c r="FE230" s="1282">
        <f t="array" ref="FE230">SUM((IF(QualitéAlimentsPoulainMâleTrait=BONNE,VLOOKUP("Triticale",AlimentsRationEcurieChevauxMâlesTrait,5,FALSE),0)+(IF(QualitéAlimentsPoulainFemelleTrait=BONNE,VLOOKUP("Triticale",AlimentsRationEcurieChevauxFemellesTrait,5,FALSE),0)+(IF(QualitéAlimentsJeuneEtalon_12_24_moisTrait=BONNE,VLOOKUP("Triticale",AlimentsRationEcurieChevauxMâlesTrait,4,FALSE),0)+(IF(QualitéAlimentsJeuneJument_12_24_moisTrait=BONNE,VLOOKUP("Triticale",AlimentsRationEcurieChevauxFemellesTrait,4,FALSE),0)+(IF(QualitéAlimentsJeuneEtalon_24_36_moisTrait=BONNE,VLOOKUP("Triticale",AlimentsRationEcurieChevauxMâlesTrait,3,FALSE),0)+(IF(QualitéAlimentsJeuneJument_24_36_moisTrait=BONNE,VLOOKUP("Triticale",AlimentsRationEcurieChevauxFemellesTrait,3,FALSE),0)+(IF(QualitéAlimentsEtalonTrait=BONNE,VLOOKUP("Triticale",AlimentsRationEcurieChevauxMâlesTrait,2,FALSE),0)+(IF(QualitéAlimentsJumentTrait=BONNE,VLOOKUP("Triticale",AlimentsRationEcurieChevauxFemellesTrait,2,FALSE),0))))))))))</f>
        <v>0</v>
      </c>
      <c r="FF230" s="1282">
        <f t="array" ref="FF230">SUM((IF(QualitéAlimentsPoulainMâleTrait=MOYENNE,VLOOKUP("Triticale",AlimentsRationEcurieChevauxMâlesTrait,5,FALSE),0)+(IF(QualitéAlimentsPoulainFemelleTrait=MOYENNE,VLOOKUP("Triticale",AlimentsRationEcurieChevauxFemellesTrait,5,FALSE),0)+(IF(QualitéAlimentsJeuneEtalon_12_24_moisTrait=MOYENNE,VLOOKUP("Triticale",AlimentsRationEcurieChevauxMâlesTrait,4,FALSE),0)+(IF(QualitéAlimentsJeuneJument_12_24_moisTrait=MOYENNE,VLOOKUP("Triticale",AlimentsRationEcurieChevauxFemellesTrait,4,FALSE),0)+(IF(QualitéAlimentsJeuneEtalon_24_36_moisTrait=MOYENNE,VLOOKUP("Triticale",AlimentsRationEcurieChevauxMâlesTrait,3,FALSE),0)+(IF(QualitéAlimentsJeuneJument_24_36_moisTrait=MOYENNE,VLOOKUP("Triticale",AlimentsRationEcurieChevauxFemellesTrait,3,FALSE),0)+(IF(QualitéAlimentsEtalonTrait=MOYENNE,VLOOKUP("Triticale",AlimentsRationEcurieChevauxMâlesTrait,2,FALSE),0)+(IF(QualitéAlimentsJumentTrait=MOYENNE,VLOOKUP("Triticale",AlimentsRationEcurieChevauxFemellesTrait,2,FALSE),0))))))))))</f>
        <v>0</v>
      </c>
      <c r="FG230" s="1282">
        <f t="array" ref="FG230">SUM((IF(QualitéAlimentsPoulainMâleTrait=MAUVAISE,VLOOKUP("Triticale",AlimentsRationEcurieChevauxMâlesTrait,5,FALSE),0)+(IF(QualitéAlimentsPoulainFemelleTrait=MAUVAISE,VLOOKUP("Triticale",AlimentsRationEcurieChevauxFemellesTrait,5,FALSE),0)+(IF(QualitéAlimentsJeuneEtalon_12_24_moisTrait=MAUVAISE,VLOOKUP("Triticale",AlimentsRationEcurieChevauxMâlesTrait,4,FALSE),0)+(IF(QualitéAlimentsJeuneJument_12_24_moisTrait=MAUVAISE,VLOOKUP("Triticale",AlimentsRationEcurieChevauxFemellesTrait,4,FALSE),0)+(IF(QualitéAlimentsJeuneEtalon_24_36_moisTrait=MAUVAISE,VLOOKUP("Triticale",AlimentsRationEcurieChevauxMâlesTrait,3,FALSE),0)+(IF(QualitéAlimentsJeuneJument_24_36_moisTrait=MAUVAISE,VLOOKUP("Triticale",AlimentsRationEcurieChevauxFemellesTrait,3,FALSE),0)+(IF(QualitéAlimentsEtalonTrait=MAUVAISE,VLOOKUP("Triticale",AlimentsRationEcurieChevauxMâlesTrait,2,FALSE),0)+(IF(QualitéAlimentsJumentTrait=MAUVAISE,VLOOKUP("Triticale",AlimentsRationEcurieChevauxFemellesTrait,2,FALSE),0))))))))))</f>
        <v>0</v>
      </c>
      <c r="FH230" s="1321"/>
      <c r="FI230" s="1321"/>
      <c r="FJ230" s="1345"/>
      <c r="FK230" s="1345"/>
      <c r="FL230" s="1345"/>
      <c r="FM230" s="1321"/>
      <c r="FN230" s="1083">
        <f t="shared" si="71"/>
        <v>0</v>
      </c>
      <c r="FO230" s="1283"/>
      <c r="FP230" s="1283"/>
      <c r="FQ230" s="1283"/>
      <c r="FR230" s="1345"/>
      <c r="FS230" s="1345"/>
      <c r="FT230" s="1345"/>
      <c r="FU230" s="1345"/>
      <c r="FV230" s="1345"/>
      <c r="FW230" s="1321"/>
      <c r="FX230" s="1321"/>
      <c r="FY230" s="1321"/>
      <c r="FZ230" s="1321"/>
      <c r="GA230" s="1345"/>
      <c r="GB230" s="1321"/>
      <c r="GC230" s="1321"/>
      <c r="GD230" s="1321"/>
      <c r="GE230" s="1321"/>
      <c r="GF230" s="1321"/>
      <c r="GG230" s="1321" t="s">
        <v>1349</v>
      </c>
      <c r="GH230" s="1321" t="s">
        <v>1349</v>
      </c>
      <c r="GI230" s="1321" t="s">
        <v>1349</v>
      </c>
      <c r="GJ230" s="1321" t="s">
        <v>1349</v>
      </c>
      <c r="GK230" s="1321" t="s">
        <v>1349</v>
      </c>
      <c r="GL230" s="1321" t="s">
        <v>1349</v>
      </c>
      <c r="GM230" s="1321" t="s">
        <v>1349</v>
      </c>
      <c r="GN230" s="1321" t="s">
        <v>1349</v>
      </c>
      <c r="GO230" s="1321" t="s">
        <v>1349</v>
      </c>
      <c r="GP230" s="1321" t="s">
        <v>1349</v>
      </c>
      <c r="GQ230" s="1321" t="s">
        <v>1349</v>
      </c>
      <c r="GR230" s="1321" t="s">
        <v>1349</v>
      </c>
      <c r="GS230" s="1321" t="s">
        <v>1349</v>
      </c>
      <c r="GT230" s="1321" t="s">
        <v>1349</v>
      </c>
      <c r="GU230" s="1321" t="s">
        <v>1349</v>
      </c>
      <c r="GV230" s="1321" t="s">
        <v>1349</v>
      </c>
      <c r="GW230" s="1321"/>
      <c r="GX230" s="1321"/>
      <c r="GY230" s="1321"/>
      <c r="GZ230" s="1321"/>
      <c r="HA230" s="1321"/>
      <c r="HB230" s="1321"/>
      <c r="HC230" s="1321"/>
      <c r="HD230" s="1321"/>
      <c r="HE230" s="1321"/>
      <c r="HF230" s="1321"/>
      <c r="HG230" s="1321"/>
      <c r="HH230" s="1321"/>
      <c r="HI230" s="1321"/>
      <c r="HJ230" s="1321"/>
      <c r="HK230" s="1321"/>
      <c r="HL230" s="1321"/>
      <c r="HM230" s="1321"/>
      <c r="HN230" s="1321"/>
      <c r="HO230" s="1321"/>
      <c r="HP230" s="1321"/>
      <c r="HQ230" s="1321"/>
      <c r="HR230" s="1321"/>
      <c r="HS230" s="1321"/>
      <c r="HT230" s="1321"/>
      <c r="HU230" s="1321"/>
      <c r="HV230" s="1321"/>
      <c r="HW230" s="1321"/>
      <c r="HX230" s="1321"/>
      <c r="HY230" s="1321"/>
      <c r="HZ230" s="1321"/>
      <c r="IA230" s="1321"/>
      <c r="IB230" s="1321"/>
      <c r="IC230" s="1321"/>
      <c r="ID230" s="1321"/>
      <c r="IE230" s="1321"/>
      <c r="IF230" s="1321"/>
      <c r="IG230" s="1321"/>
      <c r="IH230" s="1321"/>
      <c r="II230" s="1321"/>
      <c r="IJ230" s="1321"/>
      <c r="IK230" s="1321"/>
      <c r="IL230" s="1321"/>
      <c r="IM230" s="1321"/>
      <c r="IN230" s="1368"/>
    </row>
    <row r="231" spans="1:248" ht="12.75" customHeight="1" x14ac:dyDescent="0.2">
      <c r="A231" s="1319"/>
      <c r="B231" s="1321"/>
      <c r="C231" s="1321"/>
      <c r="D231" s="1321"/>
      <c r="E231" s="1321"/>
      <c r="F231" s="1321"/>
      <c r="G231" s="1321"/>
      <c r="H231" s="1321"/>
      <c r="I231" s="1321"/>
      <c r="J231" s="1321"/>
      <c r="K231" s="1321"/>
      <c r="L231" s="1321"/>
      <c r="M231" s="1321"/>
      <c r="N231" s="1321"/>
      <c r="O231" s="1321"/>
      <c r="P231" s="1321"/>
      <c r="Q231" s="1321"/>
      <c r="R231" s="1321"/>
      <c r="S231" s="1321"/>
      <c r="T231" s="1321"/>
      <c r="U231" s="1321"/>
      <c r="V231" s="1321"/>
      <c r="W231" s="1321"/>
      <c r="X231" s="1321"/>
      <c r="Y231" s="1321"/>
      <c r="Z231" s="1321"/>
      <c r="AA231" s="1321"/>
      <c r="AB231" s="1321"/>
      <c r="AC231" s="1321"/>
      <c r="AD231" s="1321"/>
      <c r="AE231" s="1321"/>
      <c r="AF231" s="1321"/>
      <c r="AG231" s="1321"/>
      <c r="AH231" s="1321"/>
      <c r="AI231" s="1321"/>
      <c r="AJ231" s="1321"/>
      <c r="AK231" s="1321"/>
      <c r="AL231" s="1321"/>
      <c r="AM231" s="1321"/>
      <c r="AN231" s="1321"/>
      <c r="AO231" s="1321"/>
      <c r="AP231" s="1321"/>
      <c r="AQ231" s="1321"/>
      <c r="AR231" s="1321"/>
      <c r="AS231" s="1321"/>
      <c r="AT231" s="1321"/>
      <c r="AU231" s="1321"/>
      <c r="AV231" s="1321"/>
      <c r="AW231" s="1321"/>
      <c r="AX231" s="1321"/>
      <c r="AY231" s="1321"/>
      <c r="AZ231" s="1321"/>
      <c r="BA231" s="1321"/>
      <c r="BB231" s="1075"/>
      <c r="BC231" s="1269">
        <f t="array" ref="BC231">IF(Ration_complète_bovins[somme]&gt;0,0,IFERROR(IF(OR(AND(INDEX(Règles_bovins[Specificite],MATCH(ChoixRationBovins&amp;$BB231,Règles_bovins[Ration]&amp;Règles_bovins[Aliment],0))="s1",IF($BB231=Spécificité1Bovins,1)),
AND(INDEX(Règles_bovins[Specificite],MATCH(ChoixRationBovins&amp;$BB231,Règles_bovins[Ration]&amp;Règles_bovins[Aliment],0))="s2",IF($BB231=Spécificité2Bovins,1)),
INDEX(Règles_bovins[Specificite],MATCH(ChoixRationBovins&amp;$BB231,Règles_bovins[Ration]&amp;Règles_bovins[Aliment],0))="c"),
INDEX(Règles_bovins[Valeur 36 et plus],MATCH(ChoixRationBovins&amp;$BB231,Règles_bovins[Ration]&amp;Règles_bovins[Aliment],0)),0),0)*IF(ChoixBovinsPréHiver=OUI,TotalTaureauxRacesLaitières,TotalTaureaux*SUM(NbreJoursNourrirBovins)))</f>
        <v>0</v>
      </c>
      <c r="BD231" s="1269">
        <f t="array" ref="BD231">IF(Ration_complète_bovins[somme]&gt;0,0,IFERROR(IF(OR(AND(INDEX(Règles_bovins[Specificite],MATCH(ChoixRationBovins&amp;$BB231,Règles_bovins[Ration]&amp;Règles_bovins[Aliment],0))="s1",IF($BB231=Spécificité1Bovins,1)),
AND(INDEX(Règles_bovins[Specificite],MATCH(ChoixRationBovins&amp;$BB231,Règles_bovins[Ration]&amp;Règles_bovins[Aliment],0))="s2",IF($BB231=Spécificité2Bovins,1)),
INDEX(Règles_bovins[Specificite],MATCH(ChoixRationBovins&amp;$BB231,Règles_bovins[Ration]&amp;Règles_bovins[Aliment],0))="c"),
INDEX(Règles_bovins[Valeur 24-36],MATCH(ChoixRationBovins&amp;$BB231,Règles_bovins[Ration]&amp;Règles_bovins[Aliment],0)),0),0)*IF(ChoixBovinsPréHiver=OUI,TotalTaurillon_24_36_RacesLaitières,TotalBovinsMâles_24_36mois*SUM(NbreJoursNourrirBovins)))</f>
        <v>0</v>
      </c>
      <c r="BE231" s="1269">
        <f t="array" ref="BE231">IF(Ration_complète_bovins[somme]&gt;0,0,IFERROR(IF(OR(AND(INDEX(Règles_bovins[Specificite],MATCH(ChoixRationBovins&amp;$BB231,Règles_bovins[Ration]&amp;Règles_bovins[Aliment],0))="s1",IF($BB231=Spécificité1Bovins,1)),
AND(INDEX(Règles_bovins[Specificite],MATCH(ChoixRationBovins&amp;$BB231,Règles_bovins[Ration]&amp;Règles_bovins[Aliment],0))="s2",IF($BB231=Spécificité2Bovins,1)),
INDEX(Règles_bovins[Specificite],MATCH(ChoixRationBovins&amp;$BB231,Règles_bovins[Ration]&amp;Règles_bovins[Aliment],0))="c"),
INDEX(Règles_bovins[Valeur 18-24],MATCH(ChoixRationBovins&amp;$BB231,Règles_bovins[Ration]&amp;Règles_bovins[Aliment],0)),0),0)*IF(ChoixBovinsPréHiver=OUI,TotalTaurillon_18_24_RacesLaitières,TotalBovinsMâles_18_24mois*SUM(NbreJoursNourrirBovins)))</f>
        <v>0</v>
      </c>
      <c r="BF231" s="1269">
        <f t="array" ref="BF231">IF(Ration_complète_bovins[somme]&gt;0,0,IFERROR(IF(OR(AND(INDEX(Règles_bovins[Specificite],MATCH(ChoixRationBovins&amp;$BB231,Règles_bovins[Ration]&amp;Règles_bovins[Aliment],0))="s1",IF($BB231=Spécificité1Bovins,1)),
AND(INDEX(Règles_bovins[Specificite],MATCH(ChoixRationBovins&amp;$BB231,Règles_bovins[Ration]&amp;Règles_bovins[Aliment],0))="s2",IF($BB231=Spécificité2Bovins,1)),
INDEX(Règles_bovins[Specificite],MATCH(ChoixRationBovins&amp;$BB231,Règles_bovins[Ration]&amp;Règles_bovins[Aliment],0))="c"),
INDEX(Règles_bovins[Valeur 12-18],MATCH(ChoixRationBovins&amp;$BB231,Règles_bovins[Ration]&amp;Règles_bovins[Aliment],0)),0),0)*IF(ChoixBovinsPréHiver=OUI,animaux!D54,TotalBovinsMâles_12_18mois*SUM(NbreJoursNourrirBovins)))</f>
        <v>0</v>
      </c>
      <c r="BG231" s="1269">
        <f t="array" ref="BG231">IF(Ration_complète_bovins[somme]&gt;0,0,IFERROR(IF(OR(AND(INDEX(Règles_bovins[Specificite],MATCH(ChoixRationBovins&amp;$BB231,Règles_bovins[Ration]&amp;Règles_bovins[Aliment],0))="s1",IF($BB231=Spécificité1Bovins,1)),
AND(INDEX(Règles_bovins[Specificite],MATCH(ChoixRationBovins&amp;$BB231,Règles_bovins[Ration]&amp;Règles_bovins[Aliment],0))="s2",IF($BB231=Spécificité2Bovins,1)),
INDEX(Règles_bovins[Specificite],MATCH(ChoixRationBovins&amp;$BB231,Règles_bovins[Ration]&amp;Règles_bovins[Aliment],0))="c"),
INDEX(Règles_bovins[Valeur 6-12],MATCH(ChoixRationBovins&amp;$BB231,Règles_bovins[Ration]&amp;Règles_bovins[Aliment],0)),0),0)*IF(ChoixBovinsPréHiver=OUI,TotalVeauMâle_6_12_RacesLaitières,TotalBovinsMâles_6_12mois*SUM(NbreJoursNourrirBovins)))</f>
        <v>0</v>
      </c>
      <c r="BH231" s="1269">
        <f t="array" ref="BH231">IF(Ration_complète_bovins[somme]&gt;0,0,IFERROR(IF(OR(AND(INDEX(Règles_bovins[Specificite],MATCH(ChoixRationBovins&amp;$BB231,Règles_bovins[Ration]&amp;Règles_bovins[Aliment],0))="s1",IF($BB231=Spécificité1Bovins,1)),
AND(INDEX(Règles_bovins[Specificite],MATCH(ChoixRationBovins&amp;$BB231,Règles_bovins[Ration]&amp;Règles_bovins[Aliment],0))="s2",IF($BB231=Spécificité2Bovins,1)),
INDEX(Règles_bovins[Specificite],MATCH(ChoixRationBovins&amp;$BB231,Règles_bovins[Ration]&amp;Règles_bovins[Aliment],0))="c"),
INDEX(Règles_bovins[Valeur 3-6],MATCH(ChoixRationBovins&amp;$BB231,Règles_bovins[Ration]&amp;Règles_bovins[Aliment],0)),0),0)*IF(ChoixBovinsPréHiver=OUI,TotalVeauMâle_3_6_RacesLaitières,TotalBovinsMâles_3_6mois*SUM(NbreJoursNourrirBovins)))</f>
        <v>0</v>
      </c>
      <c r="BI231" s="1269">
        <f t="array" ref="BI231">IF(Ration_complète_bovins[somme]&gt;0,0,IFERROR(IF(OR(AND(INDEX(Règles_bovins[Specificite],MATCH(ChoixRationBovins&amp;$BB231,Règles_bovins[Ration]&amp;Règles_bovins[Aliment],0))="s1",IF($BB231=Spécificité1Bovins,1)),
AND(INDEX(Règles_bovins[Specificite],MATCH(ChoixRationBovins&amp;$BB231,Règles_bovins[Ration]&amp;Règles_bovins[Aliment],0))="s2",IF($BB231=Spécificité2Bovins,1)),
INDEX(Règles_bovins[Specificite],MATCH(ChoixRationBovins&amp;$BB231,Règles_bovins[Ration]&amp;Règles_bovins[Aliment],0))="c"),
INDEX(Règles_bovins[Valeur 0-3],MATCH(ChoixRationBovins&amp;$BB231,Règles_bovins[Ration]&amp;Règles_bovins[Aliment],0)),0),0)*IF(ChoixBovinsPréHiver=OUI,TotalVeauMâle_0_3_RacesLaitières,TotalBovinsMâles_0_3mois*SUM(NbreJoursNourrirBovins)))</f>
        <v>0</v>
      </c>
      <c r="BJ231" s="1270">
        <f t="shared" si="69"/>
        <v>0</v>
      </c>
      <c r="BK231" s="1321"/>
      <c r="BL231" s="1345"/>
      <c r="BM231" s="1346"/>
      <c r="BN231" s="1321"/>
      <c r="BO231" s="1321"/>
      <c r="BP231" s="1321"/>
      <c r="BQ231" s="1321"/>
      <c r="BR231" s="1321"/>
      <c r="BS231" s="1321"/>
      <c r="BT231" s="1321"/>
      <c r="BU231" s="1321"/>
      <c r="BV231" s="1345"/>
      <c r="BW231" s="1345"/>
      <c r="BX231" s="1075">
        <f t="shared" si="70"/>
        <v>0</v>
      </c>
      <c r="BY231" s="1269"/>
      <c r="BZ231" s="1269"/>
      <c r="CA231" s="1269"/>
      <c r="CB231" s="1321"/>
      <c r="CC231" s="1321"/>
      <c r="CD231" s="1345"/>
      <c r="CE231" s="1345"/>
      <c r="CF231" s="1345"/>
      <c r="CG231" s="1345"/>
      <c r="CH231" s="1345"/>
      <c r="CI231" s="1321"/>
      <c r="CJ231" s="1321"/>
      <c r="CK231" s="1321"/>
      <c r="CL231" s="1321"/>
      <c r="CM231" s="1321"/>
      <c r="CN231" s="1321"/>
      <c r="CO231" s="1321"/>
      <c r="CP231" s="1321"/>
      <c r="CQ231" s="1321"/>
      <c r="CR231" s="1321"/>
      <c r="CS231" s="1321"/>
      <c r="CT231" s="1321"/>
      <c r="CU231" s="1321"/>
      <c r="CV231" s="1321"/>
      <c r="CW231" s="1321"/>
      <c r="CX231" s="1321"/>
      <c r="CY231" s="1321"/>
      <c r="CZ231" s="1321"/>
      <c r="DA231" s="1321"/>
      <c r="DB231" s="1321"/>
      <c r="DC231" s="1321"/>
      <c r="DD231" s="1321"/>
      <c r="DE231" s="1321"/>
      <c r="DF231" s="1321"/>
      <c r="DG231" s="1321"/>
      <c r="DH231" s="1321"/>
      <c r="DI231" s="1321"/>
      <c r="DJ231" s="1321"/>
      <c r="DK231" s="1321"/>
      <c r="DL231" s="1321"/>
      <c r="DM231" s="1321"/>
      <c r="DN231" s="1336"/>
      <c r="DO231" s="1336"/>
      <c r="DP231" s="1336"/>
      <c r="DQ231" s="1336"/>
      <c r="DR231" s="1336"/>
      <c r="DS231" s="1359"/>
      <c r="DT231" s="1346"/>
      <c r="DU231" s="1346"/>
      <c r="DV231" s="1321"/>
      <c r="DW231" s="1321"/>
      <c r="DX231" s="1321"/>
      <c r="DY231" s="1321"/>
      <c r="DZ231" s="1321"/>
      <c r="EA231" s="1321"/>
      <c r="EB231" s="1321"/>
      <c r="EC231" s="1321"/>
      <c r="ED231" s="1345"/>
      <c r="EE231" s="1345"/>
      <c r="EF231" s="1321"/>
      <c r="EG231" s="1321"/>
      <c r="EH231" s="1321"/>
      <c r="EI231" s="1321"/>
      <c r="EJ231" s="1321"/>
      <c r="EK231" s="1345"/>
      <c r="EL231" s="1345"/>
      <c r="EM231" s="1321"/>
      <c r="EN231" s="1321"/>
      <c r="EO231" s="1321"/>
      <c r="EP231" s="1321"/>
      <c r="EQ231" s="1321"/>
      <c r="ER231" s="1345"/>
      <c r="ES231" s="1345"/>
      <c r="ET231" s="1321"/>
      <c r="EU231" s="1082" t="str">
        <f t="shared" si="73"/>
        <v>Sorgho ensilé</v>
      </c>
      <c r="EV231" s="1282">
        <f t="array" ref="EV231">SUM((IF(QualitéAlimentsPoulainSelleMâle=BONNE,VLOOKUP("Sorgho ensilé",AlimentsRationEcurieChevauxMâlesSelle,5,FALSE),0)+(IF(QualitéAlimentsPoulainSelleFemelle=BONNE,VLOOKUP("Sorgho ensilé",AlimentsRationEcurieChevauxFemellesSelle,5,FALSE),0)+(IF(QualitéAlimentsJeuneEtalon_12_24_moisSelle=BONNE,VLOOKUP("Sorgho ensilé",AlimentsRationEcurieChevauxMâlesSelle,4,FALSE),0)+(IF(QualitéAlimentsJeuneJument_12_24_moisSelle=BONNE,VLOOKUP("Sorgho ensilé",AlimentsRationEcurieChevauxFemellesSelle,4,FALSE),0)+(IF(QualitéAlimentsJeuneEtalon_24_36_moisSelle=BONNE,VLOOKUP("Sorgho ensilé",AlimentsRationEcurieChevauxMâlesSelle,3,FALSE),0)+(IF(QualitéAlimentsJeuneJument_24_36_moisSelle=BONNE,VLOOKUP("Sorgho ensilé",AlimentsRationEcurieChevauxFemellesSelle,3,FALSE),0)+(IF(QualitéAlimentsEtalonSelle=BONNE,VLOOKUP("Sorgho ensilé",AlimentsRationEcurieChevauxMâlesSelle,2,FALSE),0)+(IF(QualitéAlimentsJumentSelle=BONNE,VLOOKUP("Sorgho ensilé",AlimentsRationEcurieChevauxFemellesSelle,2,FALSE),0))))))))))</f>
        <v>0</v>
      </c>
      <c r="EW231" s="1282">
        <f t="array" ref="EW231">SUM((IF(QualitéAlimentsPoulainSelleMâle=MOYENNE,VLOOKUP("Sorgho ensilé",AlimentsRationEcurieChevauxMâlesSelle,5,FALSE),0)+(IF(QualitéAlimentsPoulainSelleFemelle=MOYENNE,VLOOKUP("Sorgho ensilé",AlimentsRationEcurieChevauxFemellesSelle,5,FALSE),0)+(IF(QualitéAlimentsJeuneEtalon_12_24_moisSelle=MOYENNE,VLOOKUP("Sorgho ensilé",AlimentsRationEcurieChevauxMâlesSelle,4,FALSE),0)+(IF(QualitéAlimentsJeuneJument_12_24_moisSelle=MOYENNE,VLOOKUP("Sorgho ensilé",AlimentsRationEcurieChevauxFemellesSelle,4,FALSE),0)+(IF(QualitéAlimentsJeuneEtalon_24_36_moisSelle=MOYENNE,VLOOKUP("Sorgho ensilé",AlimentsRationEcurieChevauxMâlesSelle,3,FALSE),0)+(IF(QualitéAlimentsJeuneJument_24_36_moisSelle=MOYENNE,VLOOKUP("Sorgho ensilé",AlimentsRationEcurieChevauxFemellesSelle,3,FALSE),0)+(IF(QualitéAlimentsEtalonSelle=MOYENNE,VLOOKUP("Sorgho ensilé",AlimentsRationEcurieChevauxMâlesSelle,2,FALSE),0)+(IF(QualitéAlimentsJumentSelle=MOYENNE,VLOOKUP("Sorgho ensilé",AlimentsRationEcurieChevauxFemellesSelle,2,FALSE),0))))))))))</f>
        <v>0</v>
      </c>
      <c r="EX231" s="1282">
        <f t="array" ref="EX231">SUM((IF(QualitéAlimentsPoulainSelleMâle=MAUVAISE,VLOOKUP("Sorgho ensilé",AlimentsRationEcurieChevauxMâlesSelle,5,FALSE),0)+(IF(QualitéAlimentsPoulainSelleFemelle=MAUVAISE,VLOOKUP("Sorgho ensilé",AlimentsRationEcurieChevauxFemellesSelle,5,FALSE),0)+(IF(QualitéAlimentsJeuneEtalon_12_24_moisSelle=MAUVAISE,VLOOKUP("Sorgho ensilé",AlimentsRationEcurieChevauxMâlesSelle,4,FALSE),0)+(IF(QualitéAlimentsJeuneJument_12_24_moisSelle=MAUVAISE,VLOOKUP("Sorgho ensilé",AlimentsRationEcurieChevauxFemellesSelle,4,FALSE),0)+(IF(QualitéAlimentsJeuneEtalon_24_36_moisSelle=MAUVAISE,VLOOKUP("Sorgho ensilé",AlimentsRationEcurieChevauxMâlesSelle,3,FALSE),0)+(IF(QualitéAlimentsJeuneJument_24_36_moisSelle=MAUVAISE,VLOOKUP("Sorgho ensilé",AlimentsRationEcurieChevauxFemellesSelle,3,FALSE),0)+(IF(QualitéAlimentsEtalonSelle=MAUVAISE,VLOOKUP("Sorgho ensilé",AlimentsRationEcurieChevauxMâlesSelle,2,FALSE),0)+(IF(QualitéAlimentsJumentSelle=MAUVAISE,VLOOKUP("Sorgho ensilé",AlimentsRationEcurieChevauxFemellesSelle,2,FALSE),0))))))))))</f>
        <v>0</v>
      </c>
      <c r="EY231" s="1321"/>
      <c r="EZ231" s="1345"/>
      <c r="FA231" s="1345"/>
      <c r="FB231" s="1345"/>
      <c r="FC231" s="1321"/>
      <c r="FD231" s="1083">
        <f t="shared" si="72"/>
        <v>0</v>
      </c>
      <c r="FE231" s="1283"/>
      <c r="FF231" s="1283"/>
      <c r="FG231" s="1283"/>
      <c r="FH231" s="1321"/>
      <c r="FI231" s="1321"/>
      <c r="FJ231" s="1345"/>
      <c r="FK231" s="1345"/>
      <c r="FL231" s="1345"/>
      <c r="FM231" s="1321"/>
      <c r="FN231" s="1082">
        <f t="shared" si="71"/>
        <v>0</v>
      </c>
      <c r="FO231" s="1282"/>
      <c r="FP231" s="1282"/>
      <c r="FQ231" s="1282"/>
      <c r="FR231" s="1345"/>
      <c r="FS231" s="1345"/>
      <c r="FT231" s="1345"/>
      <c r="FU231" s="1345"/>
      <c r="FV231" s="1345"/>
      <c r="FW231" s="1321"/>
      <c r="FX231" s="1321"/>
      <c r="FY231" s="1321"/>
      <c r="FZ231" s="1321"/>
      <c r="GA231" s="1345"/>
      <c r="GB231" s="1321"/>
      <c r="GC231" s="1321"/>
      <c r="GD231" s="1321"/>
      <c r="GE231" s="1321"/>
      <c r="GF231" s="1321"/>
      <c r="GG231" s="1321" t="s">
        <v>1349</v>
      </c>
      <c r="GH231" s="1321" t="s">
        <v>1349</v>
      </c>
      <c r="GI231" s="1321" t="s">
        <v>1349</v>
      </c>
      <c r="GJ231" s="1321" t="s">
        <v>1349</v>
      </c>
      <c r="GK231" s="1321" t="s">
        <v>1349</v>
      </c>
      <c r="GL231" s="1321" t="s">
        <v>1349</v>
      </c>
      <c r="GM231" s="1321" t="s">
        <v>1349</v>
      </c>
      <c r="GN231" s="1321" t="s">
        <v>1349</v>
      </c>
      <c r="GO231" s="1321" t="s">
        <v>1349</v>
      </c>
      <c r="GP231" s="1321" t="s">
        <v>1349</v>
      </c>
      <c r="GQ231" s="1321" t="s">
        <v>1349</v>
      </c>
      <c r="GR231" s="1321" t="s">
        <v>1349</v>
      </c>
      <c r="GS231" s="1321" t="s">
        <v>1349</v>
      </c>
      <c r="GT231" s="1321" t="s">
        <v>1349</v>
      </c>
      <c r="GU231" s="1321" t="s">
        <v>1349</v>
      </c>
      <c r="GV231" s="1321" t="s">
        <v>1349</v>
      </c>
      <c r="GW231" s="1321"/>
      <c r="GX231" s="1321"/>
      <c r="GY231" s="1321"/>
      <c r="GZ231" s="1321"/>
      <c r="HA231" s="1321"/>
      <c r="HB231" s="1321"/>
      <c r="HC231" s="1321"/>
      <c r="HD231" s="1321"/>
      <c r="HE231" s="1321"/>
      <c r="HF231" s="1321"/>
      <c r="HG231" s="1321"/>
      <c r="HH231" s="1321"/>
      <c r="HI231" s="1321"/>
      <c r="HJ231" s="1321"/>
      <c r="HK231" s="1321"/>
      <c r="HL231" s="1321"/>
      <c r="HM231" s="1321"/>
      <c r="HN231" s="1321"/>
      <c r="HO231" s="1321"/>
      <c r="HP231" s="1321"/>
      <c r="HQ231" s="1321"/>
      <c r="HR231" s="1321"/>
      <c r="HS231" s="1321"/>
      <c r="HT231" s="1321"/>
      <c r="HU231" s="1321"/>
      <c r="HV231" s="1321"/>
      <c r="HW231" s="1321"/>
      <c r="HX231" s="1321"/>
      <c r="HY231" s="1321"/>
      <c r="HZ231" s="1321"/>
      <c r="IA231" s="1321"/>
      <c r="IB231" s="1321"/>
      <c r="IC231" s="1321"/>
      <c r="ID231" s="1321"/>
      <c r="IE231" s="1321"/>
      <c r="IF231" s="1321"/>
      <c r="IG231" s="1321"/>
      <c r="IH231" s="1321"/>
      <c r="II231" s="1321"/>
      <c r="IJ231" s="1321"/>
      <c r="IK231" s="1321"/>
      <c r="IL231" s="1321"/>
      <c r="IM231" s="1321"/>
      <c r="IN231" s="1368"/>
    </row>
    <row r="232" spans="1:248" ht="12.75" customHeight="1" x14ac:dyDescent="0.2">
      <c r="A232" s="1319"/>
      <c r="B232" s="1321"/>
      <c r="C232" s="1321"/>
      <c r="D232" s="1321"/>
      <c r="E232" s="1321"/>
      <c r="F232" s="1321"/>
      <c r="G232" s="1321"/>
      <c r="H232" s="1321"/>
      <c r="I232" s="1321"/>
      <c r="J232" s="1321"/>
      <c r="K232" s="1321"/>
      <c r="L232" s="1321"/>
      <c r="M232" s="1321"/>
      <c r="N232" s="1321"/>
      <c r="O232" s="1321"/>
      <c r="P232" s="1321"/>
      <c r="Q232" s="1321"/>
      <c r="R232" s="1321"/>
      <c r="S232" s="1321"/>
      <c r="T232" s="1321"/>
      <c r="U232" s="1321"/>
      <c r="V232" s="1321"/>
      <c r="W232" s="1321"/>
      <c r="X232" s="1321"/>
      <c r="Y232" s="1321"/>
      <c r="Z232" s="1321"/>
      <c r="AA232" s="1321"/>
      <c r="AB232" s="1321"/>
      <c r="AC232" s="1321"/>
      <c r="AD232" s="1321"/>
      <c r="AE232" s="1321"/>
      <c r="AF232" s="1321"/>
      <c r="AG232" s="1321"/>
      <c r="AH232" s="1321"/>
      <c r="AI232" s="1321"/>
      <c r="AJ232" s="1321"/>
      <c r="AK232" s="1321"/>
      <c r="AL232" s="1321"/>
      <c r="AM232" s="1321"/>
      <c r="AN232" s="1321"/>
      <c r="AO232" s="1321"/>
      <c r="AP232" s="1321"/>
      <c r="AQ232" s="1321"/>
      <c r="AR232" s="1321"/>
      <c r="AS232" s="1321"/>
      <c r="AT232" s="1321"/>
      <c r="AU232" s="1321"/>
      <c r="AV232" s="1321"/>
      <c r="AW232" s="1321"/>
      <c r="AX232" s="1321"/>
      <c r="AY232" s="1321"/>
      <c r="AZ232" s="1321"/>
      <c r="BA232" s="1321"/>
      <c r="BB232" s="1076"/>
      <c r="BC232" s="1267">
        <f t="array" ref="BC232">IF(Ration_complète_bovins[somme]&gt;0,0,IFERROR(IF(OR(AND(INDEX(Règles_bovins[Specificite],MATCH(ChoixRationBovins&amp;$BB232,Règles_bovins[Ration]&amp;Règles_bovins[Aliment],0))="s1",IF($BB232=Spécificité1Bovins,1)),
AND(INDEX(Règles_bovins[Specificite],MATCH(ChoixRationBovins&amp;$BB232,Règles_bovins[Ration]&amp;Règles_bovins[Aliment],0))="s2",IF($BB232=Spécificité2Bovins,1)),
INDEX(Règles_bovins[Specificite],MATCH(ChoixRationBovins&amp;$BB232,Règles_bovins[Ration]&amp;Règles_bovins[Aliment],0))="c"),
INDEX(Règles_bovins[Valeur 36 et plus],MATCH(ChoixRationBovins&amp;$BB232,Règles_bovins[Ration]&amp;Règles_bovins[Aliment],0)),0),0)*IF(ChoixBovinsPréHiver=OUI,TotalTaureauxRacesLaitières,TotalTaureaux*SUM(NbreJoursNourrirBovins)))</f>
        <v>0</v>
      </c>
      <c r="BD232" s="1267">
        <f t="array" ref="BD232">IF(Ration_complète_bovins[somme]&gt;0,0,IFERROR(IF(OR(AND(INDEX(Règles_bovins[Specificite],MATCH(ChoixRationBovins&amp;$BB232,Règles_bovins[Ration]&amp;Règles_bovins[Aliment],0))="s1",IF($BB232=Spécificité1Bovins,1)),
AND(INDEX(Règles_bovins[Specificite],MATCH(ChoixRationBovins&amp;$BB232,Règles_bovins[Ration]&amp;Règles_bovins[Aliment],0))="s2",IF($BB232=Spécificité2Bovins,1)),
INDEX(Règles_bovins[Specificite],MATCH(ChoixRationBovins&amp;$BB232,Règles_bovins[Ration]&amp;Règles_bovins[Aliment],0))="c"),
INDEX(Règles_bovins[Valeur 24-36],MATCH(ChoixRationBovins&amp;$BB232,Règles_bovins[Ration]&amp;Règles_bovins[Aliment],0)),0),0)*IF(ChoixBovinsPréHiver=OUI,TotalTaurillon_24_36_RacesLaitières,TotalBovinsMâles_24_36mois*SUM(NbreJoursNourrirBovins)))</f>
        <v>0</v>
      </c>
      <c r="BE232" s="1267">
        <f t="array" ref="BE232">IF(Ration_complète_bovins[somme]&gt;0,0,IFERROR(IF(OR(AND(INDEX(Règles_bovins[Specificite],MATCH(ChoixRationBovins&amp;$BB232,Règles_bovins[Ration]&amp;Règles_bovins[Aliment],0))="s1",IF($BB232=Spécificité1Bovins,1)),
AND(INDEX(Règles_bovins[Specificite],MATCH(ChoixRationBovins&amp;$BB232,Règles_bovins[Ration]&amp;Règles_bovins[Aliment],0))="s2",IF($BB232=Spécificité2Bovins,1)),
INDEX(Règles_bovins[Specificite],MATCH(ChoixRationBovins&amp;$BB232,Règles_bovins[Ration]&amp;Règles_bovins[Aliment],0))="c"),
INDEX(Règles_bovins[Valeur 18-24],MATCH(ChoixRationBovins&amp;$BB232,Règles_bovins[Ration]&amp;Règles_bovins[Aliment],0)),0),0)*IF(ChoixBovinsPréHiver=OUI,TotalTaurillon_18_24_RacesLaitières,TotalBovinsMâles_18_24mois*SUM(NbreJoursNourrirBovins)))</f>
        <v>0</v>
      </c>
      <c r="BF232" s="1267">
        <f t="array" ref="BF232">IF(Ration_complète_bovins[somme]&gt;0,0,IFERROR(IF(OR(AND(INDEX(Règles_bovins[Specificite],MATCH(ChoixRationBovins&amp;$BB232,Règles_bovins[Ration]&amp;Règles_bovins[Aliment],0))="s1",IF($BB232=Spécificité1Bovins,1)),
AND(INDEX(Règles_bovins[Specificite],MATCH(ChoixRationBovins&amp;$BB232,Règles_bovins[Ration]&amp;Règles_bovins[Aliment],0))="s2",IF($BB232=Spécificité2Bovins,1)),
INDEX(Règles_bovins[Specificite],MATCH(ChoixRationBovins&amp;$BB232,Règles_bovins[Ration]&amp;Règles_bovins[Aliment],0))="c"),
INDEX(Règles_bovins[Valeur 12-18],MATCH(ChoixRationBovins&amp;$BB232,Règles_bovins[Ration]&amp;Règles_bovins[Aliment],0)),0),0)*IF(ChoixBovinsPréHiver=OUI,animaux!D58,TotalBovinsMâles_12_18mois*SUM(NbreJoursNourrirBovins)))</f>
        <v>0</v>
      </c>
      <c r="BG232" s="1267">
        <f t="array" ref="BG232">IF(Ration_complète_bovins[somme]&gt;0,0,IFERROR(IF(OR(AND(INDEX(Règles_bovins[Specificite],MATCH(ChoixRationBovins&amp;$BB232,Règles_bovins[Ration]&amp;Règles_bovins[Aliment],0))="s1",IF($BB232=Spécificité1Bovins,1)),
AND(INDEX(Règles_bovins[Specificite],MATCH(ChoixRationBovins&amp;$BB232,Règles_bovins[Ration]&amp;Règles_bovins[Aliment],0))="s2",IF($BB232=Spécificité2Bovins,1)),
INDEX(Règles_bovins[Specificite],MATCH(ChoixRationBovins&amp;$BB232,Règles_bovins[Ration]&amp;Règles_bovins[Aliment],0))="c"),
INDEX(Règles_bovins[Valeur 6-12],MATCH(ChoixRationBovins&amp;$BB232,Règles_bovins[Ration]&amp;Règles_bovins[Aliment],0)),0),0)*IF(ChoixBovinsPréHiver=OUI,TotalVeauMâle_6_12_RacesLaitières,TotalBovinsMâles_6_12mois*SUM(NbreJoursNourrirBovins)))</f>
        <v>0</v>
      </c>
      <c r="BH232" s="1267">
        <f t="array" ref="BH232">IF(Ration_complète_bovins[somme]&gt;0,0,IFERROR(IF(OR(AND(INDEX(Règles_bovins[Specificite],MATCH(ChoixRationBovins&amp;$BB232,Règles_bovins[Ration]&amp;Règles_bovins[Aliment],0))="s1",IF($BB232=Spécificité1Bovins,1)),
AND(INDEX(Règles_bovins[Specificite],MATCH(ChoixRationBovins&amp;$BB232,Règles_bovins[Ration]&amp;Règles_bovins[Aliment],0))="s2",IF($BB232=Spécificité2Bovins,1)),
INDEX(Règles_bovins[Specificite],MATCH(ChoixRationBovins&amp;$BB232,Règles_bovins[Ration]&amp;Règles_bovins[Aliment],0))="c"),
INDEX(Règles_bovins[Valeur 3-6],MATCH(ChoixRationBovins&amp;$BB232,Règles_bovins[Ration]&amp;Règles_bovins[Aliment],0)),0),0)*IF(ChoixBovinsPréHiver=OUI,TotalVeauMâle_3_6_RacesLaitières,TotalBovinsMâles_3_6mois*SUM(NbreJoursNourrirBovins)))</f>
        <v>0</v>
      </c>
      <c r="BI232" s="1267">
        <f t="array" ref="BI232">IF(Ration_complète_bovins[somme]&gt;0,0,IFERROR(IF(OR(AND(INDEX(Règles_bovins[Specificite],MATCH(ChoixRationBovins&amp;$BB232,Règles_bovins[Ration]&amp;Règles_bovins[Aliment],0))="s1",IF($BB232=Spécificité1Bovins,1)),
AND(INDEX(Règles_bovins[Specificite],MATCH(ChoixRationBovins&amp;$BB232,Règles_bovins[Ration]&amp;Règles_bovins[Aliment],0))="s2",IF($BB232=Spécificité2Bovins,1)),
INDEX(Règles_bovins[Specificite],MATCH(ChoixRationBovins&amp;$BB232,Règles_bovins[Ration]&amp;Règles_bovins[Aliment],0))="c"),
INDEX(Règles_bovins[Valeur 0-3],MATCH(ChoixRationBovins&amp;$BB232,Règles_bovins[Ration]&amp;Règles_bovins[Aliment],0)),0),0)*IF(ChoixBovinsPréHiver=OUI,TotalVeauMâle_0_3_RacesLaitières,TotalBovinsMâles_0_3mois*SUM(NbreJoursNourrirBovins)))</f>
        <v>0</v>
      </c>
      <c r="BJ232" s="1268">
        <f t="shared" si="69"/>
        <v>0</v>
      </c>
      <c r="BK232" s="1321"/>
      <c r="BL232" s="1345"/>
      <c r="BM232" s="1346"/>
      <c r="BN232" s="1321"/>
      <c r="BO232" s="1321"/>
      <c r="BP232" s="1321"/>
      <c r="BQ232" s="1321"/>
      <c r="BR232" s="1321"/>
      <c r="BS232" s="1321"/>
      <c r="BT232" s="1321"/>
      <c r="BU232" s="1321"/>
      <c r="BV232" s="1345"/>
      <c r="BW232" s="1345"/>
      <c r="BX232" s="1076"/>
      <c r="BY232" s="1267"/>
      <c r="BZ232" s="1267"/>
      <c r="CA232" s="1267"/>
      <c r="CB232" s="1321"/>
      <c r="CC232" s="1321"/>
      <c r="CD232" s="1345"/>
      <c r="CE232" s="1345"/>
      <c r="CF232" s="1345"/>
      <c r="CG232" s="1345"/>
      <c r="CH232" s="1345"/>
      <c r="CI232" s="1321"/>
      <c r="CJ232" s="1321"/>
      <c r="CK232" s="1321"/>
      <c r="CL232" s="1321"/>
      <c r="CM232" s="1321"/>
      <c r="CN232" s="1321"/>
      <c r="CO232" s="1321"/>
      <c r="CP232" s="1321"/>
      <c r="CQ232" s="1321"/>
      <c r="CR232" s="1321"/>
      <c r="CS232" s="1321"/>
      <c r="CT232" s="1321"/>
      <c r="CU232" s="1321"/>
      <c r="CV232" s="1321"/>
      <c r="CW232" s="1321"/>
      <c r="CX232" s="1321"/>
      <c r="CY232" s="1321"/>
      <c r="CZ232" s="1321"/>
      <c r="DA232" s="1321"/>
      <c r="DB232" s="1321"/>
      <c r="DC232" s="1321"/>
      <c r="DD232" s="1321"/>
      <c r="DE232" s="1321"/>
      <c r="DF232" s="1321"/>
      <c r="DG232" s="1321"/>
      <c r="DH232" s="1321"/>
      <c r="DI232" s="1321"/>
      <c r="DJ232" s="1321"/>
      <c r="DK232" s="1321"/>
      <c r="DL232" s="1321"/>
      <c r="DM232" s="1321"/>
      <c r="DN232" s="1336" t="s">
        <v>1278</v>
      </c>
      <c r="DO232" s="1341"/>
      <c r="DP232" s="1341"/>
      <c r="DQ232" s="1341"/>
      <c r="DR232" s="1336"/>
      <c r="DS232" s="1359"/>
      <c r="DT232" s="1346"/>
      <c r="DU232" s="1346"/>
      <c r="DV232" s="1321"/>
      <c r="DW232" s="1321"/>
      <c r="DX232" s="1321"/>
      <c r="DY232" s="1321"/>
      <c r="DZ232" s="1321"/>
      <c r="EA232" s="1321"/>
      <c r="EB232" s="1321"/>
      <c r="EC232" s="1321"/>
      <c r="ED232" s="1345"/>
      <c r="EE232" s="1345"/>
      <c r="EF232" s="1321"/>
      <c r="EG232" s="1321"/>
      <c r="EH232" s="1321"/>
      <c r="EI232" s="1321"/>
      <c r="EJ232" s="1321"/>
      <c r="EK232" s="1345"/>
      <c r="EL232" s="1345"/>
      <c r="EM232" s="1321"/>
      <c r="EN232" s="1321"/>
      <c r="EO232" s="1321"/>
      <c r="EP232" s="1321"/>
      <c r="EQ232" s="1321"/>
      <c r="ER232" s="1345"/>
      <c r="ES232" s="1345"/>
      <c r="ET232" s="1321"/>
      <c r="EU232" s="1083" t="str">
        <f t="shared" si="73"/>
        <v>Tournesol</v>
      </c>
      <c r="EV232" s="1283">
        <f t="array" ref="EV232">SUM((IF(QualitéAlimentsPoulainSelleMâle=BONNE,VLOOKUP("Tournesol",AlimentsRationEcurieChevauxMâlesSelle,5,FALSE),0)+(IF(QualitéAlimentsPoulainSelleFemelle=BONNE,VLOOKUP("Tournesol",AlimentsRationEcurieChevauxFemellesSelle,5,FALSE),0)+(IF(QualitéAlimentsJeuneEtalon_12_24_moisSelle=BONNE,VLOOKUP("Tournesol",AlimentsRationEcurieChevauxMâlesSelle,4,FALSE),0)+(IF(QualitéAlimentsJeuneJument_12_24_moisSelle=BONNE,VLOOKUP("Tournesol",AlimentsRationEcurieChevauxFemellesSelle,4,FALSE),0)+(IF(QualitéAlimentsJeuneEtalon_24_36_moisSelle=BONNE,VLOOKUP("Tournesol",AlimentsRationEcurieChevauxMâlesSelle,3,FALSE),0)+(IF(QualitéAlimentsJeuneJument_24_36_moisSelle=BONNE,VLOOKUP("Tournesol",AlimentsRationEcurieChevauxFemellesSelle,3,FALSE),0)+(IF(QualitéAlimentsEtalonSelle=BONNE,VLOOKUP("Tournesol",AlimentsRationEcurieChevauxMâlesSelle,2,FALSE),0)+(IF(QualitéAlimentsJumentSelle=BONNE,VLOOKUP("Tournesol",AlimentsRationEcurieChevauxFemellesSelle,2,FALSE),0))))))))))</f>
        <v>0</v>
      </c>
      <c r="EW232" s="1283">
        <f t="array" ref="EW232">SUM((IF(QualitéAlimentsPoulainSelleMâle=MOYENNE,VLOOKUP("Tournesol",AlimentsRationEcurieChevauxMâlesSelle,5,FALSE),0)+(IF(QualitéAlimentsPoulainSelleFemelle=MOYENNE,VLOOKUP("Tournesol",AlimentsRationEcurieChevauxFemellesSelle,5,FALSE),0)+(IF(QualitéAlimentsJeuneEtalon_12_24_moisSelle=MOYENNE,VLOOKUP("Tournesol",AlimentsRationEcurieChevauxMâlesSelle,4,FALSE),0)+(IF(QualitéAlimentsJeuneJument_12_24_moisSelle=MOYENNE,VLOOKUP("Tournesol",AlimentsRationEcurieChevauxFemellesSelle,4,FALSE),0)+(IF(QualitéAlimentsJeuneEtalon_24_36_moisSelle=MOYENNE,VLOOKUP("Tournesol",AlimentsRationEcurieChevauxMâlesSelle,3,FALSE),0)+(IF(QualitéAlimentsJeuneJument_24_36_moisSelle=MOYENNE,VLOOKUP("Tournesol",AlimentsRationEcurieChevauxFemellesSelle,3,FALSE),0)+(IF(QualitéAlimentsEtalonSelle=MOYENNE,VLOOKUP("Tournesol",AlimentsRationEcurieChevauxMâlesSelle,2,FALSE),0)+(IF(QualitéAlimentsJumentSelle=MOYENNE,VLOOKUP("Tournesol",AlimentsRationEcurieChevauxFemellesSelle,2,FALSE),0))))))))))</f>
        <v>0</v>
      </c>
      <c r="EX232" s="1283">
        <f t="array" ref="EX232">SUM((IF(QualitéAlimentsPoulainSelleMâle=MAUVAISE,VLOOKUP("Tournesol",AlimentsRationEcurieChevauxMâlesSelle,5,FALSE),0)+(IF(QualitéAlimentsPoulainSelleFemelle=MAUVAISE,VLOOKUP("Tournesol",AlimentsRationEcurieChevauxFemellesSelle,5,FALSE),0)+(IF(QualitéAlimentsJeuneEtalon_12_24_moisSelle=MAUVAISE,VLOOKUP("Tournesol",AlimentsRationEcurieChevauxMâlesSelle,4,FALSE),0)+(IF(QualitéAlimentsJeuneJument_12_24_moisSelle=MAUVAISE,VLOOKUP("Tournesol",AlimentsRationEcurieChevauxFemellesSelle,4,FALSE),0)+(IF(QualitéAlimentsJeuneEtalon_24_36_moisSelle=MAUVAISE,VLOOKUP("Tournesol",AlimentsRationEcurieChevauxMâlesSelle,3,FALSE),0)+(IF(QualitéAlimentsJeuneJument_24_36_moisSelle=MAUVAISE,VLOOKUP("Tournesol",AlimentsRationEcurieChevauxFemellesSelle,3,FALSE),0)+(IF(QualitéAlimentsEtalonSelle=MAUVAISE,VLOOKUP("Tournesol",AlimentsRationEcurieChevauxMâlesSelle,2,FALSE),0)+(IF(QualitéAlimentsJumentSelle=MAUVAISE,VLOOKUP("Tournesol",AlimentsRationEcurieChevauxFemellesSelle,2,FALSE),0))))))))))</f>
        <v>0</v>
      </c>
      <c r="EY232" s="1321"/>
      <c r="EZ232" s="1345"/>
      <c r="FA232" s="1345"/>
      <c r="FB232" s="1345"/>
      <c r="FC232" s="1321"/>
      <c r="FD232" s="1082">
        <f t="shared" si="72"/>
        <v>0</v>
      </c>
      <c r="FE232" s="1282"/>
      <c r="FF232" s="1282"/>
      <c r="FG232" s="1282"/>
      <c r="FH232" s="1321"/>
      <c r="FI232" s="1321"/>
      <c r="FJ232" s="1345"/>
      <c r="FK232" s="1345"/>
      <c r="FL232" s="1345"/>
      <c r="FM232" s="1321"/>
      <c r="FN232" s="1083">
        <f t="shared" si="71"/>
        <v>0</v>
      </c>
      <c r="FO232" s="1283"/>
      <c r="FP232" s="1283"/>
      <c r="FQ232" s="1283"/>
      <c r="FR232" s="1345"/>
      <c r="FS232" s="1345"/>
      <c r="FT232" s="1345"/>
      <c r="FU232" s="1345"/>
      <c r="FV232" s="1345"/>
      <c r="FW232" s="1321"/>
      <c r="FX232" s="1321"/>
      <c r="FY232" s="1321"/>
      <c r="FZ232" s="1321"/>
      <c r="GA232" s="1345"/>
      <c r="GB232" s="1321"/>
      <c r="GC232" s="1321"/>
      <c r="GD232" s="1321"/>
      <c r="GE232" s="1321"/>
      <c r="GF232" s="1321"/>
      <c r="GG232" s="1321" t="s">
        <v>1349</v>
      </c>
      <c r="GH232" s="1321" t="s">
        <v>1349</v>
      </c>
      <c r="GI232" s="1321" t="s">
        <v>1349</v>
      </c>
      <c r="GJ232" s="1321" t="s">
        <v>1349</v>
      </c>
      <c r="GK232" s="1321" t="s">
        <v>1349</v>
      </c>
      <c r="GL232" s="1321" t="s">
        <v>1349</v>
      </c>
      <c r="GM232" s="1321" t="s">
        <v>1349</v>
      </c>
      <c r="GN232" s="1321" t="s">
        <v>1349</v>
      </c>
      <c r="GO232" s="1321" t="s">
        <v>1349</v>
      </c>
      <c r="GP232" s="1321" t="s">
        <v>1349</v>
      </c>
      <c r="GQ232" s="1321" t="s">
        <v>1349</v>
      </c>
      <c r="GR232" s="1321" t="s">
        <v>1349</v>
      </c>
      <c r="GS232" s="1321" t="s">
        <v>1349</v>
      </c>
      <c r="GT232" s="1321" t="s">
        <v>1349</v>
      </c>
      <c r="GU232" s="1321" t="s">
        <v>1349</v>
      </c>
      <c r="GV232" s="1321" t="s">
        <v>1349</v>
      </c>
      <c r="GW232" s="1321"/>
      <c r="GX232" s="1321"/>
      <c r="GY232" s="1321"/>
      <c r="GZ232" s="1321"/>
      <c r="HA232" s="1321"/>
      <c r="HB232" s="1321"/>
      <c r="HC232" s="1321"/>
      <c r="HD232" s="1321"/>
      <c r="HE232" s="1321"/>
      <c r="HF232" s="1321"/>
      <c r="HG232" s="1321"/>
      <c r="HH232" s="1321"/>
      <c r="HI232" s="1321"/>
      <c r="HJ232" s="1321"/>
      <c r="HK232" s="1321"/>
      <c r="HL232" s="1321"/>
      <c r="HM232" s="1321"/>
      <c r="HN232" s="1321"/>
      <c r="HO232" s="1321"/>
      <c r="HP232" s="1321"/>
      <c r="HQ232" s="1321"/>
      <c r="HR232" s="1321"/>
      <c r="HS232" s="1321"/>
      <c r="HT232" s="1321"/>
      <c r="HU232" s="1321"/>
      <c r="HV232" s="1321"/>
      <c r="HW232" s="1321"/>
      <c r="HX232" s="1321"/>
      <c r="HY232" s="1321"/>
      <c r="HZ232" s="1321"/>
      <c r="IA232" s="1321"/>
      <c r="IB232" s="1321"/>
      <c r="IC232" s="1321"/>
      <c r="ID232" s="1321"/>
      <c r="IE232" s="1321"/>
      <c r="IF232" s="1321"/>
      <c r="IG232" s="1321"/>
      <c r="IH232" s="1321"/>
      <c r="II232" s="1321"/>
      <c r="IJ232" s="1321"/>
      <c r="IK232" s="1321"/>
      <c r="IL232" s="1321"/>
      <c r="IM232" s="1321"/>
      <c r="IN232" s="1368"/>
    </row>
    <row r="233" spans="1:248" ht="12.75" customHeight="1" x14ac:dyDescent="0.2">
      <c r="A233" s="1319"/>
      <c r="B233" s="1321"/>
      <c r="C233" s="1321"/>
      <c r="D233" s="1321"/>
      <c r="E233" s="1321"/>
      <c r="F233" s="1321"/>
      <c r="G233" s="1321"/>
      <c r="H233" s="1321"/>
      <c r="I233" s="1321"/>
      <c r="J233" s="1321"/>
      <c r="K233" s="1321"/>
      <c r="L233" s="1321"/>
      <c r="M233" s="1321"/>
      <c r="N233" s="1321"/>
      <c r="O233" s="1321"/>
      <c r="P233" s="1321"/>
      <c r="Q233" s="1321"/>
      <c r="R233" s="1321"/>
      <c r="S233" s="1321"/>
      <c r="T233" s="1321"/>
      <c r="U233" s="1321"/>
      <c r="V233" s="1321"/>
      <c r="W233" s="1321"/>
      <c r="X233" s="1321"/>
      <c r="Y233" s="1321"/>
      <c r="Z233" s="1321"/>
      <c r="AA233" s="1321"/>
      <c r="AB233" s="1321"/>
      <c r="AC233" s="1321"/>
      <c r="AD233" s="1321"/>
      <c r="AE233" s="1321"/>
      <c r="AF233" s="1321"/>
      <c r="AG233" s="1321"/>
      <c r="AH233" s="1321"/>
      <c r="AI233" s="1321"/>
      <c r="AJ233" s="1321"/>
      <c r="AK233" s="1321"/>
      <c r="AL233" s="1321"/>
      <c r="AM233" s="1321"/>
      <c r="AN233" s="1321"/>
      <c r="AO233" s="1321"/>
      <c r="AP233" s="1321"/>
      <c r="AQ233" s="1321"/>
      <c r="AR233" s="1321"/>
      <c r="AS233" s="1321"/>
      <c r="AT233" s="1321"/>
      <c r="AU233" s="1321"/>
      <c r="AV233" s="1321"/>
      <c r="AW233" s="1321"/>
      <c r="AX233" s="1321"/>
      <c r="AY233" s="1321"/>
      <c r="AZ233" s="1321"/>
      <c r="BA233" s="1321"/>
      <c r="BB233" s="1336"/>
      <c r="BC233" s="1341"/>
      <c r="BD233" s="1341"/>
      <c r="BE233" s="1341"/>
      <c r="BF233" s="1341"/>
      <c r="BG233" s="1341"/>
      <c r="BH233" s="1341"/>
      <c r="BI233" s="1341"/>
      <c r="BJ233" s="1351"/>
      <c r="BK233" s="1321"/>
      <c r="BL233" s="1345"/>
      <c r="BM233" s="1346"/>
      <c r="BN233" s="1321"/>
      <c r="BO233" s="1321"/>
      <c r="BP233" s="1321"/>
      <c r="BQ233" s="1321"/>
      <c r="BR233" s="1321"/>
      <c r="BS233" s="1321"/>
      <c r="BT233" s="1321"/>
      <c r="BU233" s="1321"/>
      <c r="BV233" s="1345"/>
      <c r="BW233" s="1345"/>
      <c r="BX233" s="1075"/>
      <c r="BY233" s="1269"/>
      <c r="BZ233" s="1269"/>
      <c r="CA233" s="1269"/>
      <c r="CB233" s="1321"/>
      <c r="CC233" s="1321"/>
      <c r="CD233" s="1345"/>
      <c r="CE233" s="1345"/>
      <c r="CF233" s="1345"/>
      <c r="CG233" s="1345"/>
      <c r="CH233" s="1345"/>
      <c r="CI233" s="1321"/>
      <c r="CJ233" s="1321"/>
      <c r="CK233" s="1321"/>
      <c r="CL233" s="1321"/>
      <c r="CM233" s="1321"/>
      <c r="CN233" s="1321"/>
      <c r="CO233" s="1321"/>
      <c r="CP233" s="1321"/>
      <c r="CQ233" s="1321"/>
      <c r="CR233" s="1321"/>
      <c r="CS233" s="1321"/>
      <c r="CT233" s="1321"/>
      <c r="CU233" s="1321"/>
      <c r="CV233" s="1321"/>
      <c r="CW233" s="1321"/>
      <c r="CX233" s="1321"/>
      <c r="CY233" s="1321"/>
      <c r="CZ233" s="1321"/>
      <c r="DA233" s="1321"/>
      <c r="DB233" s="1321"/>
      <c r="DC233" s="1321"/>
      <c r="DD233" s="1321"/>
      <c r="DE233" s="1321"/>
      <c r="DF233" s="1321"/>
      <c r="DG233" s="1321"/>
      <c r="DH233" s="1321"/>
      <c r="DI233" s="1321"/>
      <c r="DJ233" s="1321"/>
      <c r="DK233" s="1321"/>
      <c r="DL233" s="1321"/>
      <c r="DM233" s="1321"/>
      <c r="DN233" s="789" t="s">
        <v>1276</v>
      </c>
      <c r="DO233" s="790" t="s">
        <v>1280</v>
      </c>
      <c r="DP233" s="790" t="s">
        <v>1257</v>
      </c>
      <c r="DQ233" s="790" t="s">
        <v>1256</v>
      </c>
      <c r="DR233" s="822" t="s">
        <v>1255</v>
      </c>
      <c r="DS233" s="791" t="s">
        <v>1269</v>
      </c>
      <c r="DT233" s="1346"/>
      <c r="DU233" s="1346"/>
      <c r="DV233" s="1321"/>
      <c r="DW233" s="1321"/>
      <c r="DX233" s="1321"/>
      <c r="DY233" s="1321"/>
      <c r="DZ233" s="1321"/>
      <c r="EA233" s="1321"/>
      <c r="EB233" s="1321"/>
      <c r="EC233" s="1321"/>
      <c r="ED233" s="1345"/>
      <c r="EE233" s="1345"/>
      <c r="EF233" s="1321"/>
      <c r="EG233" s="1321"/>
      <c r="EH233" s="1321"/>
      <c r="EI233" s="1321"/>
      <c r="EJ233" s="1321"/>
      <c r="EK233" s="1345"/>
      <c r="EL233" s="1345"/>
      <c r="EM233" s="1321"/>
      <c r="EN233" s="1321"/>
      <c r="EO233" s="1321"/>
      <c r="EP233" s="1321"/>
      <c r="EQ233" s="1321"/>
      <c r="ER233" s="1345"/>
      <c r="ES233" s="1345"/>
      <c r="ET233" s="1321"/>
      <c r="EU233" s="1082" t="str">
        <f t="shared" si="73"/>
        <v>Tourteau de colza</v>
      </c>
      <c r="EV233" s="1282">
        <f t="array" ref="EV233">SUM((IF(QualitéAlimentsPoulainSelleMâle=BONNE,VLOOKUP("Tourteau de colza",AlimentsRationEcurieChevauxMâlesSelle,5,FALSE),0)+(IF(QualitéAlimentsPoulainSelleFemelle=BONNE,VLOOKUP("Tourteau de colza",AlimentsRationEcurieChevauxFemellesSelle,5,FALSE),0)+(IF(QualitéAlimentsJeuneEtalon_12_24_moisSelle=BONNE,VLOOKUP("Tourteau de colza",AlimentsRationEcurieChevauxMâlesSelle,4,FALSE),0)+(IF(QualitéAlimentsJeuneJument_12_24_moisSelle=BONNE,VLOOKUP("Tourteau de colza",AlimentsRationEcurieChevauxFemellesSelle,4,FALSE),0)+(IF(QualitéAlimentsJeuneEtalon_24_36_moisSelle=BONNE,VLOOKUP("Tourteau de colza",AlimentsRationEcurieChevauxMâlesSelle,3,FALSE),0)+(IF(QualitéAlimentsJeuneJument_24_36_moisSelle=BONNE,VLOOKUP("Tourteau de colza",AlimentsRationEcurieChevauxFemellesSelle,3,FALSE),0)+(IF(QualitéAlimentsEtalonSelle=BONNE,VLOOKUP("Tourteau de colza",AlimentsRationEcurieChevauxMâlesSelle,2,FALSE),0)+(IF(QualitéAlimentsJumentSelle=BONNE,VLOOKUP("Tourteau de colza",AlimentsRationEcurieChevauxFemellesSelle,2,FALSE),0))))))))))</f>
        <v>0</v>
      </c>
      <c r="EW233" s="1282">
        <f t="array" ref="EW233">SUM((IF(QualitéAlimentsPoulainSelleMâle=MOYENNE,VLOOKUP("Tourteau de colza",AlimentsRationEcurieChevauxMâlesSelle,5,FALSE),0)+(IF(QualitéAlimentsPoulainSelleFemelle=MOYENNE,VLOOKUP("Tourteau de colza",AlimentsRationEcurieChevauxFemellesSelle,5,FALSE),0)+(IF(QualitéAlimentsJeuneEtalon_12_24_moisSelle=MOYENNE,VLOOKUP("Tourteau de colza",AlimentsRationEcurieChevauxMâlesSelle,4,FALSE),0)+(IF(QualitéAlimentsJeuneJument_12_24_moisSelle=MOYENNE,VLOOKUP("Tourteau de colza",AlimentsRationEcurieChevauxFemellesSelle,4,FALSE),0)+(IF(QualitéAlimentsJeuneEtalon_24_36_moisSelle=MOYENNE,VLOOKUP("Tourteau de colza",AlimentsRationEcurieChevauxMâlesSelle,3,FALSE),0)+(IF(QualitéAlimentsJeuneJument_24_36_moisSelle=MOYENNE,VLOOKUP("Tourteau de colza",AlimentsRationEcurieChevauxFemellesSelle,3,FALSE),0)+(IF(QualitéAlimentsEtalonSelle=MOYENNE,VLOOKUP("Tourteau de colza",AlimentsRationEcurieChevauxMâlesSelle,2,FALSE),0)+(IF(QualitéAlimentsJumentSelle=MOYENNE,VLOOKUP("Tourteau de colza",AlimentsRationEcurieChevauxFemellesSelle,2,FALSE),0))))))))))</f>
        <v>0</v>
      </c>
      <c r="EX233" s="1282">
        <f t="array" ref="EX233">SUM((IF(QualitéAlimentsPoulainSelleMâle=MAUVAISE,VLOOKUP("Tourteau de colza",AlimentsRationEcurieChevauxMâlesSelle,5,FALSE),0)+(IF(QualitéAlimentsPoulainSelleFemelle=MAUVAISE,VLOOKUP("Tourteau de colza",AlimentsRationEcurieChevauxFemellesSelle,5,FALSE),0)+(IF(QualitéAlimentsJeuneEtalon_12_24_moisSelle=MAUVAISE,VLOOKUP("Tourteau de colza",AlimentsRationEcurieChevauxMâlesSelle,4,FALSE),0)+(IF(QualitéAlimentsJeuneJument_12_24_moisSelle=MAUVAISE,VLOOKUP("Tourteau de colza",AlimentsRationEcurieChevauxFemellesSelle,4,FALSE),0)+(IF(QualitéAlimentsJeuneEtalon_24_36_moisSelle=MAUVAISE,VLOOKUP("Tourteau de colza",AlimentsRationEcurieChevauxMâlesSelle,3,FALSE),0)+(IF(QualitéAlimentsJeuneJument_24_36_moisSelle=MAUVAISE,VLOOKUP("Tourteau de colza",AlimentsRationEcurieChevauxFemellesSelle,3,FALSE),0)+(IF(QualitéAlimentsEtalonSelle=MAUVAISE,VLOOKUP("Tourteau de colza",AlimentsRationEcurieChevauxMâlesSelle,2,FALSE),0)+(IF(QualitéAlimentsJumentSelle=MAUVAISE,VLOOKUP("Tourteau de colza",AlimentsRationEcurieChevauxFemellesSelle,2,FALSE),0))))))))))</f>
        <v>0</v>
      </c>
      <c r="EY233" s="1321"/>
      <c r="EZ233" s="1345"/>
      <c r="FA233" s="1345"/>
      <c r="FB233" s="1345"/>
      <c r="FC233" s="1321"/>
      <c r="FD233" s="1083">
        <f t="shared" si="72"/>
        <v>0</v>
      </c>
      <c r="FE233" s="1283"/>
      <c r="FF233" s="1283"/>
      <c r="FG233" s="1283"/>
      <c r="FH233" s="1321"/>
      <c r="FI233" s="1321"/>
      <c r="FJ233" s="1345"/>
      <c r="FK233" s="1345"/>
      <c r="FL233" s="1345"/>
      <c r="FM233" s="1321"/>
      <c r="FN233" s="1082">
        <f t="shared" si="71"/>
        <v>0</v>
      </c>
      <c r="FO233" s="1282"/>
      <c r="FP233" s="1282"/>
      <c r="FQ233" s="1282"/>
      <c r="FR233" s="1345"/>
      <c r="FS233" s="1345"/>
      <c r="FT233" s="1345"/>
      <c r="FU233" s="1345"/>
      <c r="FV233" s="1345"/>
      <c r="FW233" s="1321"/>
      <c r="FX233" s="1321"/>
      <c r="FY233" s="1321"/>
      <c r="FZ233" s="1321"/>
      <c r="GA233" s="1345"/>
      <c r="GB233" s="1321"/>
      <c r="GC233" s="1321"/>
      <c r="GD233" s="1321"/>
      <c r="GE233" s="1321"/>
      <c r="GF233" s="1321"/>
      <c r="GG233" s="1321" t="s">
        <v>1349</v>
      </c>
      <c r="GH233" s="1321" t="s">
        <v>1349</v>
      </c>
      <c r="GI233" s="1321" t="s">
        <v>1349</v>
      </c>
      <c r="GJ233" s="1321" t="s">
        <v>1349</v>
      </c>
      <c r="GK233" s="1321" t="s">
        <v>1349</v>
      </c>
      <c r="GL233" s="1321" t="s">
        <v>1349</v>
      </c>
      <c r="GM233" s="1321" t="s">
        <v>1349</v>
      </c>
      <c r="GN233" s="1321" t="s">
        <v>1349</v>
      </c>
      <c r="GO233" s="1321" t="s">
        <v>1349</v>
      </c>
      <c r="GP233" s="1321" t="s">
        <v>1349</v>
      </c>
      <c r="GQ233" s="1321" t="s">
        <v>1349</v>
      </c>
      <c r="GR233" s="1321" t="s">
        <v>1349</v>
      </c>
      <c r="GS233" s="1321" t="s">
        <v>1349</v>
      </c>
      <c r="GT233" s="1321" t="s">
        <v>1349</v>
      </c>
      <c r="GU233" s="1321" t="s">
        <v>1349</v>
      </c>
      <c r="GV233" s="1321" t="s">
        <v>1349</v>
      </c>
      <c r="GW233" s="1321"/>
      <c r="GX233" s="1321"/>
      <c r="GY233" s="1321"/>
      <c r="GZ233" s="1321"/>
      <c r="HA233" s="1321"/>
      <c r="HB233" s="1321"/>
      <c r="HC233" s="1321"/>
      <c r="HD233" s="1321"/>
      <c r="HE233" s="1321"/>
      <c r="HF233" s="1321"/>
      <c r="HG233" s="1321"/>
      <c r="HH233" s="1321"/>
      <c r="HI233" s="1321"/>
      <c r="HJ233" s="1321"/>
      <c r="HK233" s="1321"/>
      <c r="HL233" s="1321"/>
      <c r="HM233" s="1321"/>
      <c r="HN233" s="1321"/>
      <c r="HO233" s="1321"/>
      <c r="HP233" s="1321"/>
      <c r="HQ233" s="1321"/>
      <c r="HR233" s="1321"/>
      <c r="HS233" s="1321"/>
      <c r="HT233" s="1321"/>
      <c r="HU233" s="1321"/>
      <c r="HV233" s="1321"/>
      <c r="HW233" s="1321"/>
      <c r="HX233" s="1321"/>
      <c r="HY233" s="1321"/>
      <c r="HZ233" s="1321"/>
      <c r="IA233" s="1321"/>
      <c r="IB233" s="1321"/>
      <c r="IC233" s="1321"/>
      <c r="ID233" s="1321"/>
      <c r="IE233" s="1321"/>
      <c r="IF233" s="1321"/>
      <c r="IG233" s="1321"/>
      <c r="IH233" s="1321"/>
      <c r="II233" s="1321"/>
      <c r="IJ233" s="1321"/>
      <c r="IK233" s="1321"/>
      <c r="IL233" s="1321"/>
      <c r="IM233" s="1321"/>
      <c r="IN233" s="1368"/>
    </row>
    <row r="234" spans="1:248" ht="12.75" customHeight="1" x14ac:dyDescent="0.2">
      <c r="A234" s="1319"/>
      <c r="B234" s="1321"/>
      <c r="C234" s="1321"/>
      <c r="D234" s="1321"/>
      <c r="E234" s="1321"/>
      <c r="F234" s="1321"/>
      <c r="G234" s="1321"/>
      <c r="H234" s="1321"/>
      <c r="I234" s="1321"/>
      <c r="J234" s="1321"/>
      <c r="K234" s="1321"/>
      <c r="L234" s="1321"/>
      <c r="M234" s="1321"/>
      <c r="N234" s="1321"/>
      <c r="O234" s="1321"/>
      <c r="P234" s="1321"/>
      <c r="Q234" s="1321"/>
      <c r="R234" s="1321"/>
      <c r="S234" s="1321"/>
      <c r="T234" s="1321"/>
      <c r="U234" s="1321"/>
      <c r="V234" s="1321"/>
      <c r="W234" s="1321"/>
      <c r="X234" s="1321"/>
      <c r="Y234" s="1321"/>
      <c r="Z234" s="1321"/>
      <c r="AA234" s="1321"/>
      <c r="AB234" s="1321"/>
      <c r="AC234" s="1321"/>
      <c r="AD234" s="1321"/>
      <c r="AE234" s="1321"/>
      <c r="AF234" s="1321"/>
      <c r="AG234" s="1321"/>
      <c r="AH234" s="1321"/>
      <c r="AI234" s="1321"/>
      <c r="AJ234" s="1321"/>
      <c r="AK234" s="1321"/>
      <c r="AL234" s="1321"/>
      <c r="AM234" s="1321"/>
      <c r="AN234" s="1321"/>
      <c r="AO234" s="1321"/>
      <c r="AP234" s="1321"/>
      <c r="AQ234" s="1321"/>
      <c r="AR234" s="1321"/>
      <c r="AS234" s="1321"/>
      <c r="AT234" s="1321"/>
      <c r="AU234" s="1321"/>
      <c r="AV234" s="1321"/>
      <c r="AW234" s="1321"/>
      <c r="AX234" s="1321"/>
      <c r="AY234" s="1321"/>
      <c r="AZ234" s="1321"/>
      <c r="BA234" s="1321"/>
      <c r="BB234" s="1336" t="s">
        <v>1710</v>
      </c>
      <c r="BC234" s="1336"/>
      <c r="BD234" s="1336"/>
      <c r="BE234" s="1336"/>
      <c r="BF234" s="1336"/>
      <c r="BG234" s="1336"/>
      <c r="BH234" s="1336"/>
      <c r="BI234" s="1336"/>
      <c r="BJ234" s="1336"/>
      <c r="BK234" s="1321"/>
      <c r="BL234" s="1345"/>
      <c r="BM234" s="1346"/>
      <c r="BN234" s="1321"/>
      <c r="BO234" s="1321"/>
      <c r="BP234" s="1321"/>
      <c r="BQ234" s="1321"/>
      <c r="BR234" s="1321"/>
      <c r="BS234" s="1321"/>
      <c r="BT234" s="1321"/>
      <c r="BU234" s="1321"/>
      <c r="BV234" s="1345"/>
      <c r="BW234" s="1345"/>
      <c r="BX234" s="1076"/>
      <c r="BY234" s="1267"/>
      <c r="BZ234" s="1267"/>
      <c r="CA234" s="1267"/>
      <c r="CB234" s="1321"/>
      <c r="CC234" s="1321"/>
      <c r="CD234" s="1345"/>
      <c r="CE234" s="1345"/>
      <c r="CF234" s="1345"/>
      <c r="CG234" s="1345"/>
      <c r="CH234" s="1345"/>
      <c r="CI234" s="1321"/>
      <c r="CJ234" s="1321"/>
      <c r="CK234" s="1321"/>
      <c r="CL234" s="1321"/>
      <c r="CM234" s="1321"/>
      <c r="CN234" s="1321"/>
      <c r="CO234" s="1321"/>
      <c r="CP234" s="1321"/>
      <c r="CQ234" s="1321"/>
      <c r="CR234" s="1321"/>
      <c r="CS234" s="1321"/>
      <c r="CT234" s="1321"/>
      <c r="CU234" s="1321"/>
      <c r="CV234" s="1321"/>
      <c r="CW234" s="1321"/>
      <c r="CX234" s="1321"/>
      <c r="CY234" s="1321"/>
      <c r="CZ234" s="1321"/>
      <c r="DA234" s="1321"/>
      <c r="DB234" s="1321"/>
      <c r="DC234" s="1321"/>
      <c r="DD234" s="1321"/>
      <c r="DE234" s="1321"/>
      <c r="DF234" s="1321"/>
      <c r="DG234" s="1321"/>
      <c r="DH234" s="1321"/>
      <c r="DI234" s="1321"/>
      <c r="DJ234" s="1321"/>
      <c r="DK234" s="1321"/>
      <c r="DL234" s="1321"/>
      <c r="DM234" s="1321"/>
      <c r="DN234" s="792" t="s">
        <v>723</v>
      </c>
      <c r="DO234" s="793">
        <f t="array" ref="DO234">IF(ChoixRationComplèteOvins=NON,0,IFERROR(IF(OR(AND(INDEX(Règles_ovins[Specificite],MATCH(ChoixRationOvins&amp;Ration_complète_ovins[aliment],Règles_ovins[Ration]&amp;Règles_ovins[Aliment],0))="s1",IF(Ration_complète_ovins[aliment]=Spécificité1Ovins,1)),
AND(INDEX(Règles_ovins[Specificite],MATCH(ChoixRationOvins&amp;Ration_complète_ovins[aliment],Règles_ovins[Ration]&amp;Règles_ovins[Aliment],0))="s2",IF(Ration_complète_ovins[aliment]=Spécificité1Ovins,1)),
INDEX(Règles_ovins[Specificite],MATCH(ChoixRationOvins&amp;Ration_complète_ovins[aliment],Règles_ovins[Ration]&amp;Règles_ovins[Aliment],0))="c",INDEX(Règles_ovins[Specificite],MATCH(ChoixRationOvins&amp;Ration_complète_ovins[aliment],Règles_ovins[Ration]&amp;Règles_ovins[Aliment],0))="complet"),
INDEX(Règles_ovins[Valeur 12 et plus],MATCH(ChoixRationOvins&amp;Ration_complète_ovins[aliment],Règles_ovins[Ration]&amp;Règles_ovins[Aliment],0)),0),0)*SUM(TotalOvinsAdultes)*SUM(AD76:AD100))</f>
        <v>0</v>
      </c>
      <c r="DP234" s="793">
        <f t="array" ref="DP234">IF(ChoixRationComplèteOvins=NON,0,IFERROR(IF(OR(AND(INDEX(Règles_ovins[Specificite],MATCH(ChoixRationOvins&amp;Ration_complète_ovins[aliment],Règles_ovins[Ration]&amp;Règles_ovins[Aliment],0))="s1",IF(Ration_complète_ovins[aliment]=Spécificité1Ovins,1)),
AND(INDEX(Règles_ovins[Specificite],MATCH(ChoixRationOvins&amp;Ration_complète_ovins[aliment],Règles_ovins[Ration]&amp;Règles_ovins[Aliment],0))="s2",IF(Ration_complète_ovins[aliment]=Spécificité1Ovins,1)),
INDEX(Règles_ovins[Specificite],MATCH(ChoixRationOvins&amp;Ration_complète_ovins[aliment],Règles_ovins[Ration]&amp;Règles_ovins[Aliment],0))="c",INDEX(Règles_ovins[Specificite],MATCH(ChoixRationOvins&amp;Ration_complète_ovins[aliment],Règles_ovins[Ration]&amp;Règles_ovins[Aliment],0))="complet"),
INDEX(Règles_ovins[Valeur 6-12],MATCH(ChoixRationOvins&amp;Ration_complète_ovins[aliment],Règles_ovins[Ration]&amp;Règles_ovins[Aliment],0)),0),0)*SUM(TotalJeunesOvins)*SUM(AD76:AD100))</f>
        <v>0</v>
      </c>
      <c r="DQ234" s="793">
        <f t="array" ref="DQ234">IF(ChoixRationComplèteOvins=NON,0,IFERROR(IF(OR(AND(INDEX(Règles_ovins[Specificite],MATCH(ChoixRationOvins&amp;Ration_complète_ovins[aliment],Règles_ovins[Ration]&amp;Règles_ovins[Aliment],0))="s1",IF(Ration_complète_ovins[aliment]=Spécificité1Ovins,1)),
AND(INDEX(Règles_ovins[Specificite],MATCH(ChoixRationOvins&amp;Ration_complète_ovins[aliment],Règles_ovins[Ration]&amp;Règles_ovins[Aliment],0))="s2",IF(Ration_complète_ovins[aliment]=Spécificité1Ovins,1)),
INDEX(Règles_ovins[Specificite],MATCH(ChoixRationOvins&amp;Ration_complète_ovins[aliment],Règles_ovins[Ration]&amp;Règles_ovins[Aliment],0))="c",INDEX(Règles_ovins[Specificite],MATCH(ChoixRationOvins&amp;Ration_complète_ovins[aliment],Règles_ovins[Ration]&amp;Règles_ovins[Aliment],0))="complet"),
INDEX(Règles_ovins[Valeur 3-6],MATCH(ChoixRationOvins&amp;Ration_complète_ovins[aliment],Règles_ovins[Ration]&amp;Règles_ovins[Aliment],0)),0),0)*SUM(TotalOvins_3_6mois)*SUM(AD76:AD100))</f>
        <v>0</v>
      </c>
      <c r="DR234" s="793">
        <f t="array" ref="DR234">IF(ChoixRationComplèteOvins=NON,0,IFERROR(IF(OR(AND(INDEX(Règles_ovins[Specificite],MATCH(ChoixRationOvins&amp;Ration_complète_ovins[aliment],Règles_ovins[Ration]&amp;Règles_ovins[Aliment],0))="s1",IF(Ration_complète_ovins[aliment]=Spécificité1Ovins,1)),
AND(INDEX(Règles_ovins[Specificite],MATCH(ChoixRationOvins&amp;Ration_complète_ovins[aliment],Règles_ovins[Ration]&amp;Règles_ovins[Aliment],0))="s2",IF(Ration_complète_ovins[aliment]=Spécificité1Ovins,1)),
INDEX(Règles_ovins[Specificite],MATCH(ChoixRationOvins&amp;Ration_complète_ovins[aliment],Règles_ovins[Ration]&amp;Règles_ovins[Aliment],0))="c",INDEX(Règles_ovins[Specificite],MATCH(ChoixRationOvins&amp;Ration_complète_ovins[aliment],Règles_ovins[Ration]&amp;Règles_ovins[Aliment],0))="complet"),
INDEX(Règles_ovins[Valeur 0-3],MATCH(ChoixRationOvins&amp;Ration_complète_ovins[aliment],Règles_ovins[Ration]&amp;Règles_ovins[Aliment],0)),0),0)*SUM(TotalOvins_3_6mois)*SUM(AD76:AD100))</f>
        <v>0</v>
      </c>
      <c r="DS234" s="820">
        <f>SUM(Ration_complète_ovins[[Valeur 12 et plus]:[Valeur 0-3]])</f>
        <v>0</v>
      </c>
      <c r="DT234" s="1346"/>
      <c r="DU234" s="1346"/>
      <c r="DV234" s="1321"/>
      <c r="DW234" s="1321"/>
      <c r="DX234" s="1321"/>
      <c r="DY234" s="1321"/>
      <c r="DZ234" s="1321"/>
      <c r="EA234" s="1321"/>
      <c r="EB234" s="1321"/>
      <c r="EC234" s="1321"/>
      <c r="ED234" s="1345"/>
      <c r="EE234" s="1345"/>
      <c r="EF234" s="1321"/>
      <c r="EG234" s="1321"/>
      <c r="EH234" s="1321"/>
      <c r="EI234" s="1321"/>
      <c r="EJ234" s="1321"/>
      <c r="EK234" s="1345"/>
      <c r="EL234" s="1345"/>
      <c r="EM234" s="1321"/>
      <c r="EN234" s="1321"/>
      <c r="EO234" s="1321"/>
      <c r="EP234" s="1321"/>
      <c r="EQ234" s="1321"/>
      <c r="ER234" s="1345"/>
      <c r="ES234" s="1345"/>
      <c r="ET234" s="1321"/>
      <c r="EU234" s="1083" t="str">
        <f t="shared" si="73"/>
        <v>Tourteau de tournesol</v>
      </c>
      <c r="EV234" s="1283">
        <f t="array" ref="EV234">SUM((IF(QualitéAlimentsPoulainSelleMâle=BONNE,VLOOKUP("Tourteau de tournesol",AlimentsRationEcurieChevauxMâlesSelle,5,FALSE),0)+(IF(QualitéAlimentsPoulainSelleFemelle=BONNE,VLOOKUP("Tourteau de tournesol",AlimentsRationEcurieChevauxFemellesSelle,5,FALSE),0)+(IF(QualitéAlimentsJeuneEtalon_12_24_moisSelle=BONNE,VLOOKUP("Tourteau de tournesol",AlimentsRationEcurieChevauxMâlesSelle,4,FALSE),0)+(IF(QualitéAlimentsJeuneJument_12_24_moisSelle=BONNE,VLOOKUP("Tourteau de tournesol",AlimentsRationEcurieChevauxFemellesSelle,4,FALSE),0)+(IF(QualitéAlimentsJeuneEtalon_24_36_moisSelle=BONNE,VLOOKUP("Tourteau de tournesol",AlimentsRationEcurieChevauxMâlesSelle,3,FALSE),0)+(IF(QualitéAlimentsJeuneJument_24_36_moisSelle=BONNE,VLOOKUP("Tourteau de tournesol",AlimentsRationEcurieChevauxFemellesSelle,3,FALSE),0)+(IF(QualitéAlimentsEtalonSelle=BONNE,VLOOKUP("Tourteau de tournesol",AlimentsRationEcurieChevauxMâlesSelle,2,FALSE),0)+(IF(QualitéAlimentsJumentSelle=BONNE,VLOOKUP("Tourteau de tournesol",AlimentsRationEcurieChevauxFemellesSelle,2,FALSE),0))))))))))</f>
        <v>0</v>
      </c>
      <c r="EW234" s="1283">
        <f t="array" ref="EW234">SUM((IF(QualitéAlimentsPoulainSelleMâle=MOYENNE,VLOOKUP("Tourteau de tournesol",AlimentsRationEcurieChevauxMâlesSelle,5,FALSE),0)+(IF(QualitéAlimentsPoulainSelleFemelle=MOYENNE,VLOOKUP("Tourteau de tournesol",AlimentsRationEcurieChevauxFemellesSelle,5,FALSE),0)+(IF(QualitéAlimentsJeuneEtalon_12_24_moisSelle=MOYENNE,VLOOKUP("Tourteau de tournesol",AlimentsRationEcurieChevauxMâlesSelle,4,FALSE),0)+(IF(QualitéAlimentsJeuneJument_12_24_moisSelle=MOYENNE,VLOOKUP("Tourteau de tournesol",AlimentsRationEcurieChevauxFemellesSelle,4,FALSE),0)+(IF(QualitéAlimentsJeuneEtalon_24_36_moisSelle=MOYENNE,VLOOKUP("Tourteau de tournesol",AlimentsRationEcurieChevauxMâlesSelle,3,FALSE),0)+(IF(QualitéAlimentsJeuneJument_24_36_moisSelle=MOYENNE,VLOOKUP("Tourteau de tournesol",AlimentsRationEcurieChevauxFemellesSelle,3,FALSE),0)+(IF(QualitéAlimentsEtalonSelle=MOYENNE,VLOOKUP("Tourteau de tournesol",AlimentsRationEcurieChevauxMâlesSelle,2,FALSE),0)+(IF(QualitéAlimentsJumentSelle=MOYENNE,VLOOKUP("Tourteau de tournesol",AlimentsRationEcurieChevauxFemellesSelle,2,FALSE),0))))))))))</f>
        <v>0</v>
      </c>
      <c r="EX234" s="1283">
        <f t="array" ref="EX234">SUM((IF(QualitéAlimentsPoulainSelleMâle=MAUVAISE,VLOOKUP("Tourteau de tournesol",AlimentsRationEcurieChevauxMâlesSelle,5,FALSE),0)+(IF(QualitéAlimentsPoulainSelleFemelle=MAUVAISE,VLOOKUP("Tourteau de tournesol",AlimentsRationEcurieChevauxFemellesSelle,5,FALSE),0)+(IF(QualitéAlimentsJeuneEtalon_12_24_moisSelle=MAUVAISE,VLOOKUP("Tourteau de tournesol",AlimentsRationEcurieChevauxMâlesSelle,4,FALSE),0)+(IF(QualitéAlimentsJeuneJument_12_24_moisSelle=MAUVAISE,VLOOKUP("Tourteau de tournesol",AlimentsRationEcurieChevauxFemellesSelle,4,FALSE),0)+(IF(QualitéAlimentsJeuneEtalon_24_36_moisSelle=MAUVAISE,VLOOKUP("Tourteau de tournesol",AlimentsRationEcurieChevauxMâlesSelle,3,FALSE),0)+(IF(QualitéAlimentsJeuneJument_24_36_moisSelle=MAUVAISE,VLOOKUP("Tourteau de tournesol",AlimentsRationEcurieChevauxFemellesSelle,3,FALSE),0)+(IF(QualitéAlimentsEtalonSelle=MAUVAISE,VLOOKUP("Tourteau de tournesol",AlimentsRationEcurieChevauxMâlesSelle,2,FALSE),0)+(IF(QualitéAlimentsJumentSelle=MAUVAISE,VLOOKUP("Tourteau de tournesol",AlimentsRationEcurieChevauxFemellesSelle,2,FALSE),0))))))))))</f>
        <v>0</v>
      </c>
      <c r="EY234" s="1321"/>
      <c r="EZ234" s="1345"/>
      <c r="FA234" s="1345"/>
      <c r="FB234" s="1345"/>
      <c r="FC234" s="1321"/>
      <c r="FD234" s="1082">
        <f t="shared" si="72"/>
        <v>0</v>
      </c>
      <c r="FE234" s="1282"/>
      <c r="FF234" s="1282"/>
      <c r="FG234" s="1282"/>
      <c r="FH234" s="1321"/>
      <c r="FI234" s="1321"/>
      <c r="FJ234" s="1345"/>
      <c r="FK234" s="1345"/>
      <c r="FL234" s="1345"/>
      <c r="FM234" s="1321"/>
      <c r="FN234" s="1083">
        <f t="shared" si="71"/>
        <v>0</v>
      </c>
      <c r="FO234" s="1283"/>
      <c r="FP234" s="1283"/>
      <c r="FQ234" s="1283"/>
      <c r="FR234" s="1345"/>
      <c r="FS234" s="1345"/>
      <c r="FT234" s="1345"/>
      <c r="FU234" s="1345"/>
      <c r="FV234" s="1345"/>
      <c r="FW234" s="1321"/>
      <c r="FX234" s="1321"/>
      <c r="FY234" s="1321"/>
      <c r="FZ234" s="1321"/>
      <c r="GA234" s="1345"/>
      <c r="GB234" s="1321"/>
      <c r="GC234" s="1321"/>
      <c r="GD234" s="1321"/>
      <c r="GE234" s="1321"/>
      <c r="GF234" s="1321"/>
      <c r="GG234" s="1321" t="s">
        <v>1349</v>
      </c>
      <c r="GH234" s="1321" t="s">
        <v>1349</v>
      </c>
      <c r="GI234" s="1321" t="s">
        <v>1349</v>
      </c>
      <c r="GJ234" s="1321" t="s">
        <v>1349</v>
      </c>
      <c r="GK234" s="1321" t="s">
        <v>1349</v>
      </c>
      <c r="GL234" s="1321" t="s">
        <v>1349</v>
      </c>
      <c r="GM234" s="1321" t="s">
        <v>1349</v>
      </c>
      <c r="GN234" s="1321" t="s">
        <v>1349</v>
      </c>
      <c r="GO234" s="1321" t="s">
        <v>1349</v>
      </c>
      <c r="GP234" s="1321" t="s">
        <v>1349</v>
      </c>
      <c r="GQ234" s="1321" t="s">
        <v>1349</v>
      </c>
      <c r="GR234" s="1321" t="s">
        <v>1349</v>
      </c>
      <c r="GS234" s="1321" t="s">
        <v>1349</v>
      </c>
      <c r="GT234" s="1321" t="s">
        <v>1349</v>
      </c>
      <c r="GU234" s="1321" t="s">
        <v>1349</v>
      </c>
      <c r="GV234" s="1321" t="s">
        <v>1349</v>
      </c>
      <c r="GW234" s="1321"/>
      <c r="GX234" s="1321"/>
      <c r="GY234" s="1321"/>
      <c r="GZ234" s="1321"/>
      <c r="HA234" s="1321"/>
      <c r="HB234" s="1321"/>
      <c r="HC234" s="1321"/>
      <c r="HD234" s="1321"/>
      <c r="HE234" s="1321"/>
      <c r="HF234" s="1321"/>
      <c r="HG234" s="1321"/>
      <c r="HH234" s="1321"/>
      <c r="HI234" s="1321"/>
      <c r="HJ234" s="1321"/>
      <c r="HK234" s="1321"/>
      <c r="HL234" s="1321"/>
      <c r="HM234" s="1321"/>
      <c r="HN234" s="1321"/>
      <c r="HO234" s="1321"/>
      <c r="HP234" s="1321"/>
      <c r="HQ234" s="1321"/>
      <c r="HR234" s="1321"/>
      <c r="HS234" s="1321"/>
      <c r="HT234" s="1321"/>
      <c r="HU234" s="1321"/>
      <c r="HV234" s="1321"/>
      <c r="HW234" s="1321"/>
      <c r="HX234" s="1321"/>
      <c r="HY234" s="1321"/>
      <c r="HZ234" s="1321"/>
      <c r="IA234" s="1321"/>
      <c r="IB234" s="1321"/>
      <c r="IC234" s="1321"/>
      <c r="ID234" s="1321"/>
      <c r="IE234" s="1321"/>
      <c r="IF234" s="1321"/>
      <c r="IG234" s="1321"/>
      <c r="IH234" s="1321"/>
      <c r="II234" s="1321"/>
      <c r="IJ234" s="1321"/>
      <c r="IK234" s="1321"/>
      <c r="IL234" s="1321"/>
      <c r="IM234" s="1321"/>
      <c r="IN234" s="1368"/>
    </row>
    <row r="235" spans="1:248" ht="12.75" customHeight="1" x14ac:dyDescent="0.2">
      <c r="A235" s="1319"/>
      <c r="B235" s="1321"/>
      <c r="C235" s="1321"/>
      <c r="D235" s="1321"/>
      <c r="E235" s="1321"/>
      <c r="F235" s="1321"/>
      <c r="G235" s="1321"/>
      <c r="H235" s="1321"/>
      <c r="I235" s="1321"/>
      <c r="J235" s="1321"/>
      <c r="K235" s="1321"/>
      <c r="L235" s="1321"/>
      <c r="M235" s="1321"/>
      <c r="N235" s="1321"/>
      <c r="O235" s="1321"/>
      <c r="P235" s="1321"/>
      <c r="Q235" s="1321"/>
      <c r="R235" s="1321"/>
      <c r="S235" s="1321"/>
      <c r="T235" s="1321"/>
      <c r="U235" s="1321"/>
      <c r="V235" s="1321"/>
      <c r="W235" s="1321"/>
      <c r="X235" s="1321"/>
      <c r="Y235" s="1321"/>
      <c r="Z235" s="1321"/>
      <c r="AA235" s="1321"/>
      <c r="AB235" s="1321"/>
      <c r="AC235" s="1321"/>
      <c r="AD235" s="1321"/>
      <c r="AE235" s="1321"/>
      <c r="AF235" s="1321"/>
      <c r="AG235" s="1321"/>
      <c r="AH235" s="1321"/>
      <c r="AI235" s="1321"/>
      <c r="AJ235" s="1321"/>
      <c r="AK235" s="1321"/>
      <c r="AL235" s="1321"/>
      <c r="AM235" s="1321"/>
      <c r="AN235" s="1321"/>
      <c r="AO235" s="1321"/>
      <c r="AP235" s="1321"/>
      <c r="AQ235" s="1321"/>
      <c r="AR235" s="1321"/>
      <c r="AS235" s="1321"/>
      <c r="AT235" s="1321"/>
      <c r="AU235" s="1321"/>
      <c r="AV235" s="1321"/>
      <c r="AW235" s="1321"/>
      <c r="AX235" s="1321"/>
      <c r="AY235" s="1321"/>
      <c r="AZ235" s="1321"/>
      <c r="BA235" s="1321"/>
      <c r="BB235" s="1079" t="s">
        <v>1276</v>
      </c>
      <c r="BC235" s="1079" t="s">
        <v>1268</v>
      </c>
      <c r="BD235" s="1079" t="s">
        <v>1267</v>
      </c>
      <c r="BE235" s="1079" t="s">
        <v>1266</v>
      </c>
      <c r="BF235" s="1079" t="s">
        <v>1265</v>
      </c>
      <c r="BG235" s="1079" t="s">
        <v>1264</v>
      </c>
      <c r="BH235" s="1079" t="s">
        <v>1263</v>
      </c>
      <c r="BI235" s="1079" t="s">
        <v>1262</v>
      </c>
      <c r="BJ235" s="1079" t="s">
        <v>1269</v>
      </c>
      <c r="BK235" s="1321"/>
      <c r="BL235" s="1345"/>
      <c r="BM235" s="1346"/>
      <c r="BN235" s="1321"/>
      <c r="BO235" s="1321"/>
      <c r="BP235" s="1321"/>
      <c r="BQ235" s="1321"/>
      <c r="BR235" s="1321"/>
      <c r="BS235" s="1321"/>
      <c r="BT235" s="1321"/>
      <c r="BU235" s="1321"/>
      <c r="BV235" s="1345"/>
      <c r="BW235" s="1345"/>
      <c r="BX235" s="1321"/>
      <c r="BY235" s="1321"/>
      <c r="BZ235" s="1321"/>
      <c r="CA235" s="1321"/>
      <c r="CB235" s="1321"/>
      <c r="CC235" s="1321"/>
      <c r="CD235" s="1345"/>
      <c r="CE235" s="1345"/>
      <c r="CF235" s="1345"/>
      <c r="CG235" s="1345"/>
      <c r="CH235" s="1345"/>
      <c r="CI235" s="1321"/>
      <c r="CJ235" s="1321"/>
      <c r="CK235" s="1321"/>
      <c r="CL235" s="1321"/>
      <c r="CM235" s="1321"/>
      <c r="CN235" s="1321"/>
      <c r="CO235" s="1321"/>
      <c r="CP235" s="1321"/>
      <c r="CQ235" s="1321"/>
      <c r="CR235" s="1321"/>
      <c r="CS235" s="1321"/>
      <c r="CT235" s="1321"/>
      <c r="CU235" s="1321"/>
      <c r="CV235" s="1321"/>
      <c r="CW235" s="1321"/>
      <c r="CX235" s="1321"/>
      <c r="CY235" s="1321"/>
      <c r="CZ235" s="1321"/>
      <c r="DA235" s="1321"/>
      <c r="DB235" s="1321"/>
      <c r="DC235" s="1321"/>
      <c r="DD235" s="1321"/>
      <c r="DE235" s="1321"/>
      <c r="DF235" s="1321"/>
      <c r="DG235" s="1321"/>
      <c r="DH235" s="1321"/>
      <c r="DI235" s="1321"/>
      <c r="DJ235" s="1321"/>
      <c r="DK235" s="1321"/>
      <c r="DL235" s="1321"/>
      <c r="DM235" s="1321"/>
      <c r="DN235" s="1336"/>
      <c r="DO235" s="1336"/>
      <c r="DP235" s="1336"/>
      <c r="DQ235" s="1336"/>
      <c r="DR235" s="1336"/>
      <c r="DS235" s="1359"/>
      <c r="DT235" s="1346"/>
      <c r="DU235" s="1346"/>
      <c r="DV235" s="1321"/>
      <c r="DW235" s="1321"/>
      <c r="DX235" s="1321"/>
      <c r="DY235" s="1321"/>
      <c r="DZ235" s="1321"/>
      <c r="EA235" s="1321"/>
      <c r="EB235" s="1321"/>
      <c r="EC235" s="1321"/>
      <c r="ED235" s="1345"/>
      <c r="EE235" s="1345"/>
      <c r="EF235" s="1321"/>
      <c r="EG235" s="1321"/>
      <c r="EH235" s="1321"/>
      <c r="EI235" s="1321"/>
      <c r="EJ235" s="1321"/>
      <c r="EK235" s="1345"/>
      <c r="EL235" s="1345"/>
      <c r="EM235" s="1321"/>
      <c r="EN235" s="1321"/>
      <c r="EO235" s="1321"/>
      <c r="EP235" s="1321"/>
      <c r="EQ235" s="1321"/>
      <c r="ER235" s="1345"/>
      <c r="ES235" s="1345"/>
      <c r="ET235" s="1321"/>
      <c r="EU235" s="1082" t="str">
        <f t="shared" si="73"/>
        <v>Triticale</v>
      </c>
      <c r="EV235" s="1282">
        <f t="array" ref="EV235">SUM((IF(QualitéAlimentsPoulainSelleMâle=BONNE,VLOOKUP("Triticale",AlimentsRationEcurieChevauxMâlesSelle,5,FALSE),0)+(IF(QualitéAlimentsPoulainSelleFemelle=BONNE,VLOOKUP("Triticale",AlimentsRationEcurieChevauxFemellesSelle,5,FALSE),0)+(IF(QualitéAlimentsJeuneEtalon_12_24_moisSelle=BONNE,VLOOKUP("Triticale",AlimentsRationEcurieChevauxMâlesSelle,4,FALSE),0)+(IF(QualitéAlimentsJeuneJument_12_24_moisSelle=BONNE,VLOOKUP("Triticale",AlimentsRationEcurieChevauxFemellesSelle,4,FALSE),0)+(IF(QualitéAlimentsJeuneEtalon_24_36_moisSelle=BONNE,VLOOKUP("Triticale",AlimentsRationEcurieChevauxMâlesSelle,3,FALSE),0)+(IF(QualitéAlimentsJeuneJument_24_36_moisSelle=BONNE,VLOOKUP("Triticale",AlimentsRationEcurieChevauxFemellesSelle,3,FALSE),0)+(IF(QualitéAlimentsEtalonSelle=BONNE,VLOOKUP("Triticale",AlimentsRationEcurieChevauxMâlesSelle,2,FALSE),0)+(IF(QualitéAlimentsJumentSelle=BONNE,VLOOKUP("Triticale",AlimentsRationEcurieChevauxFemellesSelle,2,FALSE),0))))))))))</f>
        <v>0</v>
      </c>
      <c r="EW235" s="1282">
        <f t="array" ref="EW235">SUM((IF(QualitéAlimentsPoulainSelleMâle=MOYENNE,VLOOKUP("Triticale",AlimentsRationEcurieChevauxMâlesSelle,5,FALSE),0)+(IF(QualitéAlimentsPoulainSelleFemelle=MOYENNE,VLOOKUP("Triticale",AlimentsRationEcurieChevauxFemellesSelle,5,FALSE),0)+(IF(QualitéAlimentsJeuneEtalon_12_24_moisSelle=MOYENNE,VLOOKUP("Triticale",AlimentsRationEcurieChevauxMâlesSelle,4,FALSE),0)+(IF(QualitéAlimentsJeuneJument_12_24_moisSelle=MOYENNE,VLOOKUP("Triticale",AlimentsRationEcurieChevauxFemellesSelle,4,FALSE),0)+(IF(QualitéAlimentsJeuneEtalon_24_36_moisSelle=MOYENNE,VLOOKUP("Triticale",AlimentsRationEcurieChevauxMâlesSelle,3,FALSE),0)+(IF(QualitéAlimentsJeuneJument_24_36_moisSelle=MOYENNE,VLOOKUP("Triticale",AlimentsRationEcurieChevauxFemellesSelle,3,FALSE),0)+(IF(QualitéAlimentsEtalonSelle=MOYENNE,VLOOKUP("Triticale",AlimentsRationEcurieChevauxMâlesSelle,2,FALSE),0)+(IF(QualitéAlimentsJumentSelle=MOYENNE,VLOOKUP("Triticale",AlimentsRationEcurieChevauxFemellesSelle,2,FALSE),0))))))))))</f>
        <v>0</v>
      </c>
      <c r="EX235" s="1282">
        <f t="array" ref="EX235">SUM((IF(QualitéAlimentsPoulainSelleMâle=MAUVAISE,VLOOKUP("Triticale",AlimentsRationEcurieChevauxMâlesSelle,5,FALSE),0)+(IF(QualitéAlimentsPoulainSelleFemelle=MAUVAISE,VLOOKUP("Triticale",AlimentsRationEcurieChevauxFemellesSelle,5,FALSE),0)+(IF(QualitéAlimentsJeuneEtalon_12_24_moisSelle=MAUVAISE,VLOOKUP("Triticale",AlimentsRationEcurieChevauxMâlesSelle,4,FALSE),0)+(IF(QualitéAlimentsJeuneJument_12_24_moisSelle=MAUVAISE,VLOOKUP("Triticale",AlimentsRationEcurieChevauxFemellesSelle,4,FALSE),0)+(IF(QualitéAlimentsJeuneEtalon_24_36_moisSelle=MAUVAISE,VLOOKUP("Triticale",AlimentsRationEcurieChevauxMâlesSelle,3,FALSE),0)+(IF(QualitéAlimentsJeuneJument_24_36_moisSelle=MAUVAISE,VLOOKUP("Triticale",AlimentsRationEcurieChevauxFemellesSelle,3,FALSE),0)+(IF(QualitéAlimentsEtalonSelle=MAUVAISE,VLOOKUP("Triticale",AlimentsRationEcurieChevauxMâlesSelle,2,FALSE),0)+(IF(QualitéAlimentsJumentSelle=MAUVAISE,VLOOKUP("Triticale",AlimentsRationEcurieChevauxFemellesSelle,2,FALSE),0))))))))))</f>
        <v>0</v>
      </c>
      <c r="EY235" s="1321"/>
      <c r="EZ235" s="1345"/>
      <c r="FA235" s="1345"/>
      <c r="FB235" s="1345"/>
      <c r="FC235" s="1321"/>
      <c r="FD235" s="1083">
        <f t="shared" si="72"/>
        <v>0</v>
      </c>
      <c r="FE235" s="1283"/>
      <c r="FF235" s="1283"/>
      <c r="FG235" s="1283"/>
      <c r="FH235" s="1321"/>
      <c r="FI235" s="1321"/>
      <c r="FJ235" s="1345"/>
      <c r="FK235" s="1345"/>
      <c r="FL235" s="1345"/>
      <c r="FM235" s="1321"/>
      <c r="FN235" s="1082">
        <f t="shared" si="71"/>
        <v>0</v>
      </c>
      <c r="FO235" s="1282"/>
      <c r="FP235" s="1282"/>
      <c r="FQ235" s="1282"/>
      <c r="FR235" s="1345"/>
      <c r="FS235" s="1345"/>
      <c r="FT235" s="1345"/>
      <c r="FU235" s="1345"/>
      <c r="FV235" s="1345"/>
      <c r="FW235" s="1321"/>
      <c r="FX235" s="1321"/>
      <c r="FY235" s="1321"/>
      <c r="FZ235" s="1321"/>
      <c r="GA235" s="1345"/>
      <c r="GB235" s="1321"/>
      <c r="GC235" s="1321"/>
      <c r="GD235" s="1321"/>
      <c r="GE235" s="1321"/>
      <c r="GF235" s="1321"/>
      <c r="GG235" s="1321" t="s">
        <v>1349</v>
      </c>
      <c r="GH235" s="1321" t="s">
        <v>1349</v>
      </c>
      <c r="GI235" s="1321" t="s">
        <v>1349</v>
      </c>
      <c r="GJ235" s="1321" t="s">
        <v>1349</v>
      </c>
      <c r="GK235" s="1321" t="s">
        <v>1349</v>
      </c>
      <c r="GL235" s="1321" t="s">
        <v>1349</v>
      </c>
      <c r="GM235" s="1321" t="s">
        <v>1349</v>
      </c>
      <c r="GN235" s="1321" t="s">
        <v>1349</v>
      </c>
      <c r="GO235" s="1321" t="s">
        <v>1349</v>
      </c>
      <c r="GP235" s="1321" t="s">
        <v>1349</v>
      </c>
      <c r="GQ235" s="1321" t="s">
        <v>1349</v>
      </c>
      <c r="GR235" s="1321" t="s">
        <v>1349</v>
      </c>
      <c r="GS235" s="1321" t="s">
        <v>1349</v>
      </c>
      <c r="GT235" s="1321" t="s">
        <v>1349</v>
      </c>
      <c r="GU235" s="1321" t="s">
        <v>1349</v>
      </c>
      <c r="GV235" s="1321" t="s">
        <v>1349</v>
      </c>
      <c r="GW235" s="1321"/>
      <c r="GX235" s="1321"/>
      <c r="GY235" s="1321"/>
      <c r="GZ235" s="1321"/>
      <c r="HA235" s="1321"/>
      <c r="HB235" s="1321"/>
      <c r="HC235" s="1321"/>
      <c r="HD235" s="1321"/>
      <c r="HE235" s="1321"/>
      <c r="HF235" s="1321"/>
      <c r="HG235" s="1321"/>
      <c r="HH235" s="1321"/>
      <c r="HI235" s="1321"/>
      <c r="HJ235" s="1321"/>
      <c r="HK235" s="1321"/>
      <c r="HL235" s="1321"/>
      <c r="HM235" s="1321"/>
      <c r="HN235" s="1321"/>
      <c r="HO235" s="1321"/>
      <c r="HP235" s="1321"/>
      <c r="HQ235" s="1321"/>
      <c r="HR235" s="1321"/>
      <c r="HS235" s="1321"/>
      <c r="HT235" s="1321"/>
      <c r="HU235" s="1321"/>
      <c r="HV235" s="1321"/>
      <c r="HW235" s="1321"/>
      <c r="HX235" s="1321"/>
      <c r="HY235" s="1321"/>
      <c r="HZ235" s="1321"/>
      <c r="IA235" s="1321"/>
      <c r="IB235" s="1321"/>
      <c r="IC235" s="1321"/>
      <c r="ID235" s="1321"/>
      <c r="IE235" s="1321"/>
      <c r="IF235" s="1321"/>
      <c r="IG235" s="1321"/>
      <c r="IH235" s="1321"/>
      <c r="II235" s="1321"/>
      <c r="IJ235" s="1321"/>
      <c r="IK235" s="1321"/>
      <c r="IL235" s="1321"/>
      <c r="IM235" s="1321"/>
      <c r="IN235" s="1368"/>
    </row>
    <row r="236" spans="1:248" ht="12.75" customHeight="1" x14ac:dyDescent="0.2">
      <c r="A236" s="1319"/>
      <c r="B236" s="1321"/>
      <c r="C236" s="1321"/>
      <c r="D236" s="1321"/>
      <c r="E236" s="1321"/>
      <c r="F236" s="1321"/>
      <c r="G236" s="1321"/>
      <c r="H236" s="1321"/>
      <c r="I236" s="1321"/>
      <c r="J236" s="1321"/>
      <c r="K236" s="1321"/>
      <c r="L236" s="1321"/>
      <c r="M236" s="1321"/>
      <c r="N236" s="1321"/>
      <c r="O236" s="1321"/>
      <c r="P236" s="1321"/>
      <c r="Q236" s="1321"/>
      <c r="R236" s="1321"/>
      <c r="S236" s="1321"/>
      <c r="T236" s="1321"/>
      <c r="U236" s="1321"/>
      <c r="V236" s="1321"/>
      <c r="W236" s="1321"/>
      <c r="X236" s="1321"/>
      <c r="Y236" s="1321"/>
      <c r="Z236" s="1321"/>
      <c r="AA236" s="1321"/>
      <c r="AB236" s="1321"/>
      <c r="AC236" s="1321"/>
      <c r="AD236" s="1321"/>
      <c r="AE236" s="1321"/>
      <c r="AF236" s="1321"/>
      <c r="AG236" s="1321"/>
      <c r="AH236" s="1321"/>
      <c r="AI236" s="1321"/>
      <c r="AJ236" s="1321"/>
      <c r="AK236" s="1321"/>
      <c r="AL236" s="1321"/>
      <c r="AM236" s="1321"/>
      <c r="AN236" s="1321"/>
      <c r="AO236" s="1321"/>
      <c r="AP236" s="1321"/>
      <c r="AQ236" s="1321"/>
      <c r="AR236" s="1321"/>
      <c r="AS236" s="1321"/>
      <c r="AT236" s="1321"/>
      <c r="AU236" s="1321"/>
      <c r="AV236" s="1321"/>
      <c r="AW236" s="1321"/>
      <c r="AX236" s="1321"/>
      <c r="AY236" s="1321"/>
      <c r="AZ236" s="1321"/>
      <c r="BA236" s="1321"/>
      <c r="BB236" s="1076" t="str">
        <f>BB194</f>
        <v>Avoine</v>
      </c>
      <c r="BC236" s="1267">
        <f t="array" ref="BC236">IF(Ration_complète_bovins[somme]&gt;0,0,IFERROR(IF(OR(AND(INDEX(Règles_bovins[Specificite],MATCH(ChoixRationBovins&amp;$BB236,Règles_bovins[Ration]&amp;Règles_bovins[Aliment],0))="s1",IF($BB236=Spécificité1Bovins,1)),
AND(INDEX(Règles_bovins[Specificite],MATCH(ChoixRationBovins&amp;$BB236,Règles_bovins[Ration]&amp;Règles_bovins[Aliment],0))="s2",IF($BB236=Spécificité2Bovins,1)),
INDEX(Règles_bovins[Specificite],MATCH(ChoixRationBovins&amp;$BB236,Règles_bovins[Ration]&amp;Règles_bovins[Aliment],0))="c"),
INDEX(Règles_bovins[Valeur 36 et plus],MATCH(ChoixRationBovins&amp;$BB236,Règles_bovins[Ration]&amp;Règles_bovins[Aliment],0)),0),0)*IF(ChoixBovinsPréHiver=OUI,TotalVachesRacesLaitières,TotalVaches*SUM(NbreJoursNourrirBovins)))</f>
        <v>0</v>
      </c>
      <c r="BD236" s="1267">
        <f t="array" ref="BD236">IF(Ration_complète_bovins[somme]&gt;0,0,IFERROR(IF(OR(AND(INDEX(Règles_bovins[Specificite],MATCH(ChoixRationBovins&amp;$BB236,Règles_bovins[Ration]&amp;Règles_bovins[Aliment],0))="s1",IF($BB236=Spécificité1Bovins,1)),
AND(INDEX(Règles_bovins[Specificite],MATCH(ChoixRationBovins&amp;$BB236,Règles_bovins[Ration]&amp;Règles_bovins[Aliment],0))="s2",IF($BB236=Spécificité2Bovins,1)),
INDEX(Règles_bovins[Specificite],MATCH(ChoixRationBovins&amp;$BB236,Règles_bovins[Ration]&amp;Règles_bovins[Aliment],0))="c"),
INDEX(Règles_bovins[Valeur 24-36],MATCH(ChoixRationBovins&amp;$BB236,Règles_bovins[Ration]&amp;Règles_bovins[Aliment],0)),0),0)*IF(ChoixBovinsPréHiver=OUI,TotalGénisse_24_36_RacesLaitières,TotalBovinsFemelles_24_36mois*SUM(NbreJoursNourrirBovins)))</f>
        <v>0</v>
      </c>
      <c r="BE236" s="1267">
        <f t="array" ref="BE236">IF(Ration_complète_bovins[somme]&gt;0,0,IFERROR(IF(OR(AND(INDEX(Règles_bovins[Specificite],MATCH(ChoixRationBovins&amp;$BB236,Règles_bovins[Ration]&amp;Règles_bovins[Aliment],0))="s1",IF($BB236=Spécificité1Bovins,1)),
AND(INDEX(Règles_bovins[Specificite],MATCH(ChoixRationBovins&amp;$BB236,Règles_bovins[Ration]&amp;Règles_bovins[Aliment],0))="s2",IF($BB236=Spécificité2Bovins,1)),
INDEX(Règles_bovins[Specificite],MATCH(ChoixRationBovins&amp;$BB236,Règles_bovins[Ration]&amp;Règles_bovins[Aliment],0))="c"),
INDEX(Règles_bovins[Valeur 18-24],MATCH(ChoixRationBovins&amp;$BB236,Règles_bovins[Ration]&amp;Règles_bovins[Aliment],0)),0),0)*IF(ChoixBovinsPréHiver=OUI,TotalGénisse_18_24_RacesLaitières,TotalBovinsFemelles_18_24mois*SUM(NbreJoursNourrirBovins)))</f>
        <v>0</v>
      </c>
      <c r="BF236" s="1267">
        <f t="array" ref="BF236">IF(Ration_complète_bovins[somme]&gt;0,0,IFERROR(IF(OR(AND(INDEX(Règles_bovins[Specificite],MATCH(ChoixRationBovins&amp;$BB236,Règles_bovins[Ration]&amp;Règles_bovins[Aliment],0))="s1",IF($BB236=Spécificité1Bovins,1)),
AND(INDEX(Règles_bovins[Specificite],MATCH(ChoixRationBovins&amp;$BB236,Règles_bovins[Ration]&amp;Règles_bovins[Aliment],0))="s2",IF($BB236=Spécificité2Bovins,1)),
INDEX(Règles_bovins[Specificite],MATCH(ChoixRationBovins&amp;$BB236,Règles_bovins[Ration]&amp;Règles_bovins[Aliment],0))="c"),
INDEX(Règles_bovins[Valeur 12-18],MATCH(ChoixRationBovins&amp;$BB236,Règles_bovins[Ration]&amp;Règles_bovins[Aliment],0)),0),0)*IF(ChoixBovinsPréHiver=OUI,TotalGénisse_12_18_RacesLaitières,TotalBovinsFemelles_12_18mois*SUM(NbreJoursNourrirBovins)))</f>
        <v>0</v>
      </c>
      <c r="BG236" s="1267">
        <f t="array" ref="BG236">IF(Ration_complète_bovins[somme]&gt;0,0,IFERROR(IF(OR(AND(INDEX(Règles_bovins[Specificite],MATCH(ChoixRationBovins&amp;$BB236,Règles_bovins[Ration]&amp;Règles_bovins[Aliment],0))="s1",IF($BB236=Spécificité1Bovins,1)),
AND(INDEX(Règles_bovins[Specificite],MATCH(ChoixRationBovins&amp;$BB236,Règles_bovins[Ration]&amp;Règles_bovins[Aliment],0))="s2",IF($BB236=Spécificité2Bovins,1)),
INDEX(Règles_bovins[Specificite],MATCH(ChoixRationBovins&amp;$BB236,Règles_bovins[Ration]&amp;Règles_bovins[Aliment],0))="c"),
INDEX(Règles_bovins[Valeur 6-12],MATCH(ChoixRationBovins&amp;$BB236,Règles_bovins[Ration]&amp;Règles_bovins[Aliment],0)),0),0)*IF(ChoixBovinsPréHiver=OUI,TotalVeauFemelle_6_12_RacesLaitières,TotalBovinsFemelles_6_12mois*SUM(NbreJoursNourrirBovins)))</f>
        <v>0</v>
      </c>
      <c r="BH236" s="1267">
        <f t="array" ref="BH236">IF(Ration_complète_bovins[somme]&gt;0,0,IFERROR(IF(OR(AND(INDEX(Règles_bovins[Specificite],MATCH(ChoixRationBovins&amp;$BB236,Règles_bovins[Ration]&amp;Règles_bovins[Aliment],0))="s1",IF($BB236=Spécificité1Bovins,1)),
AND(INDEX(Règles_bovins[Specificite],MATCH(ChoixRationBovins&amp;$BB236,Règles_bovins[Ration]&amp;Règles_bovins[Aliment],0))="s2",IF($BB236=Spécificité2Bovins,1)),
INDEX(Règles_bovins[Specificite],MATCH(ChoixRationBovins&amp;$BB236,Règles_bovins[Ration]&amp;Règles_bovins[Aliment],0))="c"),
INDEX(Règles_bovins[Valeur 3-6],MATCH(ChoixRationBovins&amp;$BB236,Règles_bovins[Ration]&amp;Règles_bovins[Aliment],0)),0),0)*IF(ChoixBovinsPréHiver=OUI,TotalVeauFemelle_3_6_RacesLaitières,TotalBovinsFemelles_3_6mois*SUM(NbreJoursNourrirBovins)))</f>
        <v>0</v>
      </c>
      <c r="BI236" s="1267">
        <f t="array" ref="BI236">IF(Ration_complète_bovins[somme]&gt;0,0,IFERROR(IF(OR(AND(INDEX(Règles_bovins[Specificite],MATCH(ChoixRationBovins&amp;$BB236,Règles_bovins[Ration]&amp;Règles_bovins[Aliment],0))="s1",IF($BB236=Spécificité1Bovins,1)),
AND(INDEX(Règles_bovins[Specificite],MATCH(ChoixRationBovins&amp;$BB236,Règles_bovins[Ration]&amp;Règles_bovins[Aliment],0))="s2",IF($BB236=Spécificité2Bovins,1)),
INDEX(Règles_bovins[Specificite],MATCH(ChoixRationBovins&amp;$BB236,Règles_bovins[Ration]&amp;Règles_bovins[Aliment],0))="c"),
INDEX(Règles_bovins[Valeur 0-3],MATCH(ChoixRationBovins&amp;$BB236,Règles_bovins[Ration]&amp;Règles_bovins[Aliment],0)),0),0)*IF(ChoixBovinsPréHiver=OUI,TotalVeauFemelle_0_3_RacesLaitières,TotalBovinsFemelles_0_3mois*SUM(NbreJoursNourrirBovins)))</f>
        <v>0</v>
      </c>
      <c r="BJ236" s="1268">
        <f t="shared" ref="BJ236:BJ274" si="74">SUM($BC236:$BI236)</f>
        <v>0</v>
      </c>
      <c r="BK236" s="1321"/>
      <c r="BL236" s="1345"/>
      <c r="BM236" s="1346"/>
      <c r="BN236" s="1321"/>
      <c r="BO236" s="1321"/>
      <c r="BP236" s="1321"/>
      <c r="BQ236" s="1321"/>
      <c r="BR236" s="1321"/>
      <c r="BS236" s="1321"/>
      <c r="BT236" s="1321"/>
      <c r="BU236" s="1321"/>
      <c r="BV236" s="1345"/>
      <c r="BW236" s="1345"/>
      <c r="BX236" s="1321"/>
      <c r="BY236" s="1321"/>
      <c r="BZ236" s="1321"/>
      <c r="CA236" s="1321"/>
      <c r="CB236" s="1321"/>
      <c r="CC236" s="1321"/>
      <c r="CD236" s="1345"/>
      <c r="CE236" s="1345"/>
      <c r="CF236" s="1345"/>
      <c r="CG236" s="1345"/>
      <c r="CH236" s="1345"/>
      <c r="CI236" s="1321"/>
      <c r="CJ236" s="1355"/>
      <c r="CK236" s="1321"/>
      <c r="CL236" s="1321"/>
      <c r="CM236" s="1321"/>
      <c r="CN236" s="1321"/>
      <c r="CO236" s="1321"/>
      <c r="CP236" s="1321"/>
      <c r="CQ236" s="1321"/>
      <c r="CR236" s="1321"/>
      <c r="CS236" s="1321"/>
      <c r="CT236" s="1321"/>
      <c r="CU236" s="1321"/>
      <c r="CV236" s="1321"/>
      <c r="CW236" s="1321"/>
      <c r="CX236" s="1321"/>
      <c r="CY236" s="1321"/>
      <c r="CZ236" s="1321"/>
      <c r="DA236" s="1321"/>
      <c r="DB236" s="1321"/>
      <c r="DC236" s="1321"/>
      <c r="DD236" s="1321"/>
      <c r="DE236" s="1321"/>
      <c r="DF236" s="1321"/>
      <c r="DG236" s="1321"/>
      <c r="DH236" s="1321"/>
      <c r="DI236" s="1321"/>
      <c r="DJ236" s="1321"/>
      <c r="DK236" s="1321"/>
      <c r="DL236" s="1321"/>
      <c r="DM236" s="1321"/>
      <c r="DN236" s="1336" t="s">
        <v>1299</v>
      </c>
      <c r="DO236" s="1336"/>
      <c r="DP236" s="1336"/>
      <c r="DQ236" s="1336"/>
      <c r="DR236" s="1336"/>
      <c r="DS236" s="1359"/>
      <c r="DT236" s="1346"/>
      <c r="DU236" s="1346"/>
      <c r="DV236" s="1321"/>
      <c r="DW236" s="1321"/>
      <c r="DX236" s="1321"/>
      <c r="DY236" s="1321"/>
      <c r="DZ236" s="1321"/>
      <c r="EA236" s="1321"/>
      <c r="EB236" s="1321"/>
      <c r="EC236" s="1321"/>
      <c r="ED236" s="1345"/>
      <c r="EE236" s="1345"/>
      <c r="EF236" s="1321"/>
      <c r="EG236" s="1321"/>
      <c r="EH236" s="1321"/>
      <c r="EI236" s="1321"/>
      <c r="EJ236" s="1321"/>
      <c r="EK236" s="1345"/>
      <c r="EL236" s="1345"/>
      <c r="EM236" s="1321"/>
      <c r="EN236" s="1321"/>
      <c r="EO236" s="1321"/>
      <c r="EP236" s="1321"/>
      <c r="EQ236" s="1321"/>
      <c r="ER236" s="1345"/>
      <c r="ES236" s="1345"/>
      <c r="ET236" s="1321"/>
      <c r="EU236" s="1083">
        <f t="shared" si="73"/>
        <v>0</v>
      </c>
      <c r="EV236" s="1283"/>
      <c r="EW236" s="1283"/>
      <c r="EX236" s="1283"/>
      <c r="EY236" s="1321"/>
      <c r="EZ236" s="1345"/>
      <c r="FA236" s="1345"/>
      <c r="FB236" s="1345"/>
      <c r="FC236" s="1321"/>
      <c r="FD236" s="1082">
        <f t="shared" si="72"/>
        <v>0</v>
      </c>
      <c r="FE236" s="1282"/>
      <c r="FF236" s="1282"/>
      <c r="FG236" s="1282"/>
      <c r="FH236" s="1321"/>
      <c r="FI236" s="1321"/>
      <c r="FJ236" s="1345"/>
      <c r="FK236" s="1345"/>
      <c r="FL236" s="1345"/>
      <c r="FM236" s="1321"/>
      <c r="FN236" s="1345"/>
      <c r="FO236" s="1345"/>
      <c r="FP236" s="1345"/>
      <c r="FQ236" s="1345"/>
      <c r="FR236" s="1345"/>
      <c r="FS236" s="1345"/>
      <c r="FT236" s="1345"/>
      <c r="FU236" s="1345"/>
      <c r="FV236" s="1345"/>
      <c r="FW236" s="1321"/>
      <c r="FX236" s="1321"/>
      <c r="FY236" s="1321"/>
      <c r="FZ236" s="1321"/>
      <c r="GA236" s="1345"/>
      <c r="GB236" s="1321"/>
      <c r="GC236" s="1321"/>
      <c r="GD236" s="1321"/>
      <c r="GE236" s="1321"/>
      <c r="GF236" s="1321"/>
      <c r="GG236" s="1321" t="s">
        <v>1349</v>
      </c>
      <c r="GH236" s="1321" t="s">
        <v>1349</v>
      </c>
      <c r="GI236" s="1321" t="s">
        <v>1349</v>
      </c>
      <c r="GJ236" s="1321" t="s">
        <v>1349</v>
      </c>
      <c r="GK236" s="1321" t="s">
        <v>1349</v>
      </c>
      <c r="GL236" s="1321" t="s">
        <v>1349</v>
      </c>
      <c r="GM236" s="1321" t="s">
        <v>1349</v>
      </c>
      <c r="GN236" s="1321" t="s">
        <v>1349</v>
      </c>
      <c r="GO236" s="1321" t="s">
        <v>1349</v>
      </c>
      <c r="GP236" s="1321" t="s">
        <v>1349</v>
      </c>
      <c r="GQ236" s="1321" t="s">
        <v>1349</v>
      </c>
      <c r="GR236" s="1321" t="s">
        <v>1349</v>
      </c>
      <c r="GS236" s="1321" t="s">
        <v>1349</v>
      </c>
      <c r="GT236" s="1321" t="s">
        <v>1349</v>
      </c>
      <c r="GU236" s="1321" t="s">
        <v>1349</v>
      </c>
      <c r="GV236" s="1321" t="s">
        <v>1349</v>
      </c>
      <c r="GW236" s="1321"/>
      <c r="GX236" s="1321"/>
      <c r="GY236" s="1321"/>
      <c r="GZ236" s="1321"/>
      <c r="HA236" s="1321"/>
      <c r="HB236" s="1321"/>
      <c r="HC236" s="1321"/>
      <c r="HD236" s="1321"/>
      <c r="HE236" s="1321"/>
      <c r="HF236" s="1321"/>
      <c r="HG236" s="1321"/>
      <c r="HH236" s="1321"/>
      <c r="HI236" s="1321"/>
      <c r="HJ236" s="1321"/>
      <c r="HK236" s="1321"/>
      <c r="HL236" s="1321"/>
      <c r="HM236" s="1321"/>
      <c r="HN236" s="1321"/>
      <c r="HO236" s="1321"/>
      <c r="HP236" s="1321"/>
      <c r="HQ236" s="1321"/>
      <c r="HR236" s="1321"/>
      <c r="HS236" s="1321"/>
      <c r="HT236" s="1321"/>
      <c r="HU236" s="1321"/>
      <c r="HV236" s="1321"/>
      <c r="HW236" s="1321"/>
      <c r="HX236" s="1321"/>
      <c r="HY236" s="1321"/>
      <c r="HZ236" s="1321"/>
      <c r="IA236" s="1321"/>
      <c r="IB236" s="1321"/>
      <c r="IC236" s="1321"/>
      <c r="ID236" s="1321"/>
      <c r="IE236" s="1321"/>
      <c r="IF236" s="1321"/>
      <c r="IG236" s="1321"/>
      <c r="IH236" s="1321"/>
      <c r="II236" s="1321"/>
      <c r="IJ236" s="1321"/>
      <c r="IK236" s="1321"/>
      <c r="IL236" s="1321"/>
      <c r="IM236" s="1321"/>
      <c r="IN236" s="1368"/>
    </row>
    <row r="237" spans="1:248" ht="12.75" customHeight="1" x14ac:dyDescent="0.2">
      <c r="A237" s="1319"/>
      <c r="B237" s="1321"/>
      <c r="C237" s="1321"/>
      <c r="D237" s="1321"/>
      <c r="E237" s="1321"/>
      <c r="F237" s="1321"/>
      <c r="G237" s="1321"/>
      <c r="H237" s="1321"/>
      <c r="I237" s="1321"/>
      <c r="J237" s="1321"/>
      <c r="K237" s="1321"/>
      <c r="L237" s="1321"/>
      <c r="M237" s="1321"/>
      <c r="N237" s="1321"/>
      <c r="O237" s="1321"/>
      <c r="P237" s="1321"/>
      <c r="Q237" s="1321"/>
      <c r="R237" s="1321"/>
      <c r="S237" s="1321"/>
      <c r="T237" s="1321"/>
      <c r="U237" s="1321"/>
      <c r="V237" s="1321"/>
      <c r="W237" s="1321"/>
      <c r="X237" s="1321"/>
      <c r="Y237" s="1321"/>
      <c r="Z237" s="1321"/>
      <c r="AA237" s="1321"/>
      <c r="AB237" s="1321"/>
      <c r="AC237" s="1321"/>
      <c r="AD237" s="1321"/>
      <c r="AE237" s="1321"/>
      <c r="AF237" s="1321"/>
      <c r="AG237" s="1321"/>
      <c r="AH237" s="1321"/>
      <c r="AI237" s="1321"/>
      <c r="AJ237" s="1321"/>
      <c r="AK237" s="1321"/>
      <c r="AL237" s="1321"/>
      <c r="AM237" s="1321"/>
      <c r="AN237" s="1321"/>
      <c r="AO237" s="1321"/>
      <c r="AP237" s="1321"/>
      <c r="AQ237" s="1321"/>
      <c r="AR237" s="1321"/>
      <c r="AS237" s="1321"/>
      <c r="AT237" s="1321"/>
      <c r="AU237" s="1321"/>
      <c r="AV237" s="1321"/>
      <c r="AW237" s="1321"/>
      <c r="AX237" s="1321"/>
      <c r="AY237" s="1321"/>
      <c r="AZ237" s="1321"/>
      <c r="BA237" s="1321"/>
      <c r="BB237" s="1075" t="str">
        <f t="shared" ref="BB237:BB274" si="75">BB195</f>
        <v>Betterave</v>
      </c>
      <c r="BC237" s="1269">
        <f t="array" ref="BC237">IF(Ration_complète_bovins[somme]&gt;0,0,IFERROR(IF(OR(AND(INDEX(Règles_bovins[Specificite],MATCH(ChoixRationBovins&amp;$BB237,Règles_bovins[Ration]&amp;Règles_bovins[Aliment],0))="s1",IF($BB237=Spécificité1Bovins,1)),
AND(INDEX(Règles_bovins[Specificite],MATCH(ChoixRationBovins&amp;$BB237,Règles_bovins[Ration]&amp;Règles_bovins[Aliment],0))="s2",IF($BB237=Spécificité2Bovins,1)),
INDEX(Règles_bovins[Specificite],MATCH(ChoixRationBovins&amp;$BB237,Règles_bovins[Ration]&amp;Règles_bovins[Aliment],0))="c"),
INDEX(Règles_bovins[Valeur 36 et plus],MATCH(ChoixRationBovins&amp;$BB237,Règles_bovins[Ration]&amp;Règles_bovins[Aliment],0)),0),0)*IF(ChoixBovinsPréHiver=OUI,TotalVachesRacesLaitières,TotalVaches*SUM(NbreJoursNourrirBovins)))</f>
        <v>0</v>
      </c>
      <c r="BD237" s="1269">
        <f t="array" ref="BD237">IF(Ration_complète_bovins[somme]&gt;0,0,IFERROR(IF(OR(AND(INDEX(Règles_bovins[Specificite],MATCH(ChoixRationBovins&amp;$BB237,Règles_bovins[Ration]&amp;Règles_bovins[Aliment],0))="s1",IF($BB237=Spécificité1Bovins,1)),
AND(INDEX(Règles_bovins[Specificite],MATCH(ChoixRationBovins&amp;$BB237,Règles_bovins[Ration]&amp;Règles_bovins[Aliment],0))="s2",IF($BB237=Spécificité2Bovins,1)),
INDEX(Règles_bovins[Specificite],MATCH(ChoixRationBovins&amp;$BB237,Règles_bovins[Ration]&amp;Règles_bovins[Aliment],0))="c"),
INDEX(Règles_bovins[Valeur 24-36],MATCH(ChoixRationBovins&amp;$BB237,Règles_bovins[Ration]&amp;Règles_bovins[Aliment],0)),0),0)*IF(ChoixBovinsPréHiver=OUI,TotalGénisse_24_36_RacesLaitières,TotalBovinsFemelles_24_36mois*SUM(NbreJoursNourrirBovins)))</f>
        <v>0</v>
      </c>
      <c r="BE237" s="1269">
        <f t="array" ref="BE237">IF(Ration_complète_bovins[somme]&gt;0,0,IFERROR(IF(OR(AND(INDEX(Règles_bovins[Specificite],MATCH(ChoixRationBovins&amp;$BB237,Règles_bovins[Ration]&amp;Règles_bovins[Aliment],0))="s1",IF($BB237=Spécificité1Bovins,1)),
AND(INDEX(Règles_bovins[Specificite],MATCH(ChoixRationBovins&amp;$BB237,Règles_bovins[Ration]&amp;Règles_bovins[Aliment],0))="s2",IF($BB237=Spécificité2Bovins,1)),
INDEX(Règles_bovins[Specificite],MATCH(ChoixRationBovins&amp;$BB237,Règles_bovins[Ration]&amp;Règles_bovins[Aliment],0))="c"),
INDEX(Règles_bovins[Valeur 18-24],MATCH(ChoixRationBovins&amp;$BB237,Règles_bovins[Ration]&amp;Règles_bovins[Aliment],0)),0),0)*IF(ChoixBovinsPréHiver=OUI,TotalGénisse_18_24_RacesLaitières,TotalBovinsFemelles_18_24mois*SUM(NbreJoursNourrirBovins)))</f>
        <v>0</v>
      </c>
      <c r="BF237" s="1269">
        <f t="array" ref="BF237">IF(Ration_complète_bovins[somme]&gt;0,0,IFERROR(IF(OR(AND(INDEX(Règles_bovins[Specificite],MATCH(ChoixRationBovins&amp;$BB237,Règles_bovins[Ration]&amp;Règles_bovins[Aliment],0))="s1",IF($BB237=Spécificité1Bovins,1)),
AND(INDEX(Règles_bovins[Specificite],MATCH(ChoixRationBovins&amp;$BB237,Règles_bovins[Ration]&amp;Règles_bovins[Aliment],0))="s2",IF($BB237=Spécificité2Bovins,1)),
INDEX(Règles_bovins[Specificite],MATCH(ChoixRationBovins&amp;$BB237,Règles_bovins[Ration]&amp;Règles_bovins[Aliment],0))="c"),
INDEX(Règles_bovins[Valeur 12-18],MATCH(ChoixRationBovins&amp;$BB237,Règles_bovins[Ration]&amp;Règles_bovins[Aliment],0)),0),0)*IF(ChoixBovinsPréHiver=OUI,TotalGénisse_12_18_RacesLaitières,TotalBovinsFemelles_12_18mois*SUM(NbreJoursNourrirBovins)))</f>
        <v>0</v>
      </c>
      <c r="BG237" s="1269">
        <f t="array" ref="BG237">IF(Ration_complète_bovins[somme]&gt;0,0,IFERROR(IF(OR(AND(INDEX(Règles_bovins[Specificite],MATCH(ChoixRationBovins&amp;$BB237,Règles_bovins[Ration]&amp;Règles_bovins[Aliment],0))="s1",IF($BB237=Spécificité1Bovins,1)),
AND(INDEX(Règles_bovins[Specificite],MATCH(ChoixRationBovins&amp;$BB237,Règles_bovins[Ration]&amp;Règles_bovins[Aliment],0))="s2",IF($BB237=Spécificité2Bovins,1)),
INDEX(Règles_bovins[Specificite],MATCH(ChoixRationBovins&amp;$BB237,Règles_bovins[Ration]&amp;Règles_bovins[Aliment],0))="c"),
INDEX(Règles_bovins[Valeur 6-12],MATCH(ChoixRationBovins&amp;$BB237,Règles_bovins[Ration]&amp;Règles_bovins[Aliment],0)),0),0)*IF(ChoixBovinsPréHiver=OUI,TotalVeauFemelle_6_12_RacesLaitières,TotalBovinsFemelles_6_12mois*SUM(NbreJoursNourrirBovins)))</f>
        <v>0</v>
      </c>
      <c r="BH237" s="1269">
        <f t="array" ref="BH237">IF(Ration_complète_bovins[somme]&gt;0,0,IFERROR(IF(OR(AND(INDEX(Règles_bovins[Specificite],MATCH(ChoixRationBovins&amp;$BB237,Règles_bovins[Ration]&amp;Règles_bovins[Aliment],0))="s1",IF($BB237=Spécificité1Bovins,1)),
AND(INDEX(Règles_bovins[Specificite],MATCH(ChoixRationBovins&amp;$BB237,Règles_bovins[Ration]&amp;Règles_bovins[Aliment],0))="s2",IF($BB237=Spécificité2Bovins,1)),
INDEX(Règles_bovins[Specificite],MATCH(ChoixRationBovins&amp;$BB237,Règles_bovins[Ration]&amp;Règles_bovins[Aliment],0))="c"),
INDEX(Règles_bovins[Valeur 3-6],MATCH(ChoixRationBovins&amp;$BB237,Règles_bovins[Ration]&amp;Règles_bovins[Aliment],0)),0),0)*IF(ChoixBovinsPréHiver=OUI,TotalVeauFemelle_3_6_RacesLaitières,TotalBovinsFemelles_3_6mois*SUM(NbreJoursNourrirBovins)))</f>
        <v>0</v>
      </c>
      <c r="BI237" s="1269">
        <f t="array" ref="BI237">IF(Ration_complète_bovins[somme]&gt;0,0,IFERROR(IF(OR(AND(INDEX(Règles_bovins[Specificite],MATCH(ChoixRationBovins&amp;$BB237,Règles_bovins[Ration]&amp;Règles_bovins[Aliment],0))="s1",IF($BB237=Spécificité1Bovins,1)),
AND(INDEX(Règles_bovins[Specificite],MATCH(ChoixRationBovins&amp;$BB237,Règles_bovins[Ration]&amp;Règles_bovins[Aliment],0))="s2",IF($BB237=Spécificité2Bovins,1)),
INDEX(Règles_bovins[Specificite],MATCH(ChoixRationBovins&amp;$BB237,Règles_bovins[Ration]&amp;Règles_bovins[Aliment],0))="c"),
INDEX(Règles_bovins[Valeur 0-3],MATCH(ChoixRationBovins&amp;$BB237,Règles_bovins[Ration]&amp;Règles_bovins[Aliment],0)),0),0)*IF(ChoixBovinsPréHiver=OUI,TotalVeauFemelle_0_3_RacesLaitières,TotalBovinsFemelles_0_3mois*SUM(NbreJoursNourrirBovins)))</f>
        <v>0</v>
      </c>
      <c r="BJ237" s="1270">
        <f t="shared" si="74"/>
        <v>0</v>
      </c>
      <c r="BK237" s="1321"/>
      <c r="BL237" s="1345"/>
      <c r="BM237" s="1346"/>
      <c r="BN237" s="1321"/>
      <c r="BO237" s="1321"/>
      <c r="BP237" s="1321"/>
      <c r="BQ237" s="1321"/>
      <c r="BR237" s="1321"/>
      <c r="BS237" s="1321"/>
      <c r="BT237" s="1321"/>
      <c r="BU237" s="1321"/>
      <c r="BV237" s="1345"/>
      <c r="BW237" s="1345"/>
      <c r="BX237" s="1321"/>
      <c r="BY237" s="1321"/>
      <c r="BZ237" s="1321"/>
      <c r="CA237" s="1321"/>
      <c r="CB237" s="1321"/>
      <c r="CC237" s="1321"/>
      <c r="CD237" s="1345"/>
      <c r="CE237" s="1345"/>
      <c r="CF237" s="1345"/>
      <c r="CG237" s="1345"/>
      <c r="CH237" s="1345"/>
      <c r="CI237" s="1321"/>
      <c r="CJ237" s="1355"/>
      <c r="CK237" s="1321"/>
      <c r="CL237" s="1321"/>
      <c r="CM237" s="1321"/>
      <c r="CN237" s="1321"/>
      <c r="CO237" s="1321"/>
      <c r="CP237" s="1321"/>
      <c r="CQ237" s="1321"/>
      <c r="CR237" s="1321"/>
      <c r="CS237" s="1321"/>
      <c r="CT237" s="1321"/>
      <c r="CU237" s="1321"/>
      <c r="CV237" s="1321"/>
      <c r="CW237" s="1321"/>
      <c r="CX237" s="1321"/>
      <c r="CY237" s="1321"/>
      <c r="CZ237" s="1321"/>
      <c r="DA237" s="1321"/>
      <c r="DB237" s="1321"/>
      <c r="DC237" s="1321"/>
      <c r="DD237" s="1321"/>
      <c r="DE237" s="1321"/>
      <c r="DF237" s="1321"/>
      <c r="DG237" s="1321"/>
      <c r="DH237" s="1321"/>
      <c r="DI237" s="1321"/>
      <c r="DJ237" s="1321"/>
      <c r="DK237" s="1321"/>
      <c r="DL237" s="1321"/>
      <c r="DM237" s="1321"/>
      <c r="DN237" s="1079" t="s">
        <v>1276</v>
      </c>
      <c r="DO237" s="1079" t="s">
        <v>1280</v>
      </c>
      <c r="DP237" s="1079" t="s">
        <v>1257</v>
      </c>
      <c r="DQ237" s="1079" t="s">
        <v>1256</v>
      </c>
      <c r="DR237" s="1278" t="s">
        <v>1255</v>
      </c>
      <c r="DS237" s="1079" t="s">
        <v>1269</v>
      </c>
      <c r="DT237" s="1346"/>
      <c r="DU237" s="1346"/>
      <c r="DV237" s="1321"/>
      <c r="DW237" s="1321"/>
      <c r="DX237" s="1321"/>
      <c r="DY237" s="1321"/>
      <c r="DZ237" s="1321"/>
      <c r="EA237" s="1321"/>
      <c r="EB237" s="1321"/>
      <c r="EC237" s="1321"/>
      <c r="ED237" s="1345"/>
      <c r="EE237" s="1345"/>
      <c r="EF237" s="1321"/>
      <c r="EG237" s="1321"/>
      <c r="EH237" s="1321"/>
      <c r="EI237" s="1321"/>
      <c r="EJ237" s="1321"/>
      <c r="EK237" s="1345"/>
      <c r="EL237" s="1345"/>
      <c r="EM237" s="1321"/>
      <c r="EN237" s="1321"/>
      <c r="EO237" s="1321"/>
      <c r="EP237" s="1321"/>
      <c r="EQ237" s="1321"/>
      <c r="ER237" s="1345"/>
      <c r="ES237" s="1345"/>
      <c r="ET237" s="1321"/>
      <c r="EU237" s="1082">
        <f t="shared" si="73"/>
        <v>0</v>
      </c>
      <c r="EV237" s="1282"/>
      <c r="EW237" s="1282"/>
      <c r="EX237" s="1282"/>
      <c r="EY237" s="1321"/>
      <c r="EZ237" s="1345"/>
      <c r="FA237" s="1345"/>
      <c r="FB237" s="1345"/>
      <c r="FC237" s="1321"/>
      <c r="FD237" s="1321"/>
      <c r="FE237" s="1321"/>
      <c r="FF237" s="1321"/>
      <c r="FG237" s="1321"/>
      <c r="FH237" s="1321"/>
      <c r="FI237" s="1321"/>
      <c r="FJ237" s="1345"/>
      <c r="FK237" s="1345"/>
      <c r="FL237" s="1345"/>
      <c r="FM237" s="1321"/>
      <c r="FN237" s="1345"/>
      <c r="FO237" s="1345"/>
      <c r="FP237" s="1345"/>
      <c r="FQ237" s="1345"/>
      <c r="FR237" s="1345"/>
      <c r="FS237" s="1345"/>
      <c r="FT237" s="1345"/>
      <c r="FU237" s="1345"/>
      <c r="FV237" s="1345"/>
      <c r="FW237" s="1321"/>
      <c r="FX237" s="1321"/>
      <c r="FY237" s="1321"/>
      <c r="FZ237" s="1321"/>
      <c r="GA237" s="1345"/>
      <c r="GB237" s="1321"/>
      <c r="GC237" s="1321"/>
      <c r="GD237" s="1321"/>
      <c r="GE237" s="1321"/>
      <c r="GF237" s="1321"/>
      <c r="GG237" s="1321" t="s">
        <v>1349</v>
      </c>
      <c r="GH237" s="1321" t="s">
        <v>1349</v>
      </c>
      <c r="GI237" s="1321" t="s">
        <v>1349</v>
      </c>
      <c r="GJ237" s="1321" t="s">
        <v>1349</v>
      </c>
      <c r="GK237" s="1321" t="s">
        <v>1349</v>
      </c>
      <c r="GL237" s="1321" t="s">
        <v>1349</v>
      </c>
      <c r="GM237" s="1321" t="s">
        <v>1349</v>
      </c>
      <c r="GN237" s="1321" t="s">
        <v>1349</v>
      </c>
      <c r="GO237" s="1321" t="s">
        <v>1349</v>
      </c>
      <c r="GP237" s="1321" t="s">
        <v>1349</v>
      </c>
      <c r="GQ237" s="1321" t="s">
        <v>1349</v>
      </c>
      <c r="GR237" s="1321" t="s">
        <v>1349</v>
      </c>
      <c r="GS237" s="1321" t="s">
        <v>1349</v>
      </c>
      <c r="GT237" s="1321" t="s">
        <v>1349</v>
      </c>
      <c r="GU237" s="1321" t="s">
        <v>1349</v>
      </c>
      <c r="GV237" s="1321" t="s">
        <v>1349</v>
      </c>
      <c r="GW237" s="1321"/>
      <c r="GX237" s="1321"/>
      <c r="GY237" s="1321"/>
      <c r="GZ237" s="1321"/>
      <c r="HA237" s="1321"/>
      <c r="HB237" s="1321"/>
      <c r="HC237" s="1321"/>
      <c r="HD237" s="1321"/>
      <c r="HE237" s="1321"/>
      <c r="HF237" s="1321"/>
      <c r="HG237" s="1321"/>
      <c r="HH237" s="1321"/>
      <c r="HI237" s="1321"/>
      <c r="HJ237" s="1321"/>
      <c r="HK237" s="1321"/>
      <c r="HL237" s="1321"/>
      <c r="HM237" s="1321"/>
      <c r="HN237" s="1321"/>
      <c r="HO237" s="1321"/>
      <c r="HP237" s="1321"/>
      <c r="HQ237" s="1321"/>
      <c r="HR237" s="1321"/>
      <c r="HS237" s="1321"/>
      <c r="HT237" s="1321"/>
      <c r="HU237" s="1321"/>
      <c r="HV237" s="1321"/>
      <c r="HW237" s="1321"/>
      <c r="HX237" s="1321"/>
      <c r="HY237" s="1321"/>
      <c r="HZ237" s="1321"/>
      <c r="IA237" s="1321"/>
      <c r="IB237" s="1321"/>
      <c r="IC237" s="1321"/>
      <c r="ID237" s="1321"/>
      <c r="IE237" s="1321"/>
      <c r="IF237" s="1321"/>
      <c r="IG237" s="1321"/>
      <c r="IH237" s="1321"/>
      <c r="II237" s="1321"/>
      <c r="IJ237" s="1321"/>
      <c r="IK237" s="1321"/>
      <c r="IL237" s="1321"/>
      <c r="IM237" s="1321"/>
      <c r="IN237" s="1368"/>
    </row>
    <row r="238" spans="1:248" ht="12.75" customHeight="1" x14ac:dyDescent="0.2">
      <c r="A238" s="1319"/>
      <c r="B238" s="1321"/>
      <c r="C238" s="1321"/>
      <c r="D238" s="1321"/>
      <c r="E238" s="1321"/>
      <c r="F238" s="1321"/>
      <c r="G238" s="1321"/>
      <c r="H238" s="1321"/>
      <c r="I238" s="1321"/>
      <c r="J238" s="1321"/>
      <c r="K238" s="1321"/>
      <c r="L238" s="1321"/>
      <c r="M238" s="1321"/>
      <c r="N238" s="1321"/>
      <c r="O238" s="1321"/>
      <c r="P238" s="1321"/>
      <c r="Q238" s="1321"/>
      <c r="R238" s="1321"/>
      <c r="S238" s="1321"/>
      <c r="T238" s="1321"/>
      <c r="U238" s="1321"/>
      <c r="V238" s="1321"/>
      <c r="W238" s="1321"/>
      <c r="X238" s="1321"/>
      <c r="Y238" s="1321"/>
      <c r="Z238" s="1321"/>
      <c r="AA238" s="1321"/>
      <c r="AB238" s="1321"/>
      <c r="AC238" s="1321"/>
      <c r="AD238" s="1321"/>
      <c r="AE238" s="1321"/>
      <c r="AF238" s="1321"/>
      <c r="AG238" s="1321"/>
      <c r="AH238" s="1321"/>
      <c r="AI238" s="1321"/>
      <c r="AJ238" s="1321"/>
      <c r="AK238" s="1321"/>
      <c r="AL238" s="1321"/>
      <c r="AM238" s="1321"/>
      <c r="AN238" s="1321"/>
      <c r="AO238" s="1321"/>
      <c r="AP238" s="1321"/>
      <c r="AQ238" s="1321"/>
      <c r="AR238" s="1321"/>
      <c r="AS238" s="1321"/>
      <c r="AT238" s="1321"/>
      <c r="AU238" s="1321"/>
      <c r="AV238" s="1321"/>
      <c r="AW238" s="1321"/>
      <c r="AX238" s="1321"/>
      <c r="AY238" s="1321"/>
      <c r="AZ238" s="1321"/>
      <c r="BA238" s="1321"/>
      <c r="BB238" s="1076" t="str">
        <f t="shared" si="75"/>
        <v>Blé</v>
      </c>
      <c r="BC238" s="1267">
        <f t="array" ref="BC238">IF(Ration_complète_bovins[somme]&gt;0,0,IFERROR(IF(OR(AND(INDEX(Règles_bovins[Specificite],MATCH(ChoixRationBovins&amp;$BB238,Règles_bovins[Ration]&amp;Règles_bovins[Aliment],0))="s1",IF($BB238=Spécificité1Bovins,1)),
AND(INDEX(Règles_bovins[Specificite],MATCH(ChoixRationBovins&amp;$BB238,Règles_bovins[Ration]&amp;Règles_bovins[Aliment],0))="s2",IF($BB238=Spécificité2Bovins,1)),
INDEX(Règles_bovins[Specificite],MATCH(ChoixRationBovins&amp;$BB238,Règles_bovins[Ration]&amp;Règles_bovins[Aliment],0))="c"),
INDEX(Règles_bovins[Valeur 36 et plus],MATCH(ChoixRationBovins&amp;$BB238,Règles_bovins[Ration]&amp;Règles_bovins[Aliment],0)),0),0)*IF(ChoixBovinsPréHiver=OUI,TotalVachesRacesLaitières,TotalVaches*SUM(NbreJoursNourrirBovins)))</f>
        <v>0</v>
      </c>
      <c r="BD238" s="1267">
        <f t="array" ref="BD238">IF(Ration_complète_bovins[somme]&gt;0,0,IFERROR(IF(OR(AND(INDEX(Règles_bovins[Specificite],MATCH(ChoixRationBovins&amp;$BB238,Règles_bovins[Ration]&amp;Règles_bovins[Aliment],0))="s1",IF($BB238=Spécificité1Bovins,1)),
AND(INDEX(Règles_bovins[Specificite],MATCH(ChoixRationBovins&amp;$BB238,Règles_bovins[Ration]&amp;Règles_bovins[Aliment],0))="s2",IF($BB238=Spécificité2Bovins,1)),
INDEX(Règles_bovins[Specificite],MATCH(ChoixRationBovins&amp;$BB238,Règles_bovins[Ration]&amp;Règles_bovins[Aliment],0))="c"),
INDEX(Règles_bovins[Valeur 24-36],MATCH(ChoixRationBovins&amp;$BB238,Règles_bovins[Ration]&amp;Règles_bovins[Aliment],0)),0),0)*IF(ChoixBovinsPréHiver=OUI,TotalGénisse_24_36_RacesLaitières,TotalBovinsFemelles_24_36mois*SUM(NbreJoursNourrirBovins)))</f>
        <v>0</v>
      </c>
      <c r="BE238" s="1267">
        <f t="array" ref="BE238">IF(Ration_complète_bovins[somme]&gt;0,0,IFERROR(IF(OR(AND(INDEX(Règles_bovins[Specificite],MATCH(ChoixRationBovins&amp;$BB238,Règles_bovins[Ration]&amp;Règles_bovins[Aliment],0))="s1",IF($BB238=Spécificité1Bovins,1)),
AND(INDEX(Règles_bovins[Specificite],MATCH(ChoixRationBovins&amp;$BB238,Règles_bovins[Ration]&amp;Règles_bovins[Aliment],0))="s2",IF($BB238=Spécificité2Bovins,1)),
INDEX(Règles_bovins[Specificite],MATCH(ChoixRationBovins&amp;$BB238,Règles_bovins[Ration]&amp;Règles_bovins[Aliment],0))="c"),
INDEX(Règles_bovins[Valeur 18-24],MATCH(ChoixRationBovins&amp;$BB238,Règles_bovins[Ration]&amp;Règles_bovins[Aliment],0)),0),0)*IF(ChoixBovinsPréHiver=OUI,TotalGénisse_18_24_RacesLaitières,TotalBovinsFemelles_18_24mois*SUM(NbreJoursNourrirBovins)))</f>
        <v>0</v>
      </c>
      <c r="BF238" s="1267">
        <f t="array" ref="BF238">IF(Ration_complète_bovins[somme]&gt;0,0,IFERROR(IF(OR(AND(INDEX(Règles_bovins[Specificite],MATCH(ChoixRationBovins&amp;$BB238,Règles_bovins[Ration]&amp;Règles_bovins[Aliment],0))="s1",IF($BB238=Spécificité1Bovins,1)),
AND(INDEX(Règles_bovins[Specificite],MATCH(ChoixRationBovins&amp;$BB238,Règles_bovins[Ration]&amp;Règles_bovins[Aliment],0))="s2",IF($BB238=Spécificité2Bovins,1)),
INDEX(Règles_bovins[Specificite],MATCH(ChoixRationBovins&amp;$BB238,Règles_bovins[Ration]&amp;Règles_bovins[Aliment],0))="c"),
INDEX(Règles_bovins[Valeur 12-18],MATCH(ChoixRationBovins&amp;$BB238,Règles_bovins[Ration]&amp;Règles_bovins[Aliment],0)),0),0)*IF(ChoixBovinsPréHiver=OUI,TotalGénisse_12_18_RacesLaitières,TotalBovinsFemelles_12_18mois*SUM(NbreJoursNourrirBovins)))</f>
        <v>0</v>
      </c>
      <c r="BG238" s="1267">
        <f t="array" ref="BG238">IF(Ration_complète_bovins[somme]&gt;0,0,IFERROR(IF(OR(AND(INDEX(Règles_bovins[Specificite],MATCH(ChoixRationBovins&amp;$BB238,Règles_bovins[Ration]&amp;Règles_bovins[Aliment],0))="s1",IF($BB238=Spécificité1Bovins,1)),
AND(INDEX(Règles_bovins[Specificite],MATCH(ChoixRationBovins&amp;$BB238,Règles_bovins[Ration]&amp;Règles_bovins[Aliment],0))="s2",IF($BB238=Spécificité2Bovins,1)),
INDEX(Règles_bovins[Specificite],MATCH(ChoixRationBovins&amp;$BB238,Règles_bovins[Ration]&amp;Règles_bovins[Aliment],0))="c"),
INDEX(Règles_bovins[Valeur 6-12],MATCH(ChoixRationBovins&amp;$BB238,Règles_bovins[Ration]&amp;Règles_bovins[Aliment],0)),0),0)*IF(ChoixBovinsPréHiver=OUI,TotalVeauFemelle_6_12_RacesLaitières,TotalBovinsFemelles_6_12mois*SUM(NbreJoursNourrirBovins)))</f>
        <v>0</v>
      </c>
      <c r="BH238" s="1267">
        <f t="array" ref="BH238">IF(Ration_complète_bovins[somme]&gt;0,0,IFERROR(IF(OR(AND(INDEX(Règles_bovins[Specificite],MATCH(ChoixRationBovins&amp;$BB238,Règles_bovins[Ration]&amp;Règles_bovins[Aliment],0))="s1",IF($BB238=Spécificité1Bovins,1)),
AND(INDEX(Règles_bovins[Specificite],MATCH(ChoixRationBovins&amp;$BB238,Règles_bovins[Ration]&amp;Règles_bovins[Aliment],0))="s2",IF($BB238=Spécificité2Bovins,1)),
INDEX(Règles_bovins[Specificite],MATCH(ChoixRationBovins&amp;$BB238,Règles_bovins[Ration]&amp;Règles_bovins[Aliment],0))="c"),
INDEX(Règles_bovins[Valeur 3-6],MATCH(ChoixRationBovins&amp;$BB238,Règles_bovins[Ration]&amp;Règles_bovins[Aliment],0)),0),0)*IF(ChoixBovinsPréHiver=OUI,TotalVeauFemelle_3_6_RacesLaitières,TotalBovinsFemelles_3_6mois*SUM(NbreJoursNourrirBovins)))</f>
        <v>0</v>
      </c>
      <c r="BI238" s="1267">
        <f t="array" ref="BI238">IF(Ration_complète_bovins[somme]&gt;0,0,IFERROR(IF(OR(AND(INDEX(Règles_bovins[Specificite],MATCH(ChoixRationBovins&amp;$BB238,Règles_bovins[Ration]&amp;Règles_bovins[Aliment],0))="s1",IF($BB238=Spécificité1Bovins,1)),
AND(INDEX(Règles_bovins[Specificite],MATCH(ChoixRationBovins&amp;$BB238,Règles_bovins[Ration]&amp;Règles_bovins[Aliment],0))="s2",IF($BB238=Spécificité2Bovins,1)),
INDEX(Règles_bovins[Specificite],MATCH(ChoixRationBovins&amp;$BB238,Règles_bovins[Ration]&amp;Règles_bovins[Aliment],0))="c"),
INDEX(Règles_bovins[Valeur 0-3],MATCH(ChoixRationBovins&amp;$BB238,Règles_bovins[Ration]&amp;Règles_bovins[Aliment],0)),0),0)*IF(ChoixBovinsPréHiver=OUI,TotalVeauFemelle_0_3_RacesLaitières,TotalBovinsFemelles_0_3mois*SUM(NbreJoursNourrirBovins)))</f>
        <v>0</v>
      </c>
      <c r="BJ238" s="1268">
        <f t="shared" si="74"/>
        <v>0</v>
      </c>
      <c r="BK238" s="1321"/>
      <c r="BL238" s="1345"/>
      <c r="BM238" s="1346"/>
      <c r="BN238" s="1321"/>
      <c r="BO238" s="1321"/>
      <c r="BP238" s="1321"/>
      <c r="BQ238" s="1321"/>
      <c r="BR238" s="1321"/>
      <c r="BS238" s="1321"/>
      <c r="BT238" s="1321"/>
      <c r="BU238" s="1321"/>
      <c r="BV238" s="1345"/>
      <c r="BW238" s="1345"/>
      <c r="BX238" s="1321"/>
      <c r="BY238" s="1350"/>
      <c r="BZ238" s="1350"/>
      <c r="CA238" s="1350"/>
      <c r="CB238" s="1350"/>
      <c r="CC238" s="1350"/>
      <c r="CD238" s="1345"/>
      <c r="CE238" s="1345"/>
      <c r="CF238" s="1345"/>
      <c r="CG238" s="1345"/>
      <c r="CH238" s="1345"/>
      <c r="CI238" s="1321"/>
      <c r="CJ238" s="1355"/>
      <c r="CK238" s="1321"/>
      <c r="CL238" s="1321"/>
      <c r="CM238" s="1321"/>
      <c r="CN238" s="1321"/>
      <c r="CO238" s="1321"/>
      <c r="CP238" s="1321"/>
      <c r="CQ238" s="1321"/>
      <c r="CR238" s="1321"/>
      <c r="CS238" s="1321"/>
      <c r="CT238" s="1321"/>
      <c r="CU238" s="1321"/>
      <c r="CV238" s="1321"/>
      <c r="CW238" s="1321"/>
      <c r="CX238" s="1321"/>
      <c r="CY238" s="1321"/>
      <c r="CZ238" s="1321"/>
      <c r="DA238" s="1321"/>
      <c r="DB238" s="1321"/>
      <c r="DC238" s="1321"/>
      <c r="DD238" s="1321"/>
      <c r="DE238" s="1321"/>
      <c r="DF238" s="1321"/>
      <c r="DG238" s="1321"/>
      <c r="DH238" s="1321"/>
      <c r="DI238" s="1321"/>
      <c r="DJ238" s="1321"/>
      <c r="DK238" s="1321"/>
      <c r="DL238" s="1321"/>
      <c r="DM238" s="1321"/>
      <c r="DN238" s="1076" t="str">
        <f>DN150</f>
        <v>Avoine</v>
      </c>
      <c r="DO238" s="1267">
        <f t="array" ref="DO238">IF(ChoixRationHivernaleOvinsComplète=OUI,0,IFERROR(IF(OR(AND(INDEX(Règles_ovins[Specificite],MATCH(RationHivernaleOvinsAuPré&amp;$DN238,Règles_ovins[Ration]&amp;Règles_ovins[Aliment],0))="s1",IF($DN238=Spécificité1Ovins,1)),
AND(INDEX(Règles_ovins[Specificite],MATCH(RationHivernaleOvinsAuPré&amp;$DN238,Règles_ovins[Ration]&amp;Règles_ovins[Aliment],0))="s2",IF($DN238=Spécificité2Ovins,1)),
INDEX(Règles_ovins[Specificite],MATCH(RationHivernaleOvinsAuPré&amp;$DN238,Règles_ovins[Ration]&amp;Règles_ovins[Aliment],0))="c"),
INDEX(Règles_ovins[Valeur 12 et plus],MATCH(RationHivernaleOvinsAuPré&amp;$DN238,Règles_ovins[Ration]&amp;Règles_ovins[Aliment],0)),0),0)*IF(SUM(TotalOvinsAdultesAuPré)&gt;0,SUM(TotalOvinsAdultesAuPré)*SUM(AD76:AD100),SUM(TotalOvinsAdultes)*SUM(AD76:AD100)))</f>
        <v>0</v>
      </c>
      <c r="DP238" s="1267">
        <f t="array" ref="DP238">IF(ChoixRationHivernaleOvinsComplète=OUI,0,IFERROR(IF(OR(AND(INDEX(Règles_ovins[Specificite],MATCH(RationHivernaleOvinsAuPré&amp;$DN238,Règles_ovins[Ration]&amp;Règles_ovins[Aliment],0))="s1",IF($DN238=Spécificité1Ovins,1)),
AND(INDEX(Règles_ovins[Specificite],MATCH(RationHivernaleOvinsAuPré&amp;$DN238,Règles_ovins[Ration]&amp;Règles_ovins[Aliment],0))="s2",IF($DN238=Spécificité2Ovins,1)),
INDEX(Règles_ovins[Specificite],MATCH(RationHivernaleOvinsAuPré&amp;$DN238,Règles_ovins[Ration]&amp;Règles_ovins[Aliment],0))="c"),
INDEX(Règles_ovins[Valeur 6-12],MATCH(RationHivernaleOvinsAuPré&amp;$DN238,Règles_ovins[Ration]&amp;Règles_ovins[Aliment],0)),0),0)*IF(SUM(TotalOvins_6_12moisAuPré)&gt;0,SUM(TotalOvins_6_12moisAuPré)*SUM(AD76:AD100),SUM(TotalJeunesOvins)*SUM(AD76:AD100)))</f>
        <v>0</v>
      </c>
      <c r="DQ238" s="1267">
        <f t="array" ref="DQ238">IF(ChoixRationHivernaleOvinsComplète=OUI,0,IFERROR(IF(OR(AND(INDEX(Règles_ovins[Specificite],MATCH(RationHivernaleOvinsAuPré&amp;$DN238,Règles_ovins[Ration]&amp;Règles_ovins[Aliment],0))="s1",IF($DN238=Spécificité1Ovins,1)),
AND(INDEX(Règles_ovins[Specificite],MATCH(RationHivernaleOvinsAuPré&amp;$DN238,Règles_ovins[Ration]&amp;Règles_ovins[Aliment],0))="s2",IF($DN238=Spécificité2Ovins,1)),
INDEX(Règles_ovins[Specificite],MATCH(RationHivernaleOvinsAuPré&amp;$DN238,Règles_ovins[Ration]&amp;Règles_ovins[Aliment],0))="c"),
INDEX(Règles_ovins[Valeur 3-6],MATCH(RationHivernaleOvinsAuPré&amp;$DN238,Règles_ovins[Ration]&amp;Règles_ovins[Aliment],0)),0),0)*IF(SUM(TotalOvins_3_6moisAuPré)&gt;0,SUM(TotalOvins_3_6moisAuPré)*SUM(AD76:AD100),SUM(TotalOvins_3_6mois)*SUM(AD76:AD100)))</f>
        <v>0</v>
      </c>
      <c r="DR238" s="1267">
        <f t="array" ref="DR238">IF(ChoixRationHivernaleOvinsComplète=OUI,0,IFERROR(IF(OR(AND(INDEX(Règles_ovins[Specificite],MATCH(RationHivernaleOvinsAuPré&amp;$DN238,Règles_ovins[Ration]&amp;Règles_ovins[Aliment],0))="s1",IF($DN238=Spécificité1Ovins,1)),
AND(INDEX(Règles_ovins[Specificite],MATCH(RationHivernaleOvinsAuPré&amp;$DN238,Règles_ovins[Ration]&amp;Règles_ovins[Aliment],0))="s2",IF($DN238=Spécificité2Ovins,1)),
INDEX(Règles_ovins[Specificite],MATCH(RationHivernaleOvinsAuPré&amp;$DN238,Règles_ovins[Ration]&amp;Règles_ovins[Aliment],0))="c"),
INDEX(Règles_ovins[Valeur 0-3],MATCH(RationHivernaleOvinsAuPré&amp;$DN238,Règles_ovins[Ration]&amp;Règles_ovins[Aliment],0)),0),0)*IF(SUM(TotalOvins_0_3moisAuPré)&gt;0,SUM(TotalOvins_0_3moisAuPré)*SUM(AD76:AD100),SUM(TotalOvins_3_6mois)*SUM(AD76:AD100)))</f>
        <v>0</v>
      </c>
      <c r="DS238" s="1279">
        <f t="shared" ref="DS238:DS276" si="76">SUM($DO238:$DR238)</f>
        <v>0</v>
      </c>
      <c r="DT238" s="1346"/>
      <c r="DU238" s="1346"/>
      <c r="DV238" s="1321"/>
      <c r="DW238" s="1321"/>
      <c r="DX238" s="1321"/>
      <c r="DY238" s="1321"/>
      <c r="DZ238" s="1321"/>
      <c r="EA238" s="1321"/>
      <c r="EB238" s="1321"/>
      <c r="EC238" s="1321"/>
      <c r="ED238" s="1345"/>
      <c r="EE238" s="1345"/>
      <c r="EF238" s="1321"/>
      <c r="EG238" s="1321"/>
      <c r="EH238" s="1321"/>
      <c r="EI238" s="1321"/>
      <c r="EJ238" s="1321"/>
      <c r="EK238" s="1345"/>
      <c r="EL238" s="1345"/>
      <c r="EM238" s="1321"/>
      <c r="EN238" s="1321"/>
      <c r="EO238" s="1321"/>
      <c r="EP238" s="1321"/>
      <c r="EQ238" s="1321"/>
      <c r="ER238" s="1345"/>
      <c r="ES238" s="1345"/>
      <c r="ET238" s="1321"/>
      <c r="EU238" s="1083">
        <f t="shared" si="73"/>
        <v>0</v>
      </c>
      <c r="EV238" s="1283"/>
      <c r="EW238" s="1283"/>
      <c r="EX238" s="1283"/>
      <c r="EY238" s="1321"/>
      <c r="EZ238" s="1345"/>
      <c r="FA238" s="1345"/>
      <c r="FB238" s="1345"/>
      <c r="FC238" s="1321"/>
      <c r="FD238" s="1321"/>
      <c r="FE238" s="1321"/>
      <c r="FF238" s="1321"/>
      <c r="FG238" s="1321"/>
      <c r="FH238" s="1321"/>
      <c r="FI238" s="1321"/>
      <c r="FJ238" s="1345"/>
      <c r="FK238" s="1345"/>
      <c r="FL238" s="1345"/>
      <c r="FM238" s="1321"/>
      <c r="FN238" s="1345"/>
      <c r="FO238" s="1345"/>
      <c r="FP238" s="1345"/>
      <c r="FQ238" s="1345"/>
      <c r="FR238" s="1345"/>
      <c r="FS238" s="1345"/>
      <c r="FT238" s="1345"/>
      <c r="FU238" s="1345"/>
      <c r="FV238" s="1345"/>
      <c r="FW238" s="1321"/>
      <c r="FX238" s="1321"/>
      <c r="FY238" s="1321"/>
      <c r="FZ238" s="1321"/>
      <c r="GA238" s="1345"/>
      <c r="GB238" s="1321"/>
      <c r="GC238" s="1321"/>
      <c r="GD238" s="1321"/>
      <c r="GE238" s="1321"/>
      <c r="GF238" s="1321"/>
      <c r="GG238" s="1321" t="s">
        <v>1349</v>
      </c>
      <c r="GH238" s="1321" t="s">
        <v>1349</v>
      </c>
      <c r="GI238" s="1321" t="s">
        <v>1349</v>
      </c>
      <c r="GJ238" s="1321" t="s">
        <v>1349</v>
      </c>
      <c r="GK238" s="1321" t="s">
        <v>1349</v>
      </c>
      <c r="GL238" s="1321" t="s">
        <v>1349</v>
      </c>
      <c r="GM238" s="1321" t="s">
        <v>1349</v>
      </c>
      <c r="GN238" s="1321" t="s">
        <v>1349</v>
      </c>
      <c r="GO238" s="1321" t="s">
        <v>1349</v>
      </c>
      <c r="GP238" s="1321" t="s">
        <v>1349</v>
      </c>
      <c r="GQ238" s="1321" t="s">
        <v>1349</v>
      </c>
      <c r="GR238" s="1321" t="s">
        <v>1349</v>
      </c>
      <c r="GS238" s="1321" t="s">
        <v>1349</v>
      </c>
      <c r="GT238" s="1321" t="s">
        <v>1349</v>
      </c>
      <c r="GU238" s="1321" t="s">
        <v>1349</v>
      </c>
      <c r="GV238" s="1321" t="s">
        <v>1349</v>
      </c>
      <c r="GW238" s="1321"/>
      <c r="GX238" s="1321"/>
      <c r="GY238" s="1321"/>
      <c r="GZ238" s="1321"/>
      <c r="HA238" s="1321"/>
      <c r="HB238" s="1321"/>
      <c r="HC238" s="1321"/>
      <c r="HD238" s="1321"/>
      <c r="HE238" s="1321"/>
      <c r="HF238" s="1321"/>
      <c r="HG238" s="1321"/>
      <c r="HH238" s="1321"/>
      <c r="HI238" s="1321"/>
      <c r="HJ238" s="1321"/>
      <c r="HK238" s="1321"/>
      <c r="HL238" s="1321"/>
      <c r="HM238" s="1321"/>
      <c r="HN238" s="1321"/>
      <c r="HO238" s="1321"/>
      <c r="HP238" s="1321"/>
      <c r="HQ238" s="1321"/>
      <c r="HR238" s="1321"/>
      <c r="HS238" s="1321"/>
      <c r="HT238" s="1321"/>
      <c r="HU238" s="1321"/>
      <c r="HV238" s="1321"/>
      <c r="HW238" s="1321"/>
      <c r="HX238" s="1321"/>
      <c r="HY238" s="1321"/>
      <c r="HZ238" s="1321"/>
      <c r="IA238" s="1321"/>
      <c r="IB238" s="1321"/>
      <c r="IC238" s="1321"/>
      <c r="ID238" s="1321"/>
      <c r="IE238" s="1321"/>
      <c r="IF238" s="1321"/>
      <c r="IG238" s="1321"/>
      <c r="IH238" s="1321"/>
      <c r="II238" s="1321"/>
      <c r="IJ238" s="1321"/>
      <c r="IK238" s="1321"/>
      <c r="IL238" s="1321"/>
      <c r="IM238" s="1321"/>
      <c r="IN238" s="1368"/>
    </row>
    <row r="239" spans="1:248" ht="12.75" customHeight="1" x14ac:dyDescent="0.2">
      <c r="A239" s="1319"/>
      <c r="B239" s="1321"/>
      <c r="C239" s="1321"/>
      <c r="D239" s="1321"/>
      <c r="E239" s="1321"/>
      <c r="F239" s="1321"/>
      <c r="G239" s="1321"/>
      <c r="H239" s="1321"/>
      <c r="I239" s="1321"/>
      <c r="J239" s="1321"/>
      <c r="K239" s="1321"/>
      <c r="L239" s="1321"/>
      <c r="M239" s="1321"/>
      <c r="N239" s="1321"/>
      <c r="O239" s="1321"/>
      <c r="P239" s="1321"/>
      <c r="Q239" s="1321"/>
      <c r="R239" s="1321"/>
      <c r="S239" s="1321"/>
      <c r="T239" s="1321"/>
      <c r="U239" s="1321"/>
      <c r="V239" s="1321"/>
      <c r="W239" s="1321"/>
      <c r="X239" s="1321"/>
      <c r="Y239" s="1321"/>
      <c r="Z239" s="1321"/>
      <c r="AA239" s="1321"/>
      <c r="AB239" s="1321"/>
      <c r="AC239" s="1321"/>
      <c r="AD239" s="1321"/>
      <c r="AE239" s="1321"/>
      <c r="AF239" s="1321"/>
      <c r="AG239" s="1321"/>
      <c r="AH239" s="1321"/>
      <c r="AI239" s="1321"/>
      <c r="AJ239" s="1321"/>
      <c r="AK239" s="1321"/>
      <c r="AL239" s="1321"/>
      <c r="AM239" s="1321"/>
      <c r="AN239" s="1321"/>
      <c r="AO239" s="1321"/>
      <c r="AP239" s="1321"/>
      <c r="AQ239" s="1321"/>
      <c r="AR239" s="1321"/>
      <c r="AS239" s="1321"/>
      <c r="AT239" s="1321"/>
      <c r="AU239" s="1321"/>
      <c r="AV239" s="1321"/>
      <c r="AW239" s="1321"/>
      <c r="AX239" s="1321"/>
      <c r="AY239" s="1321"/>
      <c r="AZ239" s="1321"/>
      <c r="BA239" s="1321"/>
      <c r="BB239" s="1075" t="str">
        <f t="shared" si="75"/>
        <v>Bouchons luzerne</v>
      </c>
      <c r="BC239" s="1269">
        <f t="array" ref="BC239">IF(Ration_complète_bovins[somme]&gt;0,0,IFERROR(IF(OR(AND(INDEX(Règles_bovins[Specificite],MATCH(ChoixRationBovins&amp;$BB239,Règles_bovins[Ration]&amp;Règles_bovins[Aliment],0))="s1",IF($BB239=Spécificité1Bovins,1)),
AND(INDEX(Règles_bovins[Specificite],MATCH(ChoixRationBovins&amp;$BB239,Règles_bovins[Ration]&amp;Règles_bovins[Aliment],0))="s2",IF($BB239=Spécificité2Bovins,1)),
INDEX(Règles_bovins[Specificite],MATCH(ChoixRationBovins&amp;$BB239,Règles_bovins[Ration]&amp;Règles_bovins[Aliment],0))="c"),
INDEX(Règles_bovins[Valeur 36 et plus],MATCH(ChoixRationBovins&amp;$BB239,Règles_bovins[Ration]&amp;Règles_bovins[Aliment],0)),0),0)*IF(ChoixBovinsPréHiver=OUI,TotalVachesRacesLaitières,TotalVaches*SUM(NbreJoursNourrirBovins)))</f>
        <v>0</v>
      </c>
      <c r="BD239" s="1269">
        <f t="array" ref="BD239">IF(Ration_complète_bovins[somme]&gt;0,0,IFERROR(IF(OR(AND(INDEX(Règles_bovins[Specificite],MATCH(ChoixRationBovins&amp;$BB239,Règles_bovins[Ration]&amp;Règles_bovins[Aliment],0))="s1",IF($BB239=Spécificité1Bovins,1)),
AND(INDEX(Règles_bovins[Specificite],MATCH(ChoixRationBovins&amp;$BB239,Règles_bovins[Ration]&amp;Règles_bovins[Aliment],0))="s2",IF($BB239=Spécificité2Bovins,1)),
INDEX(Règles_bovins[Specificite],MATCH(ChoixRationBovins&amp;$BB239,Règles_bovins[Ration]&amp;Règles_bovins[Aliment],0))="c"),
INDEX(Règles_bovins[Valeur 24-36],MATCH(ChoixRationBovins&amp;$BB239,Règles_bovins[Ration]&amp;Règles_bovins[Aliment],0)),0),0)*IF(ChoixBovinsPréHiver=OUI,TotalGénisse_24_36_RacesLaitières,TotalBovinsFemelles_24_36mois*SUM(NbreJoursNourrirBovins)))</f>
        <v>0</v>
      </c>
      <c r="BE239" s="1269">
        <f t="array" ref="BE239">IF(Ration_complète_bovins[somme]&gt;0,0,IFERROR(IF(OR(AND(INDEX(Règles_bovins[Specificite],MATCH(ChoixRationBovins&amp;$BB239,Règles_bovins[Ration]&amp;Règles_bovins[Aliment],0))="s1",IF($BB239=Spécificité1Bovins,1)),
AND(INDEX(Règles_bovins[Specificite],MATCH(ChoixRationBovins&amp;$BB239,Règles_bovins[Ration]&amp;Règles_bovins[Aliment],0))="s2",IF($BB239=Spécificité2Bovins,1)),
INDEX(Règles_bovins[Specificite],MATCH(ChoixRationBovins&amp;$BB239,Règles_bovins[Ration]&amp;Règles_bovins[Aliment],0))="c"),
INDEX(Règles_bovins[Valeur 18-24],MATCH(ChoixRationBovins&amp;$BB239,Règles_bovins[Ration]&amp;Règles_bovins[Aliment],0)),0),0)*IF(ChoixBovinsPréHiver=OUI,TotalGénisse_18_24_RacesLaitières,TotalBovinsFemelles_18_24mois*SUM(NbreJoursNourrirBovins)))</f>
        <v>0</v>
      </c>
      <c r="BF239" s="1269">
        <f t="array" ref="BF239">IF(Ration_complète_bovins[somme]&gt;0,0,IFERROR(IF(OR(AND(INDEX(Règles_bovins[Specificite],MATCH(ChoixRationBovins&amp;$BB239,Règles_bovins[Ration]&amp;Règles_bovins[Aliment],0))="s1",IF($BB239=Spécificité1Bovins,1)),
AND(INDEX(Règles_bovins[Specificite],MATCH(ChoixRationBovins&amp;$BB239,Règles_bovins[Ration]&amp;Règles_bovins[Aliment],0))="s2",IF($BB239=Spécificité2Bovins,1)),
INDEX(Règles_bovins[Specificite],MATCH(ChoixRationBovins&amp;$BB239,Règles_bovins[Ration]&amp;Règles_bovins[Aliment],0))="c"),
INDEX(Règles_bovins[Valeur 12-18],MATCH(ChoixRationBovins&amp;$BB239,Règles_bovins[Ration]&amp;Règles_bovins[Aliment],0)),0),0)*IF(ChoixBovinsPréHiver=OUI,TotalGénisse_12_18_RacesLaitières,TotalBovinsFemelles_12_18mois*SUM(NbreJoursNourrirBovins)))</f>
        <v>0</v>
      </c>
      <c r="BG239" s="1269">
        <f t="array" ref="BG239">IF(Ration_complète_bovins[somme]&gt;0,0,IFERROR(IF(OR(AND(INDEX(Règles_bovins[Specificite],MATCH(ChoixRationBovins&amp;$BB239,Règles_bovins[Ration]&amp;Règles_bovins[Aliment],0))="s1",IF($BB239=Spécificité1Bovins,1)),
AND(INDEX(Règles_bovins[Specificite],MATCH(ChoixRationBovins&amp;$BB239,Règles_bovins[Ration]&amp;Règles_bovins[Aliment],0))="s2",IF($BB239=Spécificité2Bovins,1)),
INDEX(Règles_bovins[Specificite],MATCH(ChoixRationBovins&amp;$BB239,Règles_bovins[Ration]&amp;Règles_bovins[Aliment],0))="c"),
INDEX(Règles_bovins[Valeur 6-12],MATCH(ChoixRationBovins&amp;$BB239,Règles_bovins[Ration]&amp;Règles_bovins[Aliment],0)),0),0)*IF(ChoixBovinsPréHiver=OUI,TotalVeauFemelle_6_12_RacesLaitières,TotalBovinsFemelles_6_12mois*SUM(NbreJoursNourrirBovins)))</f>
        <v>0</v>
      </c>
      <c r="BH239" s="1269">
        <f t="array" ref="BH239">IF(Ration_complète_bovins[somme]&gt;0,0,IFERROR(IF(OR(AND(INDEX(Règles_bovins[Specificite],MATCH(ChoixRationBovins&amp;$BB239,Règles_bovins[Ration]&amp;Règles_bovins[Aliment],0))="s1",IF($BB239=Spécificité1Bovins,1)),
AND(INDEX(Règles_bovins[Specificite],MATCH(ChoixRationBovins&amp;$BB239,Règles_bovins[Ration]&amp;Règles_bovins[Aliment],0))="s2",IF($BB239=Spécificité2Bovins,1)),
INDEX(Règles_bovins[Specificite],MATCH(ChoixRationBovins&amp;$BB239,Règles_bovins[Ration]&amp;Règles_bovins[Aliment],0))="c"),
INDEX(Règles_bovins[Valeur 3-6],MATCH(ChoixRationBovins&amp;$BB239,Règles_bovins[Ration]&amp;Règles_bovins[Aliment],0)),0),0)*IF(ChoixBovinsPréHiver=OUI,TotalVeauFemelle_3_6_RacesLaitières,TotalBovinsFemelles_3_6mois*SUM(NbreJoursNourrirBovins)))</f>
        <v>0</v>
      </c>
      <c r="BI239" s="1269">
        <f t="array" ref="BI239">IF(Ration_complète_bovins[somme]&gt;0,0,IFERROR(IF(OR(AND(INDEX(Règles_bovins[Specificite],MATCH(ChoixRationBovins&amp;$BB239,Règles_bovins[Ration]&amp;Règles_bovins[Aliment],0))="s1",IF($BB239=Spécificité1Bovins,1)),
AND(INDEX(Règles_bovins[Specificite],MATCH(ChoixRationBovins&amp;$BB239,Règles_bovins[Ration]&amp;Règles_bovins[Aliment],0))="s2",IF($BB239=Spécificité2Bovins,1)),
INDEX(Règles_bovins[Specificite],MATCH(ChoixRationBovins&amp;$BB239,Règles_bovins[Ration]&amp;Règles_bovins[Aliment],0))="c"),
INDEX(Règles_bovins[Valeur 0-3],MATCH(ChoixRationBovins&amp;$BB239,Règles_bovins[Ration]&amp;Règles_bovins[Aliment],0)),0),0)*IF(ChoixBovinsPréHiver=OUI,TotalVeauFemelle_0_3_RacesLaitières,TotalBovinsFemelles_0_3mois*SUM(NbreJoursNourrirBovins)))</f>
        <v>0</v>
      </c>
      <c r="BJ239" s="1270">
        <f t="shared" si="74"/>
        <v>0</v>
      </c>
      <c r="BK239" s="1321"/>
      <c r="BL239" s="1345"/>
      <c r="BM239" s="1346"/>
      <c r="BN239" s="1321"/>
      <c r="BO239" s="1321"/>
      <c r="BP239" s="1321"/>
      <c r="BQ239" s="1321"/>
      <c r="BR239" s="1321"/>
      <c r="BS239" s="1321"/>
      <c r="BT239" s="1321"/>
      <c r="BU239" s="1321"/>
      <c r="BV239" s="1345"/>
      <c r="BW239" s="1345"/>
      <c r="BX239" s="1321"/>
      <c r="BY239" s="1321"/>
      <c r="BZ239" s="1321"/>
      <c r="CA239" s="1321"/>
      <c r="CB239" s="1321"/>
      <c r="CC239" s="1321"/>
      <c r="CD239" s="1345"/>
      <c r="CE239" s="1345"/>
      <c r="CF239" s="1345"/>
      <c r="CG239" s="1345"/>
      <c r="CH239" s="1345"/>
      <c r="CI239" s="1321"/>
      <c r="CJ239" s="1321"/>
      <c r="CK239" s="1321"/>
      <c r="CL239" s="1321"/>
      <c r="CM239" s="1321"/>
      <c r="CN239" s="1321"/>
      <c r="CO239" s="1321"/>
      <c r="CP239" s="1321"/>
      <c r="CQ239" s="1321"/>
      <c r="CR239" s="1321"/>
      <c r="CS239" s="1321"/>
      <c r="CT239" s="1321"/>
      <c r="CU239" s="1321"/>
      <c r="CV239" s="1321"/>
      <c r="CW239" s="1321"/>
      <c r="CX239" s="1321"/>
      <c r="CY239" s="1321"/>
      <c r="CZ239" s="1321"/>
      <c r="DA239" s="1321"/>
      <c r="DB239" s="1321"/>
      <c r="DC239" s="1321"/>
      <c r="DD239" s="1321"/>
      <c r="DE239" s="1321"/>
      <c r="DF239" s="1321"/>
      <c r="DG239" s="1321"/>
      <c r="DH239" s="1321"/>
      <c r="DI239" s="1321"/>
      <c r="DJ239" s="1321"/>
      <c r="DK239" s="1321"/>
      <c r="DL239" s="1321"/>
      <c r="DM239" s="1321"/>
      <c r="DN239" s="1075" t="str">
        <f t="shared" ref="DN239:DN276" si="77">DN151</f>
        <v>Betterave</v>
      </c>
      <c r="DO239" s="1269">
        <f t="array" ref="DO239">IF(ChoixRationHivernaleOvinsComplète=OUI,0,IFERROR(IF(OR(AND(INDEX(Règles_ovins[Specificite],MATCH(RationHivernaleOvinsAuPré&amp;$DN239,Règles_ovins[Ration]&amp;Règles_ovins[Aliment],0))="s1",IF($DN239=Spécificité1Ovins,1)),
AND(INDEX(Règles_ovins[Specificite],MATCH(RationHivernaleOvinsAuPré&amp;$DN239,Règles_ovins[Ration]&amp;Règles_ovins[Aliment],0))="s2",IF($DN239=Spécificité2Ovins,1)),
INDEX(Règles_ovins[Specificite],MATCH(RationHivernaleOvinsAuPré&amp;$DN239,Règles_ovins[Ration]&amp;Règles_ovins[Aliment],0))="c"),
INDEX(Règles_ovins[Valeur 12 et plus],MATCH(RationHivernaleOvinsAuPré&amp;$DN239,Règles_ovins[Ration]&amp;Règles_ovins[Aliment],0)),0),0)*IF(SUM(TotalOvinsAdultesAuPré)&gt;0,SUM(TotalOvinsAdultesAuPré)*SUM(AD76:AD100),SUM(TotalOvinsAdultes)*SUM(AD76:AD100)))</f>
        <v>0</v>
      </c>
      <c r="DP239" s="1269">
        <f t="array" ref="DP239">IF(ChoixRationHivernaleOvinsComplète=OUI,0,IFERROR(IF(OR(AND(INDEX(Règles_ovins[Specificite],MATCH(RationHivernaleOvinsAuPré&amp;$DN239,Règles_ovins[Ration]&amp;Règles_ovins[Aliment],0))="s1",IF($DN239=Spécificité1Ovins,1)),
AND(INDEX(Règles_ovins[Specificite],MATCH(RationHivernaleOvinsAuPré&amp;$DN239,Règles_ovins[Ration]&amp;Règles_ovins[Aliment],0))="s2",IF($DN239=Spécificité2Ovins,1)),
INDEX(Règles_ovins[Specificite],MATCH(RationHivernaleOvinsAuPré&amp;$DN239,Règles_ovins[Ration]&amp;Règles_ovins[Aliment],0))="c"),
INDEX(Règles_ovins[Valeur 6-12],MATCH(RationHivernaleOvinsAuPré&amp;$DN239,Règles_ovins[Ration]&amp;Règles_ovins[Aliment],0)),0),0)*IF(SUM(TotalOvins_6_12moisAuPré)&gt;0,SUM(TotalOvins_6_12moisAuPré)*SUM(AD76:AD100),SUM(TotalJeunesOvins)*SUM(AD76:AD100)))</f>
        <v>0</v>
      </c>
      <c r="DQ239" s="1269">
        <f t="array" ref="DQ239">IF(ChoixRationHivernaleOvinsComplète=OUI,0,IFERROR(IF(OR(AND(INDEX(Règles_ovins[Specificite],MATCH(RationHivernaleOvinsAuPré&amp;$DN239,Règles_ovins[Ration]&amp;Règles_ovins[Aliment],0))="s1",IF($DN239=Spécificité1Ovins,1)),
AND(INDEX(Règles_ovins[Specificite],MATCH(RationHivernaleOvinsAuPré&amp;$DN239,Règles_ovins[Ration]&amp;Règles_ovins[Aliment],0))="s2",IF($DN239=Spécificité2Ovins,1)),
INDEX(Règles_ovins[Specificite],MATCH(RationHivernaleOvinsAuPré&amp;$DN239,Règles_ovins[Ration]&amp;Règles_ovins[Aliment],0))="c"),
INDEX(Règles_ovins[Valeur 3-6],MATCH(RationHivernaleOvinsAuPré&amp;$DN239,Règles_ovins[Ration]&amp;Règles_ovins[Aliment],0)),0),0)*IF(SUM(TotalOvins_3_6moisAuPré)&gt;0,SUM(TotalOvins_3_6moisAuPré)*SUM(AD76:AD100),SUM(TotalOvins_3_6mois)*SUM(AD76:AD100)))</f>
        <v>0</v>
      </c>
      <c r="DR239" s="1269">
        <f t="array" ref="DR239">IF(ChoixRationHivernaleOvinsComplète=OUI,0,IFERROR(IF(OR(AND(INDEX(Règles_ovins[Specificite],MATCH(RationHivernaleOvinsAuPré&amp;$DN239,Règles_ovins[Ration]&amp;Règles_ovins[Aliment],0))="s1",IF($DN239=Spécificité1Ovins,1)),
AND(INDEX(Règles_ovins[Specificite],MATCH(RationHivernaleOvinsAuPré&amp;$DN239,Règles_ovins[Ration]&amp;Règles_ovins[Aliment],0))="s2",IF($DN239=Spécificité2Ovins,1)),
INDEX(Règles_ovins[Specificite],MATCH(RationHivernaleOvinsAuPré&amp;$DN239,Règles_ovins[Ration]&amp;Règles_ovins[Aliment],0))="c"),
INDEX(Règles_ovins[Valeur 0-3],MATCH(RationHivernaleOvinsAuPré&amp;$DN239,Règles_ovins[Ration]&amp;Règles_ovins[Aliment],0)),0),0)*IF(SUM(TotalOvins_0_3moisAuPré)&gt;0,SUM(TotalOvins_0_3moisAuPré)*SUM(AD76:AD100),SUM(TotalOvins_3_6mois)*SUM(AD76:AD100)))</f>
        <v>0</v>
      </c>
      <c r="DS239" s="1280">
        <f t="shared" si="76"/>
        <v>0</v>
      </c>
      <c r="DT239" s="1346"/>
      <c r="DU239" s="1346"/>
      <c r="DV239" s="1321"/>
      <c r="DW239" s="1321"/>
      <c r="DX239" s="1321"/>
      <c r="DY239" s="1321"/>
      <c r="DZ239" s="1321"/>
      <c r="EA239" s="1321"/>
      <c r="EB239" s="1321"/>
      <c r="EC239" s="1321"/>
      <c r="ED239" s="1345"/>
      <c r="EE239" s="1345"/>
      <c r="EF239" s="1321"/>
      <c r="EG239" s="1321"/>
      <c r="EH239" s="1321"/>
      <c r="EI239" s="1321"/>
      <c r="EJ239" s="1321"/>
      <c r="EK239" s="1345"/>
      <c r="EL239" s="1345"/>
      <c r="EM239" s="1321"/>
      <c r="EN239" s="1321"/>
      <c r="EO239" s="1321"/>
      <c r="EP239" s="1321"/>
      <c r="EQ239" s="1321"/>
      <c r="ER239" s="1345"/>
      <c r="ES239" s="1345"/>
      <c r="ET239" s="1321"/>
      <c r="EU239" s="1082">
        <f t="shared" si="73"/>
        <v>0</v>
      </c>
      <c r="EV239" s="1282"/>
      <c r="EW239" s="1282"/>
      <c r="EX239" s="1282"/>
      <c r="EY239" s="1321"/>
      <c r="EZ239" s="1345"/>
      <c r="FA239" s="1345"/>
      <c r="FB239" s="1345"/>
      <c r="FC239" s="1321"/>
      <c r="FD239" s="1321"/>
      <c r="FE239" s="1321"/>
      <c r="FF239" s="1321"/>
      <c r="FG239" s="1321"/>
      <c r="FH239" s="1321"/>
      <c r="FI239" s="1321"/>
      <c r="FJ239" s="1345"/>
      <c r="FK239" s="1345"/>
      <c r="FL239" s="1345"/>
      <c r="FM239" s="1321"/>
      <c r="FN239" s="1345"/>
      <c r="FO239" s="1345"/>
      <c r="FP239" s="1345"/>
      <c r="FQ239" s="1345"/>
      <c r="FR239" s="1345"/>
      <c r="FS239" s="1345"/>
      <c r="FT239" s="1345"/>
      <c r="FU239" s="1345"/>
      <c r="FV239" s="1345"/>
      <c r="FW239" s="1321"/>
      <c r="FX239" s="1321"/>
      <c r="FY239" s="1321"/>
      <c r="FZ239" s="1321"/>
      <c r="GA239" s="1345"/>
      <c r="GB239" s="1321"/>
      <c r="GC239" s="1321"/>
      <c r="GD239" s="1321"/>
      <c r="GE239" s="1321"/>
      <c r="GF239" s="1321"/>
      <c r="GG239" s="1321" t="s">
        <v>1349</v>
      </c>
      <c r="GH239" s="1321" t="s">
        <v>1349</v>
      </c>
      <c r="GI239" s="1321" t="s">
        <v>1349</v>
      </c>
      <c r="GJ239" s="1321" t="s">
        <v>1349</v>
      </c>
      <c r="GK239" s="1321" t="s">
        <v>1349</v>
      </c>
      <c r="GL239" s="1321" t="s">
        <v>1349</v>
      </c>
      <c r="GM239" s="1321" t="s">
        <v>1349</v>
      </c>
      <c r="GN239" s="1321" t="s">
        <v>1349</v>
      </c>
      <c r="GO239" s="1321" t="s">
        <v>1349</v>
      </c>
      <c r="GP239" s="1321" t="s">
        <v>1349</v>
      </c>
      <c r="GQ239" s="1321" t="s">
        <v>1349</v>
      </c>
      <c r="GR239" s="1321" t="s">
        <v>1349</v>
      </c>
      <c r="GS239" s="1321" t="s">
        <v>1349</v>
      </c>
      <c r="GT239" s="1321" t="s">
        <v>1349</v>
      </c>
      <c r="GU239" s="1321" t="s">
        <v>1349</v>
      </c>
      <c r="GV239" s="1321" t="s">
        <v>1349</v>
      </c>
      <c r="GW239" s="1321"/>
      <c r="GX239" s="1321"/>
      <c r="GY239" s="1321"/>
      <c r="GZ239" s="1321"/>
      <c r="HA239" s="1321"/>
      <c r="HB239" s="1321"/>
      <c r="HC239" s="1321"/>
      <c r="HD239" s="1321"/>
      <c r="HE239" s="1321"/>
      <c r="HF239" s="1321"/>
      <c r="HG239" s="1321"/>
      <c r="HH239" s="1321"/>
      <c r="HI239" s="1321"/>
      <c r="HJ239" s="1321"/>
      <c r="HK239" s="1321"/>
      <c r="HL239" s="1321"/>
      <c r="HM239" s="1321"/>
      <c r="HN239" s="1321"/>
      <c r="HO239" s="1321"/>
      <c r="HP239" s="1321"/>
      <c r="HQ239" s="1321"/>
      <c r="HR239" s="1321"/>
      <c r="HS239" s="1321"/>
      <c r="HT239" s="1321"/>
      <c r="HU239" s="1321"/>
      <c r="HV239" s="1321"/>
      <c r="HW239" s="1321"/>
      <c r="HX239" s="1321"/>
      <c r="HY239" s="1321"/>
      <c r="HZ239" s="1321"/>
      <c r="IA239" s="1321"/>
      <c r="IB239" s="1321"/>
      <c r="IC239" s="1321"/>
      <c r="ID239" s="1321"/>
      <c r="IE239" s="1321"/>
      <c r="IF239" s="1321"/>
      <c r="IG239" s="1321"/>
      <c r="IH239" s="1321"/>
      <c r="II239" s="1321"/>
      <c r="IJ239" s="1321"/>
      <c r="IK239" s="1321"/>
      <c r="IL239" s="1321"/>
      <c r="IM239" s="1321"/>
      <c r="IN239" s="1368"/>
    </row>
    <row r="240" spans="1:248" ht="12.75" customHeight="1" x14ac:dyDescent="0.2">
      <c r="A240" s="1319"/>
      <c r="B240" s="1321"/>
      <c r="C240" s="1321"/>
      <c r="D240" s="1321"/>
      <c r="E240" s="1321"/>
      <c r="F240" s="1321"/>
      <c r="G240" s="1321"/>
      <c r="H240" s="1321"/>
      <c r="I240" s="1321"/>
      <c r="J240" s="1321"/>
      <c r="K240" s="1321"/>
      <c r="L240" s="1321"/>
      <c r="M240" s="1321"/>
      <c r="N240" s="1321"/>
      <c r="O240" s="1321"/>
      <c r="P240" s="1321"/>
      <c r="Q240" s="1321"/>
      <c r="R240" s="1321"/>
      <c r="S240" s="1321"/>
      <c r="T240" s="1321"/>
      <c r="U240" s="1321"/>
      <c r="V240" s="1321"/>
      <c r="W240" s="1321"/>
      <c r="X240" s="1321"/>
      <c r="Y240" s="1321"/>
      <c r="Z240" s="1321"/>
      <c r="AA240" s="1321"/>
      <c r="AB240" s="1321"/>
      <c r="AC240" s="1321"/>
      <c r="AD240" s="1321"/>
      <c r="AE240" s="1321"/>
      <c r="AF240" s="1321"/>
      <c r="AG240" s="1321"/>
      <c r="AH240" s="1321"/>
      <c r="AI240" s="1321"/>
      <c r="AJ240" s="1321"/>
      <c r="AK240" s="1321"/>
      <c r="AL240" s="1321"/>
      <c r="AM240" s="1321"/>
      <c r="AN240" s="1321"/>
      <c r="AO240" s="1321"/>
      <c r="AP240" s="1321"/>
      <c r="AQ240" s="1321"/>
      <c r="AR240" s="1321"/>
      <c r="AS240" s="1321"/>
      <c r="AT240" s="1321"/>
      <c r="AU240" s="1321"/>
      <c r="AV240" s="1321"/>
      <c r="AW240" s="1321"/>
      <c r="AX240" s="1321"/>
      <c r="AY240" s="1321"/>
      <c r="AZ240" s="1321"/>
      <c r="BA240" s="1321"/>
      <c r="BB240" s="1076" t="str">
        <f t="shared" si="75"/>
        <v>Chanvre</v>
      </c>
      <c r="BC240" s="1267">
        <f t="array" ref="BC240">IF(Ration_complète_bovins[somme]&gt;0,0,IFERROR(IF(OR(AND(INDEX(Règles_bovins[Specificite],MATCH(ChoixRationBovins&amp;$BB240,Règles_bovins[Ration]&amp;Règles_bovins[Aliment],0))="s1",IF($BB240=Spécificité1Bovins,1)),
AND(INDEX(Règles_bovins[Specificite],MATCH(ChoixRationBovins&amp;$BB240,Règles_bovins[Ration]&amp;Règles_bovins[Aliment],0))="s2",IF($BB240=Spécificité2Bovins,1)),
INDEX(Règles_bovins[Specificite],MATCH(ChoixRationBovins&amp;$BB240,Règles_bovins[Ration]&amp;Règles_bovins[Aliment],0))="c"),
INDEX(Règles_bovins[Valeur 36 et plus],MATCH(ChoixRationBovins&amp;$BB240,Règles_bovins[Ration]&amp;Règles_bovins[Aliment],0)),0),0)*IF(ChoixBovinsPréHiver=OUI,TotalVachesRacesLaitières,TotalVaches*SUM(NbreJoursNourrirBovins)))</f>
        <v>0</v>
      </c>
      <c r="BD240" s="1267">
        <f t="array" ref="BD240">IF(Ration_complète_bovins[somme]&gt;0,0,IFERROR(IF(OR(AND(INDEX(Règles_bovins[Specificite],MATCH(ChoixRationBovins&amp;$BB240,Règles_bovins[Ration]&amp;Règles_bovins[Aliment],0))="s1",IF($BB240=Spécificité1Bovins,1)),
AND(INDEX(Règles_bovins[Specificite],MATCH(ChoixRationBovins&amp;$BB240,Règles_bovins[Ration]&amp;Règles_bovins[Aliment],0))="s2",IF($BB240=Spécificité2Bovins,1)),
INDEX(Règles_bovins[Specificite],MATCH(ChoixRationBovins&amp;$BB240,Règles_bovins[Ration]&amp;Règles_bovins[Aliment],0))="c"),
INDEX(Règles_bovins[Valeur 24-36],MATCH(ChoixRationBovins&amp;$BB240,Règles_bovins[Ration]&amp;Règles_bovins[Aliment],0)),0),0)*IF(ChoixBovinsPréHiver=OUI,TotalGénisse_24_36_RacesLaitières,TotalBovinsFemelles_24_36mois*SUM(NbreJoursNourrirBovins)))</f>
        <v>0</v>
      </c>
      <c r="BE240" s="1267">
        <f t="array" ref="BE240">IF(Ration_complète_bovins[somme]&gt;0,0,IFERROR(IF(OR(AND(INDEX(Règles_bovins[Specificite],MATCH(ChoixRationBovins&amp;$BB240,Règles_bovins[Ration]&amp;Règles_bovins[Aliment],0))="s1",IF($BB240=Spécificité1Bovins,1)),
AND(INDEX(Règles_bovins[Specificite],MATCH(ChoixRationBovins&amp;$BB240,Règles_bovins[Ration]&amp;Règles_bovins[Aliment],0))="s2",IF($BB240=Spécificité2Bovins,1)),
INDEX(Règles_bovins[Specificite],MATCH(ChoixRationBovins&amp;$BB240,Règles_bovins[Ration]&amp;Règles_bovins[Aliment],0))="c"),
INDEX(Règles_bovins[Valeur 18-24],MATCH(ChoixRationBovins&amp;$BB240,Règles_bovins[Ration]&amp;Règles_bovins[Aliment],0)),0),0)*IF(ChoixBovinsPréHiver=OUI,TotalGénisse_18_24_RacesLaitières,TotalBovinsFemelles_18_24mois*SUM(NbreJoursNourrirBovins)))</f>
        <v>0</v>
      </c>
      <c r="BF240" s="1267">
        <f t="array" ref="BF240">IF(Ration_complète_bovins[somme]&gt;0,0,IFERROR(IF(OR(AND(INDEX(Règles_bovins[Specificite],MATCH(ChoixRationBovins&amp;$BB240,Règles_bovins[Ration]&amp;Règles_bovins[Aliment],0))="s1",IF($BB240=Spécificité1Bovins,1)),
AND(INDEX(Règles_bovins[Specificite],MATCH(ChoixRationBovins&amp;$BB240,Règles_bovins[Ration]&amp;Règles_bovins[Aliment],0))="s2",IF($BB240=Spécificité2Bovins,1)),
INDEX(Règles_bovins[Specificite],MATCH(ChoixRationBovins&amp;$BB240,Règles_bovins[Ration]&amp;Règles_bovins[Aliment],0))="c"),
INDEX(Règles_bovins[Valeur 12-18],MATCH(ChoixRationBovins&amp;$BB240,Règles_bovins[Ration]&amp;Règles_bovins[Aliment],0)),0),0)*IF(ChoixBovinsPréHiver=OUI,TotalGénisse_12_18_RacesLaitières,TotalBovinsFemelles_12_18mois*SUM(NbreJoursNourrirBovins)))</f>
        <v>0</v>
      </c>
      <c r="BG240" s="1267">
        <f t="array" ref="BG240">IF(Ration_complète_bovins[somme]&gt;0,0,IFERROR(IF(OR(AND(INDEX(Règles_bovins[Specificite],MATCH(ChoixRationBovins&amp;$BB240,Règles_bovins[Ration]&amp;Règles_bovins[Aliment],0))="s1",IF($BB240=Spécificité1Bovins,1)),
AND(INDEX(Règles_bovins[Specificite],MATCH(ChoixRationBovins&amp;$BB240,Règles_bovins[Ration]&amp;Règles_bovins[Aliment],0))="s2",IF($BB240=Spécificité2Bovins,1)),
INDEX(Règles_bovins[Specificite],MATCH(ChoixRationBovins&amp;$BB240,Règles_bovins[Ration]&amp;Règles_bovins[Aliment],0))="c"),
INDEX(Règles_bovins[Valeur 6-12],MATCH(ChoixRationBovins&amp;$BB240,Règles_bovins[Ration]&amp;Règles_bovins[Aliment],0)),0),0)*IF(ChoixBovinsPréHiver=OUI,TotalVeauFemelle_6_12_RacesLaitières,TotalBovinsFemelles_6_12mois*SUM(NbreJoursNourrirBovins)))</f>
        <v>0</v>
      </c>
      <c r="BH240" s="1267">
        <f t="array" ref="BH240">IF(Ration_complète_bovins[somme]&gt;0,0,IFERROR(IF(OR(AND(INDEX(Règles_bovins[Specificite],MATCH(ChoixRationBovins&amp;$BB240,Règles_bovins[Ration]&amp;Règles_bovins[Aliment],0))="s1",IF($BB240=Spécificité1Bovins,1)),
AND(INDEX(Règles_bovins[Specificite],MATCH(ChoixRationBovins&amp;$BB240,Règles_bovins[Ration]&amp;Règles_bovins[Aliment],0))="s2",IF($BB240=Spécificité2Bovins,1)),
INDEX(Règles_bovins[Specificite],MATCH(ChoixRationBovins&amp;$BB240,Règles_bovins[Ration]&amp;Règles_bovins[Aliment],0))="c"),
INDEX(Règles_bovins[Valeur 3-6],MATCH(ChoixRationBovins&amp;$BB240,Règles_bovins[Ration]&amp;Règles_bovins[Aliment],0)),0),0)*IF(ChoixBovinsPréHiver=OUI,TotalVeauFemelle_3_6_RacesLaitières,TotalBovinsFemelles_3_6mois*SUM(NbreJoursNourrirBovins)))</f>
        <v>0</v>
      </c>
      <c r="BI240" s="1267">
        <f t="array" ref="BI240">IF(Ration_complète_bovins[somme]&gt;0,0,IFERROR(IF(OR(AND(INDEX(Règles_bovins[Specificite],MATCH(ChoixRationBovins&amp;$BB240,Règles_bovins[Ration]&amp;Règles_bovins[Aliment],0))="s1",IF($BB240=Spécificité1Bovins,1)),
AND(INDEX(Règles_bovins[Specificite],MATCH(ChoixRationBovins&amp;$BB240,Règles_bovins[Ration]&amp;Règles_bovins[Aliment],0))="s2",IF($BB240=Spécificité2Bovins,1)),
INDEX(Règles_bovins[Specificite],MATCH(ChoixRationBovins&amp;$BB240,Règles_bovins[Ration]&amp;Règles_bovins[Aliment],0))="c"),
INDEX(Règles_bovins[Valeur 0-3],MATCH(ChoixRationBovins&amp;$BB240,Règles_bovins[Ration]&amp;Règles_bovins[Aliment],0)),0),0)*IF(ChoixBovinsPréHiver=OUI,TotalVeauFemelle_0_3_RacesLaitières,TotalBovinsFemelles_0_3mois*SUM(NbreJoursNourrirBovins)))</f>
        <v>0</v>
      </c>
      <c r="BJ240" s="1268">
        <f t="shared" si="74"/>
        <v>0</v>
      </c>
      <c r="BK240" s="1321"/>
      <c r="BL240" s="1345"/>
      <c r="BM240" s="1346"/>
      <c r="BN240" s="1321"/>
      <c r="BO240" s="1321"/>
      <c r="BP240" s="1321"/>
      <c r="BQ240" s="1321"/>
      <c r="BR240" s="1321"/>
      <c r="BS240" s="1321"/>
      <c r="BT240" s="1321"/>
      <c r="BU240" s="1321"/>
      <c r="BV240" s="1345"/>
      <c r="BW240" s="1345"/>
      <c r="BX240" s="1321"/>
      <c r="BY240" s="1321"/>
      <c r="BZ240" s="1321"/>
      <c r="CA240" s="1321"/>
      <c r="CB240" s="1321"/>
      <c r="CC240" s="1321"/>
      <c r="CD240" s="1345"/>
      <c r="CE240" s="1345"/>
      <c r="CF240" s="1345"/>
      <c r="CG240" s="1345"/>
      <c r="CH240" s="1345"/>
      <c r="CI240" s="1321"/>
      <c r="CJ240" s="1321"/>
      <c r="CK240" s="1321"/>
      <c r="CL240" s="1321"/>
      <c r="CM240" s="1321"/>
      <c r="CN240" s="1321"/>
      <c r="CO240" s="1321"/>
      <c r="CP240" s="1321"/>
      <c r="CQ240" s="1321"/>
      <c r="CR240" s="1321"/>
      <c r="CS240" s="1321"/>
      <c r="CT240" s="1321"/>
      <c r="CU240" s="1321"/>
      <c r="CV240" s="1321"/>
      <c r="CW240" s="1321"/>
      <c r="CX240" s="1321"/>
      <c r="CY240" s="1321"/>
      <c r="CZ240" s="1321"/>
      <c r="DA240" s="1321"/>
      <c r="DB240" s="1321"/>
      <c r="DC240" s="1321"/>
      <c r="DD240" s="1321"/>
      <c r="DE240" s="1321"/>
      <c r="DF240" s="1321"/>
      <c r="DG240" s="1321"/>
      <c r="DH240" s="1321"/>
      <c r="DI240" s="1321"/>
      <c r="DJ240" s="1321"/>
      <c r="DK240" s="1321"/>
      <c r="DL240" s="1321"/>
      <c r="DM240" s="1321"/>
      <c r="DN240" s="1076" t="str">
        <f t="shared" si="77"/>
        <v>Blé</v>
      </c>
      <c r="DO240" s="1267">
        <f t="array" ref="DO240">IF(ChoixRationHivernaleOvinsComplète=OUI,0,IFERROR(IF(OR(AND(INDEX(Règles_ovins[Specificite],MATCH(RationHivernaleOvinsAuPré&amp;$DN240,Règles_ovins[Ration]&amp;Règles_ovins[Aliment],0))="s1",IF($DN240=Spécificité1Ovins,1)),
AND(INDEX(Règles_ovins[Specificite],MATCH(RationHivernaleOvinsAuPré&amp;$DN240,Règles_ovins[Ration]&amp;Règles_ovins[Aliment],0))="s2",IF($DN240=Spécificité2Ovins,1)),
INDEX(Règles_ovins[Specificite],MATCH(RationHivernaleOvinsAuPré&amp;$DN240,Règles_ovins[Ration]&amp;Règles_ovins[Aliment],0))="c"),
INDEX(Règles_ovins[Valeur 12 et plus],MATCH(RationHivernaleOvinsAuPré&amp;$DN240,Règles_ovins[Ration]&amp;Règles_ovins[Aliment],0)),0),0)*IF(SUM(TotalOvinsAdultesAuPré)&gt;0,SUM(TotalOvinsAdultesAuPré)*SUM(AD76:AD100),SUM(TotalOvinsAdultes)*SUM(AD76:AD100)))</f>
        <v>0</v>
      </c>
      <c r="DP240" s="1267">
        <f t="array" ref="DP240">IF(ChoixRationHivernaleOvinsComplète=OUI,0,IFERROR(IF(OR(AND(INDEX(Règles_ovins[Specificite],MATCH(RationHivernaleOvinsAuPré&amp;$DN240,Règles_ovins[Ration]&amp;Règles_ovins[Aliment],0))="s1",IF($DN240=Spécificité1Ovins,1)),
AND(INDEX(Règles_ovins[Specificite],MATCH(RationHivernaleOvinsAuPré&amp;$DN240,Règles_ovins[Ration]&amp;Règles_ovins[Aliment],0))="s2",IF($DN240=Spécificité2Ovins,1)),
INDEX(Règles_ovins[Specificite],MATCH(RationHivernaleOvinsAuPré&amp;$DN240,Règles_ovins[Ration]&amp;Règles_ovins[Aliment],0))="c"),
INDEX(Règles_ovins[Valeur 6-12],MATCH(RationHivernaleOvinsAuPré&amp;$DN240,Règles_ovins[Ration]&amp;Règles_ovins[Aliment],0)),0),0)*IF(SUM(TotalOvins_6_12moisAuPré)&gt;0,SUM(TotalOvins_6_12moisAuPré)*SUM(AD76:AD100),SUM(TotalJeunesOvins)*SUM(AD76:AD100)))</f>
        <v>0</v>
      </c>
      <c r="DQ240" s="1267">
        <f t="array" ref="DQ240">IF(ChoixRationHivernaleOvinsComplète=OUI,0,IFERROR(IF(OR(AND(INDEX(Règles_ovins[Specificite],MATCH(RationHivernaleOvinsAuPré&amp;$DN240,Règles_ovins[Ration]&amp;Règles_ovins[Aliment],0))="s1",IF($DN240=Spécificité1Ovins,1)),
AND(INDEX(Règles_ovins[Specificite],MATCH(RationHivernaleOvinsAuPré&amp;$DN240,Règles_ovins[Ration]&amp;Règles_ovins[Aliment],0))="s2",IF($DN240=Spécificité2Ovins,1)),
INDEX(Règles_ovins[Specificite],MATCH(RationHivernaleOvinsAuPré&amp;$DN240,Règles_ovins[Ration]&amp;Règles_ovins[Aliment],0))="c"),
INDEX(Règles_ovins[Valeur 3-6],MATCH(RationHivernaleOvinsAuPré&amp;$DN240,Règles_ovins[Ration]&amp;Règles_ovins[Aliment],0)),0),0)*IF(SUM(TotalOvins_3_6moisAuPré)&gt;0,SUM(TotalOvins_3_6moisAuPré)*SUM(AD76:AD100),SUM(TotalOvins_3_6mois)*SUM(AD76:AD100)))</f>
        <v>0</v>
      </c>
      <c r="DR240" s="1267">
        <f t="array" ref="DR240">IF(ChoixRationHivernaleOvinsComplète=OUI,0,IFERROR(IF(OR(AND(INDEX(Règles_ovins[Specificite],MATCH(RationHivernaleOvinsAuPré&amp;$DN240,Règles_ovins[Ration]&amp;Règles_ovins[Aliment],0))="s1",IF($DN240=Spécificité1Ovins,1)),
AND(INDEX(Règles_ovins[Specificite],MATCH(RationHivernaleOvinsAuPré&amp;$DN240,Règles_ovins[Ration]&amp;Règles_ovins[Aliment],0))="s2",IF($DN240=Spécificité2Ovins,1)),
INDEX(Règles_ovins[Specificite],MATCH(RationHivernaleOvinsAuPré&amp;$DN240,Règles_ovins[Ration]&amp;Règles_ovins[Aliment],0))="c"),
INDEX(Règles_ovins[Valeur 0-3],MATCH(RationHivernaleOvinsAuPré&amp;$DN240,Règles_ovins[Ration]&amp;Règles_ovins[Aliment],0)),0),0)*IF(SUM(TotalOvins_0_3moisAuPré)&gt;0,SUM(TotalOvins_0_3moisAuPré)*SUM(AD76:AD100),SUM(TotalOvins_3_6mois)*SUM(AD76:AD100)))</f>
        <v>0</v>
      </c>
      <c r="DS240" s="1279">
        <f t="shared" si="76"/>
        <v>0</v>
      </c>
      <c r="DT240" s="1346"/>
      <c r="DU240" s="1346"/>
      <c r="DV240" s="1321"/>
      <c r="DW240" s="1321"/>
      <c r="DX240" s="1321"/>
      <c r="DY240" s="1321"/>
      <c r="DZ240" s="1321"/>
      <c r="EA240" s="1321"/>
      <c r="EB240" s="1321"/>
      <c r="EC240" s="1321"/>
      <c r="ED240" s="1345"/>
      <c r="EE240" s="1345"/>
      <c r="EF240" s="1321"/>
      <c r="EG240" s="1321"/>
      <c r="EH240" s="1321"/>
      <c r="EI240" s="1321"/>
      <c r="EJ240" s="1321"/>
      <c r="EK240" s="1345"/>
      <c r="EL240" s="1345"/>
      <c r="EM240" s="1321"/>
      <c r="EN240" s="1321"/>
      <c r="EO240" s="1321"/>
      <c r="EP240" s="1321"/>
      <c r="EQ240" s="1321"/>
      <c r="ER240" s="1345"/>
      <c r="ES240" s="1345"/>
      <c r="ET240" s="1321"/>
      <c r="EU240" s="1083">
        <f t="shared" si="73"/>
        <v>0</v>
      </c>
      <c r="EV240" s="1283"/>
      <c r="EW240" s="1283"/>
      <c r="EX240" s="1283"/>
      <c r="EY240" s="1321"/>
      <c r="EZ240" s="1345"/>
      <c r="FA240" s="1345"/>
      <c r="FB240" s="1345"/>
      <c r="FC240" s="1321"/>
      <c r="FD240" s="1321"/>
      <c r="FE240" s="1321"/>
      <c r="FF240" s="1321"/>
      <c r="FG240" s="1321"/>
      <c r="FH240" s="1321"/>
      <c r="FI240" s="1321"/>
      <c r="FJ240" s="1345"/>
      <c r="FK240" s="1345"/>
      <c r="FL240" s="1345"/>
      <c r="FM240" s="1321"/>
      <c r="FN240" s="1345"/>
      <c r="FO240" s="1345"/>
      <c r="FP240" s="1345"/>
      <c r="FQ240" s="1345"/>
      <c r="FR240" s="1345"/>
      <c r="FS240" s="1345"/>
      <c r="FT240" s="1345"/>
      <c r="FU240" s="1345"/>
      <c r="FV240" s="1345"/>
      <c r="FW240" s="1321"/>
      <c r="FX240" s="1321"/>
      <c r="FY240" s="1321"/>
      <c r="FZ240" s="1321"/>
      <c r="GA240" s="1345"/>
      <c r="GB240" s="1321"/>
      <c r="GC240" s="1321"/>
      <c r="GD240" s="1321"/>
      <c r="GE240" s="1321"/>
      <c r="GF240" s="1321"/>
      <c r="GG240" s="1321" t="s">
        <v>1349</v>
      </c>
      <c r="GH240" s="1321" t="s">
        <v>1349</v>
      </c>
      <c r="GI240" s="1321" t="s">
        <v>1349</v>
      </c>
      <c r="GJ240" s="1321" t="s">
        <v>1349</v>
      </c>
      <c r="GK240" s="1321" t="s">
        <v>1349</v>
      </c>
      <c r="GL240" s="1321" t="s">
        <v>1349</v>
      </c>
      <c r="GM240" s="1321" t="s">
        <v>1349</v>
      </c>
      <c r="GN240" s="1321" t="s">
        <v>1349</v>
      </c>
      <c r="GO240" s="1321" t="s">
        <v>1349</v>
      </c>
      <c r="GP240" s="1321" t="s">
        <v>1349</v>
      </c>
      <c r="GQ240" s="1321" t="s">
        <v>1349</v>
      </c>
      <c r="GR240" s="1321" t="s">
        <v>1349</v>
      </c>
      <c r="GS240" s="1321" t="s">
        <v>1349</v>
      </c>
      <c r="GT240" s="1321" t="s">
        <v>1349</v>
      </c>
      <c r="GU240" s="1321" t="s">
        <v>1349</v>
      </c>
      <c r="GV240" s="1321" t="s">
        <v>1349</v>
      </c>
      <c r="GW240" s="1321"/>
      <c r="GX240" s="1321"/>
      <c r="GY240" s="1321"/>
      <c r="GZ240" s="1321"/>
      <c r="HA240" s="1321"/>
      <c r="HB240" s="1321"/>
      <c r="HC240" s="1321"/>
      <c r="HD240" s="1321"/>
      <c r="HE240" s="1321"/>
      <c r="HF240" s="1321"/>
      <c r="HG240" s="1321"/>
      <c r="HH240" s="1321"/>
      <c r="HI240" s="1321"/>
      <c r="HJ240" s="1321"/>
      <c r="HK240" s="1321"/>
      <c r="HL240" s="1321"/>
      <c r="HM240" s="1321"/>
      <c r="HN240" s="1321"/>
      <c r="HO240" s="1321"/>
      <c r="HP240" s="1321"/>
      <c r="HQ240" s="1321"/>
      <c r="HR240" s="1321"/>
      <c r="HS240" s="1321"/>
      <c r="HT240" s="1321"/>
      <c r="HU240" s="1321"/>
      <c r="HV240" s="1321"/>
      <c r="HW240" s="1321"/>
      <c r="HX240" s="1321"/>
      <c r="HY240" s="1321"/>
      <c r="HZ240" s="1321"/>
      <c r="IA240" s="1321"/>
      <c r="IB240" s="1321"/>
      <c r="IC240" s="1321"/>
      <c r="ID240" s="1321"/>
      <c r="IE240" s="1321"/>
      <c r="IF240" s="1321"/>
      <c r="IG240" s="1321"/>
      <c r="IH240" s="1321"/>
      <c r="II240" s="1321"/>
      <c r="IJ240" s="1321"/>
      <c r="IK240" s="1321"/>
      <c r="IL240" s="1321"/>
      <c r="IM240" s="1321"/>
      <c r="IN240" s="1368"/>
    </row>
    <row r="241" spans="1:248" ht="12.75" customHeight="1" x14ac:dyDescent="0.2">
      <c r="A241" s="1319"/>
      <c r="B241" s="1321"/>
      <c r="C241" s="1321"/>
      <c r="D241" s="1321"/>
      <c r="E241" s="1321"/>
      <c r="F241" s="1321"/>
      <c r="G241" s="1321"/>
      <c r="H241" s="1321"/>
      <c r="I241" s="1321"/>
      <c r="J241" s="1321"/>
      <c r="K241" s="1321"/>
      <c r="L241" s="1321"/>
      <c r="M241" s="1321"/>
      <c r="N241" s="1321"/>
      <c r="O241" s="1321"/>
      <c r="P241" s="1321"/>
      <c r="Q241" s="1321"/>
      <c r="R241" s="1321"/>
      <c r="S241" s="1321"/>
      <c r="T241" s="1321"/>
      <c r="U241" s="1321"/>
      <c r="V241" s="1321"/>
      <c r="W241" s="1321"/>
      <c r="X241" s="1321"/>
      <c r="Y241" s="1321"/>
      <c r="Z241" s="1321"/>
      <c r="AA241" s="1321"/>
      <c r="AB241" s="1321"/>
      <c r="AC241" s="1321"/>
      <c r="AD241" s="1321"/>
      <c r="AE241" s="1321"/>
      <c r="AF241" s="1321"/>
      <c r="AG241" s="1321"/>
      <c r="AH241" s="1321"/>
      <c r="AI241" s="1321"/>
      <c r="AJ241" s="1321"/>
      <c r="AK241" s="1321"/>
      <c r="AL241" s="1321"/>
      <c r="AM241" s="1321"/>
      <c r="AN241" s="1321"/>
      <c r="AO241" s="1321"/>
      <c r="AP241" s="1321"/>
      <c r="AQ241" s="1321"/>
      <c r="AR241" s="1321"/>
      <c r="AS241" s="1321"/>
      <c r="AT241" s="1321"/>
      <c r="AU241" s="1321"/>
      <c r="AV241" s="1321"/>
      <c r="AW241" s="1321"/>
      <c r="AX241" s="1321"/>
      <c r="AY241" s="1321"/>
      <c r="AZ241" s="1321"/>
      <c r="BA241" s="1321"/>
      <c r="BB241" s="1075" t="str">
        <f t="shared" si="75"/>
        <v>Canola</v>
      </c>
      <c r="BC241" s="1269">
        <f t="array" ref="BC241">IF(Ration_complète_bovins[somme]&gt;0,0,IFERROR(IF(OR(AND(INDEX(Règles_bovins[Specificite],MATCH(ChoixRationBovins&amp;$BB241,Règles_bovins[Ration]&amp;Règles_bovins[Aliment],0))="s1",IF($BB241=Spécificité1Bovins,1)),
AND(INDEX(Règles_bovins[Specificite],MATCH(ChoixRationBovins&amp;$BB241,Règles_bovins[Ration]&amp;Règles_bovins[Aliment],0))="s2",IF($BB241=Spécificité2Bovins,1)),
INDEX(Règles_bovins[Specificite],MATCH(ChoixRationBovins&amp;$BB241,Règles_bovins[Ration]&amp;Règles_bovins[Aliment],0))="c"),
INDEX(Règles_bovins[Valeur 36 et plus],MATCH(ChoixRationBovins&amp;$BB241,Règles_bovins[Ration]&amp;Règles_bovins[Aliment],0)),0),0)*IF(ChoixBovinsPréHiver=OUI,TotalVachesRacesLaitières,TotalVaches*SUM(NbreJoursNourrirBovins)))</f>
        <v>0</v>
      </c>
      <c r="BD241" s="1269">
        <f t="array" ref="BD241">IF(Ration_complète_bovins[somme]&gt;0,0,IFERROR(IF(OR(AND(INDEX(Règles_bovins[Specificite],MATCH(ChoixRationBovins&amp;$BB241,Règles_bovins[Ration]&amp;Règles_bovins[Aliment],0))="s1",IF($BB241=Spécificité1Bovins,1)),
AND(INDEX(Règles_bovins[Specificite],MATCH(ChoixRationBovins&amp;$BB241,Règles_bovins[Ration]&amp;Règles_bovins[Aliment],0))="s2",IF($BB241=Spécificité2Bovins,1)),
INDEX(Règles_bovins[Specificite],MATCH(ChoixRationBovins&amp;$BB241,Règles_bovins[Ration]&amp;Règles_bovins[Aliment],0))="c"),
INDEX(Règles_bovins[Valeur 24-36],MATCH(ChoixRationBovins&amp;$BB241,Règles_bovins[Ration]&amp;Règles_bovins[Aliment],0)),0),0)*IF(ChoixBovinsPréHiver=OUI,TotalGénisse_24_36_RacesLaitières,TotalBovinsFemelles_24_36mois*SUM(NbreJoursNourrirBovins)))</f>
        <v>0</v>
      </c>
      <c r="BE241" s="1269">
        <f t="array" ref="BE241">IF(Ration_complète_bovins[somme]&gt;0,0,IFERROR(IF(OR(AND(INDEX(Règles_bovins[Specificite],MATCH(ChoixRationBovins&amp;$BB241,Règles_bovins[Ration]&amp;Règles_bovins[Aliment],0))="s1",IF($BB241=Spécificité1Bovins,1)),
AND(INDEX(Règles_bovins[Specificite],MATCH(ChoixRationBovins&amp;$BB241,Règles_bovins[Ration]&amp;Règles_bovins[Aliment],0))="s2",IF($BB241=Spécificité2Bovins,1)),
INDEX(Règles_bovins[Specificite],MATCH(ChoixRationBovins&amp;$BB241,Règles_bovins[Ration]&amp;Règles_bovins[Aliment],0))="c"),
INDEX(Règles_bovins[Valeur 18-24],MATCH(ChoixRationBovins&amp;$BB241,Règles_bovins[Ration]&amp;Règles_bovins[Aliment],0)),0),0)*IF(ChoixBovinsPréHiver=OUI,TotalGénisse_18_24_RacesLaitières,TotalBovinsFemelles_18_24mois*SUM(NbreJoursNourrirBovins)))</f>
        <v>0</v>
      </c>
      <c r="BF241" s="1269">
        <f t="array" ref="BF241">IF(Ration_complète_bovins[somme]&gt;0,0,IFERROR(IF(OR(AND(INDEX(Règles_bovins[Specificite],MATCH(ChoixRationBovins&amp;$BB241,Règles_bovins[Ration]&amp;Règles_bovins[Aliment],0))="s1",IF($BB241=Spécificité1Bovins,1)),
AND(INDEX(Règles_bovins[Specificite],MATCH(ChoixRationBovins&amp;$BB241,Règles_bovins[Ration]&amp;Règles_bovins[Aliment],0))="s2",IF($BB241=Spécificité2Bovins,1)),
INDEX(Règles_bovins[Specificite],MATCH(ChoixRationBovins&amp;$BB241,Règles_bovins[Ration]&amp;Règles_bovins[Aliment],0))="c"),
INDEX(Règles_bovins[Valeur 12-18],MATCH(ChoixRationBovins&amp;$BB241,Règles_bovins[Ration]&amp;Règles_bovins[Aliment],0)),0),0)*IF(ChoixBovinsPréHiver=OUI,TotalGénisse_12_18_RacesLaitières,TotalBovinsFemelles_12_18mois*SUM(NbreJoursNourrirBovins)))</f>
        <v>0</v>
      </c>
      <c r="BG241" s="1269">
        <f t="array" ref="BG241">IF(Ration_complète_bovins[somme]&gt;0,0,IFERROR(IF(OR(AND(INDEX(Règles_bovins[Specificite],MATCH(ChoixRationBovins&amp;$BB241,Règles_bovins[Ration]&amp;Règles_bovins[Aliment],0))="s1",IF($BB241=Spécificité1Bovins,1)),
AND(INDEX(Règles_bovins[Specificite],MATCH(ChoixRationBovins&amp;$BB241,Règles_bovins[Ration]&amp;Règles_bovins[Aliment],0))="s2",IF($BB241=Spécificité2Bovins,1)),
INDEX(Règles_bovins[Specificite],MATCH(ChoixRationBovins&amp;$BB241,Règles_bovins[Ration]&amp;Règles_bovins[Aliment],0))="c"),
INDEX(Règles_bovins[Valeur 6-12],MATCH(ChoixRationBovins&amp;$BB241,Règles_bovins[Ration]&amp;Règles_bovins[Aliment],0)),0),0)*IF(ChoixBovinsPréHiver=OUI,TotalVeauFemelle_6_12_RacesLaitières,TotalBovinsFemelles_6_12mois*SUM(NbreJoursNourrirBovins)))</f>
        <v>0</v>
      </c>
      <c r="BH241" s="1269">
        <f t="array" ref="BH241">IF(Ration_complète_bovins[somme]&gt;0,0,IFERROR(IF(OR(AND(INDEX(Règles_bovins[Specificite],MATCH(ChoixRationBovins&amp;$BB241,Règles_bovins[Ration]&amp;Règles_bovins[Aliment],0))="s1",IF($BB241=Spécificité1Bovins,1)),
AND(INDEX(Règles_bovins[Specificite],MATCH(ChoixRationBovins&amp;$BB241,Règles_bovins[Ration]&amp;Règles_bovins[Aliment],0))="s2",IF($BB241=Spécificité2Bovins,1)),
INDEX(Règles_bovins[Specificite],MATCH(ChoixRationBovins&amp;$BB241,Règles_bovins[Ration]&amp;Règles_bovins[Aliment],0))="c"),
INDEX(Règles_bovins[Valeur 3-6],MATCH(ChoixRationBovins&amp;$BB241,Règles_bovins[Ration]&amp;Règles_bovins[Aliment],0)),0),0)*IF(ChoixBovinsPréHiver=OUI,TotalVeauFemelle_3_6_RacesLaitières,TotalBovinsFemelles_3_6mois*SUM(NbreJoursNourrirBovins)))</f>
        <v>0</v>
      </c>
      <c r="BI241" s="1269">
        <f t="array" ref="BI241">IF(Ration_complète_bovins[somme]&gt;0,0,IFERROR(IF(OR(AND(INDEX(Règles_bovins[Specificite],MATCH(ChoixRationBovins&amp;$BB241,Règles_bovins[Ration]&amp;Règles_bovins[Aliment],0))="s1",IF($BB241=Spécificité1Bovins,1)),
AND(INDEX(Règles_bovins[Specificite],MATCH(ChoixRationBovins&amp;$BB241,Règles_bovins[Ration]&amp;Règles_bovins[Aliment],0))="s2",IF($BB241=Spécificité2Bovins,1)),
INDEX(Règles_bovins[Specificite],MATCH(ChoixRationBovins&amp;$BB241,Règles_bovins[Ration]&amp;Règles_bovins[Aliment],0))="c"),
INDEX(Règles_bovins[Valeur 0-3],MATCH(ChoixRationBovins&amp;$BB241,Règles_bovins[Ration]&amp;Règles_bovins[Aliment],0)),0),0)*IF(ChoixBovinsPréHiver=OUI,TotalVeauFemelle_0_3_RacesLaitières,TotalBovinsFemelles_0_3mois*SUM(NbreJoursNourrirBovins)))</f>
        <v>0</v>
      </c>
      <c r="BJ241" s="1270">
        <f t="shared" si="74"/>
        <v>0</v>
      </c>
      <c r="BK241" s="1321"/>
      <c r="BL241" s="1345"/>
      <c r="BM241" s="1346"/>
      <c r="BN241" s="1321"/>
      <c r="BO241" s="1321"/>
      <c r="BP241" s="1321"/>
      <c r="BQ241" s="1321"/>
      <c r="BR241" s="1321"/>
      <c r="BS241" s="1321"/>
      <c r="BT241" s="1321"/>
      <c r="BU241" s="1321"/>
      <c r="BV241" s="1345"/>
      <c r="BW241" s="1345"/>
      <c r="BX241" s="1321"/>
      <c r="BY241" s="1321"/>
      <c r="BZ241" s="1321"/>
      <c r="CA241" s="1321"/>
      <c r="CB241" s="1321"/>
      <c r="CC241" s="1321"/>
      <c r="CD241" s="1345"/>
      <c r="CE241" s="1345"/>
      <c r="CF241" s="1345"/>
      <c r="CG241" s="1345"/>
      <c r="CH241" s="1345"/>
      <c r="CI241" s="1321"/>
      <c r="CJ241" s="1321"/>
      <c r="CK241" s="1321"/>
      <c r="CL241" s="1321"/>
      <c r="CM241" s="1321"/>
      <c r="CN241" s="1321"/>
      <c r="CO241" s="1321"/>
      <c r="CP241" s="1321"/>
      <c r="CQ241" s="1321"/>
      <c r="CR241" s="1321"/>
      <c r="CS241" s="1321"/>
      <c r="CT241" s="1321"/>
      <c r="CU241" s="1321"/>
      <c r="CV241" s="1321"/>
      <c r="CW241" s="1321"/>
      <c r="CX241" s="1321"/>
      <c r="CY241" s="1321"/>
      <c r="CZ241" s="1321"/>
      <c r="DA241" s="1321"/>
      <c r="DB241" s="1321"/>
      <c r="DC241" s="1321"/>
      <c r="DD241" s="1321"/>
      <c r="DE241" s="1321"/>
      <c r="DF241" s="1321"/>
      <c r="DG241" s="1321"/>
      <c r="DH241" s="1321"/>
      <c r="DI241" s="1321"/>
      <c r="DJ241" s="1321"/>
      <c r="DK241" s="1321"/>
      <c r="DL241" s="1321"/>
      <c r="DM241" s="1321"/>
      <c r="DN241" s="1075" t="str">
        <f t="shared" si="77"/>
        <v>Bouchons luzerne</v>
      </c>
      <c r="DO241" s="1269">
        <f t="array" ref="DO241">IF(ChoixRationHivernaleOvinsComplète=OUI,0,IFERROR(IF(OR(AND(INDEX(Règles_ovins[Specificite],MATCH(RationHivernaleOvinsAuPré&amp;$DN241,Règles_ovins[Ration]&amp;Règles_ovins[Aliment],0))="s1",IF($DN241=Spécificité1Ovins,1)),
AND(INDEX(Règles_ovins[Specificite],MATCH(RationHivernaleOvinsAuPré&amp;$DN241,Règles_ovins[Ration]&amp;Règles_ovins[Aliment],0))="s2",IF($DN241=Spécificité2Ovins,1)),
INDEX(Règles_ovins[Specificite],MATCH(RationHivernaleOvinsAuPré&amp;$DN241,Règles_ovins[Ration]&amp;Règles_ovins[Aliment],0))="c"),
INDEX(Règles_ovins[Valeur 12 et plus],MATCH(RationHivernaleOvinsAuPré&amp;$DN241,Règles_ovins[Ration]&amp;Règles_ovins[Aliment],0)),0),0)*IF(SUM(TotalOvinsAdultesAuPré)&gt;0,SUM(TotalOvinsAdultesAuPré)*SUM(AD76:AD100),SUM(TotalOvinsAdultes)*SUM(AD76:AD100)))</f>
        <v>0</v>
      </c>
      <c r="DP241" s="1269">
        <f t="array" ref="DP241">IF(ChoixRationHivernaleOvinsComplète=OUI,0,IFERROR(IF(OR(AND(INDEX(Règles_ovins[Specificite],MATCH(RationHivernaleOvinsAuPré&amp;$DN241,Règles_ovins[Ration]&amp;Règles_ovins[Aliment],0))="s1",IF($DN241=Spécificité1Ovins,1)),
AND(INDEX(Règles_ovins[Specificite],MATCH(RationHivernaleOvinsAuPré&amp;$DN241,Règles_ovins[Ration]&amp;Règles_ovins[Aliment],0))="s2",IF($DN241=Spécificité2Ovins,1)),
INDEX(Règles_ovins[Specificite],MATCH(RationHivernaleOvinsAuPré&amp;$DN241,Règles_ovins[Ration]&amp;Règles_ovins[Aliment],0))="c"),
INDEX(Règles_ovins[Valeur 6-12],MATCH(RationHivernaleOvinsAuPré&amp;$DN241,Règles_ovins[Ration]&amp;Règles_ovins[Aliment],0)),0),0)*IF(SUM(TotalOvins_6_12moisAuPré)&gt;0,SUM(TotalOvins_6_12moisAuPré)*SUM(AD76:AD100),SUM(TotalJeunesOvins)*SUM(AD76:AD100)))</f>
        <v>0</v>
      </c>
      <c r="DQ241" s="1269">
        <f t="array" ref="DQ241">IF(ChoixRationHivernaleOvinsComplète=OUI,0,IFERROR(IF(OR(AND(INDEX(Règles_ovins[Specificite],MATCH(RationHivernaleOvinsAuPré&amp;$DN241,Règles_ovins[Ration]&amp;Règles_ovins[Aliment],0))="s1",IF($DN241=Spécificité1Ovins,1)),
AND(INDEX(Règles_ovins[Specificite],MATCH(RationHivernaleOvinsAuPré&amp;$DN241,Règles_ovins[Ration]&amp;Règles_ovins[Aliment],0))="s2",IF($DN241=Spécificité2Ovins,1)),
INDEX(Règles_ovins[Specificite],MATCH(RationHivernaleOvinsAuPré&amp;$DN241,Règles_ovins[Ration]&amp;Règles_ovins[Aliment],0))="c"),
INDEX(Règles_ovins[Valeur 3-6],MATCH(RationHivernaleOvinsAuPré&amp;$DN241,Règles_ovins[Ration]&amp;Règles_ovins[Aliment],0)),0),0)*IF(SUM(TotalOvins_3_6moisAuPré)&gt;0,SUM(TotalOvins_3_6moisAuPré)*SUM(AD76:AD100),SUM(TotalOvins_3_6mois)*SUM(AD76:AD100)))</f>
        <v>0</v>
      </c>
      <c r="DR241" s="1269">
        <f t="array" ref="DR241">IF(ChoixRationHivernaleOvinsComplète=OUI,0,IFERROR(IF(OR(AND(INDEX(Règles_ovins[Specificite],MATCH(RationHivernaleOvinsAuPré&amp;$DN241,Règles_ovins[Ration]&amp;Règles_ovins[Aliment],0))="s1",IF($DN241=Spécificité1Ovins,1)),
AND(INDEX(Règles_ovins[Specificite],MATCH(RationHivernaleOvinsAuPré&amp;$DN241,Règles_ovins[Ration]&amp;Règles_ovins[Aliment],0))="s2",IF($DN241=Spécificité2Ovins,1)),
INDEX(Règles_ovins[Specificite],MATCH(RationHivernaleOvinsAuPré&amp;$DN241,Règles_ovins[Ration]&amp;Règles_ovins[Aliment],0))="c"),
INDEX(Règles_ovins[Valeur 0-3],MATCH(RationHivernaleOvinsAuPré&amp;$DN241,Règles_ovins[Ration]&amp;Règles_ovins[Aliment],0)),0),0)*IF(SUM(TotalOvins_0_3moisAuPré)&gt;0,SUM(TotalOvins_0_3moisAuPré)*SUM(AD76:AD100),SUM(TotalOvins_3_6mois)*SUM(AD76:AD100)))</f>
        <v>0</v>
      </c>
      <c r="DS241" s="1280">
        <f t="shared" si="76"/>
        <v>0</v>
      </c>
      <c r="DT241" s="1346"/>
      <c r="DU241" s="1346"/>
      <c r="DV241" s="1321"/>
      <c r="DW241" s="1321"/>
      <c r="DX241" s="1321"/>
      <c r="DY241" s="1321"/>
      <c r="DZ241" s="1321"/>
      <c r="EA241" s="1321"/>
      <c r="EB241" s="1321"/>
      <c r="EC241" s="1321"/>
      <c r="ED241" s="1345"/>
      <c r="EE241" s="1345"/>
      <c r="EF241" s="1321"/>
      <c r="EG241" s="1321"/>
      <c r="EH241" s="1321"/>
      <c r="EI241" s="1321"/>
      <c r="EJ241" s="1321"/>
      <c r="EK241" s="1345"/>
      <c r="EL241" s="1345"/>
      <c r="EM241" s="1321"/>
      <c r="EN241" s="1321"/>
      <c r="EO241" s="1321"/>
      <c r="EP241" s="1321"/>
      <c r="EQ241" s="1321"/>
      <c r="ER241" s="1345"/>
      <c r="ES241" s="1345"/>
      <c r="ET241" s="1321"/>
      <c r="EU241" s="1082">
        <f t="shared" si="73"/>
        <v>0</v>
      </c>
      <c r="EV241" s="1282"/>
      <c r="EW241" s="1282"/>
      <c r="EX241" s="1282"/>
      <c r="EY241" s="1321"/>
      <c r="EZ241" s="1345"/>
      <c r="FA241" s="1345"/>
      <c r="FB241" s="1345"/>
      <c r="FC241" s="1321"/>
      <c r="FD241" s="1321"/>
      <c r="FE241" s="1321"/>
      <c r="FF241" s="1321"/>
      <c r="FG241" s="1321"/>
      <c r="FH241" s="1321"/>
      <c r="FI241" s="1321"/>
      <c r="FJ241" s="1345"/>
      <c r="FK241" s="1345"/>
      <c r="FL241" s="1345"/>
      <c r="FM241" s="1321"/>
      <c r="FN241" s="1345"/>
      <c r="FO241" s="1345"/>
      <c r="FP241" s="1345"/>
      <c r="FQ241" s="1345"/>
      <c r="FR241" s="1345"/>
      <c r="FS241" s="1345"/>
      <c r="FT241" s="1345"/>
      <c r="FU241" s="1345"/>
      <c r="FV241" s="1345"/>
      <c r="FW241" s="1321"/>
      <c r="FX241" s="1321"/>
      <c r="FY241" s="1321"/>
      <c r="FZ241" s="1321"/>
      <c r="GA241" s="1345"/>
      <c r="GB241" s="1321"/>
      <c r="GC241" s="1321"/>
      <c r="GD241" s="1321"/>
      <c r="GE241" s="1321"/>
      <c r="GF241" s="1321"/>
      <c r="GG241" s="1321" t="s">
        <v>1349</v>
      </c>
      <c r="GH241" s="1321" t="s">
        <v>1349</v>
      </c>
      <c r="GI241" s="1321" t="s">
        <v>1349</v>
      </c>
      <c r="GJ241" s="1321" t="s">
        <v>1349</v>
      </c>
      <c r="GK241" s="1321" t="s">
        <v>1349</v>
      </c>
      <c r="GL241" s="1321" t="s">
        <v>1349</v>
      </c>
      <c r="GM241" s="1321" t="s">
        <v>1349</v>
      </c>
      <c r="GN241" s="1321" t="s">
        <v>1349</v>
      </c>
      <c r="GO241" s="1321" t="s">
        <v>1349</v>
      </c>
      <c r="GP241" s="1321" t="s">
        <v>1349</v>
      </c>
      <c r="GQ241" s="1321" t="s">
        <v>1349</v>
      </c>
      <c r="GR241" s="1321" t="s">
        <v>1349</v>
      </c>
      <c r="GS241" s="1321" t="s">
        <v>1349</v>
      </c>
      <c r="GT241" s="1321" t="s">
        <v>1349</v>
      </c>
      <c r="GU241" s="1321" t="s">
        <v>1349</v>
      </c>
      <c r="GV241" s="1321" t="s">
        <v>1349</v>
      </c>
      <c r="GW241" s="1321"/>
      <c r="GX241" s="1321"/>
      <c r="GY241" s="1321"/>
      <c r="GZ241" s="1321"/>
      <c r="HA241" s="1321"/>
      <c r="HB241" s="1321"/>
      <c r="HC241" s="1321"/>
      <c r="HD241" s="1321"/>
      <c r="HE241" s="1321"/>
      <c r="HF241" s="1321"/>
      <c r="HG241" s="1321"/>
      <c r="HH241" s="1321"/>
      <c r="HI241" s="1321"/>
      <c r="HJ241" s="1321"/>
      <c r="HK241" s="1321"/>
      <c r="HL241" s="1321"/>
      <c r="HM241" s="1321"/>
      <c r="HN241" s="1321"/>
      <c r="HO241" s="1321"/>
      <c r="HP241" s="1321"/>
      <c r="HQ241" s="1321"/>
      <c r="HR241" s="1321"/>
      <c r="HS241" s="1321"/>
      <c r="HT241" s="1321"/>
      <c r="HU241" s="1321"/>
      <c r="HV241" s="1321"/>
      <c r="HW241" s="1321"/>
      <c r="HX241" s="1321"/>
      <c r="HY241" s="1321"/>
      <c r="HZ241" s="1321"/>
      <c r="IA241" s="1321"/>
      <c r="IB241" s="1321"/>
      <c r="IC241" s="1321"/>
      <c r="ID241" s="1321"/>
      <c r="IE241" s="1321"/>
      <c r="IF241" s="1321"/>
      <c r="IG241" s="1321"/>
      <c r="IH241" s="1321"/>
      <c r="II241" s="1321"/>
      <c r="IJ241" s="1321"/>
      <c r="IK241" s="1321"/>
      <c r="IL241" s="1321"/>
      <c r="IM241" s="1321"/>
      <c r="IN241" s="1368"/>
    </row>
    <row r="242" spans="1:248" ht="12.75" customHeight="1" x14ac:dyDescent="0.2">
      <c r="A242" s="1319"/>
      <c r="B242" s="1321"/>
      <c r="C242" s="1321"/>
      <c r="D242" s="1321"/>
      <c r="E242" s="1321"/>
      <c r="F242" s="1321"/>
      <c r="G242" s="1321"/>
      <c r="H242" s="1321"/>
      <c r="I242" s="1321"/>
      <c r="J242" s="1321"/>
      <c r="K242" s="1321"/>
      <c r="L242" s="1321"/>
      <c r="M242" s="1321"/>
      <c r="N242" s="1321"/>
      <c r="O242" s="1321"/>
      <c r="P242" s="1321"/>
      <c r="Q242" s="1321"/>
      <c r="R242" s="1321"/>
      <c r="S242" s="1321"/>
      <c r="T242" s="1321"/>
      <c r="U242" s="1321"/>
      <c r="V242" s="1321"/>
      <c r="W242" s="1321"/>
      <c r="X242" s="1321"/>
      <c r="Y242" s="1321"/>
      <c r="Z242" s="1321"/>
      <c r="AA242" s="1321"/>
      <c r="AB242" s="1321"/>
      <c r="AC242" s="1321"/>
      <c r="AD242" s="1321"/>
      <c r="AE242" s="1321"/>
      <c r="AF242" s="1321"/>
      <c r="AG242" s="1321"/>
      <c r="AH242" s="1321"/>
      <c r="AI242" s="1321"/>
      <c r="AJ242" s="1321"/>
      <c r="AK242" s="1321"/>
      <c r="AL242" s="1321"/>
      <c r="AM242" s="1321"/>
      <c r="AN242" s="1321"/>
      <c r="AO242" s="1321"/>
      <c r="AP242" s="1321"/>
      <c r="AQ242" s="1321"/>
      <c r="AR242" s="1321"/>
      <c r="AS242" s="1321"/>
      <c r="AT242" s="1321"/>
      <c r="AU242" s="1321"/>
      <c r="AV242" s="1321"/>
      <c r="AW242" s="1321"/>
      <c r="AX242" s="1321"/>
      <c r="AY242" s="1321"/>
      <c r="AZ242" s="1321"/>
      <c r="BA242" s="1321"/>
      <c r="BB242" s="1076" t="str">
        <f t="shared" si="75"/>
        <v>Colza</v>
      </c>
      <c r="BC242" s="1267">
        <f t="array" ref="BC242">IF(Ration_complète_bovins[somme]&gt;0,0,IFERROR(IF(OR(AND(INDEX(Règles_bovins[Specificite],MATCH(ChoixRationBovins&amp;$BB242,Règles_bovins[Ration]&amp;Règles_bovins[Aliment],0))="s1",IF($BB242=Spécificité1Bovins,1)),
AND(INDEX(Règles_bovins[Specificite],MATCH(ChoixRationBovins&amp;$BB242,Règles_bovins[Ration]&amp;Règles_bovins[Aliment],0))="s2",IF($BB242=Spécificité2Bovins,1)),
INDEX(Règles_bovins[Specificite],MATCH(ChoixRationBovins&amp;$BB242,Règles_bovins[Ration]&amp;Règles_bovins[Aliment],0))="c"),
INDEX(Règles_bovins[Valeur 36 et plus],MATCH(ChoixRationBovins&amp;$BB242,Règles_bovins[Ration]&amp;Règles_bovins[Aliment],0)),0),0)*IF(ChoixBovinsPréHiver=OUI,TotalVachesRacesLaitières,TotalVaches*SUM(NbreJoursNourrirBovins)))</f>
        <v>0</v>
      </c>
      <c r="BD242" s="1267">
        <f t="array" ref="BD242">IF(Ration_complète_bovins[somme]&gt;0,0,IFERROR(IF(OR(AND(INDEX(Règles_bovins[Specificite],MATCH(ChoixRationBovins&amp;$BB242,Règles_bovins[Ration]&amp;Règles_bovins[Aliment],0))="s1",IF($BB242=Spécificité1Bovins,1)),
AND(INDEX(Règles_bovins[Specificite],MATCH(ChoixRationBovins&amp;$BB242,Règles_bovins[Ration]&amp;Règles_bovins[Aliment],0))="s2",IF($BB242=Spécificité2Bovins,1)),
INDEX(Règles_bovins[Specificite],MATCH(ChoixRationBovins&amp;$BB242,Règles_bovins[Ration]&amp;Règles_bovins[Aliment],0))="c"),
INDEX(Règles_bovins[Valeur 24-36],MATCH(ChoixRationBovins&amp;$BB242,Règles_bovins[Ration]&amp;Règles_bovins[Aliment],0)),0),0)*IF(ChoixBovinsPréHiver=OUI,TotalGénisse_24_36_RacesLaitières,TotalBovinsFemelles_24_36mois*SUM(NbreJoursNourrirBovins)))</f>
        <v>0</v>
      </c>
      <c r="BE242" s="1267">
        <f t="array" ref="BE242">IF(Ration_complète_bovins[somme]&gt;0,0,IFERROR(IF(OR(AND(INDEX(Règles_bovins[Specificite],MATCH(ChoixRationBovins&amp;$BB242,Règles_bovins[Ration]&amp;Règles_bovins[Aliment],0))="s1",IF($BB242=Spécificité1Bovins,1)),
AND(INDEX(Règles_bovins[Specificite],MATCH(ChoixRationBovins&amp;$BB242,Règles_bovins[Ration]&amp;Règles_bovins[Aliment],0))="s2",IF($BB242=Spécificité2Bovins,1)),
INDEX(Règles_bovins[Specificite],MATCH(ChoixRationBovins&amp;$BB242,Règles_bovins[Ration]&amp;Règles_bovins[Aliment],0))="c"),
INDEX(Règles_bovins[Valeur 18-24],MATCH(ChoixRationBovins&amp;$BB242,Règles_bovins[Ration]&amp;Règles_bovins[Aliment],0)),0),0)*IF(ChoixBovinsPréHiver=OUI,TotalGénisse_18_24_RacesLaitières,TotalBovinsFemelles_18_24mois*SUM(NbreJoursNourrirBovins)))</f>
        <v>0</v>
      </c>
      <c r="BF242" s="1267">
        <f t="array" ref="BF242">IF(Ration_complète_bovins[somme]&gt;0,0,IFERROR(IF(OR(AND(INDEX(Règles_bovins[Specificite],MATCH(ChoixRationBovins&amp;$BB242,Règles_bovins[Ration]&amp;Règles_bovins[Aliment],0))="s1",IF($BB242=Spécificité1Bovins,1)),
AND(INDEX(Règles_bovins[Specificite],MATCH(ChoixRationBovins&amp;$BB242,Règles_bovins[Ration]&amp;Règles_bovins[Aliment],0))="s2",IF($BB242=Spécificité2Bovins,1)),
INDEX(Règles_bovins[Specificite],MATCH(ChoixRationBovins&amp;$BB242,Règles_bovins[Ration]&amp;Règles_bovins[Aliment],0))="c"),
INDEX(Règles_bovins[Valeur 12-18],MATCH(ChoixRationBovins&amp;$BB242,Règles_bovins[Ration]&amp;Règles_bovins[Aliment],0)),0),0)*IF(ChoixBovinsPréHiver=OUI,TotalGénisse_12_18_RacesLaitières,TotalBovinsFemelles_12_18mois*SUM(NbreJoursNourrirBovins)))</f>
        <v>0</v>
      </c>
      <c r="BG242" s="1267">
        <f t="array" ref="BG242">IF(Ration_complète_bovins[somme]&gt;0,0,IFERROR(IF(OR(AND(INDEX(Règles_bovins[Specificite],MATCH(ChoixRationBovins&amp;$BB242,Règles_bovins[Ration]&amp;Règles_bovins[Aliment],0))="s1",IF($BB242=Spécificité1Bovins,1)),
AND(INDEX(Règles_bovins[Specificite],MATCH(ChoixRationBovins&amp;$BB242,Règles_bovins[Ration]&amp;Règles_bovins[Aliment],0))="s2",IF($BB242=Spécificité2Bovins,1)),
INDEX(Règles_bovins[Specificite],MATCH(ChoixRationBovins&amp;$BB242,Règles_bovins[Ration]&amp;Règles_bovins[Aliment],0))="c"),
INDEX(Règles_bovins[Valeur 6-12],MATCH(ChoixRationBovins&amp;$BB242,Règles_bovins[Ration]&amp;Règles_bovins[Aliment],0)),0),0)*IF(ChoixBovinsPréHiver=OUI,TotalVeauFemelle_6_12_RacesLaitières,TotalBovinsFemelles_6_12mois*SUM(NbreJoursNourrirBovins)))</f>
        <v>0</v>
      </c>
      <c r="BH242" s="1267">
        <f t="array" ref="BH242">IF(Ration_complète_bovins[somme]&gt;0,0,IFERROR(IF(OR(AND(INDEX(Règles_bovins[Specificite],MATCH(ChoixRationBovins&amp;$BB242,Règles_bovins[Ration]&amp;Règles_bovins[Aliment],0))="s1",IF($BB242=Spécificité1Bovins,1)),
AND(INDEX(Règles_bovins[Specificite],MATCH(ChoixRationBovins&amp;$BB242,Règles_bovins[Ration]&amp;Règles_bovins[Aliment],0))="s2",IF($BB242=Spécificité2Bovins,1)),
INDEX(Règles_bovins[Specificite],MATCH(ChoixRationBovins&amp;$BB242,Règles_bovins[Ration]&amp;Règles_bovins[Aliment],0))="c"),
INDEX(Règles_bovins[Valeur 3-6],MATCH(ChoixRationBovins&amp;$BB242,Règles_bovins[Ration]&amp;Règles_bovins[Aliment],0)),0),0)*IF(ChoixBovinsPréHiver=OUI,TotalVeauFemelle_3_6_RacesLaitières,TotalBovinsFemelles_3_6mois*SUM(NbreJoursNourrirBovins)))</f>
        <v>0</v>
      </c>
      <c r="BI242" s="1267">
        <f t="array" ref="BI242">IF(Ration_complète_bovins[somme]&gt;0,0,IFERROR(IF(OR(AND(INDEX(Règles_bovins[Specificite],MATCH(ChoixRationBovins&amp;$BB242,Règles_bovins[Ration]&amp;Règles_bovins[Aliment],0))="s1",IF($BB242=Spécificité1Bovins,1)),
AND(INDEX(Règles_bovins[Specificite],MATCH(ChoixRationBovins&amp;$BB242,Règles_bovins[Ration]&amp;Règles_bovins[Aliment],0))="s2",IF($BB242=Spécificité2Bovins,1)),
INDEX(Règles_bovins[Specificite],MATCH(ChoixRationBovins&amp;$BB242,Règles_bovins[Ration]&amp;Règles_bovins[Aliment],0))="c"),
INDEX(Règles_bovins[Valeur 0-3],MATCH(ChoixRationBovins&amp;$BB242,Règles_bovins[Ration]&amp;Règles_bovins[Aliment],0)),0),0)*IF(ChoixBovinsPréHiver=OUI,TotalVeauFemelle_0_3_RacesLaitières,TotalBovinsFemelles_0_3mois*SUM(NbreJoursNourrirBovins)))</f>
        <v>0</v>
      </c>
      <c r="BJ242" s="1268">
        <f t="shared" si="74"/>
        <v>0</v>
      </c>
      <c r="BK242" s="1321"/>
      <c r="BL242" s="1345"/>
      <c r="BM242" s="1346"/>
      <c r="BN242" s="1321"/>
      <c r="BO242" s="1321"/>
      <c r="BP242" s="1321"/>
      <c r="BQ242" s="1321"/>
      <c r="BR242" s="1321"/>
      <c r="BS242" s="1321"/>
      <c r="BT242" s="1321"/>
      <c r="BU242" s="1321"/>
      <c r="BV242" s="1345"/>
      <c r="BW242" s="1345"/>
      <c r="BX242" s="1321"/>
      <c r="BY242" s="1321"/>
      <c r="BZ242" s="1321"/>
      <c r="CA242" s="1321"/>
      <c r="CB242" s="1321"/>
      <c r="CC242" s="1321"/>
      <c r="CD242" s="1345"/>
      <c r="CE242" s="1345"/>
      <c r="CF242" s="1345"/>
      <c r="CG242" s="1345"/>
      <c r="CH242" s="1345"/>
      <c r="CI242" s="1321"/>
      <c r="CJ242" s="1321"/>
      <c r="CK242" s="1321"/>
      <c r="CL242" s="1321"/>
      <c r="CM242" s="1321"/>
      <c r="CN242" s="1321"/>
      <c r="CO242" s="1321"/>
      <c r="CP242" s="1321"/>
      <c r="CQ242" s="1321"/>
      <c r="CR242" s="1321"/>
      <c r="CS242" s="1321"/>
      <c r="CT242" s="1321"/>
      <c r="CU242" s="1321"/>
      <c r="CV242" s="1321"/>
      <c r="CW242" s="1321"/>
      <c r="CX242" s="1321"/>
      <c r="CY242" s="1321"/>
      <c r="CZ242" s="1321"/>
      <c r="DA242" s="1321"/>
      <c r="DB242" s="1321"/>
      <c r="DC242" s="1321"/>
      <c r="DD242" s="1321"/>
      <c r="DE242" s="1321"/>
      <c r="DF242" s="1321"/>
      <c r="DG242" s="1321"/>
      <c r="DH242" s="1321"/>
      <c r="DI242" s="1321"/>
      <c r="DJ242" s="1321"/>
      <c r="DK242" s="1321"/>
      <c r="DL242" s="1321"/>
      <c r="DM242" s="1321"/>
      <c r="DN242" s="1076" t="str">
        <f t="shared" si="77"/>
        <v>Chanvre</v>
      </c>
      <c r="DO242" s="1267">
        <f t="array" ref="DO242">IF(ChoixRationHivernaleOvinsComplète=OUI,0,IFERROR(IF(OR(AND(INDEX(Règles_ovins[Specificite],MATCH(RationHivernaleOvinsAuPré&amp;$DN242,Règles_ovins[Ration]&amp;Règles_ovins[Aliment],0))="s1",IF($DN242=Spécificité1Ovins,1)),
AND(INDEX(Règles_ovins[Specificite],MATCH(RationHivernaleOvinsAuPré&amp;$DN242,Règles_ovins[Ration]&amp;Règles_ovins[Aliment],0))="s2",IF($DN242=Spécificité2Ovins,1)),
INDEX(Règles_ovins[Specificite],MATCH(RationHivernaleOvinsAuPré&amp;$DN242,Règles_ovins[Ration]&amp;Règles_ovins[Aliment],0))="c"),
INDEX(Règles_ovins[Valeur 12 et plus],MATCH(RationHivernaleOvinsAuPré&amp;$DN242,Règles_ovins[Ration]&amp;Règles_ovins[Aliment],0)),0),0)*IF(SUM(TotalOvinsAdultesAuPré)&gt;0,SUM(TotalOvinsAdultesAuPré)*SUM(AD76:AD100),SUM(TotalOvinsAdultes)*SUM(AD76:AD100)))</f>
        <v>0</v>
      </c>
      <c r="DP242" s="1267">
        <f t="array" ref="DP242">IF(ChoixRationHivernaleOvinsComplète=OUI,0,IFERROR(IF(OR(AND(INDEX(Règles_ovins[Specificite],MATCH(RationHivernaleOvinsAuPré&amp;$DN242,Règles_ovins[Ration]&amp;Règles_ovins[Aliment],0))="s1",IF($DN242=Spécificité1Ovins,1)),
AND(INDEX(Règles_ovins[Specificite],MATCH(RationHivernaleOvinsAuPré&amp;$DN242,Règles_ovins[Ration]&amp;Règles_ovins[Aliment],0))="s2",IF($DN242=Spécificité2Ovins,1)),
INDEX(Règles_ovins[Specificite],MATCH(RationHivernaleOvinsAuPré&amp;$DN242,Règles_ovins[Ration]&amp;Règles_ovins[Aliment],0))="c"),
INDEX(Règles_ovins[Valeur 6-12],MATCH(RationHivernaleOvinsAuPré&amp;$DN242,Règles_ovins[Ration]&amp;Règles_ovins[Aliment],0)),0),0)*IF(SUM(TotalOvins_6_12moisAuPré)&gt;0,SUM(TotalOvins_6_12moisAuPré)*SUM(AD76:AD100),SUM(TotalJeunesOvins)*SUM(AD76:AD100)))</f>
        <v>0</v>
      </c>
      <c r="DQ242" s="1267">
        <f t="array" ref="DQ242">IF(ChoixRationHivernaleOvinsComplète=OUI,0,IFERROR(IF(OR(AND(INDEX(Règles_ovins[Specificite],MATCH(RationHivernaleOvinsAuPré&amp;$DN242,Règles_ovins[Ration]&amp;Règles_ovins[Aliment],0))="s1",IF($DN242=Spécificité1Ovins,1)),
AND(INDEX(Règles_ovins[Specificite],MATCH(RationHivernaleOvinsAuPré&amp;$DN242,Règles_ovins[Ration]&amp;Règles_ovins[Aliment],0))="s2",IF($DN242=Spécificité2Ovins,1)),
INDEX(Règles_ovins[Specificite],MATCH(RationHivernaleOvinsAuPré&amp;$DN242,Règles_ovins[Ration]&amp;Règles_ovins[Aliment],0))="c"),
INDEX(Règles_ovins[Valeur 3-6],MATCH(RationHivernaleOvinsAuPré&amp;$DN242,Règles_ovins[Ration]&amp;Règles_ovins[Aliment],0)),0),0)*IF(SUM(TotalOvins_3_6moisAuPré)&gt;0,SUM(TotalOvins_3_6moisAuPré)*SUM(AD76:AD100),SUM(TotalOvins_3_6mois)*SUM(AD76:AD100)))</f>
        <v>0</v>
      </c>
      <c r="DR242" s="1267">
        <f t="array" ref="DR242">IF(ChoixRationHivernaleOvinsComplète=OUI,0,IFERROR(IF(OR(AND(INDEX(Règles_ovins[Specificite],MATCH(RationHivernaleOvinsAuPré&amp;$DN242,Règles_ovins[Ration]&amp;Règles_ovins[Aliment],0))="s1",IF($DN242=Spécificité1Ovins,1)),
AND(INDEX(Règles_ovins[Specificite],MATCH(RationHivernaleOvinsAuPré&amp;$DN242,Règles_ovins[Ration]&amp;Règles_ovins[Aliment],0))="s2",IF($DN242=Spécificité2Ovins,1)),
INDEX(Règles_ovins[Specificite],MATCH(RationHivernaleOvinsAuPré&amp;$DN242,Règles_ovins[Ration]&amp;Règles_ovins[Aliment],0))="c"),
INDEX(Règles_ovins[Valeur 0-3],MATCH(RationHivernaleOvinsAuPré&amp;$DN242,Règles_ovins[Ration]&amp;Règles_ovins[Aliment],0)),0),0)*IF(SUM(TotalOvins_0_3moisAuPré)&gt;0,SUM(TotalOvins_0_3moisAuPré)*SUM(AD76:AD100),SUM(TotalOvins_3_6mois)*SUM(AD76:AD100)))</f>
        <v>0</v>
      </c>
      <c r="DS242" s="1279">
        <f t="shared" si="76"/>
        <v>0</v>
      </c>
      <c r="DT242" s="1346"/>
      <c r="DU242" s="1346"/>
      <c r="DV242" s="1321"/>
      <c r="DW242" s="1321"/>
      <c r="DX242" s="1321"/>
      <c r="DY242" s="1321"/>
      <c r="DZ242" s="1321"/>
      <c r="EA242" s="1321"/>
      <c r="EB242" s="1321"/>
      <c r="EC242" s="1321"/>
      <c r="ED242" s="1345"/>
      <c r="EE242" s="1345"/>
      <c r="EF242" s="1321"/>
      <c r="EG242" s="1321"/>
      <c r="EH242" s="1321"/>
      <c r="EI242" s="1321"/>
      <c r="EJ242" s="1321"/>
      <c r="EK242" s="1345"/>
      <c r="EL242" s="1345"/>
      <c r="EM242" s="1321"/>
      <c r="EN242" s="1321"/>
      <c r="EO242" s="1321"/>
      <c r="EP242" s="1321"/>
      <c r="EQ242" s="1321"/>
      <c r="ER242" s="1345"/>
      <c r="ES242" s="1345"/>
      <c r="ET242" s="1321"/>
      <c r="EU242" s="1321"/>
      <c r="EV242" s="1321"/>
      <c r="EW242" s="1321"/>
      <c r="EX242" s="1321"/>
      <c r="EY242" s="1321"/>
      <c r="EZ242" s="1345"/>
      <c r="FA242" s="1345"/>
      <c r="FB242" s="1345"/>
      <c r="FC242" s="1321"/>
      <c r="FD242" s="1321"/>
      <c r="FE242" s="1321"/>
      <c r="FF242" s="1321"/>
      <c r="FG242" s="1321"/>
      <c r="FH242" s="1321"/>
      <c r="FI242" s="1321"/>
      <c r="FJ242" s="1345"/>
      <c r="FK242" s="1345"/>
      <c r="FL242" s="1345"/>
      <c r="FM242" s="1321"/>
      <c r="FN242" s="1345"/>
      <c r="FO242" s="1345"/>
      <c r="FP242" s="1345"/>
      <c r="FQ242" s="1345"/>
      <c r="FR242" s="1345"/>
      <c r="FS242" s="1345"/>
      <c r="FT242" s="1345"/>
      <c r="FU242" s="1345"/>
      <c r="FV242" s="1345"/>
      <c r="FW242" s="1321"/>
      <c r="FX242" s="1321"/>
      <c r="FY242" s="1321"/>
      <c r="FZ242" s="1321"/>
      <c r="GA242" s="1345"/>
      <c r="GB242" s="1321"/>
      <c r="GC242" s="1321"/>
      <c r="GD242" s="1321"/>
      <c r="GE242" s="1321"/>
      <c r="GF242" s="1321"/>
      <c r="GG242" s="1321" t="s">
        <v>1349</v>
      </c>
      <c r="GH242" s="1321" t="s">
        <v>1349</v>
      </c>
      <c r="GI242" s="1321" t="s">
        <v>1349</v>
      </c>
      <c r="GJ242" s="1321" t="s">
        <v>1349</v>
      </c>
      <c r="GK242" s="1321" t="s">
        <v>1349</v>
      </c>
      <c r="GL242" s="1321" t="s">
        <v>1349</v>
      </c>
      <c r="GM242" s="1321" t="s">
        <v>1349</v>
      </c>
      <c r="GN242" s="1321" t="s">
        <v>1349</v>
      </c>
      <c r="GO242" s="1321" t="s">
        <v>1349</v>
      </c>
      <c r="GP242" s="1321" t="s">
        <v>1349</v>
      </c>
      <c r="GQ242" s="1321" t="s">
        <v>1349</v>
      </c>
      <c r="GR242" s="1321" t="s">
        <v>1349</v>
      </c>
      <c r="GS242" s="1321" t="s">
        <v>1349</v>
      </c>
      <c r="GT242" s="1321" t="s">
        <v>1349</v>
      </c>
      <c r="GU242" s="1321" t="s">
        <v>1349</v>
      </c>
      <c r="GV242" s="1321" t="s">
        <v>1349</v>
      </c>
      <c r="GW242" s="1321"/>
      <c r="GX242" s="1321"/>
      <c r="GY242" s="1321"/>
      <c r="GZ242" s="1321"/>
      <c r="HA242" s="1321"/>
      <c r="HB242" s="1321"/>
      <c r="HC242" s="1321"/>
      <c r="HD242" s="1321"/>
      <c r="HE242" s="1321"/>
      <c r="HF242" s="1321"/>
      <c r="HG242" s="1321"/>
      <c r="HH242" s="1321"/>
      <c r="HI242" s="1321"/>
      <c r="HJ242" s="1321"/>
      <c r="HK242" s="1321"/>
      <c r="HL242" s="1321"/>
      <c r="HM242" s="1321"/>
      <c r="HN242" s="1321"/>
      <c r="HO242" s="1321"/>
      <c r="HP242" s="1321"/>
      <c r="HQ242" s="1321"/>
      <c r="HR242" s="1321"/>
      <c r="HS242" s="1321"/>
      <c r="HT242" s="1321"/>
      <c r="HU242" s="1321"/>
      <c r="HV242" s="1321"/>
      <c r="HW242" s="1321"/>
      <c r="HX242" s="1321"/>
      <c r="HY242" s="1321"/>
      <c r="HZ242" s="1321"/>
      <c r="IA242" s="1321"/>
      <c r="IB242" s="1321"/>
      <c r="IC242" s="1321"/>
      <c r="ID242" s="1321"/>
      <c r="IE242" s="1321"/>
      <c r="IF242" s="1321"/>
      <c r="IG242" s="1321"/>
      <c r="IH242" s="1321"/>
      <c r="II242" s="1321"/>
      <c r="IJ242" s="1321"/>
      <c r="IK242" s="1321"/>
      <c r="IL242" s="1321"/>
      <c r="IM242" s="1321"/>
      <c r="IN242" s="1368"/>
    </row>
    <row r="243" spans="1:248" ht="12.75" customHeight="1" x14ac:dyDescent="0.2">
      <c r="A243" s="1319"/>
      <c r="B243" s="1321"/>
      <c r="C243" s="1321"/>
      <c r="D243" s="1321"/>
      <c r="E243" s="1321"/>
      <c r="F243" s="1321"/>
      <c r="G243" s="1321"/>
      <c r="H243" s="1321"/>
      <c r="I243" s="1321"/>
      <c r="J243" s="1321"/>
      <c r="K243" s="1321"/>
      <c r="L243" s="1321"/>
      <c r="M243" s="1321"/>
      <c r="N243" s="1321"/>
      <c r="O243" s="1321"/>
      <c r="P243" s="1321"/>
      <c r="Q243" s="1321"/>
      <c r="R243" s="1321"/>
      <c r="S243" s="1321"/>
      <c r="T243" s="1321"/>
      <c r="U243" s="1321"/>
      <c r="V243" s="1321"/>
      <c r="W243" s="1321"/>
      <c r="X243" s="1321"/>
      <c r="Y243" s="1321"/>
      <c r="Z243" s="1321"/>
      <c r="AA243" s="1321"/>
      <c r="AB243" s="1321"/>
      <c r="AC243" s="1321"/>
      <c r="AD243" s="1321"/>
      <c r="AE243" s="1321"/>
      <c r="AF243" s="1321"/>
      <c r="AG243" s="1321"/>
      <c r="AH243" s="1321"/>
      <c r="AI243" s="1321"/>
      <c r="AJ243" s="1321"/>
      <c r="AK243" s="1321"/>
      <c r="AL243" s="1321"/>
      <c r="AM243" s="1321"/>
      <c r="AN243" s="1321"/>
      <c r="AO243" s="1321"/>
      <c r="AP243" s="1321"/>
      <c r="AQ243" s="1321"/>
      <c r="AR243" s="1321"/>
      <c r="AS243" s="1321"/>
      <c r="AT243" s="1321"/>
      <c r="AU243" s="1321"/>
      <c r="AV243" s="1321"/>
      <c r="AW243" s="1321"/>
      <c r="AX243" s="1321"/>
      <c r="AY243" s="1321"/>
      <c r="AZ243" s="1321"/>
      <c r="BA243" s="1321"/>
      <c r="BB243" s="1075" t="str">
        <f t="shared" si="75"/>
        <v>concentré jeunes bovins</v>
      </c>
      <c r="BC243" s="1269">
        <f t="array" ref="BC243">IF(Ration_complète_bovins[somme]&gt;0,0,IFERROR(IF(OR(AND(INDEX(Règles_bovins[Specificite],MATCH(ChoixRationBovins&amp;$BB243,Règles_bovins[Ration]&amp;Règles_bovins[Aliment],0))="s1",IF($BB243=Spécificité1Bovins,1)),
AND(INDEX(Règles_bovins[Specificite],MATCH(ChoixRationBovins&amp;$BB243,Règles_bovins[Ration]&amp;Règles_bovins[Aliment],0))="s2",IF($BB243=Spécificité2Bovins,1)),
INDEX(Règles_bovins[Specificite],MATCH(ChoixRationBovins&amp;$BB243,Règles_bovins[Ration]&amp;Règles_bovins[Aliment],0))="c"),
INDEX(Règles_bovins[Valeur 36 et plus],MATCH(ChoixRationBovins&amp;$BB243,Règles_bovins[Ration]&amp;Règles_bovins[Aliment],0)),0),0)*IF(ChoixBovinsPréHiver=OUI,TotalVachesRacesLaitières,TotalVaches*SUM(NbreJoursNourrirBovins)))</f>
        <v>0</v>
      </c>
      <c r="BD243" s="1269">
        <f t="array" ref="BD243">IF(Ration_complète_bovins[somme]&gt;0,0,IFERROR(IF(OR(AND(INDEX(Règles_bovins[Specificite],MATCH(ChoixRationBovins&amp;$BB243,Règles_bovins[Ration]&amp;Règles_bovins[Aliment],0))="s1",IF($BB243=Spécificité1Bovins,1)),
AND(INDEX(Règles_bovins[Specificite],MATCH(ChoixRationBovins&amp;$BB243,Règles_bovins[Ration]&amp;Règles_bovins[Aliment],0))="s2",IF($BB243=Spécificité2Bovins,1)),
INDEX(Règles_bovins[Specificite],MATCH(ChoixRationBovins&amp;$BB243,Règles_bovins[Ration]&amp;Règles_bovins[Aliment],0))="c"),
INDEX(Règles_bovins[Valeur 24-36],MATCH(ChoixRationBovins&amp;$BB243,Règles_bovins[Ration]&amp;Règles_bovins[Aliment],0)),0),0)*IF(ChoixBovinsPréHiver=OUI,TotalGénisse_24_36_RacesLaitières,TotalBovinsFemelles_24_36mois*SUM(NbreJoursNourrirBovins)))</f>
        <v>0</v>
      </c>
      <c r="BE243" s="1269">
        <f t="array" ref="BE243">IF(Ration_complète_bovins[somme]&gt;0,0,IFERROR(IF(OR(AND(INDEX(Règles_bovins[Specificite],MATCH(ChoixRationBovins&amp;$BB243,Règles_bovins[Ration]&amp;Règles_bovins[Aliment],0))="s1",IF($BB243=Spécificité1Bovins,1)),
AND(INDEX(Règles_bovins[Specificite],MATCH(ChoixRationBovins&amp;$BB243,Règles_bovins[Ration]&amp;Règles_bovins[Aliment],0))="s2",IF($BB243=Spécificité2Bovins,1)),
INDEX(Règles_bovins[Specificite],MATCH(ChoixRationBovins&amp;$BB243,Règles_bovins[Ration]&amp;Règles_bovins[Aliment],0))="c"),
INDEX(Règles_bovins[Valeur 18-24],MATCH(ChoixRationBovins&amp;$BB243,Règles_bovins[Ration]&amp;Règles_bovins[Aliment],0)),0),0)*IF(ChoixBovinsPréHiver=OUI,TotalGénisse_18_24_RacesLaitières,TotalBovinsFemelles_18_24mois*SUM(NbreJoursNourrirBovins)))</f>
        <v>0</v>
      </c>
      <c r="BF243" s="1269">
        <f t="array" ref="BF243">IF(Ration_complète_bovins[somme]&gt;0,0,IFERROR(IF(OR(AND(INDEX(Règles_bovins[Specificite],MATCH(ChoixRationBovins&amp;$BB243,Règles_bovins[Ration]&amp;Règles_bovins[Aliment],0))="s1",IF($BB243=Spécificité1Bovins,1)),
AND(INDEX(Règles_bovins[Specificite],MATCH(ChoixRationBovins&amp;$BB243,Règles_bovins[Ration]&amp;Règles_bovins[Aliment],0))="s2",IF($BB243=Spécificité2Bovins,1)),
INDEX(Règles_bovins[Specificite],MATCH(ChoixRationBovins&amp;$BB243,Règles_bovins[Ration]&amp;Règles_bovins[Aliment],0))="c"),
INDEX(Règles_bovins[Valeur 12-18],MATCH(ChoixRationBovins&amp;$BB243,Règles_bovins[Ration]&amp;Règles_bovins[Aliment],0)),0),0)*IF(ChoixBovinsPréHiver=OUI,TotalGénisse_12_18_RacesLaitières,TotalBovinsFemelles_12_18mois*SUM(NbreJoursNourrirBovins)))</f>
        <v>0</v>
      </c>
      <c r="BG243" s="1269">
        <f t="array" ref="BG243">IF(Ration_complète_bovins[somme]&gt;0,0,IFERROR(IF(OR(AND(INDEX(Règles_bovins[Specificite],MATCH(ChoixRationBovins&amp;$BB243,Règles_bovins[Ration]&amp;Règles_bovins[Aliment],0))="s1",IF($BB243=Spécificité1Bovins,1)),
AND(INDEX(Règles_bovins[Specificite],MATCH(ChoixRationBovins&amp;$BB243,Règles_bovins[Ration]&amp;Règles_bovins[Aliment],0))="s2",IF($BB243=Spécificité2Bovins,1)),
INDEX(Règles_bovins[Specificite],MATCH(ChoixRationBovins&amp;$BB243,Règles_bovins[Ration]&amp;Règles_bovins[Aliment],0))="c"),
INDEX(Règles_bovins[Valeur 6-12],MATCH(ChoixRationBovins&amp;$BB243,Règles_bovins[Ration]&amp;Règles_bovins[Aliment],0)),0),0)*IF(ChoixBovinsPréHiver=OUI,TotalVeauFemelle_6_12_RacesLaitières,TotalBovinsFemelles_6_12mois*SUM(NbreJoursNourrirBovins)))</f>
        <v>0</v>
      </c>
      <c r="BH243" s="1269">
        <f t="array" ref="BH243">IF(Ration_complète_bovins[somme]&gt;0,0,IFERROR(IF(OR(AND(INDEX(Règles_bovins[Specificite],MATCH(ChoixRationBovins&amp;$BB243,Règles_bovins[Ration]&amp;Règles_bovins[Aliment],0))="s1",IF($BB243=Spécificité1Bovins,1)),
AND(INDEX(Règles_bovins[Specificite],MATCH(ChoixRationBovins&amp;$BB243,Règles_bovins[Ration]&amp;Règles_bovins[Aliment],0))="s2",IF($BB243=Spécificité2Bovins,1)),
INDEX(Règles_bovins[Specificite],MATCH(ChoixRationBovins&amp;$BB243,Règles_bovins[Ration]&amp;Règles_bovins[Aliment],0))="c"),
INDEX(Règles_bovins[Valeur 3-6],MATCH(ChoixRationBovins&amp;$BB243,Règles_bovins[Ration]&amp;Règles_bovins[Aliment],0)),0),0)*IF(ChoixBovinsPréHiver=OUI,TotalVeauFemelle_3_6_RacesLaitières,TotalBovinsFemelles_3_6mois*SUM(NbreJoursNourrirBovins)))</f>
        <v>0</v>
      </c>
      <c r="BI243" s="1269">
        <f t="array" ref="BI243">IF(Ration_complète_bovins[somme]&gt;0,0,IFERROR(IF(OR(AND(INDEX(Règles_bovins[Specificite],MATCH(ChoixRationBovins&amp;$BB243,Règles_bovins[Ration]&amp;Règles_bovins[Aliment],0))="s1",IF($BB243=Spécificité1Bovins,1)),
AND(INDEX(Règles_bovins[Specificite],MATCH(ChoixRationBovins&amp;$BB243,Règles_bovins[Ration]&amp;Règles_bovins[Aliment],0))="s2",IF($BB243=Spécificité2Bovins,1)),
INDEX(Règles_bovins[Specificite],MATCH(ChoixRationBovins&amp;$BB243,Règles_bovins[Ration]&amp;Règles_bovins[Aliment],0))="c"),
INDEX(Règles_bovins[Valeur 0-3],MATCH(ChoixRationBovins&amp;$BB243,Règles_bovins[Ration]&amp;Règles_bovins[Aliment],0)),0),0)*IF(ChoixBovinsPréHiver=OUI,TotalVeauFemelle_0_3_RacesLaitières,TotalBovinsFemelles_0_3mois*SUM(NbreJoursNourrirBovins)))</f>
        <v>0</v>
      </c>
      <c r="BJ243" s="1270">
        <f t="shared" si="74"/>
        <v>0</v>
      </c>
      <c r="BK243" s="1321"/>
      <c r="BL243" s="1345"/>
      <c r="BM243" s="1346"/>
      <c r="BN243" s="1321"/>
      <c r="BO243" s="1321"/>
      <c r="BP243" s="1321"/>
      <c r="BQ243" s="1321"/>
      <c r="BR243" s="1321"/>
      <c r="BS243" s="1321"/>
      <c r="BT243" s="1321"/>
      <c r="BU243" s="1321"/>
      <c r="BV243" s="1345"/>
      <c r="BW243" s="1345"/>
      <c r="BX243" s="1321"/>
      <c r="BY243" s="1321"/>
      <c r="BZ243" s="1321"/>
      <c r="CA243" s="1321"/>
      <c r="CB243" s="1321"/>
      <c r="CC243" s="1321"/>
      <c r="CD243" s="1345"/>
      <c r="CE243" s="1345"/>
      <c r="CF243" s="1345"/>
      <c r="CG243" s="1345"/>
      <c r="CH243" s="1345"/>
      <c r="CI243" s="1321"/>
      <c r="CJ243" s="1321"/>
      <c r="CK243" s="1321"/>
      <c r="CL243" s="1321"/>
      <c r="CM243" s="1321"/>
      <c r="CN243" s="1321"/>
      <c r="CO243" s="1321"/>
      <c r="CP243" s="1321"/>
      <c r="CQ243" s="1321"/>
      <c r="CR243" s="1321"/>
      <c r="CS243" s="1321"/>
      <c r="CT243" s="1321"/>
      <c r="CU243" s="1321"/>
      <c r="CV243" s="1321"/>
      <c r="CW243" s="1321"/>
      <c r="CX243" s="1321"/>
      <c r="CY243" s="1321"/>
      <c r="CZ243" s="1321"/>
      <c r="DA243" s="1321"/>
      <c r="DB243" s="1321"/>
      <c r="DC243" s="1321"/>
      <c r="DD243" s="1321"/>
      <c r="DE243" s="1321"/>
      <c r="DF243" s="1321"/>
      <c r="DG243" s="1321"/>
      <c r="DH243" s="1321"/>
      <c r="DI243" s="1321"/>
      <c r="DJ243" s="1321"/>
      <c r="DK243" s="1321"/>
      <c r="DL243" s="1321"/>
      <c r="DM243" s="1321"/>
      <c r="DN243" s="1075" t="str">
        <f t="shared" si="77"/>
        <v>Canola</v>
      </c>
      <c r="DO243" s="1269">
        <f t="array" ref="DO243">IF(AND(ChoixPaysPartie&lt;&gt;USA,ChoixPaysPartie&lt;&gt;CANADA,ChoixPaysPartie&lt;&gt;""),0,IF(ChoixRationHivernaleOvinsComplète=OUI,0,IFERROR(IF(OR(AND(INDEX(Règles_ovins[Specificite],MATCH(RationHivernaleOvinsAuPré&amp;$DN243,Règles_ovins[Ration]&amp;Règles_ovins[Aliment],0))="s1",IF($DN243=Spécificité1Ovins,1)),
AND(INDEX(Règles_ovins[Specificite],MATCH(RationHivernaleOvinsAuPré&amp;$DN243,Règles_ovins[Ration]&amp;Règles_ovins[Aliment],0))="s2",IF($DN243=Spécificité2Ovins,1)),
INDEX(Règles_ovins[Specificite],MATCH(RationHivernaleOvinsAuPré&amp;$DN243,Règles_ovins[Ration]&amp;Règles_ovins[Aliment],0))="c"),
INDEX(Règles_ovins[Valeur 12 et plus],MATCH(RationHivernaleOvinsAuPré&amp;$DN243,Règles_ovins[Ration]&amp;Règles_ovins[Aliment],0)),0),0)*IF(SUM(TotalOvinsAdultesAuPré)&gt;0,SUM(TotalOvinsAdultesAuPré)*SUM(AD76:AD100),SUM(TotalOvinsAdultes)*SUM(AD76:AD100))))</f>
        <v>0</v>
      </c>
      <c r="DP243" s="1269">
        <f t="array" ref="DP243">IF(AND(ChoixPaysPartie&lt;&gt;USA,ChoixPaysPartie&lt;&gt;CANADA,ChoixPaysPartie&lt;&gt;""),0,IF(ChoixRationHivernaleOvinsComplète=OUI,0,IFERROR(IF(OR(AND(INDEX(Règles_ovins[Specificite],MATCH(RationHivernaleOvinsAuPré&amp;$DN243,Règles_ovins[Ration]&amp;Règles_ovins[Aliment],0))="s1",IF($DN243=Spécificité1Ovins,1)),
AND(INDEX(Règles_ovins[Specificite],MATCH(RationHivernaleOvinsAuPré&amp;$DN243,Règles_ovins[Ration]&amp;Règles_ovins[Aliment],0))="s2",IF($DN243=Spécificité2Ovins,1)),
INDEX(Règles_ovins[Specificite],MATCH(RationHivernaleOvinsAuPré&amp;$DN243,Règles_ovins[Ration]&amp;Règles_ovins[Aliment],0))="c"),
INDEX(Règles_ovins[Valeur 6-12],MATCH(RationHivernaleOvinsAuPré&amp;$DN243,Règles_ovins[Ration]&amp;Règles_ovins[Aliment],0)),0),0)*IF(SUM(TotalOvins_6_12moisAuPré)&gt;0,SUM(TotalOvins_6_12moisAuPré)*SUM(AD76:AD100),SUM(TotalJeunesOvins)*SUM(AD76:AD100))))</f>
        <v>0</v>
      </c>
      <c r="DQ243" s="1269">
        <f t="array" ref="DQ243">IF(AND(ChoixPaysPartie&lt;&gt;USA,ChoixPaysPartie&lt;&gt;CANADA,ChoixPaysPartie&lt;&gt;""),0,IF(ChoixRationHivernaleOvinsComplète=OUI,0,IFERROR(IF(OR(AND(INDEX(Règles_ovins[Specificite],MATCH(RationHivernaleOvinsAuPré&amp;$DN243,Règles_ovins[Ration]&amp;Règles_ovins[Aliment],0))="s1",IF($DN243=Spécificité1Ovins,1)),
AND(INDEX(Règles_ovins[Specificite],MATCH(RationHivernaleOvinsAuPré&amp;$DN243,Règles_ovins[Ration]&amp;Règles_ovins[Aliment],0))="s2",IF($DN243=Spécificité2Ovins,1)),
INDEX(Règles_ovins[Specificite],MATCH(RationHivernaleOvinsAuPré&amp;$DN243,Règles_ovins[Ration]&amp;Règles_ovins[Aliment],0))="c"),
INDEX(Règles_ovins[Valeur 3-6],MATCH(RationHivernaleOvinsAuPré&amp;$DN243,Règles_ovins[Ration]&amp;Règles_ovins[Aliment],0)),0),0)*IF(SUM(TotalOvins_3_6moisAuPré)&gt;0,SUM(TotalOvins_3_6moisAuPré)*SUM(AD76:AD100),SUM(TotalOvins_3_6mois)*SUM(AD76:AD100))))</f>
        <v>0</v>
      </c>
      <c r="DR243" s="1269">
        <f t="array" ref="DR243">IF(AND(ChoixPaysPartie&lt;&gt;USA,ChoixPaysPartie&lt;&gt;CANADA,ChoixPaysPartie&lt;&gt;""),0,IF(ChoixRationHivernaleOvinsComplète=OUI,0,IFERROR(IF(OR(AND(INDEX(Règles_ovins[Specificite],MATCH(RationHivernaleOvinsAuPré&amp;$DN243,Règles_ovins[Ration]&amp;Règles_ovins[Aliment],0))="s1",IF($DN243=Spécificité1Ovins,1)),
AND(INDEX(Règles_ovins[Specificite],MATCH(RationHivernaleOvinsAuPré&amp;$DN243,Règles_ovins[Ration]&amp;Règles_ovins[Aliment],0))="s2",IF($DN243=Spécificité2Ovins,1)),
INDEX(Règles_ovins[Specificite],MATCH(RationHivernaleOvinsAuPré&amp;$DN243,Règles_ovins[Ration]&amp;Règles_ovins[Aliment],0))="c"),
INDEX(Règles_ovins[Valeur 0-3],MATCH(RationHivernaleOvinsAuPré&amp;$DN243,Règles_ovins[Ration]&amp;Règles_ovins[Aliment],0)),0),0)*IF(SUM(TotalOvins_0_3moisAuPré)&gt;0,SUM(TotalOvins_0_3moisAuPré)*SUM(AD76:AD100),SUM(TotalOvins_3_6mois)*SUM(AD76:AD100))))</f>
        <v>0</v>
      </c>
      <c r="DS243" s="1280">
        <f t="shared" si="76"/>
        <v>0</v>
      </c>
      <c r="DT243" s="1346"/>
      <c r="DU243" s="1346"/>
      <c r="DV243" s="1321"/>
      <c r="DW243" s="1321"/>
      <c r="DX243" s="1321"/>
      <c r="DY243" s="1321"/>
      <c r="DZ243" s="1321"/>
      <c r="EA243" s="1321"/>
      <c r="EB243" s="1321"/>
      <c r="EC243" s="1321"/>
      <c r="ED243" s="1345"/>
      <c r="EE243" s="1345"/>
      <c r="EF243" s="1321"/>
      <c r="EG243" s="1321"/>
      <c r="EH243" s="1321"/>
      <c r="EI243" s="1321"/>
      <c r="EJ243" s="1321"/>
      <c r="EK243" s="1345"/>
      <c r="EL243" s="1345"/>
      <c r="EM243" s="1321"/>
      <c r="EN243" s="1321"/>
      <c r="EO243" s="1321"/>
      <c r="EP243" s="1321"/>
      <c r="EQ243" s="1321"/>
      <c r="ER243" s="1345"/>
      <c r="ES243" s="1345"/>
      <c r="ET243" s="1321"/>
      <c r="EU243" s="1321"/>
      <c r="EV243" s="1321"/>
      <c r="EW243" s="1321"/>
      <c r="EX243" s="1321"/>
      <c r="EY243" s="1321"/>
      <c r="EZ243" s="1345"/>
      <c r="FA243" s="1345"/>
      <c r="FB243" s="1345"/>
      <c r="FC243" s="1321"/>
      <c r="FD243" s="1321"/>
      <c r="FE243" s="1321"/>
      <c r="FF243" s="1321"/>
      <c r="FG243" s="1321"/>
      <c r="FH243" s="1321"/>
      <c r="FI243" s="1321"/>
      <c r="FJ243" s="1345"/>
      <c r="FK243" s="1345"/>
      <c r="FL243" s="1345"/>
      <c r="FM243" s="1321"/>
      <c r="FN243" s="1345"/>
      <c r="FO243" s="1345"/>
      <c r="FP243" s="1345"/>
      <c r="FQ243" s="1345"/>
      <c r="FR243" s="1345"/>
      <c r="FS243" s="1345"/>
      <c r="FT243" s="1345"/>
      <c r="FU243" s="1345"/>
      <c r="FV243" s="1345"/>
      <c r="FW243" s="1321"/>
      <c r="FX243" s="1321"/>
      <c r="FY243" s="1321"/>
      <c r="FZ243" s="1321"/>
      <c r="GA243" s="1345"/>
      <c r="GB243" s="1321"/>
      <c r="GC243" s="1321"/>
      <c r="GD243" s="1321"/>
      <c r="GE243" s="1321"/>
      <c r="GF243" s="1321"/>
      <c r="GG243" s="1321" t="s">
        <v>1349</v>
      </c>
      <c r="GH243" s="1321" t="s">
        <v>1349</v>
      </c>
      <c r="GI243" s="1321" t="s">
        <v>1349</v>
      </c>
      <c r="GJ243" s="1321" t="s">
        <v>1349</v>
      </c>
      <c r="GK243" s="1321" t="s">
        <v>1349</v>
      </c>
      <c r="GL243" s="1321" t="s">
        <v>1349</v>
      </c>
      <c r="GM243" s="1321" t="s">
        <v>1349</v>
      </c>
      <c r="GN243" s="1321" t="s">
        <v>1349</v>
      </c>
      <c r="GO243" s="1321" t="s">
        <v>1349</v>
      </c>
      <c r="GP243" s="1321" t="s">
        <v>1349</v>
      </c>
      <c r="GQ243" s="1321" t="s">
        <v>1349</v>
      </c>
      <c r="GR243" s="1321" t="s">
        <v>1349</v>
      </c>
      <c r="GS243" s="1321" t="s">
        <v>1349</v>
      </c>
      <c r="GT243" s="1321" t="s">
        <v>1349</v>
      </c>
      <c r="GU243" s="1321" t="s">
        <v>1349</v>
      </c>
      <c r="GV243" s="1321" t="s">
        <v>1349</v>
      </c>
      <c r="GW243" s="1321"/>
      <c r="GX243" s="1321"/>
      <c r="GY243" s="1321"/>
      <c r="GZ243" s="1321"/>
      <c r="HA243" s="1321"/>
      <c r="HB243" s="1321"/>
      <c r="HC243" s="1321"/>
      <c r="HD243" s="1321"/>
      <c r="HE243" s="1321"/>
      <c r="HF243" s="1321"/>
      <c r="HG243" s="1321"/>
      <c r="HH243" s="1321"/>
      <c r="HI243" s="1321"/>
      <c r="HJ243" s="1321"/>
      <c r="HK243" s="1321"/>
      <c r="HL243" s="1321"/>
      <c r="HM243" s="1321"/>
      <c r="HN243" s="1321"/>
      <c r="HO243" s="1321"/>
      <c r="HP243" s="1321"/>
      <c r="HQ243" s="1321"/>
      <c r="HR243" s="1321"/>
      <c r="HS243" s="1321"/>
      <c r="HT243" s="1321"/>
      <c r="HU243" s="1321"/>
      <c r="HV243" s="1321"/>
      <c r="HW243" s="1321"/>
      <c r="HX243" s="1321"/>
      <c r="HY243" s="1321"/>
      <c r="HZ243" s="1321"/>
      <c r="IA243" s="1321"/>
      <c r="IB243" s="1321"/>
      <c r="IC243" s="1321"/>
      <c r="ID243" s="1321"/>
      <c r="IE243" s="1321"/>
      <c r="IF243" s="1321"/>
      <c r="IG243" s="1321"/>
      <c r="IH243" s="1321"/>
      <c r="II243" s="1321"/>
      <c r="IJ243" s="1321"/>
      <c r="IK243" s="1321"/>
      <c r="IL243" s="1321"/>
      <c r="IM243" s="1321"/>
      <c r="IN243" s="1368"/>
    </row>
    <row r="244" spans="1:248" ht="12.75" customHeight="1" x14ac:dyDescent="0.2">
      <c r="A244" s="1319"/>
      <c r="B244" s="1321"/>
      <c r="C244" s="1321"/>
      <c r="D244" s="1321"/>
      <c r="E244" s="1321"/>
      <c r="F244" s="1321"/>
      <c r="G244" s="1321"/>
      <c r="H244" s="1321"/>
      <c r="I244" s="1321"/>
      <c r="J244" s="1321"/>
      <c r="K244" s="1321"/>
      <c r="L244" s="1321"/>
      <c r="M244" s="1321"/>
      <c r="N244" s="1321"/>
      <c r="O244" s="1321"/>
      <c r="P244" s="1321"/>
      <c r="Q244" s="1321"/>
      <c r="R244" s="1321"/>
      <c r="S244" s="1321"/>
      <c r="T244" s="1321"/>
      <c r="U244" s="1321"/>
      <c r="V244" s="1321"/>
      <c r="W244" s="1321"/>
      <c r="X244" s="1321"/>
      <c r="Y244" s="1321"/>
      <c r="Z244" s="1321"/>
      <c r="AA244" s="1321"/>
      <c r="AB244" s="1321"/>
      <c r="AC244" s="1321"/>
      <c r="AD244" s="1321"/>
      <c r="AE244" s="1321"/>
      <c r="AF244" s="1321"/>
      <c r="AG244" s="1321"/>
      <c r="AH244" s="1321"/>
      <c r="AI244" s="1321"/>
      <c r="AJ244" s="1321"/>
      <c r="AK244" s="1321"/>
      <c r="AL244" s="1321"/>
      <c r="AM244" s="1321"/>
      <c r="AN244" s="1321"/>
      <c r="AO244" s="1321"/>
      <c r="AP244" s="1321"/>
      <c r="AQ244" s="1321"/>
      <c r="AR244" s="1321"/>
      <c r="AS244" s="1321"/>
      <c r="AT244" s="1321"/>
      <c r="AU244" s="1321"/>
      <c r="AV244" s="1321"/>
      <c r="AW244" s="1321"/>
      <c r="AX244" s="1321"/>
      <c r="AY244" s="1321"/>
      <c r="AZ244" s="1321"/>
      <c r="BA244" s="1321"/>
      <c r="BB244" s="1076" t="str">
        <f t="shared" si="75"/>
        <v>concentré jeunes lapins</v>
      </c>
      <c r="BC244" s="1267">
        <f t="array" ref="BC244">IF(Ration_complète_bovins[somme]&gt;0,0,IFERROR(IF(OR(AND(INDEX(Règles_bovins[Specificite],MATCH(ChoixRationBovins&amp;$BB244,Règles_bovins[Ration]&amp;Règles_bovins[Aliment],0))="s1",IF($BB244=Spécificité1Bovins,1)),
AND(INDEX(Règles_bovins[Specificite],MATCH(ChoixRationBovins&amp;$BB244,Règles_bovins[Ration]&amp;Règles_bovins[Aliment],0))="s2",IF($BB244=Spécificité2Bovins,1)),
INDEX(Règles_bovins[Specificite],MATCH(ChoixRationBovins&amp;$BB244,Règles_bovins[Ration]&amp;Règles_bovins[Aliment],0))="c"),
INDEX(Règles_bovins[Valeur 36 et plus],MATCH(ChoixRationBovins&amp;$BB244,Règles_bovins[Ration]&amp;Règles_bovins[Aliment],0)),0),0)*IF(ChoixBovinsPréHiver=OUI,TotalVachesRacesLaitières,TotalVaches*SUM(NbreJoursNourrirBovins)))</f>
        <v>0</v>
      </c>
      <c r="BD244" s="1267">
        <f t="array" ref="BD244">IF(Ration_complète_bovins[somme]&gt;0,0,IFERROR(IF(OR(AND(INDEX(Règles_bovins[Specificite],MATCH(ChoixRationBovins&amp;$BB244,Règles_bovins[Ration]&amp;Règles_bovins[Aliment],0))="s1",IF($BB244=Spécificité1Bovins,1)),
AND(INDEX(Règles_bovins[Specificite],MATCH(ChoixRationBovins&amp;$BB244,Règles_bovins[Ration]&amp;Règles_bovins[Aliment],0))="s2",IF($BB244=Spécificité2Bovins,1)),
INDEX(Règles_bovins[Specificite],MATCH(ChoixRationBovins&amp;$BB244,Règles_bovins[Ration]&amp;Règles_bovins[Aliment],0))="c"),
INDEX(Règles_bovins[Valeur 24-36],MATCH(ChoixRationBovins&amp;$BB244,Règles_bovins[Ration]&amp;Règles_bovins[Aliment],0)),0),0)*IF(ChoixBovinsPréHiver=OUI,TotalGénisse_24_36_RacesLaitières,TotalBovinsFemelles_24_36mois*SUM(NbreJoursNourrirBovins)))</f>
        <v>0</v>
      </c>
      <c r="BE244" s="1267">
        <f t="array" ref="BE244">IF(Ration_complète_bovins[somme]&gt;0,0,IFERROR(IF(OR(AND(INDEX(Règles_bovins[Specificite],MATCH(ChoixRationBovins&amp;$BB244,Règles_bovins[Ration]&amp;Règles_bovins[Aliment],0))="s1",IF($BB244=Spécificité1Bovins,1)),
AND(INDEX(Règles_bovins[Specificite],MATCH(ChoixRationBovins&amp;$BB244,Règles_bovins[Ration]&amp;Règles_bovins[Aliment],0))="s2",IF($BB244=Spécificité2Bovins,1)),
INDEX(Règles_bovins[Specificite],MATCH(ChoixRationBovins&amp;$BB244,Règles_bovins[Ration]&amp;Règles_bovins[Aliment],0))="c"),
INDEX(Règles_bovins[Valeur 18-24],MATCH(ChoixRationBovins&amp;$BB244,Règles_bovins[Ration]&amp;Règles_bovins[Aliment],0)),0),0)*IF(ChoixBovinsPréHiver=OUI,TotalGénisse_18_24_RacesLaitières,TotalBovinsFemelles_18_24mois*SUM(NbreJoursNourrirBovins)))</f>
        <v>0</v>
      </c>
      <c r="BF244" s="1267">
        <f t="array" ref="BF244">IF(Ration_complète_bovins[somme]&gt;0,0,IFERROR(IF(OR(AND(INDEX(Règles_bovins[Specificite],MATCH(ChoixRationBovins&amp;$BB244,Règles_bovins[Ration]&amp;Règles_bovins[Aliment],0))="s1",IF($BB244=Spécificité1Bovins,1)),
AND(INDEX(Règles_bovins[Specificite],MATCH(ChoixRationBovins&amp;$BB244,Règles_bovins[Ration]&amp;Règles_bovins[Aliment],0))="s2",IF($BB244=Spécificité2Bovins,1)),
INDEX(Règles_bovins[Specificite],MATCH(ChoixRationBovins&amp;$BB244,Règles_bovins[Ration]&amp;Règles_bovins[Aliment],0))="c"),
INDEX(Règles_bovins[Valeur 12-18],MATCH(ChoixRationBovins&amp;$BB244,Règles_bovins[Ration]&amp;Règles_bovins[Aliment],0)),0),0)*IF(ChoixBovinsPréHiver=OUI,TotalGénisse_12_18_RacesLaitières,TotalBovinsFemelles_12_18mois*SUM(NbreJoursNourrirBovins)))</f>
        <v>0</v>
      </c>
      <c r="BG244" s="1267">
        <f t="array" ref="BG244">IF(Ration_complète_bovins[somme]&gt;0,0,IFERROR(IF(OR(AND(INDEX(Règles_bovins[Specificite],MATCH(ChoixRationBovins&amp;$BB244,Règles_bovins[Ration]&amp;Règles_bovins[Aliment],0))="s1",IF($BB244=Spécificité1Bovins,1)),
AND(INDEX(Règles_bovins[Specificite],MATCH(ChoixRationBovins&amp;$BB244,Règles_bovins[Ration]&amp;Règles_bovins[Aliment],0))="s2",IF($BB244=Spécificité2Bovins,1)),
INDEX(Règles_bovins[Specificite],MATCH(ChoixRationBovins&amp;$BB244,Règles_bovins[Ration]&amp;Règles_bovins[Aliment],0))="c"),
INDEX(Règles_bovins[Valeur 6-12],MATCH(ChoixRationBovins&amp;$BB244,Règles_bovins[Ration]&amp;Règles_bovins[Aliment],0)),0),0)*IF(ChoixBovinsPréHiver=OUI,TotalVeauFemelle_6_12_RacesLaitières,TotalBovinsFemelles_6_12mois*SUM(NbreJoursNourrirBovins)))</f>
        <v>0</v>
      </c>
      <c r="BH244" s="1267">
        <f t="array" ref="BH244">IF(Ration_complète_bovins[somme]&gt;0,0,IFERROR(IF(OR(AND(INDEX(Règles_bovins[Specificite],MATCH(ChoixRationBovins&amp;$BB244,Règles_bovins[Ration]&amp;Règles_bovins[Aliment],0))="s1",IF($BB244=Spécificité1Bovins,1)),
AND(INDEX(Règles_bovins[Specificite],MATCH(ChoixRationBovins&amp;$BB244,Règles_bovins[Ration]&amp;Règles_bovins[Aliment],0))="s2",IF($BB244=Spécificité2Bovins,1)),
INDEX(Règles_bovins[Specificite],MATCH(ChoixRationBovins&amp;$BB244,Règles_bovins[Ration]&amp;Règles_bovins[Aliment],0))="c"),
INDEX(Règles_bovins[Valeur 3-6],MATCH(ChoixRationBovins&amp;$BB244,Règles_bovins[Ration]&amp;Règles_bovins[Aliment],0)),0),0)*IF(ChoixBovinsPréHiver=OUI,TotalVeauFemelle_3_6_RacesLaitières,TotalBovinsFemelles_3_6mois*SUM(NbreJoursNourrirBovins)))</f>
        <v>0</v>
      </c>
      <c r="BI244" s="1267">
        <f t="array" ref="BI244">IF(Ration_complète_bovins[somme]&gt;0,0,IFERROR(IF(OR(AND(INDEX(Règles_bovins[Specificite],MATCH(ChoixRationBovins&amp;$BB244,Règles_bovins[Ration]&amp;Règles_bovins[Aliment],0))="s1",IF($BB244=Spécificité1Bovins,1)),
AND(INDEX(Règles_bovins[Specificite],MATCH(ChoixRationBovins&amp;$BB244,Règles_bovins[Ration]&amp;Règles_bovins[Aliment],0))="s2",IF($BB244=Spécificité2Bovins,1)),
INDEX(Règles_bovins[Specificite],MATCH(ChoixRationBovins&amp;$BB244,Règles_bovins[Ration]&amp;Règles_bovins[Aliment],0))="c"),
INDEX(Règles_bovins[Valeur 0-3],MATCH(ChoixRationBovins&amp;$BB244,Règles_bovins[Ration]&amp;Règles_bovins[Aliment],0)),0),0)*IF(ChoixBovinsPréHiver=OUI,TotalVeauFemelle_0_3_RacesLaitières,TotalBovinsFemelles_0_3mois*SUM(NbreJoursNourrirBovins)))</f>
        <v>0</v>
      </c>
      <c r="BJ244" s="1268">
        <f t="shared" si="74"/>
        <v>0</v>
      </c>
      <c r="BK244" s="1321"/>
      <c r="BL244" s="1345"/>
      <c r="BM244" s="1346"/>
      <c r="BN244" s="1321"/>
      <c r="BO244" s="1321"/>
      <c r="BP244" s="1321"/>
      <c r="BQ244" s="1321"/>
      <c r="BR244" s="1321"/>
      <c r="BS244" s="1321"/>
      <c r="BT244" s="1321"/>
      <c r="BU244" s="1321"/>
      <c r="BV244" s="1345"/>
      <c r="BW244" s="1345"/>
      <c r="BX244" s="1321"/>
      <c r="BY244" s="1321"/>
      <c r="BZ244" s="1321"/>
      <c r="CA244" s="1321"/>
      <c r="CB244" s="1321"/>
      <c r="CC244" s="1321"/>
      <c r="CD244" s="1345"/>
      <c r="CE244" s="1345"/>
      <c r="CF244" s="1345"/>
      <c r="CG244" s="1345"/>
      <c r="CH244" s="1345"/>
      <c r="CI244" s="1321"/>
      <c r="CJ244" s="1321"/>
      <c r="CK244" s="1321"/>
      <c r="CL244" s="1321"/>
      <c r="CM244" s="1321"/>
      <c r="CN244" s="1321"/>
      <c r="CO244" s="1321"/>
      <c r="CP244" s="1321"/>
      <c r="CQ244" s="1321"/>
      <c r="CR244" s="1321"/>
      <c r="CS244" s="1321"/>
      <c r="CT244" s="1321"/>
      <c r="CU244" s="1321"/>
      <c r="CV244" s="1321"/>
      <c r="CW244" s="1321"/>
      <c r="CX244" s="1321"/>
      <c r="CY244" s="1321"/>
      <c r="CZ244" s="1321"/>
      <c r="DA244" s="1321"/>
      <c r="DB244" s="1321"/>
      <c r="DC244" s="1321"/>
      <c r="DD244" s="1321"/>
      <c r="DE244" s="1321"/>
      <c r="DF244" s="1321"/>
      <c r="DG244" s="1321"/>
      <c r="DH244" s="1321"/>
      <c r="DI244" s="1321"/>
      <c r="DJ244" s="1321"/>
      <c r="DK244" s="1321"/>
      <c r="DL244" s="1321"/>
      <c r="DM244" s="1321"/>
      <c r="DN244" s="1076" t="str">
        <f t="shared" si="77"/>
        <v>Colza</v>
      </c>
      <c r="DO244" s="1267">
        <f t="array" ref="DO244">IF(ChoixRationHivernaleOvinsComplète=OUI,0,IFERROR(IF(OR(AND(INDEX(Règles_ovins[Specificite],MATCH(RationHivernaleOvinsAuPré&amp;$DN244,Règles_ovins[Ration]&amp;Règles_ovins[Aliment],0))="s1",IF($DN244=Spécificité1Ovins,1)),
AND(INDEX(Règles_ovins[Specificite],MATCH(RationHivernaleOvinsAuPré&amp;$DN244,Règles_ovins[Ration]&amp;Règles_ovins[Aliment],0))="s2",IF($DN244=Spécificité2Ovins,1)),
INDEX(Règles_ovins[Specificite],MATCH(RationHivernaleOvinsAuPré&amp;$DN244,Règles_ovins[Ration]&amp;Règles_ovins[Aliment],0))="c"),
INDEX(Règles_ovins[Valeur 12 et plus],MATCH(RationHivernaleOvinsAuPré&amp;$DN244,Règles_ovins[Ration]&amp;Règles_ovins[Aliment],0)),0),0)*IF(SUM(TotalOvinsAdultesAuPré)&gt;0,SUM(TotalOvinsAdultesAuPré)*SUM(AD76:AD100),SUM(TotalOvinsAdultes)*SUM(AD76:AD100)))</f>
        <v>0</v>
      </c>
      <c r="DP244" s="1267">
        <f t="array" ref="DP244">IF(ChoixRationHivernaleOvinsComplète=OUI,0,IFERROR(IF(OR(AND(INDEX(Règles_ovins[Specificite],MATCH(RationHivernaleOvinsAuPré&amp;$DN244,Règles_ovins[Ration]&amp;Règles_ovins[Aliment],0))="s1",IF($DN244=Spécificité1Ovins,1)),
AND(INDEX(Règles_ovins[Specificite],MATCH(RationHivernaleOvinsAuPré&amp;$DN244,Règles_ovins[Ration]&amp;Règles_ovins[Aliment],0))="s2",IF($DN244=Spécificité2Ovins,1)),
INDEX(Règles_ovins[Specificite],MATCH(RationHivernaleOvinsAuPré&amp;$DN244,Règles_ovins[Ration]&amp;Règles_ovins[Aliment],0))="c"),
INDEX(Règles_ovins[Valeur 6-12],MATCH(RationHivernaleOvinsAuPré&amp;$DN244,Règles_ovins[Ration]&amp;Règles_ovins[Aliment],0)),0),0)*IF(SUM(TotalOvins_6_12moisAuPré)&gt;0,SUM(TotalOvins_6_12moisAuPré)*SUM(AD76:AD100),SUM(TotalJeunesOvins)*SUM(AD76:AD100)))</f>
        <v>0</v>
      </c>
      <c r="DQ244" s="1267">
        <f t="array" ref="DQ244">IF(ChoixRationHivernaleOvinsComplète=OUI,0,IFERROR(IF(OR(AND(INDEX(Règles_ovins[Specificite],MATCH(RationHivernaleOvinsAuPré&amp;$DN244,Règles_ovins[Ration]&amp;Règles_ovins[Aliment],0))="s1",IF($DN244=Spécificité1Ovins,1)),
AND(INDEX(Règles_ovins[Specificite],MATCH(RationHivernaleOvinsAuPré&amp;$DN244,Règles_ovins[Ration]&amp;Règles_ovins[Aliment],0))="s2",IF($DN244=Spécificité2Ovins,1)),
INDEX(Règles_ovins[Specificite],MATCH(RationHivernaleOvinsAuPré&amp;$DN244,Règles_ovins[Ration]&amp;Règles_ovins[Aliment],0))="c"),
INDEX(Règles_ovins[Valeur 3-6],MATCH(RationHivernaleOvinsAuPré&amp;$DN244,Règles_ovins[Ration]&amp;Règles_ovins[Aliment],0)),0),0)*IF(SUM(TotalOvins_3_6moisAuPré)&gt;0,SUM(TotalOvins_3_6moisAuPré)*SUM(AD76:AD100),SUM(TotalOvins_3_6mois)*SUM(AD76:AD100)))</f>
        <v>0</v>
      </c>
      <c r="DR244" s="1267">
        <f t="array" ref="DR244">IF(ChoixRationHivernaleOvinsComplète=OUI,0,IFERROR(IF(OR(AND(INDEX(Règles_ovins[Specificite],MATCH(RationHivernaleOvinsAuPré&amp;$DN244,Règles_ovins[Ration]&amp;Règles_ovins[Aliment],0))="s1",IF($DN244=Spécificité1Ovins,1)),
AND(INDEX(Règles_ovins[Specificite],MATCH(RationHivernaleOvinsAuPré&amp;$DN244,Règles_ovins[Ration]&amp;Règles_ovins[Aliment],0))="s2",IF($DN244=Spécificité2Ovins,1)),
INDEX(Règles_ovins[Specificite],MATCH(RationHivernaleOvinsAuPré&amp;$DN244,Règles_ovins[Ration]&amp;Règles_ovins[Aliment],0))="c"),
INDEX(Règles_ovins[Valeur 0-3],MATCH(RationHivernaleOvinsAuPré&amp;$DN244,Règles_ovins[Ration]&amp;Règles_ovins[Aliment],0)),0),0)*IF(SUM(TotalOvins_0_3moisAuPré)&gt;0,SUM(TotalOvins_0_3moisAuPré)*SUM(AD76:AD100),SUM(TotalOvins_3_6mois)*SUM(AD76:AD100)))</f>
        <v>0</v>
      </c>
      <c r="DS244" s="1279">
        <f t="shared" si="76"/>
        <v>0</v>
      </c>
      <c r="DT244" s="1346"/>
      <c r="DU244" s="1346"/>
      <c r="DV244" s="1321"/>
      <c r="DW244" s="1321"/>
      <c r="DX244" s="1321"/>
      <c r="DY244" s="1321"/>
      <c r="DZ244" s="1321"/>
      <c r="EA244" s="1321"/>
      <c r="EB244" s="1321"/>
      <c r="EC244" s="1321"/>
      <c r="ED244" s="1345"/>
      <c r="EE244" s="1345"/>
      <c r="EF244" s="1321"/>
      <c r="EG244" s="1321"/>
      <c r="EH244" s="1321"/>
      <c r="EI244" s="1321"/>
      <c r="EJ244" s="1321"/>
      <c r="EK244" s="1345"/>
      <c r="EL244" s="1345"/>
      <c r="EM244" s="1321"/>
      <c r="EN244" s="1321"/>
      <c r="EO244" s="1321"/>
      <c r="EP244" s="1321"/>
      <c r="EQ244" s="1321"/>
      <c r="ER244" s="1345"/>
      <c r="ES244" s="1345"/>
      <c r="ET244" s="1321"/>
      <c r="EU244" s="1321"/>
      <c r="EV244" s="1321"/>
      <c r="EW244" s="1321"/>
      <c r="EX244" s="1321"/>
      <c r="EY244" s="1321"/>
      <c r="EZ244" s="1345"/>
      <c r="FA244" s="1345"/>
      <c r="FB244" s="1345"/>
      <c r="FC244" s="1321"/>
      <c r="FD244" s="1321"/>
      <c r="FE244" s="1321"/>
      <c r="FF244" s="1321"/>
      <c r="FG244" s="1321"/>
      <c r="FH244" s="1321"/>
      <c r="FI244" s="1345"/>
      <c r="FJ244" s="1345"/>
      <c r="FK244" s="1345"/>
      <c r="FL244" s="1345"/>
      <c r="FM244" s="1321"/>
      <c r="FN244" s="1345"/>
      <c r="FO244" s="1345"/>
      <c r="FP244" s="1345"/>
      <c r="FQ244" s="1345"/>
      <c r="FR244" s="1345"/>
      <c r="FS244" s="1345"/>
      <c r="FT244" s="1345"/>
      <c r="FU244" s="1345"/>
      <c r="FV244" s="1345"/>
      <c r="FW244" s="1321"/>
      <c r="FX244" s="1321"/>
      <c r="FY244" s="1321"/>
      <c r="FZ244" s="1321"/>
      <c r="GA244" s="1345"/>
      <c r="GB244" s="1321"/>
      <c r="GC244" s="1321"/>
      <c r="GD244" s="1321"/>
      <c r="GE244" s="1321"/>
      <c r="GF244" s="1321"/>
      <c r="GG244" s="1321" t="s">
        <v>1349</v>
      </c>
      <c r="GH244" s="1321" t="s">
        <v>1349</v>
      </c>
      <c r="GI244" s="1321" t="s">
        <v>1349</v>
      </c>
      <c r="GJ244" s="1321" t="s">
        <v>1349</v>
      </c>
      <c r="GK244" s="1321" t="s">
        <v>1349</v>
      </c>
      <c r="GL244" s="1321" t="s">
        <v>1349</v>
      </c>
      <c r="GM244" s="1321" t="s">
        <v>1349</v>
      </c>
      <c r="GN244" s="1321" t="s">
        <v>1349</v>
      </c>
      <c r="GO244" s="1321" t="s">
        <v>1349</v>
      </c>
      <c r="GP244" s="1321" t="s">
        <v>1349</v>
      </c>
      <c r="GQ244" s="1321" t="s">
        <v>1349</v>
      </c>
      <c r="GR244" s="1321" t="s">
        <v>1349</v>
      </c>
      <c r="GS244" s="1321" t="s">
        <v>1349</v>
      </c>
      <c r="GT244" s="1321" t="s">
        <v>1349</v>
      </c>
      <c r="GU244" s="1321" t="s">
        <v>1349</v>
      </c>
      <c r="GV244" s="1321" t="s">
        <v>1349</v>
      </c>
      <c r="GW244" s="1321"/>
      <c r="GX244" s="1321"/>
      <c r="GY244" s="1321"/>
      <c r="GZ244" s="1321"/>
      <c r="HA244" s="1321"/>
      <c r="HB244" s="1321"/>
      <c r="HC244" s="1321"/>
      <c r="HD244" s="1321"/>
      <c r="HE244" s="1321"/>
      <c r="HF244" s="1321"/>
      <c r="HG244" s="1321"/>
      <c r="HH244" s="1321"/>
      <c r="HI244" s="1321"/>
      <c r="HJ244" s="1321"/>
      <c r="HK244" s="1321"/>
      <c r="HL244" s="1321"/>
      <c r="HM244" s="1321"/>
      <c r="HN244" s="1321"/>
      <c r="HO244" s="1321"/>
      <c r="HP244" s="1321"/>
      <c r="HQ244" s="1321"/>
      <c r="HR244" s="1321"/>
      <c r="HS244" s="1321"/>
      <c r="HT244" s="1321"/>
      <c r="HU244" s="1321"/>
      <c r="HV244" s="1321"/>
      <c r="HW244" s="1321"/>
      <c r="HX244" s="1321"/>
      <c r="HY244" s="1321"/>
      <c r="HZ244" s="1321"/>
      <c r="IA244" s="1321"/>
      <c r="IB244" s="1321"/>
      <c r="IC244" s="1321"/>
      <c r="ID244" s="1321"/>
      <c r="IE244" s="1321"/>
      <c r="IF244" s="1321"/>
      <c r="IG244" s="1321"/>
      <c r="IH244" s="1321"/>
      <c r="II244" s="1321"/>
      <c r="IJ244" s="1321"/>
      <c r="IK244" s="1321"/>
      <c r="IL244" s="1321"/>
      <c r="IM244" s="1321"/>
      <c r="IN244" s="1368"/>
    </row>
    <row r="245" spans="1:248" ht="12.75" customHeight="1" x14ac:dyDescent="0.2">
      <c r="A245" s="1319"/>
      <c r="B245" s="1321"/>
      <c r="C245" s="1321"/>
      <c r="D245" s="1321"/>
      <c r="E245" s="1321"/>
      <c r="F245" s="1321"/>
      <c r="G245" s="1321"/>
      <c r="H245" s="1321"/>
      <c r="I245" s="1321"/>
      <c r="J245" s="1321"/>
      <c r="K245" s="1321"/>
      <c r="L245" s="1321"/>
      <c r="M245" s="1321"/>
      <c r="N245" s="1321"/>
      <c r="O245" s="1321"/>
      <c r="P245" s="1321"/>
      <c r="Q245" s="1321"/>
      <c r="R245" s="1321"/>
      <c r="S245" s="1321"/>
      <c r="T245" s="1321"/>
      <c r="U245" s="1321"/>
      <c r="V245" s="1321"/>
      <c r="W245" s="1321"/>
      <c r="X245" s="1321"/>
      <c r="Y245" s="1321"/>
      <c r="Z245" s="1321"/>
      <c r="AA245" s="1321"/>
      <c r="AB245" s="1321"/>
      <c r="AC245" s="1321"/>
      <c r="AD245" s="1321"/>
      <c r="AE245" s="1321"/>
      <c r="AF245" s="1321"/>
      <c r="AG245" s="1321"/>
      <c r="AH245" s="1321"/>
      <c r="AI245" s="1321"/>
      <c r="AJ245" s="1321"/>
      <c r="AK245" s="1321"/>
      <c r="AL245" s="1321"/>
      <c r="AM245" s="1321"/>
      <c r="AN245" s="1321"/>
      <c r="AO245" s="1321"/>
      <c r="AP245" s="1321"/>
      <c r="AQ245" s="1321"/>
      <c r="AR245" s="1321"/>
      <c r="AS245" s="1321"/>
      <c r="AT245" s="1321"/>
      <c r="AU245" s="1321"/>
      <c r="AV245" s="1321"/>
      <c r="AW245" s="1321"/>
      <c r="AX245" s="1321"/>
      <c r="AY245" s="1321"/>
      <c r="AZ245" s="1321"/>
      <c r="BA245" s="1321"/>
      <c r="BB245" s="1075" t="str">
        <f t="shared" si="75"/>
        <v>concentré jeunes porcins</v>
      </c>
      <c r="BC245" s="1269">
        <f t="array" ref="BC245">IF(Ration_complète_bovins[somme]&gt;0,0,IFERROR(IF(OR(AND(INDEX(Règles_bovins[Specificite],MATCH(ChoixRationBovins&amp;$BB245,Règles_bovins[Ration]&amp;Règles_bovins[Aliment],0))="s1",IF($BB245=Spécificité1Bovins,1)),
AND(INDEX(Règles_bovins[Specificite],MATCH(ChoixRationBovins&amp;$BB245,Règles_bovins[Ration]&amp;Règles_bovins[Aliment],0))="s2",IF($BB245=Spécificité2Bovins,1)),
INDEX(Règles_bovins[Specificite],MATCH(ChoixRationBovins&amp;$BB245,Règles_bovins[Ration]&amp;Règles_bovins[Aliment],0))="c"),
INDEX(Règles_bovins[Valeur 36 et plus],MATCH(ChoixRationBovins&amp;$BB245,Règles_bovins[Ration]&amp;Règles_bovins[Aliment],0)),0),0)*IF(ChoixBovinsPréHiver=OUI,TotalVachesRacesLaitières,TotalVaches*SUM(NbreJoursNourrirBovins)))</f>
        <v>0</v>
      </c>
      <c r="BD245" s="1269">
        <f t="array" ref="BD245">IF(Ration_complète_bovins[somme]&gt;0,0,IFERROR(IF(OR(AND(INDEX(Règles_bovins[Specificite],MATCH(ChoixRationBovins&amp;$BB245,Règles_bovins[Ration]&amp;Règles_bovins[Aliment],0))="s1",IF($BB245=Spécificité1Bovins,1)),
AND(INDEX(Règles_bovins[Specificite],MATCH(ChoixRationBovins&amp;$BB245,Règles_bovins[Ration]&amp;Règles_bovins[Aliment],0))="s2",IF($BB245=Spécificité2Bovins,1)),
INDEX(Règles_bovins[Specificite],MATCH(ChoixRationBovins&amp;$BB245,Règles_bovins[Ration]&amp;Règles_bovins[Aliment],0))="c"),
INDEX(Règles_bovins[Valeur 24-36],MATCH(ChoixRationBovins&amp;$BB245,Règles_bovins[Ration]&amp;Règles_bovins[Aliment],0)),0),0)*IF(ChoixBovinsPréHiver=OUI,TotalGénisse_24_36_RacesLaitières,TotalBovinsFemelles_24_36mois*SUM(NbreJoursNourrirBovins)))</f>
        <v>0</v>
      </c>
      <c r="BE245" s="1269">
        <f t="array" ref="BE245">IF(Ration_complète_bovins[somme]&gt;0,0,IFERROR(IF(OR(AND(INDEX(Règles_bovins[Specificite],MATCH(ChoixRationBovins&amp;$BB245,Règles_bovins[Ration]&amp;Règles_bovins[Aliment],0))="s1",IF($BB245=Spécificité1Bovins,1)),
AND(INDEX(Règles_bovins[Specificite],MATCH(ChoixRationBovins&amp;$BB245,Règles_bovins[Ration]&amp;Règles_bovins[Aliment],0))="s2",IF($BB245=Spécificité2Bovins,1)),
INDEX(Règles_bovins[Specificite],MATCH(ChoixRationBovins&amp;$BB245,Règles_bovins[Ration]&amp;Règles_bovins[Aliment],0))="c"),
INDEX(Règles_bovins[Valeur 18-24],MATCH(ChoixRationBovins&amp;$BB245,Règles_bovins[Ration]&amp;Règles_bovins[Aliment],0)),0),0)*IF(ChoixBovinsPréHiver=OUI,TotalGénisse_18_24_RacesLaitières,TotalBovinsFemelles_18_24mois*SUM(NbreJoursNourrirBovins)))</f>
        <v>0</v>
      </c>
      <c r="BF245" s="1269">
        <f t="array" ref="BF245">IF(Ration_complète_bovins[somme]&gt;0,0,IFERROR(IF(OR(AND(INDEX(Règles_bovins[Specificite],MATCH(ChoixRationBovins&amp;$BB245,Règles_bovins[Ration]&amp;Règles_bovins[Aliment],0))="s1",IF($BB245=Spécificité1Bovins,1)),
AND(INDEX(Règles_bovins[Specificite],MATCH(ChoixRationBovins&amp;$BB245,Règles_bovins[Ration]&amp;Règles_bovins[Aliment],0))="s2",IF($BB245=Spécificité2Bovins,1)),
INDEX(Règles_bovins[Specificite],MATCH(ChoixRationBovins&amp;$BB245,Règles_bovins[Ration]&amp;Règles_bovins[Aliment],0))="c"),
INDEX(Règles_bovins[Valeur 12-18],MATCH(ChoixRationBovins&amp;$BB245,Règles_bovins[Ration]&amp;Règles_bovins[Aliment],0)),0),0)*IF(ChoixBovinsPréHiver=OUI,TotalGénisse_12_18_RacesLaitières,TotalBovinsFemelles_12_18mois*SUM(NbreJoursNourrirBovins)))</f>
        <v>0</v>
      </c>
      <c r="BG245" s="1269">
        <f t="array" ref="BG245">IF(Ration_complète_bovins[somme]&gt;0,0,IFERROR(IF(OR(AND(INDEX(Règles_bovins[Specificite],MATCH(ChoixRationBovins&amp;$BB245,Règles_bovins[Ration]&amp;Règles_bovins[Aliment],0))="s1",IF($BB245=Spécificité1Bovins,1)),
AND(INDEX(Règles_bovins[Specificite],MATCH(ChoixRationBovins&amp;$BB245,Règles_bovins[Ration]&amp;Règles_bovins[Aliment],0))="s2",IF($BB245=Spécificité2Bovins,1)),
INDEX(Règles_bovins[Specificite],MATCH(ChoixRationBovins&amp;$BB245,Règles_bovins[Ration]&amp;Règles_bovins[Aliment],0))="c"),
INDEX(Règles_bovins[Valeur 6-12],MATCH(ChoixRationBovins&amp;$BB245,Règles_bovins[Ration]&amp;Règles_bovins[Aliment],0)),0),0)*IF(ChoixBovinsPréHiver=OUI,TotalVeauFemelle_6_12_RacesLaitières,TotalBovinsFemelles_6_12mois*SUM(NbreJoursNourrirBovins)))</f>
        <v>0</v>
      </c>
      <c r="BH245" s="1269">
        <f t="array" ref="BH245">IF(Ration_complète_bovins[somme]&gt;0,0,IFERROR(IF(OR(AND(INDEX(Règles_bovins[Specificite],MATCH(ChoixRationBovins&amp;$BB245,Règles_bovins[Ration]&amp;Règles_bovins[Aliment],0))="s1",IF($BB245=Spécificité1Bovins,1)),
AND(INDEX(Règles_bovins[Specificite],MATCH(ChoixRationBovins&amp;$BB245,Règles_bovins[Ration]&amp;Règles_bovins[Aliment],0))="s2",IF($BB245=Spécificité2Bovins,1)),
INDEX(Règles_bovins[Specificite],MATCH(ChoixRationBovins&amp;$BB245,Règles_bovins[Ration]&amp;Règles_bovins[Aliment],0))="c"),
INDEX(Règles_bovins[Valeur 3-6],MATCH(ChoixRationBovins&amp;$BB245,Règles_bovins[Ration]&amp;Règles_bovins[Aliment],0)),0),0)*IF(ChoixBovinsPréHiver=OUI,TotalVeauFemelle_3_6_RacesLaitières,TotalBovinsFemelles_3_6mois*SUM(NbreJoursNourrirBovins)))</f>
        <v>0</v>
      </c>
      <c r="BI245" s="1269">
        <f t="array" ref="BI245">IF(Ration_complète_bovins[somme]&gt;0,0,IFERROR(IF(OR(AND(INDEX(Règles_bovins[Specificite],MATCH(ChoixRationBovins&amp;$BB245,Règles_bovins[Ration]&amp;Règles_bovins[Aliment],0))="s1",IF($BB245=Spécificité1Bovins,1)),
AND(INDEX(Règles_bovins[Specificite],MATCH(ChoixRationBovins&amp;$BB245,Règles_bovins[Ration]&amp;Règles_bovins[Aliment],0))="s2",IF($BB245=Spécificité2Bovins,1)),
INDEX(Règles_bovins[Specificite],MATCH(ChoixRationBovins&amp;$BB245,Règles_bovins[Ration]&amp;Règles_bovins[Aliment],0))="c"),
INDEX(Règles_bovins[Valeur 0-3],MATCH(ChoixRationBovins&amp;$BB245,Règles_bovins[Ration]&amp;Règles_bovins[Aliment],0)),0),0)*IF(ChoixBovinsPréHiver=OUI,TotalVeauFemelle_0_3_RacesLaitières,TotalBovinsFemelles_0_3mois*SUM(NbreJoursNourrirBovins)))</f>
        <v>0</v>
      </c>
      <c r="BJ245" s="1270">
        <f t="shared" si="74"/>
        <v>0</v>
      </c>
      <c r="BK245" s="1321"/>
      <c r="BL245" s="1345"/>
      <c r="BM245" s="1346"/>
      <c r="BN245" s="1321"/>
      <c r="BO245" s="1321"/>
      <c r="BP245" s="1321"/>
      <c r="BQ245" s="1321"/>
      <c r="BR245" s="1321"/>
      <c r="BS245" s="1321"/>
      <c r="BT245" s="1321"/>
      <c r="BU245" s="1321"/>
      <c r="BV245" s="1345"/>
      <c r="BW245" s="1345"/>
      <c r="BX245" s="1321"/>
      <c r="BY245" s="1321"/>
      <c r="BZ245" s="1321"/>
      <c r="CA245" s="1321"/>
      <c r="CB245" s="1321"/>
      <c r="CC245" s="1321"/>
      <c r="CD245" s="1345"/>
      <c r="CE245" s="1345"/>
      <c r="CF245" s="1345"/>
      <c r="CG245" s="1345"/>
      <c r="CH245" s="1345"/>
      <c r="CI245" s="1321"/>
      <c r="CJ245" s="1321"/>
      <c r="CK245" s="1321"/>
      <c r="CL245" s="1321"/>
      <c r="CM245" s="1321"/>
      <c r="CN245" s="1321"/>
      <c r="CO245" s="1321"/>
      <c r="CP245" s="1321"/>
      <c r="CQ245" s="1321"/>
      <c r="CR245" s="1321"/>
      <c r="CS245" s="1321"/>
      <c r="CT245" s="1321"/>
      <c r="CU245" s="1321"/>
      <c r="CV245" s="1321"/>
      <c r="CW245" s="1321"/>
      <c r="CX245" s="1321"/>
      <c r="CY245" s="1321"/>
      <c r="CZ245" s="1321"/>
      <c r="DA245" s="1321"/>
      <c r="DB245" s="1321"/>
      <c r="DC245" s="1321"/>
      <c r="DD245" s="1321"/>
      <c r="DE245" s="1321"/>
      <c r="DF245" s="1321"/>
      <c r="DG245" s="1321"/>
      <c r="DH245" s="1321"/>
      <c r="DI245" s="1321"/>
      <c r="DJ245" s="1321"/>
      <c r="DK245" s="1321"/>
      <c r="DL245" s="1321"/>
      <c r="DM245" s="1321"/>
      <c r="DN245" s="1075" t="str">
        <f t="shared" si="77"/>
        <v>concentré jeunes bovins</v>
      </c>
      <c r="DO245" s="1269">
        <f t="array" ref="DO245">IF(ChoixRationHivernaleOvinsComplète=OUI,0,IFERROR(IF(OR(AND(INDEX(Règles_ovins[Specificite],MATCH(RationHivernaleOvinsAuPré&amp;$DN245,Règles_ovins[Ration]&amp;Règles_ovins[Aliment],0))="s1",IF($DN245=Spécificité1Ovins,1)),
AND(INDEX(Règles_ovins[Specificite],MATCH(RationHivernaleOvinsAuPré&amp;$DN245,Règles_ovins[Ration]&amp;Règles_ovins[Aliment],0))="s2",IF($DN245=Spécificité2Ovins,1)),
INDEX(Règles_ovins[Specificite],MATCH(RationHivernaleOvinsAuPré&amp;$DN245,Règles_ovins[Ration]&amp;Règles_ovins[Aliment],0))="c"),
INDEX(Règles_ovins[Valeur 12 et plus],MATCH(RationHivernaleOvinsAuPré&amp;$DN245,Règles_ovins[Ration]&amp;Règles_ovins[Aliment],0)),0),0)*IF(SUM(TotalOvinsAdultesAuPré)&gt;0,SUM(TotalOvinsAdultesAuPré)*SUM(AD76:AD100),SUM(TotalOvinsAdultes)*SUM(AD76:AD100)))</f>
        <v>0</v>
      </c>
      <c r="DP245" s="1269">
        <f t="array" ref="DP245">IF(ChoixRationHivernaleOvinsComplète=OUI,0,IFERROR(IF(OR(AND(INDEX(Règles_ovins[Specificite],MATCH(RationHivernaleOvinsAuPré&amp;$DN245,Règles_ovins[Ration]&amp;Règles_ovins[Aliment],0))="s1",IF($DN245=Spécificité1Ovins,1)),
AND(INDEX(Règles_ovins[Specificite],MATCH(RationHivernaleOvinsAuPré&amp;$DN245,Règles_ovins[Ration]&amp;Règles_ovins[Aliment],0))="s2",IF($DN245=Spécificité2Ovins,1)),
INDEX(Règles_ovins[Specificite],MATCH(RationHivernaleOvinsAuPré&amp;$DN245,Règles_ovins[Ration]&amp;Règles_ovins[Aliment],0))="c"),
INDEX(Règles_ovins[Valeur 6-12],MATCH(RationHivernaleOvinsAuPré&amp;$DN245,Règles_ovins[Ration]&amp;Règles_ovins[Aliment],0)),0),0)*IF(SUM(TotalOvins_6_12moisAuPré)&gt;0,SUM(TotalOvins_6_12moisAuPré)*SUM(AD76:AD100),SUM(TotalJeunesOvins)*SUM(AD76:AD100)))</f>
        <v>0</v>
      </c>
      <c r="DQ245" s="1269">
        <f t="array" ref="DQ245">IF(ChoixRationHivernaleOvinsComplète=OUI,0,IFERROR(IF(OR(AND(INDEX(Règles_ovins[Specificite],MATCH(RationHivernaleOvinsAuPré&amp;$DN245,Règles_ovins[Ration]&amp;Règles_ovins[Aliment],0))="s1",IF($DN245=Spécificité1Ovins,1)),
AND(INDEX(Règles_ovins[Specificite],MATCH(RationHivernaleOvinsAuPré&amp;$DN245,Règles_ovins[Ration]&amp;Règles_ovins[Aliment],0))="s2",IF($DN245=Spécificité2Ovins,1)),
INDEX(Règles_ovins[Specificite],MATCH(RationHivernaleOvinsAuPré&amp;$DN245,Règles_ovins[Ration]&amp;Règles_ovins[Aliment],0))="c"),
INDEX(Règles_ovins[Valeur 3-6],MATCH(RationHivernaleOvinsAuPré&amp;$DN245,Règles_ovins[Ration]&amp;Règles_ovins[Aliment],0)),0),0)*IF(SUM(TotalOvins_3_6moisAuPré)&gt;0,SUM(TotalOvins_3_6moisAuPré)*SUM(AD76:AD100),SUM(TotalOvins_3_6mois)*SUM(AD76:AD100)))</f>
        <v>0</v>
      </c>
      <c r="DR245" s="1269">
        <f t="array" ref="DR245">IF(ChoixRationHivernaleOvinsComplète=OUI,0,IFERROR(IF(OR(AND(INDEX(Règles_ovins[Specificite],MATCH(RationHivernaleOvinsAuPré&amp;$DN245,Règles_ovins[Ration]&amp;Règles_ovins[Aliment],0))="s1",IF($DN245=Spécificité1Ovins,1)),
AND(INDEX(Règles_ovins[Specificite],MATCH(RationHivernaleOvinsAuPré&amp;$DN245,Règles_ovins[Ration]&amp;Règles_ovins[Aliment],0))="s2",IF($DN245=Spécificité2Ovins,1)),
INDEX(Règles_ovins[Specificite],MATCH(RationHivernaleOvinsAuPré&amp;$DN245,Règles_ovins[Ration]&amp;Règles_ovins[Aliment],0))="c"),
INDEX(Règles_ovins[Valeur 0-3],MATCH(RationHivernaleOvinsAuPré&amp;$DN245,Règles_ovins[Ration]&amp;Règles_ovins[Aliment],0)),0),0)*IF(SUM(TotalOvins_0_3moisAuPré)&gt;0,SUM(TotalOvins_0_3moisAuPré)*SUM(AD76:AD100),SUM(TotalOvins_3_6mois)*SUM(AD76:AD100)))</f>
        <v>0</v>
      </c>
      <c r="DS245" s="1280">
        <f t="shared" si="76"/>
        <v>0</v>
      </c>
      <c r="DT245" s="1346"/>
      <c r="DU245" s="1346"/>
      <c r="DV245" s="1321"/>
      <c r="DW245" s="1321"/>
      <c r="DX245" s="1321"/>
      <c r="DY245" s="1321"/>
      <c r="DZ245" s="1321"/>
      <c r="EA245" s="1321"/>
      <c r="EB245" s="1321"/>
      <c r="EC245" s="1321"/>
      <c r="ED245" s="1345"/>
      <c r="EE245" s="1345"/>
      <c r="EF245" s="1321"/>
      <c r="EG245" s="1321"/>
      <c r="EH245" s="1321"/>
      <c r="EI245" s="1321"/>
      <c r="EJ245" s="1321"/>
      <c r="EK245" s="1345"/>
      <c r="EL245" s="1345"/>
      <c r="EM245" s="1321"/>
      <c r="EN245" s="1321"/>
      <c r="EO245" s="1321"/>
      <c r="EP245" s="1321"/>
      <c r="EQ245" s="1321"/>
      <c r="ER245" s="1345"/>
      <c r="ES245" s="1345"/>
      <c r="ET245" s="1321"/>
      <c r="EU245" s="1321"/>
      <c r="EV245" s="1321"/>
      <c r="EW245" s="1321"/>
      <c r="EX245" s="1321"/>
      <c r="EY245" s="1321"/>
      <c r="EZ245" s="1345"/>
      <c r="FA245" s="1345"/>
      <c r="FB245" s="1345"/>
      <c r="FC245" s="1321"/>
      <c r="FD245" s="1321"/>
      <c r="FE245" s="1321"/>
      <c r="FF245" s="1321"/>
      <c r="FG245" s="1321"/>
      <c r="FH245" s="1321"/>
      <c r="FI245" s="1345"/>
      <c r="FJ245" s="1345"/>
      <c r="FK245" s="1345"/>
      <c r="FL245" s="1345"/>
      <c r="FM245" s="1321"/>
      <c r="FN245" s="1345"/>
      <c r="FO245" s="1345"/>
      <c r="FP245" s="1345"/>
      <c r="FQ245" s="1345"/>
      <c r="FR245" s="1345"/>
      <c r="FS245" s="1345"/>
      <c r="FT245" s="1345"/>
      <c r="FU245" s="1345"/>
      <c r="FV245" s="1345"/>
      <c r="FW245" s="1321"/>
      <c r="FX245" s="1321"/>
      <c r="FY245" s="1321"/>
      <c r="FZ245" s="1321"/>
      <c r="GA245" s="1345"/>
      <c r="GB245" s="1321"/>
      <c r="GC245" s="1321"/>
      <c r="GD245" s="1321"/>
      <c r="GE245" s="1321"/>
      <c r="GF245" s="1321"/>
      <c r="GG245" s="1321" t="s">
        <v>1349</v>
      </c>
      <c r="GH245" s="1321" t="s">
        <v>1349</v>
      </c>
      <c r="GI245" s="1321" t="s">
        <v>1349</v>
      </c>
      <c r="GJ245" s="1321" t="s">
        <v>1349</v>
      </c>
      <c r="GK245" s="1321" t="s">
        <v>1349</v>
      </c>
      <c r="GL245" s="1321" t="s">
        <v>1349</v>
      </c>
      <c r="GM245" s="1321" t="s">
        <v>1349</v>
      </c>
      <c r="GN245" s="1321" t="s">
        <v>1349</v>
      </c>
      <c r="GO245" s="1321" t="s">
        <v>1349</v>
      </c>
      <c r="GP245" s="1321" t="s">
        <v>1349</v>
      </c>
      <c r="GQ245" s="1321" t="s">
        <v>1349</v>
      </c>
      <c r="GR245" s="1321" t="s">
        <v>1349</v>
      </c>
      <c r="GS245" s="1321" t="s">
        <v>1349</v>
      </c>
      <c r="GT245" s="1321" t="s">
        <v>1349</v>
      </c>
      <c r="GU245" s="1321" t="s">
        <v>1349</v>
      </c>
      <c r="GV245" s="1321" t="s">
        <v>1349</v>
      </c>
      <c r="GW245" s="1321"/>
      <c r="GX245" s="1321"/>
      <c r="GY245" s="1321"/>
      <c r="GZ245" s="1321"/>
      <c r="HA245" s="1321"/>
      <c r="HB245" s="1321"/>
      <c r="HC245" s="1321"/>
      <c r="HD245" s="1321"/>
      <c r="HE245" s="1321"/>
      <c r="HF245" s="1321"/>
      <c r="HG245" s="1321"/>
      <c r="HH245" s="1321"/>
      <c r="HI245" s="1321"/>
      <c r="HJ245" s="1321"/>
      <c r="HK245" s="1321"/>
      <c r="HL245" s="1321"/>
      <c r="HM245" s="1321"/>
      <c r="HN245" s="1321"/>
      <c r="HO245" s="1321"/>
      <c r="HP245" s="1321"/>
      <c r="HQ245" s="1321"/>
      <c r="HR245" s="1321"/>
      <c r="HS245" s="1321"/>
      <c r="HT245" s="1321"/>
      <c r="HU245" s="1321"/>
      <c r="HV245" s="1321"/>
      <c r="HW245" s="1321"/>
      <c r="HX245" s="1321"/>
      <c r="HY245" s="1321"/>
      <c r="HZ245" s="1321"/>
      <c r="IA245" s="1321"/>
      <c r="IB245" s="1321"/>
      <c r="IC245" s="1321"/>
      <c r="ID245" s="1321"/>
      <c r="IE245" s="1321"/>
      <c r="IF245" s="1321"/>
      <c r="IG245" s="1321"/>
      <c r="IH245" s="1321"/>
      <c r="II245" s="1321"/>
      <c r="IJ245" s="1321"/>
      <c r="IK245" s="1321"/>
      <c r="IL245" s="1321"/>
      <c r="IM245" s="1321"/>
      <c r="IN245" s="1368"/>
    </row>
    <row r="246" spans="1:248" ht="12.75" customHeight="1" x14ac:dyDescent="0.2">
      <c r="A246" s="1319"/>
      <c r="B246" s="1321"/>
      <c r="C246" s="1321"/>
      <c r="D246" s="1321"/>
      <c r="E246" s="1321"/>
      <c r="F246" s="1321"/>
      <c r="G246" s="1321"/>
      <c r="H246" s="1321"/>
      <c r="I246" s="1321"/>
      <c r="J246" s="1321"/>
      <c r="K246" s="1321"/>
      <c r="L246" s="1321"/>
      <c r="M246" s="1321"/>
      <c r="N246" s="1321"/>
      <c r="O246" s="1321"/>
      <c r="P246" s="1321"/>
      <c r="Q246" s="1321"/>
      <c r="R246" s="1321"/>
      <c r="S246" s="1321"/>
      <c r="T246" s="1321"/>
      <c r="U246" s="1321"/>
      <c r="V246" s="1321"/>
      <c r="W246" s="1321"/>
      <c r="X246" s="1321"/>
      <c r="Y246" s="1321"/>
      <c r="Z246" s="1321"/>
      <c r="AA246" s="1321"/>
      <c r="AB246" s="1321"/>
      <c r="AC246" s="1321"/>
      <c r="AD246" s="1321"/>
      <c r="AE246" s="1321"/>
      <c r="AF246" s="1321"/>
      <c r="AG246" s="1321"/>
      <c r="AH246" s="1321"/>
      <c r="AI246" s="1321"/>
      <c r="AJ246" s="1321"/>
      <c r="AK246" s="1321"/>
      <c r="AL246" s="1321"/>
      <c r="AM246" s="1321"/>
      <c r="AN246" s="1321"/>
      <c r="AO246" s="1321"/>
      <c r="AP246" s="1321"/>
      <c r="AQ246" s="1321"/>
      <c r="AR246" s="1321"/>
      <c r="AS246" s="1321"/>
      <c r="AT246" s="1321"/>
      <c r="AU246" s="1321"/>
      <c r="AV246" s="1321"/>
      <c r="AW246" s="1321"/>
      <c r="AX246" s="1321"/>
      <c r="AY246" s="1321"/>
      <c r="AZ246" s="1321"/>
      <c r="BA246" s="1321"/>
      <c r="BB246" s="1076" t="str">
        <f t="shared" si="75"/>
        <v>Ensilage d'herbe</v>
      </c>
      <c r="BC246" s="1267">
        <f t="array" ref="BC246">IF(Ration_complète_bovins[somme]&gt;0,0,IFERROR(IF(OR(AND(INDEX(Règles_bovins[Specificite],MATCH(ChoixRationBovins&amp;$BB246,Règles_bovins[Ration]&amp;Règles_bovins[Aliment],0))="s1",IF($BB246=Spécificité1Bovins,1)),
AND(INDEX(Règles_bovins[Specificite],MATCH(ChoixRationBovins&amp;$BB246,Règles_bovins[Ration]&amp;Règles_bovins[Aliment],0))="s2",IF($BB246=Spécificité2Bovins,1)),
INDEX(Règles_bovins[Specificite],MATCH(ChoixRationBovins&amp;$BB246,Règles_bovins[Ration]&amp;Règles_bovins[Aliment],0))="c"),
INDEX(Règles_bovins[Valeur 36 et plus],MATCH(ChoixRationBovins&amp;$BB246,Règles_bovins[Ration]&amp;Règles_bovins[Aliment],0)),0),0)*IF(ChoixBovinsPréHiver=OUI,TotalVachesRacesLaitières,TotalVaches*SUM(NbreJoursNourrirBovins)))</f>
        <v>0</v>
      </c>
      <c r="BD246" s="1267">
        <f t="array" ref="BD246">IF(Ration_complète_bovins[somme]&gt;0,0,IFERROR(IF(OR(AND(INDEX(Règles_bovins[Specificite],MATCH(ChoixRationBovins&amp;$BB246,Règles_bovins[Ration]&amp;Règles_bovins[Aliment],0))="s1",IF($BB246=Spécificité1Bovins,1)),
AND(INDEX(Règles_bovins[Specificite],MATCH(ChoixRationBovins&amp;$BB246,Règles_bovins[Ration]&amp;Règles_bovins[Aliment],0))="s2",IF($BB246=Spécificité2Bovins,1)),
INDEX(Règles_bovins[Specificite],MATCH(ChoixRationBovins&amp;$BB246,Règles_bovins[Ration]&amp;Règles_bovins[Aliment],0))="c"),
INDEX(Règles_bovins[Valeur 24-36],MATCH(ChoixRationBovins&amp;$BB246,Règles_bovins[Ration]&amp;Règles_bovins[Aliment],0)),0),0)*IF(ChoixBovinsPréHiver=OUI,TotalGénisse_24_36_RacesLaitières,TotalBovinsFemelles_24_36mois*SUM(NbreJoursNourrirBovins)))</f>
        <v>0</v>
      </c>
      <c r="BE246" s="1267">
        <f t="array" ref="BE246">IF(Ration_complète_bovins[somme]&gt;0,0,IFERROR(IF(OR(AND(INDEX(Règles_bovins[Specificite],MATCH(ChoixRationBovins&amp;$BB246,Règles_bovins[Ration]&amp;Règles_bovins[Aliment],0))="s1",IF($BB246=Spécificité1Bovins,1)),
AND(INDEX(Règles_bovins[Specificite],MATCH(ChoixRationBovins&amp;$BB246,Règles_bovins[Ration]&amp;Règles_bovins[Aliment],0))="s2",IF($BB246=Spécificité2Bovins,1)),
INDEX(Règles_bovins[Specificite],MATCH(ChoixRationBovins&amp;$BB246,Règles_bovins[Ration]&amp;Règles_bovins[Aliment],0))="c"),
INDEX(Règles_bovins[Valeur 18-24],MATCH(ChoixRationBovins&amp;$BB246,Règles_bovins[Ration]&amp;Règles_bovins[Aliment],0)),0),0)*IF(ChoixBovinsPréHiver=OUI,TotalGénisse_18_24_RacesLaitières,TotalBovinsFemelles_18_24mois*SUM(NbreJoursNourrirBovins)))</f>
        <v>0</v>
      </c>
      <c r="BF246" s="1267">
        <f t="array" ref="BF246">IF(Ration_complète_bovins[somme]&gt;0,0,IFERROR(IF(OR(AND(INDEX(Règles_bovins[Specificite],MATCH(ChoixRationBovins&amp;$BB246,Règles_bovins[Ration]&amp;Règles_bovins[Aliment],0))="s1",IF($BB246=Spécificité1Bovins,1)),
AND(INDEX(Règles_bovins[Specificite],MATCH(ChoixRationBovins&amp;$BB246,Règles_bovins[Ration]&amp;Règles_bovins[Aliment],0))="s2",IF($BB246=Spécificité2Bovins,1)),
INDEX(Règles_bovins[Specificite],MATCH(ChoixRationBovins&amp;$BB246,Règles_bovins[Ration]&amp;Règles_bovins[Aliment],0))="c"),
INDEX(Règles_bovins[Valeur 12-18],MATCH(ChoixRationBovins&amp;$BB246,Règles_bovins[Ration]&amp;Règles_bovins[Aliment],0)),0),0)*IF(ChoixBovinsPréHiver=OUI,TotalGénisse_12_18_RacesLaitières,TotalBovinsFemelles_12_18mois*SUM(NbreJoursNourrirBovins)))</f>
        <v>0</v>
      </c>
      <c r="BG246" s="1267">
        <f t="array" ref="BG246">IF(Ration_complète_bovins[somme]&gt;0,0,IFERROR(IF(OR(AND(INDEX(Règles_bovins[Specificite],MATCH(ChoixRationBovins&amp;$BB246,Règles_bovins[Ration]&amp;Règles_bovins[Aliment],0))="s1",IF($BB246=Spécificité1Bovins,1)),
AND(INDEX(Règles_bovins[Specificite],MATCH(ChoixRationBovins&amp;$BB246,Règles_bovins[Ration]&amp;Règles_bovins[Aliment],0))="s2",IF($BB246=Spécificité2Bovins,1)),
INDEX(Règles_bovins[Specificite],MATCH(ChoixRationBovins&amp;$BB246,Règles_bovins[Ration]&amp;Règles_bovins[Aliment],0))="c"),
INDEX(Règles_bovins[Valeur 6-12],MATCH(ChoixRationBovins&amp;$BB246,Règles_bovins[Ration]&amp;Règles_bovins[Aliment],0)),0),0)*IF(ChoixBovinsPréHiver=OUI,TotalVeauFemelle_6_12_RacesLaitières,TotalBovinsFemelles_6_12mois*SUM(NbreJoursNourrirBovins)))</f>
        <v>0</v>
      </c>
      <c r="BH246" s="1267">
        <f t="array" ref="BH246">IF(Ration_complète_bovins[somme]&gt;0,0,IFERROR(IF(OR(AND(INDEX(Règles_bovins[Specificite],MATCH(ChoixRationBovins&amp;$BB246,Règles_bovins[Ration]&amp;Règles_bovins[Aliment],0))="s1",IF($BB246=Spécificité1Bovins,1)),
AND(INDEX(Règles_bovins[Specificite],MATCH(ChoixRationBovins&amp;$BB246,Règles_bovins[Ration]&amp;Règles_bovins[Aliment],0))="s2",IF($BB246=Spécificité2Bovins,1)),
INDEX(Règles_bovins[Specificite],MATCH(ChoixRationBovins&amp;$BB246,Règles_bovins[Ration]&amp;Règles_bovins[Aliment],0))="c"),
INDEX(Règles_bovins[Valeur 3-6],MATCH(ChoixRationBovins&amp;$BB246,Règles_bovins[Ration]&amp;Règles_bovins[Aliment],0)),0),0)*IF(ChoixBovinsPréHiver=OUI,TotalVeauFemelle_3_6_RacesLaitières,TotalBovinsFemelles_3_6mois*SUM(NbreJoursNourrirBovins)))</f>
        <v>0</v>
      </c>
      <c r="BI246" s="1267">
        <f t="array" ref="BI246">IF(Ration_complète_bovins[somme]&gt;0,0,IFERROR(IF(OR(AND(INDEX(Règles_bovins[Specificite],MATCH(ChoixRationBovins&amp;$BB246,Règles_bovins[Ration]&amp;Règles_bovins[Aliment],0))="s1",IF($BB246=Spécificité1Bovins,1)),
AND(INDEX(Règles_bovins[Specificite],MATCH(ChoixRationBovins&amp;$BB246,Règles_bovins[Ration]&amp;Règles_bovins[Aliment],0))="s2",IF($BB246=Spécificité2Bovins,1)),
INDEX(Règles_bovins[Specificite],MATCH(ChoixRationBovins&amp;$BB246,Règles_bovins[Ration]&amp;Règles_bovins[Aliment],0))="c"),
INDEX(Règles_bovins[Valeur 0-3],MATCH(ChoixRationBovins&amp;$BB246,Règles_bovins[Ration]&amp;Règles_bovins[Aliment],0)),0),0)*IF(ChoixBovinsPréHiver=OUI,TotalVeauFemelle_0_3_RacesLaitières,TotalBovinsFemelles_0_3mois*SUM(NbreJoursNourrirBovins)))</f>
        <v>0</v>
      </c>
      <c r="BJ246" s="1268">
        <f t="shared" si="74"/>
        <v>0</v>
      </c>
      <c r="BK246" s="1321"/>
      <c r="BL246" s="1345"/>
      <c r="BM246" s="1346"/>
      <c r="BN246" s="1321"/>
      <c r="BO246" s="1321"/>
      <c r="BP246" s="1321"/>
      <c r="BQ246" s="1321"/>
      <c r="BR246" s="1321"/>
      <c r="BS246" s="1321"/>
      <c r="BT246" s="1321"/>
      <c r="BU246" s="1321"/>
      <c r="BV246" s="1345"/>
      <c r="BW246" s="1345"/>
      <c r="BX246" s="1321"/>
      <c r="BY246" s="1321"/>
      <c r="BZ246" s="1321"/>
      <c r="CA246" s="1321"/>
      <c r="CB246" s="1321"/>
      <c r="CC246" s="1321"/>
      <c r="CD246" s="1345"/>
      <c r="CE246" s="1345"/>
      <c r="CF246" s="1345"/>
      <c r="CG246" s="1345"/>
      <c r="CH246" s="1345"/>
      <c r="CI246" s="1321"/>
      <c r="CJ246" s="1321"/>
      <c r="CK246" s="1321"/>
      <c r="CL246" s="1321"/>
      <c r="CM246" s="1321"/>
      <c r="CN246" s="1321"/>
      <c r="CO246" s="1321"/>
      <c r="CP246" s="1321"/>
      <c r="CQ246" s="1321"/>
      <c r="CR246" s="1321"/>
      <c r="CS246" s="1321"/>
      <c r="CT246" s="1321"/>
      <c r="CU246" s="1321"/>
      <c r="CV246" s="1321"/>
      <c r="CW246" s="1321"/>
      <c r="CX246" s="1321"/>
      <c r="CY246" s="1321"/>
      <c r="CZ246" s="1321"/>
      <c r="DA246" s="1321"/>
      <c r="DB246" s="1321"/>
      <c r="DC246" s="1321"/>
      <c r="DD246" s="1321"/>
      <c r="DE246" s="1321"/>
      <c r="DF246" s="1321"/>
      <c r="DG246" s="1321"/>
      <c r="DH246" s="1321"/>
      <c r="DI246" s="1321"/>
      <c r="DJ246" s="1321"/>
      <c r="DK246" s="1321"/>
      <c r="DL246" s="1321"/>
      <c r="DM246" s="1321"/>
      <c r="DN246" s="1076" t="str">
        <f t="shared" si="77"/>
        <v>concentré jeunes lapins</v>
      </c>
      <c r="DO246" s="1267">
        <f t="array" ref="DO246">IF(ChoixRationHivernaleOvinsComplète=OUI,0,IFERROR(IF(OR(AND(INDEX(Règles_ovins[Specificite],MATCH(RationHivernaleOvinsAuPré&amp;$DN246,Règles_ovins[Ration]&amp;Règles_ovins[Aliment],0))="s1",IF($DN246=Spécificité1Ovins,1)),
AND(INDEX(Règles_ovins[Specificite],MATCH(RationHivernaleOvinsAuPré&amp;$DN246,Règles_ovins[Ration]&amp;Règles_ovins[Aliment],0))="s2",IF($DN246=Spécificité2Ovins,1)),
INDEX(Règles_ovins[Specificite],MATCH(RationHivernaleOvinsAuPré&amp;$DN246,Règles_ovins[Ration]&amp;Règles_ovins[Aliment],0))="c"),
INDEX(Règles_ovins[Valeur 12 et plus],MATCH(RationHivernaleOvinsAuPré&amp;$DN246,Règles_ovins[Ration]&amp;Règles_ovins[Aliment],0)),0),0)*IF(SUM(TotalOvinsAdultesAuPré)&gt;0,SUM(TotalOvinsAdultesAuPré)*SUM(AD76:AD100),SUM(TotalOvinsAdultes)*SUM(AD76:AD100)))</f>
        <v>0</v>
      </c>
      <c r="DP246" s="1267">
        <f t="array" ref="DP246">IF(ChoixRationHivernaleOvinsComplète=OUI,0,IFERROR(IF(OR(AND(INDEX(Règles_ovins[Specificite],MATCH(RationHivernaleOvinsAuPré&amp;$DN246,Règles_ovins[Ration]&amp;Règles_ovins[Aliment],0))="s1",IF($DN246=Spécificité1Ovins,1)),
AND(INDEX(Règles_ovins[Specificite],MATCH(RationHivernaleOvinsAuPré&amp;$DN246,Règles_ovins[Ration]&amp;Règles_ovins[Aliment],0))="s2",IF($DN246=Spécificité2Ovins,1)),
INDEX(Règles_ovins[Specificite],MATCH(RationHivernaleOvinsAuPré&amp;$DN246,Règles_ovins[Ration]&amp;Règles_ovins[Aliment],0))="c"),
INDEX(Règles_ovins[Valeur 6-12],MATCH(RationHivernaleOvinsAuPré&amp;$DN246,Règles_ovins[Ration]&amp;Règles_ovins[Aliment],0)),0),0)*IF(SUM(TotalOvins_6_12moisAuPré)&gt;0,SUM(TotalOvins_6_12moisAuPré)*SUM(AD76:AD100),SUM(TotalJeunesOvins)*SUM(AD76:AD100)))</f>
        <v>0</v>
      </c>
      <c r="DQ246" s="1267">
        <f t="array" ref="DQ246">IF(ChoixRationHivernaleOvinsComplète=OUI,0,IFERROR(IF(OR(AND(INDEX(Règles_ovins[Specificite],MATCH(RationHivernaleOvinsAuPré&amp;$DN246,Règles_ovins[Ration]&amp;Règles_ovins[Aliment],0))="s1",IF($DN246=Spécificité1Ovins,1)),
AND(INDEX(Règles_ovins[Specificite],MATCH(RationHivernaleOvinsAuPré&amp;$DN246,Règles_ovins[Ration]&amp;Règles_ovins[Aliment],0))="s2",IF($DN246=Spécificité2Ovins,1)),
INDEX(Règles_ovins[Specificite],MATCH(RationHivernaleOvinsAuPré&amp;$DN246,Règles_ovins[Ration]&amp;Règles_ovins[Aliment],0))="c"),
INDEX(Règles_ovins[Valeur 3-6],MATCH(RationHivernaleOvinsAuPré&amp;$DN246,Règles_ovins[Ration]&amp;Règles_ovins[Aliment],0)),0),0)*IF(SUM(TotalOvins_3_6moisAuPré)&gt;0,SUM(TotalOvins_3_6moisAuPré)*SUM(AD76:AD100),SUM(TotalOvins_3_6mois)*SUM(AD76:AD100)))</f>
        <v>0</v>
      </c>
      <c r="DR246" s="1267">
        <f t="array" ref="DR246">IF(ChoixRationHivernaleOvinsComplète=OUI,0,IFERROR(IF(OR(AND(INDEX(Règles_ovins[Specificite],MATCH(RationHivernaleOvinsAuPré&amp;$DN246,Règles_ovins[Ration]&amp;Règles_ovins[Aliment],0))="s1",IF($DN246=Spécificité1Ovins,1)),
AND(INDEX(Règles_ovins[Specificite],MATCH(RationHivernaleOvinsAuPré&amp;$DN246,Règles_ovins[Ration]&amp;Règles_ovins[Aliment],0))="s2",IF($DN246=Spécificité2Ovins,1)),
INDEX(Règles_ovins[Specificite],MATCH(RationHivernaleOvinsAuPré&amp;$DN246,Règles_ovins[Ration]&amp;Règles_ovins[Aliment],0))="c"),
INDEX(Règles_ovins[Valeur 0-3],MATCH(RationHivernaleOvinsAuPré&amp;$DN246,Règles_ovins[Ration]&amp;Règles_ovins[Aliment],0)),0),0)*IF(SUM(TotalOvins_0_3moisAuPré)&gt;0,SUM(TotalOvins_0_3moisAuPré)*SUM(AD76:AD100),SUM(TotalOvins_3_6mois)*SUM(AD76:AD100)))</f>
        <v>0</v>
      </c>
      <c r="DS246" s="1279">
        <f t="shared" si="76"/>
        <v>0</v>
      </c>
      <c r="DT246" s="1346"/>
      <c r="DU246" s="1346"/>
      <c r="DV246" s="1321"/>
      <c r="DW246" s="1321"/>
      <c r="DX246" s="1321"/>
      <c r="DY246" s="1321"/>
      <c r="DZ246" s="1321"/>
      <c r="EA246" s="1321"/>
      <c r="EB246" s="1321"/>
      <c r="EC246" s="1321"/>
      <c r="ED246" s="1345"/>
      <c r="EE246" s="1345"/>
      <c r="EF246" s="1321"/>
      <c r="EG246" s="1321"/>
      <c r="EH246" s="1321"/>
      <c r="EI246" s="1321"/>
      <c r="EJ246" s="1321"/>
      <c r="EK246" s="1345"/>
      <c r="EL246" s="1345"/>
      <c r="EM246" s="1321"/>
      <c r="EN246" s="1321"/>
      <c r="EO246" s="1321"/>
      <c r="EP246" s="1321"/>
      <c r="EQ246" s="1321"/>
      <c r="ER246" s="1345"/>
      <c r="ES246" s="1345"/>
      <c r="ET246" s="1321"/>
      <c r="EU246" s="1321"/>
      <c r="EV246" s="1321"/>
      <c r="EW246" s="1321"/>
      <c r="EX246" s="1321"/>
      <c r="EY246" s="1321"/>
      <c r="EZ246" s="1345"/>
      <c r="FA246" s="1345"/>
      <c r="FB246" s="1345"/>
      <c r="FC246" s="1321"/>
      <c r="FD246" s="1321"/>
      <c r="FE246" s="1321"/>
      <c r="FF246" s="1321"/>
      <c r="FG246" s="1321"/>
      <c r="FH246" s="1321"/>
      <c r="FI246" s="1345"/>
      <c r="FJ246" s="1345"/>
      <c r="FK246" s="1345"/>
      <c r="FL246" s="1345"/>
      <c r="FM246" s="1321"/>
      <c r="FN246" s="1345"/>
      <c r="FO246" s="1345"/>
      <c r="FP246" s="1345"/>
      <c r="FQ246" s="1345"/>
      <c r="FR246" s="1345"/>
      <c r="FS246" s="1345"/>
      <c r="FT246" s="1345"/>
      <c r="FU246" s="1345"/>
      <c r="FV246" s="1345"/>
      <c r="FW246" s="1321"/>
      <c r="FX246" s="1321"/>
      <c r="FY246" s="1321"/>
      <c r="FZ246" s="1321"/>
      <c r="GA246" s="1345"/>
      <c r="GB246" s="1321"/>
      <c r="GC246" s="1321"/>
      <c r="GD246" s="1321"/>
      <c r="GE246" s="1321"/>
      <c r="GF246" s="1321"/>
      <c r="GG246" s="1321" t="s">
        <v>1349</v>
      </c>
      <c r="GH246" s="1321" t="s">
        <v>1349</v>
      </c>
      <c r="GI246" s="1321" t="s">
        <v>1349</v>
      </c>
      <c r="GJ246" s="1321" t="s">
        <v>1349</v>
      </c>
      <c r="GK246" s="1321" t="s">
        <v>1349</v>
      </c>
      <c r="GL246" s="1321" t="s">
        <v>1349</v>
      </c>
      <c r="GM246" s="1321" t="s">
        <v>1349</v>
      </c>
      <c r="GN246" s="1321" t="s">
        <v>1349</v>
      </c>
      <c r="GO246" s="1321" t="s">
        <v>1349</v>
      </c>
      <c r="GP246" s="1321" t="s">
        <v>1349</v>
      </c>
      <c r="GQ246" s="1321" t="s">
        <v>1349</v>
      </c>
      <c r="GR246" s="1321" t="s">
        <v>1349</v>
      </c>
      <c r="GS246" s="1321" t="s">
        <v>1349</v>
      </c>
      <c r="GT246" s="1321" t="s">
        <v>1349</v>
      </c>
      <c r="GU246" s="1321" t="s">
        <v>1349</v>
      </c>
      <c r="GV246" s="1321" t="s">
        <v>1349</v>
      </c>
      <c r="GW246" s="1321"/>
      <c r="GX246" s="1321"/>
      <c r="GY246" s="1321"/>
      <c r="GZ246" s="1321"/>
      <c r="HA246" s="1321"/>
      <c r="HB246" s="1321"/>
      <c r="HC246" s="1321"/>
      <c r="HD246" s="1321"/>
      <c r="HE246" s="1321"/>
      <c r="HF246" s="1321"/>
      <c r="HG246" s="1321"/>
      <c r="HH246" s="1321"/>
      <c r="HI246" s="1321"/>
      <c r="HJ246" s="1321"/>
      <c r="HK246" s="1321"/>
      <c r="HL246" s="1321"/>
      <c r="HM246" s="1321"/>
      <c r="HN246" s="1321"/>
      <c r="HO246" s="1321"/>
      <c r="HP246" s="1321"/>
      <c r="HQ246" s="1321"/>
      <c r="HR246" s="1321"/>
      <c r="HS246" s="1321"/>
      <c r="HT246" s="1321"/>
      <c r="HU246" s="1321"/>
      <c r="HV246" s="1321"/>
      <c r="HW246" s="1321"/>
      <c r="HX246" s="1321"/>
      <c r="HY246" s="1321"/>
      <c r="HZ246" s="1321"/>
      <c r="IA246" s="1321"/>
      <c r="IB246" s="1321"/>
      <c r="IC246" s="1321"/>
      <c r="ID246" s="1321"/>
      <c r="IE246" s="1321"/>
      <c r="IF246" s="1321"/>
      <c r="IG246" s="1321"/>
      <c r="IH246" s="1321"/>
      <c r="II246" s="1321"/>
      <c r="IJ246" s="1321"/>
      <c r="IK246" s="1321"/>
      <c r="IL246" s="1321"/>
      <c r="IM246" s="1321"/>
      <c r="IN246" s="1368"/>
    </row>
    <row r="247" spans="1:248" ht="12.75" customHeight="1" x14ac:dyDescent="0.2">
      <c r="A247" s="1319"/>
      <c r="B247" s="1321"/>
      <c r="C247" s="1321"/>
      <c r="D247" s="1321"/>
      <c r="E247" s="1321"/>
      <c r="F247" s="1321"/>
      <c r="G247" s="1321"/>
      <c r="H247" s="1321"/>
      <c r="I247" s="1321"/>
      <c r="J247" s="1321"/>
      <c r="K247" s="1321"/>
      <c r="L247" s="1321"/>
      <c r="M247" s="1321"/>
      <c r="N247" s="1321"/>
      <c r="O247" s="1321"/>
      <c r="P247" s="1321"/>
      <c r="Q247" s="1321"/>
      <c r="R247" s="1321"/>
      <c r="S247" s="1321"/>
      <c r="T247" s="1321"/>
      <c r="U247" s="1321"/>
      <c r="V247" s="1321"/>
      <c r="W247" s="1321"/>
      <c r="X247" s="1321"/>
      <c r="Y247" s="1321"/>
      <c r="Z247" s="1321"/>
      <c r="AA247" s="1321"/>
      <c r="AB247" s="1321"/>
      <c r="AC247" s="1321"/>
      <c r="AD247" s="1321"/>
      <c r="AE247" s="1321"/>
      <c r="AF247" s="1321"/>
      <c r="AG247" s="1321"/>
      <c r="AH247" s="1321"/>
      <c r="AI247" s="1321"/>
      <c r="AJ247" s="1321"/>
      <c r="AK247" s="1321"/>
      <c r="AL247" s="1321"/>
      <c r="AM247" s="1321"/>
      <c r="AN247" s="1321"/>
      <c r="AO247" s="1321"/>
      <c r="AP247" s="1321"/>
      <c r="AQ247" s="1321"/>
      <c r="AR247" s="1321"/>
      <c r="AS247" s="1321"/>
      <c r="AT247" s="1321"/>
      <c r="AU247" s="1321"/>
      <c r="AV247" s="1321"/>
      <c r="AW247" s="1321"/>
      <c r="AX247" s="1321"/>
      <c r="AY247" s="1321"/>
      <c r="AZ247" s="1321"/>
      <c r="BA247" s="1321"/>
      <c r="BB247" s="1075" t="str">
        <f t="shared" si="75"/>
        <v>Eau</v>
      </c>
      <c r="BC247" s="1269">
        <f t="array" ref="BC247">IFERROR(IF(OR(AND(INDEX(Règles_bovins[Specificite],MATCH(ChoixRationBovins&amp;$BB247,Règles_bovins[Ration]&amp;Règles_bovins[Aliment],0))="s1",IF($BB247=Spécificité1Bovins,1)),
AND(INDEX(Règles_bovins[Specificite],MATCH(ChoixRationBovins&amp;$BB247,Règles_bovins[Ration]&amp;Règles_bovins[Aliment],0))="s2",IF($BB247=Spécificité2Bovins,1)),
INDEX(Règles_bovins[Specificite],MATCH(ChoixRationBovins&amp;$BB247,Règles_bovins[Ration]&amp;Règles_bovins[Aliment],0))="c"),
INDEX(Règles_bovins[Valeur 36 et plus],MATCH(ChoixRationBovins&amp;$BB247,Règles_bovins[Ration]&amp;Règles_bovins[Aliment],0)),0),0)*IF(ChoixBovinsPréHiver=OUI,TotalVachesRacesLaitières,TotalVaches*SUM(NbreJoursNourrirBovins))</f>
        <v>0</v>
      </c>
      <c r="BD247" s="1269">
        <f t="array" ref="BD247">IFERROR(IF(OR(AND(INDEX(Règles_bovins[Specificite],MATCH(ChoixRationBovins&amp;$BB247,Règles_bovins[Ration]&amp;Règles_bovins[Aliment],0))="s1",IF($BB247=Spécificité1Bovins,1)),
AND(INDEX(Règles_bovins[Specificite],MATCH(ChoixRationBovins&amp;$BB247,Règles_bovins[Ration]&amp;Règles_bovins[Aliment],0))="s2",IF($BB247=Spécificité2Bovins,1)),
INDEX(Règles_bovins[Specificite],MATCH(ChoixRationBovins&amp;$BB247,Règles_bovins[Ration]&amp;Règles_bovins[Aliment],0))="c"),
INDEX(Règles_bovins[Valeur 24-36],MATCH(ChoixRationBovins&amp;$BB247,Règles_bovins[Ration]&amp;Règles_bovins[Aliment],0)),0),0)*IF(ChoixBovinsPréHiver=OUI,TotalGénisse_24_36_RacesLaitières,TotalBovinsFemelles_24_36mois*SUM(NbreJoursNourrirBovins))</f>
        <v>0</v>
      </c>
      <c r="BE247" s="1269">
        <f t="array" ref="BE247">IFERROR(IF(OR(AND(INDEX(Règles_bovins[Specificite],MATCH(ChoixRationBovins&amp;$BB247,Règles_bovins[Ration]&amp;Règles_bovins[Aliment],0))="s1",IF($BB247=Spécificité1Bovins,1)),
AND(INDEX(Règles_bovins[Specificite],MATCH(ChoixRationBovins&amp;$BB247,Règles_bovins[Ration]&amp;Règles_bovins[Aliment],0))="s2",IF($BB247=Spécificité2Bovins,1)),
INDEX(Règles_bovins[Specificite],MATCH(ChoixRationBovins&amp;$BB247,Règles_bovins[Ration]&amp;Règles_bovins[Aliment],0))="c"),
INDEX(Règles_bovins[Valeur 18-24],MATCH(ChoixRationBovins&amp;$BB247,Règles_bovins[Ration]&amp;Règles_bovins[Aliment],0)),0),0)*IF(ChoixBovinsPréHiver=OUI,TotalGénisse_18_24_RacesLaitières,TotalBovinsFemelles_18_24mois*SUM(NbreJoursNourrirBovins))</f>
        <v>0</v>
      </c>
      <c r="BF247" s="1269">
        <f t="array" ref="BF247">IFERROR(IF(OR(AND(INDEX(Règles_bovins[Specificite],MATCH(ChoixRationBovins&amp;$BB247,Règles_bovins[Ration]&amp;Règles_bovins[Aliment],0))="s1",IF($BB247=Spécificité1Bovins,1)),
AND(INDEX(Règles_bovins[Specificite],MATCH(ChoixRationBovins&amp;$BB247,Règles_bovins[Ration]&amp;Règles_bovins[Aliment],0))="s2",IF($BB247=Spécificité2Bovins,1)),
INDEX(Règles_bovins[Specificite],MATCH(ChoixRationBovins&amp;$BB247,Règles_bovins[Ration]&amp;Règles_bovins[Aliment],0))="c"),
INDEX(Règles_bovins[Valeur 12-18],MATCH(ChoixRationBovins&amp;$BB247,Règles_bovins[Ration]&amp;Règles_bovins[Aliment],0)),0),0)*IF(ChoixBovinsPréHiver=OUI,TotalGénisse_12_18_RacesLaitières,TotalBovinsFemelles_12_18mois*SUM(NbreJoursNourrirBovins))</f>
        <v>0</v>
      </c>
      <c r="BG247" s="1269">
        <f t="array" ref="BG247">IFERROR(IF(OR(AND(INDEX(Règles_bovins[Specificite],MATCH(ChoixRationBovins&amp;$BB247,Règles_bovins[Ration]&amp;Règles_bovins[Aliment],0))="s1",IF($BB247=Spécificité1Bovins,1)),
AND(INDEX(Règles_bovins[Specificite],MATCH(ChoixRationBovins&amp;$BB247,Règles_bovins[Ration]&amp;Règles_bovins[Aliment],0))="s2",IF($BB247=Spécificité2Bovins,1)),
INDEX(Règles_bovins[Specificite],MATCH(ChoixRationBovins&amp;$BB247,Règles_bovins[Ration]&amp;Règles_bovins[Aliment],0))="c"),
INDEX(Règles_bovins[Valeur 6-12],MATCH(ChoixRationBovins&amp;$BB247,Règles_bovins[Ration]&amp;Règles_bovins[Aliment],0)),0),0)*IF(ChoixBovinsPréHiver=OUI,TotalVeauFemelle_6_12_RacesLaitières,TotalBovinsFemelles_6_12mois*SUM(NbreJoursNourrirBovins))</f>
        <v>0</v>
      </c>
      <c r="BH247" s="1269">
        <f t="array" ref="BH247">IFERROR(IF(OR(AND(INDEX(Règles_bovins[Specificite],MATCH(ChoixRationBovins&amp;$BB247,Règles_bovins[Ration]&amp;Règles_bovins[Aliment],0))="s1",IF($BB247=Spécificité1Bovins,1)),
AND(INDEX(Règles_bovins[Specificite],MATCH(ChoixRationBovins&amp;$BB247,Règles_bovins[Ration]&amp;Règles_bovins[Aliment],0))="s2",IF($BB247=Spécificité2Bovins,1)),
INDEX(Règles_bovins[Specificite],MATCH(ChoixRationBovins&amp;$BB247,Règles_bovins[Ration]&amp;Règles_bovins[Aliment],0))="c"),
INDEX(Règles_bovins[Valeur 3-6],MATCH(ChoixRationBovins&amp;$BB247,Règles_bovins[Ration]&amp;Règles_bovins[Aliment],0)),0),0)*IF(ChoixBovinsPréHiver=OUI,TotalVeauFemelle_3_6_RacesLaitières,TotalBovinsFemelles_3_6mois*SUM(NbreJoursNourrirBovins))</f>
        <v>0</v>
      </c>
      <c r="BI247" s="1269">
        <f t="array" ref="BI247">IFERROR(IF(OR(AND(INDEX(Règles_bovins[Specificite],MATCH(ChoixRationBovins&amp;$BB247,Règles_bovins[Ration]&amp;Règles_bovins[Aliment],0))="s1",IF($BB247=Spécificité1Bovins,1)),
AND(INDEX(Règles_bovins[Specificite],MATCH(ChoixRationBovins&amp;$BB247,Règles_bovins[Ration]&amp;Règles_bovins[Aliment],0))="s2",IF($BB247=Spécificité2Bovins,1)),
INDEX(Règles_bovins[Specificite],MATCH(ChoixRationBovins&amp;$BB247,Règles_bovins[Ration]&amp;Règles_bovins[Aliment],0))="c"),
INDEX(Règles_bovins[Valeur 0-3],MATCH(ChoixRationBovins&amp;$BB247,Règles_bovins[Ration]&amp;Règles_bovins[Aliment],0)),0),0)*IF(ChoixBovinsPréHiver=OUI,TotalVeauFemelle_0_3_RacesLaitières,TotalBovinsFemelles_0_3mois*SUM(NbreJoursNourrirBovins))</f>
        <v>0</v>
      </c>
      <c r="BJ247" s="1270">
        <f t="shared" si="74"/>
        <v>0</v>
      </c>
      <c r="BK247" s="1321"/>
      <c r="BL247" s="1345"/>
      <c r="BM247" s="1346"/>
      <c r="BN247" s="1321"/>
      <c r="BO247" s="1321"/>
      <c r="BP247" s="1321"/>
      <c r="BQ247" s="1321"/>
      <c r="BR247" s="1321"/>
      <c r="BS247" s="1321"/>
      <c r="BT247" s="1321"/>
      <c r="BU247" s="1321"/>
      <c r="BV247" s="1345"/>
      <c r="BW247" s="1345"/>
      <c r="BX247" s="1321"/>
      <c r="BY247" s="1321"/>
      <c r="BZ247" s="1321"/>
      <c r="CA247" s="1321"/>
      <c r="CB247" s="1321"/>
      <c r="CC247" s="1321"/>
      <c r="CD247" s="1345"/>
      <c r="CE247" s="1345"/>
      <c r="CF247" s="1345"/>
      <c r="CG247" s="1345"/>
      <c r="CH247" s="1345"/>
      <c r="CI247" s="1321"/>
      <c r="CJ247" s="1321"/>
      <c r="CK247" s="1321"/>
      <c r="CL247" s="1321"/>
      <c r="CM247" s="1321"/>
      <c r="CN247" s="1321"/>
      <c r="CO247" s="1321"/>
      <c r="CP247" s="1321"/>
      <c r="CQ247" s="1321"/>
      <c r="CR247" s="1321"/>
      <c r="CS247" s="1321"/>
      <c r="CT247" s="1321"/>
      <c r="CU247" s="1321"/>
      <c r="CV247" s="1321"/>
      <c r="CW247" s="1321"/>
      <c r="CX247" s="1321"/>
      <c r="CY247" s="1321"/>
      <c r="CZ247" s="1321"/>
      <c r="DA247" s="1321"/>
      <c r="DB247" s="1321"/>
      <c r="DC247" s="1321"/>
      <c r="DD247" s="1321"/>
      <c r="DE247" s="1321"/>
      <c r="DF247" s="1321"/>
      <c r="DG247" s="1321"/>
      <c r="DH247" s="1321"/>
      <c r="DI247" s="1321"/>
      <c r="DJ247" s="1321"/>
      <c r="DK247" s="1321"/>
      <c r="DL247" s="1321"/>
      <c r="DM247" s="1321"/>
      <c r="DN247" s="1075" t="str">
        <f t="shared" si="77"/>
        <v>concentré jeunes porcins</v>
      </c>
      <c r="DO247" s="1269">
        <f t="array" ref="DO247">IF(ChoixRationHivernaleOvinsComplète=OUI,0,IFERROR(IF(OR(AND(INDEX(Règles_ovins[Specificite],MATCH(RationHivernaleOvinsAuPré&amp;$DN247,Règles_ovins[Ration]&amp;Règles_ovins[Aliment],0))="s1",IF($DN247=Spécificité1Ovins,1)),
AND(INDEX(Règles_ovins[Specificite],MATCH(RationHivernaleOvinsAuPré&amp;$DN247,Règles_ovins[Ration]&amp;Règles_ovins[Aliment],0))="s2",IF($DN247=Spécificité2Ovins,1)),
INDEX(Règles_ovins[Specificite],MATCH(RationHivernaleOvinsAuPré&amp;$DN247,Règles_ovins[Ration]&amp;Règles_ovins[Aliment],0))="c"),
INDEX(Règles_ovins[Valeur 12 et plus],MATCH(RationHivernaleOvinsAuPré&amp;$DN247,Règles_ovins[Ration]&amp;Règles_ovins[Aliment],0)),0),0)*IF(SUM(TotalOvinsAdultesAuPré)&gt;0,SUM(TotalOvinsAdultesAuPré)*SUM(AD76:AD100),SUM(TotalOvinsAdultes)*SUM(AD76:AD100)))</f>
        <v>0</v>
      </c>
      <c r="DP247" s="1269">
        <f t="array" ref="DP247">IF(ChoixRationHivernaleOvinsComplète=OUI,0,IFERROR(IF(OR(AND(INDEX(Règles_ovins[Specificite],MATCH(RationHivernaleOvinsAuPré&amp;$DN247,Règles_ovins[Ration]&amp;Règles_ovins[Aliment],0))="s1",IF($DN247=Spécificité1Ovins,1)),
AND(INDEX(Règles_ovins[Specificite],MATCH(RationHivernaleOvinsAuPré&amp;$DN247,Règles_ovins[Ration]&amp;Règles_ovins[Aliment],0))="s2",IF($DN247=Spécificité2Ovins,1)),
INDEX(Règles_ovins[Specificite],MATCH(RationHivernaleOvinsAuPré&amp;$DN247,Règles_ovins[Ration]&amp;Règles_ovins[Aliment],0))="c"),
INDEX(Règles_ovins[Valeur 6-12],MATCH(RationHivernaleOvinsAuPré&amp;$DN247,Règles_ovins[Ration]&amp;Règles_ovins[Aliment],0)),0),0)*IF(SUM(TotalOvins_6_12moisAuPré)&gt;0,SUM(TotalOvins_6_12moisAuPré)*SUM(AD76:AD100),SUM(TotalJeunesOvins)*SUM(AD76:AD100)))</f>
        <v>0</v>
      </c>
      <c r="DQ247" s="1269">
        <f t="array" ref="DQ247">IF(ChoixRationHivernaleOvinsComplète=OUI,0,IFERROR(IF(OR(AND(INDEX(Règles_ovins[Specificite],MATCH(RationHivernaleOvinsAuPré&amp;$DN247,Règles_ovins[Ration]&amp;Règles_ovins[Aliment],0))="s1",IF($DN247=Spécificité1Ovins,1)),
AND(INDEX(Règles_ovins[Specificite],MATCH(RationHivernaleOvinsAuPré&amp;$DN247,Règles_ovins[Ration]&amp;Règles_ovins[Aliment],0))="s2",IF($DN247=Spécificité2Ovins,1)),
INDEX(Règles_ovins[Specificite],MATCH(RationHivernaleOvinsAuPré&amp;$DN247,Règles_ovins[Ration]&amp;Règles_ovins[Aliment],0))="c"),
INDEX(Règles_ovins[Valeur 3-6],MATCH(RationHivernaleOvinsAuPré&amp;$DN247,Règles_ovins[Ration]&amp;Règles_ovins[Aliment],0)),0),0)*IF(SUM(TotalOvins_3_6moisAuPré)&gt;0,SUM(TotalOvins_3_6moisAuPré)*SUM(AD76:AD100),SUM(TotalOvins_3_6mois)*SUM(AD76:AD100)))</f>
        <v>0</v>
      </c>
      <c r="DR247" s="1269">
        <f t="array" ref="DR247">IF(ChoixRationHivernaleOvinsComplète=OUI,0,IFERROR(IF(OR(AND(INDEX(Règles_ovins[Specificite],MATCH(RationHivernaleOvinsAuPré&amp;$DN247,Règles_ovins[Ration]&amp;Règles_ovins[Aliment],0))="s1",IF($DN247=Spécificité1Ovins,1)),
AND(INDEX(Règles_ovins[Specificite],MATCH(RationHivernaleOvinsAuPré&amp;$DN247,Règles_ovins[Ration]&amp;Règles_ovins[Aliment],0))="s2",IF($DN247=Spécificité2Ovins,1)),
INDEX(Règles_ovins[Specificite],MATCH(RationHivernaleOvinsAuPré&amp;$DN247,Règles_ovins[Ration]&amp;Règles_ovins[Aliment],0))="c"),
INDEX(Règles_ovins[Valeur 0-3],MATCH(RationHivernaleOvinsAuPré&amp;$DN247,Règles_ovins[Ration]&amp;Règles_ovins[Aliment],0)),0),0)*IF(SUM(TotalOvins_0_3moisAuPré)&gt;0,SUM(TotalOvins_0_3moisAuPré)*SUM(AD76:AD100),SUM(TotalOvins_3_6mois)*SUM(AD76:AD100)))</f>
        <v>0</v>
      </c>
      <c r="DS247" s="1280">
        <f t="shared" si="76"/>
        <v>0</v>
      </c>
      <c r="DT247" s="1346"/>
      <c r="DU247" s="1346"/>
      <c r="DV247" s="1321"/>
      <c r="DW247" s="1321"/>
      <c r="DX247" s="1321"/>
      <c r="DY247" s="1321"/>
      <c r="DZ247" s="1321"/>
      <c r="EA247" s="1321"/>
      <c r="EB247" s="1321"/>
      <c r="EC247" s="1321"/>
      <c r="ED247" s="1345"/>
      <c r="EE247" s="1345"/>
      <c r="EF247" s="1321"/>
      <c r="EG247" s="1321"/>
      <c r="EH247" s="1321"/>
      <c r="EI247" s="1321"/>
      <c r="EJ247" s="1321"/>
      <c r="EK247" s="1345"/>
      <c r="EL247" s="1345"/>
      <c r="EM247" s="1321"/>
      <c r="EN247" s="1321"/>
      <c r="EO247" s="1321"/>
      <c r="EP247" s="1321"/>
      <c r="EQ247" s="1321"/>
      <c r="ER247" s="1345"/>
      <c r="ES247" s="1345"/>
      <c r="ET247" s="1321"/>
      <c r="EU247" s="1321"/>
      <c r="EV247" s="1321"/>
      <c r="EW247" s="1321"/>
      <c r="EX247" s="1321"/>
      <c r="EY247" s="1321"/>
      <c r="EZ247" s="1345"/>
      <c r="FA247" s="1345"/>
      <c r="FB247" s="1345"/>
      <c r="FC247" s="1321"/>
      <c r="FD247" s="1321"/>
      <c r="FE247" s="1321"/>
      <c r="FF247" s="1321"/>
      <c r="FG247" s="1321"/>
      <c r="FH247" s="1321"/>
      <c r="FI247" s="1345"/>
      <c r="FJ247" s="1345"/>
      <c r="FK247" s="1345"/>
      <c r="FL247" s="1345"/>
      <c r="FM247" s="1321"/>
      <c r="FN247" s="1345"/>
      <c r="FO247" s="1345"/>
      <c r="FP247" s="1345"/>
      <c r="FQ247" s="1345"/>
      <c r="FR247" s="1345"/>
      <c r="FS247" s="1345"/>
      <c r="FT247" s="1345"/>
      <c r="FU247" s="1345"/>
      <c r="FV247" s="1345"/>
      <c r="FW247" s="1321"/>
      <c r="FX247" s="1321"/>
      <c r="FY247" s="1321"/>
      <c r="FZ247" s="1321"/>
      <c r="GA247" s="1345"/>
      <c r="GB247" s="1321"/>
      <c r="GC247" s="1321"/>
      <c r="GD247" s="1321"/>
      <c r="GE247" s="1321"/>
      <c r="GF247" s="1321"/>
      <c r="GG247" s="1321" t="s">
        <v>1349</v>
      </c>
      <c r="GH247" s="1321" t="s">
        <v>1349</v>
      </c>
      <c r="GI247" s="1321" t="s">
        <v>1349</v>
      </c>
      <c r="GJ247" s="1321" t="s">
        <v>1349</v>
      </c>
      <c r="GK247" s="1321" t="s">
        <v>1349</v>
      </c>
      <c r="GL247" s="1321" t="s">
        <v>1349</v>
      </c>
      <c r="GM247" s="1321" t="s">
        <v>1349</v>
      </c>
      <c r="GN247" s="1321" t="s">
        <v>1349</v>
      </c>
      <c r="GO247" s="1321" t="s">
        <v>1349</v>
      </c>
      <c r="GP247" s="1321" t="s">
        <v>1349</v>
      </c>
      <c r="GQ247" s="1321" t="s">
        <v>1349</v>
      </c>
      <c r="GR247" s="1321" t="s">
        <v>1349</v>
      </c>
      <c r="GS247" s="1321" t="s">
        <v>1349</v>
      </c>
      <c r="GT247" s="1321" t="s">
        <v>1349</v>
      </c>
      <c r="GU247" s="1321" t="s">
        <v>1349</v>
      </c>
      <c r="GV247" s="1321" t="s">
        <v>1349</v>
      </c>
      <c r="GW247" s="1321"/>
      <c r="GX247" s="1321"/>
      <c r="GY247" s="1321"/>
      <c r="GZ247" s="1321"/>
      <c r="HA247" s="1321"/>
      <c r="HB247" s="1321"/>
      <c r="HC247" s="1321"/>
      <c r="HD247" s="1321"/>
      <c r="HE247" s="1321"/>
      <c r="HF247" s="1321"/>
      <c r="HG247" s="1321"/>
      <c r="HH247" s="1321"/>
      <c r="HI247" s="1321"/>
      <c r="HJ247" s="1321"/>
      <c r="HK247" s="1321"/>
      <c r="HL247" s="1321"/>
      <c r="HM247" s="1321"/>
      <c r="HN247" s="1321"/>
      <c r="HO247" s="1321"/>
      <c r="HP247" s="1321"/>
      <c r="HQ247" s="1321"/>
      <c r="HR247" s="1321"/>
      <c r="HS247" s="1321"/>
      <c r="HT247" s="1321"/>
      <c r="HU247" s="1321"/>
      <c r="HV247" s="1321"/>
      <c r="HW247" s="1321"/>
      <c r="HX247" s="1321"/>
      <c r="HY247" s="1321"/>
      <c r="HZ247" s="1321"/>
      <c r="IA247" s="1321"/>
      <c r="IB247" s="1321"/>
      <c r="IC247" s="1321"/>
      <c r="ID247" s="1321"/>
      <c r="IE247" s="1321"/>
      <c r="IF247" s="1321"/>
      <c r="IG247" s="1321"/>
      <c r="IH247" s="1321"/>
      <c r="II247" s="1321"/>
      <c r="IJ247" s="1321"/>
      <c r="IK247" s="1321"/>
      <c r="IL247" s="1321"/>
      <c r="IM247" s="1321"/>
      <c r="IN247" s="1368"/>
    </row>
    <row r="248" spans="1:248" ht="12.75" customHeight="1" x14ac:dyDescent="0.2">
      <c r="A248" s="1319"/>
      <c r="B248" s="1321"/>
      <c r="C248" s="1321"/>
      <c r="D248" s="1321"/>
      <c r="E248" s="1321"/>
      <c r="F248" s="1321"/>
      <c r="G248" s="1321"/>
      <c r="H248" s="1321"/>
      <c r="I248" s="1321"/>
      <c r="J248" s="1321"/>
      <c r="K248" s="1321"/>
      <c r="L248" s="1321"/>
      <c r="M248" s="1321"/>
      <c r="N248" s="1321"/>
      <c r="O248" s="1321"/>
      <c r="P248" s="1321"/>
      <c r="Q248" s="1321"/>
      <c r="R248" s="1321"/>
      <c r="S248" s="1321"/>
      <c r="T248" s="1321"/>
      <c r="U248" s="1321"/>
      <c r="V248" s="1321"/>
      <c r="W248" s="1321"/>
      <c r="X248" s="1321"/>
      <c r="Y248" s="1321"/>
      <c r="Z248" s="1321"/>
      <c r="AA248" s="1321"/>
      <c r="AB248" s="1321"/>
      <c r="AC248" s="1321"/>
      <c r="AD248" s="1321"/>
      <c r="AE248" s="1321"/>
      <c r="AF248" s="1321"/>
      <c r="AG248" s="1321"/>
      <c r="AH248" s="1321"/>
      <c r="AI248" s="1321"/>
      <c r="AJ248" s="1321"/>
      <c r="AK248" s="1321"/>
      <c r="AL248" s="1321"/>
      <c r="AM248" s="1321"/>
      <c r="AN248" s="1321"/>
      <c r="AO248" s="1321"/>
      <c r="AP248" s="1321"/>
      <c r="AQ248" s="1321"/>
      <c r="AR248" s="1321"/>
      <c r="AS248" s="1321"/>
      <c r="AT248" s="1321"/>
      <c r="AU248" s="1321"/>
      <c r="AV248" s="1321"/>
      <c r="AW248" s="1321"/>
      <c r="AX248" s="1321"/>
      <c r="AY248" s="1321"/>
      <c r="AZ248" s="1321"/>
      <c r="BA248" s="1321"/>
      <c r="BB248" s="1076" t="str">
        <f t="shared" si="75"/>
        <v>Epinard</v>
      </c>
      <c r="BC248" s="1267">
        <f t="array" ref="BC248">IF(Ration_complète_bovins[somme]&gt;0,0,IFERROR(IF(OR(AND(INDEX(Règles_bovins[Specificite],MATCH(ChoixRationBovins&amp;$BB248,Règles_bovins[Ration]&amp;Règles_bovins[Aliment],0))="s1",IF($BB248=Spécificité1Bovins,1)),
AND(INDEX(Règles_bovins[Specificite],MATCH(ChoixRationBovins&amp;$BB248,Règles_bovins[Ration]&amp;Règles_bovins[Aliment],0))="s2",IF($BB248=Spécificité2Bovins,1)),
INDEX(Règles_bovins[Specificite],MATCH(ChoixRationBovins&amp;$BB248,Règles_bovins[Ration]&amp;Règles_bovins[Aliment],0))="c"),
INDEX(Règles_bovins[Valeur 36 et plus],MATCH(ChoixRationBovins&amp;$BB248,Règles_bovins[Ration]&amp;Règles_bovins[Aliment],0)),0),0)*IF(ChoixBovinsPréHiver=OUI,TotalVachesRacesLaitières,TotalVaches*SUM(NbreJoursNourrirBovins)))</f>
        <v>0</v>
      </c>
      <c r="BD248" s="1267">
        <f t="array" ref="BD248">IF(Ration_complète_bovins[somme]&gt;0,0,IFERROR(IF(OR(AND(INDEX(Règles_bovins[Specificite],MATCH(ChoixRationBovins&amp;$BB248,Règles_bovins[Ration]&amp;Règles_bovins[Aliment],0))="s1",IF($BB248=Spécificité1Bovins,1)),
AND(INDEX(Règles_bovins[Specificite],MATCH(ChoixRationBovins&amp;$BB248,Règles_bovins[Ration]&amp;Règles_bovins[Aliment],0))="s2",IF($BB248=Spécificité2Bovins,1)),
INDEX(Règles_bovins[Specificite],MATCH(ChoixRationBovins&amp;$BB248,Règles_bovins[Ration]&amp;Règles_bovins[Aliment],0))="c"),
INDEX(Règles_bovins[Valeur 24-36],MATCH(ChoixRationBovins&amp;$BB248,Règles_bovins[Ration]&amp;Règles_bovins[Aliment],0)),0),0)*IF(ChoixBovinsPréHiver=OUI,TotalGénisse_24_36_RacesLaitières,TotalBovinsFemelles_24_36mois*SUM(NbreJoursNourrirBovins)))</f>
        <v>0</v>
      </c>
      <c r="BE248" s="1267">
        <f t="array" ref="BE248">IF(Ration_complète_bovins[somme]&gt;0,0,IFERROR(IF(OR(AND(INDEX(Règles_bovins[Specificite],MATCH(ChoixRationBovins&amp;$BB248,Règles_bovins[Ration]&amp;Règles_bovins[Aliment],0))="s1",IF($BB248=Spécificité1Bovins,1)),
AND(INDEX(Règles_bovins[Specificite],MATCH(ChoixRationBovins&amp;$BB248,Règles_bovins[Ration]&amp;Règles_bovins[Aliment],0))="s2",IF($BB248=Spécificité2Bovins,1)),
INDEX(Règles_bovins[Specificite],MATCH(ChoixRationBovins&amp;$BB248,Règles_bovins[Ration]&amp;Règles_bovins[Aliment],0))="c"),
INDEX(Règles_bovins[Valeur 18-24],MATCH(ChoixRationBovins&amp;$BB248,Règles_bovins[Ration]&amp;Règles_bovins[Aliment],0)),0),0)*IF(ChoixBovinsPréHiver=OUI,TotalGénisse_18_24_RacesLaitières,TotalBovinsFemelles_18_24mois*SUM(NbreJoursNourrirBovins)))</f>
        <v>0</v>
      </c>
      <c r="BF248" s="1267">
        <f t="array" ref="BF248">IF(Ration_complète_bovins[somme]&gt;0,0,IFERROR(IF(OR(AND(INDEX(Règles_bovins[Specificite],MATCH(ChoixRationBovins&amp;$BB248,Règles_bovins[Ration]&amp;Règles_bovins[Aliment],0))="s1",IF($BB248=Spécificité1Bovins,1)),
AND(INDEX(Règles_bovins[Specificite],MATCH(ChoixRationBovins&amp;$BB248,Règles_bovins[Ration]&amp;Règles_bovins[Aliment],0))="s2",IF($BB248=Spécificité2Bovins,1)),
INDEX(Règles_bovins[Specificite],MATCH(ChoixRationBovins&amp;$BB248,Règles_bovins[Ration]&amp;Règles_bovins[Aliment],0))="c"),
INDEX(Règles_bovins[Valeur 12-18],MATCH(ChoixRationBovins&amp;$BB248,Règles_bovins[Ration]&amp;Règles_bovins[Aliment],0)),0),0)*IF(ChoixBovinsPréHiver=OUI,TotalGénisse_12_18_RacesLaitières,TotalBovinsFemelles_12_18mois*SUM(NbreJoursNourrirBovins)))</f>
        <v>0</v>
      </c>
      <c r="BG248" s="1267">
        <f t="array" ref="BG248">IF(Ration_complète_bovins[somme]&gt;0,0,IFERROR(IF(OR(AND(INDEX(Règles_bovins[Specificite],MATCH(ChoixRationBovins&amp;$BB248,Règles_bovins[Ration]&amp;Règles_bovins[Aliment],0))="s1",IF($BB248=Spécificité1Bovins,1)),
AND(INDEX(Règles_bovins[Specificite],MATCH(ChoixRationBovins&amp;$BB248,Règles_bovins[Ration]&amp;Règles_bovins[Aliment],0))="s2",IF($BB248=Spécificité2Bovins,1)),
INDEX(Règles_bovins[Specificite],MATCH(ChoixRationBovins&amp;$BB248,Règles_bovins[Ration]&amp;Règles_bovins[Aliment],0))="c"),
INDEX(Règles_bovins[Valeur 6-12],MATCH(ChoixRationBovins&amp;$BB248,Règles_bovins[Ration]&amp;Règles_bovins[Aliment],0)),0),0)*IF(ChoixBovinsPréHiver=OUI,TotalVeauFemelle_6_12_RacesLaitières,TotalBovinsFemelles_6_12mois*SUM(NbreJoursNourrirBovins)))</f>
        <v>0</v>
      </c>
      <c r="BH248" s="1267">
        <f t="array" ref="BH248">IF(Ration_complète_bovins[somme]&gt;0,0,IFERROR(IF(OR(AND(INDEX(Règles_bovins[Specificite],MATCH(ChoixRationBovins&amp;$BB248,Règles_bovins[Ration]&amp;Règles_bovins[Aliment],0))="s1",IF($BB248=Spécificité1Bovins,1)),
AND(INDEX(Règles_bovins[Specificite],MATCH(ChoixRationBovins&amp;$BB248,Règles_bovins[Ration]&amp;Règles_bovins[Aliment],0))="s2",IF($BB248=Spécificité2Bovins,1)),
INDEX(Règles_bovins[Specificite],MATCH(ChoixRationBovins&amp;$BB248,Règles_bovins[Ration]&amp;Règles_bovins[Aliment],0))="c"),
INDEX(Règles_bovins[Valeur 3-6],MATCH(ChoixRationBovins&amp;$BB248,Règles_bovins[Ration]&amp;Règles_bovins[Aliment],0)),0),0)*IF(ChoixBovinsPréHiver=OUI,TotalVeauFemelle_3_6_RacesLaitières,TotalBovinsFemelles_3_6mois*SUM(NbreJoursNourrirBovins)))</f>
        <v>0</v>
      </c>
      <c r="BI248" s="1267">
        <f t="array" ref="BI248">IF(Ration_complète_bovins[somme]&gt;0,0,IFERROR(IF(OR(AND(INDEX(Règles_bovins[Specificite],MATCH(ChoixRationBovins&amp;$BB248,Règles_bovins[Ration]&amp;Règles_bovins[Aliment],0))="s1",IF($BB248=Spécificité1Bovins,1)),
AND(INDEX(Règles_bovins[Specificite],MATCH(ChoixRationBovins&amp;$BB248,Règles_bovins[Ration]&amp;Règles_bovins[Aliment],0))="s2",IF($BB248=Spécificité2Bovins,1)),
INDEX(Règles_bovins[Specificite],MATCH(ChoixRationBovins&amp;$BB248,Règles_bovins[Ration]&amp;Règles_bovins[Aliment],0))="c"),
INDEX(Règles_bovins[Valeur 0-3],MATCH(ChoixRationBovins&amp;$BB248,Règles_bovins[Ration]&amp;Règles_bovins[Aliment],0)),0),0)*IF(ChoixBovinsPréHiver=OUI,TotalVeauFemelle_0_3_RacesLaitières,TotalBovinsFemelles_0_3mois*SUM(NbreJoursNourrirBovins)))</f>
        <v>0</v>
      </c>
      <c r="BJ248" s="1268">
        <f t="shared" si="74"/>
        <v>0</v>
      </c>
      <c r="BK248" s="1321"/>
      <c r="BL248" s="1345"/>
      <c r="BM248" s="1346"/>
      <c r="BN248" s="1321"/>
      <c r="BO248" s="1321"/>
      <c r="BP248" s="1321"/>
      <c r="BQ248" s="1321"/>
      <c r="BR248" s="1321"/>
      <c r="BS248" s="1321"/>
      <c r="BT248" s="1321"/>
      <c r="BU248" s="1321"/>
      <c r="BV248" s="1345"/>
      <c r="BW248" s="1345"/>
      <c r="BX248" s="1321"/>
      <c r="BY248" s="1321"/>
      <c r="BZ248" s="1321"/>
      <c r="CA248" s="1321"/>
      <c r="CB248" s="1321"/>
      <c r="CC248" s="1321"/>
      <c r="CD248" s="1345"/>
      <c r="CE248" s="1345"/>
      <c r="CF248" s="1345"/>
      <c r="CG248" s="1345"/>
      <c r="CH248" s="1345"/>
      <c r="CI248" s="1321"/>
      <c r="CJ248" s="1321"/>
      <c r="CK248" s="1321"/>
      <c r="CL248" s="1321"/>
      <c r="CM248" s="1321"/>
      <c r="CN248" s="1321"/>
      <c r="CO248" s="1321"/>
      <c r="CP248" s="1321"/>
      <c r="CQ248" s="1321"/>
      <c r="CR248" s="1321"/>
      <c r="CS248" s="1321"/>
      <c r="CT248" s="1321"/>
      <c r="CU248" s="1321"/>
      <c r="CV248" s="1321"/>
      <c r="CW248" s="1321"/>
      <c r="CX248" s="1321"/>
      <c r="CY248" s="1321"/>
      <c r="CZ248" s="1321"/>
      <c r="DA248" s="1321"/>
      <c r="DB248" s="1321"/>
      <c r="DC248" s="1321"/>
      <c r="DD248" s="1321"/>
      <c r="DE248" s="1321"/>
      <c r="DF248" s="1321"/>
      <c r="DG248" s="1321"/>
      <c r="DH248" s="1321"/>
      <c r="DI248" s="1321"/>
      <c r="DJ248" s="1321"/>
      <c r="DK248" s="1321"/>
      <c r="DL248" s="1321"/>
      <c r="DM248" s="1321"/>
      <c r="DN248" s="1076" t="str">
        <f t="shared" si="77"/>
        <v>Ensilage d'herbe</v>
      </c>
      <c r="DO248" s="1267">
        <f t="array" ref="DO248">IF(ChoixRationHivernaleOvinsComplète=OUI,0,IFERROR(IF(OR(AND(INDEX(Règles_ovins[Specificite],MATCH(RationHivernaleOvinsAuPré&amp;$DN248,Règles_ovins[Ration]&amp;Règles_ovins[Aliment],0))="s1",IF($DN248=Spécificité1Ovins,1)),
AND(INDEX(Règles_ovins[Specificite],MATCH(RationHivernaleOvinsAuPré&amp;$DN248,Règles_ovins[Ration]&amp;Règles_ovins[Aliment],0))="s2",IF($DN248=Spécificité2Ovins,1)),
INDEX(Règles_ovins[Specificite],MATCH(RationHivernaleOvinsAuPré&amp;$DN248,Règles_ovins[Ration]&amp;Règles_ovins[Aliment],0))="c"),
INDEX(Règles_ovins[Valeur 12 et plus],MATCH(RationHivernaleOvinsAuPré&amp;$DN248,Règles_ovins[Ration]&amp;Règles_ovins[Aliment],0)),0),0)*IF(SUM(TotalOvinsAdultesAuPré)&gt;0,SUM(TotalOvinsAdultesAuPré)*SUM(AD76:AD100),SUM(TotalOvinsAdultes)*SUM(AD76:AD100)))</f>
        <v>0</v>
      </c>
      <c r="DP248" s="1267">
        <f t="array" ref="DP248">IF(ChoixRationHivernaleOvinsComplète=OUI,0,IFERROR(IF(OR(AND(INDEX(Règles_ovins[Specificite],MATCH(RationHivernaleOvinsAuPré&amp;$DN248,Règles_ovins[Ration]&amp;Règles_ovins[Aliment],0))="s1",IF($DN248=Spécificité1Ovins,1)),
AND(INDEX(Règles_ovins[Specificite],MATCH(RationHivernaleOvinsAuPré&amp;$DN248,Règles_ovins[Ration]&amp;Règles_ovins[Aliment],0))="s2",IF($DN248=Spécificité2Ovins,1)),
INDEX(Règles_ovins[Specificite],MATCH(RationHivernaleOvinsAuPré&amp;$DN248,Règles_ovins[Ration]&amp;Règles_ovins[Aliment],0))="c"),
INDEX(Règles_ovins[Valeur 6-12],MATCH(RationHivernaleOvinsAuPré&amp;$DN248,Règles_ovins[Ration]&amp;Règles_ovins[Aliment],0)),0),0)*IF(SUM(TotalOvins_6_12moisAuPré)&gt;0,SUM(TotalOvins_6_12moisAuPré)*SUM(AD76:AD100),SUM(TotalJeunesOvins)*SUM(AD76:AD100)))</f>
        <v>0</v>
      </c>
      <c r="DQ248" s="1267">
        <f t="array" ref="DQ248">IF(ChoixRationHivernaleOvinsComplète=OUI,0,IFERROR(IF(OR(AND(INDEX(Règles_ovins[Specificite],MATCH(RationHivernaleOvinsAuPré&amp;$DN248,Règles_ovins[Ration]&amp;Règles_ovins[Aliment],0))="s1",IF($DN248=Spécificité1Ovins,1)),
AND(INDEX(Règles_ovins[Specificite],MATCH(RationHivernaleOvinsAuPré&amp;$DN248,Règles_ovins[Ration]&amp;Règles_ovins[Aliment],0))="s2",IF($DN248=Spécificité2Ovins,1)),
INDEX(Règles_ovins[Specificite],MATCH(RationHivernaleOvinsAuPré&amp;$DN248,Règles_ovins[Ration]&amp;Règles_ovins[Aliment],0))="c"),
INDEX(Règles_ovins[Valeur 3-6],MATCH(RationHivernaleOvinsAuPré&amp;$DN248,Règles_ovins[Ration]&amp;Règles_ovins[Aliment],0)),0),0)*IF(SUM(TotalOvins_3_6moisAuPré)&gt;0,SUM(TotalOvins_3_6moisAuPré)*SUM(AD76:AD100),SUM(TotalOvins_3_6mois)*SUM(AD76:AD100)))</f>
        <v>0</v>
      </c>
      <c r="DR248" s="1267">
        <f t="array" ref="DR248">IF(ChoixRationHivernaleOvinsComplète=OUI,0,IFERROR(IF(OR(AND(INDEX(Règles_ovins[Specificite],MATCH(RationHivernaleOvinsAuPré&amp;$DN248,Règles_ovins[Ration]&amp;Règles_ovins[Aliment],0))="s1",IF($DN248=Spécificité1Ovins,1)),
AND(INDEX(Règles_ovins[Specificite],MATCH(RationHivernaleOvinsAuPré&amp;$DN248,Règles_ovins[Ration]&amp;Règles_ovins[Aliment],0))="s2",IF($DN248=Spécificité2Ovins,1)),
INDEX(Règles_ovins[Specificite],MATCH(RationHivernaleOvinsAuPré&amp;$DN248,Règles_ovins[Ration]&amp;Règles_ovins[Aliment],0))="c"),
INDEX(Règles_ovins[Valeur 0-3],MATCH(RationHivernaleOvinsAuPré&amp;$DN248,Règles_ovins[Ration]&amp;Règles_ovins[Aliment],0)),0),0)*IF(SUM(TotalOvins_0_3moisAuPré)&gt;0,SUM(TotalOvins_0_3moisAuPré)*SUM(AD76:AD100),SUM(TotalOvins_3_6mois)*SUM(AD76:AD100)))</f>
        <v>0</v>
      </c>
      <c r="DS248" s="1279">
        <f t="shared" si="76"/>
        <v>0</v>
      </c>
      <c r="DT248" s="1346"/>
      <c r="DU248" s="1346"/>
      <c r="DV248" s="1321"/>
      <c r="DW248" s="1321"/>
      <c r="DX248" s="1321"/>
      <c r="DY248" s="1321"/>
      <c r="DZ248" s="1321"/>
      <c r="EA248" s="1321"/>
      <c r="EB248" s="1321"/>
      <c r="EC248" s="1321"/>
      <c r="ED248" s="1345"/>
      <c r="EE248" s="1345"/>
      <c r="EF248" s="1321"/>
      <c r="EG248" s="1321"/>
      <c r="EH248" s="1321"/>
      <c r="EI248" s="1321"/>
      <c r="EJ248" s="1321"/>
      <c r="EK248" s="1345"/>
      <c r="EL248" s="1345"/>
      <c r="EM248" s="1321"/>
      <c r="EN248" s="1321"/>
      <c r="EO248" s="1321"/>
      <c r="EP248" s="1321"/>
      <c r="EQ248" s="1321"/>
      <c r="ER248" s="1345"/>
      <c r="ES248" s="1345"/>
      <c r="ET248" s="1321"/>
      <c r="EU248" s="1321"/>
      <c r="EV248" s="1321"/>
      <c r="EW248" s="1321"/>
      <c r="EX248" s="1321"/>
      <c r="EY248" s="1321"/>
      <c r="EZ248" s="1345"/>
      <c r="FA248" s="1345"/>
      <c r="FB248" s="1345"/>
      <c r="FC248" s="1321"/>
      <c r="FD248" s="1321"/>
      <c r="FE248" s="1321"/>
      <c r="FF248" s="1321"/>
      <c r="FG248" s="1321"/>
      <c r="FH248" s="1321"/>
      <c r="FI248" s="1345"/>
      <c r="FJ248" s="1345"/>
      <c r="FK248" s="1345"/>
      <c r="FL248" s="1345"/>
      <c r="FM248" s="1321"/>
      <c r="FN248" s="1345"/>
      <c r="FO248" s="1345"/>
      <c r="FP248" s="1345"/>
      <c r="FQ248" s="1345"/>
      <c r="FR248" s="1345"/>
      <c r="FS248" s="1345"/>
      <c r="FT248" s="1345"/>
      <c r="FU248" s="1345"/>
      <c r="FV248" s="1345"/>
      <c r="FW248" s="1321"/>
      <c r="FX248" s="1321"/>
      <c r="FY248" s="1321"/>
      <c r="FZ248" s="1321"/>
      <c r="GA248" s="1345"/>
      <c r="GB248" s="1321"/>
      <c r="GC248" s="1321"/>
      <c r="GD248" s="1321"/>
      <c r="GE248" s="1321"/>
      <c r="GF248" s="1321"/>
      <c r="GG248" s="1321" t="s">
        <v>1349</v>
      </c>
      <c r="GH248" s="1321" t="s">
        <v>1349</v>
      </c>
      <c r="GI248" s="1321" t="s">
        <v>1349</v>
      </c>
      <c r="GJ248" s="1321" t="s">
        <v>1349</v>
      </c>
      <c r="GK248" s="1321" t="s">
        <v>1349</v>
      </c>
      <c r="GL248" s="1321" t="s">
        <v>1349</v>
      </c>
      <c r="GM248" s="1321" t="s">
        <v>1349</v>
      </c>
      <c r="GN248" s="1321" t="s">
        <v>1349</v>
      </c>
      <c r="GO248" s="1321" t="s">
        <v>1349</v>
      </c>
      <c r="GP248" s="1321" t="s">
        <v>1349</v>
      </c>
      <c r="GQ248" s="1321" t="s">
        <v>1349</v>
      </c>
      <c r="GR248" s="1321" t="s">
        <v>1349</v>
      </c>
      <c r="GS248" s="1321" t="s">
        <v>1349</v>
      </c>
      <c r="GT248" s="1321" t="s">
        <v>1349</v>
      </c>
      <c r="GU248" s="1321" t="s">
        <v>1349</v>
      </c>
      <c r="GV248" s="1321" t="s">
        <v>1349</v>
      </c>
      <c r="GW248" s="1321"/>
      <c r="GX248" s="1321"/>
      <c r="GY248" s="1321"/>
      <c r="GZ248" s="1321"/>
      <c r="HA248" s="1321"/>
      <c r="HB248" s="1321"/>
      <c r="HC248" s="1321"/>
      <c r="HD248" s="1321"/>
      <c r="HE248" s="1321"/>
      <c r="HF248" s="1321"/>
      <c r="HG248" s="1321"/>
      <c r="HH248" s="1321"/>
      <c r="HI248" s="1321"/>
      <c r="HJ248" s="1321"/>
      <c r="HK248" s="1321"/>
      <c r="HL248" s="1321"/>
      <c r="HM248" s="1321"/>
      <c r="HN248" s="1321"/>
      <c r="HO248" s="1321"/>
      <c r="HP248" s="1321"/>
      <c r="HQ248" s="1321"/>
      <c r="HR248" s="1321"/>
      <c r="HS248" s="1321"/>
      <c r="HT248" s="1321"/>
      <c r="HU248" s="1321"/>
      <c r="HV248" s="1321"/>
      <c r="HW248" s="1321"/>
      <c r="HX248" s="1321"/>
      <c r="HY248" s="1321"/>
      <c r="HZ248" s="1321"/>
      <c r="IA248" s="1321"/>
      <c r="IB248" s="1321"/>
      <c r="IC248" s="1321"/>
      <c r="ID248" s="1321"/>
      <c r="IE248" s="1321"/>
      <c r="IF248" s="1321"/>
      <c r="IG248" s="1321"/>
      <c r="IH248" s="1321"/>
      <c r="II248" s="1321"/>
      <c r="IJ248" s="1321"/>
      <c r="IK248" s="1321"/>
      <c r="IL248" s="1321"/>
      <c r="IM248" s="1321"/>
      <c r="IN248" s="1368"/>
    </row>
    <row r="249" spans="1:248" ht="12.75" customHeight="1" x14ac:dyDescent="0.2">
      <c r="A249" s="1319"/>
      <c r="B249" s="1321"/>
      <c r="C249" s="1321"/>
      <c r="D249" s="1321"/>
      <c r="E249" s="1321"/>
      <c r="F249" s="1321"/>
      <c r="G249" s="1321"/>
      <c r="H249" s="1321"/>
      <c r="I249" s="1321"/>
      <c r="J249" s="1321"/>
      <c r="K249" s="1321"/>
      <c r="L249" s="1321"/>
      <c r="M249" s="1321"/>
      <c r="N249" s="1321"/>
      <c r="O249" s="1321"/>
      <c r="P249" s="1321"/>
      <c r="Q249" s="1321"/>
      <c r="R249" s="1321"/>
      <c r="S249" s="1321"/>
      <c r="T249" s="1321"/>
      <c r="U249" s="1321"/>
      <c r="V249" s="1321"/>
      <c r="W249" s="1321"/>
      <c r="X249" s="1321"/>
      <c r="Y249" s="1321"/>
      <c r="Z249" s="1321"/>
      <c r="AA249" s="1321"/>
      <c r="AB249" s="1321"/>
      <c r="AC249" s="1321"/>
      <c r="AD249" s="1321"/>
      <c r="AE249" s="1321"/>
      <c r="AF249" s="1321"/>
      <c r="AG249" s="1321"/>
      <c r="AH249" s="1321"/>
      <c r="AI249" s="1321"/>
      <c r="AJ249" s="1321"/>
      <c r="AK249" s="1321"/>
      <c r="AL249" s="1321"/>
      <c r="AM249" s="1321"/>
      <c r="AN249" s="1321"/>
      <c r="AO249" s="1321"/>
      <c r="AP249" s="1321"/>
      <c r="AQ249" s="1321"/>
      <c r="AR249" s="1321"/>
      <c r="AS249" s="1321"/>
      <c r="AT249" s="1321"/>
      <c r="AU249" s="1321"/>
      <c r="AV249" s="1321"/>
      <c r="AW249" s="1321"/>
      <c r="AX249" s="1321"/>
      <c r="AY249" s="1321"/>
      <c r="AZ249" s="1321"/>
      <c r="BA249" s="1321"/>
      <c r="BB249" s="1075" t="str">
        <f t="shared" si="75"/>
        <v>Féverole</v>
      </c>
      <c r="BC249" s="1269">
        <f t="array" ref="BC249">IF(Ration_complète_bovins[somme]&gt;0,0,IFERROR(IF(OR(AND(INDEX(Règles_bovins[Specificite],MATCH(ChoixRationBovins&amp;$BB249,Règles_bovins[Ration]&amp;Règles_bovins[Aliment],0))="s1",IF($BB249=Spécificité1Bovins,1)),
AND(INDEX(Règles_bovins[Specificite],MATCH(ChoixRationBovins&amp;$BB249,Règles_bovins[Ration]&amp;Règles_bovins[Aliment],0))="s2",IF($BB249=Spécificité2Bovins,1)),
INDEX(Règles_bovins[Specificite],MATCH(ChoixRationBovins&amp;$BB249,Règles_bovins[Ration]&amp;Règles_bovins[Aliment],0))="c"),
INDEX(Règles_bovins[Valeur 36 et plus],MATCH(ChoixRationBovins&amp;$BB249,Règles_bovins[Ration]&amp;Règles_bovins[Aliment],0)),0),0)*IF(ChoixBovinsPréHiver=OUI,TotalVachesRacesLaitières,TotalVaches*SUM(NbreJoursNourrirBovins)))</f>
        <v>0</v>
      </c>
      <c r="BD249" s="1269">
        <f t="array" ref="BD249">IF(Ration_complète_bovins[somme]&gt;0,0,IFERROR(IF(OR(AND(INDEX(Règles_bovins[Specificite],MATCH(ChoixRationBovins&amp;$BB249,Règles_bovins[Ration]&amp;Règles_bovins[Aliment],0))="s1",IF($BB249=Spécificité1Bovins,1)),
AND(INDEX(Règles_bovins[Specificite],MATCH(ChoixRationBovins&amp;$BB249,Règles_bovins[Ration]&amp;Règles_bovins[Aliment],0))="s2",IF($BB249=Spécificité2Bovins,1)),
INDEX(Règles_bovins[Specificite],MATCH(ChoixRationBovins&amp;$BB249,Règles_bovins[Ration]&amp;Règles_bovins[Aliment],0))="c"),
INDEX(Règles_bovins[Valeur 24-36],MATCH(ChoixRationBovins&amp;$BB249,Règles_bovins[Ration]&amp;Règles_bovins[Aliment],0)),0),0)*IF(ChoixBovinsPréHiver=OUI,TotalGénisse_24_36_RacesLaitières,TotalBovinsFemelles_24_36mois*SUM(NbreJoursNourrirBovins)))</f>
        <v>0</v>
      </c>
      <c r="BE249" s="1269">
        <f t="array" ref="BE249">IF(Ration_complète_bovins[somme]&gt;0,0,IFERROR(IF(OR(AND(INDEX(Règles_bovins[Specificite],MATCH(ChoixRationBovins&amp;$BB249,Règles_bovins[Ration]&amp;Règles_bovins[Aliment],0))="s1",IF($BB249=Spécificité1Bovins,1)),
AND(INDEX(Règles_bovins[Specificite],MATCH(ChoixRationBovins&amp;$BB249,Règles_bovins[Ration]&amp;Règles_bovins[Aliment],0))="s2",IF($BB249=Spécificité2Bovins,1)),
INDEX(Règles_bovins[Specificite],MATCH(ChoixRationBovins&amp;$BB249,Règles_bovins[Ration]&amp;Règles_bovins[Aliment],0))="c"),
INDEX(Règles_bovins[Valeur 18-24],MATCH(ChoixRationBovins&amp;$BB249,Règles_bovins[Ration]&amp;Règles_bovins[Aliment],0)),0),0)*IF(ChoixBovinsPréHiver=OUI,TotalGénisse_18_24_RacesLaitières,TotalBovinsFemelles_18_24mois*SUM(NbreJoursNourrirBovins)))</f>
        <v>0</v>
      </c>
      <c r="BF249" s="1269">
        <f t="array" ref="BF249">IF(Ration_complète_bovins[somme]&gt;0,0,IFERROR(IF(OR(AND(INDEX(Règles_bovins[Specificite],MATCH(ChoixRationBovins&amp;$BB249,Règles_bovins[Ration]&amp;Règles_bovins[Aliment],0))="s1",IF($BB249=Spécificité1Bovins,1)),
AND(INDEX(Règles_bovins[Specificite],MATCH(ChoixRationBovins&amp;$BB249,Règles_bovins[Ration]&amp;Règles_bovins[Aliment],0))="s2",IF($BB249=Spécificité2Bovins,1)),
INDEX(Règles_bovins[Specificite],MATCH(ChoixRationBovins&amp;$BB249,Règles_bovins[Ration]&amp;Règles_bovins[Aliment],0))="c"),
INDEX(Règles_bovins[Valeur 12-18],MATCH(ChoixRationBovins&amp;$BB249,Règles_bovins[Ration]&amp;Règles_bovins[Aliment],0)),0),0)*IF(ChoixBovinsPréHiver=OUI,TotalGénisse_12_18_RacesLaitières,TotalBovinsFemelles_12_18mois*SUM(NbreJoursNourrirBovins)))</f>
        <v>0</v>
      </c>
      <c r="BG249" s="1269">
        <f t="array" ref="BG249">IF(Ration_complète_bovins[somme]&gt;0,0,IFERROR(IF(OR(AND(INDEX(Règles_bovins[Specificite],MATCH(ChoixRationBovins&amp;$BB249,Règles_bovins[Ration]&amp;Règles_bovins[Aliment],0))="s1",IF($BB249=Spécificité1Bovins,1)),
AND(INDEX(Règles_bovins[Specificite],MATCH(ChoixRationBovins&amp;$BB249,Règles_bovins[Ration]&amp;Règles_bovins[Aliment],0))="s2",IF($BB249=Spécificité2Bovins,1)),
INDEX(Règles_bovins[Specificite],MATCH(ChoixRationBovins&amp;$BB249,Règles_bovins[Ration]&amp;Règles_bovins[Aliment],0))="c"),
INDEX(Règles_bovins[Valeur 6-12],MATCH(ChoixRationBovins&amp;$BB249,Règles_bovins[Ration]&amp;Règles_bovins[Aliment],0)),0),0)*IF(ChoixBovinsPréHiver=OUI,TotalVeauFemelle_6_12_RacesLaitières,TotalBovinsFemelles_6_12mois*SUM(NbreJoursNourrirBovins)))</f>
        <v>0</v>
      </c>
      <c r="BH249" s="1269">
        <f t="array" ref="BH249">IF(Ration_complète_bovins[somme]&gt;0,0,IFERROR(IF(OR(AND(INDEX(Règles_bovins[Specificite],MATCH(ChoixRationBovins&amp;$BB249,Règles_bovins[Ration]&amp;Règles_bovins[Aliment],0))="s1",IF($BB249=Spécificité1Bovins,1)),
AND(INDEX(Règles_bovins[Specificite],MATCH(ChoixRationBovins&amp;$BB249,Règles_bovins[Ration]&amp;Règles_bovins[Aliment],0))="s2",IF($BB249=Spécificité2Bovins,1)),
INDEX(Règles_bovins[Specificite],MATCH(ChoixRationBovins&amp;$BB249,Règles_bovins[Ration]&amp;Règles_bovins[Aliment],0))="c"),
INDEX(Règles_bovins[Valeur 3-6],MATCH(ChoixRationBovins&amp;$BB249,Règles_bovins[Ration]&amp;Règles_bovins[Aliment],0)),0),0)*IF(ChoixBovinsPréHiver=OUI,TotalVeauFemelle_3_6_RacesLaitières,TotalBovinsFemelles_3_6mois*SUM(NbreJoursNourrirBovins)))</f>
        <v>0</v>
      </c>
      <c r="BI249" s="1269">
        <f t="array" ref="BI249">IF(Ration_complète_bovins[somme]&gt;0,0,IFERROR(IF(OR(AND(INDEX(Règles_bovins[Specificite],MATCH(ChoixRationBovins&amp;$BB249,Règles_bovins[Ration]&amp;Règles_bovins[Aliment],0))="s1",IF($BB249=Spécificité1Bovins,1)),
AND(INDEX(Règles_bovins[Specificite],MATCH(ChoixRationBovins&amp;$BB249,Règles_bovins[Ration]&amp;Règles_bovins[Aliment],0))="s2",IF($BB249=Spécificité2Bovins,1)),
INDEX(Règles_bovins[Specificite],MATCH(ChoixRationBovins&amp;$BB249,Règles_bovins[Ration]&amp;Règles_bovins[Aliment],0))="c"),
INDEX(Règles_bovins[Valeur 0-3],MATCH(ChoixRationBovins&amp;$BB249,Règles_bovins[Ration]&amp;Règles_bovins[Aliment],0)),0),0)*IF(ChoixBovinsPréHiver=OUI,TotalVeauFemelle_0_3_RacesLaitières,TotalBovinsFemelles_0_3mois*SUM(NbreJoursNourrirBovins)))</f>
        <v>0</v>
      </c>
      <c r="BJ249" s="1270">
        <f t="shared" si="74"/>
        <v>0</v>
      </c>
      <c r="BK249" s="1345"/>
      <c r="BL249" s="1345"/>
      <c r="BM249" s="1346"/>
      <c r="BN249" s="1321"/>
      <c r="BO249" s="1321"/>
      <c r="BP249" s="1321"/>
      <c r="BQ249" s="1321"/>
      <c r="BR249" s="1321"/>
      <c r="BS249" s="1321"/>
      <c r="BT249" s="1321"/>
      <c r="BU249" s="1321"/>
      <c r="BV249" s="1345"/>
      <c r="BW249" s="1345"/>
      <c r="BX249" s="1321"/>
      <c r="BY249" s="1321"/>
      <c r="BZ249" s="1321"/>
      <c r="CA249" s="1321"/>
      <c r="CB249" s="1321"/>
      <c r="CC249" s="1321"/>
      <c r="CD249" s="1345"/>
      <c r="CE249" s="1345"/>
      <c r="CF249" s="1345"/>
      <c r="CG249" s="1345"/>
      <c r="CH249" s="1345"/>
      <c r="CI249" s="1321"/>
      <c r="CJ249" s="1321"/>
      <c r="CK249" s="1321"/>
      <c r="CL249" s="1321"/>
      <c r="CM249" s="1321"/>
      <c r="CN249" s="1321"/>
      <c r="CO249" s="1321"/>
      <c r="CP249" s="1321"/>
      <c r="CQ249" s="1321"/>
      <c r="CR249" s="1321"/>
      <c r="CS249" s="1321"/>
      <c r="CT249" s="1321"/>
      <c r="CU249" s="1321"/>
      <c r="CV249" s="1321"/>
      <c r="CW249" s="1321"/>
      <c r="CX249" s="1321"/>
      <c r="CY249" s="1321"/>
      <c r="CZ249" s="1321"/>
      <c r="DA249" s="1321"/>
      <c r="DB249" s="1321"/>
      <c r="DC249" s="1321"/>
      <c r="DD249" s="1321"/>
      <c r="DE249" s="1321"/>
      <c r="DF249" s="1321"/>
      <c r="DG249" s="1321"/>
      <c r="DH249" s="1321"/>
      <c r="DI249" s="1321"/>
      <c r="DJ249" s="1321"/>
      <c r="DK249" s="1321"/>
      <c r="DL249" s="1321"/>
      <c r="DM249" s="1321"/>
      <c r="DN249" s="1075" t="str">
        <f t="shared" si="77"/>
        <v>Eau</v>
      </c>
      <c r="DO249" s="1269">
        <f t="array" ref="DO249">IFERROR(IF(OR(AND(INDEX(Règles_ovins[Specificite],MATCH(RationHivernaleOvinsAuPré&amp;$DN249,Règles_ovins[Ration]&amp;Règles_ovins[Aliment],0))="s1",IF($DN249=Spécificité1Ovins,1)),
AND(INDEX(Règles_ovins[Specificite],MATCH(RationHivernaleOvinsAuPré&amp;$DN249,Règles_ovins[Ration]&amp;Règles_ovins[Aliment],0))="s2",IF($DN249=Spécificité2Ovins,1)),
INDEX(Règles_ovins[Specificite],MATCH(RationHivernaleOvinsAuPré&amp;$DN249,Règles_ovins[Ration]&amp;Règles_ovins[Aliment],0))="c"),
INDEX(Règles_ovins[Valeur 12 et plus],MATCH(RationHivernaleOvinsAuPré&amp;$DN249,Règles_ovins[Ration]&amp;Règles_ovins[Aliment],0)),0),0)*IF(SUM(TotalOvinsAdultesAuPré)&gt;0,SUM(TotalOvinsAdultesAuPré),SUM(TotalOvinsAdultes))*(84-NbreJoursMaxOvinsAuPré)</f>
        <v>0</v>
      </c>
      <c r="DP249" s="1269">
        <f t="array" ref="DP249">IFERROR(IF(OR(AND(INDEX(Règles_ovins[Specificite],MATCH(RationHivernaleOvinsAuPré&amp;$DN249,Règles_ovins[Ration]&amp;Règles_ovins[Aliment],0))="s1",IF($DN249=Spécificité1Ovins,1)),
AND(INDEX(Règles_ovins[Specificite],MATCH(RationHivernaleOvinsAuPré&amp;$DN249,Règles_ovins[Ration]&amp;Règles_ovins[Aliment],0))="s2",IF($DN249=Spécificité2Ovins,1)),
INDEX(Règles_ovins[Specificite],MATCH(RationHivernaleOvinsAuPré&amp;$DN249,Règles_ovins[Ration]&amp;Règles_ovins[Aliment],0))="c"),
INDEX(Règles_ovins[Valeur 6-12],MATCH(RationHivernaleOvinsAuPré&amp;$DN249,Règles_ovins[Ration]&amp;Règles_ovins[Aliment],0)),0),0)*IF(SUM(TotalOvins_6_12moisAuPré)&gt;0,SUM(TotalOvins_6_12moisAuPré),SUM(TotalJeunesOvins))*(84-NbreJoursMaxOvinsAuPré)</f>
        <v>0</v>
      </c>
      <c r="DQ249" s="1269">
        <f t="array" ref="DQ249">IFERROR(IF(OR(AND(INDEX(Règles_ovins[Specificite],MATCH(RationHivernaleOvinsAuPré&amp;$DN249,Règles_ovins[Ration]&amp;Règles_ovins[Aliment],0))="s1",IF($DN249=Spécificité1Ovins,1)),
AND(INDEX(Règles_ovins[Specificite],MATCH(RationHivernaleOvinsAuPré&amp;$DN249,Règles_ovins[Ration]&amp;Règles_ovins[Aliment],0))="s2",IF($DN249=Spécificité2Ovins,1)),
INDEX(Règles_ovins[Specificite],MATCH(RationHivernaleOvinsAuPré&amp;$DN249,Règles_ovins[Ration]&amp;Règles_ovins[Aliment],0))="c"),
INDEX(Règles_ovins[Valeur 3-6],MATCH(RationHivernaleOvinsAuPré&amp;$DN249,Règles_ovins[Ration]&amp;Règles_ovins[Aliment],0)),0),0)*IF(SUM(TotalOvins_3_6moisAuPré)&gt;0,SUM(TotalOvins_3_6moisAuPré),SUM(TotalOvins_3_6mois))*(84-NbreJoursMaxOvinsAuPré)</f>
        <v>0</v>
      </c>
      <c r="DR249" s="1269">
        <f t="array" ref="DR249">IFERROR(IF(OR(AND(INDEX(Règles_ovins[Specificite],MATCH(RationHivernaleOvinsAuPré&amp;$DN249,Règles_ovins[Ration]&amp;Règles_ovins[Aliment],0))="s1",IF($DN249=Spécificité1Ovins,1)),
AND(INDEX(Règles_ovins[Specificite],MATCH(RationHivernaleOvinsAuPré&amp;$DN249,Règles_ovins[Ration]&amp;Règles_ovins[Aliment],0))="s2",IF($DN249=Spécificité2Ovins,1)),
INDEX(Règles_ovins[Specificite],MATCH(RationHivernaleOvinsAuPré&amp;$DN249,Règles_ovins[Ration]&amp;Règles_ovins[Aliment],0))="c"),
INDEX(Règles_ovins[Valeur 0-3],MATCH(RationHivernaleOvinsAuPré&amp;$DN249,Règles_ovins[Ration]&amp;Règles_ovins[Aliment],0)),0),0)*IF(SUM(TotalOvins_0_3moisAuPré)&gt;0,SUM(TotalOvins_0_3moisAuPré),SUM(TotalOvins_3_6mois))*(84-NbreJoursMaxOvinsAuPré)</f>
        <v>0</v>
      </c>
      <c r="DS249" s="1280">
        <f t="shared" si="76"/>
        <v>0</v>
      </c>
      <c r="DT249" s="1346"/>
      <c r="DU249" s="1346"/>
      <c r="DV249" s="1321"/>
      <c r="DW249" s="1321"/>
      <c r="DX249" s="1321"/>
      <c r="DY249" s="1321"/>
      <c r="DZ249" s="1321"/>
      <c r="EA249" s="1321"/>
      <c r="EB249" s="1321"/>
      <c r="EC249" s="1321"/>
      <c r="ED249" s="1345"/>
      <c r="EE249" s="1345"/>
      <c r="EF249" s="1321"/>
      <c r="EG249" s="1321"/>
      <c r="EH249" s="1321"/>
      <c r="EI249" s="1321"/>
      <c r="EJ249" s="1321"/>
      <c r="EK249" s="1345"/>
      <c r="EL249" s="1345"/>
      <c r="EM249" s="1321"/>
      <c r="EN249" s="1321"/>
      <c r="EO249" s="1321"/>
      <c r="EP249" s="1321"/>
      <c r="EQ249" s="1321"/>
      <c r="ER249" s="1345"/>
      <c r="ES249" s="1345"/>
      <c r="ET249" s="1321"/>
      <c r="EU249" s="1321"/>
      <c r="EV249" s="1321"/>
      <c r="EW249" s="1321"/>
      <c r="EX249" s="1321"/>
      <c r="EY249" s="1321"/>
      <c r="EZ249" s="1345"/>
      <c r="FA249" s="1345"/>
      <c r="FB249" s="1345"/>
      <c r="FC249" s="1321"/>
      <c r="FD249" s="1321"/>
      <c r="FE249" s="1321"/>
      <c r="FF249" s="1321"/>
      <c r="FG249" s="1321"/>
      <c r="FH249" s="1321"/>
      <c r="FI249" s="1345"/>
      <c r="FJ249" s="1345"/>
      <c r="FK249" s="1345"/>
      <c r="FL249" s="1345"/>
      <c r="FM249" s="1321"/>
      <c r="FN249" s="1345"/>
      <c r="FO249" s="1345"/>
      <c r="FP249" s="1345"/>
      <c r="FQ249" s="1345"/>
      <c r="FR249" s="1345"/>
      <c r="FS249" s="1345"/>
      <c r="FT249" s="1345"/>
      <c r="FU249" s="1345"/>
      <c r="FV249" s="1345"/>
      <c r="FW249" s="1321"/>
      <c r="FX249" s="1321"/>
      <c r="FY249" s="1321"/>
      <c r="FZ249" s="1321"/>
      <c r="GA249" s="1345"/>
      <c r="GB249" s="1321"/>
      <c r="GC249" s="1321"/>
      <c r="GD249" s="1321"/>
      <c r="GE249" s="1321"/>
      <c r="GF249" s="1321"/>
      <c r="GG249" s="1321" t="s">
        <v>1349</v>
      </c>
      <c r="GH249" s="1321" t="s">
        <v>1349</v>
      </c>
      <c r="GI249" s="1321" t="s">
        <v>1349</v>
      </c>
      <c r="GJ249" s="1321" t="s">
        <v>1349</v>
      </c>
      <c r="GK249" s="1321" t="s">
        <v>1349</v>
      </c>
      <c r="GL249" s="1321" t="s">
        <v>1349</v>
      </c>
      <c r="GM249" s="1321" t="s">
        <v>1349</v>
      </c>
      <c r="GN249" s="1321" t="s">
        <v>1349</v>
      </c>
      <c r="GO249" s="1321" t="s">
        <v>1349</v>
      </c>
      <c r="GP249" s="1321" t="s">
        <v>1349</v>
      </c>
      <c r="GQ249" s="1321" t="s">
        <v>1349</v>
      </c>
      <c r="GR249" s="1321" t="s">
        <v>1349</v>
      </c>
      <c r="GS249" s="1321" t="s">
        <v>1349</v>
      </c>
      <c r="GT249" s="1321" t="s">
        <v>1349</v>
      </c>
      <c r="GU249" s="1321" t="s">
        <v>1349</v>
      </c>
      <c r="GV249" s="1321" t="s">
        <v>1349</v>
      </c>
      <c r="GW249" s="1321"/>
      <c r="GX249" s="1321"/>
      <c r="GY249" s="1321"/>
      <c r="GZ249" s="1321"/>
      <c r="HA249" s="1321"/>
      <c r="HB249" s="1321"/>
      <c r="HC249" s="1321"/>
      <c r="HD249" s="1321"/>
      <c r="HE249" s="1321"/>
      <c r="HF249" s="1321"/>
      <c r="HG249" s="1321"/>
      <c r="HH249" s="1321"/>
      <c r="HI249" s="1321"/>
      <c r="HJ249" s="1321"/>
      <c r="HK249" s="1321"/>
      <c r="HL249" s="1321"/>
      <c r="HM249" s="1321"/>
      <c r="HN249" s="1321"/>
      <c r="HO249" s="1321"/>
      <c r="HP249" s="1321"/>
      <c r="HQ249" s="1321"/>
      <c r="HR249" s="1321"/>
      <c r="HS249" s="1321"/>
      <c r="HT249" s="1321"/>
      <c r="HU249" s="1321"/>
      <c r="HV249" s="1321"/>
      <c r="HW249" s="1321"/>
      <c r="HX249" s="1321"/>
      <c r="HY249" s="1321"/>
      <c r="HZ249" s="1321"/>
      <c r="IA249" s="1321"/>
      <c r="IB249" s="1321"/>
      <c r="IC249" s="1321"/>
      <c r="ID249" s="1321"/>
      <c r="IE249" s="1321"/>
      <c r="IF249" s="1321"/>
      <c r="IG249" s="1321"/>
      <c r="IH249" s="1321"/>
      <c r="II249" s="1321"/>
      <c r="IJ249" s="1321"/>
      <c r="IK249" s="1321"/>
      <c r="IL249" s="1321"/>
      <c r="IM249" s="1321"/>
      <c r="IN249" s="1368"/>
    </row>
    <row r="250" spans="1:248" ht="12.75" customHeight="1" x14ac:dyDescent="0.2">
      <c r="A250" s="1319"/>
      <c r="B250" s="1321"/>
      <c r="C250" s="1321"/>
      <c r="D250" s="1321"/>
      <c r="E250" s="1321"/>
      <c r="F250" s="1321"/>
      <c r="G250" s="1321"/>
      <c r="H250" s="1321"/>
      <c r="I250" s="1321"/>
      <c r="J250" s="1321"/>
      <c r="K250" s="1321"/>
      <c r="L250" s="1321"/>
      <c r="M250" s="1321"/>
      <c r="N250" s="1321"/>
      <c r="O250" s="1321"/>
      <c r="P250" s="1321"/>
      <c r="Q250" s="1321"/>
      <c r="R250" s="1321"/>
      <c r="S250" s="1321"/>
      <c r="T250" s="1321"/>
      <c r="U250" s="1321"/>
      <c r="V250" s="1321"/>
      <c r="W250" s="1321"/>
      <c r="X250" s="1321"/>
      <c r="Y250" s="1321"/>
      <c r="Z250" s="1321"/>
      <c r="AA250" s="1321"/>
      <c r="AB250" s="1321"/>
      <c r="AC250" s="1321"/>
      <c r="AD250" s="1321"/>
      <c r="AE250" s="1321"/>
      <c r="AF250" s="1321"/>
      <c r="AG250" s="1321"/>
      <c r="AH250" s="1321"/>
      <c r="AI250" s="1321"/>
      <c r="AJ250" s="1321"/>
      <c r="AK250" s="1321"/>
      <c r="AL250" s="1321"/>
      <c r="AM250" s="1321"/>
      <c r="AN250" s="1321"/>
      <c r="AO250" s="1321"/>
      <c r="AP250" s="1321"/>
      <c r="AQ250" s="1321"/>
      <c r="AR250" s="1321"/>
      <c r="AS250" s="1321"/>
      <c r="AT250" s="1321"/>
      <c r="AU250" s="1321"/>
      <c r="AV250" s="1321"/>
      <c r="AW250" s="1321"/>
      <c r="AX250" s="1321"/>
      <c r="AY250" s="1321"/>
      <c r="AZ250" s="1321"/>
      <c r="BA250" s="1321"/>
      <c r="BB250" s="1076" t="str">
        <f t="shared" si="75"/>
        <v>Foin</v>
      </c>
      <c r="BC250" s="1267">
        <f t="array" ref="BC250">IF(Ration_complète_bovins[somme]&gt;0,0,IFERROR(IF(OR(AND(INDEX(Règles_bovins[Specificite],MATCH(ChoixRationBovins&amp;$BB250,Règles_bovins[Ration]&amp;Règles_bovins[Aliment],0))="s1",IF($BB250=Spécificité1Bovins,1)),
AND(INDEX(Règles_bovins[Specificite],MATCH(ChoixRationBovins&amp;$BB250,Règles_bovins[Ration]&amp;Règles_bovins[Aliment],0))="s2",IF($BB250=Spécificité2Bovins,1)),
INDEX(Règles_bovins[Specificite],MATCH(ChoixRationBovins&amp;$BB250,Règles_bovins[Ration]&amp;Règles_bovins[Aliment],0))="c"),
INDEX(Règles_bovins[Valeur 36 et plus],MATCH(ChoixRationBovins&amp;$BB250,Règles_bovins[Ration]&amp;Règles_bovins[Aliment],0)),0),0)*IF(ChoixBovinsPréHiver=OUI,TotalVachesRacesLaitières,TotalVaches*SUM(NbreJoursNourrirBovins)))</f>
        <v>0</v>
      </c>
      <c r="BD250" s="1267">
        <f t="array" ref="BD250">IF(Ration_complète_bovins[somme]&gt;0,0,IFERROR(IF(OR(AND(INDEX(Règles_bovins[Specificite],MATCH(ChoixRationBovins&amp;$BB250,Règles_bovins[Ration]&amp;Règles_bovins[Aliment],0))="s1",IF($BB250=Spécificité1Bovins,1)),
AND(INDEX(Règles_bovins[Specificite],MATCH(ChoixRationBovins&amp;$BB250,Règles_bovins[Ration]&amp;Règles_bovins[Aliment],0))="s2",IF($BB250=Spécificité2Bovins,1)),
INDEX(Règles_bovins[Specificite],MATCH(ChoixRationBovins&amp;$BB250,Règles_bovins[Ration]&amp;Règles_bovins[Aliment],0))="c"),
INDEX(Règles_bovins[Valeur 24-36],MATCH(ChoixRationBovins&amp;$BB250,Règles_bovins[Ration]&amp;Règles_bovins[Aliment],0)),0),0)*IF(ChoixBovinsPréHiver=OUI,TotalGénisse_24_36_RacesLaitières,TotalBovinsFemelles_24_36mois*SUM(NbreJoursNourrirBovins)))</f>
        <v>0</v>
      </c>
      <c r="BE250" s="1267">
        <f t="array" ref="BE250">IF(Ration_complète_bovins[somme]&gt;0,0,IFERROR(IF(OR(AND(INDEX(Règles_bovins[Specificite],MATCH(ChoixRationBovins&amp;$BB250,Règles_bovins[Ration]&amp;Règles_bovins[Aliment],0))="s1",IF($BB250=Spécificité1Bovins,1)),
AND(INDEX(Règles_bovins[Specificite],MATCH(ChoixRationBovins&amp;$BB250,Règles_bovins[Ration]&amp;Règles_bovins[Aliment],0))="s2",IF($BB250=Spécificité2Bovins,1)),
INDEX(Règles_bovins[Specificite],MATCH(ChoixRationBovins&amp;$BB250,Règles_bovins[Ration]&amp;Règles_bovins[Aliment],0))="c"),
INDEX(Règles_bovins[Valeur 18-24],MATCH(ChoixRationBovins&amp;$BB250,Règles_bovins[Ration]&amp;Règles_bovins[Aliment],0)),0),0)*IF(ChoixBovinsPréHiver=OUI,TotalGénisse_18_24_RacesLaitières,TotalBovinsFemelles_18_24mois*SUM(NbreJoursNourrirBovins)))</f>
        <v>0</v>
      </c>
      <c r="BF250" s="1267">
        <f t="array" ref="BF250">IF(Ration_complète_bovins[somme]&gt;0,0,IFERROR(IF(OR(AND(INDEX(Règles_bovins[Specificite],MATCH(ChoixRationBovins&amp;$BB250,Règles_bovins[Ration]&amp;Règles_bovins[Aliment],0))="s1",IF($BB250=Spécificité1Bovins,1)),
AND(INDEX(Règles_bovins[Specificite],MATCH(ChoixRationBovins&amp;$BB250,Règles_bovins[Ration]&amp;Règles_bovins[Aliment],0))="s2",IF($BB250=Spécificité2Bovins,1)),
INDEX(Règles_bovins[Specificite],MATCH(ChoixRationBovins&amp;$BB250,Règles_bovins[Ration]&amp;Règles_bovins[Aliment],0))="c"),
INDEX(Règles_bovins[Valeur 12-18],MATCH(ChoixRationBovins&amp;$BB250,Règles_bovins[Ration]&amp;Règles_bovins[Aliment],0)),0),0)*IF(ChoixBovinsPréHiver=OUI,TotalGénisse_12_18_RacesLaitières,TotalBovinsFemelles_12_18mois*SUM(NbreJoursNourrirBovins)))</f>
        <v>0</v>
      </c>
      <c r="BG250" s="1267">
        <f t="array" ref="BG250">IF(Ration_complète_bovins[somme]&gt;0,0,IFERROR(IF(OR(AND(INDEX(Règles_bovins[Specificite],MATCH(ChoixRationBovins&amp;$BB250,Règles_bovins[Ration]&amp;Règles_bovins[Aliment],0))="s1",IF($BB250=Spécificité1Bovins,1)),
AND(INDEX(Règles_bovins[Specificite],MATCH(ChoixRationBovins&amp;$BB250,Règles_bovins[Ration]&amp;Règles_bovins[Aliment],0))="s2",IF($BB250=Spécificité2Bovins,1)),
INDEX(Règles_bovins[Specificite],MATCH(ChoixRationBovins&amp;$BB250,Règles_bovins[Ration]&amp;Règles_bovins[Aliment],0))="c"),
INDEX(Règles_bovins[Valeur 6-12],MATCH(ChoixRationBovins&amp;$BB250,Règles_bovins[Ration]&amp;Règles_bovins[Aliment],0)),0),0)*IF(ChoixBovinsPréHiver=OUI,TotalVeauFemelle_6_12_RacesLaitières,TotalBovinsFemelles_6_12mois*SUM(NbreJoursNourrirBovins)))</f>
        <v>0</v>
      </c>
      <c r="BH250" s="1267">
        <f t="array" ref="BH250">IF(Ration_complète_bovins[somme]&gt;0,0,IFERROR(IF(OR(AND(INDEX(Règles_bovins[Specificite],MATCH(ChoixRationBovins&amp;$BB250,Règles_bovins[Ration]&amp;Règles_bovins[Aliment],0))="s1",IF($BB250=Spécificité1Bovins,1)),
AND(INDEX(Règles_bovins[Specificite],MATCH(ChoixRationBovins&amp;$BB250,Règles_bovins[Ration]&amp;Règles_bovins[Aliment],0))="s2",IF($BB250=Spécificité2Bovins,1)),
INDEX(Règles_bovins[Specificite],MATCH(ChoixRationBovins&amp;$BB250,Règles_bovins[Ration]&amp;Règles_bovins[Aliment],0))="c"),
INDEX(Règles_bovins[Valeur 3-6],MATCH(ChoixRationBovins&amp;$BB250,Règles_bovins[Ration]&amp;Règles_bovins[Aliment],0)),0),0)*IF(ChoixBovinsPréHiver=OUI,TotalVeauFemelle_3_6_RacesLaitières,TotalBovinsFemelles_3_6mois*SUM(NbreJoursNourrirBovins)))</f>
        <v>0</v>
      </c>
      <c r="BI250" s="1267">
        <f t="array" ref="BI250">IF(Ration_complète_bovins[somme]&gt;0,0,IFERROR(IF(OR(AND(INDEX(Règles_bovins[Specificite],MATCH(ChoixRationBovins&amp;$BB250,Règles_bovins[Ration]&amp;Règles_bovins[Aliment],0))="s1",IF($BB250=Spécificité1Bovins,1)),
AND(INDEX(Règles_bovins[Specificite],MATCH(ChoixRationBovins&amp;$BB250,Règles_bovins[Ration]&amp;Règles_bovins[Aliment],0))="s2",IF($BB250=Spécificité2Bovins,1)),
INDEX(Règles_bovins[Specificite],MATCH(ChoixRationBovins&amp;$BB250,Règles_bovins[Ration]&amp;Règles_bovins[Aliment],0))="c"),
INDEX(Règles_bovins[Valeur 0-3],MATCH(ChoixRationBovins&amp;$BB250,Règles_bovins[Ration]&amp;Règles_bovins[Aliment],0)),0),0)*IF(ChoixBovinsPréHiver=OUI,TotalVeauFemelle_0_3_RacesLaitières,TotalBovinsFemelles_0_3mois*SUM(NbreJoursNourrirBovins)))</f>
        <v>0</v>
      </c>
      <c r="BJ250" s="1268">
        <f t="shared" si="74"/>
        <v>0</v>
      </c>
      <c r="BK250" s="1345"/>
      <c r="BL250" s="1345"/>
      <c r="BM250" s="1346"/>
      <c r="BN250" s="1321"/>
      <c r="BO250" s="1321"/>
      <c r="BP250" s="1321"/>
      <c r="BQ250" s="1321"/>
      <c r="BR250" s="1321"/>
      <c r="BS250" s="1321"/>
      <c r="BT250" s="1321"/>
      <c r="BU250" s="1321"/>
      <c r="BV250" s="1345"/>
      <c r="BW250" s="1345"/>
      <c r="BX250" s="1321"/>
      <c r="BY250" s="1321"/>
      <c r="BZ250" s="1321"/>
      <c r="CA250" s="1321"/>
      <c r="CB250" s="1321"/>
      <c r="CC250" s="1321"/>
      <c r="CD250" s="1345"/>
      <c r="CE250" s="1345"/>
      <c r="CF250" s="1345"/>
      <c r="CG250" s="1345"/>
      <c r="CH250" s="1345"/>
      <c r="CI250" s="1321"/>
      <c r="CJ250" s="1321"/>
      <c r="CK250" s="1321"/>
      <c r="CL250" s="1321"/>
      <c r="CM250" s="1321"/>
      <c r="CN250" s="1321"/>
      <c r="CO250" s="1321"/>
      <c r="CP250" s="1321"/>
      <c r="CQ250" s="1321"/>
      <c r="CR250" s="1321"/>
      <c r="CS250" s="1321"/>
      <c r="CT250" s="1321"/>
      <c r="CU250" s="1321"/>
      <c r="CV250" s="1321"/>
      <c r="CW250" s="1321"/>
      <c r="CX250" s="1321"/>
      <c r="CY250" s="1321"/>
      <c r="CZ250" s="1321"/>
      <c r="DA250" s="1321"/>
      <c r="DB250" s="1321"/>
      <c r="DC250" s="1321"/>
      <c r="DD250" s="1321"/>
      <c r="DE250" s="1321"/>
      <c r="DF250" s="1321"/>
      <c r="DG250" s="1321"/>
      <c r="DH250" s="1321"/>
      <c r="DI250" s="1321"/>
      <c r="DJ250" s="1321"/>
      <c r="DK250" s="1321"/>
      <c r="DL250" s="1321"/>
      <c r="DM250" s="1321"/>
      <c r="DN250" s="1076" t="str">
        <f t="shared" si="77"/>
        <v>Epinard</v>
      </c>
      <c r="DO250" s="1267">
        <f t="array" ref="DO250">IF(ChoixRationHivernaleOvinsComplète=OUI,0,IFERROR(IF(OR(AND(INDEX(Règles_ovins[Specificite],MATCH(RationHivernaleOvinsAuPré&amp;$DN250,Règles_ovins[Ration]&amp;Règles_ovins[Aliment],0))="s1",IF($DN250=Spécificité1Ovins,1)),
AND(INDEX(Règles_ovins[Specificite],MATCH(RationHivernaleOvinsAuPré&amp;$DN250,Règles_ovins[Ration]&amp;Règles_ovins[Aliment],0))="s2",IF($DN250=Spécificité2Ovins,1)),
INDEX(Règles_ovins[Specificite],MATCH(RationHivernaleOvinsAuPré&amp;$DN250,Règles_ovins[Ration]&amp;Règles_ovins[Aliment],0))="c"),
INDEX(Règles_ovins[Valeur 12 et plus],MATCH(RationHivernaleOvinsAuPré&amp;$DN250,Règles_ovins[Ration]&amp;Règles_ovins[Aliment],0)),0),0)*IF(SUM(TotalOvinsAdultesAuPré)&gt;0,SUM(TotalOvinsAdultesAuPré)*SUM(AD76:AD100),SUM(TotalOvinsAdultes)*SUM(AD76:AD100)))</f>
        <v>0</v>
      </c>
      <c r="DP250" s="1267">
        <f t="array" ref="DP250">IF(ChoixRationHivernaleOvinsComplète=OUI,0,IFERROR(IF(OR(AND(INDEX(Règles_ovins[Specificite],MATCH(RationHivernaleOvinsAuPré&amp;$DN250,Règles_ovins[Ration]&amp;Règles_ovins[Aliment],0))="s1",IF($DN250=Spécificité1Ovins,1)),
AND(INDEX(Règles_ovins[Specificite],MATCH(RationHivernaleOvinsAuPré&amp;$DN250,Règles_ovins[Ration]&amp;Règles_ovins[Aliment],0))="s2",IF($DN250=Spécificité2Ovins,1)),
INDEX(Règles_ovins[Specificite],MATCH(RationHivernaleOvinsAuPré&amp;$DN250,Règles_ovins[Ration]&amp;Règles_ovins[Aliment],0))="c"),
INDEX(Règles_ovins[Valeur 6-12],MATCH(RationHivernaleOvinsAuPré&amp;$DN250,Règles_ovins[Ration]&amp;Règles_ovins[Aliment],0)),0),0)*IF(SUM(TotalOvins_6_12moisAuPré)&gt;0,SUM(TotalOvins_6_12moisAuPré)*SUM(AD76:AD100),SUM(TotalJeunesOvins)*SUM(AD76:AD100)))</f>
        <v>0</v>
      </c>
      <c r="DQ250" s="1267">
        <f t="array" ref="DQ250">IF(ChoixRationHivernaleOvinsComplète=OUI,0,IFERROR(IF(OR(AND(INDEX(Règles_ovins[Specificite],MATCH(RationHivernaleOvinsAuPré&amp;$DN250,Règles_ovins[Ration]&amp;Règles_ovins[Aliment],0))="s1",IF($DN250=Spécificité1Ovins,1)),
AND(INDEX(Règles_ovins[Specificite],MATCH(RationHivernaleOvinsAuPré&amp;$DN250,Règles_ovins[Ration]&amp;Règles_ovins[Aliment],0))="s2",IF($DN250=Spécificité2Ovins,1)),
INDEX(Règles_ovins[Specificite],MATCH(RationHivernaleOvinsAuPré&amp;$DN250,Règles_ovins[Ration]&amp;Règles_ovins[Aliment],0))="c"),
INDEX(Règles_ovins[Valeur 3-6],MATCH(RationHivernaleOvinsAuPré&amp;$DN250,Règles_ovins[Ration]&amp;Règles_ovins[Aliment],0)),0),0)*IF(SUM(TotalOvins_3_6moisAuPré)&gt;0,SUM(TotalOvins_3_6moisAuPré)*SUM(AD76:AD100),SUM(TotalOvins_3_6mois)*SUM(AD76:AD100)))</f>
        <v>0</v>
      </c>
      <c r="DR250" s="1267">
        <f t="array" ref="DR250">IF(ChoixRationHivernaleOvinsComplète=OUI,0,IFERROR(IF(OR(AND(INDEX(Règles_ovins[Specificite],MATCH(RationHivernaleOvinsAuPré&amp;$DN250,Règles_ovins[Ration]&amp;Règles_ovins[Aliment],0))="s1",IF($DN250=Spécificité1Ovins,1)),
AND(INDEX(Règles_ovins[Specificite],MATCH(RationHivernaleOvinsAuPré&amp;$DN250,Règles_ovins[Ration]&amp;Règles_ovins[Aliment],0))="s2",IF($DN250=Spécificité2Ovins,1)),
INDEX(Règles_ovins[Specificite],MATCH(RationHivernaleOvinsAuPré&amp;$DN250,Règles_ovins[Ration]&amp;Règles_ovins[Aliment],0))="c"),
INDEX(Règles_ovins[Valeur 0-3],MATCH(RationHivernaleOvinsAuPré&amp;$DN250,Règles_ovins[Ration]&amp;Règles_ovins[Aliment],0)),0),0)*IF(SUM(TotalOvins_0_3moisAuPré)&gt;0,SUM(TotalOvins_0_3moisAuPré)*SUM(AD76:AD100),SUM(TotalOvins_3_6mois)*SUM(AD76:AD100)))</f>
        <v>0</v>
      </c>
      <c r="DS250" s="1279">
        <f t="shared" si="76"/>
        <v>0</v>
      </c>
      <c r="DT250" s="1346"/>
      <c r="DU250" s="1346"/>
      <c r="DV250" s="1321"/>
      <c r="DW250" s="1321"/>
      <c r="DX250" s="1321"/>
      <c r="DY250" s="1321"/>
      <c r="DZ250" s="1321"/>
      <c r="EA250" s="1321"/>
      <c r="EB250" s="1321"/>
      <c r="EC250" s="1321"/>
      <c r="ED250" s="1345"/>
      <c r="EE250" s="1345"/>
      <c r="EF250" s="1321"/>
      <c r="EG250" s="1321"/>
      <c r="EH250" s="1321"/>
      <c r="EI250" s="1321"/>
      <c r="EJ250" s="1321"/>
      <c r="EK250" s="1345"/>
      <c r="EL250" s="1345"/>
      <c r="EM250" s="1321"/>
      <c r="EN250" s="1321"/>
      <c r="EO250" s="1321"/>
      <c r="EP250" s="1321"/>
      <c r="EQ250" s="1321"/>
      <c r="ER250" s="1345"/>
      <c r="ES250" s="1345"/>
      <c r="ET250" s="1321"/>
      <c r="EU250" s="1321"/>
      <c r="EV250" s="1321"/>
      <c r="EW250" s="1321"/>
      <c r="EX250" s="1321"/>
      <c r="EY250" s="1321"/>
      <c r="EZ250" s="1345"/>
      <c r="FA250" s="1345"/>
      <c r="FB250" s="1345"/>
      <c r="FC250" s="1321"/>
      <c r="FD250" s="1321"/>
      <c r="FE250" s="1321"/>
      <c r="FF250" s="1321"/>
      <c r="FG250" s="1321"/>
      <c r="FH250" s="1321"/>
      <c r="FI250" s="1345"/>
      <c r="FJ250" s="1345"/>
      <c r="FK250" s="1345"/>
      <c r="FL250" s="1345"/>
      <c r="FM250" s="1321"/>
      <c r="FN250" s="1321"/>
      <c r="FO250" s="1321"/>
      <c r="FP250" s="1321"/>
      <c r="FQ250" s="1321"/>
      <c r="FR250" s="1321"/>
      <c r="FS250" s="1345"/>
      <c r="FT250" s="1345"/>
      <c r="FU250" s="1345"/>
      <c r="FV250" s="1345"/>
      <c r="FW250" s="1321"/>
      <c r="FX250" s="1321"/>
      <c r="FY250" s="1321"/>
      <c r="FZ250" s="1321"/>
      <c r="GA250" s="1345"/>
      <c r="GB250" s="1321"/>
      <c r="GC250" s="1321"/>
      <c r="GD250" s="1321"/>
      <c r="GE250" s="1321"/>
      <c r="GF250" s="1321"/>
      <c r="GG250" s="1321" t="s">
        <v>1349</v>
      </c>
      <c r="GH250" s="1321" t="s">
        <v>1349</v>
      </c>
      <c r="GI250" s="1321" t="s">
        <v>1349</v>
      </c>
      <c r="GJ250" s="1321" t="s">
        <v>1349</v>
      </c>
      <c r="GK250" s="1321" t="s">
        <v>1349</v>
      </c>
      <c r="GL250" s="1321" t="s">
        <v>1349</v>
      </c>
      <c r="GM250" s="1321" t="s">
        <v>1349</v>
      </c>
      <c r="GN250" s="1321" t="s">
        <v>1349</v>
      </c>
      <c r="GO250" s="1321" t="s">
        <v>1349</v>
      </c>
      <c r="GP250" s="1321" t="s">
        <v>1349</v>
      </c>
      <c r="GQ250" s="1321" t="s">
        <v>1349</v>
      </c>
      <c r="GR250" s="1321" t="s">
        <v>1349</v>
      </c>
      <c r="GS250" s="1321" t="s">
        <v>1349</v>
      </c>
      <c r="GT250" s="1321" t="s">
        <v>1349</v>
      </c>
      <c r="GU250" s="1321" t="s">
        <v>1349</v>
      </c>
      <c r="GV250" s="1321" t="s">
        <v>1349</v>
      </c>
      <c r="GW250" s="1321"/>
      <c r="GX250" s="1321"/>
      <c r="GY250" s="1321"/>
      <c r="GZ250" s="1321"/>
      <c r="HA250" s="1321"/>
      <c r="HB250" s="1321"/>
      <c r="HC250" s="1321"/>
      <c r="HD250" s="1321"/>
      <c r="HE250" s="1321"/>
      <c r="HF250" s="1321"/>
      <c r="HG250" s="1321"/>
      <c r="HH250" s="1321"/>
      <c r="HI250" s="1321"/>
      <c r="HJ250" s="1321"/>
      <c r="HK250" s="1321"/>
      <c r="HL250" s="1321"/>
      <c r="HM250" s="1321"/>
      <c r="HN250" s="1321"/>
      <c r="HO250" s="1321"/>
      <c r="HP250" s="1321"/>
      <c r="HQ250" s="1321"/>
      <c r="HR250" s="1321"/>
      <c r="HS250" s="1321"/>
      <c r="HT250" s="1321"/>
      <c r="HU250" s="1321"/>
      <c r="HV250" s="1321"/>
      <c r="HW250" s="1321"/>
      <c r="HX250" s="1321"/>
      <c r="HY250" s="1321"/>
      <c r="HZ250" s="1321"/>
      <c r="IA250" s="1321"/>
      <c r="IB250" s="1321"/>
      <c r="IC250" s="1321"/>
      <c r="ID250" s="1321"/>
      <c r="IE250" s="1321"/>
      <c r="IF250" s="1321"/>
      <c r="IG250" s="1321"/>
      <c r="IH250" s="1321"/>
      <c r="II250" s="1321"/>
      <c r="IJ250" s="1321"/>
      <c r="IK250" s="1321"/>
      <c r="IL250" s="1321"/>
      <c r="IM250" s="1321"/>
      <c r="IN250" s="1368"/>
    </row>
    <row r="251" spans="1:248" ht="12.75" customHeight="1" x14ac:dyDescent="0.2">
      <c r="A251" s="1319"/>
      <c r="B251" s="1321"/>
      <c r="C251" s="1321"/>
      <c r="D251" s="1321"/>
      <c r="E251" s="1321"/>
      <c r="F251" s="1321"/>
      <c r="G251" s="1321"/>
      <c r="H251" s="1321"/>
      <c r="I251" s="1321"/>
      <c r="J251" s="1321"/>
      <c r="K251" s="1321"/>
      <c r="L251" s="1321"/>
      <c r="M251" s="1321"/>
      <c r="N251" s="1321"/>
      <c r="O251" s="1321"/>
      <c r="P251" s="1321"/>
      <c r="Q251" s="1321"/>
      <c r="R251" s="1321"/>
      <c r="S251" s="1321"/>
      <c r="T251" s="1321"/>
      <c r="U251" s="1321"/>
      <c r="V251" s="1321"/>
      <c r="W251" s="1321"/>
      <c r="X251" s="1321"/>
      <c r="Y251" s="1321"/>
      <c r="Z251" s="1321"/>
      <c r="AA251" s="1321"/>
      <c r="AB251" s="1321"/>
      <c r="AC251" s="1321"/>
      <c r="AD251" s="1321"/>
      <c r="AE251" s="1321"/>
      <c r="AF251" s="1321"/>
      <c r="AG251" s="1321"/>
      <c r="AH251" s="1321"/>
      <c r="AI251" s="1321"/>
      <c r="AJ251" s="1321"/>
      <c r="AK251" s="1321"/>
      <c r="AL251" s="1321"/>
      <c r="AM251" s="1321"/>
      <c r="AN251" s="1321"/>
      <c r="AO251" s="1321"/>
      <c r="AP251" s="1321"/>
      <c r="AQ251" s="1321"/>
      <c r="AR251" s="1321"/>
      <c r="AS251" s="1321"/>
      <c r="AT251" s="1321"/>
      <c r="AU251" s="1321"/>
      <c r="AV251" s="1321"/>
      <c r="AW251" s="1321"/>
      <c r="AX251" s="1321"/>
      <c r="AY251" s="1321"/>
      <c r="AZ251" s="1321"/>
      <c r="BA251" s="1321"/>
      <c r="BB251" s="1075" t="str">
        <f t="shared" si="75"/>
        <v>Haricot vert</v>
      </c>
      <c r="BC251" s="1269">
        <f t="array" ref="BC251">IF(Ration_complète_bovins[somme]&gt;0,0,IFERROR(IF(OR(AND(INDEX(Règles_bovins[Specificite],MATCH(ChoixRationBovins&amp;$BB251,Règles_bovins[Ration]&amp;Règles_bovins[Aliment],0))="s1",IF($BB251=Spécificité1Bovins,1)),
AND(INDEX(Règles_bovins[Specificite],MATCH(ChoixRationBovins&amp;$BB251,Règles_bovins[Ration]&amp;Règles_bovins[Aliment],0))="s2",IF($BB251=Spécificité2Bovins,1)),
INDEX(Règles_bovins[Specificite],MATCH(ChoixRationBovins&amp;$BB251,Règles_bovins[Ration]&amp;Règles_bovins[Aliment],0))="c"),
INDEX(Règles_bovins[Valeur 36 et plus],MATCH(ChoixRationBovins&amp;$BB251,Règles_bovins[Ration]&amp;Règles_bovins[Aliment],0)),0),0)*IF(ChoixBovinsPréHiver=OUI,TotalVachesRacesLaitières,TotalVaches*SUM(NbreJoursNourrirBovins)))</f>
        <v>0</v>
      </c>
      <c r="BD251" s="1269">
        <f t="array" ref="BD251">IF(Ration_complète_bovins[somme]&gt;0,0,IFERROR(IF(OR(AND(INDEX(Règles_bovins[Specificite],MATCH(ChoixRationBovins&amp;$BB251,Règles_bovins[Ration]&amp;Règles_bovins[Aliment],0))="s1",IF($BB251=Spécificité1Bovins,1)),
AND(INDEX(Règles_bovins[Specificite],MATCH(ChoixRationBovins&amp;$BB251,Règles_bovins[Ration]&amp;Règles_bovins[Aliment],0))="s2",IF($BB251=Spécificité2Bovins,1)),
INDEX(Règles_bovins[Specificite],MATCH(ChoixRationBovins&amp;$BB251,Règles_bovins[Ration]&amp;Règles_bovins[Aliment],0))="c"),
INDEX(Règles_bovins[Valeur 24-36],MATCH(ChoixRationBovins&amp;$BB251,Règles_bovins[Ration]&amp;Règles_bovins[Aliment],0)),0),0)*IF(ChoixBovinsPréHiver=OUI,TotalGénisse_24_36_RacesLaitières,TotalBovinsFemelles_24_36mois*SUM(NbreJoursNourrirBovins)))</f>
        <v>0</v>
      </c>
      <c r="BE251" s="1269">
        <f t="array" ref="BE251">IF(Ration_complète_bovins[somme]&gt;0,0,IFERROR(IF(OR(AND(INDEX(Règles_bovins[Specificite],MATCH(ChoixRationBovins&amp;$BB251,Règles_bovins[Ration]&amp;Règles_bovins[Aliment],0))="s1",IF($BB251=Spécificité1Bovins,1)),
AND(INDEX(Règles_bovins[Specificite],MATCH(ChoixRationBovins&amp;$BB251,Règles_bovins[Ration]&amp;Règles_bovins[Aliment],0))="s2",IF($BB251=Spécificité2Bovins,1)),
INDEX(Règles_bovins[Specificite],MATCH(ChoixRationBovins&amp;$BB251,Règles_bovins[Ration]&amp;Règles_bovins[Aliment],0))="c"),
INDEX(Règles_bovins[Valeur 18-24],MATCH(ChoixRationBovins&amp;$BB251,Règles_bovins[Ration]&amp;Règles_bovins[Aliment],0)),0),0)*IF(ChoixBovinsPréHiver=OUI,TotalGénisse_18_24_RacesLaitières,TotalBovinsFemelles_18_24mois*SUM(NbreJoursNourrirBovins)))</f>
        <v>0</v>
      </c>
      <c r="BF251" s="1269">
        <f t="array" ref="BF251">IF(Ration_complète_bovins[somme]&gt;0,0,IFERROR(IF(OR(AND(INDEX(Règles_bovins[Specificite],MATCH(ChoixRationBovins&amp;$BB251,Règles_bovins[Ration]&amp;Règles_bovins[Aliment],0))="s1",IF($BB251=Spécificité1Bovins,1)),
AND(INDEX(Règles_bovins[Specificite],MATCH(ChoixRationBovins&amp;$BB251,Règles_bovins[Ration]&amp;Règles_bovins[Aliment],0))="s2",IF($BB251=Spécificité2Bovins,1)),
INDEX(Règles_bovins[Specificite],MATCH(ChoixRationBovins&amp;$BB251,Règles_bovins[Ration]&amp;Règles_bovins[Aliment],0))="c"),
INDEX(Règles_bovins[Valeur 12-18],MATCH(ChoixRationBovins&amp;$BB251,Règles_bovins[Ration]&amp;Règles_bovins[Aliment],0)),0),0)*IF(ChoixBovinsPréHiver=OUI,TotalGénisse_12_18_RacesLaitières,TotalBovinsFemelles_12_18mois*SUM(NbreJoursNourrirBovins)))</f>
        <v>0</v>
      </c>
      <c r="BG251" s="1269">
        <f t="array" ref="BG251">IF(Ration_complète_bovins[somme]&gt;0,0,IFERROR(IF(OR(AND(INDEX(Règles_bovins[Specificite],MATCH(ChoixRationBovins&amp;$BB251,Règles_bovins[Ration]&amp;Règles_bovins[Aliment],0))="s1",IF($BB251=Spécificité1Bovins,1)),
AND(INDEX(Règles_bovins[Specificite],MATCH(ChoixRationBovins&amp;$BB251,Règles_bovins[Ration]&amp;Règles_bovins[Aliment],0))="s2",IF($BB251=Spécificité2Bovins,1)),
INDEX(Règles_bovins[Specificite],MATCH(ChoixRationBovins&amp;$BB251,Règles_bovins[Ration]&amp;Règles_bovins[Aliment],0))="c"),
INDEX(Règles_bovins[Valeur 6-12],MATCH(ChoixRationBovins&amp;$BB251,Règles_bovins[Ration]&amp;Règles_bovins[Aliment],0)),0),0)*IF(ChoixBovinsPréHiver=OUI,TotalVeauFemelle_6_12_RacesLaitières,TotalBovinsFemelles_6_12mois*SUM(NbreJoursNourrirBovins)))</f>
        <v>0</v>
      </c>
      <c r="BH251" s="1269">
        <f t="array" ref="BH251">IF(Ration_complète_bovins[somme]&gt;0,0,IFERROR(IF(OR(AND(INDEX(Règles_bovins[Specificite],MATCH(ChoixRationBovins&amp;$BB251,Règles_bovins[Ration]&amp;Règles_bovins[Aliment],0))="s1",IF($BB251=Spécificité1Bovins,1)),
AND(INDEX(Règles_bovins[Specificite],MATCH(ChoixRationBovins&amp;$BB251,Règles_bovins[Ration]&amp;Règles_bovins[Aliment],0))="s2",IF($BB251=Spécificité2Bovins,1)),
INDEX(Règles_bovins[Specificite],MATCH(ChoixRationBovins&amp;$BB251,Règles_bovins[Ration]&amp;Règles_bovins[Aliment],0))="c"),
INDEX(Règles_bovins[Valeur 3-6],MATCH(ChoixRationBovins&amp;$BB251,Règles_bovins[Ration]&amp;Règles_bovins[Aliment],0)),0),0)*IF(ChoixBovinsPréHiver=OUI,TotalVeauFemelle_3_6_RacesLaitières,TotalBovinsFemelles_3_6mois*SUM(NbreJoursNourrirBovins)))</f>
        <v>0</v>
      </c>
      <c r="BI251" s="1269">
        <f t="array" ref="BI251">IF(Ration_complète_bovins[somme]&gt;0,0,IFERROR(IF(OR(AND(INDEX(Règles_bovins[Specificite],MATCH(ChoixRationBovins&amp;$BB251,Règles_bovins[Ration]&amp;Règles_bovins[Aliment],0))="s1",IF($BB251=Spécificité1Bovins,1)),
AND(INDEX(Règles_bovins[Specificite],MATCH(ChoixRationBovins&amp;$BB251,Règles_bovins[Ration]&amp;Règles_bovins[Aliment],0))="s2",IF($BB251=Spécificité2Bovins,1)),
INDEX(Règles_bovins[Specificite],MATCH(ChoixRationBovins&amp;$BB251,Règles_bovins[Ration]&amp;Règles_bovins[Aliment],0))="c"),
INDEX(Règles_bovins[Valeur 0-3],MATCH(ChoixRationBovins&amp;$BB251,Règles_bovins[Ration]&amp;Règles_bovins[Aliment],0)),0),0)*IF(ChoixBovinsPréHiver=OUI,TotalVeauFemelle_0_3_RacesLaitières,TotalBovinsFemelles_0_3mois*SUM(NbreJoursNourrirBovins)))</f>
        <v>0</v>
      </c>
      <c r="BJ251" s="1270">
        <f t="shared" si="74"/>
        <v>0</v>
      </c>
      <c r="BK251" s="1345"/>
      <c r="BL251" s="1345"/>
      <c r="BM251" s="1346"/>
      <c r="BN251" s="1321"/>
      <c r="BO251" s="1321"/>
      <c r="BP251" s="1321"/>
      <c r="BQ251" s="1321"/>
      <c r="BR251" s="1321"/>
      <c r="BS251" s="1321"/>
      <c r="BT251" s="1321"/>
      <c r="BU251" s="1321"/>
      <c r="BV251" s="1345"/>
      <c r="BW251" s="1345"/>
      <c r="BX251" s="1321"/>
      <c r="BY251" s="1350"/>
      <c r="BZ251" s="1350"/>
      <c r="CA251" s="1350"/>
      <c r="CB251" s="1350"/>
      <c r="CC251" s="1350"/>
      <c r="CD251" s="1345"/>
      <c r="CE251" s="1345"/>
      <c r="CF251" s="1345"/>
      <c r="CG251" s="1345"/>
      <c r="CH251" s="1345"/>
      <c r="CI251" s="1321"/>
      <c r="CJ251" s="1321"/>
      <c r="CK251" s="1321"/>
      <c r="CL251" s="1321"/>
      <c r="CM251" s="1321"/>
      <c r="CN251" s="1321"/>
      <c r="CO251" s="1321"/>
      <c r="CP251" s="1321"/>
      <c r="CQ251" s="1321"/>
      <c r="CR251" s="1321"/>
      <c r="CS251" s="1321"/>
      <c r="CT251" s="1321"/>
      <c r="CU251" s="1321"/>
      <c r="CV251" s="1321"/>
      <c r="CW251" s="1321"/>
      <c r="CX251" s="1321"/>
      <c r="CY251" s="1321"/>
      <c r="CZ251" s="1321"/>
      <c r="DA251" s="1321"/>
      <c r="DB251" s="1321"/>
      <c r="DC251" s="1321"/>
      <c r="DD251" s="1321"/>
      <c r="DE251" s="1321"/>
      <c r="DF251" s="1321"/>
      <c r="DG251" s="1321"/>
      <c r="DH251" s="1321"/>
      <c r="DI251" s="1321"/>
      <c r="DJ251" s="1321"/>
      <c r="DK251" s="1321"/>
      <c r="DL251" s="1321"/>
      <c r="DM251" s="1321"/>
      <c r="DN251" s="1075" t="str">
        <f t="shared" si="77"/>
        <v>Féverole</v>
      </c>
      <c r="DO251" s="1269">
        <f t="array" ref="DO251">IF(ChoixRationHivernaleOvinsComplète=OUI,0,IFERROR(IF(OR(AND(INDEX(Règles_ovins[Specificite],MATCH(RationHivernaleOvinsAuPré&amp;$DN251,Règles_ovins[Ration]&amp;Règles_ovins[Aliment],0))="s1",IF($DN251=Spécificité1Ovins,1)),
AND(INDEX(Règles_ovins[Specificite],MATCH(RationHivernaleOvinsAuPré&amp;$DN251,Règles_ovins[Ration]&amp;Règles_ovins[Aliment],0))="s2",IF($DN251=Spécificité2Ovins,1)),
INDEX(Règles_ovins[Specificite],MATCH(RationHivernaleOvinsAuPré&amp;$DN251,Règles_ovins[Ration]&amp;Règles_ovins[Aliment],0))="c"),
INDEX(Règles_ovins[Valeur 12 et plus],MATCH(RationHivernaleOvinsAuPré&amp;$DN251,Règles_ovins[Ration]&amp;Règles_ovins[Aliment],0)),0),0)*IF(SUM(TotalOvinsAdultesAuPré)&gt;0,SUM(TotalOvinsAdultesAuPré)*SUM(AD76:AD100),SUM(TotalOvinsAdultes)*SUM(AD76:AD100)))</f>
        <v>0</v>
      </c>
      <c r="DP251" s="1269">
        <f t="array" ref="DP251">IF(ChoixRationHivernaleOvinsComplète=OUI,0,IFERROR(IF(OR(AND(INDEX(Règles_ovins[Specificite],MATCH(RationHivernaleOvinsAuPré&amp;$DN251,Règles_ovins[Ration]&amp;Règles_ovins[Aliment],0))="s1",IF($DN251=Spécificité1Ovins,1)),
AND(INDEX(Règles_ovins[Specificite],MATCH(RationHivernaleOvinsAuPré&amp;$DN251,Règles_ovins[Ration]&amp;Règles_ovins[Aliment],0))="s2",IF($DN251=Spécificité2Ovins,1)),
INDEX(Règles_ovins[Specificite],MATCH(RationHivernaleOvinsAuPré&amp;$DN251,Règles_ovins[Ration]&amp;Règles_ovins[Aliment],0))="c"),
INDEX(Règles_ovins[Valeur 6-12],MATCH(RationHivernaleOvinsAuPré&amp;$DN251,Règles_ovins[Ration]&amp;Règles_ovins[Aliment],0)),0),0)*IF(SUM(TotalOvins_6_12moisAuPré)&gt;0,SUM(TotalOvins_6_12moisAuPré)*SUM(AD76:AD100),SUM(TotalJeunesOvins)*SUM(AD76:AD100)))</f>
        <v>0</v>
      </c>
      <c r="DQ251" s="1269">
        <f t="array" ref="DQ251">IF(ChoixRationHivernaleOvinsComplète=OUI,0,IFERROR(IF(OR(AND(INDEX(Règles_ovins[Specificite],MATCH(RationHivernaleOvinsAuPré&amp;$DN251,Règles_ovins[Ration]&amp;Règles_ovins[Aliment],0))="s1",IF($DN251=Spécificité1Ovins,1)),
AND(INDEX(Règles_ovins[Specificite],MATCH(RationHivernaleOvinsAuPré&amp;$DN251,Règles_ovins[Ration]&amp;Règles_ovins[Aliment],0))="s2",IF($DN251=Spécificité2Ovins,1)),
INDEX(Règles_ovins[Specificite],MATCH(RationHivernaleOvinsAuPré&amp;$DN251,Règles_ovins[Ration]&amp;Règles_ovins[Aliment],0))="c"),
INDEX(Règles_ovins[Valeur 3-6],MATCH(RationHivernaleOvinsAuPré&amp;$DN251,Règles_ovins[Ration]&amp;Règles_ovins[Aliment],0)),0),0)*IF(SUM(TotalOvins_3_6moisAuPré)&gt;0,SUM(TotalOvins_3_6moisAuPré)*SUM(AD76:AD100),SUM(TotalOvins_3_6mois)*SUM(AD76:AD100)))</f>
        <v>0</v>
      </c>
      <c r="DR251" s="1269">
        <f t="array" ref="DR251">IF(ChoixRationHivernaleOvinsComplète=OUI,0,IFERROR(IF(OR(AND(INDEX(Règles_ovins[Specificite],MATCH(RationHivernaleOvinsAuPré&amp;$DN251,Règles_ovins[Ration]&amp;Règles_ovins[Aliment],0))="s1",IF($DN251=Spécificité1Ovins,1)),
AND(INDEX(Règles_ovins[Specificite],MATCH(RationHivernaleOvinsAuPré&amp;$DN251,Règles_ovins[Ration]&amp;Règles_ovins[Aliment],0))="s2",IF($DN251=Spécificité2Ovins,1)),
INDEX(Règles_ovins[Specificite],MATCH(RationHivernaleOvinsAuPré&amp;$DN251,Règles_ovins[Ration]&amp;Règles_ovins[Aliment],0))="c"),
INDEX(Règles_ovins[Valeur 0-3],MATCH(RationHivernaleOvinsAuPré&amp;$DN251,Règles_ovins[Ration]&amp;Règles_ovins[Aliment],0)),0),0)*IF(SUM(TotalOvins_0_3moisAuPré)&gt;0,SUM(TotalOvins_0_3moisAuPré)*SUM(AD76:AD100),SUM(TotalOvins_3_6mois)*SUM(AD76:AD100)))</f>
        <v>0</v>
      </c>
      <c r="DS251" s="1280">
        <f t="shared" si="76"/>
        <v>0</v>
      </c>
      <c r="DT251" s="1346"/>
      <c r="DU251" s="1346"/>
      <c r="DV251" s="1321"/>
      <c r="DW251" s="1321"/>
      <c r="DX251" s="1321"/>
      <c r="DY251" s="1321"/>
      <c r="DZ251" s="1321"/>
      <c r="EA251" s="1321"/>
      <c r="EB251" s="1321"/>
      <c r="EC251" s="1321"/>
      <c r="ED251" s="1345"/>
      <c r="EE251" s="1345"/>
      <c r="EF251" s="1321"/>
      <c r="EG251" s="1321"/>
      <c r="EH251" s="1321"/>
      <c r="EI251" s="1321"/>
      <c r="EJ251" s="1321"/>
      <c r="EK251" s="1345"/>
      <c r="EL251" s="1345"/>
      <c r="EM251" s="1321"/>
      <c r="EN251" s="1321"/>
      <c r="EO251" s="1321"/>
      <c r="EP251" s="1321"/>
      <c r="EQ251" s="1321"/>
      <c r="ER251" s="1345"/>
      <c r="ES251" s="1345"/>
      <c r="ET251" s="1321"/>
      <c r="EU251" s="1321"/>
      <c r="EV251" s="1321"/>
      <c r="EW251" s="1321"/>
      <c r="EX251" s="1321"/>
      <c r="EY251" s="1321"/>
      <c r="EZ251" s="1345"/>
      <c r="FA251" s="1345"/>
      <c r="FB251" s="1345"/>
      <c r="FC251" s="1321"/>
      <c r="FD251" s="1321"/>
      <c r="FE251" s="1321"/>
      <c r="FF251" s="1321"/>
      <c r="FG251" s="1321"/>
      <c r="FH251" s="1321"/>
      <c r="FI251" s="1345"/>
      <c r="FJ251" s="1345"/>
      <c r="FK251" s="1345"/>
      <c r="FL251" s="1345"/>
      <c r="FM251" s="1321"/>
      <c r="FN251" s="1321"/>
      <c r="FO251" s="1321"/>
      <c r="FP251" s="1321"/>
      <c r="FQ251" s="1321"/>
      <c r="FR251" s="1321"/>
      <c r="FS251" s="1345"/>
      <c r="FT251" s="1345"/>
      <c r="FU251" s="1345"/>
      <c r="FV251" s="1345"/>
      <c r="FW251" s="1321"/>
      <c r="FX251" s="1321"/>
      <c r="FY251" s="1321"/>
      <c r="FZ251" s="1321"/>
      <c r="GA251" s="1345"/>
      <c r="GB251" s="1321"/>
      <c r="GC251" s="1321"/>
      <c r="GD251" s="1321"/>
      <c r="GE251" s="1321"/>
      <c r="GF251" s="1321"/>
      <c r="GG251" s="1321" t="s">
        <v>1349</v>
      </c>
      <c r="GH251" s="1321" t="s">
        <v>1349</v>
      </c>
      <c r="GI251" s="1321" t="s">
        <v>1349</v>
      </c>
      <c r="GJ251" s="1321" t="s">
        <v>1349</v>
      </c>
      <c r="GK251" s="1321" t="s">
        <v>1349</v>
      </c>
      <c r="GL251" s="1321" t="s">
        <v>1349</v>
      </c>
      <c r="GM251" s="1321" t="s">
        <v>1349</v>
      </c>
      <c r="GN251" s="1321" t="s">
        <v>1349</v>
      </c>
      <c r="GO251" s="1321" t="s">
        <v>1349</v>
      </c>
      <c r="GP251" s="1321" t="s">
        <v>1349</v>
      </c>
      <c r="GQ251" s="1321" t="s">
        <v>1349</v>
      </c>
      <c r="GR251" s="1321" t="s">
        <v>1349</v>
      </c>
      <c r="GS251" s="1321" t="s">
        <v>1349</v>
      </c>
      <c r="GT251" s="1321" t="s">
        <v>1349</v>
      </c>
      <c r="GU251" s="1321" t="s">
        <v>1349</v>
      </c>
      <c r="GV251" s="1321" t="s">
        <v>1349</v>
      </c>
      <c r="GW251" s="1321"/>
      <c r="GX251" s="1321"/>
      <c r="GY251" s="1321"/>
      <c r="GZ251" s="1321"/>
      <c r="HA251" s="1321"/>
      <c r="HB251" s="1321"/>
      <c r="HC251" s="1321"/>
      <c r="HD251" s="1321"/>
      <c r="HE251" s="1321"/>
      <c r="HF251" s="1321"/>
      <c r="HG251" s="1321"/>
      <c r="HH251" s="1321"/>
      <c r="HI251" s="1321"/>
      <c r="HJ251" s="1321"/>
      <c r="HK251" s="1321"/>
      <c r="HL251" s="1321"/>
      <c r="HM251" s="1321"/>
      <c r="HN251" s="1321"/>
      <c r="HO251" s="1321"/>
      <c r="HP251" s="1321"/>
      <c r="HQ251" s="1321"/>
      <c r="HR251" s="1321"/>
      <c r="HS251" s="1321"/>
      <c r="HT251" s="1321"/>
      <c r="HU251" s="1321"/>
      <c r="HV251" s="1321"/>
      <c r="HW251" s="1321"/>
      <c r="HX251" s="1321"/>
      <c r="HY251" s="1321"/>
      <c r="HZ251" s="1321"/>
      <c r="IA251" s="1321"/>
      <c r="IB251" s="1321"/>
      <c r="IC251" s="1321"/>
      <c r="ID251" s="1321"/>
      <c r="IE251" s="1321"/>
      <c r="IF251" s="1321"/>
      <c r="IG251" s="1321"/>
      <c r="IH251" s="1321"/>
      <c r="II251" s="1321"/>
      <c r="IJ251" s="1321"/>
      <c r="IK251" s="1321"/>
      <c r="IL251" s="1321"/>
      <c r="IM251" s="1321"/>
      <c r="IN251" s="1368"/>
    </row>
    <row r="252" spans="1:248" ht="12.75" customHeight="1" x14ac:dyDescent="0.2">
      <c r="A252" s="1319"/>
      <c r="B252" s="1321"/>
      <c r="C252" s="1321"/>
      <c r="D252" s="1321"/>
      <c r="E252" s="1321"/>
      <c r="F252" s="1321"/>
      <c r="G252" s="1321"/>
      <c r="H252" s="1321"/>
      <c r="I252" s="1321"/>
      <c r="J252" s="1321"/>
      <c r="K252" s="1321"/>
      <c r="L252" s="1321"/>
      <c r="M252" s="1321"/>
      <c r="N252" s="1321"/>
      <c r="O252" s="1321"/>
      <c r="P252" s="1321"/>
      <c r="Q252" s="1321"/>
      <c r="R252" s="1321"/>
      <c r="S252" s="1321"/>
      <c r="T252" s="1321"/>
      <c r="U252" s="1321"/>
      <c r="V252" s="1321"/>
      <c r="W252" s="1321"/>
      <c r="X252" s="1321"/>
      <c r="Y252" s="1321"/>
      <c r="Z252" s="1321"/>
      <c r="AA252" s="1321"/>
      <c r="AB252" s="1321"/>
      <c r="AC252" s="1321"/>
      <c r="AD252" s="1321"/>
      <c r="AE252" s="1321"/>
      <c r="AF252" s="1321"/>
      <c r="AG252" s="1321"/>
      <c r="AH252" s="1321"/>
      <c r="AI252" s="1321"/>
      <c r="AJ252" s="1321"/>
      <c r="AK252" s="1321"/>
      <c r="AL252" s="1321"/>
      <c r="AM252" s="1321"/>
      <c r="AN252" s="1321"/>
      <c r="AO252" s="1321"/>
      <c r="AP252" s="1321"/>
      <c r="AQ252" s="1321"/>
      <c r="AR252" s="1321"/>
      <c r="AS252" s="1321"/>
      <c r="AT252" s="1321"/>
      <c r="AU252" s="1321"/>
      <c r="AV252" s="1321"/>
      <c r="AW252" s="1321"/>
      <c r="AX252" s="1321"/>
      <c r="AY252" s="1321"/>
      <c r="AZ252" s="1321"/>
      <c r="BA252" s="1321"/>
      <c r="BB252" s="1076" t="str">
        <f t="shared" si="75"/>
        <v>Lentille</v>
      </c>
      <c r="BC252" s="1267">
        <f t="array" ref="BC252">IF(Ration_complète_bovins[somme]&gt;0,0,IFERROR(IF(OR(AND(INDEX(Règles_bovins[Specificite],MATCH(ChoixRationBovins&amp;$BB252,Règles_bovins[Ration]&amp;Règles_bovins[Aliment],0))="s1",IF($BB252=Spécificité1Bovins,1)),
AND(INDEX(Règles_bovins[Specificite],MATCH(ChoixRationBovins&amp;$BB252,Règles_bovins[Ration]&amp;Règles_bovins[Aliment],0))="s2",IF($BB252=Spécificité2Bovins,1)),
INDEX(Règles_bovins[Specificite],MATCH(ChoixRationBovins&amp;$BB252,Règles_bovins[Ration]&amp;Règles_bovins[Aliment],0))="c"),
INDEX(Règles_bovins[Valeur 36 et plus],MATCH(ChoixRationBovins&amp;$BB252,Règles_bovins[Ration]&amp;Règles_bovins[Aliment],0)),0),0)*IF(ChoixBovinsPréHiver=OUI,TotalVachesRacesLaitières,TotalVaches*SUM(NbreJoursNourrirBovins)))</f>
        <v>0</v>
      </c>
      <c r="BD252" s="1267">
        <f t="array" ref="BD252">IF(Ration_complète_bovins[somme]&gt;0,0,IFERROR(IF(OR(AND(INDEX(Règles_bovins[Specificite],MATCH(ChoixRationBovins&amp;$BB252,Règles_bovins[Ration]&amp;Règles_bovins[Aliment],0))="s1",IF($BB252=Spécificité1Bovins,1)),
AND(INDEX(Règles_bovins[Specificite],MATCH(ChoixRationBovins&amp;$BB252,Règles_bovins[Ration]&amp;Règles_bovins[Aliment],0))="s2",IF($BB252=Spécificité2Bovins,1)),
INDEX(Règles_bovins[Specificite],MATCH(ChoixRationBovins&amp;$BB252,Règles_bovins[Ration]&amp;Règles_bovins[Aliment],0))="c"),
INDEX(Règles_bovins[Valeur 24-36],MATCH(ChoixRationBovins&amp;$BB252,Règles_bovins[Ration]&amp;Règles_bovins[Aliment],0)),0),0)*IF(ChoixBovinsPréHiver=OUI,TotalGénisse_24_36_RacesLaitières,TotalBovinsFemelles_24_36mois*SUM(NbreJoursNourrirBovins)))</f>
        <v>0</v>
      </c>
      <c r="BE252" s="1267">
        <f t="array" ref="BE252">IF(Ration_complète_bovins[somme]&gt;0,0,IFERROR(IF(OR(AND(INDEX(Règles_bovins[Specificite],MATCH(ChoixRationBovins&amp;$BB252,Règles_bovins[Ration]&amp;Règles_bovins[Aliment],0))="s1",IF($BB252=Spécificité1Bovins,1)),
AND(INDEX(Règles_bovins[Specificite],MATCH(ChoixRationBovins&amp;$BB252,Règles_bovins[Ration]&amp;Règles_bovins[Aliment],0))="s2",IF($BB252=Spécificité2Bovins,1)),
INDEX(Règles_bovins[Specificite],MATCH(ChoixRationBovins&amp;$BB252,Règles_bovins[Ration]&amp;Règles_bovins[Aliment],0))="c"),
INDEX(Règles_bovins[Valeur 18-24],MATCH(ChoixRationBovins&amp;$BB252,Règles_bovins[Ration]&amp;Règles_bovins[Aliment],0)),0),0)*IF(ChoixBovinsPréHiver=OUI,TotalGénisse_18_24_RacesLaitières,TotalBovinsFemelles_18_24mois*SUM(NbreJoursNourrirBovins)))</f>
        <v>0</v>
      </c>
      <c r="BF252" s="1267">
        <f t="array" ref="BF252">IF(Ration_complète_bovins[somme]&gt;0,0,IFERROR(IF(OR(AND(INDEX(Règles_bovins[Specificite],MATCH(ChoixRationBovins&amp;$BB252,Règles_bovins[Ration]&amp;Règles_bovins[Aliment],0))="s1",IF($BB252=Spécificité1Bovins,1)),
AND(INDEX(Règles_bovins[Specificite],MATCH(ChoixRationBovins&amp;$BB252,Règles_bovins[Ration]&amp;Règles_bovins[Aliment],0))="s2",IF($BB252=Spécificité2Bovins,1)),
INDEX(Règles_bovins[Specificite],MATCH(ChoixRationBovins&amp;$BB252,Règles_bovins[Ration]&amp;Règles_bovins[Aliment],0))="c"),
INDEX(Règles_bovins[Valeur 12-18],MATCH(ChoixRationBovins&amp;$BB252,Règles_bovins[Ration]&amp;Règles_bovins[Aliment],0)),0),0)*IF(ChoixBovinsPréHiver=OUI,TotalGénisse_12_18_RacesLaitières,TotalBovinsFemelles_12_18mois*SUM(NbreJoursNourrirBovins)))</f>
        <v>0</v>
      </c>
      <c r="BG252" s="1267">
        <f t="array" ref="BG252">IF(Ration_complète_bovins[somme]&gt;0,0,IFERROR(IF(OR(AND(INDEX(Règles_bovins[Specificite],MATCH(ChoixRationBovins&amp;$BB252,Règles_bovins[Ration]&amp;Règles_bovins[Aliment],0))="s1",IF($BB252=Spécificité1Bovins,1)),
AND(INDEX(Règles_bovins[Specificite],MATCH(ChoixRationBovins&amp;$BB252,Règles_bovins[Ration]&amp;Règles_bovins[Aliment],0))="s2",IF($BB252=Spécificité2Bovins,1)),
INDEX(Règles_bovins[Specificite],MATCH(ChoixRationBovins&amp;$BB252,Règles_bovins[Ration]&amp;Règles_bovins[Aliment],0))="c"),
INDEX(Règles_bovins[Valeur 6-12],MATCH(ChoixRationBovins&amp;$BB252,Règles_bovins[Ration]&amp;Règles_bovins[Aliment],0)),0),0)*IF(ChoixBovinsPréHiver=OUI,TotalVeauFemelle_6_12_RacesLaitières,TotalBovinsFemelles_6_12mois*SUM(NbreJoursNourrirBovins)))</f>
        <v>0</v>
      </c>
      <c r="BH252" s="1267">
        <f t="array" ref="BH252">IF(Ration_complète_bovins[somme]&gt;0,0,IFERROR(IF(OR(AND(INDEX(Règles_bovins[Specificite],MATCH(ChoixRationBovins&amp;$BB252,Règles_bovins[Ration]&amp;Règles_bovins[Aliment],0))="s1",IF($BB252=Spécificité1Bovins,1)),
AND(INDEX(Règles_bovins[Specificite],MATCH(ChoixRationBovins&amp;$BB252,Règles_bovins[Ration]&amp;Règles_bovins[Aliment],0))="s2",IF($BB252=Spécificité2Bovins,1)),
INDEX(Règles_bovins[Specificite],MATCH(ChoixRationBovins&amp;$BB252,Règles_bovins[Ration]&amp;Règles_bovins[Aliment],0))="c"),
INDEX(Règles_bovins[Valeur 3-6],MATCH(ChoixRationBovins&amp;$BB252,Règles_bovins[Ration]&amp;Règles_bovins[Aliment],0)),0),0)*IF(ChoixBovinsPréHiver=OUI,TotalVeauFemelle_3_6_RacesLaitières,TotalBovinsFemelles_3_6mois*SUM(NbreJoursNourrirBovins)))</f>
        <v>0</v>
      </c>
      <c r="BI252" s="1267">
        <f t="array" ref="BI252">IF(Ration_complète_bovins[somme]&gt;0,0,IFERROR(IF(OR(AND(INDEX(Règles_bovins[Specificite],MATCH(ChoixRationBovins&amp;$BB252,Règles_bovins[Ration]&amp;Règles_bovins[Aliment],0))="s1",IF($BB252=Spécificité1Bovins,1)),
AND(INDEX(Règles_bovins[Specificite],MATCH(ChoixRationBovins&amp;$BB252,Règles_bovins[Ration]&amp;Règles_bovins[Aliment],0))="s2",IF($BB252=Spécificité2Bovins,1)),
INDEX(Règles_bovins[Specificite],MATCH(ChoixRationBovins&amp;$BB252,Règles_bovins[Ration]&amp;Règles_bovins[Aliment],0))="c"),
INDEX(Règles_bovins[Valeur 0-3],MATCH(ChoixRationBovins&amp;$BB252,Règles_bovins[Ration]&amp;Règles_bovins[Aliment],0)),0),0)*IF(ChoixBovinsPréHiver=OUI,TotalVeauFemelle_0_3_RacesLaitières,TotalBovinsFemelles_0_3mois*SUM(NbreJoursNourrirBovins)))</f>
        <v>0</v>
      </c>
      <c r="BJ252" s="1268">
        <f t="shared" si="74"/>
        <v>0</v>
      </c>
      <c r="BK252" s="1345"/>
      <c r="BL252" s="1345"/>
      <c r="BM252" s="1346"/>
      <c r="BN252" s="1321"/>
      <c r="BO252" s="1321"/>
      <c r="BP252" s="1321"/>
      <c r="BQ252" s="1321"/>
      <c r="BR252" s="1321"/>
      <c r="BS252" s="1321"/>
      <c r="BT252" s="1321"/>
      <c r="BU252" s="1321"/>
      <c r="BV252" s="1345"/>
      <c r="BW252" s="1345"/>
      <c r="BX252" s="1321"/>
      <c r="BY252" s="1321"/>
      <c r="BZ252" s="1320"/>
      <c r="CA252" s="1320"/>
      <c r="CB252" s="1320"/>
      <c r="CC252" s="1320"/>
      <c r="CD252" s="1345"/>
      <c r="CE252" s="1345"/>
      <c r="CF252" s="1345"/>
      <c r="CG252" s="1345"/>
      <c r="CH252" s="1345"/>
      <c r="CI252" s="1321"/>
      <c r="CJ252" s="1321"/>
      <c r="CK252" s="1321"/>
      <c r="CL252" s="1321"/>
      <c r="CM252" s="1321"/>
      <c r="CN252" s="1321"/>
      <c r="CO252" s="1321"/>
      <c r="CP252" s="1321"/>
      <c r="CQ252" s="1321"/>
      <c r="CR252" s="1321"/>
      <c r="CS252" s="1321"/>
      <c r="CT252" s="1321"/>
      <c r="CU252" s="1321"/>
      <c r="CV252" s="1321"/>
      <c r="CW252" s="1321"/>
      <c r="CX252" s="1321"/>
      <c r="CY252" s="1321"/>
      <c r="CZ252" s="1321"/>
      <c r="DA252" s="1321"/>
      <c r="DB252" s="1321"/>
      <c r="DC252" s="1321"/>
      <c r="DD252" s="1321"/>
      <c r="DE252" s="1321"/>
      <c r="DF252" s="1321"/>
      <c r="DG252" s="1321"/>
      <c r="DH252" s="1321"/>
      <c r="DI252" s="1321"/>
      <c r="DJ252" s="1321"/>
      <c r="DK252" s="1321"/>
      <c r="DL252" s="1321"/>
      <c r="DM252" s="1321"/>
      <c r="DN252" s="1076" t="str">
        <f t="shared" si="77"/>
        <v>Foin</v>
      </c>
      <c r="DO252" s="1267">
        <f t="array" ref="DO252">IF(ChoixRationHivernaleOvinsComplète=OUI,0,IFERROR(IF(OR(AND(INDEX(Règles_ovins[Specificite],MATCH(RationHivernaleOvinsAuPré&amp;$DN252,Règles_ovins[Ration]&amp;Règles_ovins[Aliment],0))="s1",IF($DN252=Spécificité1Ovins,1)),
AND(INDEX(Règles_ovins[Specificite],MATCH(RationHivernaleOvinsAuPré&amp;$DN252,Règles_ovins[Ration]&amp;Règles_ovins[Aliment],0))="s2",IF($DN252=Spécificité2Ovins,1)),
INDEX(Règles_ovins[Specificite],MATCH(RationHivernaleOvinsAuPré&amp;$DN252,Règles_ovins[Ration]&amp;Règles_ovins[Aliment],0))="c"),
INDEX(Règles_ovins[Valeur 12 et plus],MATCH(RationHivernaleOvinsAuPré&amp;$DN252,Règles_ovins[Ration]&amp;Règles_ovins[Aliment],0)),0),0)*IF(SUM(TotalOvinsAdultesAuPré)&gt;0,SUM(TotalOvinsAdultesAuPré)*SUM(AD76:AD100),SUM(TotalOvinsAdultes)*SUM(AD76:AD100)))</f>
        <v>0</v>
      </c>
      <c r="DP252" s="1267">
        <f t="array" ref="DP252">IF(ChoixRationHivernaleOvinsComplète=OUI,0,IFERROR(IF(OR(AND(INDEX(Règles_ovins[Specificite],MATCH(RationHivernaleOvinsAuPré&amp;$DN252,Règles_ovins[Ration]&amp;Règles_ovins[Aliment],0))="s1",IF($DN252=Spécificité1Ovins,1)),
AND(INDEX(Règles_ovins[Specificite],MATCH(RationHivernaleOvinsAuPré&amp;$DN252,Règles_ovins[Ration]&amp;Règles_ovins[Aliment],0))="s2",IF($DN252=Spécificité2Ovins,1)),
INDEX(Règles_ovins[Specificite],MATCH(RationHivernaleOvinsAuPré&amp;$DN252,Règles_ovins[Ration]&amp;Règles_ovins[Aliment],0))="c"),
INDEX(Règles_ovins[Valeur 6-12],MATCH(RationHivernaleOvinsAuPré&amp;$DN252,Règles_ovins[Ration]&amp;Règles_ovins[Aliment],0)),0),0)*IF(SUM(TotalOvins_6_12moisAuPré)&gt;0,SUM(TotalOvins_6_12moisAuPré)*SUM(AD76:AD100),SUM(TotalJeunesOvins)*SUM(AD76:AD100)))</f>
        <v>0</v>
      </c>
      <c r="DQ252" s="1267">
        <f t="array" ref="DQ252">IF(ChoixRationHivernaleOvinsComplète=OUI,0,IFERROR(IF(OR(AND(INDEX(Règles_ovins[Specificite],MATCH(RationHivernaleOvinsAuPré&amp;$DN252,Règles_ovins[Ration]&amp;Règles_ovins[Aliment],0))="s1",IF($DN252=Spécificité1Ovins,1)),
AND(INDEX(Règles_ovins[Specificite],MATCH(RationHivernaleOvinsAuPré&amp;$DN252,Règles_ovins[Ration]&amp;Règles_ovins[Aliment],0))="s2",IF($DN252=Spécificité2Ovins,1)),
INDEX(Règles_ovins[Specificite],MATCH(RationHivernaleOvinsAuPré&amp;$DN252,Règles_ovins[Ration]&amp;Règles_ovins[Aliment],0))="c"),
INDEX(Règles_ovins[Valeur 3-6],MATCH(RationHivernaleOvinsAuPré&amp;$DN252,Règles_ovins[Ration]&amp;Règles_ovins[Aliment],0)),0),0)*IF(SUM(TotalOvins_3_6moisAuPré)&gt;0,SUM(TotalOvins_3_6moisAuPré)*SUM(AD76:AD100),SUM(TotalOvins_3_6mois)*SUM(AD76:AD100)))</f>
        <v>0</v>
      </c>
      <c r="DR252" s="1267">
        <f t="array" ref="DR252">IF(ChoixRationHivernaleOvinsComplète=OUI,0,IFERROR(IF(OR(AND(INDEX(Règles_ovins[Specificite],MATCH(RationHivernaleOvinsAuPré&amp;$DN252,Règles_ovins[Ration]&amp;Règles_ovins[Aliment],0))="s1",IF($DN252=Spécificité1Ovins,1)),
AND(INDEX(Règles_ovins[Specificite],MATCH(RationHivernaleOvinsAuPré&amp;$DN252,Règles_ovins[Ration]&amp;Règles_ovins[Aliment],0))="s2",IF($DN252=Spécificité2Ovins,1)),
INDEX(Règles_ovins[Specificite],MATCH(RationHivernaleOvinsAuPré&amp;$DN252,Règles_ovins[Ration]&amp;Règles_ovins[Aliment],0))="c"),
INDEX(Règles_ovins[Valeur 0-3],MATCH(RationHivernaleOvinsAuPré&amp;$DN252,Règles_ovins[Ration]&amp;Règles_ovins[Aliment],0)),0),0)*IF(SUM(TotalOvins_0_3moisAuPré)&gt;0,SUM(TotalOvins_0_3moisAuPré)*SUM(AD76:AD100),SUM(TotalOvins_3_6mois)*SUM(AD76:AD100)))</f>
        <v>0</v>
      </c>
      <c r="DS252" s="1279">
        <f t="shared" si="76"/>
        <v>0</v>
      </c>
      <c r="DT252" s="1346"/>
      <c r="DU252" s="1346"/>
      <c r="DV252" s="1321"/>
      <c r="DW252" s="1321"/>
      <c r="DX252" s="1321"/>
      <c r="DY252" s="1321"/>
      <c r="DZ252" s="1321"/>
      <c r="EA252" s="1321"/>
      <c r="EB252" s="1321"/>
      <c r="EC252" s="1321"/>
      <c r="ED252" s="1345"/>
      <c r="EE252" s="1345"/>
      <c r="EF252" s="1321"/>
      <c r="EG252" s="1321"/>
      <c r="EH252" s="1321"/>
      <c r="EI252" s="1321"/>
      <c r="EJ252" s="1321"/>
      <c r="EK252" s="1345"/>
      <c r="EL252" s="1345"/>
      <c r="EM252" s="1321"/>
      <c r="EN252" s="1321"/>
      <c r="EO252" s="1321"/>
      <c r="EP252" s="1321"/>
      <c r="EQ252" s="1321"/>
      <c r="ER252" s="1345"/>
      <c r="ES252" s="1345"/>
      <c r="ET252" s="1321"/>
      <c r="EU252" s="1321"/>
      <c r="EV252" s="1321"/>
      <c r="EW252" s="1321"/>
      <c r="EX252" s="1321"/>
      <c r="EY252" s="1321"/>
      <c r="EZ252" s="1345"/>
      <c r="FA252" s="1345"/>
      <c r="FB252" s="1345"/>
      <c r="FC252" s="1321"/>
      <c r="FD252" s="1321"/>
      <c r="FE252" s="1321"/>
      <c r="FF252" s="1321"/>
      <c r="FG252" s="1321"/>
      <c r="FH252" s="1321"/>
      <c r="FI252" s="1345"/>
      <c r="FJ252" s="1345"/>
      <c r="FK252" s="1345"/>
      <c r="FL252" s="1345"/>
      <c r="FM252" s="1321"/>
      <c r="FN252" s="1321"/>
      <c r="FO252" s="1321"/>
      <c r="FP252" s="1321"/>
      <c r="FQ252" s="1321"/>
      <c r="FR252" s="1321"/>
      <c r="FS252" s="1345"/>
      <c r="FT252" s="1345"/>
      <c r="FU252" s="1345"/>
      <c r="FV252" s="1345"/>
      <c r="FW252" s="1321"/>
      <c r="FX252" s="1321"/>
      <c r="FY252" s="1321"/>
      <c r="FZ252" s="1321"/>
      <c r="GA252" s="1345"/>
      <c r="GB252" s="1321"/>
      <c r="GC252" s="1321"/>
      <c r="GD252" s="1321"/>
      <c r="GE252" s="1321"/>
      <c r="GF252" s="1321"/>
      <c r="GG252" s="1321" t="s">
        <v>1349</v>
      </c>
      <c r="GH252" s="1321" t="s">
        <v>1349</v>
      </c>
      <c r="GI252" s="1321" t="s">
        <v>1349</v>
      </c>
      <c r="GJ252" s="1321" t="s">
        <v>1349</v>
      </c>
      <c r="GK252" s="1321" t="s">
        <v>1349</v>
      </c>
      <c r="GL252" s="1321" t="s">
        <v>1349</v>
      </c>
      <c r="GM252" s="1321" t="s">
        <v>1349</v>
      </c>
      <c r="GN252" s="1321" t="s">
        <v>1349</v>
      </c>
      <c r="GO252" s="1321" t="s">
        <v>1349</v>
      </c>
      <c r="GP252" s="1321" t="s">
        <v>1349</v>
      </c>
      <c r="GQ252" s="1321" t="s">
        <v>1349</v>
      </c>
      <c r="GR252" s="1321" t="s">
        <v>1349</v>
      </c>
      <c r="GS252" s="1321" t="s">
        <v>1349</v>
      </c>
      <c r="GT252" s="1321" t="s">
        <v>1349</v>
      </c>
      <c r="GU252" s="1321" t="s">
        <v>1349</v>
      </c>
      <c r="GV252" s="1321" t="s">
        <v>1349</v>
      </c>
      <c r="GW252" s="1321"/>
      <c r="GX252" s="1321"/>
      <c r="GY252" s="1321"/>
      <c r="GZ252" s="1321"/>
      <c r="HA252" s="1321"/>
      <c r="HB252" s="1321"/>
      <c r="HC252" s="1321"/>
      <c r="HD252" s="1321"/>
      <c r="HE252" s="1321"/>
      <c r="HF252" s="1321"/>
      <c r="HG252" s="1321"/>
      <c r="HH252" s="1321"/>
      <c r="HI252" s="1321"/>
      <c r="HJ252" s="1321"/>
      <c r="HK252" s="1321"/>
      <c r="HL252" s="1321"/>
      <c r="HM252" s="1321"/>
      <c r="HN252" s="1321"/>
      <c r="HO252" s="1321"/>
      <c r="HP252" s="1321"/>
      <c r="HQ252" s="1321"/>
      <c r="HR252" s="1321"/>
      <c r="HS252" s="1321"/>
      <c r="HT252" s="1321"/>
      <c r="HU252" s="1321"/>
      <c r="HV252" s="1321"/>
      <c r="HW252" s="1321"/>
      <c r="HX252" s="1321"/>
      <c r="HY252" s="1321"/>
      <c r="HZ252" s="1321"/>
      <c r="IA252" s="1321"/>
      <c r="IB252" s="1321"/>
      <c r="IC252" s="1321"/>
      <c r="ID252" s="1321"/>
      <c r="IE252" s="1321"/>
      <c r="IF252" s="1321"/>
      <c r="IG252" s="1321"/>
      <c r="IH252" s="1321"/>
      <c r="II252" s="1321"/>
      <c r="IJ252" s="1321"/>
      <c r="IK252" s="1321"/>
      <c r="IL252" s="1321"/>
      <c r="IM252" s="1321"/>
      <c r="IN252" s="1368"/>
    </row>
    <row r="253" spans="1:248" ht="12.75" customHeight="1" x14ac:dyDescent="0.2">
      <c r="A253" s="1319"/>
      <c r="B253" s="1321"/>
      <c r="C253" s="1321"/>
      <c r="D253" s="1321"/>
      <c r="E253" s="1321"/>
      <c r="F253" s="1321"/>
      <c r="G253" s="1321"/>
      <c r="H253" s="1321"/>
      <c r="I253" s="1321"/>
      <c r="J253" s="1321"/>
      <c r="K253" s="1321"/>
      <c r="L253" s="1321"/>
      <c r="M253" s="1321"/>
      <c r="N253" s="1321"/>
      <c r="O253" s="1321"/>
      <c r="P253" s="1321"/>
      <c r="Q253" s="1321"/>
      <c r="R253" s="1321"/>
      <c r="S253" s="1321"/>
      <c r="T253" s="1321"/>
      <c r="U253" s="1321"/>
      <c r="V253" s="1321"/>
      <c r="W253" s="1321"/>
      <c r="X253" s="1321"/>
      <c r="Y253" s="1321"/>
      <c r="Z253" s="1321"/>
      <c r="AA253" s="1321"/>
      <c r="AB253" s="1321"/>
      <c r="AC253" s="1321"/>
      <c r="AD253" s="1321"/>
      <c r="AE253" s="1321"/>
      <c r="AF253" s="1321"/>
      <c r="AG253" s="1321"/>
      <c r="AH253" s="1321"/>
      <c r="AI253" s="1321"/>
      <c r="AJ253" s="1321"/>
      <c r="AK253" s="1321"/>
      <c r="AL253" s="1321"/>
      <c r="AM253" s="1321"/>
      <c r="AN253" s="1321"/>
      <c r="AO253" s="1321"/>
      <c r="AP253" s="1321"/>
      <c r="AQ253" s="1321"/>
      <c r="AR253" s="1321"/>
      <c r="AS253" s="1321"/>
      <c r="AT253" s="1321"/>
      <c r="AU253" s="1321"/>
      <c r="AV253" s="1321"/>
      <c r="AW253" s="1321"/>
      <c r="AX253" s="1321"/>
      <c r="AY253" s="1321"/>
      <c r="AZ253" s="1321"/>
      <c r="BA253" s="1321"/>
      <c r="BB253" s="1075" t="str">
        <f t="shared" si="75"/>
        <v>Maïs ensilé</v>
      </c>
      <c r="BC253" s="1269">
        <f t="array" ref="BC253">IF(Ration_complète_bovins[somme]&gt;0,0,IFERROR(IF(OR(AND(INDEX(Règles_bovins[Specificite],MATCH(ChoixRationBovins&amp;$BB253,Règles_bovins[Ration]&amp;Règles_bovins[Aliment],0))="s1",IF($BB253=Spécificité1Bovins,1)),
AND(INDEX(Règles_bovins[Specificite],MATCH(ChoixRationBovins&amp;$BB253,Règles_bovins[Ration]&amp;Règles_bovins[Aliment],0))="s2",IF($BB253=Spécificité2Bovins,1)),
INDEX(Règles_bovins[Specificite],MATCH(ChoixRationBovins&amp;$BB253,Règles_bovins[Ration]&amp;Règles_bovins[Aliment],0))="c"),
INDEX(Règles_bovins[Valeur 36 et plus],MATCH(ChoixRationBovins&amp;$BB253,Règles_bovins[Ration]&amp;Règles_bovins[Aliment],0)),0),0)*IF(ChoixBovinsPréHiver=OUI,TotalVachesRacesLaitières,TotalVaches*SUM(NbreJoursNourrirBovins)))</f>
        <v>0</v>
      </c>
      <c r="BD253" s="1269">
        <f t="array" ref="BD253">IF(Ration_complète_bovins[somme]&gt;0,0,IFERROR(IF(OR(AND(INDEX(Règles_bovins[Specificite],MATCH(ChoixRationBovins&amp;$BB253,Règles_bovins[Ration]&amp;Règles_bovins[Aliment],0))="s1",IF($BB253=Spécificité1Bovins,1)),
AND(INDEX(Règles_bovins[Specificite],MATCH(ChoixRationBovins&amp;$BB253,Règles_bovins[Ration]&amp;Règles_bovins[Aliment],0))="s2",IF($BB253=Spécificité2Bovins,1)),
INDEX(Règles_bovins[Specificite],MATCH(ChoixRationBovins&amp;$BB253,Règles_bovins[Ration]&amp;Règles_bovins[Aliment],0))="c"),
INDEX(Règles_bovins[Valeur 24-36],MATCH(ChoixRationBovins&amp;$BB253,Règles_bovins[Ration]&amp;Règles_bovins[Aliment],0)),0),0)*IF(ChoixBovinsPréHiver=OUI,TotalGénisse_24_36_RacesLaitières,TotalBovinsFemelles_24_36mois*SUM(NbreJoursNourrirBovins)))</f>
        <v>0</v>
      </c>
      <c r="BE253" s="1269">
        <f t="array" ref="BE253">IF(Ration_complète_bovins[somme]&gt;0,0,IFERROR(IF(OR(AND(INDEX(Règles_bovins[Specificite],MATCH(ChoixRationBovins&amp;$BB253,Règles_bovins[Ration]&amp;Règles_bovins[Aliment],0))="s1",IF($BB253=Spécificité1Bovins,1)),
AND(INDEX(Règles_bovins[Specificite],MATCH(ChoixRationBovins&amp;$BB253,Règles_bovins[Ration]&amp;Règles_bovins[Aliment],0))="s2",IF($BB253=Spécificité2Bovins,1)),
INDEX(Règles_bovins[Specificite],MATCH(ChoixRationBovins&amp;$BB253,Règles_bovins[Ration]&amp;Règles_bovins[Aliment],0))="c"),
INDEX(Règles_bovins[Valeur 18-24],MATCH(ChoixRationBovins&amp;$BB253,Règles_bovins[Ration]&amp;Règles_bovins[Aliment],0)),0),0)*IF(ChoixBovinsPréHiver=OUI,TotalGénisse_18_24_RacesLaitières,TotalBovinsFemelles_18_24mois*SUM(NbreJoursNourrirBovins)))</f>
        <v>0</v>
      </c>
      <c r="BF253" s="1269">
        <f t="array" ref="BF253">IF(Ration_complète_bovins[somme]&gt;0,0,IFERROR(IF(OR(AND(INDEX(Règles_bovins[Specificite],MATCH(ChoixRationBovins&amp;$BB253,Règles_bovins[Ration]&amp;Règles_bovins[Aliment],0))="s1",IF($BB253=Spécificité1Bovins,1)),
AND(INDEX(Règles_bovins[Specificite],MATCH(ChoixRationBovins&amp;$BB253,Règles_bovins[Ration]&amp;Règles_bovins[Aliment],0))="s2",IF($BB253=Spécificité2Bovins,1)),
INDEX(Règles_bovins[Specificite],MATCH(ChoixRationBovins&amp;$BB253,Règles_bovins[Ration]&amp;Règles_bovins[Aliment],0))="c"),
INDEX(Règles_bovins[Valeur 12-18],MATCH(ChoixRationBovins&amp;$BB253,Règles_bovins[Ration]&amp;Règles_bovins[Aliment],0)),0),0)*IF(ChoixBovinsPréHiver=OUI,TotalGénisse_12_18_RacesLaitières,TotalBovinsFemelles_12_18mois*SUM(NbreJoursNourrirBovins)))</f>
        <v>0</v>
      </c>
      <c r="BG253" s="1269">
        <f t="array" ref="BG253">IF(Ration_complète_bovins[somme]&gt;0,0,IFERROR(IF(OR(AND(INDEX(Règles_bovins[Specificite],MATCH(ChoixRationBovins&amp;$BB253,Règles_bovins[Ration]&amp;Règles_bovins[Aliment],0))="s1",IF($BB253=Spécificité1Bovins,1)),
AND(INDEX(Règles_bovins[Specificite],MATCH(ChoixRationBovins&amp;$BB253,Règles_bovins[Ration]&amp;Règles_bovins[Aliment],0))="s2",IF($BB253=Spécificité2Bovins,1)),
INDEX(Règles_bovins[Specificite],MATCH(ChoixRationBovins&amp;$BB253,Règles_bovins[Ration]&amp;Règles_bovins[Aliment],0))="c"),
INDEX(Règles_bovins[Valeur 6-12],MATCH(ChoixRationBovins&amp;$BB253,Règles_bovins[Ration]&amp;Règles_bovins[Aliment],0)),0),0)*IF(ChoixBovinsPréHiver=OUI,TotalVeauFemelle_6_12_RacesLaitières,TotalBovinsFemelles_6_12mois*SUM(NbreJoursNourrirBovins)))</f>
        <v>0</v>
      </c>
      <c r="BH253" s="1269">
        <f t="array" ref="BH253">IF(Ration_complète_bovins[somme]&gt;0,0,IFERROR(IF(OR(AND(INDEX(Règles_bovins[Specificite],MATCH(ChoixRationBovins&amp;$BB253,Règles_bovins[Ration]&amp;Règles_bovins[Aliment],0))="s1",IF($BB253=Spécificité1Bovins,1)),
AND(INDEX(Règles_bovins[Specificite],MATCH(ChoixRationBovins&amp;$BB253,Règles_bovins[Ration]&amp;Règles_bovins[Aliment],0))="s2",IF($BB253=Spécificité2Bovins,1)),
INDEX(Règles_bovins[Specificite],MATCH(ChoixRationBovins&amp;$BB253,Règles_bovins[Ration]&amp;Règles_bovins[Aliment],0))="c"),
INDEX(Règles_bovins[Valeur 3-6],MATCH(ChoixRationBovins&amp;$BB253,Règles_bovins[Ration]&amp;Règles_bovins[Aliment],0)),0),0)*IF(ChoixBovinsPréHiver=OUI,TotalVeauFemelle_3_6_RacesLaitières,TotalBovinsFemelles_3_6mois*SUM(NbreJoursNourrirBovins)))</f>
        <v>0</v>
      </c>
      <c r="BI253" s="1269">
        <f t="array" ref="BI253">IF(Ration_complète_bovins[somme]&gt;0,0,IFERROR(IF(OR(AND(INDEX(Règles_bovins[Specificite],MATCH(ChoixRationBovins&amp;$BB253,Règles_bovins[Ration]&amp;Règles_bovins[Aliment],0))="s1",IF($BB253=Spécificité1Bovins,1)),
AND(INDEX(Règles_bovins[Specificite],MATCH(ChoixRationBovins&amp;$BB253,Règles_bovins[Ration]&amp;Règles_bovins[Aliment],0))="s2",IF($BB253=Spécificité2Bovins,1)),
INDEX(Règles_bovins[Specificite],MATCH(ChoixRationBovins&amp;$BB253,Règles_bovins[Ration]&amp;Règles_bovins[Aliment],0))="c"),
INDEX(Règles_bovins[Valeur 0-3],MATCH(ChoixRationBovins&amp;$BB253,Règles_bovins[Ration]&amp;Règles_bovins[Aliment],0)),0),0)*IF(ChoixBovinsPréHiver=OUI,TotalVeauFemelle_0_3_RacesLaitières,TotalBovinsFemelles_0_3mois*SUM(NbreJoursNourrirBovins)))</f>
        <v>0</v>
      </c>
      <c r="BJ253" s="1270">
        <f t="shared" si="74"/>
        <v>0</v>
      </c>
      <c r="BK253" s="1345"/>
      <c r="BL253" s="1345"/>
      <c r="BM253" s="1346"/>
      <c r="BN253" s="1321"/>
      <c r="BO253" s="1321"/>
      <c r="BP253" s="1321"/>
      <c r="BQ253" s="1321"/>
      <c r="BR253" s="1321"/>
      <c r="BS253" s="1321"/>
      <c r="BT253" s="1321"/>
      <c r="BU253" s="1321"/>
      <c r="BV253" s="1345"/>
      <c r="BW253" s="1345"/>
      <c r="BX253" s="1321"/>
      <c r="BY253" s="1321"/>
      <c r="BZ253" s="1320"/>
      <c r="CA253" s="1320"/>
      <c r="CB253" s="1320"/>
      <c r="CC253" s="1320"/>
      <c r="CD253" s="1345"/>
      <c r="CE253" s="1345"/>
      <c r="CF253" s="1345"/>
      <c r="CG253" s="1345"/>
      <c r="CH253" s="1345"/>
      <c r="CI253" s="1321"/>
      <c r="CJ253" s="1321"/>
      <c r="CK253" s="1321"/>
      <c r="CL253" s="1321"/>
      <c r="CM253" s="1321"/>
      <c r="CN253" s="1321"/>
      <c r="CO253" s="1321"/>
      <c r="CP253" s="1321"/>
      <c r="CQ253" s="1321"/>
      <c r="CR253" s="1321"/>
      <c r="CS253" s="1321"/>
      <c r="CT253" s="1321"/>
      <c r="CU253" s="1321"/>
      <c r="CV253" s="1321"/>
      <c r="CW253" s="1321"/>
      <c r="CX253" s="1321"/>
      <c r="CY253" s="1321"/>
      <c r="CZ253" s="1321"/>
      <c r="DA253" s="1321"/>
      <c r="DB253" s="1321"/>
      <c r="DC253" s="1321"/>
      <c r="DD253" s="1321"/>
      <c r="DE253" s="1321"/>
      <c r="DF253" s="1321"/>
      <c r="DG253" s="1321"/>
      <c r="DH253" s="1321"/>
      <c r="DI253" s="1321"/>
      <c r="DJ253" s="1321"/>
      <c r="DK253" s="1321"/>
      <c r="DL253" s="1321"/>
      <c r="DM253" s="1321"/>
      <c r="DN253" s="1075" t="str">
        <f t="shared" si="77"/>
        <v>Haricot vert</v>
      </c>
      <c r="DO253" s="1269">
        <f t="array" ref="DO253">IF(ChoixRationHivernaleOvinsComplète=OUI,0,IFERROR(IF(OR(AND(INDEX(Règles_ovins[Specificite],MATCH(RationHivernaleOvinsAuPré&amp;$DN253,Règles_ovins[Ration]&amp;Règles_ovins[Aliment],0))="s1",IF($DN253=Spécificité1Ovins,1)),
AND(INDEX(Règles_ovins[Specificite],MATCH(RationHivernaleOvinsAuPré&amp;$DN253,Règles_ovins[Ration]&amp;Règles_ovins[Aliment],0))="s2",IF($DN253=Spécificité2Ovins,1)),
INDEX(Règles_ovins[Specificite],MATCH(RationHivernaleOvinsAuPré&amp;$DN253,Règles_ovins[Ration]&amp;Règles_ovins[Aliment],0))="c"),
INDEX(Règles_ovins[Valeur 12 et plus],MATCH(RationHivernaleOvinsAuPré&amp;$DN253,Règles_ovins[Ration]&amp;Règles_ovins[Aliment],0)),0),0)*IF(SUM(TotalOvinsAdultesAuPré)&gt;0,SUM(TotalOvinsAdultesAuPré)*SUM(AD76:AD100),SUM(TotalOvinsAdultes)*SUM(AD76:AD100)))</f>
        <v>0</v>
      </c>
      <c r="DP253" s="1269">
        <f t="array" ref="DP253">IF(ChoixRationHivernaleOvinsComplète=OUI,0,IFERROR(IF(OR(AND(INDEX(Règles_ovins[Specificite],MATCH(RationHivernaleOvinsAuPré&amp;$DN253,Règles_ovins[Ration]&amp;Règles_ovins[Aliment],0))="s1",IF($DN253=Spécificité1Ovins,1)),
AND(INDEX(Règles_ovins[Specificite],MATCH(RationHivernaleOvinsAuPré&amp;$DN253,Règles_ovins[Ration]&amp;Règles_ovins[Aliment],0))="s2",IF($DN253=Spécificité2Ovins,1)),
INDEX(Règles_ovins[Specificite],MATCH(RationHivernaleOvinsAuPré&amp;$DN253,Règles_ovins[Ration]&amp;Règles_ovins[Aliment],0))="c"),
INDEX(Règles_ovins[Valeur 6-12],MATCH(RationHivernaleOvinsAuPré&amp;$DN253,Règles_ovins[Ration]&amp;Règles_ovins[Aliment],0)),0),0)*IF(SUM(TotalOvins_6_12moisAuPré)&gt;0,SUM(TotalOvins_6_12moisAuPré)*SUM(AD76:AD100),SUM(TotalJeunesOvins)*SUM(AD76:AD100)))</f>
        <v>0</v>
      </c>
      <c r="DQ253" s="1269">
        <f t="array" ref="DQ253">IF(ChoixRationHivernaleOvinsComplète=OUI,0,IFERROR(IF(OR(AND(INDEX(Règles_ovins[Specificite],MATCH(RationHivernaleOvinsAuPré&amp;$DN253,Règles_ovins[Ration]&amp;Règles_ovins[Aliment],0))="s1",IF($DN253=Spécificité1Ovins,1)),
AND(INDEX(Règles_ovins[Specificite],MATCH(RationHivernaleOvinsAuPré&amp;$DN253,Règles_ovins[Ration]&amp;Règles_ovins[Aliment],0))="s2",IF($DN253=Spécificité2Ovins,1)),
INDEX(Règles_ovins[Specificite],MATCH(RationHivernaleOvinsAuPré&amp;$DN253,Règles_ovins[Ration]&amp;Règles_ovins[Aliment],0))="c"),
INDEX(Règles_ovins[Valeur 3-6],MATCH(RationHivernaleOvinsAuPré&amp;$DN253,Règles_ovins[Ration]&amp;Règles_ovins[Aliment],0)),0),0)*IF(SUM(TotalOvins_3_6moisAuPré)&gt;0,SUM(TotalOvins_3_6moisAuPré)*SUM(AD76:AD100),SUM(TotalOvins_3_6mois)*SUM(AD76:AD100)))</f>
        <v>0</v>
      </c>
      <c r="DR253" s="1269">
        <f t="array" ref="DR253">IF(ChoixRationHivernaleOvinsComplète=OUI,0,IFERROR(IF(OR(AND(INDEX(Règles_ovins[Specificite],MATCH(RationHivernaleOvinsAuPré&amp;$DN253,Règles_ovins[Ration]&amp;Règles_ovins[Aliment],0))="s1",IF($DN253=Spécificité1Ovins,1)),
AND(INDEX(Règles_ovins[Specificite],MATCH(RationHivernaleOvinsAuPré&amp;$DN253,Règles_ovins[Ration]&amp;Règles_ovins[Aliment],0))="s2",IF($DN253=Spécificité2Ovins,1)),
INDEX(Règles_ovins[Specificite],MATCH(RationHivernaleOvinsAuPré&amp;$DN253,Règles_ovins[Ration]&amp;Règles_ovins[Aliment],0))="c"),
INDEX(Règles_ovins[Valeur 0-3],MATCH(RationHivernaleOvinsAuPré&amp;$DN253,Règles_ovins[Ration]&amp;Règles_ovins[Aliment],0)),0),0)*IF(SUM(TotalOvins_0_3moisAuPré)&gt;0,SUM(TotalOvins_0_3moisAuPré)*SUM(AD76:AD100),SUM(TotalOvins_3_6mois)*SUM(AD76:AD100)))</f>
        <v>0</v>
      </c>
      <c r="DS253" s="1280">
        <f t="shared" si="76"/>
        <v>0</v>
      </c>
      <c r="DT253" s="1346"/>
      <c r="DU253" s="1346"/>
      <c r="DV253" s="1321"/>
      <c r="DW253" s="1321"/>
      <c r="DX253" s="1321"/>
      <c r="DY253" s="1321"/>
      <c r="DZ253" s="1321"/>
      <c r="EA253" s="1321"/>
      <c r="EB253" s="1321"/>
      <c r="EC253" s="1321"/>
      <c r="ED253" s="1345"/>
      <c r="EE253" s="1345"/>
      <c r="EF253" s="1321"/>
      <c r="EG253" s="1321"/>
      <c r="EH253" s="1321"/>
      <c r="EI253" s="1321"/>
      <c r="EJ253" s="1321"/>
      <c r="EK253" s="1345"/>
      <c r="EL253" s="1345"/>
      <c r="EM253" s="1321"/>
      <c r="EN253" s="1321"/>
      <c r="EO253" s="1321"/>
      <c r="EP253" s="1321"/>
      <c r="EQ253" s="1321"/>
      <c r="ER253" s="1345"/>
      <c r="ES253" s="1345"/>
      <c r="ET253" s="1321"/>
      <c r="EU253" s="1321"/>
      <c r="EV253" s="1321"/>
      <c r="EW253" s="1321"/>
      <c r="EX253" s="1321"/>
      <c r="EY253" s="1321"/>
      <c r="EZ253" s="1345"/>
      <c r="FA253" s="1345"/>
      <c r="FB253" s="1345"/>
      <c r="FC253" s="1321"/>
      <c r="FD253" s="1321"/>
      <c r="FE253" s="1321"/>
      <c r="FF253" s="1321"/>
      <c r="FG253" s="1321"/>
      <c r="FH253" s="1321"/>
      <c r="FI253" s="1345"/>
      <c r="FJ253" s="1345"/>
      <c r="FK253" s="1345"/>
      <c r="FL253" s="1345"/>
      <c r="FM253" s="1321"/>
      <c r="FN253" s="1321"/>
      <c r="FO253" s="1321"/>
      <c r="FP253" s="1321"/>
      <c r="FQ253" s="1321"/>
      <c r="FR253" s="1321"/>
      <c r="FS253" s="1345"/>
      <c r="FT253" s="1345"/>
      <c r="FU253" s="1345"/>
      <c r="FV253" s="1345"/>
      <c r="FW253" s="1321"/>
      <c r="FX253" s="1321"/>
      <c r="FY253" s="1321"/>
      <c r="FZ253" s="1321"/>
      <c r="GA253" s="1345"/>
      <c r="GB253" s="1321"/>
      <c r="GC253" s="1321"/>
      <c r="GD253" s="1321"/>
      <c r="GE253" s="1321"/>
      <c r="GF253" s="1321"/>
      <c r="GG253" s="1321" t="s">
        <v>1349</v>
      </c>
      <c r="GH253" s="1321" t="s">
        <v>1349</v>
      </c>
      <c r="GI253" s="1321" t="s">
        <v>1349</v>
      </c>
      <c r="GJ253" s="1321" t="s">
        <v>1349</v>
      </c>
      <c r="GK253" s="1321" t="s">
        <v>1349</v>
      </c>
      <c r="GL253" s="1321" t="s">
        <v>1349</v>
      </c>
      <c r="GM253" s="1321" t="s">
        <v>1349</v>
      </c>
      <c r="GN253" s="1321" t="s">
        <v>1349</v>
      </c>
      <c r="GO253" s="1321" t="s">
        <v>1349</v>
      </c>
      <c r="GP253" s="1321" t="s">
        <v>1349</v>
      </c>
      <c r="GQ253" s="1321" t="s">
        <v>1349</v>
      </c>
      <c r="GR253" s="1321" t="s">
        <v>1349</v>
      </c>
      <c r="GS253" s="1321" t="s">
        <v>1349</v>
      </c>
      <c r="GT253" s="1321" t="s">
        <v>1349</v>
      </c>
      <c r="GU253" s="1321" t="s">
        <v>1349</v>
      </c>
      <c r="GV253" s="1321" t="s">
        <v>1349</v>
      </c>
      <c r="GW253" s="1321"/>
      <c r="GX253" s="1321"/>
      <c r="GY253" s="1321"/>
      <c r="GZ253" s="1321"/>
      <c r="HA253" s="1321"/>
      <c r="HB253" s="1321"/>
      <c r="HC253" s="1321"/>
      <c r="HD253" s="1321"/>
      <c r="HE253" s="1321"/>
      <c r="HF253" s="1321"/>
      <c r="HG253" s="1321"/>
      <c r="HH253" s="1321"/>
      <c r="HI253" s="1321"/>
      <c r="HJ253" s="1321"/>
      <c r="HK253" s="1321"/>
      <c r="HL253" s="1321"/>
      <c r="HM253" s="1321"/>
      <c r="HN253" s="1321"/>
      <c r="HO253" s="1321"/>
      <c r="HP253" s="1321"/>
      <c r="HQ253" s="1321"/>
      <c r="HR253" s="1321"/>
      <c r="HS253" s="1321"/>
      <c r="HT253" s="1321"/>
      <c r="HU253" s="1321"/>
      <c r="HV253" s="1321"/>
      <c r="HW253" s="1321"/>
      <c r="HX253" s="1321"/>
      <c r="HY253" s="1321"/>
      <c r="HZ253" s="1321"/>
      <c r="IA253" s="1321"/>
      <c r="IB253" s="1321"/>
      <c r="IC253" s="1321"/>
      <c r="ID253" s="1321"/>
      <c r="IE253" s="1321"/>
      <c r="IF253" s="1321"/>
      <c r="IG253" s="1321"/>
      <c r="IH253" s="1321"/>
      <c r="II253" s="1321"/>
      <c r="IJ253" s="1321"/>
      <c r="IK253" s="1321"/>
      <c r="IL253" s="1321"/>
      <c r="IM253" s="1321"/>
      <c r="IN253" s="1368"/>
    </row>
    <row r="254" spans="1:248" ht="12.75" customHeight="1" x14ac:dyDescent="0.2">
      <c r="A254" s="1319"/>
      <c r="B254" s="1321"/>
      <c r="C254" s="1321"/>
      <c r="D254" s="1321"/>
      <c r="E254" s="1321"/>
      <c r="F254" s="1321"/>
      <c r="G254" s="1321"/>
      <c r="H254" s="1321"/>
      <c r="I254" s="1321"/>
      <c r="J254" s="1321"/>
      <c r="K254" s="1321"/>
      <c r="L254" s="1321"/>
      <c r="M254" s="1321"/>
      <c r="N254" s="1321"/>
      <c r="O254" s="1321"/>
      <c r="P254" s="1321"/>
      <c r="Q254" s="1321"/>
      <c r="R254" s="1321"/>
      <c r="S254" s="1321"/>
      <c r="T254" s="1321"/>
      <c r="U254" s="1321"/>
      <c r="V254" s="1321"/>
      <c r="W254" s="1321"/>
      <c r="X254" s="1321"/>
      <c r="Y254" s="1321"/>
      <c r="Z254" s="1321"/>
      <c r="AA254" s="1321"/>
      <c r="AB254" s="1321"/>
      <c r="AC254" s="1321"/>
      <c r="AD254" s="1321"/>
      <c r="AE254" s="1321"/>
      <c r="AF254" s="1321"/>
      <c r="AG254" s="1321"/>
      <c r="AH254" s="1321"/>
      <c r="AI254" s="1321"/>
      <c r="AJ254" s="1321"/>
      <c r="AK254" s="1321"/>
      <c r="AL254" s="1321"/>
      <c r="AM254" s="1321"/>
      <c r="AN254" s="1321"/>
      <c r="AO254" s="1321"/>
      <c r="AP254" s="1321"/>
      <c r="AQ254" s="1321"/>
      <c r="AR254" s="1321"/>
      <c r="AS254" s="1321"/>
      <c r="AT254" s="1321"/>
      <c r="AU254" s="1321"/>
      <c r="AV254" s="1321"/>
      <c r="AW254" s="1321"/>
      <c r="AX254" s="1321"/>
      <c r="AY254" s="1321"/>
      <c r="AZ254" s="1321"/>
      <c r="BA254" s="1321"/>
      <c r="BB254" s="1076" t="str">
        <f t="shared" si="75"/>
        <v>Maïs grain</v>
      </c>
      <c r="BC254" s="1267">
        <f t="array" ref="BC254">IF(Ration_complète_bovins[somme]&gt;0,0,IFERROR(IF(OR(AND(INDEX(Règles_bovins[Specificite],MATCH(ChoixRationBovins&amp;$BB254,Règles_bovins[Ration]&amp;Règles_bovins[Aliment],0))="s1",IF($BB254=Spécificité1Bovins,1)),
AND(INDEX(Règles_bovins[Specificite],MATCH(ChoixRationBovins&amp;$BB254,Règles_bovins[Ration]&amp;Règles_bovins[Aliment],0))="s2",IF($BB254=Spécificité2Bovins,1)),
INDEX(Règles_bovins[Specificite],MATCH(ChoixRationBovins&amp;$BB254,Règles_bovins[Ration]&amp;Règles_bovins[Aliment],0))="c"),
INDEX(Règles_bovins[Valeur 36 et plus],MATCH(ChoixRationBovins&amp;$BB254,Règles_bovins[Ration]&amp;Règles_bovins[Aliment],0)),0),0)*IF(ChoixBovinsPréHiver=OUI,TotalVachesRacesLaitières,TotalVaches*SUM(NbreJoursNourrirBovins)))</f>
        <v>0</v>
      </c>
      <c r="BD254" s="1267">
        <f t="array" ref="BD254">IF(Ration_complète_bovins[somme]&gt;0,0,IFERROR(IF(OR(AND(INDEX(Règles_bovins[Specificite],MATCH(ChoixRationBovins&amp;$BB254,Règles_bovins[Ration]&amp;Règles_bovins[Aliment],0))="s1",IF($BB254=Spécificité1Bovins,1)),
AND(INDEX(Règles_bovins[Specificite],MATCH(ChoixRationBovins&amp;$BB254,Règles_bovins[Ration]&amp;Règles_bovins[Aliment],0))="s2",IF($BB254=Spécificité2Bovins,1)),
INDEX(Règles_bovins[Specificite],MATCH(ChoixRationBovins&amp;$BB254,Règles_bovins[Ration]&amp;Règles_bovins[Aliment],0))="c"),
INDEX(Règles_bovins[Valeur 24-36],MATCH(ChoixRationBovins&amp;$BB254,Règles_bovins[Ration]&amp;Règles_bovins[Aliment],0)),0),0)*IF(ChoixBovinsPréHiver=OUI,TotalGénisse_24_36_RacesLaitières,TotalBovinsFemelles_24_36mois*SUM(NbreJoursNourrirBovins)))</f>
        <v>0</v>
      </c>
      <c r="BE254" s="1267">
        <f t="array" ref="BE254">IF(Ration_complète_bovins[somme]&gt;0,0,IFERROR(IF(OR(AND(INDEX(Règles_bovins[Specificite],MATCH(ChoixRationBovins&amp;$BB254,Règles_bovins[Ration]&amp;Règles_bovins[Aliment],0))="s1",IF($BB254=Spécificité1Bovins,1)),
AND(INDEX(Règles_bovins[Specificite],MATCH(ChoixRationBovins&amp;$BB254,Règles_bovins[Ration]&amp;Règles_bovins[Aliment],0))="s2",IF($BB254=Spécificité2Bovins,1)),
INDEX(Règles_bovins[Specificite],MATCH(ChoixRationBovins&amp;$BB254,Règles_bovins[Ration]&amp;Règles_bovins[Aliment],0))="c"),
INDEX(Règles_bovins[Valeur 18-24],MATCH(ChoixRationBovins&amp;$BB254,Règles_bovins[Ration]&amp;Règles_bovins[Aliment],0)),0),0)*IF(ChoixBovinsPréHiver=OUI,TotalGénisse_18_24_RacesLaitières,TotalBovinsFemelles_18_24mois*SUM(NbreJoursNourrirBovins)))</f>
        <v>0</v>
      </c>
      <c r="BF254" s="1267">
        <f t="array" ref="BF254">IF(Ration_complète_bovins[somme]&gt;0,0,IFERROR(IF(OR(AND(INDEX(Règles_bovins[Specificite],MATCH(ChoixRationBovins&amp;$BB254,Règles_bovins[Ration]&amp;Règles_bovins[Aliment],0))="s1",IF($BB254=Spécificité1Bovins,1)),
AND(INDEX(Règles_bovins[Specificite],MATCH(ChoixRationBovins&amp;$BB254,Règles_bovins[Ration]&amp;Règles_bovins[Aliment],0))="s2",IF($BB254=Spécificité2Bovins,1)),
INDEX(Règles_bovins[Specificite],MATCH(ChoixRationBovins&amp;$BB254,Règles_bovins[Ration]&amp;Règles_bovins[Aliment],0))="c"),
INDEX(Règles_bovins[Valeur 12-18],MATCH(ChoixRationBovins&amp;$BB254,Règles_bovins[Ration]&amp;Règles_bovins[Aliment],0)),0),0)*IF(ChoixBovinsPréHiver=OUI,TotalGénisse_12_18_RacesLaitières,TotalBovinsFemelles_12_18mois*SUM(NbreJoursNourrirBovins)))</f>
        <v>0</v>
      </c>
      <c r="BG254" s="1267">
        <f t="array" ref="BG254">IF(Ration_complète_bovins[somme]&gt;0,0,IFERROR(IF(OR(AND(INDEX(Règles_bovins[Specificite],MATCH(ChoixRationBovins&amp;$BB254,Règles_bovins[Ration]&amp;Règles_bovins[Aliment],0))="s1",IF($BB254=Spécificité1Bovins,1)),
AND(INDEX(Règles_bovins[Specificite],MATCH(ChoixRationBovins&amp;$BB254,Règles_bovins[Ration]&amp;Règles_bovins[Aliment],0))="s2",IF($BB254=Spécificité2Bovins,1)),
INDEX(Règles_bovins[Specificite],MATCH(ChoixRationBovins&amp;$BB254,Règles_bovins[Ration]&amp;Règles_bovins[Aliment],0))="c"),
INDEX(Règles_bovins[Valeur 6-12],MATCH(ChoixRationBovins&amp;$BB254,Règles_bovins[Ration]&amp;Règles_bovins[Aliment],0)),0),0)*IF(ChoixBovinsPréHiver=OUI,TotalVeauFemelle_6_12_RacesLaitières,TotalBovinsFemelles_6_12mois*SUM(NbreJoursNourrirBovins)))</f>
        <v>0</v>
      </c>
      <c r="BH254" s="1267">
        <f t="array" ref="BH254">IF(Ration_complète_bovins[somme]&gt;0,0,IFERROR(IF(OR(AND(INDEX(Règles_bovins[Specificite],MATCH(ChoixRationBovins&amp;$BB254,Règles_bovins[Ration]&amp;Règles_bovins[Aliment],0))="s1",IF($BB254=Spécificité1Bovins,1)),
AND(INDEX(Règles_bovins[Specificite],MATCH(ChoixRationBovins&amp;$BB254,Règles_bovins[Ration]&amp;Règles_bovins[Aliment],0))="s2",IF($BB254=Spécificité2Bovins,1)),
INDEX(Règles_bovins[Specificite],MATCH(ChoixRationBovins&amp;$BB254,Règles_bovins[Ration]&amp;Règles_bovins[Aliment],0))="c"),
INDEX(Règles_bovins[Valeur 3-6],MATCH(ChoixRationBovins&amp;$BB254,Règles_bovins[Ration]&amp;Règles_bovins[Aliment],0)),0),0)*IF(ChoixBovinsPréHiver=OUI,TotalVeauFemelle_3_6_RacesLaitières,TotalBovinsFemelles_3_6mois*SUM(NbreJoursNourrirBovins)))</f>
        <v>0</v>
      </c>
      <c r="BI254" s="1267">
        <f t="array" ref="BI254">IF(Ration_complète_bovins[somme]&gt;0,0,IFERROR(IF(OR(AND(INDEX(Règles_bovins[Specificite],MATCH(ChoixRationBovins&amp;$BB254,Règles_bovins[Ration]&amp;Règles_bovins[Aliment],0))="s1",IF($BB254=Spécificité1Bovins,1)),
AND(INDEX(Règles_bovins[Specificite],MATCH(ChoixRationBovins&amp;$BB254,Règles_bovins[Ration]&amp;Règles_bovins[Aliment],0))="s2",IF($BB254=Spécificité2Bovins,1)),
INDEX(Règles_bovins[Specificite],MATCH(ChoixRationBovins&amp;$BB254,Règles_bovins[Ration]&amp;Règles_bovins[Aliment],0))="c"),
INDEX(Règles_bovins[Valeur 0-3],MATCH(ChoixRationBovins&amp;$BB254,Règles_bovins[Ration]&amp;Règles_bovins[Aliment],0)),0),0)*IF(ChoixBovinsPréHiver=OUI,TotalVeauFemelle_0_3_RacesLaitières,TotalBovinsFemelles_0_3mois*SUM(NbreJoursNourrirBovins)))</f>
        <v>0</v>
      </c>
      <c r="BJ254" s="1268">
        <f t="shared" si="74"/>
        <v>0</v>
      </c>
      <c r="BK254" s="1345"/>
      <c r="BL254" s="1345"/>
      <c r="BM254" s="1346"/>
      <c r="BN254" s="1321"/>
      <c r="BO254" s="1321"/>
      <c r="BP254" s="1321"/>
      <c r="BQ254" s="1321"/>
      <c r="BR254" s="1321"/>
      <c r="BS254" s="1321"/>
      <c r="BT254" s="1321"/>
      <c r="BU254" s="1321"/>
      <c r="BV254" s="1345"/>
      <c r="BW254" s="1345"/>
      <c r="BX254" s="1321"/>
      <c r="BY254" s="1321"/>
      <c r="BZ254" s="1320"/>
      <c r="CA254" s="1320"/>
      <c r="CB254" s="1320"/>
      <c r="CC254" s="1320"/>
      <c r="CD254" s="1345"/>
      <c r="CE254" s="1345"/>
      <c r="CF254" s="1345"/>
      <c r="CG254" s="1345"/>
      <c r="CH254" s="1345"/>
      <c r="CI254" s="1321"/>
      <c r="CJ254" s="1321"/>
      <c r="CK254" s="1321"/>
      <c r="CL254" s="1321"/>
      <c r="CM254" s="1321"/>
      <c r="CN254" s="1321"/>
      <c r="CO254" s="1321"/>
      <c r="CP254" s="1321"/>
      <c r="CQ254" s="1321"/>
      <c r="CR254" s="1321"/>
      <c r="CS254" s="1321"/>
      <c r="CT254" s="1321"/>
      <c r="CU254" s="1321"/>
      <c r="CV254" s="1321"/>
      <c r="CW254" s="1321"/>
      <c r="CX254" s="1321"/>
      <c r="CY254" s="1321"/>
      <c r="CZ254" s="1321"/>
      <c r="DA254" s="1321"/>
      <c r="DB254" s="1321"/>
      <c r="DC254" s="1321"/>
      <c r="DD254" s="1321"/>
      <c r="DE254" s="1321"/>
      <c r="DF254" s="1321"/>
      <c r="DG254" s="1321"/>
      <c r="DH254" s="1321"/>
      <c r="DI254" s="1321"/>
      <c r="DJ254" s="1321"/>
      <c r="DK254" s="1321"/>
      <c r="DL254" s="1321"/>
      <c r="DM254" s="1321"/>
      <c r="DN254" s="1076" t="str">
        <f t="shared" si="77"/>
        <v>Lentille</v>
      </c>
      <c r="DO254" s="1267">
        <f t="array" ref="DO254">IF(ChoixRationHivernaleOvinsComplète=OUI,0,IFERROR(IF(OR(AND(INDEX(Règles_ovins[Specificite],MATCH(RationHivernaleOvinsAuPré&amp;$DN254,Règles_ovins[Ration]&amp;Règles_ovins[Aliment],0))="s1",IF($DN254=Spécificité1Ovins,1)),
AND(INDEX(Règles_ovins[Specificite],MATCH(RationHivernaleOvinsAuPré&amp;$DN254,Règles_ovins[Ration]&amp;Règles_ovins[Aliment],0))="s2",IF($DN254=Spécificité2Ovins,1)),
INDEX(Règles_ovins[Specificite],MATCH(RationHivernaleOvinsAuPré&amp;$DN254,Règles_ovins[Ration]&amp;Règles_ovins[Aliment],0))="c"),
INDEX(Règles_ovins[Valeur 12 et plus],MATCH(RationHivernaleOvinsAuPré&amp;$DN254,Règles_ovins[Ration]&amp;Règles_ovins[Aliment],0)),0),0)*IF(SUM(TotalOvinsAdultesAuPré)&gt;0,SUM(TotalOvinsAdultesAuPré)*SUM(AD76:AD100),SUM(TotalOvinsAdultes)*SUM(AD76:AD100)))</f>
        <v>0</v>
      </c>
      <c r="DP254" s="1267">
        <f t="array" ref="DP254">IF(ChoixRationHivernaleOvinsComplète=OUI,0,IFERROR(IF(OR(AND(INDEX(Règles_ovins[Specificite],MATCH(RationHivernaleOvinsAuPré&amp;$DN254,Règles_ovins[Ration]&amp;Règles_ovins[Aliment],0))="s1",IF($DN254=Spécificité1Ovins,1)),
AND(INDEX(Règles_ovins[Specificite],MATCH(RationHivernaleOvinsAuPré&amp;$DN254,Règles_ovins[Ration]&amp;Règles_ovins[Aliment],0))="s2",IF($DN254=Spécificité2Ovins,1)),
INDEX(Règles_ovins[Specificite],MATCH(RationHivernaleOvinsAuPré&amp;$DN254,Règles_ovins[Ration]&amp;Règles_ovins[Aliment],0))="c"),
INDEX(Règles_ovins[Valeur 6-12],MATCH(RationHivernaleOvinsAuPré&amp;$DN254,Règles_ovins[Ration]&amp;Règles_ovins[Aliment],0)),0),0)*IF(SUM(TotalOvins_6_12moisAuPré)&gt;0,SUM(TotalOvins_6_12moisAuPré)*SUM(AD76:AD100),SUM(TotalJeunesOvins)*SUM(AD76:AD100)))</f>
        <v>0</v>
      </c>
      <c r="DQ254" s="1267">
        <f t="array" ref="DQ254">IF(ChoixRationHivernaleOvinsComplète=OUI,0,IFERROR(IF(OR(AND(INDEX(Règles_ovins[Specificite],MATCH(RationHivernaleOvinsAuPré&amp;$DN254,Règles_ovins[Ration]&amp;Règles_ovins[Aliment],0))="s1",IF($DN254=Spécificité1Ovins,1)),
AND(INDEX(Règles_ovins[Specificite],MATCH(RationHivernaleOvinsAuPré&amp;$DN254,Règles_ovins[Ration]&amp;Règles_ovins[Aliment],0))="s2",IF($DN254=Spécificité2Ovins,1)),
INDEX(Règles_ovins[Specificite],MATCH(RationHivernaleOvinsAuPré&amp;$DN254,Règles_ovins[Ration]&amp;Règles_ovins[Aliment],0))="c"),
INDEX(Règles_ovins[Valeur 3-6],MATCH(RationHivernaleOvinsAuPré&amp;$DN254,Règles_ovins[Ration]&amp;Règles_ovins[Aliment],0)),0),0)*IF(SUM(TotalOvins_3_6moisAuPré)&gt;0,SUM(TotalOvins_3_6moisAuPré)*SUM(AD76:AD100),SUM(TotalOvins_3_6mois)*SUM(AD76:AD100)))</f>
        <v>0</v>
      </c>
      <c r="DR254" s="1267">
        <f t="array" ref="DR254">IF(ChoixRationHivernaleOvinsComplète=OUI,0,IFERROR(IF(OR(AND(INDEX(Règles_ovins[Specificite],MATCH(RationHivernaleOvinsAuPré&amp;$DN254,Règles_ovins[Ration]&amp;Règles_ovins[Aliment],0))="s1",IF($DN254=Spécificité1Ovins,1)),
AND(INDEX(Règles_ovins[Specificite],MATCH(RationHivernaleOvinsAuPré&amp;$DN254,Règles_ovins[Ration]&amp;Règles_ovins[Aliment],0))="s2",IF($DN254=Spécificité2Ovins,1)),
INDEX(Règles_ovins[Specificite],MATCH(RationHivernaleOvinsAuPré&amp;$DN254,Règles_ovins[Ration]&amp;Règles_ovins[Aliment],0))="c"),
INDEX(Règles_ovins[Valeur 0-3],MATCH(RationHivernaleOvinsAuPré&amp;$DN254,Règles_ovins[Ration]&amp;Règles_ovins[Aliment],0)),0),0)*IF(SUM(TotalOvins_0_3moisAuPré)&gt;0,SUM(TotalOvins_0_3moisAuPré)*SUM(AD76:AD100),SUM(TotalOvins_3_6mois)*SUM(AD76:AD100)))</f>
        <v>0</v>
      </c>
      <c r="DS254" s="1279">
        <f t="shared" si="76"/>
        <v>0</v>
      </c>
      <c r="DT254" s="1346"/>
      <c r="DU254" s="1346"/>
      <c r="DV254" s="1321"/>
      <c r="DW254" s="1321"/>
      <c r="DX254" s="1321"/>
      <c r="DY254" s="1321"/>
      <c r="DZ254" s="1321"/>
      <c r="EA254" s="1321"/>
      <c r="EB254" s="1321"/>
      <c r="EC254" s="1321"/>
      <c r="ED254" s="1345"/>
      <c r="EE254" s="1345"/>
      <c r="EF254" s="1321"/>
      <c r="EG254" s="1321"/>
      <c r="EH254" s="1321"/>
      <c r="EI254" s="1321"/>
      <c r="EJ254" s="1321"/>
      <c r="EK254" s="1345"/>
      <c r="EL254" s="1345"/>
      <c r="EM254" s="1321"/>
      <c r="EN254" s="1321"/>
      <c r="EO254" s="1321"/>
      <c r="EP254" s="1321"/>
      <c r="EQ254" s="1321"/>
      <c r="ER254" s="1345"/>
      <c r="ES254" s="1345"/>
      <c r="ET254" s="1321"/>
      <c r="EU254" s="1321"/>
      <c r="EV254" s="1321"/>
      <c r="EW254" s="1321"/>
      <c r="EX254" s="1321"/>
      <c r="EY254" s="1321"/>
      <c r="EZ254" s="1345"/>
      <c r="FA254" s="1345"/>
      <c r="FB254" s="1345"/>
      <c r="FC254" s="1321"/>
      <c r="FD254" s="1321"/>
      <c r="FE254" s="1321"/>
      <c r="FF254" s="1321"/>
      <c r="FG254" s="1321"/>
      <c r="FH254" s="1321"/>
      <c r="FI254" s="1345"/>
      <c r="FJ254" s="1345"/>
      <c r="FK254" s="1345"/>
      <c r="FL254" s="1345"/>
      <c r="FM254" s="1321"/>
      <c r="FN254" s="1321"/>
      <c r="FO254" s="1321"/>
      <c r="FP254" s="1321"/>
      <c r="FQ254" s="1321"/>
      <c r="FR254" s="1321"/>
      <c r="FS254" s="1345"/>
      <c r="FT254" s="1345"/>
      <c r="FU254" s="1345"/>
      <c r="FV254" s="1345"/>
      <c r="FW254" s="1321"/>
      <c r="FX254" s="1321"/>
      <c r="FY254" s="1321"/>
      <c r="FZ254" s="1321"/>
      <c r="GA254" s="1345"/>
      <c r="GB254" s="1321"/>
      <c r="GC254" s="1321"/>
      <c r="GD254" s="1321"/>
      <c r="GE254" s="1321"/>
      <c r="GF254" s="1321"/>
      <c r="GG254" s="1321" t="s">
        <v>1349</v>
      </c>
      <c r="GH254" s="1321" t="s">
        <v>1349</v>
      </c>
      <c r="GI254" s="1321" t="s">
        <v>1349</v>
      </c>
      <c r="GJ254" s="1321" t="s">
        <v>1349</v>
      </c>
      <c r="GK254" s="1321" t="s">
        <v>1349</v>
      </c>
      <c r="GL254" s="1321" t="s">
        <v>1349</v>
      </c>
      <c r="GM254" s="1321" t="s">
        <v>1349</v>
      </c>
      <c r="GN254" s="1321" t="s">
        <v>1349</v>
      </c>
      <c r="GO254" s="1321" t="s">
        <v>1349</v>
      </c>
      <c r="GP254" s="1321" t="s">
        <v>1349</v>
      </c>
      <c r="GQ254" s="1321" t="s">
        <v>1349</v>
      </c>
      <c r="GR254" s="1321" t="s">
        <v>1349</v>
      </c>
      <c r="GS254" s="1321" t="s">
        <v>1349</v>
      </c>
      <c r="GT254" s="1321" t="s">
        <v>1349</v>
      </c>
      <c r="GU254" s="1321" t="s">
        <v>1349</v>
      </c>
      <c r="GV254" s="1321" t="s">
        <v>1349</v>
      </c>
      <c r="GW254" s="1321"/>
      <c r="GX254" s="1321"/>
      <c r="GY254" s="1321"/>
      <c r="GZ254" s="1321"/>
      <c r="HA254" s="1321"/>
      <c r="HB254" s="1321"/>
      <c r="HC254" s="1321"/>
      <c r="HD254" s="1321"/>
      <c r="HE254" s="1321"/>
      <c r="HF254" s="1321"/>
      <c r="HG254" s="1321"/>
      <c r="HH254" s="1321"/>
      <c r="HI254" s="1321"/>
      <c r="HJ254" s="1321"/>
      <c r="HK254" s="1321"/>
      <c r="HL254" s="1321"/>
      <c r="HM254" s="1321"/>
      <c r="HN254" s="1321"/>
      <c r="HO254" s="1321"/>
      <c r="HP254" s="1321"/>
      <c r="HQ254" s="1321"/>
      <c r="HR254" s="1321"/>
      <c r="HS254" s="1321"/>
      <c r="HT254" s="1321"/>
      <c r="HU254" s="1321"/>
      <c r="HV254" s="1321"/>
      <c r="HW254" s="1321"/>
      <c r="HX254" s="1321"/>
      <c r="HY254" s="1321"/>
      <c r="HZ254" s="1321"/>
      <c r="IA254" s="1321"/>
      <c r="IB254" s="1321"/>
      <c r="IC254" s="1321"/>
      <c r="ID254" s="1321"/>
      <c r="IE254" s="1321"/>
      <c r="IF254" s="1321"/>
      <c r="IG254" s="1321"/>
      <c r="IH254" s="1321"/>
      <c r="II254" s="1321"/>
      <c r="IJ254" s="1321"/>
      <c r="IK254" s="1321"/>
      <c r="IL254" s="1321"/>
      <c r="IM254" s="1321"/>
      <c r="IN254" s="1368"/>
    </row>
    <row r="255" spans="1:248" ht="12.75" customHeight="1" x14ac:dyDescent="0.2">
      <c r="A255" s="1319"/>
      <c r="B255" s="1321"/>
      <c r="C255" s="1321"/>
      <c r="D255" s="1321"/>
      <c r="E255" s="1321"/>
      <c r="F255" s="1321"/>
      <c r="G255" s="1321"/>
      <c r="H255" s="1321"/>
      <c r="I255" s="1321"/>
      <c r="J255" s="1321"/>
      <c r="K255" s="1321"/>
      <c r="L255" s="1321"/>
      <c r="M255" s="1321"/>
      <c r="N255" s="1321"/>
      <c r="O255" s="1321"/>
      <c r="P255" s="1321"/>
      <c r="Q255" s="1321"/>
      <c r="R255" s="1321"/>
      <c r="S255" s="1321"/>
      <c r="T255" s="1321"/>
      <c r="U255" s="1321"/>
      <c r="V255" s="1321"/>
      <c r="W255" s="1321"/>
      <c r="X255" s="1321"/>
      <c r="Y255" s="1321"/>
      <c r="Z255" s="1321"/>
      <c r="AA255" s="1321"/>
      <c r="AB255" s="1321"/>
      <c r="AC255" s="1321"/>
      <c r="AD255" s="1321"/>
      <c r="AE255" s="1321"/>
      <c r="AF255" s="1321"/>
      <c r="AG255" s="1321"/>
      <c r="AH255" s="1321"/>
      <c r="AI255" s="1321"/>
      <c r="AJ255" s="1321"/>
      <c r="AK255" s="1321"/>
      <c r="AL255" s="1321"/>
      <c r="AM255" s="1321"/>
      <c r="AN255" s="1321"/>
      <c r="AO255" s="1321"/>
      <c r="AP255" s="1321"/>
      <c r="AQ255" s="1321"/>
      <c r="AR255" s="1321"/>
      <c r="AS255" s="1321"/>
      <c r="AT255" s="1321"/>
      <c r="AU255" s="1321"/>
      <c r="AV255" s="1321"/>
      <c r="AW255" s="1321"/>
      <c r="AX255" s="1321"/>
      <c r="AY255" s="1321"/>
      <c r="AZ255" s="1321"/>
      <c r="BA255" s="1321"/>
      <c r="BB255" s="1075" t="str">
        <f t="shared" si="75"/>
        <v>Minéraux + vitamines</v>
      </c>
      <c r="BC255" s="1269">
        <f t="array" ref="BC255">IF(Ration_complète_bovins[somme]&gt;0,0,IFERROR(IF(OR(AND(INDEX(Règles_bovins[Specificite],MATCH(ChoixRationBovins&amp;$BB255,Règles_bovins[Ration]&amp;Règles_bovins[Aliment],0))="s1",IF($BB255=Spécificité1Bovins,1)),
AND(INDEX(Règles_bovins[Specificite],MATCH(ChoixRationBovins&amp;$BB255,Règles_bovins[Ration]&amp;Règles_bovins[Aliment],0))="s2",IF($BB255=Spécificité2Bovins,1)),
INDEX(Règles_bovins[Specificite],MATCH(ChoixRationBovins&amp;$BB255,Règles_bovins[Ration]&amp;Règles_bovins[Aliment],0))="c"),
INDEX(Règles_bovins[Valeur 36 et plus],MATCH(ChoixRationBovins&amp;$BB255,Règles_bovins[Ration]&amp;Règles_bovins[Aliment],0)),0),0)*IF(ChoixBovinsPréHiver=OUI,TotalVachesRacesLaitières,TotalVaches*SUM(NbreJoursNourrirBovins)))</f>
        <v>0</v>
      </c>
      <c r="BD255" s="1269">
        <f t="array" ref="BD255">IF(Ration_complète_bovins[somme]&gt;0,0,IFERROR(IF(OR(AND(INDEX(Règles_bovins[Specificite],MATCH(ChoixRationBovins&amp;$BB255,Règles_bovins[Ration]&amp;Règles_bovins[Aliment],0))="s1",IF($BB255=Spécificité1Bovins,1)),
AND(INDEX(Règles_bovins[Specificite],MATCH(ChoixRationBovins&amp;$BB255,Règles_bovins[Ration]&amp;Règles_bovins[Aliment],0))="s2",IF($BB255=Spécificité2Bovins,1)),
INDEX(Règles_bovins[Specificite],MATCH(ChoixRationBovins&amp;$BB255,Règles_bovins[Ration]&amp;Règles_bovins[Aliment],0))="c"),
INDEX(Règles_bovins[Valeur 24-36],MATCH(ChoixRationBovins&amp;$BB255,Règles_bovins[Ration]&amp;Règles_bovins[Aliment],0)),0),0)*IF(ChoixBovinsPréHiver=OUI,TotalGénisse_24_36_RacesLaitières,TotalBovinsFemelles_24_36mois*SUM(NbreJoursNourrirBovins)))</f>
        <v>0</v>
      </c>
      <c r="BE255" s="1269">
        <f t="array" ref="BE255">IF(Ration_complète_bovins[somme]&gt;0,0,IFERROR(IF(OR(AND(INDEX(Règles_bovins[Specificite],MATCH(ChoixRationBovins&amp;$BB255,Règles_bovins[Ration]&amp;Règles_bovins[Aliment],0))="s1",IF($BB255=Spécificité1Bovins,1)),
AND(INDEX(Règles_bovins[Specificite],MATCH(ChoixRationBovins&amp;$BB255,Règles_bovins[Ration]&amp;Règles_bovins[Aliment],0))="s2",IF($BB255=Spécificité2Bovins,1)),
INDEX(Règles_bovins[Specificite],MATCH(ChoixRationBovins&amp;$BB255,Règles_bovins[Ration]&amp;Règles_bovins[Aliment],0))="c"),
INDEX(Règles_bovins[Valeur 18-24],MATCH(ChoixRationBovins&amp;$BB255,Règles_bovins[Ration]&amp;Règles_bovins[Aliment],0)),0),0)*IF(ChoixBovinsPréHiver=OUI,TotalGénisse_18_24_RacesLaitières,TotalBovinsFemelles_18_24mois*SUM(NbreJoursNourrirBovins)))</f>
        <v>0</v>
      </c>
      <c r="BF255" s="1269">
        <f t="array" ref="BF255">IF(Ration_complète_bovins[somme]&gt;0,0,IFERROR(IF(OR(AND(INDEX(Règles_bovins[Specificite],MATCH(ChoixRationBovins&amp;$BB255,Règles_bovins[Ration]&amp;Règles_bovins[Aliment],0))="s1",IF($BB255=Spécificité1Bovins,1)),
AND(INDEX(Règles_bovins[Specificite],MATCH(ChoixRationBovins&amp;$BB255,Règles_bovins[Ration]&amp;Règles_bovins[Aliment],0))="s2",IF($BB255=Spécificité2Bovins,1)),
INDEX(Règles_bovins[Specificite],MATCH(ChoixRationBovins&amp;$BB255,Règles_bovins[Ration]&amp;Règles_bovins[Aliment],0))="c"),
INDEX(Règles_bovins[Valeur 12-18],MATCH(ChoixRationBovins&amp;$BB255,Règles_bovins[Ration]&amp;Règles_bovins[Aliment],0)),0),0)*IF(ChoixBovinsPréHiver=OUI,TotalGénisse_12_18_RacesLaitières,TotalBovinsFemelles_12_18mois*SUM(NbreJoursNourrirBovins)))</f>
        <v>0</v>
      </c>
      <c r="BG255" s="1269">
        <f t="array" ref="BG255">IF(Ration_complète_bovins[somme]&gt;0,0,IFERROR(IF(OR(AND(INDEX(Règles_bovins[Specificite],MATCH(ChoixRationBovins&amp;$BB255,Règles_bovins[Ration]&amp;Règles_bovins[Aliment],0))="s1",IF($BB255=Spécificité1Bovins,1)),
AND(INDEX(Règles_bovins[Specificite],MATCH(ChoixRationBovins&amp;$BB255,Règles_bovins[Ration]&amp;Règles_bovins[Aliment],0))="s2",IF($BB255=Spécificité2Bovins,1)),
INDEX(Règles_bovins[Specificite],MATCH(ChoixRationBovins&amp;$BB255,Règles_bovins[Ration]&amp;Règles_bovins[Aliment],0))="c"),
INDEX(Règles_bovins[Valeur 6-12],MATCH(ChoixRationBovins&amp;$BB255,Règles_bovins[Ration]&amp;Règles_bovins[Aliment],0)),0),0)*IF(ChoixBovinsPréHiver=OUI,TotalVeauFemelle_6_12_RacesLaitières,TotalBovinsFemelles_6_12mois*SUM(NbreJoursNourrirBovins)))</f>
        <v>0</v>
      </c>
      <c r="BH255" s="1269">
        <f t="array" ref="BH255">IF(Ration_complète_bovins[somme]&gt;0,0,IFERROR(IF(OR(AND(INDEX(Règles_bovins[Specificite],MATCH(ChoixRationBovins&amp;$BB255,Règles_bovins[Ration]&amp;Règles_bovins[Aliment],0))="s1",IF($BB255=Spécificité1Bovins,1)),
AND(INDEX(Règles_bovins[Specificite],MATCH(ChoixRationBovins&amp;$BB255,Règles_bovins[Ration]&amp;Règles_bovins[Aliment],0))="s2",IF($BB255=Spécificité2Bovins,1)),
INDEX(Règles_bovins[Specificite],MATCH(ChoixRationBovins&amp;$BB255,Règles_bovins[Ration]&amp;Règles_bovins[Aliment],0))="c"),
INDEX(Règles_bovins[Valeur 3-6],MATCH(ChoixRationBovins&amp;$BB255,Règles_bovins[Ration]&amp;Règles_bovins[Aliment],0)),0),0)*IF(ChoixBovinsPréHiver=OUI,TotalVeauFemelle_3_6_RacesLaitières,TotalBovinsFemelles_3_6mois*SUM(NbreJoursNourrirBovins)))</f>
        <v>0</v>
      </c>
      <c r="BI255" s="1269">
        <f t="array" ref="BI255">IF(Ration_complète_bovins[somme]&gt;0,0,IFERROR(IF(OR(AND(INDEX(Règles_bovins[Specificite],MATCH(ChoixRationBovins&amp;$BB255,Règles_bovins[Ration]&amp;Règles_bovins[Aliment],0))="s1",IF($BB255=Spécificité1Bovins,1)),
AND(INDEX(Règles_bovins[Specificite],MATCH(ChoixRationBovins&amp;$BB255,Règles_bovins[Ration]&amp;Règles_bovins[Aliment],0))="s2",IF($BB255=Spécificité2Bovins,1)),
INDEX(Règles_bovins[Specificite],MATCH(ChoixRationBovins&amp;$BB255,Règles_bovins[Ration]&amp;Règles_bovins[Aliment],0))="c"),
INDEX(Règles_bovins[Valeur 0-3],MATCH(ChoixRationBovins&amp;$BB255,Règles_bovins[Ration]&amp;Règles_bovins[Aliment],0)),0),0)*IF(ChoixBovinsPréHiver=OUI,TotalVeauFemelle_0_3_RacesLaitières,TotalBovinsFemelles_0_3mois*SUM(NbreJoursNourrirBovins)))</f>
        <v>0</v>
      </c>
      <c r="BJ255" s="1270">
        <f t="shared" si="74"/>
        <v>0</v>
      </c>
      <c r="BK255" s="1345"/>
      <c r="BL255" s="1345"/>
      <c r="BM255" s="1346"/>
      <c r="BN255" s="1321"/>
      <c r="BO255" s="1321"/>
      <c r="BP255" s="1321"/>
      <c r="BQ255" s="1321"/>
      <c r="BR255" s="1321"/>
      <c r="BS255" s="1321"/>
      <c r="BT255" s="1321"/>
      <c r="BU255" s="1321"/>
      <c r="BV255" s="1345"/>
      <c r="BW255" s="1345"/>
      <c r="BX255" s="1321"/>
      <c r="BY255" s="1321"/>
      <c r="BZ255" s="1320"/>
      <c r="CA255" s="1320"/>
      <c r="CB255" s="1320"/>
      <c r="CC255" s="1320"/>
      <c r="CD255" s="1345"/>
      <c r="CE255" s="1345"/>
      <c r="CF255" s="1345"/>
      <c r="CG255" s="1345"/>
      <c r="CH255" s="1345"/>
      <c r="CI255" s="1321"/>
      <c r="CJ255" s="1321"/>
      <c r="CK255" s="1321"/>
      <c r="CL255" s="1321"/>
      <c r="CM255" s="1321"/>
      <c r="CN255" s="1321"/>
      <c r="CO255" s="1321"/>
      <c r="CP255" s="1321"/>
      <c r="CQ255" s="1321"/>
      <c r="CR255" s="1321"/>
      <c r="CS255" s="1321"/>
      <c r="CT255" s="1321"/>
      <c r="CU255" s="1321"/>
      <c r="CV255" s="1321"/>
      <c r="CW255" s="1321"/>
      <c r="CX255" s="1321"/>
      <c r="CY255" s="1321"/>
      <c r="CZ255" s="1321"/>
      <c r="DA255" s="1321"/>
      <c r="DB255" s="1321"/>
      <c r="DC255" s="1321"/>
      <c r="DD255" s="1321"/>
      <c r="DE255" s="1321"/>
      <c r="DF255" s="1321"/>
      <c r="DG255" s="1321"/>
      <c r="DH255" s="1321"/>
      <c r="DI255" s="1321"/>
      <c r="DJ255" s="1321"/>
      <c r="DK255" s="1321"/>
      <c r="DL255" s="1321"/>
      <c r="DM255" s="1321"/>
      <c r="DN255" s="1075" t="str">
        <f t="shared" si="77"/>
        <v>Maïs ensilé</v>
      </c>
      <c r="DO255" s="1269">
        <f t="array" ref="DO255">IF(ChoixRationHivernaleOvinsComplète=OUI,0,IFERROR(IF(OR(AND(INDEX(Règles_ovins[Specificite],MATCH(RationHivernaleOvinsAuPré&amp;$DN255,Règles_ovins[Ration]&amp;Règles_ovins[Aliment],0))="s1",IF($DN255=Spécificité1Ovins,1)),
AND(INDEX(Règles_ovins[Specificite],MATCH(RationHivernaleOvinsAuPré&amp;$DN255,Règles_ovins[Ration]&amp;Règles_ovins[Aliment],0))="s2",IF($DN255=Spécificité2Ovins,1)),
INDEX(Règles_ovins[Specificite],MATCH(RationHivernaleOvinsAuPré&amp;$DN255,Règles_ovins[Ration]&amp;Règles_ovins[Aliment],0))="c"),
INDEX(Règles_ovins[Valeur 12 et plus],MATCH(RationHivernaleOvinsAuPré&amp;$DN255,Règles_ovins[Ration]&amp;Règles_ovins[Aliment],0)),0),0)*IF(SUM(TotalOvinsAdultesAuPré)&gt;0,SUM(TotalOvinsAdultesAuPré)*SUM(AD76:AD100),SUM(TotalOvinsAdultes)*SUM(AD76:AD100)))</f>
        <v>0</v>
      </c>
      <c r="DP255" s="1269">
        <f t="array" ref="DP255">IF(ChoixRationHivernaleOvinsComplète=OUI,0,IFERROR(IF(OR(AND(INDEX(Règles_ovins[Specificite],MATCH(RationHivernaleOvinsAuPré&amp;$DN255,Règles_ovins[Ration]&amp;Règles_ovins[Aliment],0))="s1",IF($DN255=Spécificité1Ovins,1)),
AND(INDEX(Règles_ovins[Specificite],MATCH(RationHivernaleOvinsAuPré&amp;$DN255,Règles_ovins[Ration]&amp;Règles_ovins[Aliment],0))="s2",IF($DN255=Spécificité2Ovins,1)),
INDEX(Règles_ovins[Specificite],MATCH(RationHivernaleOvinsAuPré&amp;$DN255,Règles_ovins[Ration]&amp;Règles_ovins[Aliment],0))="c"),
INDEX(Règles_ovins[Valeur 6-12],MATCH(RationHivernaleOvinsAuPré&amp;$DN255,Règles_ovins[Ration]&amp;Règles_ovins[Aliment],0)),0),0)*IF(SUM(TotalOvins_6_12moisAuPré)&gt;0,SUM(TotalOvins_6_12moisAuPré)*SUM(AD76:AD100),SUM(TotalJeunesOvins)*SUM(AD76:AD100)))</f>
        <v>0</v>
      </c>
      <c r="DQ255" s="1269">
        <f t="array" ref="DQ255">IF(ChoixRationHivernaleOvinsComplète=OUI,0,IFERROR(IF(OR(AND(INDEX(Règles_ovins[Specificite],MATCH(RationHivernaleOvinsAuPré&amp;$DN255,Règles_ovins[Ration]&amp;Règles_ovins[Aliment],0))="s1",IF($DN255=Spécificité1Ovins,1)),
AND(INDEX(Règles_ovins[Specificite],MATCH(RationHivernaleOvinsAuPré&amp;$DN255,Règles_ovins[Ration]&amp;Règles_ovins[Aliment],0))="s2",IF($DN255=Spécificité2Ovins,1)),
INDEX(Règles_ovins[Specificite],MATCH(RationHivernaleOvinsAuPré&amp;$DN255,Règles_ovins[Ration]&amp;Règles_ovins[Aliment],0))="c"),
INDEX(Règles_ovins[Valeur 3-6],MATCH(RationHivernaleOvinsAuPré&amp;$DN255,Règles_ovins[Ration]&amp;Règles_ovins[Aliment],0)),0),0)*IF(SUM(TotalOvins_3_6moisAuPré)&gt;0,SUM(TotalOvins_3_6moisAuPré)*SUM(AD76:AD100),SUM(TotalOvins_3_6mois)*SUM(AD76:AD100)))</f>
        <v>0</v>
      </c>
      <c r="DR255" s="1269">
        <f t="array" ref="DR255">IF(ChoixRationHivernaleOvinsComplète=OUI,0,IFERROR(IF(OR(AND(INDEX(Règles_ovins[Specificite],MATCH(RationHivernaleOvinsAuPré&amp;$DN255,Règles_ovins[Ration]&amp;Règles_ovins[Aliment],0))="s1",IF($DN255=Spécificité1Ovins,1)),
AND(INDEX(Règles_ovins[Specificite],MATCH(RationHivernaleOvinsAuPré&amp;$DN255,Règles_ovins[Ration]&amp;Règles_ovins[Aliment],0))="s2",IF($DN255=Spécificité2Ovins,1)),
INDEX(Règles_ovins[Specificite],MATCH(RationHivernaleOvinsAuPré&amp;$DN255,Règles_ovins[Ration]&amp;Règles_ovins[Aliment],0))="c"),
INDEX(Règles_ovins[Valeur 0-3],MATCH(RationHivernaleOvinsAuPré&amp;$DN255,Règles_ovins[Ration]&amp;Règles_ovins[Aliment],0)),0),0)*IF(SUM(TotalOvins_0_3moisAuPré)&gt;0,SUM(TotalOvins_0_3moisAuPré)*SUM(AD76:AD100),SUM(TotalOvins_3_6mois)*SUM(AD76:AD100)))</f>
        <v>0</v>
      </c>
      <c r="DS255" s="1280">
        <f t="shared" si="76"/>
        <v>0</v>
      </c>
      <c r="DT255" s="1346"/>
      <c r="DU255" s="1346"/>
      <c r="DV255" s="1321"/>
      <c r="DW255" s="1321"/>
      <c r="DX255" s="1321"/>
      <c r="DY255" s="1321"/>
      <c r="DZ255" s="1321"/>
      <c r="EA255" s="1321"/>
      <c r="EB255" s="1321"/>
      <c r="EC255" s="1321"/>
      <c r="ED255" s="1345"/>
      <c r="EE255" s="1345"/>
      <c r="EF255" s="1321"/>
      <c r="EG255" s="1321"/>
      <c r="EH255" s="1321"/>
      <c r="EI255" s="1321"/>
      <c r="EJ255" s="1321"/>
      <c r="EK255" s="1345"/>
      <c r="EL255" s="1345"/>
      <c r="EM255" s="1321"/>
      <c r="EN255" s="1321"/>
      <c r="EO255" s="1321"/>
      <c r="EP255" s="1321"/>
      <c r="EQ255" s="1321"/>
      <c r="ER255" s="1345"/>
      <c r="ES255" s="1345"/>
      <c r="ET255" s="1321"/>
      <c r="EU255" s="1321"/>
      <c r="EV255" s="1321"/>
      <c r="EW255" s="1321"/>
      <c r="EX255" s="1321"/>
      <c r="EY255" s="1321"/>
      <c r="EZ255" s="1345"/>
      <c r="FA255" s="1345"/>
      <c r="FB255" s="1345"/>
      <c r="FC255" s="1321"/>
      <c r="FD255" s="1321"/>
      <c r="FE255" s="1321"/>
      <c r="FF255" s="1321"/>
      <c r="FG255" s="1321"/>
      <c r="FH255" s="1321"/>
      <c r="FI255" s="1345"/>
      <c r="FJ255" s="1345"/>
      <c r="FK255" s="1345"/>
      <c r="FL255" s="1345"/>
      <c r="FM255" s="1321"/>
      <c r="FN255" s="1321"/>
      <c r="FO255" s="1321"/>
      <c r="FP255" s="1321"/>
      <c r="FQ255" s="1321"/>
      <c r="FR255" s="1321"/>
      <c r="FS255" s="1345"/>
      <c r="FT255" s="1345"/>
      <c r="FU255" s="1345"/>
      <c r="FV255" s="1345"/>
      <c r="FW255" s="1321"/>
      <c r="FX255" s="1321"/>
      <c r="FY255" s="1321"/>
      <c r="FZ255" s="1321"/>
      <c r="GA255" s="1345"/>
      <c r="GB255" s="1321"/>
      <c r="GC255" s="1321"/>
      <c r="GD255" s="1321"/>
      <c r="GE255" s="1321"/>
      <c r="GF255" s="1321"/>
      <c r="GG255" s="1321" t="s">
        <v>1349</v>
      </c>
      <c r="GH255" s="1321" t="s">
        <v>1349</v>
      </c>
      <c r="GI255" s="1321" t="s">
        <v>1349</v>
      </c>
      <c r="GJ255" s="1321" t="s">
        <v>1349</v>
      </c>
      <c r="GK255" s="1321" t="s">
        <v>1349</v>
      </c>
      <c r="GL255" s="1321" t="s">
        <v>1349</v>
      </c>
      <c r="GM255" s="1321" t="s">
        <v>1349</v>
      </c>
      <c r="GN255" s="1321" t="s">
        <v>1349</v>
      </c>
      <c r="GO255" s="1321" t="s">
        <v>1349</v>
      </c>
      <c r="GP255" s="1321" t="s">
        <v>1349</v>
      </c>
      <c r="GQ255" s="1321" t="s">
        <v>1349</v>
      </c>
      <c r="GR255" s="1321" t="s">
        <v>1349</v>
      </c>
      <c r="GS255" s="1321" t="s">
        <v>1349</v>
      </c>
      <c r="GT255" s="1321" t="s">
        <v>1349</v>
      </c>
      <c r="GU255" s="1321" t="s">
        <v>1349</v>
      </c>
      <c r="GV255" s="1321" t="s">
        <v>1349</v>
      </c>
      <c r="GW255" s="1321"/>
      <c r="GX255" s="1321"/>
      <c r="GY255" s="1321"/>
      <c r="GZ255" s="1321"/>
      <c r="HA255" s="1321"/>
      <c r="HB255" s="1321"/>
      <c r="HC255" s="1321"/>
      <c r="HD255" s="1321"/>
      <c r="HE255" s="1321"/>
      <c r="HF255" s="1321"/>
      <c r="HG255" s="1321"/>
      <c r="HH255" s="1321"/>
      <c r="HI255" s="1321"/>
      <c r="HJ255" s="1321"/>
      <c r="HK255" s="1321"/>
      <c r="HL255" s="1321"/>
      <c r="HM255" s="1321"/>
      <c r="HN255" s="1321"/>
      <c r="HO255" s="1321"/>
      <c r="HP255" s="1321"/>
      <c r="HQ255" s="1321"/>
      <c r="HR255" s="1321"/>
      <c r="HS255" s="1321"/>
      <c r="HT255" s="1321"/>
      <c r="HU255" s="1321"/>
      <c r="HV255" s="1321"/>
      <c r="HW255" s="1321"/>
      <c r="HX255" s="1321"/>
      <c r="HY255" s="1321"/>
      <c r="HZ255" s="1321"/>
      <c r="IA255" s="1321"/>
      <c r="IB255" s="1321"/>
      <c r="IC255" s="1321"/>
      <c r="ID255" s="1321"/>
      <c r="IE255" s="1321"/>
      <c r="IF255" s="1321"/>
      <c r="IG255" s="1321"/>
      <c r="IH255" s="1321"/>
      <c r="II255" s="1321"/>
      <c r="IJ255" s="1321"/>
      <c r="IK255" s="1321"/>
      <c r="IL255" s="1321"/>
      <c r="IM255" s="1321"/>
      <c r="IN255" s="1368"/>
    </row>
    <row r="256" spans="1:248" ht="12.75" customHeight="1" x14ac:dyDescent="0.2">
      <c r="A256" s="1319"/>
      <c r="B256" s="1321"/>
      <c r="C256" s="1321"/>
      <c r="D256" s="1321"/>
      <c r="E256" s="1321"/>
      <c r="F256" s="1321"/>
      <c r="G256" s="1321"/>
      <c r="H256" s="1321"/>
      <c r="I256" s="1321"/>
      <c r="J256" s="1321"/>
      <c r="K256" s="1321"/>
      <c r="L256" s="1321"/>
      <c r="M256" s="1321"/>
      <c r="N256" s="1321"/>
      <c r="O256" s="1321"/>
      <c r="P256" s="1321"/>
      <c r="Q256" s="1321"/>
      <c r="R256" s="1321"/>
      <c r="S256" s="1321"/>
      <c r="T256" s="1321"/>
      <c r="U256" s="1321"/>
      <c r="V256" s="1321"/>
      <c r="W256" s="1321"/>
      <c r="X256" s="1321"/>
      <c r="Y256" s="1321"/>
      <c r="Z256" s="1321"/>
      <c r="AA256" s="1321"/>
      <c r="AB256" s="1321"/>
      <c r="AC256" s="1321"/>
      <c r="AD256" s="1321"/>
      <c r="AE256" s="1321"/>
      <c r="AF256" s="1321"/>
      <c r="AG256" s="1321"/>
      <c r="AH256" s="1321"/>
      <c r="AI256" s="1321"/>
      <c r="AJ256" s="1321"/>
      <c r="AK256" s="1321"/>
      <c r="AL256" s="1321"/>
      <c r="AM256" s="1321"/>
      <c r="AN256" s="1321"/>
      <c r="AO256" s="1321"/>
      <c r="AP256" s="1321"/>
      <c r="AQ256" s="1321"/>
      <c r="AR256" s="1321"/>
      <c r="AS256" s="1321"/>
      <c r="AT256" s="1321"/>
      <c r="AU256" s="1321"/>
      <c r="AV256" s="1321"/>
      <c r="AW256" s="1321"/>
      <c r="AX256" s="1321"/>
      <c r="AY256" s="1321"/>
      <c r="AZ256" s="1321"/>
      <c r="BA256" s="1321"/>
      <c r="BB256" s="1076" t="str">
        <f t="shared" si="75"/>
        <v>Orge</v>
      </c>
      <c r="BC256" s="1267">
        <f t="array" ref="BC256">IF(Ration_complète_bovins[somme]&gt;0,0,IFERROR(IF(OR(AND(INDEX(Règles_bovins[Specificite],MATCH(ChoixRationBovins&amp;$BB256,Règles_bovins[Ration]&amp;Règles_bovins[Aliment],0))="s1",IF($BB256=Spécificité1Bovins,1)),
AND(INDEX(Règles_bovins[Specificite],MATCH(ChoixRationBovins&amp;$BB256,Règles_bovins[Ration]&amp;Règles_bovins[Aliment],0))="s2",IF($BB256=Spécificité2Bovins,1)),
INDEX(Règles_bovins[Specificite],MATCH(ChoixRationBovins&amp;$BB256,Règles_bovins[Ration]&amp;Règles_bovins[Aliment],0))="c"),
INDEX(Règles_bovins[Valeur 36 et plus],MATCH(ChoixRationBovins&amp;$BB256,Règles_bovins[Ration]&amp;Règles_bovins[Aliment],0)),0),0)*IF(ChoixBovinsPréHiver=OUI,TotalVachesRacesLaitières,TotalVaches*SUM(NbreJoursNourrirBovins)))</f>
        <v>0</v>
      </c>
      <c r="BD256" s="1267">
        <f t="array" ref="BD256">IF(Ration_complète_bovins[somme]&gt;0,0,IFERROR(IF(OR(AND(INDEX(Règles_bovins[Specificite],MATCH(ChoixRationBovins&amp;$BB256,Règles_bovins[Ration]&amp;Règles_bovins[Aliment],0))="s1",IF($BB256=Spécificité1Bovins,1)),
AND(INDEX(Règles_bovins[Specificite],MATCH(ChoixRationBovins&amp;$BB256,Règles_bovins[Ration]&amp;Règles_bovins[Aliment],0))="s2",IF($BB256=Spécificité2Bovins,1)),
INDEX(Règles_bovins[Specificite],MATCH(ChoixRationBovins&amp;$BB256,Règles_bovins[Ration]&amp;Règles_bovins[Aliment],0))="c"),
INDEX(Règles_bovins[Valeur 24-36],MATCH(ChoixRationBovins&amp;$BB256,Règles_bovins[Ration]&amp;Règles_bovins[Aliment],0)),0),0)*IF(ChoixBovinsPréHiver=OUI,TotalGénisse_24_36_RacesLaitières,TotalBovinsFemelles_24_36mois*SUM(NbreJoursNourrirBovins)))</f>
        <v>0</v>
      </c>
      <c r="BE256" s="1267">
        <f t="array" ref="BE256">IF(Ration_complète_bovins[somme]&gt;0,0,IFERROR(IF(OR(AND(INDEX(Règles_bovins[Specificite],MATCH(ChoixRationBovins&amp;$BB256,Règles_bovins[Ration]&amp;Règles_bovins[Aliment],0))="s1",IF($BB256=Spécificité1Bovins,1)),
AND(INDEX(Règles_bovins[Specificite],MATCH(ChoixRationBovins&amp;$BB256,Règles_bovins[Ration]&amp;Règles_bovins[Aliment],0))="s2",IF($BB256=Spécificité2Bovins,1)),
INDEX(Règles_bovins[Specificite],MATCH(ChoixRationBovins&amp;$BB256,Règles_bovins[Ration]&amp;Règles_bovins[Aliment],0))="c"),
INDEX(Règles_bovins[Valeur 18-24],MATCH(ChoixRationBovins&amp;$BB256,Règles_bovins[Ration]&amp;Règles_bovins[Aliment],0)),0),0)*IF(ChoixBovinsPréHiver=OUI,TotalGénisse_18_24_RacesLaitières,TotalBovinsFemelles_18_24mois*SUM(NbreJoursNourrirBovins)))</f>
        <v>0</v>
      </c>
      <c r="BF256" s="1267">
        <f t="array" ref="BF256">IF(Ration_complète_bovins[somme]&gt;0,0,IFERROR(IF(OR(AND(INDEX(Règles_bovins[Specificite],MATCH(ChoixRationBovins&amp;$BB256,Règles_bovins[Ration]&amp;Règles_bovins[Aliment],0))="s1",IF($BB256=Spécificité1Bovins,1)),
AND(INDEX(Règles_bovins[Specificite],MATCH(ChoixRationBovins&amp;$BB256,Règles_bovins[Ration]&amp;Règles_bovins[Aliment],0))="s2",IF($BB256=Spécificité2Bovins,1)),
INDEX(Règles_bovins[Specificite],MATCH(ChoixRationBovins&amp;$BB256,Règles_bovins[Ration]&amp;Règles_bovins[Aliment],0))="c"),
INDEX(Règles_bovins[Valeur 12-18],MATCH(ChoixRationBovins&amp;$BB256,Règles_bovins[Ration]&amp;Règles_bovins[Aliment],0)),0),0)*IF(ChoixBovinsPréHiver=OUI,TotalGénisse_12_18_RacesLaitières,TotalBovinsFemelles_12_18mois*SUM(NbreJoursNourrirBovins)))</f>
        <v>0</v>
      </c>
      <c r="BG256" s="1267">
        <f t="array" ref="BG256">IF(Ration_complète_bovins[somme]&gt;0,0,IFERROR(IF(OR(AND(INDEX(Règles_bovins[Specificite],MATCH(ChoixRationBovins&amp;$BB256,Règles_bovins[Ration]&amp;Règles_bovins[Aliment],0))="s1",IF($BB256=Spécificité1Bovins,1)),
AND(INDEX(Règles_bovins[Specificite],MATCH(ChoixRationBovins&amp;$BB256,Règles_bovins[Ration]&amp;Règles_bovins[Aliment],0))="s2",IF($BB256=Spécificité2Bovins,1)),
INDEX(Règles_bovins[Specificite],MATCH(ChoixRationBovins&amp;$BB256,Règles_bovins[Ration]&amp;Règles_bovins[Aliment],0))="c"),
INDEX(Règles_bovins[Valeur 6-12],MATCH(ChoixRationBovins&amp;$BB256,Règles_bovins[Ration]&amp;Règles_bovins[Aliment],0)),0),0)*IF(ChoixBovinsPréHiver=OUI,TotalVeauFemelle_6_12_RacesLaitières,TotalBovinsFemelles_6_12mois*SUM(NbreJoursNourrirBovins)))</f>
        <v>0</v>
      </c>
      <c r="BH256" s="1267">
        <f t="array" ref="BH256">IF(Ration_complète_bovins[somme]&gt;0,0,IFERROR(IF(OR(AND(INDEX(Règles_bovins[Specificite],MATCH(ChoixRationBovins&amp;$BB256,Règles_bovins[Ration]&amp;Règles_bovins[Aliment],0))="s1",IF($BB256=Spécificité1Bovins,1)),
AND(INDEX(Règles_bovins[Specificite],MATCH(ChoixRationBovins&amp;$BB256,Règles_bovins[Ration]&amp;Règles_bovins[Aliment],0))="s2",IF($BB256=Spécificité2Bovins,1)),
INDEX(Règles_bovins[Specificite],MATCH(ChoixRationBovins&amp;$BB256,Règles_bovins[Ration]&amp;Règles_bovins[Aliment],0))="c"),
INDEX(Règles_bovins[Valeur 3-6],MATCH(ChoixRationBovins&amp;$BB256,Règles_bovins[Ration]&amp;Règles_bovins[Aliment],0)),0),0)*IF(ChoixBovinsPréHiver=OUI,TotalVeauFemelle_3_6_RacesLaitières,TotalBovinsFemelles_3_6mois*SUM(NbreJoursNourrirBovins)))</f>
        <v>0</v>
      </c>
      <c r="BI256" s="1267">
        <f t="array" ref="BI256">IF(Ration_complète_bovins[somme]&gt;0,0,IFERROR(IF(OR(AND(INDEX(Règles_bovins[Specificite],MATCH(ChoixRationBovins&amp;$BB256,Règles_bovins[Ration]&amp;Règles_bovins[Aliment],0))="s1",IF($BB256=Spécificité1Bovins,1)),
AND(INDEX(Règles_bovins[Specificite],MATCH(ChoixRationBovins&amp;$BB256,Règles_bovins[Ration]&amp;Règles_bovins[Aliment],0))="s2",IF($BB256=Spécificité2Bovins,1)),
INDEX(Règles_bovins[Specificite],MATCH(ChoixRationBovins&amp;$BB256,Règles_bovins[Ration]&amp;Règles_bovins[Aliment],0))="c"),
INDEX(Règles_bovins[Valeur 0-3],MATCH(ChoixRationBovins&amp;$BB256,Règles_bovins[Ration]&amp;Règles_bovins[Aliment],0)),0),0)*IF(ChoixBovinsPréHiver=OUI,TotalVeauFemelle_0_3_RacesLaitières,TotalBovinsFemelles_0_3mois*SUM(NbreJoursNourrirBovins)))</f>
        <v>0</v>
      </c>
      <c r="BJ256" s="1268">
        <f t="shared" si="74"/>
        <v>0</v>
      </c>
      <c r="BK256" s="1345"/>
      <c r="BL256" s="1345"/>
      <c r="BM256" s="1346"/>
      <c r="BN256" s="1321"/>
      <c r="BO256" s="1321"/>
      <c r="BP256" s="1321"/>
      <c r="BQ256" s="1321"/>
      <c r="BR256" s="1321"/>
      <c r="BS256" s="1321"/>
      <c r="BT256" s="1321"/>
      <c r="BU256" s="1321"/>
      <c r="BV256" s="1345"/>
      <c r="BW256" s="1345"/>
      <c r="BX256" s="1321"/>
      <c r="BY256" s="1321"/>
      <c r="BZ256" s="1320"/>
      <c r="CA256" s="1320"/>
      <c r="CB256" s="1320"/>
      <c r="CC256" s="1320"/>
      <c r="CD256" s="1345"/>
      <c r="CE256" s="1345"/>
      <c r="CF256" s="1345"/>
      <c r="CG256" s="1345"/>
      <c r="CH256" s="1345"/>
      <c r="CI256" s="1321"/>
      <c r="CJ256" s="1321"/>
      <c r="CK256" s="1321"/>
      <c r="CL256" s="1321"/>
      <c r="CM256" s="1321"/>
      <c r="CN256" s="1321"/>
      <c r="CO256" s="1321"/>
      <c r="CP256" s="1321"/>
      <c r="CQ256" s="1321"/>
      <c r="CR256" s="1321"/>
      <c r="CS256" s="1321"/>
      <c r="CT256" s="1321"/>
      <c r="CU256" s="1321"/>
      <c r="CV256" s="1321"/>
      <c r="CW256" s="1321"/>
      <c r="CX256" s="1321"/>
      <c r="CY256" s="1321"/>
      <c r="CZ256" s="1321"/>
      <c r="DA256" s="1321"/>
      <c r="DB256" s="1321"/>
      <c r="DC256" s="1321"/>
      <c r="DD256" s="1321"/>
      <c r="DE256" s="1321"/>
      <c r="DF256" s="1321"/>
      <c r="DG256" s="1321"/>
      <c r="DH256" s="1321"/>
      <c r="DI256" s="1321"/>
      <c r="DJ256" s="1321"/>
      <c r="DK256" s="1321"/>
      <c r="DL256" s="1321"/>
      <c r="DM256" s="1321"/>
      <c r="DN256" s="1076" t="str">
        <f t="shared" si="77"/>
        <v>Maïs grain</v>
      </c>
      <c r="DO256" s="1267">
        <f t="array" ref="DO256">IF(ChoixRationHivernaleOvinsComplète=OUI,0,IFERROR(IF(OR(AND(INDEX(Règles_ovins[Specificite],MATCH(RationHivernaleOvinsAuPré&amp;$DN256,Règles_ovins[Ration]&amp;Règles_ovins[Aliment],0))="s1",IF($DN256=Spécificité1Ovins,1)),
AND(INDEX(Règles_ovins[Specificite],MATCH(RationHivernaleOvinsAuPré&amp;$DN256,Règles_ovins[Ration]&amp;Règles_ovins[Aliment],0))="s2",IF($DN256=Spécificité2Ovins,1)),
INDEX(Règles_ovins[Specificite],MATCH(RationHivernaleOvinsAuPré&amp;$DN256,Règles_ovins[Ration]&amp;Règles_ovins[Aliment],0))="c"),
INDEX(Règles_ovins[Valeur 12 et plus],MATCH(RationHivernaleOvinsAuPré&amp;$DN256,Règles_ovins[Ration]&amp;Règles_ovins[Aliment],0)),0),0)*IF(SUM(TotalOvinsAdultesAuPré)&gt;0,SUM(TotalOvinsAdultesAuPré)*SUM(AD76:AD100),SUM(TotalOvinsAdultes)*SUM(AD76:AD100)))</f>
        <v>0</v>
      </c>
      <c r="DP256" s="1267">
        <f t="array" ref="DP256">IF(ChoixRationHivernaleOvinsComplète=OUI,0,IFERROR(IF(OR(AND(INDEX(Règles_ovins[Specificite],MATCH(RationHivernaleOvinsAuPré&amp;$DN256,Règles_ovins[Ration]&amp;Règles_ovins[Aliment],0))="s1",IF($DN256=Spécificité1Ovins,1)),
AND(INDEX(Règles_ovins[Specificite],MATCH(RationHivernaleOvinsAuPré&amp;$DN256,Règles_ovins[Ration]&amp;Règles_ovins[Aliment],0))="s2",IF($DN256=Spécificité2Ovins,1)),
INDEX(Règles_ovins[Specificite],MATCH(RationHivernaleOvinsAuPré&amp;$DN256,Règles_ovins[Ration]&amp;Règles_ovins[Aliment],0))="c"),
INDEX(Règles_ovins[Valeur 6-12],MATCH(RationHivernaleOvinsAuPré&amp;$DN256,Règles_ovins[Ration]&amp;Règles_ovins[Aliment],0)),0),0)*IF(SUM(TotalOvins_6_12moisAuPré)&gt;0,SUM(TotalOvins_6_12moisAuPré)*SUM(AD76:AD100),SUM(TotalJeunesOvins)*SUM(AD76:AD100)))</f>
        <v>0</v>
      </c>
      <c r="DQ256" s="1267">
        <f t="array" ref="DQ256">IF(ChoixRationHivernaleOvinsComplète=OUI,0,IFERROR(IF(OR(AND(INDEX(Règles_ovins[Specificite],MATCH(RationHivernaleOvinsAuPré&amp;$DN256,Règles_ovins[Ration]&amp;Règles_ovins[Aliment],0))="s1",IF($DN256=Spécificité1Ovins,1)),
AND(INDEX(Règles_ovins[Specificite],MATCH(RationHivernaleOvinsAuPré&amp;$DN256,Règles_ovins[Ration]&amp;Règles_ovins[Aliment],0))="s2",IF($DN256=Spécificité2Ovins,1)),
INDEX(Règles_ovins[Specificite],MATCH(RationHivernaleOvinsAuPré&amp;$DN256,Règles_ovins[Ration]&amp;Règles_ovins[Aliment],0))="c"),
INDEX(Règles_ovins[Valeur 3-6],MATCH(RationHivernaleOvinsAuPré&amp;$DN256,Règles_ovins[Ration]&amp;Règles_ovins[Aliment],0)),0),0)*IF(SUM(TotalOvins_3_6moisAuPré)&gt;0,SUM(TotalOvins_3_6moisAuPré)*SUM(AD76:AD100),SUM(TotalOvins_3_6mois)*SUM(AD76:AD100)))</f>
        <v>0</v>
      </c>
      <c r="DR256" s="1267">
        <f t="array" ref="DR256">IF(ChoixRationHivernaleOvinsComplète=OUI,0,IFERROR(IF(OR(AND(INDEX(Règles_ovins[Specificite],MATCH(RationHivernaleOvinsAuPré&amp;$DN256,Règles_ovins[Ration]&amp;Règles_ovins[Aliment],0))="s1",IF($DN256=Spécificité1Ovins,1)),
AND(INDEX(Règles_ovins[Specificite],MATCH(RationHivernaleOvinsAuPré&amp;$DN256,Règles_ovins[Ration]&amp;Règles_ovins[Aliment],0))="s2",IF($DN256=Spécificité2Ovins,1)),
INDEX(Règles_ovins[Specificite],MATCH(RationHivernaleOvinsAuPré&amp;$DN256,Règles_ovins[Ration]&amp;Règles_ovins[Aliment],0))="c"),
INDEX(Règles_ovins[Valeur 0-3],MATCH(RationHivernaleOvinsAuPré&amp;$DN256,Règles_ovins[Ration]&amp;Règles_ovins[Aliment],0)),0),0)*IF(SUM(TotalOvins_0_3moisAuPré)&gt;0,SUM(TotalOvins_0_3moisAuPré)*SUM(AD76:AD100),SUM(TotalOvins_3_6mois)*SUM(AD76:AD100)))</f>
        <v>0</v>
      </c>
      <c r="DS256" s="1279">
        <f t="shared" si="76"/>
        <v>0</v>
      </c>
      <c r="DT256" s="1346"/>
      <c r="DU256" s="1346"/>
      <c r="DV256" s="1321"/>
      <c r="DW256" s="1321"/>
      <c r="DX256" s="1321"/>
      <c r="DY256" s="1321"/>
      <c r="DZ256" s="1321"/>
      <c r="EA256" s="1321"/>
      <c r="EB256" s="1321"/>
      <c r="EC256" s="1321"/>
      <c r="ED256" s="1345"/>
      <c r="EE256" s="1345"/>
      <c r="EF256" s="1321"/>
      <c r="EG256" s="1321"/>
      <c r="EH256" s="1321"/>
      <c r="EI256" s="1321"/>
      <c r="EJ256" s="1321"/>
      <c r="EK256" s="1345"/>
      <c r="EL256" s="1345"/>
      <c r="EM256" s="1321"/>
      <c r="EN256" s="1321"/>
      <c r="EO256" s="1321"/>
      <c r="EP256" s="1321"/>
      <c r="EQ256" s="1321"/>
      <c r="ER256" s="1345"/>
      <c r="ES256" s="1345"/>
      <c r="ET256" s="1321"/>
      <c r="EU256" s="1321"/>
      <c r="EV256" s="1321"/>
      <c r="EW256" s="1321"/>
      <c r="EX256" s="1321"/>
      <c r="EY256" s="1321"/>
      <c r="EZ256" s="1345"/>
      <c r="FA256" s="1345"/>
      <c r="FB256" s="1345"/>
      <c r="FC256" s="1321"/>
      <c r="FD256" s="1321"/>
      <c r="FE256" s="1321"/>
      <c r="FF256" s="1321"/>
      <c r="FG256" s="1321"/>
      <c r="FH256" s="1321"/>
      <c r="FI256" s="1345"/>
      <c r="FJ256" s="1345"/>
      <c r="FK256" s="1345"/>
      <c r="FL256" s="1345"/>
      <c r="FM256" s="1321"/>
      <c r="FN256" s="1321"/>
      <c r="FO256" s="1321"/>
      <c r="FP256" s="1321"/>
      <c r="FQ256" s="1321"/>
      <c r="FR256" s="1321"/>
      <c r="FS256" s="1345"/>
      <c r="FT256" s="1345"/>
      <c r="FU256" s="1345"/>
      <c r="FV256" s="1345"/>
      <c r="FW256" s="1321"/>
      <c r="FX256" s="1321"/>
      <c r="FY256" s="1321"/>
      <c r="FZ256" s="1321"/>
      <c r="GA256" s="1345"/>
      <c r="GB256" s="1321"/>
      <c r="GC256" s="1321"/>
      <c r="GD256" s="1321"/>
      <c r="GE256" s="1321"/>
      <c r="GF256" s="1321"/>
      <c r="GG256" s="1321" t="s">
        <v>1349</v>
      </c>
      <c r="GH256" s="1321" t="s">
        <v>1349</v>
      </c>
      <c r="GI256" s="1321" t="s">
        <v>1349</v>
      </c>
      <c r="GJ256" s="1321" t="s">
        <v>1349</v>
      </c>
      <c r="GK256" s="1321" t="s">
        <v>1349</v>
      </c>
      <c r="GL256" s="1321" t="s">
        <v>1349</v>
      </c>
      <c r="GM256" s="1321" t="s">
        <v>1349</v>
      </c>
      <c r="GN256" s="1321" t="s">
        <v>1349</v>
      </c>
      <c r="GO256" s="1321" t="s">
        <v>1349</v>
      </c>
      <c r="GP256" s="1321" t="s">
        <v>1349</v>
      </c>
      <c r="GQ256" s="1321" t="s">
        <v>1349</v>
      </c>
      <c r="GR256" s="1321" t="s">
        <v>1349</v>
      </c>
      <c r="GS256" s="1321" t="s">
        <v>1349</v>
      </c>
      <c r="GT256" s="1321" t="s">
        <v>1349</v>
      </c>
      <c r="GU256" s="1321" t="s">
        <v>1349</v>
      </c>
      <c r="GV256" s="1321" t="s">
        <v>1349</v>
      </c>
      <c r="GW256" s="1321"/>
      <c r="GX256" s="1321"/>
      <c r="GY256" s="1321"/>
      <c r="GZ256" s="1321"/>
      <c r="HA256" s="1321"/>
      <c r="HB256" s="1321"/>
      <c r="HC256" s="1321"/>
      <c r="HD256" s="1321"/>
      <c r="HE256" s="1321"/>
      <c r="HF256" s="1321"/>
      <c r="HG256" s="1321"/>
      <c r="HH256" s="1321"/>
      <c r="HI256" s="1321"/>
      <c r="HJ256" s="1321"/>
      <c r="HK256" s="1321"/>
      <c r="HL256" s="1321"/>
      <c r="HM256" s="1321"/>
      <c r="HN256" s="1321"/>
      <c r="HO256" s="1321"/>
      <c r="HP256" s="1321"/>
      <c r="HQ256" s="1321"/>
      <c r="HR256" s="1321"/>
      <c r="HS256" s="1321"/>
      <c r="HT256" s="1321"/>
      <c r="HU256" s="1321"/>
      <c r="HV256" s="1321"/>
      <c r="HW256" s="1321"/>
      <c r="HX256" s="1321"/>
      <c r="HY256" s="1321"/>
      <c r="HZ256" s="1321"/>
      <c r="IA256" s="1321"/>
      <c r="IB256" s="1321"/>
      <c r="IC256" s="1321"/>
      <c r="ID256" s="1321"/>
      <c r="IE256" s="1321"/>
      <c r="IF256" s="1321"/>
      <c r="IG256" s="1321"/>
      <c r="IH256" s="1321"/>
      <c r="II256" s="1321"/>
      <c r="IJ256" s="1321"/>
      <c r="IK256" s="1321"/>
      <c r="IL256" s="1321"/>
      <c r="IM256" s="1321"/>
      <c r="IN256" s="1368"/>
    </row>
    <row r="257" spans="1:248" ht="12.75" customHeight="1" x14ac:dyDescent="0.2">
      <c r="A257" s="1319"/>
      <c r="B257" s="1321"/>
      <c r="C257" s="1321"/>
      <c r="D257" s="1321"/>
      <c r="E257" s="1321"/>
      <c r="F257" s="1321"/>
      <c r="G257" s="1321"/>
      <c r="H257" s="1321"/>
      <c r="I257" s="1321"/>
      <c r="J257" s="1321"/>
      <c r="K257" s="1321"/>
      <c r="L257" s="1321"/>
      <c r="M257" s="1321"/>
      <c r="N257" s="1321"/>
      <c r="O257" s="1321"/>
      <c r="P257" s="1321"/>
      <c r="Q257" s="1321"/>
      <c r="R257" s="1321"/>
      <c r="S257" s="1321"/>
      <c r="T257" s="1321"/>
      <c r="U257" s="1321"/>
      <c r="V257" s="1321"/>
      <c r="W257" s="1321"/>
      <c r="X257" s="1321"/>
      <c r="Y257" s="1321"/>
      <c r="Z257" s="1321"/>
      <c r="AA257" s="1321"/>
      <c r="AB257" s="1321"/>
      <c r="AC257" s="1321"/>
      <c r="AD257" s="1321"/>
      <c r="AE257" s="1321"/>
      <c r="AF257" s="1321"/>
      <c r="AG257" s="1321"/>
      <c r="AH257" s="1321"/>
      <c r="AI257" s="1321"/>
      <c r="AJ257" s="1321"/>
      <c r="AK257" s="1321"/>
      <c r="AL257" s="1321"/>
      <c r="AM257" s="1321"/>
      <c r="AN257" s="1321"/>
      <c r="AO257" s="1321"/>
      <c r="AP257" s="1321"/>
      <c r="AQ257" s="1321"/>
      <c r="AR257" s="1321"/>
      <c r="AS257" s="1321"/>
      <c r="AT257" s="1321"/>
      <c r="AU257" s="1321"/>
      <c r="AV257" s="1321"/>
      <c r="AW257" s="1321"/>
      <c r="AX257" s="1321"/>
      <c r="AY257" s="1321"/>
      <c r="AZ257" s="1321"/>
      <c r="BA257" s="1321"/>
      <c r="BB257" s="1075" t="str">
        <f t="shared" si="75"/>
        <v>Paille</v>
      </c>
      <c r="BC257" s="1269">
        <f t="array" ref="BC257">IF(Ration_complète_bovins[somme]&gt;0,0,IFERROR(IF(OR(AND(INDEX(Règles_bovins[Specificite],MATCH(ChoixRationBovins&amp;$BB257,Règles_bovins[Ration]&amp;Règles_bovins[Aliment],0))="s1",IF($BB257=Spécificité1Bovins,1)),
AND(INDEX(Règles_bovins[Specificite],MATCH(ChoixRationBovins&amp;$BB257,Règles_bovins[Ration]&amp;Règles_bovins[Aliment],0))="s2",IF($BB257=Spécificité2Bovins,1)),
INDEX(Règles_bovins[Specificite],MATCH(ChoixRationBovins&amp;$BB257,Règles_bovins[Ration]&amp;Règles_bovins[Aliment],0))="c"),
INDEX(Règles_bovins[Valeur 36 et plus],MATCH(ChoixRationBovins&amp;$BB257,Règles_bovins[Ration]&amp;Règles_bovins[Aliment],0)),0),0)*IF(ChoixBovinsPréHiver=OUI,TotalVachesRacesLaitières,TotalVaches*SUM(NbreJoursNourrirBovins)))</f>
        <v>0</v>
      </c>
      <c r="BD257" s="1269">
        <f t="array" ref="BD257">IF(Ration_complète_bovins[somme]&gt;0,0,IFERROR(IF(OR(AND(INDEX(Règles_bovins[Specificite],MATCH(ChoixRationBovins&amp;$BB257,Règles_bovins[Ration]&amp;Règles_bovins[Aliment],0))="s1",IF($BB257=Spécificité1Bovins,1)),
AND(INDEX(Règles_bovins[Specificite],MATCH(ChoixRationBovins&amp;$BB257,Règles_bovins[Ration]&amp;Règles_bovins[Aliment],0))="s2",IF($BB257=Spécificité2Bovins,1)),
INDEX(Règles_bovins[Specificite],MATCH(ChoixRationBovins&amp;$BB257,Règles_bovins[Ration]&amp;Règles_bovins[Aliment],0))="c"),
INDEX(Règles_bovins[Valeur 24-36],MATCH(ChoixRationBovins&amp;$BB257,Règles_bovins[Ration]&amp;Règles_bovins[Aliment],0)),0),0)*IF(ChoixBovinsPréHiver=OUI,TotalGénisse_24_36_RacesLaitières,TotalBovinsFemelles_24_36mois*SUM(NbreJoursNourrirBovins)))</f>
        <v>0</v>
      </c>
      <c r="BE257" s="1269">
        <f t="array" ref="BE257">IF(Ration_complète_bovins[somme]&gt;0,0,IFERROR(IF(OR(AND(INDEX(Règles_bovins[Specificite],MATCH(ChoixRationBovins&amp;$BB257,Règles_bovins[Ration]&amp;Règles_bovins[Aliment],0))="s1",IF($BB257=Spécificité1Bovins,1)),
AND(INDEX(Règles_bovins[Specificite],MATCH(ChoixRationBovins&amp;$BB257,Règles_bovins[Ration]&amp;Règles_bovins[Aliment],0))="s2",IF($BB257=Spécificité2Bovins,1)),
INDEX(Règles_bovins[Specificite],MATCH(ChoixRationBovins&amp;$BB257,Règles_bovins[Ration]&amp;Règles_bovins[Aliment],0))="c"),
INDEX(Règles_bovins[Valeur 18-24],MATCH(ChoixRationBovins&amp;$BB257,Règles_bovins[Ration]&amp;Règles_bovins[Aliment],0)),0),0)*IF(ChoixBovinsPréHiver=OUI,TotalGénisse_18_24_RacesLaitières,TotalBovinsFemelles_18_24mois*SUM(NbreJoursNourrirBovins)))</f>
        <v>0</v>
      </c>
      <c r="BF257" s="1269">
        <f t="array" ref="BF257">IF(Ration_complète_bovins[somme]&gt;0,0,IFERROR(IF(OR(AND(INDEX(Règles_bovins[Specificite],MATCH(ChoixRationBovins&amp;$BB257,Règles_bovins[Ration]&amp;Règles_bovins[Aliment],0))="s1",IF($BB257=Spécificité1Bovins,1)),
AND(INDEX(Règles_bovins[Specificite],MATCH(ChoixRationBovins&amp;$BB257,Règles_bovins[Ration]&amp;Règles_bovins[Aliment],0))="s2",IF($BB257=Spécificité2Bovins,1)),
INDEX(Règles_bovins[Specificite],MATCH(ChoixRationBovins&amp;$BB257,Règles_bovins[Ration]&amp;Règles_bovins[Aliment],0))="c"),
INDEX(Règles_bovins[Valeur 12-18],MATCH(ChoixRationBovins&amp;$BB257,Règles_bovins[Ration]&amp;Règles_bovins[Aliment],0)),0),0)*IF(ChoixBovinsPréHiver=OUI,TotalGénisse_12_18_RacesLaitières,TotalBovinsFemelles_12_18mois*SUM(NbreJoursNourrirBovins)))</f>
        <v>0</v>
      </c>
      <c r="BG257" s="1269">
        <f t="array" ref="BG257">IF(Ration_complète_bovins[somme]&gt;0,0,IFERROR(IF(OR(AND(INDEX(Règles_bovins[Specificite],MATCH(ChoixRationBovins&amp;$BB257,Règles_bovins[Ration]&amp;Règles_bovins[Aliment],0))="s1",IF($BB257=Spécificité1Bovins,1)),
AND(INDEX(Règles_bovins[Specificite],MATCH(ChoixRationBovins&amp;$BB257,Règles_bovins[Ration]&amp;Règles_bovins[Aliment],0))="s2",IF($BB257=Spécificité2Bovins,1)),
INDEX(Règles_bovins[Specificite],MATCH(ChoixRationBovins&amp;$BB257,Règles_bovins[Ration]&amp;Règles_bovins[Aliment],0))="c"),
INDEX(Règles_bovins[Valeur 6-12],MATCH(ChoixRationBovins&amp;$BB257,Règles_bovins[Ration]&amp;Règles_bovins[Aliment],0)),0),0)*IF(ChoixBovinsPréHiver=OUI,TotalVeauFemelle_6_12_RacesLaitières,TotalBovinsFemelles_6_12mois*SUM(NbreJoursNourrirBovins)))</f>
        <v>0</v>
      </c>
      <c r="BH257" s="1269">
        <f t="array" ref="BH257">IF(Ration_complète_bovins[somme]&gt;0,0,IFERROR(IF(OR(AND(INDEX(Règles_bovins[Specificite],MATCH(ChoixRationBovins&amp;$BB257,Règles_bovins[Ration]&amp;Règles_bovins[Aliment],0))="s1",IF($BB257=Spécificité1Bovins,1)),
AND(INDEX(Règles_bovins[Specificite],MATCH(ChoixRationBovins&amp;$BB257,Règles_bovins[Ration]&amp;Règles_bovins[Aliment],0))="s2",IF($BB257=Spécificité2Bovins,1)),
INDEX(Règles_bovins[Specificite],MATCH(ChoixRationBovins&amp;$BB257,Règles_bovins[Ration]&amp;Règles_bovins[Aliment],0))="c"),
INDEX(Règles_bovins[Valeur 3-6],MATCH(ChoixRationBovins&amp;$BB257,Règles_bovins[Ration]&amp;Règles_bovins[Aliment],0)),0),0)*IF(ChoixBovinsPréHiver=OUI,TotalVeauFemelle_3_6_RacesLaitières,TotalBovinsFemelles_3_6mois*SUM(NbreJoursNourrirBovins)))</f>
        <v>0</v>
      </c>
      <c r="BI257" s="1269">
        <f t="array" ref="BI257">IF(Ration_complète_bovins[somme]&gt;0,0,IFERROR(IF(OR(AND(INDEX(Règles_bovins[Specificite],MATCH(ChoixRationBovins&amp;$BB257,Règles_bovins[Ration]&amp;Règles_bovins[Aliment],0))="s1",IF($BB257=Spécificité1Bovins,1)),
AND(INDEX(Règles_bovins[Specificite],MATCH(ChoixRationBovins&amp;$BB257,Règles_bovins[Ration]&amp;Règles_bovins[Aliment],0))="s2",IF($BB257=Spécificité2Bovins,1)),
INDEX(Règles_bovins[Specificite],MATCH(ChoixRationBovins&amp;$BB257,Règles_bovins[Ration]&amp;Règles_bovins[Aliment],0))="c"),
INDEX(Règles_bovins[Valeur 0-3],MATCH(ChoixRationBovins&amp;$BB257,Règles_bovins[Ration]&amp;Règles_bovins[Aliment],0)),0),0)*IF(ChoixBovinsPréHiver=OUI,TotalVeauFemelle_0_3_RacesLaitières,TotalBovinsFemelles_0_3mois*SUM(NbreJoursNourrirBovins)))</f>
        <v>0</v>
      </c>
      <c r="BJ257" s="1270">
        <f t="shared" si="74"/>
        <v>0</v>
      </c>
      <c r="BK257" s="1345"/>
      <c r="BL257" s="1345"/>
      <c r="BM257" s="1346"/>
      <c r="BN257" s="1321"/>
      <c r="BO257" s="1321"/>
      <c r="BP257" s="1321"/>
      <c r="BQ257" s="1321"/>
      <c r="BR257" s="1321"/>
      <c r="BS257" s="1321"/>
      <c r="BT257" s="1321"/>
      <c r="BU257" s="1321"/>
      <c r="BV257" s="1345"/>
      <c r="BW257" s="1345"/>
      <c r="BX257" s="1321"/>
      <c r="BY257" s="1321"/>
      <c r="BZ257" s="1320"/>
      <c r="CA257" s="1320"/>
      <c r="CB257" s="1320"/>
      <c r="CC257" s="1320"/>
      <c r="CD257" s="1345"/>
      <c r="CE257" s="1345"/>
      <c r="CF257" s="1345"/>
      <c r="CG257" s="1345"/>
      <c r="CH257" s="1345"/>
      <c r="CI257" s="1321"/>
      <c r="CJ257" s="1321"/>
      <c r="CK257" s="1321"/>
      <c r="CL257" s="1321"/>
      <c r="CM257" s="1321"/>
      <c r="CN257" s="1321"/>
      <c r="CO257" s="1321"/>
      <c r="CP257" s="1321"/>
      <c r="CQ257" s="1321"/>
      <c r="CR257" s="1321"/>
      <c r="CS257" s="1321"/>
      <c r="CT257" s="1321"/>
      <c r="CU257" s="1321"/>
      <c r="CV257" s="1321"/>
      <c r="CW257" s="1321"/>
      <c r="CX257" s="1321"/>
      <c r="CY257" s="1321"/>
      <c r="CZ257" s="1321"/>
      <c r="DA257" s="1321"/>
      <c r="DB257" s="1321"/>
      <c r="DC257" s="1321"/>
      <c r="DD257" s="1321"/>
      <c r="DE257" s="1321"/>
      <c r="DF257" s="1321"/>
      <c r="DG257" s="1321"/>
      <c r="DH257" s="1321"/>
      <c r="DI257" s="1321"/>
      <c r="DJ257" s="1321"/>
      <c r="DK257" s="1321"/>
      <c r="DL257" s="1321"/>
      <c r="DM257" s="1321"/>
      <c r="DN257" s="1075" t="str">
        <f t="shared" si="77"/>
        <v>Minéraux + vitamines</v>
      </c>
      <c r="DO257" s="1269">
        <f t="array" ref="DO257">IF(ChoixRationHivernaleOvinsComplète=OUI,0,IFERROR(IF(OR(AND(INDEX(Règles_ovins[Specificite],MATCH(RationHivernaleOvinsAuPré&amp;$DN257,Règles_ovins[Ration]&amp;Règles_ovins[Aliment],0))="s1",IF($DN257=Spécificité1Ovins,1)),
AND(INDEX(Règles_ovins[Specificite],MATCH(RationHivernaleOvinsAuPré&amp;$DN257,Règles_ovins[Ration]&amp;Règles_ovins[Aliment],0))="s2",IF($DN257=Spécificité2Ovins,1)),
INDEX(Règles_ovins[Specificite],MATCH(RationHivernaleOvinsAuPré&amp;$DN257,Règles_ovins[Ration]&amp;Règles_ovins[Aliment],0))="c"),
INDEX(Règles_ovins[Valeur 12 et plus],MATCH(RationHivernaleOvinsAuPré&amp;$DN257,Règles_ovins[Ration]&amp;Règles_ovins[Aliment],0)),0),0)*IF(SUM(TotalOvinsAdultesAuPré)&gt;0,SUM(TotalOvinsAdultesAuPré)*SUM(AD76:AD100),SUM(TotalOvinsAdultes)*SUM(AD76:AD100)))</f>
        <v>0</v>
      </c>
      <c r="DP257" s="1269">
        <f t="array" ref="DP257">IF(ChoixRationHivernaleOvinsComplète=OUI,0,IFERROR(IF(OR(AND(INDEX(Règles_ovins[Specificite],MATCH(RationHivernaleOvinsAuPré&amp;$DN257,Règles_ovins[Ration]&amp;Règles_ovins[Aliment],0))="s1",IF($DN257=Spécificité1Ovins,1)),
AND(INDEX(Règles_ovins[Specificite],MATCH(RationHivernaleOvinsAuPré&amp;$DN257,Règles_ovins[Ration]&amp;Règles_ovins[Aliment],0))="s2",IF($DN257=Spécificité2Ovins,1)),
INDEX(Règles_ovins[Specificite],MATCH(RationHivernaleOvinsAuPré&amp;$DN257,Règles_ovins[Ration]&amp;Règles_ovins[Aliment],0))="c"),
INDEX(Règles_ovins[Valeur 6-12],MATCH(RationHivernaleOvinsAuPré&amp;$DN257,Règles_ovins[Ration]&amp;Règles_ovins[Aliment],0)),0),0)*IF(SUM(TotalOvins_6_12moisAuPré)&gt;0,SUM(TotalOvins_6_12moisAuPré)*SUM(AD76:AD100),SUM(TotalJeunesOvins)*SUM(AD76:AD100)))</f>
        <v>0</v>
      </c>
      <c r="DQ257" s="1269">
        <f t="array" ref="DQ257">IF(ChoixRationHivernaleOvinsComplète=OUI,0,IFERROR(IF(OR(AND(INDEX(Règles_ovins[Specificite],MATCH(RationHivernaleOvinsAuPré&amp;$DN257,Règles_ovins[Ration]&amp;Règles_ovins[Aliment],0))="s1",IF($DN257=Spécificité1Ovins,1)),
AND(INDEX(Règles_ovins[Specificite],MATCH(RationHivernaleOvinsAuPré&amp;$DN257,Règles_ovins[Ration]&amp;Règles_ovins[Aliment],0))="s2",IF($DN257=Spécificité2Ovins,1)),
INDEX(Règles_ovins[Specificite],MATCH(RationHivernaleOvinsAuPré&amp;$DN257,Règles_ovins[Ration]&amp;Règles_ovins[Aliment],0))="c"),
INDEX(Règles_ovins[Valeur 3-6],MATCH(RationHivernaleOvinsAuPré&amp;$DN257,Règles_ovins[Ration]&amp;Règles_ovins[Aliment],0)),0),0)*IF(SUM(TotalOvins_3_6moisAuPré)&gt;0,SUM(TotalOvins_3_6moisAuPré)*SUM(AD76:AD100),SUM(TotalOvins_3_6mois)*SUM(AD76:AD100)))</f>
        <v>0</v>
      </c>
      <c r="DR257" s="1269">
        <f t="array" ref="DR257">IF(ChoixRationHivernaleOvinsComplète=OUI,0,IFERROR(IF(OR(AND(INDEX(Règles_ovins[Specificite],MATCH(RationHivernaleOvinsAuPré&amp;$DN257,Règles_ovins[Ration]&amp;Règles_ovins[Aliment],0))="s1",IF($DN257=Spécificité1Ovins,1)),
AND(INDEX(Règles_ovins[Specificite],MATCH(RationHivernaleOvinsAuPré&amp;$DN257,Règles_ovins[Ration]&amp;Règles_ovins[Aliment],0))="s2",IF($DN257=Spécificité2Ovins,1)),
INDEX(Règles_ovins[Specificite],MATCH(RationHivernaleOvinsAuPré&amp;$DN257,Règles_ovins[Ration]&amp;Règles_ovins[Aliment],0))="c"),
INDEX(Règles_ovins[Valeur 0-3],MATCH(RationHivernaleOvinsAuPré&amp;$DN257,Règles_ovins[Ration]&amp;Règles_ovins[Aliment],0)),0),0)*IF(SUM(TotalOvins_0_3moisAuPré)&gt;0,SUM(TotalOvins_0_3moisAuPré)*SUM(AD76:AD100),SUM(TotalOvins_3_6mois)*SUM(AD76:AD100)))</f>
        <v>0</v>
      </c>
      <c r="DS257" s="1280">
        <f t="shared" si="76"/>
        <v>0</v>
      </c>
      <c r="DT257" s="1346"/>
      <c r="DU257" s="1346"/>
      <c r="DV257" s="1321"/>
      <c r="DW257" s="1321"/>
      <c r="DX257" s="1321"/>
      <c r="DY257" s="1321"/>
      <c r="DZ257" s="1321"/>
      <c r="EA257" s="1321"/>
      <c r="EB257" s="1321"/>
      <c r="EC257" s="1321"/>
      <c r="ED257" s="1345"/>
      <c r="EE257" s="1345"/>
      <c r="EF257" s="1321"/>
      <c r="EG257" s="1321"/>
      <c r="EH257" s="1321"/>
      <c r="EI257" s="1321"/>
      <c r="EJ257" s="1321"/>
      <c r="EK257" s="1345"/>
      <c r="EL257" s="1345"/>
      <c r="EM257" s="1321"/>
      <c r="EN257" s="1321"/>
      <c r="EO257" s="1321"/>
      <c r="EP257" s="1321"/>
      <c r="EQ257" s="1321"/>
      <c r="ER257" s="1345"/>
      <c r="ES257" s="1345"/>
      <c r="ET257" s="1321"/>
      <c r="EU257" s="1321"/>
      <c r="EV257" s="1321"/>
      <c r="EW257" s="1321"/>
      <c r="EX257" s="1321"/>
      <c r="EY257" s="1321"/>
      <c r="EZ257" s="1345"/>
      <c r="FA257" s="1345"/>
      <c r="FB257" s="1345"/>
      <c r="FC257" s="1321"/>
      <c r="FD257" s="1321"/>
      <c r="FE257" s="1321"/>
      <c r="FF257" s="1321"/>
      <c r="FG257" s="1321"/>
      <c r="FH257" s="1321"/>
      <c r="FI257" s="1345"/>
      <c r="FJ257" s="1345"/>
      <c r="FK257" s="1345"/>
      <c r="FL257" s="1345"/>
      <c r="FM257" s="1321"/>
      <c r="FN257" s="1321"/>
      <c r="FO257" s="1321"/>
      <c r="FP257" s="1321"/>
      <c r="FQ257" s="1321"/>
      <c r="FR257" s="1321"/>
      <c r="FS257" s="1345"/>
      <c r="FT257" s="1345"/>
      <c r="FU257" s="1345"/>
      <c r="FV257" s="1345"/>
      <c r="FW257" s="1321"/>
      <c r="FX257" s="1321"/>
      <c r="FY257" s="1321"/>
      <c r="FZ257" s="1321"/>
      <c r="GA257" s="1345"/>
      <c r="GB257" s="1321"/>
      <c r="GC257" s="1321"/>
      <c r="GD257" s="1321"/>
      <c r="GE257" s="1321"/>
      <c r="GF257" s="1321"/>
      <c r="GG257" s="1321" t="s">
        <v>1349</v>
      </c>
      <c r="GH257" s="1321" t="s">
        <v>1349</v>
      </c>
      <c r="GI257" s="1321" t="s">
        <v>1349</v>
      </c>
      <c r="GJ257" s="1321" t="s">
        <v>1349</v>
      </c>
      <c r="GK257" s="1321" t="s">
        <v>1349</v>
      </c>
      <c r="GL257" s="1321" t="s">
        <v>1349</v>
      </c>
      <c r="GM257" s="1321" t="s">
        <v>1349</v>
      </c>
      <c r="GN257" s="1321" t="s">
        <v>1349</v>
      </c>
      <c r="GO257" s="1321" t="s">
        <v>1349</v>
      </c>
      <c r="GP257" s="1321" t="s">
        <v>1349</v>
      </c>
      <c r="GQ257" s="1321" t="s">
        <v>1349</v>
      </c>
      <c r="GR257" s="1321" t="s">
        <v>1349</v>
      </c>
      <c r="GS257" s="1321" t="s">
        <v>1349</v>
      </c>
      <c r="GT257" s="1321" t="s">
        <v>1349</v>
      </c>
      <c r="GU257" s="1321" t="s">
        <v>1349</v>
      </c>
      <c r="GV257" s="1321" t="s">
        <v>1349</v>
      </c>
      <c r="GW257" s="1321"/>
      <c r="GX257" s="1321"/>
      <c r="GY257" s="1321"/>
      <c r="GZ257" s="1321"/>
      <c r="HA257" s="1321"/>
      <c r="HB257" s="1321"/>
      <c r="HC257" s="1321"/>
      <c r="HD257" s="1321"/>
      <c r="HE257" s="1321"/>
      <c r="HF257" s="1321"/>
      <c r="HG257" s="1321"/>
      <c r="HH257" s="1321"/>
      <c r="HI257" s="1321"/>
      <c r="HJ257" s="1321"/>
      <c r="HK257" s="1321"/>
      <c r="HL257" s="1321"/>
      <c r="HM257" s="1321"/>
      <c r="HN257" s="1321"/>
      <c r="HO257" s="1321"/>
      <c r="HP257" s="1321"/>
      <c r="HQ257" s="1321"/>
      <c r="HR257" s="1321"/>
      <c r="HS257" s="1321"/>
      <c r="HT257" s="1321"/>
      <c r="HU257" s="1321"/>
      <c r="HV257" s="1321"/>
      <c r="HW257" s="1321"/>
      <c r="HX257" s="1321"/>
      <c r="HY257" s="1321"/>
      <c r="HZ257" s="1321"/>
      <c r="IA257" s="1321"/>
      <c r="IB257" s="1321"/>
      <c r="IC257" s="1321"/>
      <c r="ID257" s="1321"/>
      <c r="IE257" s="1321"/>
      <c r="IF257" s="1321"/>
      <c r="IG257" s="1321"/>
      <c r="IH257" s="1321"/>
      <c r="II257" s="1321"/>
      <c r="IJ257" s="1321"/>
      <c r="IK257" s="1321"/>
      <c r="IL257" s="1321"/>
      <c r="IM257" s="1321"/>
      <c r="IN257" s="1368"/>
    </row>
    <row r="258" spans="1:248" ht="12.75" customHeight="1" x14ac:dyDescent="0.2">
      <c r="A258" s="1319"/>
      <c r="B258" s="1321"/>
      <c r="C258" s="1321"/>
      <c r="D258" s="1321"/>
      <c r="E258" s="1321"/>
      <c r="F258" s="1321"/>
      <c r="G258" s="1321"/>
      <c r="H258" s="1321"/>
      <c r="I258" s="1321"/>
      <c r="J258" s="1321"/>
      <c r="K258" s="1321"/>
      <c r="L258" s="1321"/>
      <c r="M258" s="1321"/>
      <c r="N258" s="1321"/>
      <c r="O258" s="1321"/>
      <c r="P258" s="1321"/>
      <c r="Q258" s="1321"/>
      <c r="R258" s="1321"/>
      <c r="S258" s="1321"/>
      <c r="T258" s="1321"/>
      <c r="U258" s="1321"/>
      <c r="V258" s="1321"/>
      <c r="W258" s="1321"/>
      <c r="X258" s="1321"/>
      <c r="Y258" s="1321"/>
      <c r="Z258" s="1321"/>
      <c r="AA258" s="1321"/>
      <c r="AB258" s="1321"/>
      <c r="AC258" s="1321"/>
      <c r="AD258" s="1321"/>
      <c r="AE258" s="1321"/>
      <c r="AF258" s="1321"/>
      <c r="AG258" s="1321"/>
      <c r="AH258" s="1321"/>
      <c r="AI258" s="1321"/>
      <c r="AJ258" s="1321"/>
      <c r="AK258" s="1321"/>
      <c r="AL258" s="1321"/>
      <c r="AM258" s="1321"/>
      <c r="AN258" s="1321"/>
      <c r="AO258" s="1321"/>
      <c r="AP258" s="1321"/>
      <c r="AQ258" s="1321"/>
      <c r="AR258" s="1321"/>
      <c r="AS258" s="1321"/>
      <c r="AT258" s="1321"/>
      <c r="AU258" s="1321"/>
      <c r="AV258" s="1321"/>
      <c r="AW258" s="1321"/>
      <c r="AX258" s="1321"/>
      <c r="AY258" s="1321"/>
      <c r="AZ258" s="1321"/>
      <c r="BA258" s="1321"/>
      <c r="BB258" s="1076" t="str">
        <f t="shared" si="75"/>
        <v>Pois</v>
      </c>
      <c r="BC258" s="1267">
        <f t="array" ref="BC258">IF(Ration_complète_bovins[somme]&gt;0,0,IFERROR(IF(OR(AND(INDEX(Règles_bovins[Specificite],MATCH(ChoixRationBovins&amp;$BB258,Règles_bovins[Ration]&amp;Règles_bovins[Aliment],0))="s1",IF($BB258=Spécificité1Bovins,1)),
AND(INDEX(Règles_bovins[Specificite],MATCH(ChoixRationBovins&amp;$BB258,Règles_bovins[Ration]&amp;Règles_bovins[Aliment],0))="s2",IF($BB258=Spécificité2Bovins,1)),
INDEX(Règles_bovins[Specificite],MATCH(ChoixRationBovins&amp;$BB258,Règles_bovins[Ration]&amp;Règles_bovins[Aliment],0))="c"),
INDEX(Règles_bovins[Valeur 36 et plus],MATCH(ChoixRationBovins&amp;$BB258,Règles_bovins[Ration]&amp;Règles_bovins[Aliment],0)),0),0)*IF(ChoixBovinsPréHiver=OUI,TotalVachesRacesLaitières,TotalVaches*SUM(NbreJoursNourrirBovins)))</f>
        <v>0</v>
      </c>
      <c r="BD258" s="1267">
        <f t="array" ref="BD258">IF(Ration_complète_bovins[somme]&gt;0,0,IFERROR(IF(OR(AND(INDEX(Règles_bovins[Specificite],MATCH(ChoixRationBovins&amp;$BB258,Règles_bovins[Ration]&amp;Règles_bovins[Aliment],0))="s1",IF($BB258=Spécificité1Bovins,1)),
AND(INDEX(Règles_bovins[Specificite],MATCH(ChoixRationBovins&amp;$BB258,Règles_bovins[Ration]&amp;Règles_bovins[Aliment],0))="s2",IF($BB258=Spécificité2Bovins,1)),
INDEX(Règles_bovins[Specificite],MATCH(ChoixRationBovins&amp;$BB258,Règles_bovins[Ration]&amp;Règles_bovins[Aliment],0))="c"),
INDEX(Règles_bovins[Valeur 24-36],MATCH(ChoixRationBovins&amp;$BB258,Règles_bovins[Ration]&amp;Règles_bovins[Aliment],0)),0),0)*IF(ChoixBovinsPréHiver=OUI,TotalGénisse_24_36_RacesLaitières,TotalBovinsFemelles_24_36mois*SUM(NbreJoursNourrirBovins)))</f>
        <v>0</v>
      </c>
      <c r="BE258" s="1267">
        <f t="array" ref="BE258">IF(Ration_complète_bovins[somme]&gt;0,0,IFERROR(IF(OR(AND(INDEX(Règles_bovins[Specificite],MATCH(ChoixRationBovins&amp;$BB258,Règles_bovins[Ration]&amp;Règles_bovins[Aliment],0))="s1",IF($BB258=Spécificité1Bovins,1)),
AND(INDEX(Règles_bovins[Specificite],MATCH(ChoixRationBovins&amp;$BB258,Règles_bovins[Ration]&amp;Règles_bovins[Aliment],0))="s2",IF($BB258=Spécificité2Bovins,1)),
INDEX(Règles_bovins[Specificite],MATCH(ChoixRationBovins&amp;$BB258,Règles_bovins[Ration]&amp;Règles_bovins[Aliment],0))="c"),
INDEX(Règles_bovins[Valeur 18-24],MATCH(ChoixRationBovins&amp;$BB258,Règles_bovins[Ration]&amp;Règles_bovins[Aliment],0)),0),0)*IF(ChoixBovinsPréHiver=OUI,TotalGénisse_18_24_RacesLaitières,TotalBovinsFemelles_18_24mois*SUM(NbreJoursNourrirBovins)))</f>
        <v>0</v>
      </c>
      <c r="BF258" s="1267">
        <f t="array" ref="BF258">IF(Ration_complète_bovins[somme]&gt;0,0,IFERROR(IF(OR(AND(INDEX(Règles_bovins[Specificite],MATCH(ChoixRationBovins&amp;$BB258,Règles_bovins[Ration]&amp;Règles_bovins[Aliment],0))="s1",IF($BB258=Spécificité1Bovins,1)),
AND(INDEX(Règles_bovins[Specificite],MATCH(ChoixRationBovins&amp;$BB258,Règles_bovins[Ration]&amp;Règles_bovins[Aliment],0))="s2",IF($BB258=Spécificité2Bovins,1)),
INDEX(Règles_bovins[Specificite],MATCH(ChoixRationBovins&amp;$BB258,Règles_bovins[Ration]&amp;Règles_bovins[Aliment],0))="c"),
INDEX(Règles_bovins[Valeur 12-18],MATCH(ChoixRationBovins&amp;$BB258,Règles_bovins[Ration]&amp;Règles_bovins[Aliment],0)),0),0)*IF(ChoixBovinsPréHiver=OUI,TotalGénisse_12_18_RacesLaitières,TotalBovinsFemelles_12_18mois*SUM(NbreJoursNourrirBovins)))</f>
        <v>0</v>
      </c>
      <c r="BG258" s="1267">
        <f t="array" ref="BG258">IF(Ration_complète_bovins[somme]&gt;0,0,IFERROR(IF(OR(AND(INDEX(Règles_bovins[Specificite],MATCH(ChoixRationBovins&amp;$BB258,Règles_bovins[Ration]&amp;Règles_bovins[Aliment],0))="s1",IF($BB258=Spécificité1Bovins,1)),
AND(INDEX(Règles_bovins[Specificite],MATCH(ChoixRationBovins&amp;$BB258,Règles_bovins[Ration]&amp;Règles_bovins[Aliment],0))="s2",IF($BB258=Spécificité2Bovins,1)),
INDEX(Règles_bovins[Specificite],MATCH(ChoixRationBovins&amp;$BB258,Règles_bovins[Ration]&amp;Règles_bovins[Aliment],0))="c"),
INDEX(Règles_bovins[Valeur 6-12],MATCH(ChoixRationBovins&amp;$BB258,Règles_bovins[Ration]&amp;Règles_bovins[Aliment],0)),0),0)*IF(ChoixBovinsPréHiver=OUI,TotalVeauFemelle_6_12_RacesLaitières,TotalBovinsFemelles_6_12mois*SUM(NbreJoursNourrirBovins)))</f>
        <v>0</v>
      </c>
      <c r="BH258" s="1267">
        <f t="array" ref="BH258">IF(Ration_complète_bovins[somme]&gt;0,0,IFERROR(IF(OR(AND(INDEX(Règles_bovins[Specificite],MATCH(ChoixRationBovins&amp;$BB258,Règles_bovins[Ration]&amp;Règles_bovins[Aliment],0))="s1",IF($BB258=Spécificité1Bovins,1)),
AND(INDEX(Règles_bovins[Specificite],MATCH(ChoixRationBovins&amp;$BB258,Règles_bovins[Ration]&amp;Règles_bovins[Aliment],0))="s2",IF($BB258=Spécificité2Bovins,1)),
INDEX(Règles_bovins[Specificite],MATCH(ChoixRationBovins&amp;$BB258,Règles_bovins[Ration]&amp;Règles_bovins[Aliment],0))="c"),
INDEX(Règles_bovins[Valeur 3-6],MATCH(ChoixRationBovins&amp;$BB258,Règles_bovins[Ration]&amp;Règles_bovins[Aliment],0)),0),0)*IF(ChoixBovinsPréHiver=OUI,TotalVeauFemelle_3_6_RacesLaitières,TotalBovinsFemelles_3_6mois*SUM(NbreJoursNourrirBovins)))</f>
        <v>0</v>
      </c>
      <c r="BI258" s="1267">
        <f t="array" ref="BI258">IF(Ration_complète_bovins[somme]&gt;0,0,IFERROR(IF(OR(AND(INDEX(Règles_bovins[Specificite],MATCH(ChoixRationBovins&amp;$BB258,Règles_bovins[Ration]&amp;Règles_bovins[Aliment],0))="s1",IF($BB258=Spécificité1Bovins,1)),
AND(INDEX(Règles_bovins[Specificite],MATCH(ChoixRationBovins&amp;$BB258,Règles_bovins[Ration]&amp;Règles_bovins[Aliment],0))="s2",IF($BB258=Spécificité2Bovins,1)),
INDEX(Règles_bovins[Specificite],MATCH(ChoixRationBovins&amp;$BB258,Règles_bovins[Ration]&amp;Règles_bovins[Aliment],0))="c"),
INDEX(Règles_bovins[Valeur 0-3],MATCH(ChoixRationBovins&amp;$BB258,Règles_bovins[Ration]&amp;Règles_bovins[Aliment],0)),0),0)*IF(ChoixBovinsPréHiver=OUI,TotalVeauFemelle_0_3_RacesLaitières,TotalBovinsFemelles_0_3mois*SUM(NbreJoursNourrirBovins)))</f>
        <v>0</v>
      </c>
      <c r="BJ258" s="1268">
        <f t="shared" si="74"/>
        <v>0</v>
      </c>
      <c r="BK258" s="1345"/>
      <c r="BL258" s="1345"/>
      <c r="BM258" s="1346"/>
      <c r="BN258" s="1321"/>
      <c r="BO258" s="1321"/>
      <c r="BP258" s="1321"/>
      <c r="BQ258" s="1321"/>
      <c r="BR258" s="1321"/>
      <c r="BS258" s="1321"/>
      <c r="BT258" s="1321"/>
      <c r="BU258" s="1321"/>
      <c r="BV258" s="1345"/>
      <c r="BW258" s="1345"/>
      <c r="BX258" s="1321"/>
      <c r="BY258" s="1321"/>
      <c r="BZ258" s="1320"/>
      <c r="CA258" s="1320"/>
      <c r="CB258" s="1320"/>
      <c r="CC258" s="1320"/>
      <c r="CD258" s="1345"/>
      <c r="CE258" s="1345"/>
      <c r="CF258" s="1345"/>
      <c r="CG258" s="1345"/>
      <c r="CH258" s="1345"/>
      <c r="CI258" s="1321"/>
      <c r="CJ258" s="1321"/>
      <c r="CK258" s="1321"/>
      <c r="CL258" s="1321"/>
      <c r="CM258" s="1321"/>
      <c r="CN258" s="1321"/>
      <c r="CO258" s="1321"/>
      <c r="CP258" s="1321"/>
      <c r="CQ258" s="1321"/>
      <c r="CR258" s="1321"/>
      <c r="CS258" s="1321"/>
      <c r="CT258" s="1321"/>
      <c r="CU258" s="1321"/>
      <c r="CV258" s="1321"/>
      <c r="CW258" s="1321"/>
      <c r="CX258" s="1321"/>
      <c r="CY258" s="1321"/>
      <c r="CZ258" s="1321"/>
      <c r="DA258" s="1321"/>
      <c r="DB258" s="1321"/>
      <c r="DC258" s="1321"/>
      <c r="DD258" s="1321"/>
      <c r="DE258" s="1321"/>
      <c r="DF258" s="1321"/>
      <c r="DG258" s="1321"/>
      <c r="DH258" s="1321"/>
      <c r="DI258" s="1321"/>
      <c r="DJ258" s="1321"/>
      <c r="DK258" s="1321"/>
      <c r="DL258" s="1321"/>
      <c r="DM258" s="1321"/>
      <c r="DN258" s="1076" t="str">
        <f t="shared" si="77"/>
        <v>Orge</v>
      </c>
      <c r="DO258" s="1267">
        <f t="array" ref="DO258">IF(ChoixRationHivernaleOvinsComplète=OUI,0,IFERROR(IF(OR(AND(INDEX(Règles_ovins[Specificite],MATCH(RationHivernaleOvinsAuPré&amp;$DN258,Règles_ovins[Ration]&amp;Règles_ovins[Aliment],0))="s1",IF($DN258=Spécificité1Ovins,1)),
AND(INDEX(Règles_ovins[Specificite],MATCH(RationHivernaleOvinsAuPré&amp;$DN258,Règles_ovins[Ration]&amp;Règles_ovins[Aliment],0))="s2",IF($DN258=Spécificité2Ovins,1)),
INDEX(Règles_ovins[Specificite],MATCH(RationHivernaleOvinsAuPré&amp;$DN258,Règles_ovins[Ration]&amp;Règles_ovins[Aliment],0))="c"),
INDEX(Règles_ovins[Valeur 12 et plus],MATCH(RationHivernaleOvinsAuPré&amp;$DN258,Règles_ovins[Ration]&amp;Règles_ovins[Aliment],0)),0),0)*IF(SUM(TotalOvinsAdultesAuPré)&gt;0,SUM(TotalOvinsAdultesAuPré)*SUM(AD76:AD100),SUM(TotalOvinsAdultes)*SUM(AD76:AD100)))</f>
        <v>0</v>
      </c>
      <c r="DP258" s="1267">
        <f t="array" ref="DP258">IF(ChoixRationHivernaleOvinsComplète=OUI,0,IFERROR(IF(OR(AND(INDEX(Règles_ovins[Specificite],MATCH(RationHivernaleOvinsAuPré&amp;$DN258,Règles_ovins[Ration]&amp;Règles_ovins[Aliment],0))="s1",IF($DN258=Spécificité1Ovins,1)),
AND(INDEX(Règles_ovins[Specificite],MATCH(RationHivernaleOvinsAuPré&amp;$DN258,Règles_ovins[Ration]&amp;Règles_ovins[Aliment],0))="s2",IF($DN258=Spécificité2Ovins,1)),
INDEX(Règles_ovins[Specificite],MATCH(RationHivernaleOvinsAuPré&amp;$DN258,Règles_ovins[Ration]&amp;Règles_ovins[Aliment],0))="c"),
INDEX(Règles_ovins[Valeur 6-12],MATCH(RationHivernaleOvinsAuPré&amp;$DN258,Règles_ovins[Ration]&amp;Règles_ovins[Aliment],0)),0),0)*IF(SUM(TotalOvins_6_12moisAuPré)&gt;0,SUM(TotalOvins_6_12moisAuPré)*SUM(AD76:AD100),SUM(TotalJeunesOvins)*SUM(AD76:AD100)))</f>
        <v>0</v>
      </c>
      <c r="DQ258" s="1267">
        <f t="array" ref="DQ258">IF(ChoixRationHivernaleOvinsComplète=OUI,0,IFERROR(IF(OR(AND(INDEX(Règles_ovins[Specificite],MATCH(RationHivernaleOvinsAuPré&amp;$DN258,Règles_ovins[Ration]&amp;Règles_ovins[Aliment],0))="s1",IF($DN258=Spécificité1Ovins,1)),
AND(INDEX(Règles_ovins[Specificite],MATCH(RationHivernaleOvinsAuPré&amp;$DN258,Règles_ovins[Ration]&amp;Règles_ovins[Aliment],0))="s2",IF($DN258=Spécificité2Ovins,1)),
INDEX(Règles_ovins[Specificite],MATCH(RationHivernaleOvinsAuPré&amp;$DN258,Règles_ovins[Ration]&amp;Règles_ovins[Aliment],0))="c"),
INDEX(Règles_ovins[Valeur 3-6],MATCH(RationHivernaleOvinsAuPré&amp;$DN258,Règles_ovins[Ration]&amp;Règles_ovins[Aliment],0)),0),0)*IF(SUM(TotalOvins_3_6moisAuPré)&gt;0,SUM(TotalOvins_3_6moisAuPré)*SUM(AD76:AD100),SUM(TotalOvins_3_6mois)*SUM(AD76:AD100)))</f>
        <v>0</v>
      </c>
      <c r="DR258" s="1267">
        <f t="array" ref="DR258">IF(ChoixRationHivernaleOvinsComplète=OUI,0,IFERROR(IF(OR(AND(INDEX(Règles_ovins[Specificite],MATCH(RationHivernaleOvinsAuPré&amp;$DN258,Règles_ovins[Ration]&amp;Règles_ovins[Aliment],0))="s1",IF($DN258=Spécificité1Ovins,1)),
AND(INDEX(Règles_ovins[Specificite],MATCH(RationHivernaleOvinsAuPré&amp;$DN258,Règles_ovins[Ration]&amp;Règles_ovins[Aliment],0))="s2",IF($DN258=Spécificité2Ovins,1)),
INDEX(Règles_ovins[Specificite],MATCH(RationHivernaleOvinsAuPré&amp;$DN258,Règles_ovins[Ration]&amp;Règles_ovins[Aliment],0))="c"),
INDEX(Règles_ovins[Valeur 0-3],MATCH(RationHivernaleOvinsAuPré&amp;$DN258,Règles_ovins[Ration]&amp;Règles_ovins[Aliment],0)),0),0)*IF(SUM(TotalOvins_0_3moisAuPré)&gt;0,SUM(TotalOvins_0_3moisAuPré)*SUM(AD76:AD100),SUM(TotalOvins_3_6mois)*SUM(AD76:AD100)))</f>
        <v>0</v>
      </c>
      <c r="DS258" s="1279">
        <f t="shared" si="76"/>
        <v>0</v>
      </c>
      <c r="DT258" s="1346"/>
      <c r="DU258" s="1346"/>
      <c r="DV258" s="1321"/>
      <c r="DW258" s="1321"/>
      <c r="DX258" s="1321"/>
      <c r="DY258" s="1321"/>
      <c r="DZ258" s="1321"/>
      <c r="EA258" s="1321"/>
      <c r="EB258" s="1321"/>
      <c r="EC258" s="1321"/>
      <c r="ED258" s="1345"/>
      <c r="EE258" s="1345"/>
      <c r="EF258" s="1321"/>
      <c r="EG258" s="1321"/>
      <c r="EH258" s="1321"/>
      <c r="EI258" s="1321"/>
      <c r="EJ258" s="1321"/>
      <c r="EK258" s="1345"/>
      <c r="EL258" s="1345"/>
      <c r="EM258" s="1321"/>
      <c r="EN258" s="1321"/>
      <c r="EO258" s="1321"/>
      <c r="EP258" s="1321"/>
      <c r="EQ258" s="1321"/>
      <c r="ER258" s="1345"/>
      <c r="ES258" s="1345"/>
      <c r="ET258" s="1321"/>
      <c r="EU258" s="1321"/>
      <c r="EV258" s="1321"/>
      <c r="EW258" s="1321"/>
      <c r="EX258" s="1321"/>
      <c r="EY258" s="1321"/>
      <c r="EZ258" s="1345"/>
      <c r="FA258" s="1345"/>
      <c r="FB258" s="1345"/>
      <c r="FC258" s="1321"/>
      <c r="FD258" s="1321"/>
      <c r="FE258" s="1321"/>
      <c r="FF258" s="1321"/>
      <c r="FG258" s="1321"/>
      <c r="FH258" s="1321"/>
      <c r="FI258" s="1345"/>
      <c r="FJ258" s="1345"/>
      <c r="FK258" s="1345"/>
      <c r="FL258" s="1345"/>
      <c r="FM258" s="1321"/>
      <c r="FN258" s="1321"/>
      <c r="FO258" s="1321"/>
      <c r="FP258" s="1321"/>
      <c r="FQ258" s="1321"/>
      <c r="FR258" s="1321"/>
      <c r="FS258" s="1345"/>
      <c r="FT258" s="1345"/>
      <c r="FU258" s="1345"/>
      <c r="FV258" s="1345"/>
      <c r="FW258" s="1321"/>
      <c r="FX258" s="1321"/>
      <c r="FY258" s="1321"/>
      <c r="FZ258" s="1321"/>
      <c r="GA258" s="1345"/>
      <c r="GB258" s="1321"/>
      <c r="GC258" s="1321"/>
      <c r="GD258" s="1321"/>
      <c r="GE258" s="1321"/>
      <c r="GF258" s="1321"/>
      <c r="GG258" s="1321" t="s">
        <v>1349</v>
      </c>
      <c r="GH258" s="1321" t="s">
        <v>1349</v>
      </c>
      <c r="GI258" s="1321" t="s">
        <v>1349</v>
      </c>
      <c r="GJ258" s="1321" t="s">
        <v>1349</v>
      </c>
      <c r="GK258" s="1321" t="s">
        <v>1349</v>
      </c>
      <c r="GL258" s="1321" t="s">
        <v>1349</v>
      </c>
      <c r="GM258" s="1321" t="s">
        <v>1349</v>
      </c>
      <c r="GN258" s="1321" t="s">
        <v>1349</v>
      </c>
      <c r="GO258" s="1321" t="s">
        <v>1349</v>
      </c>
      <c r="GP258" s="1321" t="s">
        <v>1349</v>
      </c>
      <c r="GQ258" s="1321" t="s">
        <v>1349</v>
      </c>
      <c r="GR258" s="1321" t="s">
        <v>1349</v>
      </c>
      <c r="GS258" s="1321" t="s">
        <v>1349</v>
      </c>
      <c r="GT258" s="1321" t="s">
        <v>1349</v>
      </c>
      <c r="GU258" s="1321" t="s">
        <v>1349</v>
      </c>
      <c r="GV258" s="1321" t="s">
        <v>1349</v>
      </c>
      <c r="GW258" s="1321"/>
      <c r="GX258" s="1321"/>
      <c r="GY258" s="1321"/>
      <c r="GZ258" s="1321"/>
      <c r="HA258" s="1321"/>
      <c r="HB258" s="1321"/>
      <c r="HC258" s="1321"/>
      <c r="HD258" s="1321"/>
      <c r="HE258" s="1321"/>
      <c r="HF258" s="1321"/>
      <c r="HG258" s="1321"/>
      <c r="HH258" s="1321"/>
      <c r="HI258" s="1321"/>
      <c r="HJ258" s="1321"/>
      <c r="HK258" s="1321"/>
      <c r="HL258" s="1321"/>
      <c r="HM258" s="1321"/>
      <c r="HN258" s="1321"/>
      <c r="HO258" s="1321"/>
      <c r="HP258" s="1321"/>
      <c r="HQ258" s="1321"/>
      <c r="HR258" s="1321"/>
      <c r="HS258" s="1321"/>
      <c r="HT258" s="1321"/>
      <c r="HU258" s="1321"/>
      <c r="HV258" s="1321"/>
      <c r="HW258" s="1321"/>
      <c r="HX258" s="1321"/>
      <c r="HY258" s="1321"/>
      <c r="HZ258" s="1321"/>
      <c r="IA258" s="1321"/>
      <c r="IB258" s="1321"/>
      <c r="IC258" s="1321"/>
      <c r="ID258" s="1321"/>
      <c r="IE258" s="1321"/>
      <c r="IF258" s="1321"/>
      <c r="IG258" s="1321"/>
      <c r="IH258" s="1321"/>
      <c r="II258" s="1321"/>
      <c r="IJ258" s="1321"/>
      <c r="IK258" s="1321"/>
      <c r="IL258" s="1321"/>
      <c r="IM258" s="1321"/>
      <c r="IN258" s="1368"/>
    </row>
    <row r="259" spans="1:248" ht="12.75" customHeight="1" x14ac:dyDescent="0.2">
      <c r="A259" s="1319"/>
      <c r="B259" s="1321"/>
      <c r="C259" s="1321"/>
      <c r="D259" s="1321"/>
      <c r="E259" s="1321"/>
      <c r="F259" s="1321"/>
      <c r="G259" s="1321"/>
      <c r="H259" s="1321"/>
      <c r="I259" s="1321"/>
      <c r="J259" s="1321"/>
      <c r="K259" s="1321"/>
      <c r="L259" s="1321"/>
      <c r="M259" s="1321"/>
      <c r="N259" s="1321"/>
      <c r="O259" s="1321"/>
      <c r="P259" s="1321"/>
      <c r="Q259" s="1321"/>
      <c r="R259" s="1321"/>
      <c r="S259" s="1321"/>
      <c r="T259" s="1321"/>
      <c r="U259" s="1321"/>
      <c r="V259" s="1321"/>
      <c r="W259" s="1321"/>
      <c r="X259" s="1321"/>
      <c r="Y259" s="1321"/>
      <c r="Z259" s="1321"/>
      <c r="AA259" s="1321"/>
      <c r="AB259" s="1321"/>
      <c r="AC259" s="1321"/>
      <c r="AD259" s="1321"/>
      <c r="AE259" s="1321"/>
      <c r="AF259" s="1321"/>
      <c r="AG259" s="1321"/>
      <c r="AH259" s="1321"/>
      <c r="AI259" s="1321"/>
      <c r="AJ259" s="1321"/>
      <c r="AK259" s="1321"/>
      <c r="AL259" s="1321"/>
      <c r="AM259" s="1321"/>
      <c r="AN259" s="1321"/>
      <c r="AO259" s="1321"/>
      <c r="AP259" s="1321"/>
      <c r="AQ259" s="1321"/>
      <c r="AR259" s="1321"/>
      <c r="AS259" s="1321"/>
      <c r="AT259" s="1321"/>
      <c r="AU259" s="1321"/>
      <c r="AV259" s="1321"/>
      <c r="AW259" s="1321"/>
      <c r="AX259" s="1321"/>
      <c r="AY259" s="1321"/>
      <c r="AZ259" s="1321"/>
      <c r="BA259" s="1321"/>
      <c r="BB259" s="1075" t="str">
        <f t="shared" si="75"/>
        <v>Pomme de terre</v>
      </c>
      <c r="BC259" s="1269">
        <f t="array" ref="BC259">IF(Ration_complète_bovins[somme]&gt;0,0,IFERROR(IF(OR(AND(INDEX(Règles_bovins[Specificite],MATCH(ChoixRationBovins&amp;$BB259,Règles_bovins[Ration]&amp;Règles_bovins[Aliment],0))="s1",IF($BB259=Spécificité1Bovins,1)),
AND(INDEX(Règles_bovins[Specificite],MATCH(ChoixRationBovins&amp;$BB259,Règles_bovins[Ration]&amp;Règles_bovins[Aliment],0))="s2",IF($BB259=Spécificité2Bovins,1)),
INDEX(Règles_bovins[Specificite],MATCH(ChoixRationBovins&amp;$BB259,Règles_bovins[Ration]&amp;Règles_bovins[Aliment],0))="c"),
INDEX(Règles_bovins[Valeur 36 et plus],MATCH(ChoixRationBovins&amp;$BB259,Règles_bovins[Ration]&amp;Règles_bovins[Aliment],0)),0),0)*IF(ChoixBovinsPréHiver=OUI,TotalVachesRacesLaitières,TotalVaches*SUM(NbreJoursNourrirBovins)))</f>
        <v>0</v>
      </c>
      <c r="BD259" s="1269">
        <f t="array" ref="BD259">IF(Ration_complète_bovins[somme]&gt;0,0,IFERROR(IF(OR(AND(INDEX(Règles_bovins[Specificite],MATCH(ChoixRationBovins&amp;$BB259,Règles_bovins[Ration]&amp;Règles_bovins[Aliment],0))="s1",IF($BB259=Spécificité1Bovins,1)),
AND(INDEX(Règles_bovins[Specificite],MATCH(ChoixRationBovins&amp;$BB259,Règles_bovins[Ration]&amp;Règles_bovins[Aliment],0))="s2",IF($BB259=Spécificité2Bovins,1)),
INDEX(Règles_bovins[Specificite],MATCH(ChoixRationBovins&amp;$BB259,Règles_bovins[Ration]&amp;Règles_bovins[Aliment],0))="c"),
INDEX(Règles_bovins[Valeur 24-36],MATCH(ChoixRationBovins&amp;$BB259,Règles_bovins[Ration]&amp;Règles_bovins[Aliment],0)),0),0)*IF(ChoixBovinsPréHiver=OUI,TotalGénisse_24_36_RacesLaitières,TotalBovinsFemelles_24_36mois*SUM(NbreJoursNourrirBovins)))</f>
        <v>0</v>
      </c>
      <c r="BE259" s="1269">
        <f t="array" ref="BE259">IF(Ration_complète_bovins[somme]&gt;0,0,IFERROR(IF(OR(AND(INDEX(Règles_bovins[Specificite],MATCH(ChoixRationBovins&amp;$BB259,Règles_bovins[Ration]&amp;Règles_bovins[Aliment],0))="s1",IF($BB259=Spécificité1Bovins,1)),
AND(INDEX(Règles_bovins[Specificite],MATCH(ChoixRationBovins&amp;$BB259,Règles_bovins[Ration]&amp;Règles_bovins[Aliment],0))="s2",IF($BB259=Spécificité2Bovins,1)),
INDEX(Règles_bovins[Specificite],MATCH(ChoixRationBovins&amp;$BB259,Règles_bovins[Ration]&amp;Règles_bovins[Aliment],0))="c"),
INDEX(Règles_bovins[Valeur 18-24],MATCH(ChoixRationBovins&amp;$BB259,Règles_bovins[Ration]&amp;Règles_bovins[Aliment],0)),0),0)*IF(ChoixBovinsPréHiver=OUI,TotalGénisse_18_24_RacesLaitières,TotalBovinsFemelles_18_24mois*SUM(NbreJoursNourrirBovins)))</f>
        <v>0</v>
      </c>
      <c r="BF259" s="1269">
        <f t="array" ref="BF259">IF(Ration_complète_bovins[somme]&gt;0,0,IFERROR(IF(OR(AND(INDEX(Règles_bovins[Specificite],MATCH(ChoixRationBovins&amp;$BB259,Règles_bovins[Ration]&amp;Règles_bovins[Aliment],0))="s1",IF($BB259=Spécificité1Bovins,1)),
AND(INDEX(Règles_bovins[Specificite],MATCH(ChoixRationBovins&amp;$BB259,Règles_bovins[Ration]&amp;Règles_bovins[Aliment],0))="s2",IF($BB259=Spécificité2Bovins,1)),
INDEX(Règles_bovins[Specificite],MATCH(ChoixRationBovins&amp;$BB259,Règles_bovins[Ration]&amp;Règles_bovins[Aliment],0))="c"),
INDEX(Règles_bovins[Valeur 12-18],MATCH(ChoixRationBovins&amp;$BB259,Règles_bovins[Ration]&amp;Règles_bovins[Aliment],0)),0),0)*IF(ChoixBovinsPréHiver=OUI,TotalGénisse_12_18_RacesLaitières,TotalBovinsFemelles_12_18mois*SUM(NbreJoursNourrirBovins)))</f>
        <v>0</v>
      </c>
      <c r="BG259" s="1269">
        <f t="array" ref="BG259">IF(Ration_complète_bovins[somme]&gt;0,0,IFERROR(IF(OR(AND(INDEX(Règles_bovins[Specificite],MATCH(ChoixRationBovins&amp;$BB259,Règles_bovins[Ration]&amp;Règles_bovins[Aliment],0))="s1",IF($BB259=Spécificité1Bovins,1)),
AND(INDEX(Règles_bovins[Specificite],MATCH(ChoixRationBovins&amp;$BB259,Règles_bovins[Ration]&amp;Règles_bovins[Aliment],0))="s2",IF($BB259=Spécificité2Bovins,1)),
INDEX(Règles_bovins[Specificite],MATCH(ChoixRationBovins&amp;$BB259,Règles_bovins[Ration]&amp;Règles_bovins[Aliment],0))="c"),
INDEX(Règles_bovins[Valeur 6-12],MATCH(ChoixRationBovins&amp;$BB259,Règles_bovins[Ration]&amp;Règles_bovins[Aliment],0)),0),0)*IF(ChoixBovinsPréHiver=OUI,TotalVeauFemelle_6_12_RacesLaitières,TotalBovinsFemelles_6_12mois*SUM(NbreJoursNourrirBovins)))</f>
        <v>0</v>
      </c>
      <c r="BH259" s="1269">
        <f t="array" ref="BH259">IF(Ration_complète_bovins[somme]&gt;0,0,IFERROR(IF(OR(AND(INDEX(Règles_bovins[Specificite],MATCH(ChoixRationBovins&amp;$BB259,Règles_bovins[Ration]&amp;Règles_bovins[Aliment],0))="s1",IF($BB259=Spécificité1Bovins,1)),
AND(INDEX(Règles_bovins[Specificite],MATCH(ChoixRationBovins&amp;$BB259,Règles_bovins[Ration]&amp;Règles_bovins[Aliment],0))="s2",IF($BB259=Spécificité2Bovins,1)),
INDEX(Règles_bovins[Specificite],MATCH(ChoixRationBovins&amp;$BB259,Règles_bovins[Ration]&amp;Règles_bovins[Aliment],0))="c"),
INDEX(Règles_bovins[Valeur 3-6],MATCH(ChoixRationBovins&amp;$BB259,Règles_bovins[Ration]&amp;Règles_bovins[Aliment],0)),0),0)*IF(ChoixBovinsPréHiver=OUI,TotalVeauFemelle_3_6_RacesLaitières,TotalBovinsFemelles_3_6mois*SUM(NbreJoursNourrirBovins)))</f>
        <v>0</v>
      </c>
      <c r="BI259" s="1269">
        <f t="array" ref="BI259">IF(Ration_complète_bovins[somme]&gt;0,0,IFERROR(IF(OR(AND(INDEX(Règles_bovins[Specificite],MATCH(ChoixRationBovins&amp;$BB259,Règles_bovins[Ration]&amp;Règles_bovins[Aliment],0))="s1",IF($BB259=Spécificité1Bovins,1)),
AND(INDEX(Règles_bovins[Specificite],MATCH(ChoixRationBovins&amp;$BB259,Règles_bovins[Ration]&amp;Règles_bovins[Aliment],0))="s2",IF($BB259=Spécificité2Bovins,1)),
INDEX(Règles_bovins[Specificite],MATCH(ChoixRationBovins&amp;$BB259,Règles_bovins[Ration]&amp;Règles_bovins[Aliment],0))="c"),
INDEX(Règles_bovins[Valeur 0-3],MATCH(ChoixRationBovins&amp;$BB259,Règles_bovins[Ration]&amp;Règles_bovins[Aliment],0)),0),0)*IF(ChoixBovinsPréHiver=OUI,TotalVeauFemelle_0_3_RacesLaitières,TotalBovinsFemelles_0_3mois*SUM(NbreJoursNourrirBovins)))</f>
        <v>0</v>
      </c>
      <c r="BJ259" s="1270">
        <f t="shared" si="74"/>
        <v>0</v>
      </c>
      <c r="BK259" s="1345"/>
      <c r="BL259" s="1345"/>
      <c r="BM259" s="1346"/>
      <c r="BN259" s="1321"/>
      <c r="BO259" s="1321"/>
      <c r="BP259" s="1321"/>
      <c r="BQ259" s="1321"/>
      <c r="BR259" s="1321"/>
      <c r="BS259" s="1321"/>
      <c r="BT259" s="1321"/>
      <c r="BU259" s="1321"/>
      <c r="BV259" s="1345"/>
      <c r="BW259" s="1345"/>
      <c r="BX259" s="1321"/>
      <c r="BY259" s="1321"/>
      <c r="BZ259" s="1320"/>
      <c r="CA259" s="1320"/>
      <c r="CB259" s="1320"/>
      <c r="CC259" s="1320"/>
      <c r="CD259" s="1345"/>
      <c r="CE259" s="1345"/>
      <c r="CF259" s="1345"/>
      <c r="CG259" s="1345"/>
      <c r="CH259" s="1345"/>
      <c r="CI259" s="1321"/>
      <c r="CJ259" s="1321"/>
      <c r="CK259" s="1321"/>
      <c r="CL259" s="1321"/>
      <c r="CM259" s="1321"/>
      <c r="CN259" s="1321"/>
      <c r="CO259" s="1321"/>
      <c r="CP259" s="1321"/>
      <c r="CQ259" s="1321"/>
      <c r="CR259" s="1321"/>
      <c r="CS259" s="1321"/>
      <c r="CT259" s="1321"/>
      <c r="CU259" s="1321"/>
      <c r="CV259" s="1321"/>
      <c r="CW259" s="1321"/>
      <c r="CX259" s="1321"/>
      <c r="CY259" s="1321"/>
      <c r="CZ259" s="1321"/>
      <c r="DA259" s="1321"/>
      <c r="DB259" s="1321"/>
      <c r="DC259" s="1321"/>
      <c r="DD259" s="1321"/>
      <c r="DE259" s="1321"/>
      <c r="DF259" s="1321"/>
      <c r="DG259" s="1321"/>
      <c r="DH259" s="1321"/>
      <c r="DI259" s="1321"/>
      <c r="DJ259" s="1321"/>
      <c r="DK259" s="1321"/>
      <c r="DL259" s="1321"/>
      <c r="DM259" s="1321"/>
      <c r="DN259" s="1075" t="str">
        <f t="shared" si="77"/>
        <v>Paille</v>
      </c>
      <c r="DO259" s="1269">
        <f t="array" ref="DO259">IF(ChoixRationHivernaleOvinsComplète=OUI,0,IFERROR(IF(OR(AND(INDEX(Règles_ovins[Specificite],MATCH(RationHivernaleOvinsAuPré&amp;$DN259,Règles_ovins[Ration]&amp;Règles_ovins[Aliment],0))="s1",IF($DN259=Spécificité1Ovins,1)),
AND(INDEX(Règles_ovins[Specificite],MATCH(RationHivernaleOvinsAuPré&amp;$DN259,Règles_ovins[Ration]&amp;Règles_ovins[Aliment],0))="s2",IF($DN259=Spécificité2Ovins,1)),
INDEX(Règles_ovins[Specificite],MATCH(RationHivernaleOvinsAuPré&amp;$DN259,Règles_ovins[Ration]&amp;Règles_ovins[Aliment],0))="c"),
INDEX(Règles_ovins[Valeur 12 et plus],MATCH(RationHivernaleOvinsAuPré&amp;$DN259,Règles_ovins[Ration]&amp;Règles_ovins[Aliment],0)),0),0)*IF(SUM(TotalOvinsAdultesAuPré)&gt;0,SUM(TotalOvinsAdultesAuPré)*SUM(AD76:AD100),SUM(TotalOvinsAdultes)*SUM(AD76:AD100)))</f>
        <v>0</v>
      </c>
      <c r="DP259" s="1269">
        <f t="array" ref="DP259">IF(ChoixRationHivernaleOvinsComplète=OUI,0,IFERROR(IF(OR(AND(INDEX(Règles_ovins[Specificite],MATCH(RationHivernaleOvinsAuPré&amp;$DN259,Règles_ovins[Ration]&amp;Règles_ovins[Aliment],0))="s1",IF($DN259=Spécificité1Ovins,1)),
AND(INDEX(Règles_ovins[Specificite],MATCH(RationHivernaleOvinsAuPré&amp;$DN259,Règles_ovins[Ration]&amp;Règles_ovins[Aliment],0))="s2",IF($DN259=Spécificité2Ovins,1)),
INDEX(Règles_ovins[Specificite],MATCH(RationHivernaleOvinsAuPré&amp;$DN259,Règles_ovins[Ration]&amp;Règles_ovins[Aliment],0))="c"),
INDEX(Règles_ovins[Valeur 6-12],MATCH(RationHivernaleOvinsAuPré&amp;$DN259,Règles_ovins[Ration]&amp;Règles_ovins[Aliment],0)),0),0)*IF(SUM(TotalOvins_6_12moisAuPré)&gt;0,SUM(TotalOvins_6_12moisAuPré)*SUM(AD76:AD100),SUM(TotalJeunesOvins)*SUM(AD76:AD100)))</f>
        <v>0</v>
      </c>
      <c r="DQ259" s="1269">
        <f t="array" ref="DQ259">IF(ChoixRationHivernaleOvinsComplète=OUI,0,IFERROR(IF(OR(AND(INDEX(Règles_ovins[Specificite],MATCH(RationHivernaleOvinsAuPré&amp;$DN259,Règles_ovins[Ration]&amp;Règles_ovins[Aliment],0))="s1",IF($DN259=Spécificité1Ovins,1)),
AND(INDEX(Règles_ovins[Specificite],MATCH(RationHivernaleOvinsAuPré&amp;$DN259,Règles_ovins[Ration]&amp;Règles_ovins[Aliment],0))="s2",IF($DN259=Spécificité2Ovins,1)),
INDEX(Règles_ovins[Specificite],MATCH(RationHivernaleOvinsAuPré&amp;$DN259,Règles_ovins[Ration]&amp;Règles_ovins[Aliment],0))="c"),
INDEX(Règles_ovins[Valeur 3-6],MATCH(RationHivernaleOvinsAuPré&amp;$DN259,Règles_ovins[Ration]&amp;Règles_ovins[Aliment],0)),0),0)*IF(SUM(TotalOvins_3_6moisAuPré)&gt;0,SUM(TotalOvins_3_6moisAuPré)*SUM(AD76:AD100),SUM(TotalOvins_3_6mois)*SUM(AD76:AD100)))</f>
        <v>0</v>
      </c>
      <c r="DR259" s="1269">
        <f t="array" ref="DR259">IF(ChoixRationHivernaleOvinsComplète=OUI,0,IFERROR(IF(OR(AND(INDEX(Règles_ovins[Specificite],MATCH(RationHivernaleOvinsAuPré&amp;$DN259,Règles_ovins[Ration]&amp;Règles_ovins[Aliment],0))="s1",IF($DN259=Spécificité1Ovins,1)),
AND(INDEX(Règles_ovins[Specificite],MATCH(RationHivernaleOvinsAuPré&amp;$DN259,Règles_ovins[Ration]&amp;Règles_ovins[Aliment],0))="s2",IF($DN259=Spécificité2Ovins,1)),
INDEX(Règles_ovins[Specificite],MATCH(RationHivernaleOvinsAuPré&amp;$DN259,Règles_ovins[Ration]&amp;Règles_ovins[Aliment],0))="c"),
INDEX(Règles_ovins[Valeur 0-3],MATCH(RationHivernaleOvinsAuPré&amp;$DN259,Règles_ovins[Ration]&amp;Règles_ovins[Aliment],0)),0),0)*IF(SUM(TotalOvins_0_3moisAuPré)&gt;0,SUM(TotalOvins_0_3moisAuPré)*SUM(AD76:AD100),SUM(TotalOvins_3_6mois)*SUM(AD76:AD100)))</f>
        <v>0</v>
      </c>
      <c r="DS259" s="1280">
        <f t="shared" si="76"/>
        <v>0</v>
      </c>
      <c r="DT259" s="1346"/>
      <c r="DU259" s="1346"/>
      <c r="DV259" s="1321"/>
      <c r="DW259" s="1321"/>
      <c r="DX259" s="1321"/>
      <c r="DY259" s="1321"/>
      <c r="DZ259" s="1321"/>
      <c r="EA259" s="1321"/>
      <c r="EB259" s="1321"/>
      <c r="EC259" s="1321"/>
      <c r="ED259" s="1345"/>
      <c r="EE259" s="1345"/>
      <c r="EF259" s="1321"/>
      <c r="EG259" s="1321"/>
      <c r="EH259" s="1321"/>
      <c r="EI259" s="1321"/>
      <c r="EJ259" s="1321"/>
      <c r="EK259" s="1345"/>
      <c r="EL259" s="1345"/>
      <c r="EM259" s="1321"/>
      <c r="EN259" s="1321"/>
      <c r="EO259" s="1321"/>
      <c r="EP259" s="1321"/>
      <c r="EQ259" s="1321"/>
      <c r="ER259" s="1345"/>
      <c r="ES259" s="1345"/>
      <c r="ET259" s="1321"/>
      <c r="EU259" s="1321"/>
      <c r="EV259" s="1321"/>
      <c r="EW259" s="1321"/>
      <c r="EX259" s="1321"/>
      <c r="EY259" s="1321"/>
      <c r="EZ259" s="1345"/>
      <c r="FA259" s="1345"/>
      <c r="FB259" s="1345"/>
      <c r="FC259" s="1321"/>
      <c r="FD259" s="1321"/>
      <c r="FE259" s="1321"/>
      <c r="FF259" s="1321"/>
      <c r="FG259" s="1321"/>
      <c r="FH259" s="1321"/>
      <c r="FI259" s="1345"/>
      <c r="FJ259" s="1345"/>
      <c r="FK259" s="1345"/>
      <c r="FL259" s="1345"/>
      <c r="FM259" s="1321"/>
      <c r="FN259" s="1321"/>
      <c r="FO259" s="1321"/>
      <c r="FP259" s="1321"/>
      <c r="FQ259" s="1321"/>
      <c r="FR259" s="1321"/>
      <c r="FS259" s="1345"/>
      <c r="FT259" s="1345"/>
      <c r="FU259" s="1345"/>
      <c r="FV259" s="1345"/>
      <c r="FW259" s="1321"/>
      <c r="FX259" s="1321"/>
      <c r="FY259" s="1321"/>
      <c r="FZ259" s="1321"/>
      <c r="GA259" s="1345"/>
      <c r="GB259" s="1321"/>
      <c r="GC259" s="1321"/>
      <c r="GD259" s="1321"/>
      <c r="GE259" s="1321"/>
      <c r="GF259" s="1321"/>
      <c r="GG259" s="1321" t="s">
        <v>1349</v>
      </c>
      <c r="GH259" s="1321" t="s">
        <v>1349</v>
      </c>
      <c r="GI259" s="1321" t="s">
        <v>1349</v>
      </c>
      <c r="GJ259" s="1321" t="s">
        <v>1349</v>
      </c>
      <c r="GK259" s="1321" t="s">
        <v>1349</v>
      </c>
      <c r="GL259" s="1321" t="s">
        <v>1349</v>
      </c>
      <c r="GM259" s="1321" t="s">
        <v>1349</v>
      </c>
      <c r="GN259" s="1321" t="s">
        <v>1349</v>
      </c>
      <c r="GO259" s="1321" t="s">
        <v>1349</v>
      </c>
      <c r="GP259" s="1321" t="s">
        <v>1349</v>
      </c>
      <c r="GQ259" s="1321" t="s">
        <v>1349</v>
      </c>
      <c r="GR259" s="1321" t="s">
        <v>1349</v>
      </c>
      <c r="GS259" s="1321" t="s">
        <v>1349</v>
      </c>
      <c r="GT259" s="1321" t="s">
        <v>1349</v>
      </c>
      <c r="GU259" s="1321" t="s">
        <v>1349</v>
      </c>
      <c r="GV259" s="1321" t="s">
        <v>1349</v>
      </c>
      <c r="GW259" s="1321"/>
      <c r="GX259" s="1321"/>
      <c r="GY259" s="1321"/>
      <c r="GZ259" s="1321"/>
      <c r="HA259" s="1321"/>
      <c r="HB259" s="1321"/>
      <c r="HC259" s="1321"/>
      <c r="HD259" s="1321"/>
      <c r="HE259" s="1321"/>
      <c r="HF259" s="1321"/>
      <c r="HG259" s="1321"/>
      <c r="HH259" s="1321"/>
      <c r="HI259" s="1321"/>
      <c r="HJ259" s="1321"/>
      <c r="HK259" s="1321"/>
      <c r="HL259" s="1321"/>
      <c r="HM259" s="1321"/>
      <c r="HN259" s="1321"/>
      <c r="HO259" s="1321"/>
      <c r="HP259" s="1321"/>
      <c r="HQ259" s="1321"/>
      <c r="HR259" s="1321"/>
      <c r="HS259" s="1321"/>
      <c r="HT259" s="1321"/>
      <c r="HU259" s="1321"/>
      <c r="HV259" s="1321"/>
      <c r="HW259" s="1321"/>
      <c r="HX259" s="1321"/>
      <c r="HY259" s="1321"/>
      <c r="HZ259" s="1321"/>
      <c r="IA259" s="1321"/>
      <c r="IB259" s="1321"/>
      <c r="IC259" s="1321"/>
      <c r="ID259" s="1321"/>
      <c r="IE259" s="1321"/>
      <c r="IF259" s="1321"/>
      <c r="IG259" s="1321"/>
      <c r="IH259" s="1321"/>
      <c r="II259" s="1321"/>
      <c r="IJ259" s="1321"/>
      <c r="IK259" s="1321"/>
      <c r="IL259" s="1321"/>
      <c r="IM259" s="1321"/>
      <c r="IN259" s="1368"/>
    </row>
    <row r="260" spans="1:248" ht="12.75" customHeight="1" x14ac:dyDescent="0.2">
      <c r="A260" s="1319"/>
      <c r="B260" s="1321"/>
      <c r="C260" s="1321"/>
      <c r="D260" s="1321"/>
      <c r="E260" s="1321"/>
      <c r="F260" s="1321"/>
      <c r="G260" s="1321"/>
      <c r="H260" s="1321"/>
      <c r="I260" s="1321"/>
      <c r="J260" s="1321"/>
      <c r="K260" s="1321"/>
      <c r="L260" s="1321"/>
      <c r="M260" s="1321"/>
      <c r="N260" s="1321"/>
      <c r="O260" s="1321"/>
      <c r="P260" s="1321"/>
      <c r="Q260" s="1321"/>
      <c r="R260" s="1321"/>
      <c r="S260" s="1321"/>
      <c r="T260" s="1321"/>
      <c r="U260" s="1321"/>
      <c r="V260" s="1321"/>
      <c r="W260" s="1321"/>
      <c r="X260" s="1321"/>
      <c r="Y260" s="1321"/>
      <c r="Z260" s="1321"/>
      <c r="AA260" s="1321"/>
      <c r="AB260" s="1321"/>
      <c r="AC260" s="1321"/>
      <c r="AD260" s="1321"/>
      <c r="AE260" s="1321"/>
      <c r="AF260" s="1321"/>
      <c r="AG260" s="1321"/>
      <c r="AH260" s="1321"/>
      <c r="AI260" s="1321"/>
      <c r="AJ260" s="1321"/>
      <c r="AK260" s="1321"/>
      <c r="AL260" s="1321"/>
      <c r="AM260" s="1321"/>
      <c r="AN260" s="1321"/>
      <c r="AO260" s="1321"/>
      <c r="AP260" s="1321"/>
      <c r="AQ260" s="1321"/>
      <c r="AR260" s="1321"/>
      <c r="AS260" s="1321"/>
      <c r="AT260" s="1321"/>
      <c r="AU260" s="1321"/>
      <c r="AV260" s="1321"/>
      <c r="AW260" s="1321"/>
      <c r="AX260" s="1321"/>
      <c r="AY260" s="1321"/>
      <c r="AZ260" s="1321"/>
      <c r="BA260" s="1321"/>
      <c r="BB260" s="1076" t="str">
        <f t="shared" si="75"/>
        <v>Pulpe déshydratée de betterave</v>
      </c>
      <c r="BC260" s="1267">
        <f t="array" ref="BC260">IF(Ration_complète_bovins[somme]&gt;0,0,IFERROR(IF(OR(AND(INDEX(Règles_bovins[Specificite],MATCH(ChoixRationBovins&amp;$BB260,Règles_bovins[Ration]&amp;Règles_bovins[Aliment],0))="s1",IF($BB260=Spécificité1Bovins,1)),
AND(INDEX(Règles_bovins[Specificite],MATCH(ChoixRationBovins&amp;$BB260,Règles_bovins[Ration]&amp;Règles_bovins[Aliment],0))="s2",IF($BB260=Spécificité2Bovins,1)),
INDEX(Règles_bovins[Specificite],MATCH(ChoixRationBovins&amp;$BB260,Règles_bovins[Ration]&amp;Règles_bovins[Aliment],0))="c"),
INDEX(Règles_bovins[Valeur 36 et plus],MATCH(ChoixRationBovins&amp;$BB260,Règles_bovins[Ration]&amp;Règles_bovins[Aliment],0)),0),0)*IF(ChoixBovinsPréHiver=OUI,TotalVachesRacesLaitières,TotalVaches*SUM(NbreJoursNourrirBovins)))</f>
        <v>0</v>
      </c>
      <c r="BD260" s="1267">
        <f t="array" ref="BD260">IF(Ration_complète_bovins[somme]&gt;0,0,IFERROR(IF(OR(AND(INDEX(Règles_bovins[Specificite],MATCH(ChoixRationBovins&amp;$BB260,Règles_bovins[Ration]&amp;Règles_bovins[Aliment],0))="s1",IF($BB260=Spécificité1Bovins,1)),
AND(INDEX(Règles_bovins[Specificite],MATCH(ChoixRationBovins&amp;$BB260,Règles_bovins[Ration]&amp;Règles_bovins[Aliment],0))="s2",IF($BB260=Spécificité2Bovins,1)),
INDEX(Règles_bovins[Specificite],MATCH(ChoixRationBovins&amp;$BB260,Règles_bovins[Ration]&amp;Règles_bovins[Aliment],0))="c"),
INDEX(Règles_bovins[Valeur 24-36],MATCH(ChoixRationBovins&amp;$BB260,Règles_bovins[Ration]&amp;Règles_bovins[Aliment],0)),0),0)*IF(ChoixBovinsPréHiver=OUI,TotalGénisse_24_36_RacesLaitières,TotalBovinsFemelles_24_36mois*SUM(NbreJoursNourrirBovins)))</f>
        <v>0</v>
      </c>
      <c r="BE260" s="1267">
        <f t="array" ref="BE260">IF(Ration_complète_bovins[somme]&gt;0,0,IFERROR(IF(OR(AND(INDEX(Règles_bovins[Specificite],MATCH(ChoixRationBovins&amp;$BB260,Règles_bovins[Ration]&amp;Règles_bovins[Aliment],0))="s1",IF($BB260=Spécificité1Bovins,1)),
AND(INDEX(Règles_bovins[Specificite],MATCH(ChoixRationBovins&amp;$BB260,Règles_bovins[Ration]&amp;Règles_bovins[Aliment],0))="s2",IF($BB260=Spécificité2Bovins,1)),
INDEX(Règles_bovins[Specificite],MATCH(ChoixRationBovins&amp;$BB260,Règles_bovins[Ration]&amp;Règles_bovins[Aliment],0))="c"),
INDEX(Règles_bovins[Valeur 18-24],MATCH(ChoixRationBovins&amp;$BB260,Règles_bovins[Ration]&amp;Règles_bovins[Aliment],0)),0),0)*IF(ChoixBovinsPréHiver=OUI,TotalGénisse_18_24_RacesLaitières,TotalBovinsFemelles_18_24mois*SUM(NbreJoursNourrirBovins)))</f>
        <v>0</v>
      </c>
      <c r="BF260" s="1267">
        <f t="array" ref="BF260">IF(Ration_complète_bovins[somme]&gt;0,0,IFERROR(IF(OR(AND(INDEX(Règles_bovins[Specificite],MATCH(ChoixRationBovins&amp;$BB260,Règles_bovins[Ration]&amp;Règles_bovins[Aliment],0))="s1",IF($BB260=Spécificité1Bovins,1)),
AND(INDEX(Règles_bovins[Specificite],MATCH(ChoixRationBovins&amp;$BB260,Règles_bovins[Ration]&amp;Règles_bovins[Aliment],0))="s2",IF($BB260=Spécificité2Bovins,1)),
INDEX(Règles_bovins[Specificite],MATCH(ChoixRationBovins&amp;$BB260,Règles_bovins[Ration]&amp;Règles_bovins[Aliment],0))="c"),
INDEX(Règles_bovins[Valeur 12-18],MATCH(ChoixRationBovins&amp;$BB260,Règles_bovins[Ration]&amp;Règles_bovins[Aliment],0)),0),0)*IF(ChoixBovinsPréHiver=OUI,TotalGénisse_12_18_RacesLaitières,TotalBovinsFemelles_12_18mois*SUM(NbreJoursNourrirBovins)))</f>
        <v>0</v>
      </c>
      <c r="BG260" s="1267">
        <f t="array" ref="BG260">IF(Ration_complète_bovins[somme]&gt;0,0,IFERROR(IF(OR(AND(INDEX(Règles_bovins[Specificite],MATCH(ChoixRationBovins&amp;$BB260,Règles_bovins[Ration]&amp;Règles_bovins[Aliment],0))="s1",IF($BB260=Spécificité1Bovins,1)),
AND(INDEX(Règles_bovins[Specificite],MATCH(ChoixRationBovins&amp;$BB260,Règles_bovins[Ration]&amp;Règles_bovins[Aliment],0))="s2",IF($BB260=Spécificité2Bovins,1)),
INDEX(Règles_bovins[Specificite],MATCH(ChoixRationBovins&amp;$BB260,Règles_bovins[Ration]&amp;Règles_bovins[Aliment],0))="c"),
INDEX(Règles_bovins[Valeur 6-12],MATCH(ChoixRationBovins&amp;$BB260,Règles_bovins[Ration]&amp;Règles_bovins[Aliment],0)),0),0)*IF(ChoixBovinsPréHiver=OUI,TotalVeauFemelle_6_12_RacesLaitières,TotalBovinsFemelles_6_12mois*SUM(NbreJoursNourrirBovins)))</f>
        <v>0</v>
      </c>
      <c r="BH260" s="1267">
        <f t="array" ref="BH260">IF(Ration_complète_bovins[somme]&gt;0,0,IFERROR(IF(OR(AND(INDEX(Règles_bovins[Specificite],MATCH(ChoixRationBovins&amp;$BB260,Règles_bovins[Ration]&amp;Règles_bovins[Aliment],0))="s1",IF($BB260=Spécificité1Bovins,1)),
AND(INDEX(Règles_bovins[Specificite],MATCH(ChoixRationBovins&amp;$BB260,Règles_bovins[Ration]&amp;Règles_bovins[Aliment],0))="s2",IF($BB260=Spécificité2Bovins,1)),
INDEX(Règles_bovins[Specificite],MATCH(ChoixRationBovins&amp;$BB260,Règles_bovins[Ration]&amp;Règles_bovins[Aliment],0))="c"),
INDEX(Règles_bovins[Valeur 3-6],MATCH(ChoixRationBovins&amp;$BB260,Règles_bovins[Ration]&amp;Règles_bovins[Aliment],0)),0),0)*IF(ChoixBovinsPréHiver=OUI,TotalVeauFemelle_3_6_RacesLaitières,TotalBovinsFemelles_3_6mois*SUM(NbreJoursNourrirBovins)))</f>
        <v>0</v>
      </c>
      <c r="BI260" s="1267">
        <f t="array" ref="BI260">IF(Ration_complète_bovins[somme]&gt;0,0,IFERROR(IF(OR(AND(INDEX(Règles_bovins[Specificite],MATCH(ChoixRationBovins&amp;$BB260,Règles_bovins[Ration]&amp;Règles_bovins[Aliment],0))="s1",IF($BB260=Spécificité1Bovins,1)),
AND(INDEX(Règles_bovins[Specificite],MATCH(ChoixRationBovins&amp;$BB260,Règles_bovins[Ration]&amp;Règles_bovins[Aliment],0))="s2",IF($BB260=Spécificité2Bovins,1)),
INDEX(Règles_bovins[Specificite],MATCH(ChoixRationBovins&amp;$BB260,Règles_bovins[Ration]&amp;Règles_bovins[Aliment],0))="c"),
INDEX(Règles_bovins[Valeur 0-3],MATCH(ChoixRationBovins&amp;$BB260,Règles_bovins[Ration]&amp;Règles_bovins[Aliment],0)),0),0)*IF(ChoixBovinsPréHiver=OUI,TotalVeauFemelle_0_3_RacesLaitières,TotalBovinsFemelles_0_3mois*SUM(NbreJoursNourrirBovins)))</f>
        <v>0</v>
      </c>
      <c r="BJ260" s="1268">
        <f t="shared" si="74"/>
        <v>0</v>
      </c>
      <c r="BK260" s="1345"/>
      <c r="BL260" s="1345"/>
      <c r="BM260" s="1346"/>
      <c r="BN260" s="1321"/>
      <c r="BO260" s="1321"/>
      <c r="BP260" s="1321"/>
      <c r="BQ260" s="1321"/>
      <c r="BR260" s="1321"/>
      <c r="BS260" s="1321"/>
      <c r="BT260" s="1321"/>
      <c r="BU260" s="1321"/>
      <c r="BV260" s="1345"/>
      <c r="BW260" s="1345"/>
      <c r="BX260" s="1321"/>
      <c r="BY260" s="1321"/>
      <c r="BZ260" s="1320"/>
      <c r="CA260" s="1320"/>
      <c r="CB260" s="1320"/>
      <c r="CC260" s="1320"/>
      <c r="CD260" s="1345"/>
      <c r="CE260" s="1345"/>
      <c r="CF260" s="1345"/>
      <c r="CG260" s="1345"/>
      <c r="CH260" s="1345"/>
      <c r="CI260" s="1321"/>
      <c r="CJ260" s="1321"/>
      <c r="CK260" s="1321"/>
      <c r="CL260" s="1321"/>
      <c r="CM260" s="1321"/>
      <c r="CN260" s="1321"/>
      <c r="CO260" s="1321"/>
      <c r="CP260" s="1321"/>
      <c r="CQ260" s="1321"/>
      <c r="CR260" s="1321"/>
      <c r="CS260" s="1321"/>
      <c r="CT260" s="1321"/>
      <c r="CU260" s="1321"/>
      <c r="CV260" s="1321"/>
      <c r="CW260" s="1321"/>
      <c r="CX260" s="1321"/>
      <c r="CY260" s="1321"/>
      <c r="CZ260" s="1321"/>
      <c r="DA260" s="1321"/>
      <c r="DB260" s="1321"/>
      <c r="DC260" s="1321"/>
      <c r="DD260" s="1321"/>
      <c r="DE260" s="1321"/>
      <c r="DF260" s="1321"/>
      <c r="DG260" s="1321"/>
      <c r="DH260" s="1321"/>
      <c r="DI260" s="1321"/>
      <c r="DJ260" s="1321"/>
      <c r="DK260" s="1321"/>
      <c r="DL260" s="1321"/>
      <c r="DM260" s="1321"/>
      <c r="DN260" s="1076" t="str">
        <f t="shared" si="77"/>
        <v>Pois</v>
      </c>
      <c r="DO260" s="1267">
        <f t="array" ref="DO260">IF(ChoixRationHivernaleOvinsComplète=OUI,0,IFERROR(IF(OR(AND(INDEX(Règles_ovins[Specificite],MATCH(RationHivernaleOvinsAuPré&amp;$DN260,Règles_ovins[Ration]&amp;Règles_ovins[Aliment],0))="s1",IF($DN260=Spécificité1Ovins,1)),
AND(INDEX(Règles_ovins[Specificite],MATCH(RationHivernaleOvinsAuPré&amp;$DN260,Règles_ovins[Ration]&amp;Règles_ovins[Aliment],0))="s2",IF($DN260=Spécificité2Ovins,1)),
INDEX(Règles_ovins[Specificite],MATCH(RationHivernaleOvinsAuPré&amp;$DN260,Règles_ovins[Ration]&amp;Règles_ovins[Aliment],0))="c"),
INDEX(Règles_ovins[Valeur 12 et plus],MATCH(RationHivernaleOvinsAuPré&amp;$DN260,Règles_ovins[Ration]&amp;Règles_ovins[Aliment],0)),0),0)*IF(SUM(TotalOvinsAdultesAuPré)&gt;0,SUM(TotalOvinsAdultesAuPré)*SUM(AD76:AD100),SUM(TotalOvinsAdultes)*SUM(AD76:AD100)))</f>
        <v>0</v>
      </c>
      <c r="DP260" s="1267">
        <f t="array" ref="DP260">IF(ChoixRationHivernaleOvinsComplète=OUI,0,IFERROR(IF(OR(AND(INDEX(Règles_ovins[Specificite],MATCH(RationHivernaleOvinsAuPré&amp;$DN260,Règles_ovins[Ration]&amp;Règles_ovins[Aliment],0))="s1",IF($DN260=Spécificité1Ovins,1)),
AND(INDEX(Règles_ovins[Specificite],MATCH(RationHivernaleOvinsAuPré&amp;$DN260,Règles_ovins[Ration]&amp;Règles_ovins[Aliment],0))="s2",IF($DN260=Spécificité2Ovins,1)),
INDEX(Règles_ovins[Specificite],MATCH(RationHivernaleOvinsAuPré&amp;$DN260,Règles_ovins[Ration]&amp;Règles_ovins[Aliment],0))="c"),
INDEX(Règles_ovins[Valeur 6-12],MATCH(RationHivernaleOvinsAuPré&amp;$DN260,Règles_ovins[Ration]&amp;Règles_ovins[Aliment],0)),0),0)*IF(SUM(TotalOvins_6_12moisAuPré)&gt;0,SUM(TotalOvins_6_12moisAuPré)*SUM(AD76:AD100),SUM(TotalJeunesOvins)*SUM(AD76:AD100)))</f>
        <v>0</v>
      </c>
      <c r="DQ260" s="1267">
        <f t="array" ref="DQ260">IF(ChoixRationHivernaleOvinsComplète=OUI,0,IFERROR(IF(OR(AND(INDEX(Règles_ovins[Specificite],MATCH(RationHivernaleOvinsAuPré&amp;$DN260,Règles_ovins[Ration]&amp;Règles_ovins[Aliment],0))="s1",IF($DN260=Spécificité1Ovins,1)),
AND(INDEX(Règles_ovins[Specificite],MATCH(RationHivernaleOvinsAuPré&amp;$DN260,Règles_ovins[Ration]&amp;Règles_ovins[Aliment],0))="s2",IF($DN260=Spécificité2Ovins,1)),
INDEX(Règles_ovins[Specificite],MATCH(RationHivernaleOvinsAuPré&amp;$DN260,Règles_ovins[Ration]&amp;Règles_ovins[Aliment],0))="c"),
INDEX(Règles_ovins[Valeur 3-6],MATCH(RationHivernaleOvinsAuPré&amp;$DN260,Règles_ovins[Ration]&amp;Règles_ovins[Aliment],0)),0),0)*IF(SUM(TotalOvins_3_6moisAuPré)&gt;0,SUM(TotalOvins_3_6moisAuPré)*SUM(AD76:AD100),SUM(TotalOvins_3_6mois)*SUM(AD76:AD100)))</f>
        <v>0</v>
      </c>
      <c r="DR260" s="1267">
        <f t="array" ref="DR260">IF(ChoixRationHivernaleOvinsComplète=OUI,0,IFERROR(IF(OR(AND(INDEX(Règles_ovins[Specificite],MATCH(RationHivernaleOvinsAuPré&amp;$DN260,Règles_ovins[Ration]&amp;Règles_ovins[Aliment],0))="s1",IF($DN260=Spécificité1Ovins,1)),
AND(INDEX(Règles_ovins[Specificite],MATCH(RationHivernaleOvinsAuPré&amp;$DN260,Règles_ovins[Ration]&amp;Règles_ovins[Aliment],0))="s2",IF($DN260=Spécificité2Ovins,1)),
INDEX(Règles_ovins[Specificite],MATCH(RationHivernaleOvinsAuPré&amp;$DN260,Règles_ovins[Ration]&amp;Règles_ovins[Aliment],0))="c"),
INDEX(Règles_ovins[Valeur 0-3],MATCH(RationHivernaleOvinsAuPré&amp;$DN260,Règles_ovins[Ration]&amp;Règles_ovins[Aliment],0)),0),0)*IF(SUM(TotalOvins_0_3moisAuPré)&gt;0,SUM(TotalOvins_0_3moisAuPré)*SUM(AD76:AD100),SUM(TotalOvins_3_6mois)*SUM(AD76:AD100)))</f>
        <v>0</v>
      </c>
      <c r="DS260" s="1279">
        <f t="shared" si="76"/>
        <v>0</v>
      </c>
      <c r="DT260" s="1346"/>
      <c r="DU260" s="1346"/>
      <c r="DV260" s="1321"/>
      <c r="DW260" s="1321"/>
      <c r="DX260" s="1321"/>
      <c r="DY260" s="1321"/>
      <c r="DZ260" s="1321"/>
      <c r="EA260" s="1321"/>
      <c r="EB260" s="1321"/>
      <c r="EC260" s="1321"/>
      <c r="ED260" s="1345"/>
      <c r="EE260" s="1345"/>
      <c r="EF260" s="1321"/>
      <c r="EG260" s="1321"/>
      <c r="EH260" s="1321"/>
      <c r="EI260" s="1321"/>
      <c r="EJ260" s="1321"/>
      <c r="EK260" s="1345"/>
      <c r="EL260" s="1345"/>
      <c r="EM260" s="1321"/>
      <c r="EN260" s="1321"/>
      <c r="EO260" s="1321"/>
      <c r="EP260" s="1321"/>
      <c r="EQ260" s="1321"/>
      <c r="ER260" s="1345"/>
      <c r="ES260" s="1345"/>
      <c r="ET260" s="1321"/>
      <c r="EU260" s="1321"/>
      <c r="EV260" s="1321"/>
      <c r="EW260" s="1321"/>
      <c r="EX260" s="1321"/>
      <c r="EY260" s="1321"/>
      <c r="EZ260" s="1345"/>
      <c r="FA260" s="1345"/>
      <c r="FB260" s="1345"/>
      <c r="FC260" s="1321"/>
      <c r="FD260" s="1321"/>
      <c r="FE260" s="1321"/>
      <c r="FF260" s="1321"/>
      <c r="FG260" s="1321"/>
      <c r="FH260" s="1321"/>
      <c r="FI260" s="1345"/>
      <c r="FJ260" s="1345"/>
      <c r="FK260" s="1345"/>
      <c r="FL260" s="1345"/>
      <c r="FM260" s="1321"/>
      <c r="FN260" s="1321"/>
      <c r="FO260" s="1321"/>
      <c r="FP260" s="1321"/>
      <c r="FQ260" s="1321"/>
      <c r="FR260" s="1321"/>
      <c r="FS260" s="1345"/>
      <c r="FT260" s="1345"/>
      <c r="FU260" s="1345"/>
      <c r="FV260" s="1345"/>
      <c r="FW260" s="1321"/>
      <c r="FX260" s="1321"/>
      <c r="FY260" s="1321"/>
      <c r="FZ260" s="1321"/>
      <c r="GA260" s="1345"/>
      <c r="GB260" s="1321"/>
      <c r="GC260" s="1321"/>
      <c r="GD260" s="1321"/>
      <c r="GE260" s="1321"/>
      <c r="GF260" s="1321"/>
      <c r="GG260" s="1321" t="s">
        <v>1349</v>
      </c>
      <c r="GH260" s="1321" t="s">
        <v>1349</v>
      </c>
      <c r="GI260" s="1321" t="s">
        <v>1349</v>
      </c>
      <c r="GJ260" s="1321" t="s">
        <v>1349</v>
      </c>
      <c r="GK260" s="1321" t="s">
        <v>1349</v>
      </c>
      <c r="GL260" s="1321" t="s">
        <v>1349</v>
      </c>
      <c r="GM260" s="1321" t="s">
        <v>1349</v>
      </c>
      <c r="GN260" s="1321" t="s">
        <v>1349</v>
      </c>
      <c r="GO260" s="1321" t="s">
        <v>1349</v>
      </c>
      <c r="GP260" s="1321" t="s">
        <v>1349</v>
      </c>
      <c r="GQ260" s="1321" t="s">
        <v>1349</v>
      </c>
      <c r="GR260" s="1321" t="s">
        <v>1349</v>
      </c>
      <c r="GS260" s="1321" t="s">
        <v>1349</v>
      </c>
      <c r="GT260" s="1321" t="s">
        <v>1349</v>
      </c>
      <c r="GU260" s="1321" t="s">
        <v>1349</v>
      </c>
      <c r="GV260" s="1321" t="s">
        <v>1349</v>
      </c>
      <c r="GW260" s="1321"/>
      <c r="GX260" s="1321"/>
      <c r="GY260" s="1321"/>
      <c r="GZ260" s="1321"/>
      <c r="HA260" s="1321"/>
      <c r="HB260" s="1321"/>
      <c r="HC260" s="1321"/>
      <c r="HD260" s="1321"/>
      <c r="HE260" s="1321"/>
      <c r="HF260" s="1321"/>
      <c r="HG260" s="1321"/>
      <c r="HH260" s="1321"/>
      <c r="HI260" s="1321"/>
      <c r="HJ260" s="1321"/>
      <c r="HK260" s="1321"/>
      <c r="HL260" s="1321"/>
      <c r="HM260" s="1321"/>
      <c r="HN260" s="1321"/>
      <c r="HO260" s="1321"/>
      <c r="HP260" s="1321"/>
      <c r="HQ260" s="1321"/>
      <c r="HR260" s="1321"/>
      <c r="HS260" s="1321"/>
      <c r="HT260" s="1321"/>
      <c r="HU260" s="1321"/>
      <c r="HV260" s="1321"/>
      <c r="HW260" s="1321"/>
      <c r="HX260" s="1321"/>
      <c r="HY260" s="1321"/>
      <c r="HZ260" s="1321"/>
      <c r="IA260" s="1321"/>
      <c r="IB260" s="1321"/>
      <c r="IC260" s="1321"/>
      <c r="ID260" s="1321"/>
      <c r="IE260" s="1321"/>
      <c r="IF260" s="1321"/>
      <c r="IG260" s="1321"/>
      <c r="IH260" s="1321"/>
      <c r="II260" s="1321"/>
      <c r="IJ260" s="1321"/>
      <c r="IK260" s="1321"/>
      <c r="IL260" s="1321"/>
      <c r="IM260" s="1321"/>
      <c r="IN260" s="1368"/>
    </row>
    <row r="261" spans="1:248" ht="12.75" customHeight="1" x14ac:dyDescent="0.2">
      <c r="A261" s="1319"/>
      <c r="B261" s="1321"/>
      <c r="C261" s="1321"/>
      <c r="D261" s="1321"/>
      <c r="E261" s="1321"/>
      <c r="F261" s="1321"/>
      <c r="G261" s="1321"/>
      <c r="H261" s="1321"/>
      <c r="I261" s="1321"/>
      <c r="J261" s="1321"/>
      <c r="K261" s="1321"/>
      <c r="L261" s="1321"/>
      <c r="M261" s="1321"/>
      <c r="N261" s="1321"/>
      <c r="O261" s="1321"/>
      <c r="P261" s="1321"/>
      <c r="Q261" s="1321"/>
      <c r="R261" s="1321"/>
      <c r="S261" s="1321"/>
      <c r="T261" s="1321"/>
      <c r="U261" s="1321"/>
      <c r="V261" s="1321"/>
      <c r="W261" s="1321"/>
      <c r="X261" s="1321"/>
      <c r="Y261" s="1321"/>
      <c r="Z261" s="1321"/>
      <c r="AA261" s="1321"/>
      <c r="AB261" s="1321"/>
      <c r="AC261" s="1321"/>
      <c r="AD261" s="1321"/>
      <c r="AE261" s="1321"/>
      <c r="AF261" s="1321"/>
      <c r="AG261" s="1321"/>
      <c r="AH261" s="1321"/>
      <c r="AI261" s="1321"/>
      <c r="AJ261" s="1321"/>
      <c r="AK261" s="1321"/>
      <c r="AL261" s="1321"/>
      <c r="AM261" s="1321"/>
      <c r="AN261" s="1321"/>
      <c r="AO261" s="1321"/>
      <c r="AP261" s="1321"/>
      <c r="AQ261" s="1321"/>
      <c r="AR261" s="1321"/>
      <c r="AS261" s="1321"/>
      <c r="AT261" s="1321"/>
      <c r="AU261" s="1321"/>
      <c r="AV261" s="1321"/>
      <c r="AW261" s="1321"/>
      <c r="AX261" s="1321"/>
      <c r="AY261" s="1321"/>
      <c r="AZ261" s="1321"/>
      <c r="BA261" s="1321"/>
      <c r="BB261" s="1075" t="str">
        <f t="shared" si="75"/>
        <v>Ration complète</v>
      </c>
      <c r="BC261" s="1269">
        <f t="array" ref="BC261">IF(Ration_complète_bovins[somme]&gt;0,0,IFERROR(IF(OR(AND(INDEX(Règles_bovins[Specificite],MATCH(ChoixRationBovins&amp;$BB261,Règles_bovins[Ration]&amp;Règles_bovins[Aliment],0))="s1",IF($BB261=Spécificité1Bovins,1)),
AND(INDEX(Règles_bovins[Specificite],MATCH(ChoixRationBovins&amp;$BB261,Règles_bovins[Ration]&amp;Règles_bovins[Aliment],0))="s2",IF($BB261=Spécificité2Bovins,1)),
INDEX(Règles_bovins[Specificite],MATCH(ChoixRationBovins&amp;$BB261,Règles_bovins[Ration]&amp;Règles_bovins[Aliment],0))="c"),
INDEX(Règles_bovins[Valeur 36 et plus],MATCH(ChoixRationBovins&amp;$BB261,Règles_bovins[Ration]&amp;Règles_bovins[Aliment],0)),0),0)*IF(ChoixBovinsPréHiver=OUI,TotalVachesRacesLaitières,TotalVaches*SUM(NbreJoursNourrirBovins)))</f>
        <v>0</v>
      </c>
      <c r="BD261" s="1269">
        <f t="array" ref="BD261">IF(Ration_complète_bovins[somme]&gt;0,0,IFERROR(IF(OR(AND(INDEX(Règles_bovins[Specificite],MATCH(ChoixRationBovins&amp;$BB261,Règles_bovins[Ration]&amp;Règles_bovins[Aliment],0))="s1",IF($BB261=Spécificité1Bovins,1)),
AND(INDEX(Règles_bovins[Specificite],MATCH(ChoixRationBovins&amp;$BB261,Règles_bovins[Ration]&amp;Règles_bovins[Aliment],0))="s2",IF($BB261=Spécificité2Bovins,1)),
INDEX(Règles_bovins[Specificite],MATCH(ChoixRationBovins&amp;$BB261,Règles_bovins[Ration]&amp;Règles_bovins[Aliment],0))="c"),
INDEX(Règles_bovins[Valeur 24-36],MATCH(ChoixRationBovins&amp;$BB261,Règles_bovins[Ration]&amp;Règles_bovins[Aliment],0)),0),0)*IF(ChoixBovinsPréHiver=OUI,TotalGénisse_24_36_RacesLaitières,TotalBovinsFemelles_24_36mois*SUM(NbreJoursNourrirBovins)))</f>
        <v>0</v>
      </c>
      <c r="BE261" s="1269">
        <f t="array" ref="BE261">IF(Ration_complète_bovins[somme]&gt;0,0,IFERROR(IF(OR(AND(INDEX(Règles_bovins[Specificite],MATCH(ChoixRationBovins&amp;$BB261,Règles_bovins[Ration]&amp;Règles_bovins[Aliment],0))="s1",IF($BB261=Spécificité1Bovins,1)),
AND(INDEX(Règles_bovins[Specificite],MATCH(ChoixRationBovins&amp;$BB261,Règles_bovins[Ration]&amp;Règles_bovins[Aliment],0))="s2",IF($BB261=Spécificité2Bovins,1)),
INDEX(Règles_bovins[Specificite],MATCH(ChoixRationBovins&amp;$BB261,Règles_bovins[Ration]&amp;Règles_bovins[Aliment],0))="c"),
INDEX(Règles_bovins[Valeur 18-24],MATCH(ChoixRationBovins&amp;$BB261,Règles_bovins[Ration]&amp;Règles_bovins[Aliment],0)),0),0)*IF(ChoixBovinsPréHiver=OUI,TotalGénisse_18_24_RacesLaitières,TotalBovinsFemelles_18_24mois*SUM(NbreJoursNourrirBovins)))</f>
        <v>0</v>
      </c>
      <c r="BF261" s="1269">
        <f t="array" ref="BF261">IF(Ration_complète_bovins[somme]&gt;0,0,IFERROR(IF(OR(AND(INDEX(Règles_bovins[Specificite],MATCH(ChoixRationBovins&amp;$BB261,Règles_bovins[Ration]&amp;Règles_bovins[Aliment],0))="s1",IF($BB261=Spécificité1Bovins,1)),
AND(INDEX(Règles_bovins[Specificite],MATCH(ChoixRationBovins&amp;$BB261,Règles_bovins[Ration]&amp;Règles_bovins[Aliment],0))="s2",IF($BB261=Spécificité2Bovins,1)),
INDEX(Règles_bovins[Specificite],MATCH(ChoixRationBovins&amp;$BB261,Règles_bovins[Ration]&amp;Règles_bovins[Aliment],0))="c"),
INDEX(Règles_bovins[Valeur 12-18],MATCH(ChoixRationBovins&amp;$BB261,Règles_bovins[Ration]&amp;Règles_bovins[Aliment],0)),0),0)*IF(ChoixBovinsPréHiver=OUI,TotalGénisse_12_18_RacesLaitières,TotalBovinsFemelles_12_18mois*SUM(NbreJoursNourrirBovins)))</f>
        <v>0</v>
      </c>
      <c r="BG261" s="1269">
        <f t="array" ref="BG261">IF(Ration_complète_bovins[somme]&gt;0,0,IFERROR(IF(OR(AND(INDEX(Règles_bovins[Specificite],MATCH(ChoixRationBovins&amp;$BB261,Règles_bovins[Ration]&amp;Règles_bovins[Aliment],0))="s1",IF($BB261=Spécificité1Bovins,1)),
AND(INDEX(Règles_bovins[Specificite],MATCH(ChoixRationBovins&amp;$BB261,Règles_bovins[Ration]&amp;Règles_bovins[Aliment],0))="s2",IF($BB261=Spécificité2Bovins,1)),
INDEX(Règles_bovins[Specificite],MATCH(ChoixRationBovins&amp;$BB261,Règles_bovins[Ration]&amp;Règles_bovins[Aliment],0))="c"),
INDEX(Règles_bovins[Valeur 6-12],MATCH(ChoixRationBovins&amp;$BB261,Règles_bovins[Ration]&amp;Règles_bovins[Aliment],0)),0),0)*IF(ChoixBovinsPréHiver=OUI,TotalVeauFemelle_6_12_RacesLaitières,TotalBovinsFemelles_6_12mois*SUM(NbreJoursNourrirBovins)))</f>
        <v>0</v>
      </c>
      <c r="BH261" s="1269">
        <f t="array" ref="BH261">IF(Ration_complète_bovins[somme]&gt;0,0,IFERROR(IF(OR(AND(INDEX(Règles_bovins[Specificite],MATCH(ChoixRationBovins&amp;$BB261,Règles_bovins[Ration]&amp;Règles_bovins[Aliment],0))="s1",IF($BB261=Spécificité1Bovins,1)),
AND(INDEX(Règles_bovins[Specificite],MATCH(ChoixRationBovins&amp;$BB261,Règles_bovins[Ration]&amp;Règles_bovins[Aliment],0))="s2",IF($BB261=Spécificité2Bovins,1)),
INDEX(Règles_bovins[Specificite],MATCH(ChoixRationBovins&amp;$BB261,Règles_bovins[Ration]&amp;Règles_bovins[Aliment],0))="c"),
INDEX(Règles_bovins[Valeur 3-6],MATCH(ChoixRationBovins&amp;$BB261,Règles_bovins[Ration]&amp;Règles_bovins[Aliment],0)),0),0)*IF(ChoixBovinsPréHiver=OUI,TotalVeauFemelle_3_6_RacesLaitières,TotalBovinsFemelles_3_6mois*SUM(NbreJoursNourrirBovins)))</f>
        <v>0</v>
      </c>
      <c r="BI261" s="1269">
        <f t="array" ref="BI261">IF(Ration_complète_bovins[somme]&gt;0,0,IFERROR(IF(OR(AND(INDEX(Règles_bovins[Specificite],MATCH(ChoixRationBovins&amp;$BB261,Règles_bovins[Ration]&amp;Règles_bovins[Aliment],0))="s1",IF($BB261=Spécificité1Bovins,1)),
AND(INDEX(Règles_bovins[Specificite],MATCH(ChoixRationBovins&amp;$BB261,Règles_bovins[Ration]&amp;Règles_bovins[Aliment],0))="s2",IF($BB261=Spécificité2Bovins,1)),
INDEX(Règles_bovins[Specificite],MATCH(ChoixRationBovins&amp;$BB261,Règles_bovins[Ration]&amp;Règles_bovins[Aliment],0))="c"),
INDEX(Règles_bovins[Valeur 0-3],MATCH(ChoixRationBovins&amp;$BB261,Règles_bovins[Ration]&amp;Règles_bovins[Aliment],0)),0),0)*IF(ChoixBovinsPréHiver=OUI,TotalVeauFemelle_0_3_RacesLaitières,TotalBovinsFemelles_0_3mois*SUM(NbreJoursNourrirBovins)))</f>
        <v>0</v>
      </c>
      <c r="BJ261" s="1270">
        <f t="shared" si="74"/>
        <v>0</v>
      </c>
      <c r="BK261" s="1345"/>
      <c r="BL261" s="1345"/>
      <c r="BM261" s="1346"/>
      <c r="BN261" s="1321"/>
      <c r="BO261" s="1321"/>
      <c r="BP261" s="1321"/>
      <c r="BQ261" s="1321"/>
      <c r="BR261" s="1321"/>
      <c r="BS261" s="1321"/>
      <c r="BT261" s="1321"/>
      <c r="BU261" s="1321"/>
      <c r="BV261" s="1345"/>
      <c r="BW261" s="1345"/>
      <c r="BX261" s="1321"/>
      <c r="BY261" s="1345"/>
      <c r="BZ261" s="1321"/>
      <c r="CA261" s="1321"/>
      <c r="CB261" s="1321"/>
      <c r="CC261" s="1321"/>
      <c r="CD261" s="1345"/>
      <c r="CE261" s="1345"/>
      <c r="CF261" s="1345"/>
      <c r="CG261" s="1345"/>
      <c r="CH261" s="1345"/>
      <c r="CI261" s="1321"/>
      <c r="CJ261" s="1321"/>
      <c r="CK261" s="1321"/>
      <c r="CL261" s="1321"/>
      <c r="CM261" s="1321"/>
      <c r="CN261" s="1321"/>
      <c r="CO261" s="1321"/>
      <c r="CP261" s="1321"/>
      <c r="CQ261" s="1321"/>
      <c r="CR261" s="1321"/>
      <c r="CS261" s="1321"/>
      <c r="CT261" s="1321"/>
      <c r="CU261" s="1321"/>
      <c r="CV261" s="1321"/>
      <c r="CW261" s="1321"/>
      <c r="CX261" s="1321"/>
      <c r="CY261" s="1321"/>
      <c r="CZ261" s="1321"/>
      <c r="DA261" s="1321"/>
      <c r="DB261" s="1321"/>
      <c r="DC261" s="1321"/>
      <c r="DD261" s="1321"/>
      <c r="DE261" s="1321"/>
      <c r="DF261" s="1321"/>
      <c r="DG261" s="1321"/>
      <c r="DH261" s="1321"/>
      <c r="DI261" s="1321"/>
      <c r="DJ261" s="1321"/>
      <c r="DK261" s="1321"/>
      <c r="DL261" s="1321"/>
      <c r="DM261" s="1321"/>
      <c r="DN261" s="1075" t="str">
        <f t="shared" si="77"/>
        <v>Pomme de terre</v>
      </c>
      <c r="DO261" s="1269">
        <f t="array" ref="DO261">IF(ChoixRationHivernaleOvinsComplète=OUI,0,IFERROR(IF(OR(AND(INDEX(Règles_ovins[Specificite],MATCH(RationHivernaleOvinsAuPré&amp;$DN261,Règles_ovins[Ration]&amp;Règles_ovins[Aliment],0))="s1",IF($DN261=Spécificité1Ovins,1)),
AND(INDEX(Règles_ovins[Specificite],MATCH(RationHivernaleOvinsAuPré&amp;$DN261,Règles_ovins[Ration]&amp;Règles_ovins[Aliment],0))="s2",IF($DN261=Spécificité2Ovins,1)),
INDEX(Règles_ovins[Specificite],MATCH(RationHivernaleOvinsAuPré&amp;$DN261,Règles_ovins[Ration]&amp;Règles_ovins[Aliment],0))="c"),
INDEX(Règles_ovins[Valeur 12 et plus],MATCH(RationHivernaleOvinsAuPré&amp;$DN261,Règles_ovins[Ration]&amp;Règles_ovins[Aliment],0)),0),0)*IF(SUM(TotalOvinsAdultesAuPré)&gt;0,SUM(TotalOvinsAdultesAuPré)*SUM(AD76:AD100),SUM(TotalOvinsAdultes)*SUM(AD76:AD100)))</f>
        <v>0</v>
      </c>
      <c r="DP261" s="1269">
        <f t="array" ref="DP261">IF(ChoixRationHivernaleOvinsComplète=OUI,0,IFERROR(IF(OR(AND(INDEX(Règles_ovins[Specificite],MATCH(RationHivernaleOvinsAuPré&amp;$DN261,Règles_ovins[Ration]&amp;Règles_ovins[Aliment],0))="s1",IF($DN261=Spécificité1Ovins,1)),
AND(INDEX(Règles_ovins[Specificite],MATCH(RationHivernaleOvinsAuPré&amp;$DN261,Règles_ovins[Ration]&amp;Règles_ovins[Aliment],0))="s2",IF($DN261=Spécificité2Ovins,1)),
INDEX(Règles_ovins[Specificite],MATCH(RationHivernaleOvinsAuPré&amp;$DN261,Règles_ovins[Ration]&amp;Règles_ovins[Aliment],0))="c"),
INDEX(Règles_ovins[Valeur 6-12],MATCH(RationHivernaleOvinsAuPré&amp;$DN261,Règles_ovins[Ration]&amp;Règles_ovins[Aliment],0)),0),0)*IF(SUM(TotalOvins_6_12moisAuPré)&gt;0,SUM(TotalOvins_6_12moisAuPré)*SUM(AD76:AD100),SUM(TotalJeunesOvins)*SUM(AD76:AD100)))</f>
        <v>0</v>
      </c>
      <c r="DQ261" s="1269">
        <f t="array" ref="DQ261">IF(ChoixRationHivernaleOvinsComplète=OUI,0,IFERROR(IF(OR(AND(INDEX(Règles_ovins[Specificite],MATCH(RationHivernaleOvinsAuPré&amp;$DN261,Règles_ovins[Ration]&amp;Règles_ovins[Aliment],0))="s1",IF($DN261=Spécificité1Ovins,1)),
AND(INDEX(Règles_ovins[Specificite],MATCH(RationHivernaleOvinsAuPré&amp;$DN261,Règles_ovins[Ration]&amp;Règles_ovins[Aliment],0))="s2",IF($DN261=Spécificité2Ovins,1)),
INDEX(Règles_ovins[Specificite],MATCH(RationHivernaleOvinsAuPré&amp;$DN261,Règles_ovins[Ration]&amp;Règles_ovins[Aliment],0))="c"),
INDEX(Règles_ovins[Valeur 3-6],MATCH(RationHivernaleOvinsAuPré&amp;$DN261,Règles_ovins[Ration]&amp;Règles_ovins[Aliment],0)),0),0)*IF(SUM(TotalOvins_3_6moisAuPré)&gt;0,SUM(TotalOvins_3_6moisAuPré)*SUM(AD76:AD100),SUM(TotalOvins_3_6mois)*SUM(AD76:AD100)))</f>
        <v>0</v>
      </c>
      <c r="DR261" s="1269">
        <f t="array" ref="DR261">IF(ChoixRationHivernaleOvinsComplète=OUI,0,IFERROR(IF(OR(AND(INDEX(Règles_ovins[Specificite],MATCH(RationHivernaleOvinsAuPré&amp;$DN261,Règles_ovins[Ration]&amp;Règles_ovins[Aliment],0))="s1",IF($DN261=Spécificité1Ovins,1)),
AND(INDEX(Règles_ovins[Specificite],MATCH(RationHivernaleOvinsAuPré&amp;$DN261,Règles_ovins[Ration]&amp;Règles_ovins[Aliment],0))="s2",IF($DN261=Spécificité2Ovins,1)),
INDEX(Règles_ovins[Specificite],MATCH(RationHivernaleOvinsAuPré&amp;$DN261,Règles_ovins[Ration]&amp;Règles_ovins[Aliment],0))="c"),
INDEX(Règles_ovins[Valeur 0-3],MATCH(RationHivernaleOvinsAuPré&amp;$DN261,Règles_ovins[Ration]&amp;Règles_ovins[Aliment],0)),0),0)*IF(SUM(TotalOvins_0_3moisAuPré)&gt;0,SUM(TotalOvins_0_3moisAuPré)*SUM(AD76:AD100),SUM(TotalOvins_3_6mois)*SUM(AD76:AD100)))</f>
        <v>0</v>
      </c>
      <c r="DS261" s="1280">
        <f t="shared" si="76"/>
        <v>0</v>
      </c>
      <c r="DT261" s="1346"/>
      <c r="DU261" s="1346"/>
      <c r="DV261" s="1321"/>
      <c r="DW261" s="1321"/>
      <c r="DX261" s="1321"/>
      <c r="DY261" s="1321"/>
      <c r="DZ261" s="1321"/>
      <c r="EA261" s="1321"/>
      <c r="EB261" s="1321"/>
      <c r="EC261" s="1321"/>
      <c r="ED261" s="1345"/>
      <c r="EE261" s="1345"/>
      <c r="EF261" s="1321"/>
      <c r="EG261" s="1321"/>
      <c r="EH261" s="1321"/>
      <c r="EI261" s="1321"/>
      <c r="EJ261" s="1321"/>
      <c r="EK261" s="1345"/>
      <c r="EL261" s="1345"/>
      <c r="EM261" s="1321"/>
      <c r="EN261" s="1321"/>
      <c r="EO261" s="1321"/>
      <c r="EP261" s="1321"/>
      <c r="EQ261" s="1321"/>
      <c r="ER261" s="1345"/>
      <c r="ES261" s="1345"/>
      <c r="ET261" s="1321"/>
      <c r="EU261" s="1321"/>
      <c r="EV261" s="1321"/>
      <c r="EW261" s="1321"/>
      <c r="EX261" s="1321"/>
      <c r="EY261" s="1321"/>
      <c r="EZ261" s="1345"/>
      <c r="FA261" s="1345"/>
      <c r="FB261" s="1345"/>
      <c r="FC261" s="1321"/>
      <c r="FD261" s="1321"/>
      <c r="FE261" s="1321"/>
      <c r="FF261" s="1321"/>
      <c r="FG261" s="1321"/>
      <c r="FH261" s="1321"/>
      <c r="FI261" s="1345"/>
      <c r="FJ261" s="1345"/>
      <c r="FK261" s="1345"/>
      <c r="FL261" s="1345"/>
      <c r="FM261" s="1321"/>
      <c r="FN261" s="1321"/>
      <c r="FO261" s="1321"/>
      <c r="FP261" s="1321"/>
      <c r="FQ261" s="1321"/>
      <c r="FR261" s="1321"/>
      <c r="FS261" s="1345"/>
      <c r="FT261" s="1345"/>
      <c r="FU261" s="1345"/>
      <c r="FV261" s="1345"/>
      <c r="FW261" s="1321"/>
      <c r="FX261" s="1321"/>
      <c r="FY261" s="1321"/>
      <c r="FZ261" s="1321"/>
      <c r="GA261" s="1345"/>
      <c r="GB261" s="1321"/>
      <c r="GC261" s="1321"/>
      <c r="GD261" s="1321"/>
      <c r="GE261" s="1321"/>
      <c r="GF261" s="1321"/>
      <c r="GG261" s="1321" t="s">
        <v>1349</v>
      </c>
      <c r="GH261" s="1321" t="s">
        <v>1349</v>
      </c>
      <c r="GI261" s="1321" t="s">
        <v>1349</v>
      </c>
      <c r="GJ261" s="1321" t="s">
        <v>1349</v>
      </c>
      <c r="GK261" s="1321" t="s">
        <v>1349</v>
      </c>
      <c r="GL261" s="1321" t="s">
        <v>1349</v>
      </c>
      <c r="GM261" s="1321" t="s">
        <v>1349</v>
      </c>
      <c r="GN261" s="1321" t="s">
        <v>1349</v>
      </c>
      <c r="GO261" s="1321" t="s">
        <v>1349</v>
      </c>
      <c r="GP261" s="1321" t="s">
        <v>1349</v>
      </c>
      <c r="GQ261" s="1321" t="s">
        <v>1349</v>
      </c>
      <c r="GR261" s="1321" t="s">
        <v>1349</v>
      </c>
      <c r="GS261" s="1321" t="s">
        <v>1349</v>
      </c>
      <c r="GT261" s="1321" t="s">
        <v>1349</v>
      </c>
      <c r="GU261" s="1321" t="s">
        <v>1349</v>
      </c>
      <c r="GV261" s="1321" t="s">
        <v>1349</v>
      </c>
      <c r="GW261" s="1321"/>
      <c r="GX261" s="1321"/>
      <c r="GY261" s="1321"/>
      <c r="GZ261" s="1321"/>
      <c r="HA261" s="1321"/>
      <c r="HB261" s="1321"/>
      <c r="HC261" s="1321"/>
      <c r="HD261" s="1321"/>
      <c r="HE261" s="1321"/>
      <c r="HF261" s="1321"/>
      <c r="HG261" s="1321"/>
      <c r="HH261" s="1321"/>
      <c r="HI261" s="1321"/>
      <c r="HJ261" s="1321"/>
      <c r="HK261" s="1321"/>
      <c r="HL261" s="1321"/>
      <c r="HM261" s="1321"/>
      <c r="HN261" s="1321"/>
      <c r="HO261" s="1321"/>
      <c r="HP261" s="1321"/>
      <c r="HQ261" s="1321"/>
      <c r="HR261" s="1321"/>
      <c r="HS261" s="1321"/>
      <c r="HT261" s="1321"/>
      <c r="HU261" s="1321"/>
      <c r="HV261" s="1321"/>
      <c r="HW261" s="1321"/>
      <c r="HX261" s="1321"/>
      <c r="HY261" s="1321"/>
      <c r="HZ261" s="1321"/>
      <c r="IA261" s="1321"/>
      <c r="IB261" s="1321"/>
      <c r="IC261" s="1321"/>
      <c r="ID261" s="1321"/>
      <c r="IE261" s="1321"/>
      <c r="IF261" s="1321"/>
      <c r="IG261" s="1321"/>
      <c r="IH261" s="1321"/>
      <c r="II261" s="1321"/>
      <c r="IJ261" s="1321"/>
      <c r="IK261" s="1321"/>
      <c r="IL261" s="1321"/>
      <c r="IM261" s="1321"/>
      <c r="IN261" s="1368"/>
    </row>
    <row r="262" spans="1:248" ht="12.75" customHeight="1" x14ac:dyDescent="0.2">
      <c r="A262" s="1319"/>
      <c r="B262" s="1321"/>
      <c r="C262" s="1321"/>
      <c r="D262" s="1321"/>
      <c r="E262" s="1321"/>
      <c r="F262" s="1321"/>
      <c r="G262" s="1321"/>
      <c r="H262" s="1321"/>
      <c r="I262" s="1321"/>
      <c r="J262" s="1321"/>
      <c r="K262" s="1321"/>
      <c r="L262" s="1321"/>
      <c r="M262" s="1321"/>
      <c r="N262" s="1321"/>
      <c r="O262" s="1321"/>
      <c r="P262" s="1321"/>
      <c r="Q262" s="1321"/>
      <c r="R262" s="1321"/>
      <c r="S262" s="1321"/>
      <c r="T262" s="1321"/>
      <c r="U262" s="1321"/>
      <c r="V262" s="1321"/>
      <c r="W262" s="1321"/>
      <c r="X262" s="1321"/>
      <c r="Y262" s="1321"/>
      <c r="Z262" s="1321"/>
      <c r="AA262" s="1321"/>
      <c r="AB262" s="1321"/>
      <c r="AC262" s="1321"/>
      <c r="AD262" s="1321"/>
      <c r="AE262" s="1321"/>
      <c r="AF262" s="1321"/>
      <c r="AG262" s="1321"/>
      <c r="AH262" s="1321"/>
      <c r="AI262" s="1321"/>
      <c r="AJ262" s="1321"/>
      <c r="AK262" s="1321"/>
      <c r="AL262" s="1321"/>
      <c r="AM262" s="1321"/>
      <c r="AN262" s="1321"/>
      <c r="AO262" s="1321"/>
      <c r="AP262" s="1321"/>
      <c r="AQ262" s="1321"/>
      <c r="AR262" s="1321"/>
      <c r="AS262" s="1321"/>
      <c r="AT262" s="1321"/>
      <c r="AU262" s="1321"/>
      <c r="AV262" s="1321"/>
      <c r="AW262" s="1321"/>
      <c r="AX262" s="1321"/>
      <c r="AY262" s="1321"/>
      <c r="AZ262" s="1321"/>
      <c r="BA262" s="1321"/>
      <c r="BB262" s="1076" t="str">
        <f t="shared" si="75"/>
        <v>Seigle</v>
      </c>
      <c r="BC262" s="1267">
        <f t="array" ref="BC262">IF(Ration_complète_bovins[somme]&gt;0,0,IFERROR(IF(OR(AND(INDEX(Règles_bovins[Specificite],MATCH(ChoixRationBovins&amp;$BB262,Règles_bovins[Ration]&amp;Règles_bovins[Aliment],0))="s1",IF($BB262=Spécificité1Bovins,1)),
AND(INDEX(Règles_bovins[Specificite],MATCH(ChoixRationBovins&amp;$BB262,Règles_bovins[Ration]&amp;Règles_bovins[Aliment],0))="s2",IF($BB262=Spécificité2Bovins,1)),
INDEX(Règles_bovins[Specificite],MATCH(ChoixRationBovins&amp;$BB262,Règles_bovins[Ration]&amp;Règles_bovins[Aliment],0))="c"),
INDEX(Règles_bovins[Valeur 36 et plus],MATCH(ChoixRationBovins&amp;$BB262,Règles_bovins[Ration]&amp;Règles_bovins[Aliment],0)),0),0)*IF(ChoixBovinsPréHiver=OUI,TotalVachesRacesLaitières,TotalVaches*SUM(NbreJoursNourrirBovins)))</f>
        <v>0</v>
      </c>
      <c r="BD262" s="1267">
        <f t="array" ref="BD262">IF(Ration_complète_bovins[somme]&gt;0,0,IFERROR(IF(OR(AND(INDEX(Règles_bovins[Specificite],MATCH(ChoixRationBovins&amp;$BB262,Règles_bovins[Ration]&amp;Règles_bovins[Aliment],0))="s1",IF($BB262=Spécificité1Bovins,1)),
AND(INDEX(Règles_bovins[Specificite],MATCH(ChoixRationBovins&amp;$BB262,Règles_bovins[Ration]&amp;Règles_bovins[Aliment],0))="s2",IF($BB262=Spécificité2Bovins,1)),
INDEX(Règles_bovins[Specificite],MATCH(ChoixRationBovins&amp;$BB262,Règles_bovins[Ration]&amp;Règles_bovins[Aliment],0))="c"),
INDEX(Règles_bovins[Valeur 24-36],MATCH(ChoixRationBovins&amp;$BB262,Règles_bovins[Ration]&amp;Règles_bovins[Aliment],0)),0),0)*IF(ChoixBovinsPréHiver=OUI,TotalGénisse_24_36_RacesLaitières,TotalBovinsFemelles_24_36mois*SUM(NbreJoursNourrirBovins)))</f>
        <v>0</v>
      </c>
      <c r="BE262" s="1267">
        <f t="array" ref="BE262">IF(Ration_complète_bovins[somme]&gt;0,0,IFERROR(IF(OR(AND(INDEX(Règles_bovins[Specificite],MATCH(ChoixRationBovins&amp;$BB262,Règles_bovins[Ration]&amp;Règles_bovins[Aliment],0))="s1",IF($BB262=Spécificité1Bovins,1)),
AND(INDEX(Règles_bovins[Specificite],MATCH(ChoixRationBovins&amp;$BB262,Règles_bovins[Ration]&amp;Règles_bovins[Aliment],0))="s2",IF($BB262=Spécificité2Bovins,1)),
INDEX(Règles_bovins[Specificite],MATCH(ChoixRationBovins&amp;$BB262,Règles_bovins[Ration]&amp;Règles_bovins[Aliment],0))="c"),
INDEX(Règles_bovins[Valeur 18-24],MATCH(ChoixRationBovins&amp;$BB262,Règles_bovins[Ration]&amp;Règles_bovins[Aliment],0)),0),0)*IF(ChoixBovinsPréHiver=OUI,TotalGénisse_18_24_RacesLaitières,TotalBovinsFemelles_18_24mois*SUM(NbreJoursNourrirBovins)))</f>
        <v>0</v>
      </c>
      <c r="BF262" s="1267">
        <f t="array" ref="BF262">IF(Ration_complète_bovins[somme]&gt;0,0,IFERROR(IF(OR(AND(INDEX(Règles_bovins[Specificite],MATCH(ChoixRationBovins&amp;$BB262,Règles_bovins[Ration]&amp;Règles_bovins[Aliment],0))="s1",IF($BB262=Spécificité1Bovins,1)),
AND(INDEX(Règles_bovins[Specificite],MATCH(ChoixRationBovins&amp;$BB262,Règles_bovins[Ration]&amp;Règles_bovins[Aliment],0))="s2",IF($BB262=Spécificité2Bovins,1)),
INDEX(Règles_bovins[Specificite],MATCH(ChoixRationBovins&amp;$BB262,Règles_bovins[Ration]&amp;Règles_bovins[Aliment],0))="c"),
INDEX(Règles_bovins[Valeur 12-18],MATCH(ChoixRationBovins&amp;$BB262,Règles_bovins[Ration]&amp;Règles_bovins[Aliment],0)),0),0)*IF(ChoixBovinsPréHiver=OUI,TotalGénisse_12_18_RacesLaitières,TotalBovinsFemelles_12_18mois*SUM(NbreJoursNourrirBovins)))</f>
        <v>0</v>
      </c>
      <c r="BG262" s="1267">
        <f t="array" ref="BG262">IF(Ration_complète_bovins[somme]&gt;0,0,IFERROR(IF(OR(AND(INDEX(Règles_bovins[Specificite],MATCH(ChoixRationBovins&amp;$BB262,Règles_bovins[Ration]&amp;Règles_bovins[Aliment],0))="s1",IF($BB262=Spécificité1Bovins,1)),
AND(INDEX(Règles_bovins[Specificite],MATCH(ChoixRationBovins&amp;$BB262,Règles_bovins[Ration]&amp;Règles_bovins[Aliment],0))="s2",IF($BB262=Spécificité2Bovins,1)),
INDEX(Règles_bovins[Specificite],MATCH(ChoixRationBovins&amp;$BB262,Règles_bovins[Ration]&amp;Règles_bovins[Aliment],0))="c"),
INDEX(Règles_bovins[Valeur 6-12],MATCH(ChoixRationBovins&amp;$BB262,Règles_bovins[Ration]&amp;Règles_bovins[Aliment],0)),0),0)*IF(ChoixBovinsPréHiver=OUI,TotalVeauFemelle_6_12_RacesLaitières,TotalBovinsFemelles_6_12mois*SUM(NbreJoursNourrirBovins)))</f>
        <v>0</v>
      </c>
      <c r="BH262" s="1267">
        <f t="array" ref="BH262">IF(Ration_complète_bovins[somme]&gt;0,0,IFERROR(IF(OR(AND(INDEX(Règles_bovins[Specificite],MATCH(ChoixRationBovins&amp;$BB262,Règles_bovins[Ration]&amp;Règles_bovins[Aliment],0))="s1",IF($BB262=Spécificité1Bovins,1)),
AND(INDEX(Règles_bovins[Specificite],MATCH(ChoixRationBovins&amp;$BB262,Règles_bovins[Ration]&amp;Règles_bovins[Aliment],0))="s2",IF($BB262=Spécificité2Bovins,1)),
INDEX(Règles_bovins[Specificite],MATCH(ChoixRationBovins&amp;$BB262,Règles_bovins[Ration]&amp;Règles_bovins[Aliment],0))="c"),
INDEX(Règles_bovins[Valeur 3-6],MATCH(ChoixRationBovins&amp;$BB262,Règles_bovins[Ration]&amp;Règles_bovins[Aliment],0)),0),0)*IF(ChoixBovinsPréHiver=OUI,TotalVeauFemelle_3_6_RacesLaitières,TotalBovinsFemelles_3_6mois*SUM(NbreJoursNourrirBovins)))</f>
        <v>0</v>
      </c>
      <c r="BI262" s="1267">
        <f t="array" ref="BI262">IF(Ration_complète_bovins[somme]&gt;0,0,IFERROR(IF(OR(AND(INDEX(Règles_bovins[Specificite],MATCH(ChoixRationBovins&amp;$BB262,Règles_bovins[Ration]&amp;Règles_bovins[Aliment],0))="s1",IF($BB262=Spécificité1Bovins,1)),
AND(INDEX(Règles_bovins[Specificite],MATCH(ChoixRationBovins&amp;$BB262,Règles_bovins[Ration]&amp;Règles_bovins[Aliment],0))="s2",IF($BB262=Spécificité2Bovins,1)),
INDEX(Règles_bovins[Specificite],MATCH(ChoixRationBovins&amp;$BB262,Règles_bovins[Ration]&amp;Règles_bovins[Aliment],0))="c"),
INDEX(Règles_bovins[Valeur 0-3],MATCH(ChoixRationBovins&amp;$BB262,Règles_bovins[Ration]&amp;Règles_bovins[Aliment],0)),0),0)*IF(ChoixBovinsPréHiver=OUI,TotalVeauFemelle_0_3_RacesLaitières,TotalBovinsFemelles_0_3mois*SUM(NbreJoursNourrirBovins)))</f>
        <v>0</v>
      </c>
      <c r="BJ262" s="1268">
        <f t="shared" si="74"/>
        <v>0</v>
      </c>
      <c r="BK262" s="1345"/>
      <c r="BL262" s="1345"/>
      <c r="BM262" s="1346"/>
      <c r="BN262" s="1321"/>
      <c r="BO262" s="1321"/>
      <c r="BP262" s="1321"/>
      <c r="BQ262" s="1321"/>
      <c r="BR262" s="1321"/>
      <c r="BS262" s="1321"/>
      <c r="BT262" s="1321"/>
      <c r="BU262" s="1321"/>
      <c r="BV262" s="1345"/>
      <c r="BW262" s="1345"/>
      <c r="BX262" s="1321"/>
      <c r="BY262" s="1321"/>
      <c r="BZ262" s="1321"/>
      <c r="CA262" s="1321"/>
      <c r="CB262" s="1321"/>
      <c r="CC262" s="1321"/>
      <c r="CD262" s="1345"/>
      <c r="CE262" s="1345"/>
      <c r="CF262" s="1345"/>
      <c r="CG262" s="1345"/>
      <c r="CH262" s="1345"/>
      <c r="CI262" s="1321"/>
      <c r="CJ262" s="1321"/>
      <c r="CK262" s="1321"/>
      <c r="CL262" s="1321"/>
      <c r="CM262" s="1321"/>
      <c r="CN262" s="1321"/>
      <c r="CO262" s="1321"/>
      <c r="CP262" s="1321"/>
      <c r="CQ262" s="1321"/>
      <c r="CR262" s="1321"/>
      <c r="CS262" s="1321"/>
      <c r="CT262" s="1321"/>
      <c r="CU262" s="1321"/>
      <c r="CV262" s="1321"/>
      <c r="CW262" s="1321"/>
      <c r="CX262" s="1321"/>
      <c r="CY262" s="1321"/>
      <c r="CZ262" s="1321"/>
      <c r="DA262" s="1321"/>
      <c r="DB262" s="1321"/>
      <c r="DC262" s="1321"/>
      <c r="DD262" s="1321"/>
      <c r="DE262" s="1321"/>
      <c r="DF262" s="1321"/>
      <c r="DG262" s="1321"/>
      <c r="DH262" s="1321"/>
      <c r="DI262" s="1321"/>
      <c r="DJ262" s="1321"/>
      <c r="DK262" s="1321"/>
      <c r="DL262" s="1321"/>
      <c r="DM262" s="1321"/>
      <c r="DN262" s="1076" t="str">
        <f t="shared" si="77"/>
        <v>Pulpe déshydratée de betterave</v>
      </c>
      <c r="DO262" s="1267">
        <f t="array" ref="DO262">IF(ChoixRationHivernaleOvinsComplète=OUI,0,IFERROR(IF(OR(AND(INDEX(Règles_ovins[Specificite],MATCH(RationHivernaleOvinsAuPré&amp;$DN262,Règles_ovins[Ration]&amp;Règles_ovins[Aliment],0))="s1",IF($DN262=Spécificité1Ovins,1)),
AND(INDEX(Règles_ovins[Specificite],MATCH(RationHivernaleOvinsAuPré&amp;$DN262,Règles_ovins[Ration]&amp;Règles_ovins[Aliment],0))="s2",IF($DN262=Spécificité2Ovins,1)),
INDEX(Règles_ovins[Specificite],MATCH(RationHivernaleOvinsAuPré&amp;$DN262,Règles_ovins[Ration]&amp;Règles_ovins[Aliment],0))="c"),
INDEX(Règles_ovins[Valeur 12 et plus],MATCH(RationHivernaleOvinsAuPré&amp;$DN262,Règles_ovins[Ration]&amp;Règles_ovins[Aliment],0)),0),0)*IF(SUM(TotalOvinsAdultesAuPré)&gt;0,SUM(TotalOvinsAdultesAuPré)*SUM(AD76:AD100),SUM(TotalOvinsAdultes)*SUM(AD76:AD100)))</f>
        <v>0</v>
      </c>
      <c r="DP262" s="1267">
        <f t="array" ref="DP262">IF(ChoixRationHivernaleOvinsComplète=OUI,0,IFERROR(IF(OR(AND(INDEX(Règles_ovins[Specificite],MATCH(RationHivernaleOvinsAuPré&amp;$DN262,Règles_ovins[Ration]&amp;Règles_ovins[Aliment],0))="s1",IF($DN262=Spécificité1Ovins,1)),
AND(INDEX(Règles_ovins[Specificite],MATCH(RationHivernaleOvinsAuPré&amp;$DN262,Règles_ovins[Ration]&amp;Règles_ovins[Aliment],0))="s2",IF($DN262=Spécificité2Ovins,1)),
INDEX(Règles_ovins[Specificite],MATCH(RationHivernaleOvinsAuPré&amp;$DN262,Règles_ovins[Ration]&amp;Règles_ovins[Aliment],0))="c"),
INDEX(Règles_ovins[Valeur 6-12],MATCH(RationHivernaleOvinsAuPré&amp;$DN262,Règles_ovins[Ration]&amp;Règles_ovins[Aliment],0)),0),0)*IF(SUM(TotalOvins_6_12moisAuPré)&gt;0,SUM(TotalOvins_6_12moisAuPré)*SUM(AD76:AD100),SUM(TotalJeunesOvins)*SUM(AD76:AD100)))</f>
        <v>0</v>
      </c>
      <c r="DQ262" s="1267">
        <f t="array" ref="DQ262">IF(ChoixRationHivernaleOvinsComplète=OUI,0,IFERROR(IF(OR(AND(INDEX(Règles_ovins[Specificite],MATCH(RationHivernaleOvinsAuPré&amp;$DN262,Règles_ovins[Ration]&amp;Règles_ovins[Aliment],0))="s1",IF($DN262=Spécificité1Ovins,1)),
AND(INDEX(Règles_ovins[Specificite],MATCH(RationHivernaleOvinsAuPré&amp;$DN262,Règles_ovins[Ration]&amp;Règles_ovins[Aliment],0))="s2",IF($DN262=Spécificité2Ovins,1)),
INDEX(Règles_ovins[Specificite],MATCH(RationHivernaleOvinsAuPré&amp;$DN262,Règles_ovins[Ration]&amp;Règles_ovins[Aliment],0))="c"),
INDEX(Règles_ovins[Valeur 3-6],MATCH(RationHivernaleOvinsAuPré&amp;$DN262,Règles_ovins[Ration]&amp;Règles_ovins[Aliment],0)),0),0)*IF(SUM(TotalOvins_3_6moisAuPré)&gt;0,SUM(TotalOvins_3_6moisAuPré)*SUM(AD76:AD100),SUM(TotalOvins_3_6mois)*SUM(AD76:AD100)))</f>
        <v>0</v>
      </c>
      <c r="DR262" s="1267">
        <f t="array" ref="DR262">IF(ChoixRationHivernaleOvinsComplète=OUI,0,IFERROR(IF(OR(AND(INDEX(Règles_ovins[Specificite],MATCH(RationHivernaleOvinsAuPré&amp;$DN262,Règles_ovins[Ration]&amp;Règles_ovins[Aliment],0))="s1",IF($DN262=Spécificité1Ovins,1)),
AND(INDEX(Règles_ovins[Specificite],MATCH(RationHivernaleOvinsAuPré&amp;$DN262,Règles_ovins[Ration]&amp;Règles_ovins[Aliment],0))="s2",IF($DN262=Spécificité2Ovins,1)),
INDEX(Règles_ovins[Specificite],MATCH(RationHivernaleOvinsAuPré&amp;$DN262,Règles_ovins[Ration]&amp;Règles_ovins[Aliment],0))="c"),
INDEX(Règles_ovins[Valeur 0-3],MATCH(RationHivernaleOvinsAuPré&amp;$DN262,Règles_ovins[Ration]&amp;Règles_ovins[Aliment],0)),0),0)*IF(SUM(TotalOvins_0_3moisAuPré)&gt;0,SUM(TotalOvins_0_3moisAuPré)*SUM(AD76:AD100),SUM(TotalOvins_3_6mois)*SUM(AD76:AD100)))</f>
        <v>0</v>
      </c>
      <c r="DS262" s="1279">
        <f t="shared" si="76"/>
        <v>0</v>
      </c>
      <c r="DT262" s="1346"/>
      <c r="DU262" s="1346"/>
      <c r="DV262" s="1321"/>
      <c r="DW262" s="1321"/>
      <c r="DX262" s="1321"/>
      <c r="DY262" s="1321"/>
      <c r="DZ262" s="1321"/>
      <c r="EA262" s="1321"/>
      <c r="EB262" s="1321"/>
      <c r="EC262" s="1321"/>
      <c r="ED262" s="1345"/>
      <c r="EE262" s="1345"/>
      <c r="EF262" s="1321"/>
      <c r="EG262" s="1321"/>
      <c r="EH262" s="1321"/>
      <c r="EI262" s="1321"/>
      <c r="EJ262" s="1321"/>
      <c r="EK262" s="1345"/>
      <c r="EL262" s="1345"/>
      <c r="EM262" s="1321"/>
      <c r="EN262" s="1321"/>
      <c r="EO262" s="1321"/>
      <c r="EP262" s="1321"/>
      <c r="EQ262" s="1321"/>
      <c r="ER262" s="1345"/>
      <c r="ES262" s="1345"/>
      <c r="ET262" s="1321"/>
      <c r="EU262" s="1321"/>
      <c r="EV262" s="1321"/>
      <c r="EW262" s="1321"/>
      <c r="EX262" s="1321"/>
      <c r="EY262" s="1321"/>
      <c r="EZ262" s="1345"/>
      <c r="FA262" s="1345"/>
      <c r="FB262" s="1345"/>
      <c r="FC262" s="1321"/>
      <c r="FD262" s="1321"/>
      <c r="FE262" s="1321"/>
      <c r="FF262" s="1321"/>
      <c r="FG262" s="1321"/>
      <c r="FH262" s="1321"/>
      <c r="FI262" s="1345"/>
      <c r="FJ262" s="1345"/>
      <c r="FK262" s="1345"/>
      <c r="FL262" s="1345"/>
      <c r="FM262" s="1321"/>
      <c r="FN262" s="1321"/>
      <c r="FO262" s="1321"/>
      <c r="FP262" s="1321"/>
      <c r="FQ262" s="1321"/>
      <c r="FR262" s="1321"/>
      <c r="FS262" s="1345"/>
      <c r="FT262" s="1345"/>
      <c r="FU262" s="1345"/>
      <c r="FV262" s="1345"/>
      <c r="FW262" s="1321"/>
      <c r="FX262" s="1321"/>
      <c r="FY262" s="1321"/>
      <c r="FZ262" s="1321"/>
      <c r="GA262" s="1345"/>
      <c r="GB262" s="1321"/>
      <c r="GC262" s="1321"/>
      <c r="GD262" s="1321"/>
      <c r="GE262" s="1321"/>
      <c r="GF262" s="1321"/>
      <c r="GG262" s="1321" t="s">
        <v>1349</v>
      </c>
      <c r="GH262" s="1321" t="s">
        <v>1349</v>
      </c>
      <c r="GI262" s="1321" t="s">
        <v>1349</v>
      </c>
      <c r="GJ262" s="1321" t="s">
        <v>1349</v>
      </c>
      <c r="GK262" s="1321" t="s">
        <v>1349</v>
      </c>
      <c r="GL262" s="1321" t="s">
        <v>1349</v>
      </c>
      <c r="GM262" s="1321" t="s">
        <v>1349</v>
      </c>
      <c r="GN262" s="1321" t="s">
        <v>1349</v>
      </c>
      <c r="GO262" s="1321" t="s">
        <v>1349</v>
      </c>
      <c r="GP262" s="1321" t="s">
        <v>1349</v>
      </c>
      <c r="GQ262" s="1321" t="s">
        <v>1349</v>
      </c>
      <c r="GR262" s="1321" t="s">
        <v>1349</v>
      </c>
      <c r="GS262" s="1321" t="s">
        <v>1349</v>
      </c>
      <c r="GT262" s="1321" t="s">
        <v>1349</v>
      </c>
      <c r="GU262" s="1321" t="s">
        <v>1349</v>
      </c>
      <c r="GV262" s="1321" t="s">
        <v>1349</v>
      </c>
      <c r="GW262" s="1321"/>
      <c r="GX262" s="1321"/>
      <c r="GY262" s="1321"/>
      <c r="GZ262" s="1321"/>
      <c r="HA262" s="1321"/>
      <c r="HB262" s="1321"/>
      <c r="HC262" s="1321"/>
      <c r="HD262" s="1321"/>
      <c r="HE262" s="1321"/>
      <c r="HF262" s="1321"/>
      <c r="HG262" s="1321"/>
      <c r="HH262" s="1321"/>
      <c r="HI262" s="1321"/>
      <c r="HJ262" s="1321"/>
      <c r="HK262" s="1321"/>
      <c r="HL262" s="1321"/>
      <c r="HM262" s="1321"/>
      <c r="HN262" s="1321"/>
      <c r="HO262" s="1321"/>
      <c r="HP262" s="1321"/>
      <c r="HQ262" s="1321"/>
      <c r="HR262" s="1321"/>
      <c r="HS262" s="1321"/>
      <c r="HT262" s="1321"/>
      <c r="HU262" s="1321"/>
      <c r="HV262" s="1321"/>
      <c r="HW262" s="1321"/>
      <c r="HX262" s="1321"/>
      <c r="HY262" s="1321"/>
      <c r="HZ262" s="1321"/>
      <c r="IA262" s="1321"/>
      <c r="IB262" s="1321"/>
      <c r="IC262" s="1321"/>
      <c r="ID262" s="1321"/>
      <c r="IE262" s="1321"/>
      <c r="IF262" s="1321"/>
      <c r="IG262" s="1321"/>
      <c r="IH262" s="1321"/>
      <c r="II262" s="1321"/>
      <c r="IJ262" s="1321"/>
      <c r="IK262" s="1321"/>
      <c r="IL262" s="1321"/>
      <c r="IM262" s="1321"/>
      <c r="IN262" s="1368"/>
    </row>
    <row r="263" spans="1:248" ht="12.75" customHeight="1" x14ac:dyDescent="0.2">
      <c r="A263" s="1319"/>
      <c r="B263" s="1321"/>
      <c r="C263" s="1321"/>
      <c r="D263" s="1321"/>
      <c r="E263" s="1321"/>
      <c r="F263" s="1321"/>
      <c r="G263" s="1321"/>
      <c r="H263" s="1321"/>
      <c r="I263" s="1321"/>
      <c r="J263" s="1321"/>
      <c r="K263" s="1321"/>
      <c r="L263" s="1321"/>
      <c r="M263" s="1321"/>
      <c r="N263" s="1321"/>
      <c r="O263" s="1321"/>
      <c r="P263" s="1321"/>
      <c r="Q263" s="1321"/>
      <c r="R263" s="1321"/>
      <c r="S263" s="1321"/>
      <c r="T263" s="1321"/>
      <c r="U263" s="1321"/>
      <c r="V263" s="1321"/>
      <c r="W263" s="1321"/>
      <c r="X263" s="1321"/>
      <c r="Y263" s="1321"/>
      <c r="Z263" s="1321"/>
      <c r="AA263" s="1321"/>
      <c r="AB263" s="1321"/>
      <c r="AC263" s="1321"/>
      <c r="AD263" s="1321"/>
      <c r="AE263" s="1321"/>
      <c r="AF263" s="1321"/>
      <c r="AG263" s="1321"/>
      <c r="AH263" s="1321"/>
      <c r="AI263" s="1321"/>
      <c r="AJ263" s="1321"/>
      <c r="AK263" s="1321"/>
      <c r="AL263" s="1321"/>
      <c r="AM263" s="1321"/>
      <c r="AN263" s="1321"/>
      <c r="AO263" s="1321"/>
      <c r="AP263" s="1321"/>
      <c r="AQ263" s="1321"/>
      <c r="AR263" s="1321"/>
      <c r="AS263" s="1321"/>
      <c r="AT263" s="1321"/>
      <c r="AU263" s="1321"/>
      <c r="AV263" s="1321"/>
      <c r="AW263" s="1321"/>
      <c r="AX263" s="1321"/>
      <c r="AY263" s="1321"/>
      <c r="AZ263" s="1321"/>
      <c r="BA263" s="1321"/>
      <c r="BB263" s="1075" t="str">
        <f t="shared" si="75"/>
        <v>Soja</v>
      </c>
      <c r="BC263" s="1269">
        <f t="array" ref="BC263">IF(Ration_complète_bovins[somme]&gt;0,0,IFERROR(IF(OR(AND(INDEX(Règles_bovins[Specificite],MATCH(ChoixRationBovins&amp;$BB263,Règles_bovins[Ration]&amp;Règles_bovins[Aliment],0))="s1",IF($BB263=Spécificité1Bovins,1)),
AND(INDEX(Règles_bovins[Specificite],MATCH(ChoixRationBovins&amp;$BB263,Règles_bovins[Ration]&amp;Règles_bovins[Aliment],0))="s2",IF($BB263=Spécificité2Bovins,1)),
INDEX(Règles_bovins[Specificite],MATCH(ChoixRationBovins&amp;$BB263,Règles_bovins[Ration]&amp;Règles_bovins[Aliment],0))="c"),
INDEX(Règles_bovins[Valeur 36 et plus],MATCH(ChoixRationBovins&amp;$BB263,Règles_bovins[Ration]&amp;Règles_bovins[Aliment],0)),0),0)*IF(ChoixBovinsPréHiver=OUI,TotalVachesRacesLaitières,TotalVaches*SUM(NbreJoursNourrirBovins)))</f>
        <v>0</v>
      </c>
      <c r="BD263" s="1269">
        <f t="array" ref="BD263">IF(Ration_complète_bovins[somme]&gt;0,0,IFERROR(IF(OR(AND(INDEX(Règles_bovins[Specificite],MATCH(ChoixRationBovins&amp;$BB263,Règles_bovins[Ration]&amp;Règles_bovins[Aliment],0))="s1",IF($BB263=Spécificité1Bovins,1)),
AND(INDEX(Règles_bovins[Specificite],MATCH(ChoixRationBovins&amp;$BB263,Règles_bovins[Ration]&amp;Règles_bovins[Aliment],0))="s2",IF($BB263=Spécificité2Bovins,1)),
INDEX(Règles_bovins[Specificite],MATCH(ChoixRationBovins&amp;$BB263,Règles_bovins[Ration]&amp;Règles_bovins[Aliment],0))="c"),
INDEX(Règles_bovins[Valeur 24-36],MATCH(ChoixRationBovins&amp;$BB263,Règles_bovins[Ration]&amp;Règles_bovins[Aliment],0)),0),0)*IF(ChoixBovinsPréHiver=OUI,TotalGénisse_24_36_RacesLaitières,TotalBovinsFemelles_24_36mois*SUM(NbreJoursNourrirBovins)))</f>
        <v>0</v>
      </c>
      <c r="BE263" s="1269">
        <f t="array" ref="BE263">IF(Ration_complète_bovins[somme]&gt;0,0,IFERROR(IF(OR(AND(INDEX(Règles_bovins[Specificite],MATCH(ChoixRationBovins&amp;$BB263,Règles_bovins[Ration]&amp;Règles_bovins[Aliment],0))="s1",IF($BB263=Spécificité1Bovins,1)),
AND(INDEX(Règles_bovins[Specificite],MATCH(ChoixRationBovins&amp;$BB263,Règles_bovins[Ration]&amp;Règles_bovins[Aliment],0))="s2",IF($BB263=Spécificité2Bovins,1)),
INDEX(Règles_bovins[Specificite],MATCH(ChoixRationBovins&amp;$BB263,Règles_bovins[Ration]&amp;Règles_bovins[Aliment],0))="c"),
INDEX(Règles_bovins[Valeur 18-24],MATCH(ChoixRationBovins&amp;$BB263,Règles_bovins[Ration]&amp;Règles_bovins[Aliment],0)),0),0)*IF(ChoixBovinsPréHiver=OUI,TotalGénisse_18_24_RacesLaitières,TotalBovinsFemelles_18_24mois*SUM(NbreJoursNourrirBovins)))</f>
        <v>0</v>
      </c>
      <c r="BF263" s="1269">
        <f t="array" ref="BF263">IF(Ration_complète_bovins[somme]&gt;0,0,IFERROR(IF(OR(AND(INDEX(Règles_bovins[Specificite],MATCH(ChoixRationBovins&amp;$BB263,Règles_bovins[Ration]&amp;Règles_bovins[Aliment],0))="s1",IF($BB263=Spécificité1Bovins,1)),
AND(INDEX(Règles_bovins[Specificite],MATCH(ChoixRationBovins&amp;$BB263,Règles_bovins[Ration]&amp;Règles_bovins[Aliment],0))="s2",IF($BB263=Spécificité2Bovins,1)),
INDEX(Règles_bovins[Specificite],MATCH(ChoixRationBovins&amp;$BB263,Règles_bovins[Ration]&amp;Règles_bovins[Aliment],0))="c"),
INDEX(Règles_bovins[Valeur 12-18],MATCH(ChoixRationBovins&amp;$BB263,Règles_bovins[Ration]&amp;Règles_bovins[Aliment],0)),0),0)*IF(ChoixBovinsPréHiver=OUI,TotalGénisse_12_18_RacesLaitières,TotalBovinsFemelles_12_18mois*SUM(NbreJoursNourrirBovins)))</f>
        <v>0</v>
      </c>
      <c r="BG263" s="1269">
        <f t="array" ref="BG263">IF(Ration_complète_bovins[somme]&gt;0,0,IFERROR(IF(OR(AND(INDEX(Règles_bovins[Specificite],MATCH(ChoixRationBovins&amp;$BB263,Règles_bovins[Ration]&amp;Règles_bovins[Aliment],0))="s1",IF($BB263=Spécificité1Bovins,1)),
AND(INDEX(Règles_bovins[Specificite],MATCH(ChoixRationBovins&amp;$BB263,Règles_bovins[Ration]&amp;Règles_bovins[Aliment],0))="s2",IF($BB263=Spécificité2Bovins,1)),
INDEX(Règles_bovins[Specificite],MATCH(ChoixRationBovins&amp;$BB263,Règles_bovins[Ration]&amp;Règles_bovins[Aliment],0))="c"),
INDEX(Règles_bovins[Valeur 6-12],MATCH(ChoixRationBovins&amp;$BB263,Règles_bovins[Ration]&amp;Règles_bovins[Aliment],0)),0),0)*IF(ChoixBovinsPréHiver=OUI,TotalVeauFemelle_6_12_RacesLaitières,TotalBovinsFemelles_6_12mois*SUM(NbreJoursNourrirBovins)))</f>
        <v>0</v>
      </c>
      <c r="BH263" s="1269">
        <f t="array" ref="BH263">IF(Ration_complète_bovins[somme]&gt;0,0,IFERROR(IF(OR(AND(INDEX(Règles_bovins[Specificite],MATCH(ChoixRationBovins&amp;$BB263,Règles_bovins[Ration]&amp;Règles_bovins[Aliment],0))="s1",IF($BB263=Spécificité1Bovins,1)),
AND(INDEX(Règles_bovins[Specificite],MATCH(ChoixRationBovins&amp;$BB263,Règles_bovins[Ration]&amp;Règles_bovins[Aliment],0))="s2",IF($BB263=Spécificité2Bovins,1)),
INDEX(Règles_bovins[Specificite],MATCH(ChoixRationBovins&amp;$BB263,Règles_bovins[Ration]&amp;Règles_bovins[Aliment],0))="c"),
INDEX(Règles_bovins[Valeur 3-6],MATCH(ChoixRationBovins&amp;$BB263,Règles_bovins[Ration]&amp;Règles_bovins[Aliment],0)),0),0)*IF(ChoixBovinsPréHiver=OUI,TotalVeauFemelle_3_6_RacesLaitières,TotalBovinsFemelles_3_6mois*SUM(NbreJoursNourrirBovins)))</f>
        <v>0</v>
      </c>
      <c r="BI263" s="1269">
        <f t="array" ref="BI263">IF(Ration_complète_bovins[somme]&gt;0,0,IFERROR(IF(OR(AND(INDEX(Règles_bovins[Specificite],MATCH(ChoixRationBovins&amp;$BB263,Règles_bovins[Ration]&amp;Règles_bovins[Aliment],0))="s1",IF($BB263=Spécificité1Bovins,1)),
AND(INDEX(Règles_bovins[Specificite],MATCH(ChoixRationBovins&amp;$BB263,Règles_bovins[Ration]&amp;Règles_bovins[Aliment],0))="s2",IF($BB263=Spécificité2Bovins,1)),
INDEX(Règles_bovins[Specificite],MATCH(ChoixRationBovins&amp;$BB263,Règles_bovins[Ration]&amp;Règles_bovins[Aliment],0))="c"),
INDEX(Règles_bovins[Valeur 0-3],MATCH(ChoixRationBovins&amp;$BB263,Règles_bovins[Ration]&amp;Règles_bovins[Aliment],0)),0),0)*IF(ChoixBovinsPréHiver=OUI,TotalVeauFemelle_0_3_RacesLaitières,TotalBovinsFemelles_0_3mois*SUM(NbreJoursNourrirBovins)))</f>
        <v>0</v>
      </c>
      <c r="BJ263" s="1270">
        <f t="shared" si="74"/>
        <v>0</v>
      </c>
      <c r="BK263" s="1345"/>
      <c r="BL263" s="1345"/>
      <c r="BM263" s="1346"/>
      <c r="BN263" s="1321"/>
      <c r="BO263" s="1321"/>
      <c r="BP263" s="1321"/>
      <c r="BQ263" s="1321"/>
      <c r="BR263" s="1321"/>
      <c r="BS263" s="1321"/>
      <c r="BT263" s="1321"/>
      <c r="BU263" s="1321"/>
      <c r="BV263" s="1345"/>
      <c r="BW263" s="1345"/>
      <c r="BX263" s="1321"/>
      <c r="BY263" s="1321"/>
      <c r="BZ263" s="1321"/>
      <c r="CA263" s="1321"/>
      <c r="CB263" s="1321"/>
      <c r="CC263" s="1321"/>
      <c r="CD263" s="1345"/>
      <c r="CE263" s="1345"/>
      <c r="CF263" s="1345"/>
      <c r="CG263" s="1345"/>
      <c r="CH263" s="1345"/>
      <c r="CI263" s="1321"/>
      <c r="CJ263" s="1321"/>
      <c r="CK263" s="1321"/>
      <c r="CL263" s="1321"/>
      <c r="CM263" s="1321"/>
      <c r="CN263" s="1321"/>
      <c r="CO263" s="1321"/>
      <c r="CP263" s="1321"/>
      <c r="CQ263" s="1321"/>
      <c r="CR263" s="1321"/>
      <c r="CS263" s="1321"/>
      <c r="CT263" s="1321"/>
      <c r="CU263" s="1321"/>
      <c r="CV263" s="1321"/>
      <c r="CW263" s="1321"/>
      <c r="CX263" s="1321"/>
      <c r="CY263" s="1321"/>
      <c r="CZ263" s="1321"/>
      <c r="DA263" s="1321"/>
      <c r="DB263" s="1321"/>
      <c r="DC263" s="1321"/>
      <c r="DD263" s="1321"/>
      <c r="DE263" s="1321"/>
      <c r="DF263" s="1321"/>
      <c r="DG263" s="1321"/>
      <c r="DH263" s="1321"/>
      <c r="DI263" s="1321"/>
      <c r="DJ263" s="1321"/>
      <c r="DK263" s="1321"/>
      <c r="DL263" s="1321"/>
      <c r="DM263" s="1321"/>
      <c r="DN263" s="1075" t="str">
        <f t="shared" si="77"/>
        <v>Ration complète</v>
      </c>
      <c r="DO263" s="1269">
        <f t="array" ref="DO263">IF(ChoixRationHivernaleOvinsComplète=OUI,0,IFERROR(IF(OR(AND(INDEX(Règles_ovins[Specificite],MATCH(RationHivernaleOvinsAuPré&amp;$DN263,Règles_ovins[Ration]&amp;Règles_ovins[Aliment],0))="s1",IF($DN263=Spécificité1Ovins,1)),
AND(INDEX(Règles_ovins[Specificite],MATCH(RationHivernaleOvinsAuPré&amp;$DN263,Règles_ovins[Ration]&amp;Règles_ovins[Aliment],0))="s2",IF($DN263=Spécificité2Ovins,1)),
INDEX(Règles_ovins[Specificite],MATCH(RationHivernaleOvinsAuPré&amp;$DN263,Règles_ovins[Ration]&amp;Règles_ovins[Aliment],0))="c"),
INDEX(Règles_ovins[Valeur 12 et plus],MATCH(RationHivernaleOvinsAuPré&amp;$DN263,Règles_ovins[Ration]&amp;Règles_ovins[Aliment],0)),0),0)*IF(SUM(TotalOvinsAdultesAuPré)&gt;0,SUM(TotalOvinsAdultesAuPré)*SUM(AD76:AD100),SUM(TotalOvinsAdultes)*SUM(AD76:AD100)))</f>
        <v>0</v>
      </c>
      <c r="DP263" s="1269">
        <f t="array" ref="DP263">IF(ChoixRationHivernaleOvinsComplète=OUI,0,IFERROR(IF(OR(AND(INDEX(Règles_ovins[Specificite],MATCH(RationHivernaleOvinsAuPré&amp;$DN263,Règles_ovins[Ration]&amp;Règles_ovins[Aliment],0))="s1",IF($DN263=Spécificité1Ovins,1)),
AND(INDEX(Règles_ovins[Specificite],MATCH(RationHivernaleOvinsAuPré&amp;$DN263,Règles_ovins[Ration]&amp;Règles_ovins[Aliment],0))="s2",IF($DN263=Spécificité2Ovins,1)),
INDEX(Règles_ovins[Specificite],MATCH(RationHivernaleOvinsAuPré&amp;$DN263,Règles_ovins[Ration]&amp;Règles_ovins[Aliment],0))="c"),
INDEX(Règles_ovins[Valeur 6-12],MATCH(RationHivernaleOvinsAuPré&amp;$DN263,Règles_ovins[Ration]&amp;Règles_ovins[Aliment],0)),0),0)*IF(SUM(TotalOvins_6_12moisAuPré)&gt;0,SUM(TotalOvins_6_12moisAuPré)*SUM(AD76:AD100),SUM(TotalJeunesOvins)*SUM(AD76:AD100)))</f>
        <v>0</v>
      </c>
      <c r="DQ263" s="1269">
        <f t="array" ref="DQ263">IF(ChoixRationHivernaleOvinsComplète=OUI,0,IFERROR(IF(OR(AND(INDEX(Règles_ovins[Specificite],MATCH(RationHivernaleOvinsAuPré&amp;$DN263,Règles_ovins[Ration]&amp;Règles_ovins[Aliment],0))="s1",IF($DN263=Spécificité1Ovins,1)),
AND(INDEX(Règles_ovins[Specificite],MATCH(RationHivernaleOvinsAuPré&amp;$DN263,Règles_ovins[Ration]&amp;Règles_ovins[Aliment],0))="s2",IF($DN263=Spécificité2Ovins,1)),
INDEX(Règles_ovins[Specificite],MATCH(RationHivernaleOvinsAuPré&amp;$DN263,Règles_ovins[Ration]&amp;Règles_ovins[Aliment],0))="c"),
INDEX(Règles_ovins[Valeur 3-6],MATCH(RationHivernaleOvinsAuPré&amp;$DN263,Règles_ovins[Ration]&amp;Règles_ovins[Aliment],0)),0),0)*IF(SUM(TotalOvins_3_6moisAuPré)&gt;0,SUM(TotalOvins_3_6moisAuPré)*SUM(AD76:AD100),SUM(TotalOvins_3_6mois)*SUM(AD76:AD100)))</f>
        <v>0</v>
      </c>
      <c r="DR263" s="1269">
        <f t="array" ref="DR263">IF(ChoixRationHivernaleOvinsComplète=OUI,0,IFERROR(IF(OR(AND(INDEX(Règles_ovins[Specificite],MATCH(RationHivernaleOvinsAuPré&amp;$DN263,Règles_ovins[Ration]&amp;Règles_ovins[Aliment],0))="s1",IF($DN263=Spécificité1Ovins,1)),
AND(INDEX(Règles_ovins[Specificite],MATCH(RationHivernaleOvinsAuPré&amp;$DN263,Règles_ovins[Ration]&amp;Règles_ovins[Aliment],0))="s2",IF($DN263=Spécificité2Ovins,1)),
INDEX(Règles_ovins[Specificite],MATCH(RationHivernaleOvinsAuPré&amp;$DN263,Règles_ovins[Ration]&amp;Règles_ovins[Aliment],0))="c"),
INDEX(Règles_ovins[Valeur 0-3],MATCH(RationHivernaleOvinsAuPré&amp;$DN263,Règles_ovins[Ration]&amp;Règles_ovins[Aliment],0)),0),0)*IF(SUM(TotalOvins_0_3moisAuPré)&gt;0,SUM(TotalOvins_0_3moisAuPré)*SUM(AD76:AD100),SUM(TotalOvins_3_6mois)*SUM(AD76:AD100)))</f>
        <v>0</v>
      </c>
      <c r="DS263" s="1280">
        <f t="shared" si="76"/>
        <v>0</v>
      </c>
      <c r="DT263" s="1346"/>
      <c r="DU263" s="1346"/>
      <c r="DV263" s="1321"/>
      <c r="DW263" s="1321"/>
      <c r="DX263" s="1321"/>
      <c r="DY263" s="1321"/>
      <c r="DZ263" s="1321"/>
      <c r="EA263" s="1321"/>
      <c r="EB263" s="1321"/>
      <c r="EC263" s="1321"/>
      <c r="ED263" s="1345"/>
      <c r="EE263" s="1345"/>
      <c r="EF263" s="1321"/>
      <c r="EG263" s="1321"/>
      <c r="EH263" s="1321"/>
      <c r="EI263" s="1321"/>
      <c r="EJ263" s="1321"/>
      <c r="EK263" s="1345"/>
      <c r="EL263" s="1345"/>
      <c r="EM263" s="1321"/>
      <c r="EN263" s="1321"/>
      <c r="EO263" s="1321"/>
      <c r="EP263" s="1321"/>
      <c r="EQ263" s="1321"/>
      <c r="ER263" s="1345"/>
      <c r="ES263" s="1345"/>
      <c r="ET263" s="1321"/>
      <c r="EU263" s="1321"/>
      <c r="EV263" s="1321"/>
      <c r="EW263" s="1321"/>
      <c r="EX263" s="1321"/>
      <c r="EY263" s="1321"/>
      <c r="EZ263" s="1345"/>
      <c r="FA263" s="1345"/>
      <c r="FB263" s="1345"/>
      <c r="FC263" s="1321"/>
      <c r="FD263" s="1321"/>
      <c r="FE263" s="1321"/>
      <c r="FF263" s="1321"/>
      <c r="FG263" s="1321"/>
      <c r="FH263" s="1321"/>
      <c r="FI263" s="1345"/>
      <c r="FJ263" s="1345"/>
      <c r="FK263" s="1345"/>
      <c r="FL263" s="1345"/>
      <c r="FM263" s="1321"/>
      <c r="FN263" s="1321"/>
      <c r="FO263" s="1321"/>
      <c r="FP263" s="1321"/>
      <c r="FQ263" s="1321"/>
      <c r="FR263" s="1321"/>
      <c r="FS263" s="1345"/>
      <c r="FT263" s="1345"/>
      <c r="FU263" s="1345"/>
      <c r="FV263" s="1345"/>
      <c r="FW263" s="1321"/>
      <c r="FX263" s="1321"/>
      <c r="FY263" s="1321"/>
      <c r="FZ263" s="1321"/>
      <c r="GA263" s="1345"/>
      <c r="GB263" s="1321"/>
      <c r="GC263" s="1321"/>
      <c r="GD263" s="1321"/>
      <c r="GE263" s="1321"/>
      <c r="GF263" s="1321"/>
      <c r="GG263" s="1321" t="s">
        <v>1349</v>
      </c>
      <c r="GH263" s="1321" t="s">
        <v>1349</v>
      </c>
      <c r="GI263" s="1321" t="s">
        <v>1349</v>
      </c>
      <c r="GJ263" s="1321" t="s">
        <v>1349</v>
      </c>
      <c r="GK263" s="1321" t="s">
        <v>1349</v>
      </c>
      <c r="GL263" s="1321" t="s">
        <v>1349</v>
      </c>
      <c r="GM263" s="1321" t="s">
        <v>1349</v>
      </c>
      <c r="GN263" s="1321" t="s">
        <v>1349</v>
      </c>
      <c r="GO263" s="1321" t="s">
        <v>1349</v>
      </c>
      <c r="GP263" s="1321" t="s">
        <v>1349</v>
      </c>
      <c r="GQ263" s="1321" t="s">
        <v>1349</v>
      </c>
      <c r="GR263" s="1321" t="s">
        <v>1349</v>
      </c>
      <c r="GS263" s="1321" t="s">
        <v>1349</v>
      </c>
      <c r="GT263" s="1321" t="s">
        <v>1349</v>
      </c>
      <c r="GU263" s="1321" t="s">
        <v>1349</v>
      </c>
      <c r="GV263" s="1321" t="s">
        <v>1349</v>
      </c>
      <c r="GW263" s="1321"/>
      <c r="GX263" s="1321"/>
      <c r="GY263" s="1321"/>
      <c r="GZ263" s="1321"/>
      <c r="HA263" s="1321"/>
      <c r="HB263" s="1321"/>
      <c r="HC263" s="1321"/>
      <c r="HD263" s="1321"/>
      <c r="HE263" s="1321"/>
      <c r="HF263" s="1321"/>
      <c r="HG263" s="1321"/>
      <c r="HH263" s="1321"/>
      <c r="HI263" s="1321"/>
      <c r="HJ263" s="1321"/>
      <c r="HK263" s="1321"/>
      <c r="HL263" s="1321"/>
      <c r="HM263" s="1321"/>
      <c r="HN263" s="1321"/>
      <c r="HO263" s="1321"/>
      <c r="HP263" s="1321"/>
      <c r="HQ263" s="1321"/>
      <c r="HR263" s="1321"/>
      <c r="HS263" s="1321"/>
      <c r="HT263" s="1321"/>
      <c r="HU263" s="1321"/>
      <c r="HV263" s="1321"/>
      <c r="HW263" s="1321"/>
      <c r="HX263" s="1321"/>
      <c r="HY263" s="1321"/>
      <c r="HZ263" s="1321"/>
      <c r="IA263" s="1321"/>
      <c r="IB263" s="1321"/>
      <c r="IC263" s="1321"/>
      <c r="ID263" s="1321"/>
      <c r="IE263" s="1321"/>
      <c r="IF263" s="1321"/>
      <c r="IG263" s="1321"/>
      <c r="IH263" s="1321"/>
      <c r="II263" s="1321"/>
      <c r="IJ263" s="1321"/>
      <c r="IK263" s="1321"/>
      <c r="IL263" s="1321"/>
      <c r="IM263" s="1321"/>
      <c r="IN263" s="1368"/>
    </row>
    <row r="264" spans="1:248" ht="12.75" customHeight="1" x14ac:dyDescent="0.2">
      <c r="A264" s="1319"/>
      <c r="B264" s="1321"/>
      <c r="C264" s="1321"/>
      <c r="D264" s="1321"/>
      <c r="E264" s="1321"/>
      <c r="F264" s="1321"/>
      <c r="G264" s="1321"/>
      <c r="H264" s="1321"/>
      <c r="I264" s="1321"/>
      <c r="J264" s="1321"/>
      <c r="K264" s="1321"/>
      <c r="L264" s="1321"/>
      <c r="M264" s="1321"/>
      <c r="N264" s="1321"/>
      <c r="O264" s="1321"/>
      <c r="P264" s="1321"/>
      <c r="Q264" s="1321"/>
      <c r="R264" s="1321"/>
      <c r="S264" s="1321"/>
      <c r="T264" s="1321"/>
      <c r="U264" s="1321"/>
      <c r="V264" s="1321"/>
      <c r="W264" s="1321"/>
      <c r="X264" s="1321"/>
      <c r="Y264" s="1321"/>
      <c r="Z264" s="1321"/>
      <c r="AA264" s="1321"/>
      <c r="AB264" s="1321"/>
      <c r="AC264" s="1321"/>
      <c r="AD264" s="1321"/>
      <c r="AE264" s="1321"/>
      <c r="AF264" s="1321"/>
      <c r="AG264" s="1321"/>
      <c r="AH264" s="1321"/>
      <c r="AI264" s="1321"/>
      <c r="AJ264" s="1321"/>
      <c r="AK264" s="1321"/>
      <c r="AL264" s="1321"/>
      <c r="AM264" s="1321"/>
      <c r="AN264" s="1321"/>
      <c r="AO264" s="1321"/>
      <c r="AP264" s="1321"/>
      <c r="AQ264" s="1321"/>
      <c r="AR264" s="1321"/>
      <c r="AS264" s="1321"/>
      <c r="AT264" s="1321"/>
      <c r="AU264" s="1321"/>
      <c r="AV264" s="1321"/>
      <c r="AW264" s="1321"/>
      <c r="AX264" s="1321"/>
      <c r="AY264" s="1321"/>
      <c r="AZ264" s="1321"/>
      <c r="BA264" s="1321"/>
      <c r="BB264" s="1076" t="str">
        <f t="shared" si="75"/>
        <v>Sorgho ensilé</v>
      </c>
      <c r="BC264" s="1267">
        <f t="array" ref="BC264">IF(Ration_complète_bovins[somme]&gt;0,0,IFERROR(IF(OR(AND(INDEX(Règles_bovins[Specificite],MATCH(ChoixRationBovins&amp;$BB264,Règles_bovins[Ration]&amp;Règles_bovins[Aliment],0))="s1",IF($BB264=Spécificité1Bovins,1)),
AND(INDEX(Règles_bovins[Specificite],MATCH(ChoixRationBovins&amp;$BB264,Règles_bovins[Ration]&amp;Règles_bovins[Aliment],0))="s2",IF($BB264=Spécificité2Bovins,1)),
INDEX(Règles_bovins[Specificite],MATCH(ChoixRationBovins&amp;$BB264,Règles_bovins[Ration]&amp;Règles_bovins[Aliment],0))="c"),
INDEX(Règles_bovins[Valeur 36 et plus],MATCH(ChoixRationBovins&amp;$BB264,Règles_bovins[Ration]&amp;Règles_bovins[Aliment],0)),0),0)*IF(ChoixBovinsPréHiver=OUI,TotalVachesRacesLaitières,TotalVaches*SUM(NbreJoursNourrirBovins)))</f>
        <v>0</v>
      </c>
      <c r="BD264" s="1267">
        <f t="array" ref="BD264">IF(Ration_complète_bovins[somme]&gt;0,0,IFERROR(IF(OR(AND(INDEX(Règles_bovins[Specificite],MATCH(ChoixRationBovins&amp;$BB264,Règles_bovins[Ration]&amp;Règles_bovins[Aliment],0))="s1",IF($BB264=Spécificité1Bovins,1)),
AND(INDEX(Règles_bovins[Specificite],MATCH(ChoixRationBovins&amp;$BB264,Règles_bovins[Ration]&amp;Règles_bovins[Aliment],0))="s2",IF($BB264=Spécificité2Bovins,1)),
INDEX(Règles_bovins[Specificite],MATCH(ChoixRationBovins&amp;$BB264,Règles_bovins[Ration]&amp;Règles_bovins[Aliment],0))="c"),
INDEX(Règles_bovins[Valeur 24-36],MATCH(ChoixRationBovins&amp;$BB264,Règles_bovins[Ration]&amp;Règles_bovins[Aliment],0)),0),0)*IF(ChoixBovinsPréHiver=OUI,TotalGénisse_24_36_RacesLaitières,TotalBovinsFemelles_24_36mois*SUM(NbreJoursNourrirBovins)))</f>
        <v>0</v>
      </c>
      <c r="BE264" s="1267">
        <f t="array" ref="BE264">IF(Ration_complète_bovins[somme]&gt;0,0,IFERROR(IF(OR(AND(INDEX(Règles_bovins[Specificite],MATCH(ChoixRationBovins&amp;$BB264,Règles_bovins[Ration]&amp;Règles_bovins[Aliment],0))="s1",IF($BB264=Spécificité1Bovins,1)),
AND(INDEX(Règles_bovins[Specificite],MATCH(ChoixRationBovins&amp;$BB264,Règles_bovins[Ration]&amp;Règles_bovins[Aliment],0))="s2",IF($BB264=Spécificité2Bovins,1)),
INDEX(Règles_bovins[Specificite],MATCH(ChoixRationBovins&amp;$BB264,Règles_bovins[Ration]&amp;Règles_bovins[Aliment],0))="c"),
INDEX(Règles_bovins[Valeur 18-24],MATCH(ChoixRationBovins&amp;$BB264,Règles_bovins[Ration]&amp;Règles_bovins[Aliment],0)),0),0)*IF(ChoixBovinsPréHiver=OUI,TotalGénisse_18_24_RacesLaitières,TotalBovinsFemelles_18_24mois*SUM(NbreJoursNourrirBovins)))</f>
        <v>0</v>
      </c>
      <c r="BF264" s="1267">
        <f t="array" ref="BF264">IF(Ration_complète_bovins[somme]&gt;0,0,IFERROR(IF(OR(AND(INDEX(Règles_bovins[Specificite],MATCH(ChoixRationBovins&amp;$BB264,Règles_bovins[Ration]&amp;Règles_bovins[Aliment],0))="s1",IF($BB264=Spécificité1Bovins,1)),
AND(INDEX(Règles_bovins[Specificite],MATCH(ChoixRationBovins&amp;$BB264,Règles_bovins[Ration]&amp;Règles_bovins[Aliment],0))="s2",IF($BB264=Spécificité2Bovins,1)),
INDEX(Règles_bovins[Specificite],MATCH(ChoixRationBovins&amp;$BB264,Règles_bovins[Ration]&amp;Règles_bovins[Aliment],0))="c"),
INDEX(Règles_bovins[Valeur 12-18],MATCH(ChoixRationBovins&amp;$BB264,Règles_bovins[Ration]&amp;Règles_bovins[Aliment],0)),0),0)*IF(ChoixBovinsPréHiver=OUI,TotalGénisse_12_18_RacesLaitières,TotalBovinsFemelles_12_18mois*SUM(NbreJoursNourrirBovins)))</f>
        <v>0</v>
      </c>
      <c r="BG264" s="1267">
        <f t="array" ref="BG264">IF(Ration_complète_bovins[somme]&gt;0,0,IFERROR(IF(OR(AND(INDEX(Règles_bovins[Specificite],MATCH(ChoixRationBovins&amp;$BB264,Règles_bovins[Ration]&amp;Règles_bovins[Aliment],0))="s1",IF($BB264=Spécificité1Bovins,1)),
AND(INDEX(Règles_bovins[Specificite],MATCH(ChoixRationBovins&amp;$BB264,Règles_bovins[Ration]&amp;Règles_bovins[Aliment],0))="s2",IF($BB264=Spécificité2Bovins,1)),
INDEX(Règles_bovins[Specificite],MATCH(ChoixRationBovins&amp;$BB264,Règles_bovins[Ration]&amp;Règles_bovins[Aliment],0))="c"),
INDEX(Règles_bovins[Valeur 6-12],MATCH(ChoixRationBovins&amp;$BB264,Règles_bovins[Ration]&amp;Règles_bovins[Aliment],0)),0),0)*IF(ChoixBovinsPréHiver=OUI,TotalVeauFemelle_6_12_RacesLaitières,TotalBovinsFemelles_6_12mois*SUM(NbreJoursNourrirBovins)))</f>
        <v>0</v>
      </c>
      <c r="BH264" s="1267">
        <f t="array" ref="BH264">IF(Ration_complète_bovins[somme]&gt;0,0,IFERROR(IF(OR(AND(INDEX(Règles_bovins[Specificite],MATCH(ChoixRationBovins&amp;$BB264,Règles_bovins[Ration]&amp;Règles_bovins[Aliment],0))="s1",IF($BB264=Spécificité1Bovins,1)),
AND(INDEX(Règles_bovins[Specificite],MATCH(ChoixRationBovins&amp;$BB264,Règles_bovins[Ration]&amp;Règles_bovins[Aliment],0))="s2",IF($BB264=Spécificité2Bovins,1)),
INDEX(Règles_bovins[Specificite],MATCH(ChoixRationBovins&amp;$BB264,Règles_bovins[Ration]&amp;Règles_bovins[Aliment],0))="c"),
INDEX(Règles_bovins[Valeur 3-6],MATCH(ChoixRationBovins&amp;$BB264,Règles_bovins[Ration]&amp;Règles_bovins[Aliment],0)),0),0)*IF(ChoixBovinsPréHiver=OUI,TotalVeauFemelle_3_6_RacesLaitières,TotalBovinsFemelles_3_6mois*SUM(NbreJoursNourrirBovins)))</f>
        <v>0</v>
      </c>
      <c r="BI264" s="1267">
        <f t="array" ref="BI264">IF(Ration_complète_bovins[somme]&gt;0,0,IFERROR(IF(OR(AND(INDEX(Règles_bovins[Specificite],MATCH(ChoixRationBovins&amp;$BB264,Règles_bovins[Ration]&amp;Règles_bovins[Aliment],0))="s1",IF($BB264=Spécificité1Bovins,1)),
AND(INDEX(Règles_bovins[Specificite],MATCH(ChoixRationBovins&amp;$BB264,Règles_bovins[Ration]&amp;Règles_bovins[Aliment],0))="s2",IF($BB264=Spécificité2Bovins,1)),
INDEX(Règles_bovins[Specificite],MATCH(ChoixRationBovins&amp;$BB264,Règles_bovins[Ration]&amp;Règles_bovins[Aliment],0))="c"),
INDEX(Règles_bovins[Valeur 0-3],MATCH(ChoixRationBovins&amp;$BB264,Règles_bovins[Ration]&amp;Règles_bovins[Aliment],0)),0),0)*IF(ChoixBovinsPréHiver=OUI,TotalVeauFemelle_0_3_RacesLaitières,TotalBovinsFemelles_0_3mois*SUM(NbreJoursNourrirBovins)))</f>
        <v>0</v>
      </c>
      <c r="BJ264" s="1268">
        <f t="shared" si="74"/>
        <v>0</v>
      </c>
      <c r="BK264" s="1345"/>
      <c r="BL264" s="1345"/>
      <c r="BM264" s="1346"/>
      <c r="BN264" s="1321"/>
      <c r="BO264" s="1321"/>
      <c r="BP264" s="1321"/>
      <c r="BQ264" s="1321"/>
      <c r="BR264" s="1321"/>
      <c r="BS264" s="1321"/>
      <c r="BT264" s="1321"/>
      <c r="BU264" s="1321"/>
      <c r="BV264" s="1345"/>
      <c r="BW264" s="1345"/>
      <c r="BX264" s="1321"/>
      <c r="BY264" s="1321"/>
      <c r="BZ264" s="1321"/>
      <c r="CA264" s="1321"/>
      <c r="CB264" s="1321"/>
      <c r="CC264" s="1321"/>
      <c r="CD264" s="1345"/>
      <c r="CE264" s="1345"/>
      <c r="CF264" s="1345"/>
      <c r="CG264" s="1345"/>
      <c r="CH264" s="1345"/>
      <c r="CI264" s="1321"/>
      <c r="CJ264" s="1321"/>
      <c r="CK264" s="1321"/>
      <c r="CL264" s="1321"/>
      <c r="CM264" s="1321"/>
      <c r="CN264" s="1321"/>
      <c r="CO264" s="1321"/>
      <c r="CP264" s="1321"/>
      <c r="CQ264" s="1321"/>
      <c r="CR264" s="1321"/>
      <c r="CS264" s="1321"/>
      <c r="CT264" s="1321"/>
      <c r="CU264" s="1321"/>
      <c r="CV264" s="1321"/>
      <c r="CW264" s="1321"/>
      <c r="CX264" s="1321"/>
      <c r="CY264" s="1321"/>
      <c r="CZ264" s="1321"/>
      <c r="DA264" s="1321"/>
      <c r="DB264" s="1321"/>
      <c r="DC264" s="1321"/>
      <c r="DD264" s="1321"/>
      <c r="DE264" s="1321"/>
      <c r="DF264" s="1321"/>
      <c r="DG264" s="1321"/>
      <c r="DH264" s="1321"/>
      <c r="DI264" s="1321"/>
      <c r="DJ264" s="1321"/>
      <c r="DK264" s="1321"/>
      <c r="DL264" s="1321"/>
      <c r="DM264" s="1321"/>
      <c r="DN264" s="1076" t="str">
        <f t="shared" si="77"/>
        <v>Seigle</v>
      </c>
      <c r="DO264" s="1267">
        <f t="array" ref="DO264">IF(ChoixRationHivernaleOvinsComplète=OUI,0,IFERROR(IF(OR(AND(INDEX(Règles_ovins[Specificite],MATCH(RationHivernaleOvinsAuPré&amp;$DN264,Règles_ovins[Ration]&amp;Règles_ovins[Aliment],0))="s1",IF($DN264=Spécificité1Ovins,1)),
AND(INDEX(Règles_ovins[Specificite],MATCH(RationHivernaleOvinsAuPré&amp;$DN264,Règles_ovins[Ration]&amp;Règles_ovins[Aliment],0))="s2",IF($DN264=Spécificité2Ovins,1)),
INDEX(Règles_ovins[Specificite],MATCH(RationHivernaleOvinsAuPré&amp;$DN264,Règles_ovins[Ration]&amp;Règles_ovins[Aliment],0))="c"),
INDEX(Règles_ovins[Valeur 12 et plus],MATCH(RationHivernaleOvinsAuPré&amp;$DN264,Règles_ovins[Ration]&amp;Règles_ovins[Aliment],0)),0),0)*IF(SUM(TotalOvinsAdultesAuPré)&gt;0,SUM(TotalOvinsAdultesAuPré)*SUM(AD76:AD100),SUM(TotalOvinsAdultes)*SUM(AD76:AD100)))</f>
        <v>0</v>
      </c>
      <c r="DP264" s="1267">
        <f t="array" ref="DP264">IF(ChoixRationHivernaleOvinsComplète=OUI,0,IFERROR(IF(OR(AND(INDEX(Règles_ovins[Specificite],MATCH(RationHivernaleOvinsAuPré&amp;$DN264,Règles_ovins[Ration]&amp;Règles_ovins[Aliment],0))="s1",IF($DN264=Spécificité1Ovins,1)),
AND(INDEX(Règles_ovins[Specificite],MATCH(RationHivernaleOvinsAuPré&amp;$DN264,Règles_ovins[Ration]&amp;Règles_ovins[Aliment],0))="s2",IF($DN264=Spécificité2Ovins,1)),
INDEX(Règles_ovins[Specificite],MATCH(RationHivernaleOvinsAuPré&amp;$DN264,Règles_ovins[Ration]&amp;Règles_ovins[Aliment],0))="c"),
INDEX(Règles_ovins[Valeur 6-12],MATCH(RationHivernaleOvinsAuPré&amp;$DN264,Règles_ovins[Ration]&amp;Règles_ovins[Aliment],0)),0),0)*IF(SUM(TotalOvins_6_12moisAuPré)&gt;0,SUM(TotalOvins_6_12moisAuPré)*SUM(AD76:AD100),SUM(TotalJeunesOvins)*SUM(AD76:AD100)))</f>
        <v>0</v>
      </c>
      <c r="DQ264" s="1267">
        <f t="array" ref="DQ264">IF(ChoixRationHivernaleOvinsComplète=OUI,0,IFERROR(IF(OR(AND(INDEX(Règles_ovins[Specificite],MATCH(RationHivernaleOvinsAuPré&amp;$DN264,Règles_ovins[Ration]&amp;Règles_ovins[Aliment],0))="s1",IF($DN264=Spécificité1Ovins,1)),
AND(INDEX(Règles_ovins[Specificite],MATCH(RationHivernaleOvinsAuPré&amp;$DN264,Règles_ovins[Ration]&amp;Règles_ovins[Aliment],0))="s2",IF($DN264=Spécificité2Ovins,1)),
INDEX(Règles_ovins[Specificite],MATCH(RationHivernaleOvinsAuPré&amp;$DN264,Règles_ovins[Ration]&amp;Règles_ovins[Aliment],0))="c"),
INDEX(Règles_ovins[Valeur 3-6],MATCH(RationHivernaleOvinsAuPré&amp;$DN264,Règles_ovins[Ration]&amp;Règles_ovins[Aliment],0)),0),0)*IF(SUM(TotalOvins_3_6moisAuPré)&gt;0,SUM(TotalOvins_3_6moisAuPré)*SUM(AD76:AD100),SUM(TotalOvins_3_6mois)*SUM(AD76:AD100)))</f>
        <v>0</v>
      </c>
      <c r="DR264" s="1267">
        <f t="array" ref="DR264">IF(ChoixRationHivernaleOvinsComplète=OUI,0,IFERROR(IF(OR(AND(INDEX(Règles_ovins[Specificite],MATCH(RationHivernaleOvinsAuPré&amp;$DN264,Règles_ovins[Ration]&amp;Règles_ovins[Aliment],0))="s1",IF($DN264=Spécificité1Ovins,1)),
AND(INDEX(Règles_ovins[Specificite],MATCH(RationHivernaleOvinsAuPré&amp;$DN264,Règles_ovins[Ration]&amp;Règles_ovins[Aliment],0))="s2",IF($DN264=Spécificité2Ovins,1)),
INDEX(Règles_ovins[Specificite],MATCH(RationHivernaleOvinsAuPré&amp;$DN264,Règles_ovins[Ration]&amp;Règles_ovins[Aliment],0))="c"),
INDEX(Règles_ovins[Valeur 0-3],MATCH(RationHivernaleOvinsAuPré&amp;$DN264,Règles_ovins[Ration]&amp;Règles_ovins[Aliment],0)),0),0)*IF(SUM(TotalOvins_0_3moisAuPré)&gt;0,SUM(TotalOvins_0_3moisAuPré)*SUM(AD76:AD100),SUM(TotalOvins_3_6mois)*SUM(AD76:AD100)))</f>
        <v>0</v>
      </c>
      <c r="DS264" s="1279">
        <f t="shared" si="76"/>
        <v>0</v>
      </c>
      <c r="DT264" s="1346"/>
      <c r="DU264" s="1346"/>
      <c r="DV264" s="1321"/>
      <c r="DW264" s="1321"/>
      <c r="DX264" s="1321"/>
      <c r="DY264" s="1321"/>
      <c r="DZ264" s="1321"/>
      <c r="EA264" s="1321"/>
      <c r="EB264" s="1321"/>
      <c r="EC264" s="1321"/>
      <c r="ED264" s="1345"/>
      <c r="EE264" s="1345"/>
      <c r="EF264" s="1321"/>
      <c r="EG264" s="1321"/>
      <c r="EH264" s="1321"/>
      <c r="EI264" s="1321"/>
      <c r="EJ264" s="1321"/>
      <c r="EK264" s="1345"/>
      <c r="EL264" s="1345"/>
      <c r="EM264" s="1321"/>
      <c r="EN264" s="1321"/>
      <c r="EO264" s="1321"/>
      <c r="EP264" s="1321"/>
      <c r="EQ264" s="1321"/>
      <c r="ER264" s="1345"/>
      <c r="ES264" s="1345"/>
      <c r="ET264" s="1321"/>
      <c r="EU264" s="1321"/>
      <c r="EV264" s="1321"/>
      <c r="EW264" s="1321"/>
      <c r="EX264" s="1321"/>
      <c r="EY264" s="1321"/>
      <c r="EZ264" s="1345"/>
      <c r="FA264" s="1345"/>
      <c r="FB264" s="1345"/>
      <c r="FC264" s="1321"/>
      <c r="FD264" s="1321"/>
      <c r="FE264" s="1321"/>
      <c r="FF264" s="1321"/>
      <c r="FG264" s="1321"/>
      <c r="FH264" s="1321"/>
      <c r="FI264" s="1345"/>
      <c r="FJ264" s="1345"/>
      <c r="FK264" s="1345"/>
      <c r="FL264" s="1345"/>
      <c r="FM264" s="1321"/>
      <c r="FN264" s="1321"/>
      <c r="FO264" s="1321"/>
      <c r="FP264" s="1321"/>
      <c r="FQ264" s="1321"/>
      <c r="FR264" s="1321"/>
      <c r="FS264" s="1345"/>
      <c r="FT264" s="1345"/>
      <c r="FU264" s="1345"/>
      <c r="FV264" s="1345"/>
      <c r="FW264" s="1321"/>
      <c r="FX264" s="1321"/>
      <c r="FY264" s="1321"/>
      <c r="FZ264" s="1321"/>
      <c r="GA264" s="1345"/>
      <c r="GB264" s="1321"/>
      <c r="GC264" s="1321"/>
      <c r="GD264" s="1321"/>
      <c r="GE264" s="1321"/>
      <c r="GF264" s="1321"/>
      <c r="GG264" s="1321" t="s">
        <v>1349</v>
      </c>
      <c r="GH264" s="1321" t="s">
        <v>1349</v>
      </c>
      <c r="GI264" s="1321" t="s">
        <v>1349</v>
      </c>
      <c r="GJ264" s="1321" t="s">
        <v>1349</v>
      </c>
      <c r="GK264" s="1321" t="s">
        <v>1349</v>
      </c>
      <c r="GL264" s="1321" t="s">
        <v>1349</v>
      </c>
      <c r="GM264" s="1321" t="s">
        <v>1349</v>
      </c>
      <c r="GN264" s="1321" t="s">
        <v>1349</v>
      </c>
      <c r="GO264" s="1321" t="s">
        <v>1349</v>
      </c>
      <c r="GP264" s="1321" t="s">
        <v>1349</v>
      </c>
      <c r="GQ264" s="1321" t="s">
        <v>1349</v>
      </c>
      <c r="GR264" s="1321" t="s">
        <v>1349</v>
      </c>
      <c r="GS264" s="1321" t="s">
        <v>1349</v>
      </c>
      <c r="GT264" s="1321" t="s">
        <v>1349</v>
      </c>
      <c r="GU264" s="1321" t="s">
        <v>1349</v>
      </c>
      <c r="GV264" s="1321" t="s">
        <v>1349</v>
      </c>
      <c r="GW264" s="1321"/>
      <c r="GX264" s="1321"/>
      <c r="GY264" s="1321"/>
      <c r="GZ264" s="1321"/>
      <c r="HA264" s="1321"/>
      <c r="HB264" s="1321"/>
      <c r="HC264" s="1321"/>
      <c r="HD264" s="1321"/>
      <c r="HE264" s="1321"/>
      <c r="HF264" s="1321"/>
      <c r="HG264" s="1321"/>
      <c r="HH264" s="1321"/>
      <c r="HI264" s="1321"/>
      <c r="HJ264" s="1321"/>
      <c r="HK264" s="1321"/>
      <c r="HL264" s="1321"/>
      <c r="HM264" s="1321"/>
      <c r="HN264" s="1321"/>
      <c r="HO264" s="1321"/>
      <c r="HP264" s="1321"/>
      <c r="HQ264" s="1321"/>
      <c r="HR264" s="1321"/>
      <c r="HS264" s="1321"/>
      <c r="HT264" s="1321"/>
      <c r="HU264" s="1321"/>
      <c r="HV264" s="1321"/>
      <c r="HW264" s="1321"/>
      <c r="HX264" s="1321"/>
      <c r="HY264" s="1321"/>
      <c r="HZ264" s="1321"/>
      <c r="IA264" s="1321"/>
      <c r="IB264" s="1321"/>
      <c r="IC264" s="1321"/>
      <c r="ID264" s="1321"/>
      <c r="IE264" s="1321"/>
      <c r="IF264" s="1321"/>
      <c r="IG264" s="1321"/>
      <c r="IH264" s="1321"/>
      <c r="II264" s="1321"/>
      <c r="IJ264" s="1321"/>
      <c r="IK264" s="1321"/>
      <c r="IL264" s="1321"/>
      <c r="IM264" s="1321"/>
      <c r="IN264" s="1368"/>
    </row>
    <row r="265" spans="1:248" ht="12.75" customHeight="1" x14ac:dyDescent="0.2">
      <c r="A265" s="1319"/>
      <c r="B265" s="1321"/>
      <c r="C265" s="1321"/>
      <c r="D265" s="1321"/>
      <c r="E265" s="1321"/>
      <c r="F265" s="1321"/>
      <c r="G265" s="1321"/>
      <c r="H265" s="1321"/>
      <c r="I265" s="1321"/>
      <c r="J265" s="1321"/>
      <c r="K265" s="1321"/>
      <c r="L265" s="1321"/>
      <c r="M265" s="1321"/>
      <c r="N265" s="1321"/>
      <c r="O265" s="1321"/>
      <c r="P265" s="1321"/>
      <c r="Q265" s="1321"/>
      <c r="R265" s="1321"/>
      <c r="S265" s="1321"/>
      <c r="T265" s="1321"/>
      <c r="U265" s="1321"/>
      <c r="V265" s="1321"/>
      <c r="W265" s="1321"/>
      <c r="X265" s="1321"/>
      <c r="Y265" s="1321"/>
      <c r="Z265" s="1321"/>
      <c r="AA265" s="1321"/>
      <c r="AB265" s="1321"/>
      <c r="AC265" s="1321"/>
      <c r="AD265" s="1321"/>
      <c r="AE265" s="1321"/>
      <c r="AF265" s="1321"/>
      <c r="AG265" s="1321"/>
      <c r="AH265" s="1321"/>
      <c r="AI265" s="1321"/>
      <c r="AJ265" s="1321"/>
      <c r="AK265" s="1321"/>
      <c r="AL265" s="1321"/>
      <c r="AM265" s="1321"/>
      <c r="AN265" s="1321"/>
      <c r="AO265" s="1321"/>
      <c r="AP265" s="1321"/>
      <c r="AQ265" s="1321"/>
      <c r="AR265" s="1321"/>
      <c r="AS265" s="1321"/>
      <c r="AT265" s="1321"/>
      <c r="AU265" s="1321"/>
      <c r="AV265" s="1321"/>
      <c r="AW265" s="1321"/>
      <c r="AX265" s="1321"/>
      <c r="AY265" s="1321"/>
      <c r="AZ265" s="1321"/>
      <c r="BA265" s="1321"/>
      <c r="BB265" s="1075" t="str">
        <f t="shared" si="75"/>
        <v>Tournesol</v>
      </c>
      <c r="BC265" s="1269">
        <f t="array" ref="BC265">IF(Ration_complète_bovins[somme]&gt;0,0,IFERROR(IF(OR(AND(INDEX(Règles_bovins[Specificite],MATCH(ChoixRationBovins&amp;$BB265,Règles_bovins[Ration]&amp;Règles_bovins[Aliment],0))="s1",IF($BB265=Spécificité1Bovins,1)),
AND(INDEX(Règles_bovins[Specificite],MATCH(ChoixRationBovins&amp;$BB265,Règles_bovins[Ration]&amp;Règles_bovins[Aliment],0))="s2",IF($BB265=Spécificité2Bovins,1)),
INDEX(Règles_bovins[Specificite],MATCH(ChoixRationBovins&amp;$BB265,Règles_bovins[Ration]&amp;Règles_bovins[Aliment],0))="c"),
INDEX(Règles_bovins[Valeur 36 et plus],MATCH(ChoixRationBovins&amp;$BB265,Règles_bovins[Ration]&amp;Règles_bovins[Aliment],0)),0),0)*IF(ChoixBovinsPréHiver=OUI,TotalVachesRacesLaitières,TotalVaches*SUM(NbreJoursNourrirBovins)))</f>
        <v>0</v>
      </c>
      <c r="BD265" s="1269">
        <f t="array" ref="BD265">IF(Ration_complète_bovins[somme]&gt;0,0,IFERROR(IF(OR(AND(INDEX(Règles_bovins[Specificite],MATCH(ChoixRationBovins&amp;$BB265,Règles_bovins[Ration]&amp;Règles_bovins[Aliment],0))="s1",IF($BB265=Spécificité1Bovins,1)),
AND(INDEX(Règles_bovins[Specificite],MATCH(ChoixRationBovins&amp;$BB265,Règles_bovins[Ration]&amp;Règles_bovins[Aliment],0))="s2",IF($BB265=Spécificité2Bovins,1)),
INDEX(Règles_bovins[Specificite],MATCH(ChoixRationBovins&amp;$BB265,Règles_bovins[Ration]&amp;Règles_bovins[Aliment],0))="c"),
INDEX(Règles_bovins[Valeur 24-36],MATCH(ChoixRationBovins&amp;$BB265,Règles_bovins[Ration]&amp;Règles_bovins[Aliment],0)),0),0)*IF(ChoixBovinsPréHiver=OUI,TotalGénisse_24_36_RacesLaitières,TotalBovinsFemelles_24_36mois*SUM(NbreJoursNourrirBovins)))</f>
        <v>0</v>
      </c>
      <c r="BE265" s="1269">
        <f t="array" ref="BE265">IF(Ration_complète_bovins[somme]&gt;0,0,IFERROR(IF(OR(AND(INDEX(Règles_bovins[Specificite],MATCH(ChoixRationBovins&amp;$BB265,Règles_bovins[Ration]&amp;Règles_bovins[Aliment],0))="s1",IF($BB265=Spécificité1Bovins,1)),
AND(INDEX(Règles_bovins[Specificite],MATCH(ChoixRationBovins&amp;$BB265,Règles_bovins[Ration]&amp;Règles_bovins[Aliment],0))="s2",IF($BB265=Spécificité2Bovins,1)),
INDEX(Règles_bovins[Specificite],MATCH(ChoixRationBovins&amp;$BB265,Règles_bovins[Ration]&amp;Règles_bovins[Aliment],0))="c"),
INDEX(Règles_bovins[Valeur 18-24],MATCH(ChoixRationBovins&amp;$BB265,Règles_bovins[Ration]&amp;Règles_bovins[Aliment],0)),0),0)*IF(ChoixBovinsPréHiver=OUI,TotalGénisse_18_24_RacesLaitières,TotalBovinsFemelles_18_24mois*SUM(NbreJoursNourrirBovins)))</f>
        <v>0</v>
      </c>
      <c r="BF265" s="1269">
        <f t="array" ref="BF265">IF(Ration_complète_bovins[somme]&gt;0,0,IFERROR(IF(OR(AND(INDEX(Règles_bovins[Specificite],MATCH(ChoixRationBovins&amp;$BB265,Règles_bovins[Ration]&amp;Règles_bovins[Aliment],0))="s1",IF($BB265=Spécificité1Bovins,1)),
AND(INDEX(Règles_bovins[Specificite],MATCH(ChoixRationBovins&amp;$BB265,Règles_bovins[Ration]&amp;Règles_bovins[Aliment],0))="s2",IF($BB265=Spécificité2Bovins,1)),
INDEX(Règles_bovins[Specificite],MATCH(ChoixRationBovins&amp;$BB265,Règles_bovins[Ration]&amp;Règles_bovins[Aliment],0))="c"),
INDEX(Règles_bovins[Valeur 12-18],MATCH(ChoixRationBovins&amp;$BB265,Règles_bovins[Ration]&amp;Règles_bovins[Aliment],0)),0),0)*IF(ChoixBovinsPréHiver=OUI,TotalGénisse_12_18_RacesLaitières,TotalBovinsFemelles_12_18mois*SUM(NbreJoursNourrirBovins)))</f>
        <v>0</v>
      </c>
      <c r="BG265" s="1269">
        <f t="array" ref="BG265">IF(Ration_complète_bovins[somme]&gt;0,0,IFERROR(IF(OR(AND(INDEX(Règles_bovins[Specificite],MATCH(ChoixRationBovins&amp;$BB265,Règles_bovins[Ration]&amp;Règles_bovins[Aliment],0))="s1",IF($BB265=Spécificité1Bovins,1)),
AND(INDEX(Règles_bovins[Specificite],MATCH(ChoixRationBovins&amp;$BB265,Règles_bovins[Ration]&amp;Règles_bovins[Aliment],0))="s2",IF($BB265=Spécificité2Bovins,1)),
INDEX(Règles_bovins[Specificite],MATCH(ChoixRationBovins&amp;$BB265,Règles_bovins[Ration]&amp;Règles_bovins[Aliment],0))="c"),
INDEX(Règles_bovins[Valeur 6-12],MATCH(ChoixRationBovins&amp;$BB265,Règles_bovins[Ration]&amp;Règles_bovins[Aliment],0)),0),0)*IF(ChoixBovinsPréHiver=OUI,TotalVeauFemelle_6_12_RacesLaitières,TotalBovinsFemelles_6_12mois*SUM(NbreJoursNourrirBovins)))</f>
        <v>0</v>
      </c>
      <c r="BH265" s="1269">
        <f t="array" ref="BH265">IF(Ration_complète_bovins[somme]&gt;0,0,IFERROR(IF(OR(AND(INDEX(Règles_bovins[Specificite],MATCH(ChoixRationBovins&amp;$BB265,Règles_bovins[Ration]&amp;Règles_bovins[Aliment],0))="s1",IF($BB265=Spécificité1Bovins,1)),
AND(INDEX(Règles_bovins[Specificite],MATCH(ChoixRationBovins&amp;$BB265,Règles_bovins[Ration]&amp;Règles_bovins[Aliment],0))="s2",IF($BB265=Spécificité2Bovins,1)),
INDEX(Règles_bovins[Specificite],MATCH(ChoixRationBovins&amp;$BB265,Règles_bovins[Ration]&amp;Règles_bovins[Aliment],0))="c"),
INDEX(Règles_bovins[Valeur 3-6],MATCH(ChoixRationBovins&amp;$BB265,Règles_bovins[Ration]&amp;Règles_bovins[Aliment],0)),0),0)*IF(ChoixBovinsPréHiver=OUI,TotalVeauFemelle_3_6_RacesLaitières,TotalBovinsFemelles_3_6mois*SUM(NbreJoursNourrirBovins)))</f>
        <v>0</v>
      </c>
      <c r="BI265" s="1269">
        <f t="array" ref="BI265">IF(Ration_complète_bovins[somme]&gt;0,0,IFERROR(IF(OR(AND(INDEX(Règles_bovins[Specificite],MATCH(ChoixRationBovins&amp;$BB265,Règles_bovins[Ration]&amp;Règles_bovins[Aliment],0))="s1",IF($BB265=Spécificité1Bovins,1)),
AND(INDEX(Règles_bovins[Specificite],MATCH(ChoixRationBovins&amp;$BB265,Règles_bovins[Ration]&amp;Règles_bovins[Aliment],0))="s2",IF($BB265=Spécificité2Bovins,1)),
INDEX(Règles_bovins[Specificite],MATCH(ChoixRationBovins&amp;$BB265,Règles_bovins[Ration]&amp;Règles_bovins[Aliment],0))="c"),
INDEX(Règles_bovins[Valeur 0-3],MATCH(ChoixRationBovins&amp;$BB265,Règles_bovins[Ration]&amp;Règles_bovins[Aliment],0)),0),0)*IF(ChoixBovinsPréHiver=OUI,TotalVeauFemelle_0_3_RacesLaitières,TotalBovinsFemelles_0_3mois*SUM(NbreJoursNourrirBovins)))</f>
        <v>0</v>
      </c>
      <c r="BJ265" s="1270">
        <f t="shared" si="74"/>
        <v>0</v>
      </c>
      <c r="BK265" s="1345"/>
      <c r="BL265" s="1345"/>
      <c r="BM265" s="1346"/>
      <c r="BN265" s="1321"/>
      <c r="BO265" s="1321"/>
      <c r="BP265" s="1321"/>
      <c r="BQ265" s="1321"/>
      <c r="BR265" s="1321"/>
      <c r="BS265" s="1321"/>
      <c r="BT265" s="1321"/>
      <c r="BU265" s="1321"/>
      <c r="BV265" s="1345"/>
      <c r="BW265" s="1345"/>
      <c r="BX265" s="1321"/>
      <c r="BY265" s="1321"/>
      <c r="BZ265" s="1321"/>
      <c r="CA265" s="1321"/>
      <c r="CB265" s="1321"/>
      <c r="CC265" s="1321"/>
      <c r="CD265" s="1345"/>
      <c r="CE265" s="1345"/>
      <c r="CF265" s="1345"/>
      <c r="CG265" s="1345"/>
      <c r="CH265" s="1345"/>
      <c r="CI265" s="1321"/>
      <c r="CJ265" s="1321"/>
      <c r="CK265" s="1321"/>
      <c r="CL265" s="1321"/>
      <c r="CM265" s="1321"/>
      <c r="CN265" s="1321"/>
      <c r="CO265" s="1321"/>
      <c r="CP265" s="1321"/>
      <c r="CQ265" s="1321"/>
      <c r="CR265" s="1321"/>
      <c r="CS265" s="1321"/>
      <c r="CT265" s="1321"/>
      <c r="CU265" s="1321"/>
      <c r="CV265" s="1321"/>
      <c r="CW265" s="1321"/>
      <c r="CX265" s="1321"/>
      <c r="CY265" s="1321"/>
      <c r="CZ265" s="1321"/>
      <c r="DA265" s="1321"/>
      <c r="DB265" s="1321"/>
      <c r="DC265" s="1321"/>
      <c r="DD265" s="1321"/>
      <c r="DE265" s="1321"/>
      <c r="DF265" s="1321"/>
      <c r="DG265" s="1321"/>
      <c r="DH265" s="1321"/>
      <c r="DI265" s="1321"/>
      <c r="DJ265" s="1321"/>
      <c r="DK265" s="1321"/>
      <c r="DL265" s="1321"/>
      <c r="DM265" s="1321"/>
      <c r="DN265" s="1075" t="str">
        <f t="shared" si="77"/>
        <v>Soja</v>
      </c>
      <c r="DO265" s="1269">
        <f t="array" ref="DO265">IF(ChoixRationHivernaleOvinsComplète=OUI,0,IFERROR(IF(OR(AND(INDEX(Règles_ovins[Specificite],MATCH(RationHivernaleOvinsAuPré&amp;$DN265,Règles_ovins[Ration]&amp;Règles_ovins[Aliment],0))="s1",IF($DN265=Spécificité1Ovins,1)),
AND(INDEX(Règles_ovins[Specificite],MATCH(RationHivernaleOvinsAuPré&amp;$DN265,Règles_ovins[Ration]&amp;Règles_ovins[Aliment],0))="s2",IF($DN265=Spécificité2Ovins,1)),
INDEX(Règles_ovins[Specificite],MATCH(RationHivernaleOvinsAuPré&amp;$DN265,Règles_ovins[Ration]&amp;Règles_ovins[Aliment],0))="c"),
INDEX(Règles_ovins[Valeur 12 et plus],MATCH(RationHivernaleOvinsAuPré&amp;$DN265,Règles_ovins[Ration]&amp;Règles_ovins[Aliment],0)),0),0)*IF(SUM(TotalOvinsAdultesAuPré)&gt;0,SUM(TotalOvinsAdultesAuPré)*SUM(AD76:AD100),SUM(TotalOvinsAdultes)*SUM(AD76:AD100)))</f>
        <v>0</v>
      </c>
      <c r="DP265" s="1269">
        <f t="array" ref="DP265">IF(ChoixRationHivernaleOvinsComplète=OUI,0,IFERROR(IF(OR(AND(INDEX(Règles_ovins[Specificite],MATCH(RationHivernaleOvinsAuPré&amp;$DN265,Règles_ovins[Ration]&amp;Règles_ovins[Aliment],0))="s1",IF($DN265=Spécificité1Ovins,1)),
AND(INDEX(Règles_ovins[Specificite],MATCH(RationHivernaleOvinsAuPré&amp;$DN265,Règles_ovins[Ration]&amp;Règles_ovins[Aliment],0))="s2",IF($DN265=Spécificité2Ovins,1)),
INDEX(Règles_ovins[Specificite],MATCH(RationHivernaleOvinsAuPré&amp;$DN265,Règles_ovins[Ration]&amp;Règles_ovins[Aliment],0))="c"),
INDEX(Règles_ovins[Valeur 6-12],MATCH(RationHivernaleOvinsAuPré&amp;$DN265,Règles_ovins[Ration]&amp;Règles_ovins[Aliment],0)),0),0)*IF(SUM(TotalOvins_6_12moisAuPré)&gt;0,SUM(TotalOvins_6_12moisAuPré)*SUM(AD76:AD100),SUM(TotalJeunesOvins)*SUM(AD76:AD100)))</f>
        <v>0</v>
      </c>
      <c r="DQ265" s="1269">
        <f t="array" ref="DQ265">IF(ChoixRationHivernaleOvinsComplète=OUI,0,IFERROR(IF(OR(AND(INDEX(Règles_ovins[Specificite],MATCH(RationHivernaleOvinsAuPré&amp;$DN265,Règles_ovins[Ration]&amp;Règles_ovins[Aliment],0))="s1",IF($DN265=Spécificité1Ovins,1)),
AND(INDEX(Règles_ovins[Specificite],MATCH(RationHivernaleOvinsAuPré&amp;$DN265,Règles_ovins[Ration]&amp;Règles_ovins[Aliment],0))="s2",IF($DN265=Spécificité2Ovins,1)),
INDEX(Règles_ovins[Specificite],MATCH(RationHivernaleOvinsAuPré&amp;$DN265,Règles_ovins[Ration]&amp;Règles_ovins[Aliment],0))="c"),
INDEX(Règles_ovins[Valeur 3-6],MATCH(RationHivernaleOvinsAuPré&amp;$DN265,Règles_ovins[Ration]&amp;Règles_ovins[Aliment],0)),0),0)*IF(SUM(TotalOvins_3_6moisAuPré)&gt;0,SUM(TotalOvins_3_6moisAuPré)*SUM(AD76:AD100),SUM(TotalOvins_3_6mois)*SUM(AD76:AD100)))</f>
        <v>0</v>
      </c>
      <c r="DR265" s="1269">
        <f t="array" ref="DR265">IF(ChoixRationHivernaleOvinsComplète=OUI,0,IFERROR(IF(OR(AND(INDEX(Règles_ovins[Specificite],MATCH(RationHivernaleOvinsAuPré&amp;$DN265,Règles_ovins[Ration]&amp;Règles_ovins[Aliment],0))="s1",IF($DN265=Spécificité1Ovins,1)),
AND(INDEX(Règles_ovins[Specificite],MATCH(RationHivernaleOvinsAuPré&amp;$DN265,Règles_ovins[Ration]&amp;Règles_ovins[Aliment],0))="s2",IF($DN265=Spécificité2Ovins,1)),
INDEX(Règles_ovins[Specificite],MATCH(RationHivernaleOvinsAuPré&amp;$DN265,Règles_ovins[Ration]&amp;Règles_ovins[Aliment],0))="c"),
INDEX(Règles_ovins[Valeur 0-3],MATCH(RationHivernaleOvinsAuPré&amp;$DN265,Règles_ovins[Ration]&amp;Règles_ovins[Aliment],0)),0),0)*IF(SUM(TotalOvins_0_3moisAuPré)&gt;0,SUM(TotalOvins_0_3moisAuPré)*SUM(AD76:AD100),SUM(TotalOvins_3_6mois)*SUM(AD76:AD100)))</f>
        <v>0</v>
      </c>
      <c r="DS265" s="1280">
        <f t="shared" si="76"/>
        <v>0</v>
      </c>
      <c r="DT265" s="1346"/>
      <c r="DU265" s="1346"/>
      <c r="DV265" s="1321"/>
      <c r="DW265" s="1321"/>
      <c r="DX265" s="1321"/>
      <c r="DY265" s="1321"/>
      <c r="DZ265" s="1321"/>
      <c r="EA265" s="1321"/>
      <c r="EB265" s="1321"/>
      <c r="EC265" s="1321"/>
      <c r="ED265" s="1345"/>
      <c r="EE265" s="1345"/>
      <c r="EF265" s="1321"/>
      <c r="EG265" s="1321"/>
      <c r="EH265" s="1321"/>
      <c r="EI265" s="1321"/>
      <c r="EJ265" s="1321"/>
      <c r="EK265" s="1345"/>
      <c r="EL265" s="1345"/>
      <c r="EM265" s="1321"/>
      <c r="EN265" s="1321"/>
      <c r="EO265" s="1321"/>
      <c r="EP265" s="1321"/>
      <c r="EQ265" s="1321"/>
      <c r="ER265" s="1345"/>
      <c r="ES265" s="1345"/>
      <c r="ET265" s="1321"/>
      <c r="EU265" s="1321"/>
      <c r="EV265" s="1321"/>
      <c r="EW265" s="1321"/>
      <c r="EX265" s="1321"/>
      <c r="EY265" s="1321"/>
      <c r="EZ265" s="1345"/>
      <c r="FA265" s="1345"/>
      <c r="FB265" s="1345"/>
      <c r="FC265" s="1321"/>
      <c r="FD265" s="1321"/>
      <c r="FE265" s="1321"/>
      <c r="FF265" s="1321"/>
      <c r="FG265" s="1321"/>
      <c r="FH265" s="1321"/>
      <c r="FI265" s="1345"/>
      <c r="FJ265" s="1345"/>
      <c r="FK265" s="1345"/>
      <c r="FL265" s="1345"/>
      <c r="FM265" s="1321"/>
      <c r="FN265" s="1321"/>
      <c r="FO265" s="1321"/>
      <c r="FP265" s="1321"/>
      <c r="FQ265" s="1321"/>
      <c r="FR265" s="1321"/>
      <c r="FS265" s="1345"/>
      <c r="FT265" s="1345"/>
      <c r="FU265" s="1345"/>
      <c r="FV265" s="1345"/>
      <c r="FW265" s="1321"/>
      <c r="FX265" s="1321"/>
      <c r="FY265" s="1321"/>
      <c r="FZ265" s="1321"/>
      <c r="GA265" s="1345"/>
      <c r="GB265" s="1321"/>
      <c r="GC265" s="1321"/>
      <c r="GD265" s="1321"/>
      <c r="GE265" s="1321"/>
      <c r="GF265" s="1321"/>
      <c r="GG265" s="1321" t="s">
        <v>1349</v>
      </c>
      <c r="GH265" s="1321" t="s">
        <v>1349</v>
      </c>
      <c r="GI265" s="1321" t="s">
        <v>1349</v>
      </c>
      <c r="GJ265" s="1321" t="s">
        <v>1349</v>
      </c>
      <c r="GK265" s="1321" t="s">
        <v>1349</v>
      </c>
      <c r="GL265" s="1321" t="s">
        <v>1349</v>
      </c>
      <c r="GM265" s="1321" t="s">
        <v>1349</v>
      </c>
      <c r="GN265" s="1321" t="s">
        <v>1349</v>
      </c>
      <c r="GO265" s="1321" t="s">
        <v>1349</v>
      </c>
      <c r="GP265" s="1321" t="s">
        <v>1349</v>
      </c>
      <c r="GQ265" s="1321" t="s">
        <v>1349</v>
      </c>
      <c r="GR265" s="1321" t="s">
        <v>1349</v>
      </c>
      <c r="GS265" s="1321" t="s">
        <v>1349</v>
      </c>
      <c r="GT265" s="1321" t="s">
        <v>1349</v>
      </c>
      <c r="GU265" s="1321" t="s">
        <v>1349</v>
      </c>
      <c r="GV265" s="1321" t="s">
        <v>1349</v>
      </c>
      <c r="GW265" s="1321"/>
      <c r="GX265" s="1321"/>
      <c r="GY265" s="1321"/>
      <c r="GZ265" s="1321"/>
      <c r="HA265" s="1321"/>
      <c r="HB265" s="1321"/>
      <c r="HC265" s="1321"/>
      <c r="HD265" s="1321"/>
      <c r="HE265" s="1321"/>
      <c r="HF265" s="1321"/>
      <c r="HG265" s="1321"/>
      <c r="HH265" s="1321"/>
      <c r="HI265" s="1321"/>
      <c r="HJ265" s="1321"/>
      <c r="HK265" s="1321"/>
      <c r="HL265" s="1321"/>
      <c r="HM265" s="1321"/>
      <c r="HN265" s="1321"/>
      <c r="HO265" s="1321"/>
      <c r="HP265" s="1321"/>
      <c r="HQ265" s="1321"/>
      <c r="HR265" s="1321"/>
      <c r="HS265" s="1321"/>
      <c r="HT265" s="1321"/>
      <c r="HU265" s="1321"/>
      <c r="HV265" s="1321"/>
      <c r="HW265" s="1321"/>
      <c r="HX265" s="1321"/>
      <c r="HY265" s="1321"/>
      <c r="HZ265" s="1321"/>
      <c r="IA265" s="1321"/>
      <c r="IB265" s="1321"/>
      <c r="IC265" s="1321"/>
      <c r="ID265" s="1321"/>
      <c r="IE265" s="1321"/>
      <c r="IF265" s="1321"/>
      <c r="IG265" s="1321"/>
      <c r="IH265" s="1321"/>
      <c r="II265" s="1321"/>
      <c r="IJ265" s="1321"/>
      <c r="IK265" s="1321"/>
      <c r="IL265" s="1321"/>
      <c r="IM265" s="1321"/>
      <c r="IN265" s="1368"/>
    </row>
    <row r="266" spans="1:248" ht="12.75" customHeight="1" x14ac:dyDescent="0.2">
      <c r="A266" s="1319"/>
      <c r="B266" s="1321"/>
      <c r="C266" s="1321"/>
      <c r="D266" s="1321"/>
      <c r="E266" s="1321"/>
      <c r="F266" s="1321"/>
      <c r="G266" s="1321"/>
      <c r="H266" s="1321"/>
      <c r="I266" s="1321"/>
      <c r="J266" s="1321"/>
      <c r="K266" s="1321"/>
      <c r="L266" s="1321"/>
      <c r="M266" s="1321"/>
      <c r="N266" s="1321"/>
      <c r="O266" s="1321"/>
      <c r="P266" s="1321"/>
      <c r="Q266" s="1321"/>
      <c r="R266" s="1321"/>
      <c r="S266" s="1321"/>
      <c r="T266" s="1321"/>
      <c r="U266" s="1321"/>
      <c r="V266" s="1321"/>
      <c r="W266" s="1321"/>
      <c r="X266" s="1321"/>
      <c r="Y266" s="1321"/>
      <c r="Z266" s="1321"/>
      <c r="AA266" s="1321"/>
      <c r="AB266" s="1321"/>
      <c r="AC266" s="1321"/>
      <c r="AD266" s="1321"/>
      <c r="AE266" s="1321"/>
      <c r="AF266" s="1321"/>
      <c r="AG266" s="1321"/>
      <c r="AH266" s="1321"/>
      <c r="AI266" s="1321"/>
      <c r="AJ266" s="1321"/>
      <c r="AK266" s="1321"/>
      <c r="AL266" s="1321"/>
      <c r="AM266" s="1321"/>
      <c r="AN266" s="1321"/>
      <c r="AO266" s="1321"/>
      <c r="AP266" s="1321"/>
      <c r="AQ266" s="1321"/>
      <c r="AR266" s="1321"/>
      <c r="AS266" s="1321"/>
      <c r="AT266" s="1321"/>
      <c r="AU266" s="1321"/>
      <c r="AV266" s="1321"/>
      <c r="AW266" s="1321"/>
      <c r="AX266" s="1321"/>
      <c r="AY266" s="1321"/>
      <c r="AZ266" s="1321"/>
      <c r="BA266" s="1321"/>
      <c r="BB266" s="1076" t="str">
        <f t="shared" si="75"/>
        <v>Tourteau de colza</v>
      </c>
      <c r="BC266" s="1267">
        <f t="array" ref="BC266">IF(Ration_complète_bovins[somme]&gt;0,0,IFERROR(IF(OR(AND(INDEX(Règles_bovins[Specificite],MATCH(ChoixRationBovins&amp;$BB266,Règles_bovins[Ration]&amp;Règles_bovins[Aliment],0))="s1",IF($BB266=Spécificité1Bovins,1)),
AND(INDEX(Règles_bovins[Specificite],MATCH(ChoixRationBovins&amp;$BB266,Règles_bovins[Ration]&amp;Règles_bovins[Aliment],0))="s2",IF($BB266=Spécificité2Bovins,1)),
INDEX(Règles_bovins[Specificite],MATCH(ChoixRationBovins&amp;$BB266,Règles_bovins[Ration]&amp;Règles_bovins[Aliment],0))="c"),
INDEX(Règles_bovins[Valeur 36 et plus],MATCH(ChoixRationBovins&amp;$BB266,Règles_bovins[Ration]&amp;Règles_bovins[Aliment],0)),0),0)*IF(ChoixBovinsPréHiver=OUI,TotalVachesRacesLaitières,TotalVaches*SUM(NbreJoursNourrirBovins)))</f>
        <v>0</v>
      </c>
      <c r="BD266" s="1267">
        <f t="array" ref="BD266">IF(Ration_complète_bovins[somme]&gt;0,0,IFERROR(IF(OR(AND(INDEX(Règles_bovins[Specificite],MATCH(ChoixRationBovins&amp;$BB266,Règles_bovins[Ration]&amp;Règles_bovins[Aliment],0))="s1",IF($BB266=Spécificité1Bovins,1)),
AND(INDEX(Règles_bovins[Specificite],MATCH(ChoixRationBovins&amp;$BB266,Règles_bovins[Ration]&amp;Règles_bovins[Aliment],0))="s2",IF($BB266=Spécificité2Bovins,1)),
INDEX(Règles_bovins[Specificite],MATCH(ChoixRationBovins&amp;$BB266,Règles_bovins[Ration]&amp;Règles_bovins[Aliment],0))="c"),
INDEX(Règles_bovins[Valeur 24-36],MATCH(ChoixRationBovins&amp;$BB266,Règles_bovins[Ration]&amp;Règles_bovins[Aliment],0)),0),0)*IF(ChoixBovinsPréHiver=OUI,TotalGénisse_24_36_RacesLaitières,TotalBovinsFemelles_24_36mois*SUM(NbreJoursNourrirBovins)))</f>
        <v>0</v>
      </c>
      <c r="BE266" s="1267">
        <f t="array" ref="BE266">IF(Ration_complète_bovins[somme]&gt;0,0,IFERROR(IF(OR(AND(INDEX(Règles_bovins[Specificite],MATCH(ChoixRationBovins&amp;$BB266,Règles_bovins[Ration]&amp;Règles_bovins[Aliment],0))="s1",IF($BB266=Spécificité1Bovins,1)),
AND(INDEX(Règles_bovins[Specificite],MATCH(ChoixRationBovins&amp;$BB266,Règles_bovins[Ration]&amp;Règles_bovins[Aliment],0))="s2",IF($BB266=Spécificité2Bovins,1)),
INDEX(Règles_bovins[Specificite],MATCH(ChoixRationBovins&amp;$BB266,Règles_bovins[Ration]&amp;Règles_bovins[Aliment],0))="c"),
INDEX(Règles_bovins[Valeur 18-24],MATCH(ChoixRationBovins&amp;$BB266,Règles_bovins[Ration]&amp;Règles_bovins[Aliment],0)),0),0)*IF(ChoixBovinsPréHiver=OUI,TotalGénisse_18_24_RacesLaitières,TotalBovinsFemelles_18_24mois*SUM(NbreJoursNourrirBovins)))</f>
        <v>0</v>
      </c>
      <c r="BF266" s="1267">
        <f t="array" ref="BF266">IF(Ration_complète_bovins[somme]&gt;0,0,IFERROR(IF(OR(AND(INDEX(Règles_bovins[Specificite],MATCH(ChoixRationBovins&amp;$BB266,Règles_bovins[Ration]&amp;Règles_bovins[Aliment],0))="s1",IF($BB266=Spécificité1Bovins,1)),
AND(INDEX(Règles_bovins[Specificite],MATCH(ChoixRationBovins&amp;$BB266,Règles_bovins[Ration]&amp;Règles_bovins[Aliment],0))="s2",IF($BB266=Spécificité2Bovins,1)),
INDEX(Règles_bovins[Specificite],MATCH(ChoixRationBovins&amp;$BB266,Règles_bovins[Ration]&amp;Règles_bovins[Aliment],0))="c"),
INDEX(Règles_bovins[Valeur 12-18],MATCH(ChoixRationBovins&amp;$BB266,Règles_bovins[Ration]&amp;Règles_bovins[Aliment],0)),0),0)*IF(ChoixBovinsPréHiver=OUI,TotalGénisse_12_18_RacesLaitières,TotalBovinsFemelles_12_18mois*SUM(NbreJoursNourrirBovins)))</f>
        <v>0</v>
      </c>
      <c r="BG266" s="1267">
        <f t="array" ref="BG266">IF(Ration_complète_bovins[somme]&gt;0,0,IFERROR(IF(OR(AND(INDEX(Règles_bovins[Specificite],MATCH(ChoixRationBovins&amp;$BB266,Règles_bovins[Ration]&amp;Règles_bovins[Aliment],0))="s1",IF($BB266=Spécificité1Bovins,1)),
AND(INDEX(Règles_bovins[Specificite],MATCH(ChoixRationBovins&amp;$BB266,Règles_bovins[Ration]&amp;Règles_bovins[Aliment],0))="s2",IF($BB266=Spécificité2Bovins,1)),
INDEX(Règles_bovins[Specificite],MATCH(ChoixRationBovins&amp;$BB266,Règles_bovins[Ration]&amp;Règles_bovins[Aliment],0))="c"),
INDEX(Règles_bovins[Valeur 6-12],MATCH(ChoixRationBovins&amp;$BB266,Règles_bovins[Ration]&amp;Règles_bovins[Aliment],0)),0),0)*IF(ChoixBovinsPréHiver=OUI,TotalVeauFemelle_6_12_RacesLaitières,TotalBovinsFemelles_6_12mois*SUM(NbreJoursNourrirBovins)))</f>
        <v>0</v>
      </c>
      <c r="BH266" s="1267">
        <f t="array" ref="BH266">IF(Ration_complète_bovins[somme]&gt;0,0,IFERROR(IF(OR(AND(INDEX(Règles_bovins[Specificite],MATCH(ChoixRationBovins&amp;$BB266,Règles_bovins[Ration]&amp;Règles_bovins[Aliment],0))="s1",IF($BB266=Spécificité1Bovins,1)),
AND(INDEX(Règles_bovins[Specificite],MATCH(ChoixRationBovins&amp;$BB266,Règles_bovins[Ration]&amp;Règles_bovins[Aliment],0))="s2",IF($BB266=Spécificité2Bovins,1)),
INDEX(Règles_bovins[Specificite],MATCH(ChoixRationBovins&amp;$BB266,Règles_bovins[Ration]&amp;Règles_bovins[Aliment],0))="c"),
INDEX(Règles_bovins[Valeur 3-6],MATCH(ChoixRationBovins&amp;$BB266,Règles_bovins[Ration]&amp;Règles_bovins[Aliment],0)),0),0)*IF(ChoixBovinsPréHiver=OUI,TotalVeauFemelle_3_6_RacesLaitières,TotalBovinsFemelles_3_6mois*SUM(NbreJoursNourrirBovins)))</f>
        <v>0</v>
      </c>
      <c r="BI266" s="1267">
        <f t="array" ref="BI266">IF(Ration_complète_bovins[somme]&gt;0,0,IFERROR(IF(OR(AND(INDEX(Règles_bovins[Specificite],MATCH(ChoixRationBovins&amp;$BB266,Règles_bovins[Ration]&amp;Règles_bovins[Aliment],0))="s1",IF($BB266=Spécificité1Bovins,1)),
AND(INDEX(Règles_bovins[Specificite],MATCH(ChoixRationBovins&amp;$BB266,Règles_bovins[Ration]&amp;Règles_bovins[Aliment],0))="s2",IF($BB266=Spécificité2Bovins,1)),
INDEX(Règles_bovins[Specificite],MATCH(ChoixRationBovins&amp;$BB266,Règles_bovins[Ration]&amp;Règles_bovins[Aliment],0))="c"),
INDEX(Règles_bovins[Valeur 0-3],MATCH(ChoixRationBovins&amp;$BB266,Règles_bovins[Ration]&amp;Règles_bovins[Aliment],0)),0),0)*IF(ChoixBovinsPréHiver=OUI,TotalVeauFemelle_0_3_RacesLaitières,TotalBovinsFemelles_0_3mois*SUM(NbreJoursNourrirBovins)))</f>
        <v>0</v>
      </c>
      <c r="BJ266" s="1268">
        <f t="shared" si="74"/>
        <v>0</v>
      </c>
      <c r="BK266" s="1345"/>
      <c r="BL266" s="1345"/>
      <c r="BM266" s="1346"/>
      <c r="BN266" s="1321"/>
      <c r="BO266" s="1321"/>
      <c r="BP266" s="1321"/>
      <c r="BQ266" s="1321"/>
      <c r="BR266" s="1321"/>
      <c r="BS266" s="1321"/>
      <c r="BT266" s="1321"/>
      <c r="BU266" s="1321"/>
      <c r="BV266" s="1345"/>
      <c r="BW266" s="1345"/>
      <c r="BX266" s="1321"/>
      <c r="BY266" s="1321"/>
      <c r="BZ266" s="1321"/>
      <c r="CA266" s="1321"/>
      <c r="CB266" s="1321"/>
      <c r="CC266" s="1321"/>
      <c r="CD266" s="1345"/>
      <c r="CE266" s="1345"/>
      <c r="CF266" s="1345"/>
      <c r="CG266" s="1345"/>
      <c r="CH266" s="1345"/>
      <c r="CI266" s="1321"/>
      <c r="CJ266" s="1321"/>
      <c r="CK266" s="1321"/>
      <c r="CL266" s="1321"/>
      <c r="CM266" s="1321"/>
      <c r="CN266" s="1321"/>
      <c r="CO266" s="1321"/>
      <c r="CP266" s="1321"/>
      <c r="CQ266" s="1321"/>
      <c r="CR266" s="1321"/>
      <c r="CS266" s="1321"/>
      <c r="CT266" s="1321"/>
      <c r="CU266" s="1321"/>
      <c r="CV266" s="1321"/>
      <c r="CW266" s="1321"/>
      <c r="CX266" s="1321"/>
      <c r="CY266" s="1321"/>
      <c r="CZ266" s="1321"/>
      <c r="DA266" s="1321"/>
      <c r="DB266" s="1321"/>
      <c r="DC266" s="1321"/>
      <c r="DD266" s="1321"/>
      <c r="DE266" s="1321"/>
      <c r="DF266" s="1321"/>
      <c r="DG266" s="1321"/>
      <c r="DH266" s="1321"/>
      <c r="DI266" s="1321"/>
      <c r="DJ266" s="1321"/>
      <c r="DK266" s="1321"/>
      <c r="DL266" s="1321"/>
      <c r="DM266" s="1321"/>
      <c r="DN266" s="1076" t="str">
        <f t="shared" si="77"/>
        <v>Sorgho ensilé</v>
      </c>
      <c r="DO266" s="1267">
        <f t="array" ref="DO266">IF(ChoixRationHivernaleOvinsComplète=OUI,0,IFERROR(IF(OR(AND(INDEX(Règles_ovins[Specificite],MATCH(RationHivernaleOvinsAuPré&amp;$DN266,Règles_ovins[Ration]&amp;Règles_ovins[Aliment],0))="s1",IF($DN266=Spécificité1Ovins,1)),
AND(INDEX(Règles_ovins[Specificite],MATCH(RationHivernaleOvinsAuPré&amp;$DN266,Règles_ovins[Ration]&amp;Règles_ovins[Aliment],0))="s2",IF($DN266=Spécificité2Ovins,1)),
INDEX(Règles_ovins[Specificite],MATCH(RationHivernaleOvinsAuPré&amp;$DN266,Règles_ovins[Ration]&amp;Règles_ovins[Aliment],0))="c"),
INDEX(Règles_ovins[Valeur 12 et plus],MATCH(RationHivernaleOvinsAuPré&amp;$DN266,Règles_ovins[Ration]&amp;Règles_ovins[Aliment],0)),0),0)*IF(SUM(TotalOvinsAdultesAuPré)&gt;0,SUM(TotalOvinsAdultesAuPré)*SUM(AD76:AD100),SUM(TotalOvinsAdultes)*SUM(AD76:AD100)))</f>
        <v>0</v>
      </c>
      <c r="DP266" s="1267">
        <f t="array" ref="DP266">IF(ChoixRationHivernaleOvinsComplète=OUI,0,IFERROR(IF(OR(AND(INDEX(Règles_ovins[Specificite],MATCH(RationHivernaleOvinsAuPré&amp;$DN266,Règles_ovins[Ration]&amp;Règles_ovins[Aliment],0))="s1",IF($DN266=Spécificité1Ovins,1)),
AND(INDEX(Règles_ovins[Specificite],MATCH(RationHivernaleOvinsAuPré&amp;$DN266,Règles_ovins[Ration]&amp;Règles_ovins[Aliment],0))="s2",IF($DN266=Spécificité2Ovins,1)),
INDEX(Règles_ovins[Specificite],MATCH(RationHivernaleOvinsAuPré&amp;$DN266,Règles_ovins[Ration]&amp;Règles_ovins[Aliment],0))="c"),
INDEX(Règles_ovins[Valeur 6-12],MATCH(RationHivernaleOvinsAuPré&amp;$DN266,Règles_ovins[Ration]&amp;Règles_ovins[Aliment],0)),0),0)*IF(SUM(TotalOvins_6_12moisAuPré)&gt;0,SUM(TotalOvins_6_12moisAuPré)*SUM(AD76:AD100),SUM(TotalJeunesOvins)*SUM(AD76:AD100)))</f>
        <v>0</v>
      </c>
      <c r="DQ266" s="1267">
        <f t="array" ref="DQ266">IF(ChoixRationHivernaleOvinsComplète=OUI,0,IFERROR(IF(OR(AND(INDEX(Règles_ovins[Specificite],MATCH(RationHivernaleOvinsAuPré&amp;$DN266,Règles_ovins[Ration]&amp;Règles_ovins[Aliment],0))="s1",IF($DN266=Spécificité1Ovins,1)),
AND(INDEX(Règles_ovins[Specificite],MATCH(RationHivernaleOvinsAuPré&amp;$DN266,Règles_ovins[Ration]&amp;Règles_ovins[Aliment],0))="s2",IF($DN266=Spécificité2Ovins,1)),
INDEX(Règles_ovins[Specificite],MATCH(RationHivernaleOvinsAuPré&amp;$DN266,Règles_ovins[Ration]&amp;Règles_ovins[Aliment],0))="c"),
INDEX(Règles_ovins[Valeur 3-6],MATCH(RationHivernaleOvinsAuPré&amp;$DN266,Règles_ovins[Ration]&amp;Règles_ovins[Aliment],0)),0),0)*IF(SUM(TotalOvins_3_6moisAuPré)&gt;0,SUM(TotalOvins_3_6moisAuPré)*SUM(AD76:AD100),SUM(TotalOvins_3_6mois)*SUM(AD76:AD100)))</f>
        <v>0</v>
      </c>
      <c r="DR266" s="1267">
        <f t="array" ref="DR266">IF(ChoixRationHivernaleOvinsComplète=OUI,0,IFERROR(IF(OR(AND(INDEX(Règles_ovins[Specificite],MATCH(RationHivernaleOvinsAuPré&amp;$DN266,Règles_ovins[Ration]&amp;Règles_ovins[Aliment],0))="s1",IF($DN266=Spécificité1Ovins,1)),
AND(INDEX(Règles_ovins[Specificite],MATCH(RationHivernaleOvinsAuPré&amp;$DN266,Règles_ovins[Ration]&amp;Règles_ovins[Aliment],0))="s2",IF($DN266=Spécificité2Ovins,1)),
INDEX(Règles_ovins[Specificite],MATCH(RationHivernaleOvinsAuPré&amp;$DN266,Règles_ovins[Ration]&amp;Règles_ovins[Aliment],0))="c"),
INDEX(Règles_ovins[Valeur 0-3],MATCH(RationHivernaleOvinsAuPré&amp;$DN266,Règles_ovins[Ration]&amp;Règles_ovins[Aliment],0)),0),0)*IF(SUM(TotalOvins_0_3moisAuPré)&gt;0,SUM(TotalOvins_0_3moisAuPré)*SUM(AD76:AD100),SUM(TotalOvins_3_6mois)*SUM(AD76:AD100)))</f>
        <v>0</v>
      </c>
      <c r="DS266" s="1279">
        <f t="shared" si="76"/>
        <v>0</v>
      </c>
      <c r="DT266" s="1346"/>
      <c r="DU266" s="1346"/>
      <c r="DV266" s="1321"/>
      <c r="DW266" s="1321"/>
      <c r="DX266" s="1321"/>
      <c r="DY266" s="1321"/>
      <c r="DZ266" s="1321"/>
      <c r="EA266" s="1321"/>
      <c r="EB266" s="1321"/>
      <c r="EC266" s="1321"/>
      <c r="ED266" s="1345"/>
      <c r="EE266" s="1345"/>
      <c r="EF266" s="1321"/>
      <c r="EG266" s="1321"/>
      <c r="EH266" s="1321"/>
      <c r="EI266" s="1321"/>
      <c r="EJ266" s="1321"/>
      <c r="EK266" s="1345"/>
      <c r="EL266" s="1345"/>
      <c r="EM266" s="1321"/>
      <c r="EN266" s="1321"/>
      <c r="EO266" s="1321"/>
      <c r="EP266" s="1321"/>
      <c r="EQ266" s="1321"/>
      <c r="ER266" s="1345"/>
      <c r="ES266" s="1345"/>
      <c r="ET266" s="1321"/>
      <c r="EU266" s="1321"/>
      <c r="EV266" s="1321"/>
      <c r="EW266" s="1321"/>
      <c r="EX266" s="1321"/>
      <c r="EY266" s="1321"/>
      <c r="EZ266" s="1345"/>
      <c r="FA266" s="1345"/>
      <c r="FB266" s="1345"/>
      <c r="FC266" s="1321"/>
      <c r="FD266" s="1321"/>
      <c r="FE266" s="1321"/>
      <c r="FF266" s="1321"/>
      <c r="FG266" s="1321"/>
      <c r="FH266" s="1321"/>
      <c r="FI266" s="1345"/>
      <c r="FJ266" s="1345"/>
      <c r="FK266" s="1345"/>
      <c r="FL266" s="1345"/>
      <c r="FM266" s="1321"/>
      <c r="FN266" s="1321"/>
      <c r="FO266" s="1321"/>
      <c r="FP266" s="1321"/>
      <c r="FQ266" s="1321"/>
      <c r="FR266" s="1321"/>
      <c r="FS266" s="1345"/>
      <c r="FT266" s="1345"/>
      <c r="FU266" s="1345"/>
      <c r="FV266" s="1345"/>
      <c r="FW266" s="1321"/>
      <c r="FX266" s="1321"/>
      <c r="FY266" s="1321"/>
      <c r="FZ266" s="1321"/>
      <c r="GA266" s="1345"/>
      <c r="GB266" s="1321"/>
      <c r="GC266" s="1321"/>
      <c r="GD266" s="1321"/>
      <c r="GE266" s="1321"/>
      <c r="GF266" s="1321"/>
      <c r="GG266" s="1321" t="s">
        <v>1349</v>
      </c>
      <c r="GH266" s="1321" t="s">
        <v>1349</v>
      </c>
      <c r="GI266" s="1321" t="s">
        <v>1349</v>
      </c>
      <c r="GJ266" s="1321" t="s">
        <v>1349</v>
      </c>
      <c r="GK266" s="1321" t="s">
        <v>1349</v>
      </c>
      <c r="GL266" s="1321" t="s">
        <v>1349</v>
      </c>
      <c r="GM266" s="1321" t="s">
        <v>1349</v>
      </c>
      <c r="GN266" s="1321" t="s">
        <v>1349</v>
      </c>
      <c r="GO266" s="1321" t="s">
        <v>1349</v>
      </c>
      <c r="GP266" s="1321" t="s">
        <v>1349</v>
      </c>
      <c r="GQ266" s="1321" t="s">
        <v>1349</v>
      </c>
      <c r="GR266" s="1321" t="s">
        <v>1349</v>
      </c>
      <c r="GS266" s="1321" t="s">
        <v>1349</v>
      </c>
      <c r="GT266" s="1321" t="s">
        <v>1349</v>
      </c>
      <c r="GU266" s="1321" t="s">
        <v>1349</v>
      </c>
      <c r="GV266" s="1321" t="s">
        <v>1349</v>
      </c>
      <c r="GW266" s="1321"/>
      <c r="GX266" s="1321"/>
      <c r="GY266" s="1321"/>
      <c r="GZ266" s="1321"/>
      <c r="HA266" s="1321"/>
      <c r="HB266" s="1321"/>
      <c r="HC266" s="1321"/>
      <c r="HD266" s="1321"/>
      <c r="HE266" s="1321"/>
      <c r="HF266" s="1321"/>
      <c r="HG266" s="1321"/>
      <c r="HH266" s="1321"/>
      <c r="HI266" s="1321"/>
      <c r="HJ266" s="1321"/>
      <c r="HK266" s="1321"/>
      <c r="HL266" s="1321"/>
      <c r="HM266" s="1321"/>
      <c r="HN266" s="1321"/>
      <c r="HO266" s="1321"/>
      <c r="HP266" s="1321"/>
      <c r="HQ266" s="1321"/>
      <c r="HR266" s="1321"/>
      <c r="HS266" s="1321"/>
      <c r="HT266" s="1321"/>
      <c r="HU266" s="1321"/>
      <c r="HV266" s="1321"/>
      <c r="HW266" s="1321"/>
      <c r="HX266" s="1321"/>
      <c r="HY266" s="1321"/>
      <c r="HZ266" s="1321"/>
      <c r="IA266" s="1321"/>
      <c r="IB266" s="1321"/>
      <c r="IC266" s="1321"/>
      <c r="ID266" s="1321"/>
      <c r="IE266" s="1321"/>
      <c r="IF266" s="1321"/>
      <c r="IG266" s="1321"/>
      <c r="IH266" s="1321"/>
      <c r="II266" s="1321"/>
      <c r="IJ266" s="1321"/>
      <c r="IK266" s="1321"/>
      <c r="IL266" s="1321"/>
      <c r="IM266" s="1321"/>
      <c r="IN266" s="1368"/>
    </row>
    <row r="267" spans="1:248" ht="12.75" customHeight="1" x14ac:dyDescent="0.2">
      <c r="A267" s="1319"/>
      <c r="B267" s="1321"/>
      <c r="C267" s="1321"/>
      <c r="D267" s="1321"/>
      <c r="E267" s="1321"/>
      <c r="F267" s="1321"/>
      <c r="G267" s="1321"/>
      <c r="H267" s="1321"/>
      <c r="I267" s="1321"/>
      <c r="J267" s="1321"/>
      <c r="K267" s="1321"/>
      <c r="L267" s="1321"/>
      <c r="M267" s="1321"/>
      <c r="N267" s="1321"/>
      <c r="O267" s="1321"/>
      <c r="P267" s="1321"/>
      <c r="Q267" s="1321"/>
      <c r="R267" s="1321"/>
      <c r="S267" s="1321"/>
      <c r="T267" s="1321"/>
      <c r="U267" s="1321"/>
      <c r="V267" s="1321"/>
      <c r="W267" s="1321"/>
      <c r="X267" s="1321"/>
      <c r="Y267" s="1321"/>
      <c r="Z267" s="1321"/>
      <c r="AA267" s="1321"/>
      <c r="AB267" s="1321"/>
      <c r="AC267" s="1321"/>
      <c r="AD267" s="1321"/>
      <c r="AE267" s="1321"/>
      <c r="AF267" s="1321"/>
      <c r="AG267" s="1321"/>
      <c r="AH267" s="1321"/>
      <c r="AI267" s="1321"/>
      <c r="AJ267" s="1321"/>
      <c r="AK267" s="1321"/>
      <c r="AL267" s="1321"/>
      <c r="AM267" s="1321"/>
      <c r="AN267" s="1321"/>
      <c r="AO267" s="1321"/>
      <c r="AP267" s="1321"/>
      <c r="AQ267" s="1321"/>
      <c r="AR267" s="1321"/>
      <c r="AS267" s="1321"/>
      <c r="AT267" s="1321"/>
      <c r="AU267" s="1321"/>
      <c r="AV267" s="1321"/>
      <c r="AW267" s="1321"/>
      <c r="AX267" s="1321"/>
      <c r="AY267" s="1321"/>
      <c r="AZ267" s="1321"/>
      <c r="BA267" s="1321"/>
      <c r="BB267" s="1075" t="str">
        <f t="shared" si="75"/>
        <v>Tourteau de tournesol</v>
      </c>
      <c r="BC267" s="1269">
        <f t="array" ref="BC267">IF(Ration_complète_bovins[somme]&gt;0,0,IFERROR(IF(OR(AND(INDEX(Règles_bovins[Specificite],MATCH(ChoixRationBovins&amp;$BB267,Règles_bovins[Ration]&amp;Règles_bovins[Aliment],0))="s1",IF($BB267=Spécificité1Bovins,1)),
AND(INDEX(Règles_bovins[Specificite],MATCH(ChoixRationBovins&amp;$BB267,Règles_bovins[Ration]&amp;Règles_bovins[Aliment],0))="s2",IF($BB267=Spécificité2Bovins,1)),
INDEX(Règles_bovins[Specificite],MATCH(ChoixRationBovins&amp;$BB267,Règles_bovins[Ration]&amp;Règles_bovins[Aliment],0))="c"),
INDEX(Règles_bovins[Valeur 36 et plus],MATCH(ChoixRationBovins&amp;$BB267,Règles_bovins[Ration]&amp;Règles_bovins[Aliment],0)),0),0)*IF(ChoixBovinsPréHiver=OUI,TotalVachesRacesLaitières,TotalVaches*SUM(NbreJoursNourrirBovins)))</f>
        <v>0</v>
      </c>
      <c r="BD267" s="1269">
        <f t="array" ref="BD267">IF(Ration_complète_bovins[somme]&gt;0,0,IFERROR(IF(OR(AND(INDEX(Règles_bovins[Specificite],MATCH(ChoixRationBovins&amp;$BB267,Règles_bovins[Ration]&amp;Règles_bovins[Aliment],0))="s1",IF($BB267=Spécificité1Bovins,1)),
AND(INDEX(Règles_bovins[Specificite],MATCH(ChoixRationBovins&amp;$BB267,Règles_bovins[Ration]&amp;Règles_bovins[Aliment],0))="s2",IF($BB267=Spécificité2Bovins,1)),
INDEX(Règles_bovins[Specificite],MATCH(ChoixRationBovins&amp;$BB267,Règles_bovins[Ration]&amp;Règles_bovins[Aliment],0))="c"),
INDEX(Règles_bovins[Valeur 24-36],MATCH(ChoixRationBovins&amp;$BB267,Règles_bovins[Ration]&amp;Règles_bovins[Aliment],0)),0),0)*IF(ChoixBovinsPréHiver=OUI,TotalGénisse_24_36_RacesLaitières,TotalBovinsFemelles_24_36mois*SUM(NbreJoursNourrirBovins)))</f>
        <v>0</v>
      </c>
      <c r="BE267" s="1269">
        <f t="array" ref="BE267">IF(Ration_complète_bovins[somme]&gt;0,0,IFERROR(IF(OR(AND(INDEX(Règles_bovins[Specificite],MATCH(ChoixRationBovins&amp;$BB267,Règles_bovins[Ration]&amp;Règles_bovins[Aliment],0))="s1",IF($BB267=Spécificité1Bovins,1)),
AND(INDEX(Règles_bovins[Specificite],MATCH(ChoixRationBovins&amp;$BB267,Règles_bovins[Ration]&amp;Règles_bovins[Aliment],0))="s2",IF($BB267=Spécificité2Bovins,1)),
INDEX(Règles_bovins[Specificite],MATCH(ChoixRationBovins&amp;$BB267,Règles_bovins[Ration]&amp;Règles_bovins[Aliment],0))="c"),
INDEX(Règles_bovins[Valeur 18-24],MATCH(ChoixRationBovins&amp;$BB267,Règles_bovins[Ration]&amp;Règles_bovins[Aliment],0)),0),0)*IF(ChoixBovinsPréHiver=OUI,TotalGénisse_18_24_RacesLaitières,TotalBovinsFemelles_18_24mois*SUM(NbreJoursNourrirBovins)))</f>
        <v>0</v>
      </c>
      <c r="BF267" s="1269">
        <f t="array" ref="BF267">IF(Ration_complète_bovins[somme]&gt;0,0,IFERROR(IF(OR(AND(INDEX(Règles_bovins[Specificite],MATCH(ChoixRationBovins&amp;$BB267,Règles_bovins[Ration]&amp;Règles_bovins[Aliment],0))="s1",IF($BB267=Spécificité1Bovins,1)),
AND(INDEX(Règles_bovins[Specificite],MATCH(ChoixRationBovins&amp;$BB267,Règles_bovins[Ration]&amp;Règles_bovins[Aliment],0))="s2",IF($BB267=Spécificité2Bovins,1)),
INDEX(Règles_bovins[Specificite],MATCH(ChoixRationBovins&amp;$BB267,Règles_bovins[Ration]&amp;Règles_bovins[Aliment],0))="c"),
INDEX(Règles_bovins[Valeur 12-18],MATCH(ChoixRationBovins&amp;$BB267,Règles_bovins[Ration]&amp;Règles_bovins[Aliment],0)),0),0)*IF(ChoixBovinsPréHiver=OUI,TotalGénisse_12_18_RacesLaitières,TotalBovinsFemelles_12_18mois*SUM(NbreJoursNourrirBovins)))</f>
        <v>0</v>
      </c>
      <c r="BG267" s="1269">
        <f t="array" ref="BG267">IF(Ration_complète_bovins[somme]&gt;0,0,IFERROR(IF(OR(AND(INDEX(Règles_bovins[Specificite],MATCH(ChoixRationBovins&amp;$BB267,Règles_bovins[Ration]&amp;Règles_bovins[Aliment],0))="s1",IF($BB267=Spécificité1Bovins,1)),
AND(INDEX(Règles_bovins[Specificite],MATCH(ChoixRationBovins&amp;$BB267,Règles_bovins[Ration]&amp;Règles_bovins[Aliment],0))="s2",IF($BB267=Spécificité2Bovins,1)),
INDEX(Règles_bovins[Specificite],MATCH(ChoixRationBovins&amp;$BB267,Règles_bovins[Ration]&amp;Règles_bovins[Aliment],0))="c"),
INDEX(Règles_bovins[Valeur 6-12],MATCH(ChoixRationBovins&amp;$BB267,Règles_bovins[Ration]&amp;Règles_bovins[Aliment],0)),0),0)*IF(ChoixBovinsPréHiver=OUI,TotalVeauFemelle_6_12_RacesLaitières,TotalBovinsFemelles_6_12mois*SUM(NbreJoursNourrirBovins)))</f>
        <v>0</v>
      </c>
      <c r="BH267" s="1269">
        <f t="array" ref="BH267">IF(Ration_complète_bovins[somme]&gt;0,0,IFERROR(IF(OR(AND(INDEX(Règles_bovins[Specificite],MATCH(ChoixRationBovins&amp;$BB267,Règles_bovins[Ration]&amp;Règles_bovins[Aliment],0))="s1",IF($BB267=Spécificité1Bovins,1)),
AND(INDEX(Règles_bovins[Specificite],MATCH(ChoixRationBovins&amp;$BB267,Règles_bovins[Ration]&amp;Règles_bovins[Aliment],0))="s2",IF($BB267=Spécificité2Bovins,1)),
INDEX(Règles_bovins[Specificite],MATCH(ChoixRationBovins&amp;$BB267,Règles_bovins[Ration]&amp;Règles_bovins[Aliment],0))="c"),
INDEX(Règles_bovins[Valeur 3-6],MATCH(ChoixRationBovins&amp;$BB267,Règles_bovins[Ration]&amp;Règles_bovins[Aliment],0)),0),0)*IF(ChoixBovinsPréHiver=OUI,TotalVeauFemelle_3_6_RacesLaitières,TotalBovinsFemelles_3_6mois*SUM(NbreJoursNourrirBovins)))</f>
        <v>0</v>
      </c>
      <c r="BI267" s="1269">
        <f t="array" ref="BI267">IF(Ration_complète_bovins[somme]&gt;0,0,IFERROR(IF(OR(AND(INDEX(Règles_bovins[Specificite],MATCH(ChoixRationBovins&amp;$BB267,Règles_bovins[Ration]&amp;Règles_bovins[Aliment],0))="s1",IF($BB267=Spécificité1Bovins,1)),
AND(INDEX(Règles_bovins[Specificite],MATCH(ChoixRationBovins&amp;$BB267,Règles_bovins[Ration]&amp;Règles_bovins[Aliment],0))="s2",IF($BB267=Spécificité2Bovins,1)),
INDEX(Règles_bovins[Specificite],MATCH(ChoixRationBovins&amp;$BB267,Règles_bovins[Ration]&amp;Règles_bovins[Aliment],0))="c"),
INDEX(Règles_bovins[Valeur 0-3],MATCH(ChoixRationBovins&amp;$BB267,Règles_bovins[Ration]&amp;Règles_bovins[Aliment],0)),0),0)*IF(ChoixBovinsPréHiver=OUI,TotalVeauFemelle_0_3_RacesLaitières,TotalBovinsFemelles_0_3mois*SUM(NbreJoursNourrirBovins)))</f>
        <v>0</v>
      </c>
      <c r="BJ267" s="1270">
        <f t="shared" si="74"/>
        <v>0</v>
      </c>
      <c r="BK267" s="1345"/>
      <c r="BL267" s="1345"/>
      <c r="BM267" s="1346"/>
      <c r="BN267" s="1321"/>
      <c r="BO267" s="1321"/>
      <c r="BP267" s="1321"/>
      <c r="BQ267" s="1321"/>
      <c r="BR267" s="1321"/>
      <c r="BS267" s="1321"/>
      <c r="BT267" s="1321"/>
      <c r="BU267" s="1321"/>
      <c r="BV267" s="1345"/>
      <c r="BW267" s="1345"/>
      <c r="BX267" s="1321"/>
      <c r="BY267" s="1321"/>
      <c r="BZ267" s="1321"/>
      <c r="CA267" s="1321"/>
      <c r="CB267" s="1321"/>
      <c r="CC267" s="1321"/>
      <c r="CD267" s="1345"/>
      <c r="CE267" s="1345"/>
      <c r="CF267" s="1345"/>
      <c r="CG267" s="1345"/>
      <c r="CH267" s="1345"/>
      <c r="CI267" s="1321"/>
      <c r="CJ267" s="1321"/>
      <c r="CK267" s="1321"/>
      <c r="CL267" s="1321"/>
      <c r="CM267" s="1321"/>
      <c r="CN267" s="1321"/>
      <c r="CO267" s="1321"/>
      <c r="CP267" s="1321"/>
      <c r="CQ267" s="1321"/>
      <c r="CR267" s="1321"/>
      <c r="CS267" s="1321"/>
      <c r="CT267" s="1321"/>
      <c r="CU267" s="1321"/>
      <c r="CV267" s="1321"/>
      <c r="CW267" s="1321"/>
      <c r="CX267" s="1321"/>
      <c r="CY267" s="1321"/>
      <c r="CZ267" s="1321"/>
      <c r="DA267" s="1321"/>
      <c r="DB267" s="1321"/>
      <c r="DC267" s="1321"/>
      <c r="DD267" s="1321"/>
      <c r="DE267" s="1321"/>
      <c r="DF267" s="1321"/>
      <c r="DG267" s="1321"/>
      <c r="DH267" s="1321"/>
      <c r="DI267" s="1321"/>
      <c r="DJ267" s="1321"/>
      <c r="DK267" s="1321"/>
      <c r="DL267" s="1321"/>
      <c r="DM267" s="1321"/>
      <c r="DN267" s="1075" t="str">
        <f t="shared" si="77"/>
        <v>Tournesol</v>
      </c>
      <c r="DO267" s="1269">
        <f t="array" ref="DO267">IF(ChoixRationHivernaleOvinsComplète=OUI,0,IFERROR(IF(OR(AND(INDEX(Règles_ovins[Specificite],MATCH(RationHivernaleOvinsAuPré&amp;$DN267,Règles_ovins[Ration]&amp;Règles_ovins[Aliment],0))="s1",IF($DN267=Spécificité1Ovins,1)),
AND(INDEX(Règles_ovins[Specificite],MATCH(RationHivernaleOvinsAuPré&amp;$DN267,Règles_ovins[Ration]&amp;Règles_ovins[Aliment],0))="s2",IF($DN267=Spécificité2Ovins,1)),
INDEX(Règles_ovins[Specificite],MATCH(RationHivernaleOvinsAuPré&amp;$DN267,Règles_ovins[Ration]&amp;Règles_ovins[Aliment],0))="c"),
INDEX(Règles_ovins[Valeur 12 et plus],MATCH(RationHivernaleOvinsAuPré&amp;$DN267,Règles_ovins[Ration]&amp;Règles_ovins[Aliment],0)),0),0)*IF(SUM(TotalOvinsAdultesAuPré)&gt;0,SUM(TotalOvinsAdultesAuPré)*SUM(AD76:AD100),SUM(TotalOvinsAdultes)*SUM(AD76:AD100)))</f>
        <v>0</v>
      </c>
      <c r="DP267" s="1269">
        <f t="array" ref="DP267">IF(ChoixRationHivernaleOvinsComplète=OUI,0,IFERROR(IF(OR(AND(INDEX(Règles_ovins[Specificite],MATCH(RationHivernaleOvinsAuPré&amp;$DN267,Règles_ovins[Ration]&amp;Règles_ovins[Aliment],0))="s1",IF($DN267=Spécificité1Ovins,1)),
AND(INDEX(Règles_ovins[Specificite],MATCH(RationHivernaleOvinsAuPré&amp;$DN267,Règles_ovins[Ration]&amp;Règles_ovins[Aliment],0))="s2",IF($DN267=Spécificité2Ovins,1)),
INDEX(Règles_ovins[Specificite],MATCH(RationHivernaleOvinsAuPré&amp;$DN267,Règles_ovins[Ration]&amp;Règles_ovins[Aliment],0))="c"),
INDEX(Règles_ovins[Valeur 6-12],MATCH(RationHivernaleOvinsAuPré&amp;$DN267,Règles_ovins[Ration]&amp;Règles_ovins[Aliment],0)),0),0)*IF(SUM(TotalOvins_6_12moisAuPré)&gt;0,SUM(TotalOvins_6_12moisAuPré)*SUM(AD76:AD100),SUM(TotalJeunesOvins)*SUM(AD76:AD100)))</f>
        <v>0</v>
      </c>
      <c r="DQ267" s="1269">
        <f t="array" ref="DQ267">IF(ChoixRationHivernaleOvinsComplète=OUI,0,IFERROR(IF(OR(AND(INDEX(Règles_ovins[Specificite],MATCH(RationHivernaleOvinsAuPré&amp;$DN267,Règles_ovins[Ration]&amp;Règles_ovins[Aliment],0))="s1",IF($DN267=Spécificité1Ovins,1)),
AND(INDEX(Règles_ovins[Specificite],MATCH(RationHivernaleOvinsAuPré&amp;$DN267,Règles_ovins[Ration]&amp;Règles_ovins[Aliment],0))="s2",IF($DN267=Spécificité2Ovins,1)),
INDEX(Règles_ovins[Specificite],MATCH(RationHivernaleOvinsAuPré&amp;$DN267,Règles_ovins[Ration]&amp;Règles_ovins[Aliment],0))="c"),
INDEX(Règles_ovins[Valeur 3-6],MATCH(RationHivernaleOvinsAuPré&amp;$DN267,Règles_ovins[Ration]&amp;Règles_ovins[Aliment],0)),0),0)*IF(SUM(TotalOvins_3_6moisAuPré)&gt;0,SUM(TotalOvins_3_6moisAuPré)*SUM(AD76:AD100),SUM(TotalOvins_3_6mois)*SUM(AD76:AD100)))</f>
        <v>0</v>
      </c>
      <c r="DR267" s="1269">
        <f t="array" ref="DR267">IF(ChoixRationHivernaleOvinsComplète=OUI,0,IFERROR(IF(OR(AND(INDEX(Règles_ovins[Specificite],MATCH(RationHivernaleOvinsAuPré&amp;$DN267,Règles_ovins[Ration]&amp;Règles_ovins[Aliment],0))="s1",IF($DN267=Spécificité1Ovins,1)),
AND(INDEX(Règles_ovins[Specificite],MATCH(RationHivernaleOvinsAuPré&amp;$DN267,Règles_ovins[Ration]&amp;Règles_ovins[Aliment],0))="s2",IF($DN267=Spécificité2Ovins,1)),
INDEX(Règles_ovins[Specificite],MATCH(RationHivernaleOvinsAuPré&amp;$DN267,Règles_ovins[Ration]&amp;Règles_ovins[Aliment],0))="c"),
INDEX(Règles_ovins[Valeur 0-3],MATCH(RationHivernaleOvinsAuPré&amp;$DN267,Règles_ovins[Ration]&amp;Règles_ovins[Aliment],0)),0),0)*IF(SUM(TotalOvins_0_3moisAuPré)&gt;0,SUM(TotalOvins_0_3moisAuPré)*SUM(AD76:AD100),SUM(TotalOvins_3_6mois)*SUM(AD76:AD100)))</f>
        <v>0</v>
      </c>
      <c r="DS267" s="1280">
        <f t="shared" si="76"/>
        <v>0</v>
      </c>
      <c r="DT267" s="1346"/>
      <c r="DU267" s="1346"/>
      <c r="DV267" s="1321"/>
      <c r="DW267" s="1321"/>
      <c r="DX267" s="1321"/>
      <c r="DY267" s="1321"/>
      <c r="DZ267" s="1321"/>
      <c r="EA267" s="1321"/>
      <c r="EB267" s="1321"/>
      <c r="EC267" s="1321"/>
      <c r="ED267" s="1345"/>
      <c r="EE267" s="1345"/>
      <c r="EF267" s="1321"/>
      <c r="EG267" s="1321"/>
      <c r="EH267" s="1321"/>
      <c r="EI267" s="1321"/>
      <c r="EJ267" s="1321"/>
      <c r="EK267" s="1345"/>
      <c r="EL267" s="1345"/>
      <c r="EM267" s="1321"/>
      <c r="EN267" s="1321"/>
      <c r="EO267" s="1321"/>
      <c r="EP267" s="1321"/>
      <c r="EQ267" s="1321"/>
      <c r="ER267" s="1345"/>
      <c r="ES267" s="1345"/>
      <c r="ET267" s="1321"/>
      <c r="EU267" s="1321"/>
      <c r="EV267" s="1321"/>
      <c r="EW267" s="1321"/>
      <c r="EX267" s="1321"/>
      <c r="EY267" s="1321"/>
      <c r="EZ267" s="1345"/>
      <c r="FA267" s="1345"/>
      <c r="FB267" s="1345"/>
      <c r="FC267" s="1321"/>
      <c r="FD267" s="1321"/>
      <c r="FE267" s="1321"/>
      <c r="FF267" s="1321"/>
      <c r="FG267" s="1321"/>
      <c r="FH267" s="1321"/>
      <c r="FI267" s="1345"/>
      <c r="FJ267" s="1345"/>
      <c r="FK267" s="1345"/>
      <c r="FL267" s="1345"/>
      <c r="FM267" s="1321"/>
      <c r="FN267" s="1321"/>
      <c r="FO267" s="1321"/>
      <c r="FP267" s="1321"/>
      <c r="FQ267" s="1321"/>
      <c r="FR267" s="1321"/>
      <c r="FS267" s="1345"/>
      <c r="FT267" s="1345"/>
      <c r="FU267" s="1345"/>
      <c r="FV267" s="1345"/>
      <c r="FW267" s="1321"/>
      <c r="FX267" s="1321"/>
      <c r="FY267" s="1321"/>
      <c r="FZ267" s="1321"/>
      <c r="GA267" s="1345"/>
      <c r="GB267" s="1321"/>
      <c r="GC267" s="1321"/>
      <c r="GD267" s="1321"/>
      <c r="GE267" s="1321"/>
      <c r="GF267" s="1321"/>
      <c r="GG267" s="1321" t="s">
        <v>1349</v>
      </c>
      <c r="GH267" s="1321" t="s">
        <v>1349</v>
      </c>
      <c r="GI267" s="1321" t="s">
        <v>1349</v>
      </c>
      <c r="GJ267" s="1321" t="s">
        <v>1349</v>
      </c>
      <c r="GK267" s="1321" t="s">
        <v>1349</v>
      </c>
      <c r="GL267" s="1321" t="s">
        <v>1349</v>
      </c>
      <c r="GM267" s="1321" t="s">
        <v>1349</v>
      </c>
      <c r="GN267" s="1321" t="s">
        <v>1349</v>
      </c>
      <c r="GO267" s="1321" t="s">
        <v>1349</v>
      </c>
      <c r="GP267" s="1321" t="s">
        <v>1349</v>
      </c>
      <c r="GQ267" s="1321" t="s">
        <v>1349</v>
      </c>
      <c r="GR267" s="1321" t="s">
        <v>1349</v>
      </c>
      <c r="GS267" s="1321" t="s">
        <v>1349</v>
      </c>
      <c r="GT267" s="1321" t="s">
        <v>1349</v>
      </c>
      <c r="GU267" s="1321" t="s">
        <v>1349</v>
      </c>
      <c r="GV267" s="1321" t="s">
        <v>1349</v>
      </c>
      <c r="GW267" s="1321"/>
      <c r="GX267" s="1321"/>
      <c r="GY267" s="1321"/>
      <c r="GZ267" s="1321"/>
      <c r="HA267" s="1321"/>
      <c r="HB267" s="1321"/>
      <c r="HC267" s="1321"/>
      <c r="HD267" s="1321"/>
      <c r="HE267" s="1321"/>
      <c r="HF267" s="1321"/>
      <c r="HG267" s="1321"/>
      <c r="HH267" s="1321"/>
      <c r="HI267" s="1321"/>
      <c r="HJ267" s="1321"/>
      <c r="HK267" s="1321"/>
      <c r="HL267" s="1321"/>
      <c r="HM267" s="1321"/>
      <c r="HN267" s="1321"/>
      <c r="HO267" s="1321"/>
      <c r="HP267" s="1321"/>
      <c r="HQ267" s="1321"/>
      <c r="HR267" s="1321"/>
      <c r="HS267" s="1321"/>
      <c r="HT267" s="1321"/>
      <c r="HU267" s="1321"/>
      <c r="HV267" s="1321"/>
      <c r="HW267" s="1321"/>
      <c r="HX267" s="1321"/>
      <c r="HY267" s="1321"/>
      <c r="HZ267" s="1321"/>
      <c r="IA267" s="1321"/>
      <c r="IB267" s="1321"/>
      <c r="IC267" s="1321"/>
      <c r="ID267" s="1321"/>
      <c r="IE267" s="1321"/>
      <c r="IF267" s="1321"/>
      <c r="IG267" s="1321"/>
      <c r="IH267" s="1321"/>
      <c r="II267" s="1321"/>
      <c r="IJ267" s="1321"/>
      <c r="IK267" s="1321"/>
      <c r="IL267" s="1321"/>
      <c r="IM267" s="1321"/>
      <c r="IN267" s="1368"/>
    </row>
    <row r="268" spans="1:248" ht="12.75" customHeight="1" x14ac:dyDescent="0.2">
      <c r="A268" s="1319"/>
      <c r="B268" s="1321"/>
      <c r="C268" s="1321"/>
      <c r="D268" s="1321"/>
      <c r="E268" s="1321"/>
      <c r="F268" s="1321"/>
      <c r="G268" s="1321"/>
      <c r="H268" s="1321"/>
      <c r="I268" s="1321"/>
      <c r="J268" s="1321"/>
      <c r="K268" s="1321"/>
      <c r="L268" s="1321"/>
      <c r="M268" s="1321"/>
      <c r="N268" s="1321"/>
      <c r="O268" s="1321"/>
      <c r="P268" s="1321"/>
      <c r="Q268" s="1321"/>
      <c r="R268" s="1321"/>
      <c r="S268" s="1321"/>
      <c r="T268" s="1321"/>
      <c r="U268" s="1321"/>
      <c r="V268" s="1321"/>
      <c r="W268" s="1321"/>
      <c r="X268" s="1321"/>
      <c r="Y268" s="1321"/>
      <c r="Z268" s="1321"/>
      <c r="AA268" s="1321"/>
      <c r="AB268" s="1321"/>
      <c r="AC268" s="1321"/>
      <c r="AD268" s="1321"/>
      <c r="AE268" s="1321"/>
      <c r="AF268" s="1321"/>
      <c r="AG268" s="1321"/>
      <c r="AH268" s="1321"/>
      <c r="AI268" s="1321"/>
      <c r="AJ268" s="1321"/>
      <c r="AK268" s="1321"/>
      <c r="AL268" s="1321"/>
      <c r="AM268" s="1321"/>
      <c r="AN268" s="1321"/>
      <c r="AO268" s="1321"/>
      <c r="AP268" s="1321"/>
      <c r="AQ268" s="1321"/>
      <c r="AR268" s="1321"/>
      <c r="AS268" s="1321"/>
      <c r="AT268" s="1321"/>
      <c r="AU268" s="1321"/>
      <c r="AV268" s="1321"/>
      <c r="AW268" s="1321"/>
      <c r="AX268" s="1321"/>
      <c r="AY268" s="1321"/>
      <c r="AZ268" s="1321"/>
      <c r="BA268" s="1321"/>
      <c r="BB268" s="1076" t="str">
        <f t="shared" si="75"/>
        <v>Triticale</v>
      </c>
      <c r="BC268" s="1267">
        <f t="array" ref="BC268">IF(Ration_complète_bovins[somme]&gt;0,0,IFERROR(IF(OR(AND(INDEX(Règles_bovins[Specificite],MATCH(ChoixRationBovins&amp;$BB268,Règles_bovins[Ration]&amp;Règles_bovins[Aliment],0))="s1",IF($BB268=Spécificité1Bovins,1)),
AND(INDEX(Règles_bovins[Specificite],MATCH(ChoixRationBovins&amp;$BB268,Règles_bovins[Ration]&amp;Règles_bovins[Aliment],0))="s2",IF($BB268=Spécificité2Bovins,1)),
INDEX(Règles_bovins[Specificite],MATCH(ChoixRationBovins&amp;$BB268,Règles_bovins[Ration]&amp;Règles_bovins[Aliment],0))="c"),
INDEX(Règles_bovins[Valeur 36 et plus],MATCH(ChoixRationBovins&amp;$BB268,Règles_bovins[Ration]&amp;Règles_bovins[Aliment],0)),0),0)*IF(ChoixBovinsPréHiver=OUI,TotalVachesRacesLaitières,TotalVaches*SUM(NbreJoursNourrirBovins)))</f>
        <v>0</v>
      </c>
      <c r="BD268" s="1267">
        <f t="array" ref="BD268">IF(Ration_complète_bovins[somme]&gt;0,0,IFERROR(IF(OR(AND(INDEX(Règles_bovins[Specificite],MATCH(ChoixRationBovins&amp;$BB268,Règles_bovins[Ration]&amp;Règles_bovins[Aliment],0))="s1",IF($BB268=Spécificité1Bovins,1)),
AND(INDEX(Règles_bovins[Specificite],MATCH(ChoixRationBovins&amp;$BB268,Règles_bovins[Ration]&amp;Règles_bovins[Aliment],0))="s2",IF($BB268=Spécificité2Bovins,1)),
INDEX(Règles_bovins[Specificite],MATCH(ChoixRationBovins&amp;$BB268,Règles_bovins[Ration]&amp;Règles_bovins[Aliment],0))="c"),
INDEX(Règles_bovins[Valeur 24-36],MATCH(ChoixRationBovins&amp;$BB268,Règles_bovins[Ration]&amp;Règles_bovins[Aliment],0)),0),0)*IF(ChoixBovinsPréHiver=OUI,TotalGénisse_24_36_RacesLaitières,TotalBovinsFemelles_24_36mois*SUM(NbreJoursNourrirBovins)))</f>
        <v>0</v>
      </c>
      <c r="BE268" s="1267">
        <f t="array" ref="BE268">IF(Ration_complète_bovins[somme]&gt;0,0,IFERROR(IF(OR(AND(INDEX(Règles_bovins[Specificite],MATCH(ChoixRationBovins&amp;$BB268,Règles_bovins[Ration]&amp;Règles_bovins[Aliment],0))="s1",IF($BB268=Spécificité1Bovins,1)),
AND(INDEX(Règles_bovins[Specificite],MATCH(ChoixRationBovins&amp;$BB268,Règles_bovins[Ration]&amp;Règles_bovins[Aliment],0))="s2",IF($BB268=Spécificité2Bovins,1)),
INDEX(Règles_bovins[Specificite],MATCH(ChoixRationBovins&amp;$BB268,Règles_bovins[Ration]&amp;Règles_bovins[Aliment],0))="c"),
INDEX(Règles_bovins[Valeur 18-24],MATCH(ChoixRationBovins&amp;$BB268,Règles_bovins[Ration]&amp;Règles_bovins[Aliment],0)),0),0)*IF(ChoixBovinsPréHiver=OUI,TotalGénisse_18_24_RacesLaitières,TotalBovinsFemelles_18_24mois*SUM(NbreJoursNourrirBovins)))</f>
        <v>0</v>
      </c>
      <c r="BF268" s="1267">
        <f t="array" ref="BF268">IF(Ration_complète_bovins[somme]&gt;0,0,IFERROR(IF(OR(AND(INDEX(Règles_bovins[Specificite],MATCH(ChoixRationBovins&amp;$BB268,Règles_bovins[Ration]&amp;Règles_bovins[Aliment],0))="s1",IF($BB268=Spécificité1Bovins,1)),
AND(INDEX(Règles_bovins[Specificite],MATCH(ChoixRationBovins&amp;$BB268,Règles_bovins[Ration]&amp;Règles_bovins[Aliment],0))="s2",IF($BB268=Spécificité2Bovins,1)),
INDEX(Règles_bovins[Specificite],MATCH(ChoixRationBovins&amp;$BB268,Règles_bovins[Ration]&amp;Règles_bovins[Aliment],0))="c"),
INDEX(Règles_bovins[Valeur 12-18],MATCH(ChoixRationBovins&amp;$BB268,Règles_bovins[Ration]&amp;Règles_bovins[Aliment],0)),0),0)*IF(ChoixBovinsPréHiver=OUI,TotalGénisse_12_18_RacesLaitières,TotalBovinsFemelles_12_18mois*SUM(NbreJoursNourrirBovins)))</f>
        <v>0</v>
      </c>
      <c r="BG268" s="1267">
        <f t="array" ref="BG268">IF(Ration_complète_bovins[somme]&gt;0,0,IFERROR(IF(OR(AND(INDEX(Règles_bovins[Specificite],MATCH(ChoixRationBovins&amp;$BB268,Règles_bovins[Ration]&amp;Règles_bovins[Aliment],0))="s1",IF($BB268=Spécificité1Bovins,1)),
AND(INDEX(Règles_bovins[Specificite],MATCH(ChoixRationBovins&amp;$BB268,Règles_bovins[Ration]&amp;Règles_bovins[Aliment],0))="s2",IF($BB268=Spécificité2Bovins,1)),
INDEX(Règles_bovins[Specificite],MATCH(ChoixRationBovins&amp;$BB268,Règles_bovins[Ration]&amp;Règles_bovins[Aliment],0))="c"),
INDEX(Règles_bovins[Valeur 6-12],MATCH(ChoixRationBovins&amp;$BB268,Règles_bovins[Ration]&amp;Règles_bovins[Aliment],0)),0),0)*IF(ChoixBovinsPréHiver=OUI,TotalVeauFemelle_6_12_RacesLaitières,TotalBovinsFemelles_6_12mois*SUM(NbreJoursNourrirBovins)))</f>
        <v>0</v>
      </c>
      <c r="BH268" s="1267">
        <f t="array" ref="BH268">IF(Ration_complète_bovins[somme]&gt;0,0,IFERROR(IF(OR(AND(INDEX(Règles_bovins[Specificite],MATCH(ChoixRationBovins&amp;$BB268,Règles_bovins[Ration]&amp;Règles_bovins[Aliment],0))="s1",IF($BB268=Spécificité1Bovins,1)),
AND(INDEX(Règles_bovins[Specificite],MATCH(ChoixRationBovins&amp;$BB268,Règles_bovins[Ration]&amp;Règles_bovins[Aliment],0))="s2",IF($BB268=Spécificité2Bovins,1)),
INDEX(Règles_bovins[Specificite],MATCH(ChoixRationBovins&amp;$BB268,Règles_bovins[Ration]&amp;Règles_bovins[Aliment],0))="c"),
INDEX(Règles_bovins[Valeur 3-6],MATCH(ChoixRationBovins&amp;$BB268,Règles_bovins[Ration]&amp;Règles_bovins[Aliment],0)),0),0)*IF(ChoixBovinsPréHiver=OUI,TotalVeauFemelle_3_6_RacesLaitières,TotalBovinsFemelles_3_6mois*SUM(NbreJoursNourrirBovins)))</f>
        <v>0</v>
      </c>
      <c r="BI268" s="1267">
        <f t="array" ref="BI268">IF(Ration_complète_bovins[somme]&gt;0,0,IFERROR(IF(OR(AND(INDEX(Règles_bovins[Specificite],MATCH(ChoixRationBovins&amp;$BB268,Règles_bovins[Ration]&amp;Règles_bovins[Aliment],0))="s1",IF($BB268=Spécificité1Bovins,1)),
AND(INDEX(Règles_bovins[Specificite],MATCH(ChoixRationBovins&amp;$BB268,Règles_bovins[Ration]&amp;Règles_bovins[Aliment],0))="s2",IF($BB268=Spécificité2Bovins,1)),
INDEX(Règles_bovins[Specificite],MATCH(ChoixRationBovins&amp;$BB268,Règles_bovins[Ration]&amp;Règles_bovins[Aliment],0))="c"),
INDEX(Règles_bovins[Valeur 0-3],MATCH(ChoixRationBovins&amp;$BB268,Règles_bovins[Ration]&amp;Règles_bovins[Aliment],0)),0),0)*IF(ChoixBovinsPréHiver=OUI,TotalVeauFemelle_0_3_RacesLaitières,TotalBovinsFemelles_0_3mois*SUM(NbreJoursNourrirBovins)))</f>
        <v>0</v>
      </c>
      <c r="BJ268" s="1268">
        <f t="shared" si="74"/>
        <v>0</v>
      </c>
      <c r="BK268" s="1345"/>
      <c r="BL268" s="1345"/>
      <c r="BM268" s="1346"/>
      <c r="BN268" s="1321"/>
      <c r="BO268" s="1321"/>
      <c r="BP268" s="1321"/>
      <c r="BQ268" s="1321"/>
      <c r="BR268" s="1321"/>
      <c r="BS268" s="1321"/>
      <c r="BT268" s="1321"/>
      <c r="BU268" s="1321"/>
      <c r="BV268" s="1345"/>
      <c r="BW268" s="1345"/>
      <c r="BX268" s="1321"/>
      <c r="BY268" s="1321"/>
      <c r="BZ268" s="1321"/>
      <c r="CA268" s="1321"/>
      <c r="CB268" s="1321"/>
      <c r="CC268" s="1321"/>
      <c r="CD268" s="1345"/>
      <c r="CE268" s="1345"/>
      <c r="CF268" s="1345"/>
      <c r="CG268" s="1345"/>
      <c r="CH268" s="1345"/>
      <c r="CI268" s="1321"/>
      <c r="CJ268" s="1321"/>
      <c r="CK268" s="1321"/>
      <c r="CL268" s="1321"/>
      <c r="CM268" s="1321"/>
      <c r="CN268" s="1321"/>
      <c r="CO268" s="1321"/>
      <c r="CP268" s="1321"/>
      <c r="CQ268" s="1321"/>
      <c r="CR268" s="1321"/>
      <c r="CS268" s="1321"/>
      <c r="CT268" s="1321"/>
      <c r="CU268" s="1321"/>
      <c r="CV268" s="1321"/>
      <c r="CW268" s="1321"/>
      <c r="CX268" s="1321"/>
      <c r="CY268" s="1321"/>
      <c r="CZ268" s="1321"/>
      <c r="DA268" s="1321"/>
      <c r="DB268" s="1321"/>
      <c r="DC268" s="1321"/>
      <c r="DD268" s="1321"/>
      <c r="DE268" s="1321"/>
      <c r="DF268" s="1321"/>
      <c r="DG268" s="1321"/>
      <c r="DH268" s="1321"/>
      <c r="DI268" s="1321"/>
      <c r="DJ268" s="1321"/>
      <c r="DK268" s="1321"/>
      <c r="DL268" s="1321"/>
      <c r="DM268" s="1321"/>
      <c r="DN268" s="1076" t="str">
        <f t="shared" si="77"/>
        <v>Tourteau de colza</v>
      </c>
      <c r="DO268" s="1267">
        <f t="array" ref="DO268">IF(OR(ChoixPaysPartie=USA,ChoixPaysPartie=CANADA,ChoixPaysPartie=""),0,IF(ChoixRationHivernaleOvinsComplète=OUI,0,IFERROR(IF(OR(AND(INDEX(Règles_ovins[Specificite],MATCH(RationHivernaleOvinsAuPré&amp;$DN268,Règles_ovins[Ration]&amp;Règles_ovins[Aliment],0))="s1",IF($DN268=Spécificité1Ovins,1)),
AND(INDEX(Règles_ovins[Specificite],MATCH(RationHivernaleOvinsAuPré&amp;$DN268,Règles_ovins[Ration]&amp;Règles_ovins[Aliment],0))="s2",IF($DN268=Spécificité2Ovins,1)),
INDEX(Règles_ovins[Specificite],MATCH(RationHivernaleOvinsAuPré&amp;$DN268,Règles_ovins[Ration]&amp;Règles_ovins[Aliment],0))="c"),
INDEX(Règles_ovins[Valeur 12 et plus],MATCH(RationHivernaleOvinsAuPré&amp;$DN268,Règles_ovins[Ration]&amp;Règles_ovins[Aliment],0)),0),0)*IF(SUM(TotalOvinsAdultesAuPré)&gt;0,SUM(TotalOvinsAdultesAuPré)*SUM(AD76:AD100),SUM(TotalOvinsAdultes)*SUM(AD76:AD100))))</f>
        <v>0</v>
      </c>
      <c r="DP268" s="1267">
        <f t="array" ref="DP268">IF(OR(ChoixPaysPartie=USA,ChoixPaysPartie=CANADA,ChoixPaysPartie=""),0,IF(ChoixRationHivernaleOvinsComplète=OUI,0,IFERROR(IF(OR(AND(INDEX(Règles_ovins[Specificite],MATCH(RationHivernaleOvinsAuPré&amp;$DN268,Règles_ovins[Ration]&amp;Règles_ovins[Aliment],0))="s1",IF($DN268=Spécificité1Ovins,1)),
AND(INDEX(Règles_ovins[Specificite],MATCH(RationHivernaleOvinsAuPré&amp;$DN268,Règles_ovins[Ration]&amp;Règles_ovins[Aliment],0))="s2",IF($DN268=Spécificité2Ovins,1)),
INDEX(Règles_ovins[Specificite],MATCH(RationHivernaleOvinsAuPré&amp;$DN268,Règles_ovins[Ration]&amp;Règles_ovins[Aliment],0))="c"),
INDEX(Règles_ovins[Valeur 6-12],MATCH(RationHivernaleOvinsAuPré&amp;$DN268,Règles_ovins[Ration]&amp;Règles_ovins[Aliment],0)),0),0)*IF(SUM(TotalOvins_6_12moisAuPré)&gt;0,SUM(TotalOvins_6_12moisAuPré)*SUM(AD76:AD100),SUM(TotalJeunesOvins)*SUM(AD76:AD100))))</f>
        <v>0</v>
      </c>
      <c r="DQ268" s="1267">
        <f t="array" ref="DQ268">IF(OR(ChoixPaysPartie=USA,ChoixPaysPartie=CANADA,ChoixPaysPartie=""),0,IF(ChoixRationHivernaleOvinsComplète=OUI,0,IFERROR(IF(OR(AND(INDEX(Règles_ovins[Specificite],MATCH(RationHivernaleOvinsAuPré&amp;$DN268,Règles_ovins[Ration]&amp;Règles_ovins[Aliment],0))="s1",IF($DN268=Spécificité1Ovins,1)),
AND(INDEX(Règles_ovins[Specificite],MATCH(RationHivernaleOvinsAuPré&amp;$DN268,Règles_ovins[Ration]&amp;Règles_ovins[Aliment],0))="s2",IF($DN268=Spécificité2Ovins,1)),
INDEX(Règles_ovins[Specificite],MATCH(RationHivernaleOvinsAuPré&amp;$DN268,Règles_ovins[Ration]&amp;Règles_ovins[Aliment],0))="c"),
INDEX(Règles_ovins[Valeur 3-6],MATCH(RationHivernaleOvinsAuPré&amp;$DN268,Règles_ovins[Ration]&amp;Règles_ovins[Aliment],0)),0),0)*IF(SUM(TotalOvins_3_6moisAuPré)&gt;0,SUM(TotalOvins_3_6moisAuPré)*SUM(AD76:AD100),SUM(TotalOvins_3_6mois)*SUM(AD76:AD100))))</f>
        <v>0</v>
      </c>
      <c r="DR268" s="1267">
        <f t="array" ref="DR268">IF(OR(ChoixPaysPartie=USA,ChoixPaysPartie=CANADA,ChoixPaysPartie=""),0,IF(ChoixRationHivernaleOvinsComplète=OUI,0,IFERROR(IF(OR(AND(INDEX(Règles_ovins[Specificite],MATCH(RationHivernaleOvinsAuPré&amp;$DN268,Règles_ovins[Ration]&amp;Règles_ovins[Aliment],0))="s1",IF($DN268=Spécificité1Ovins,1)),
AND(INDEX(Règles_ovins[Specificite],MATCH(RationHivernaleOvinsAuPré&amp;$DN268,Règles_ovins[Ration]&amp;Règles_ovins[Aliment],0))="s2",IF($DN268=Spécificité2Ovins,1)),
INDEX(Règles_ovins[Specificite],MATCH(RationHivernaleOvinsAuPré&amp;$DN268,Règles_ovins[Ration]&amp;Règles_ovins[Aliment],0))="c"),
INDEX(Règles_ovins[Valeur 0-3],MATCH(RationHivernaleOvinsAuPré&amp;$DN268,Règles_ovins[Ration]&amp;Règles_ovins[Aliment],0)),0),0)*IF(SUM(TotalOvins_0_3moisAuPré)&gt;0,SUM(TotalOvins_0_3moisAuPré)*SUM(AD76:AD100),SUM(TotalOvins_3_6mois)*SUM(AD76:AD100))))</f>
        <v>0</v>
      </c>
      <c r="DS268" s="1279">
        <f t="shared" si="76"/>
        <v>0</v>
      </c>
      <c r="DT268" s="1346"/>
      <c r="DU268" s="1346"/>
      <c r="DV268" s="1321"/>
      <c r="DW268" s="1321"/>
      <c r="DX268" s="1321"/>
      <c r="DY268" s="1321"/>
      <c r="DZ268" s="1321"/>
      <c r="EA268" s="1321"/>
      <c r="EB268" s="1321"/>
      <c r="EC268" s="1321"/>
      <c r="ED268" s="1345"/>
      <c r="EE268" s="1345"/>
      <c r="EF268" s="1321"/>
      <c r="EG268" s="1321"/>
      <c r="EH268" s="1321"/>
      <c r="EI268" s="1321"/>
      <c r="EJ268" s="1321"/>
      <c r="EK268" s="1345"/>
      <c r="EL268" s="1345"/>
      <c r="EM268" s="1321"/>
      <c r="EN268" s="1321"/>
      <c r="EO268" s="1321"/>
      <c r="EP268" s="1321"/>
      <c r="EQ268" s="1321"/>
      <c r="ER268" s="1345"/>
      <c r="ES268" s="1345"/>
      <c r="ET268" s="1321"/>
      <c r="EU268" s="1321"/>
      <c r="EV268" s="1321"/>
      <c r="EW268" s="1321"/>
      <c r="EX268" s="1321"/>
      <c r="EY268" s="1321"/>
      <c r="EZ268" s="1345"/>
      <c r="FA268" s="1345"/>
      <c r="FB268" s="1345"/>
      <c r="FC268" s="1321"/>
      <c r="FD268" s="1321"/>
      <c r="FE268" s="1321"/>
      <c r="FF268" s="1321"/>
      <c r="FG268" s="1321"/>
      <c r="FH268" s="1321"/>
      <c r="FI268" s="1345"/>
      <c r="FJ268" s="1345"/>
      <c r="FK268" s="1345"/>
      <c r="FL268" s="1345"/>
      <c r="FM268" s="1321"/>
      <c r="FN268" s="1321"/>
      <c r="FO268" s="1321"/>
      <c r="FP268" s="1321"/>
      <c r="FQ268" s="1321"/>
      <c r="FR268" s="1321"/>
      <c r="FS268" s="1345"/>
      <c r="FT268" s="1345"/>
      <c r="FU268" s="1345"/>
      <c r="FV268" s="1345"/>
      <c r="FW268" s="1321"/>
      <c r="FX268" s="1321"/>
      <c r="FY268" s="1321"/>
      <c r="FZ268" s="1321"/>
      <c r="GA268" s="1345"/>
      <c r="GB268" s="1321"/>
      <c r="GC268" s="1321"/>
      <c r="GD268" s="1321"/>
      <c r="GE268" s="1321"/>
      <c r="GF268" s="1321"/>
      <c r="GG268" s="1321" t="s">
        <v>1349</v>
      </c>
      <c r="GH268" s="1321" t="s">
        <v>1349</v>
      </c>
      <c r="GI268" s="1321" t="s">
        <v>1349</v>
      </c>
      <c r="GJ268" s="1321" t="s">
        <v>1349</v>
      </c>
      <c r="GK268" s="1321" t="s">
        <v>1349</v>
      </c>
      <c r="GL268" s="1321" t="s">
        <v>1349</v>
      </c>
      <c r="GM268" s="1321" t="s">
        <v>1349</v>
      </c>
      <c r="GN268" s="1321" t="s">
        <v>1349</v>
      </c>
      <c r="GO268" s="1321" t="s">
        <v>1349</v>
      </c>
      <c r="GP268" s="1321" t="s">
        <v>1349</v>
      </c>
      <c r="GQ268" s="1321" t="s">
        <v>1349</v>
      </c>
      <c r="GR268" s="1321" t="s">
        <v>1349</v>
      </c>
      <c r="GS268" s="1321" t="s">
        <v>1349</v>
      </c>
      <c r="GT268" s="1321" t="s">
        <v>1349</v>
      </c>
      <c r="GU268" s="1321" t="s">
        <v>1349</v>
      </c>
      <c r="GV268" s="1321" t="s">
        <v>1349</v>
      </c>
      <c r="GW268" s="1321"/>
      <c r="GX268" s="1321"/>
      <c r="GY268" s="1321"/>
      <c r="GZ268" s="1321"/>
      <c r="HA268" s="1321"/>
      <c r="HB268" s="1321"/>
      <c r="HC268" s="1321"/>
      <c r="HD268" s="1321"/>
      <c r="HE268" s="1321"/>
      <c r="HF268" s="1321"/>
      <c r="HG268" s="1321"/>
      <c r="HH268" s="1321"/>
      <c r="HI268" s="1321"/>
      <c r="HJ268" s="1321"/>
      <c r="HK268" s="1321"/>
      <c r="HL268" s="1321"/>
      <c r="HM268" s="1321"/>
      <c r="HN268" s="1321"/>
      <c r="HO268" s="1321"/>
      <c r="HP268" s="1321"/>
      <c r="HQ268" s="1321"/>
      <c r="HR268" s="1321"/>
      <c r="HS268" s="1321"/>
      <c r="HT268" s="1321"/>
      <c r="HU268" s="1321"/>
      <c r="HV268" s="1321"/>
      <c r="HW268" s="1321"/>
      <c r="HX268" s="1321"/>
      <c r="HY268" s="1321"/>
      <c r="HZ268" s="1321"/>
      <c r="IA268" s="1321"/>
      <c r="IB268" s="1321"/>
      <c r="IC268" s="1321"/>
      <c r="ID268" s="1321"/>
      <c r="IE268" s="1321"/>
      <c r="IF268" s="1321"/>
      <c r="IG268" s="1321"/>
      <c r="IH268" s="1321"/>
      <c r="II268" s="1321"/>
      <c r="IJ268" s="1321"/>
      <c r="IK268" s="1321"/>
      <c r="IL268" s="1321"/>
      <c r="IM268" s="1321"/>
      <c r="IN268" s="1368"/>
    </row>
    <row r="269" spans="1:248" ht="12.75" customHeight="1" x14ac:dyDescent="0.2">
      <c r="A269" s="1319"/>
      <c r="B269" s="1321"/>
      <c r="C269" s="1321"/>
      <c r="D269" s="1321"/>
      <c r="E269" s="1321"/>
      <c r="F269" s="1321"/>
      <c r="G269" s="1321"/>
      <c r="H269" s="1321"/>
      <c r="I269" s="1321"/>
      <c r="J269" s="1321"/>
      <c r="K269" s="1321"/>
      <c r="L269" s="1321"/>
      <c r="M269" s="1321"/>
      <c r="N269" s="1321"/>
      <c r="O269" s="1321"/>
      <c r="P269" s="1321"/>
      <c r="Q269" s="1321"/>
      <c r="R269" s="1321"/>
      <c r="S269" s="1321"/>
      <c r="T269" s="1321"/>
      <c r="U269" s="1321"/>
      <c r="V269" s="1321"/>
      <c r="W269" s="1321"/>
      <c r="X269" s="1321"/>
      <c r="Y269" s="1321"/>
      <c r="Z269" s="1321"/>
      <c r="AA269" s="1321"/>
      <c r="AB269" s="1321"/>
      <c r="AC269" s="1321"/>
      <c r="AD269" s="1321"/>
      <c r="AE269" s="1321"/>
      <c r="AF269" s="1321"/>
      <c r="AG269" s="1321"/>
      <c r="AH269" s="1321"/>
      <c r="AI269" s="1321"/>
      <c r="AJ269" s="1321"/>
      <c r="AK269" s="1321"/>
      <c r="AL269" s="1321"/>
      <c r="AM269" s="1321"/>
      <c r="AN269" s="1321"/>
      <c r="AO269" s="1321"/>
      <c r="AP269" s="1321"/>
      <c r="AQ269" s="1321"/>
      <c r="AR269" s="1321"/>
      <c r="AS269" s="1321"/>
      <c r="AT269" s="1321"/>
      <c r="AU269" s="1321"/>
      <c r="AV269" s="1321"/>
      <c r="AW269" s="1321"/>
      <c r="AX269" s="1321"/>
      <c r="AY269" s="1321"/>
      <c r="AZ269" s="1321"/>
      <c r="BA269" s="1321"/>
      <c r="BB269" s="1075">
        <f t="shared" si="75"/>
        <v>0</v>
      </c>
      <c r="BC269" s="1269">
        <f t="array" ref="BC269">IF(Ration_complète_bovins[somme]&gt;0,0,IFERROR(IF(OR(AND(INDEX(Règles_bovins[Specificite],MATCH(ChoixRationBovins&amp;$BB269,Règles_bovins[Ration]&amp;Règles_bovins[Aliment],0))="s1",IF($BB269=Spécificité1Bovins,1)),
AND(INDEX(Règles_bovins[Specificite],MATCH(ChoixRationBovins&amp;$BB269,Règles_bovins[Ration]&amp;Règles_bovins[Aliment],0))="s2",IF($BB269=Spécificité2Bovins,1)),
INDEX(Règles_bovins[Specificite],MATCH(ChoixRationBovins&amp;$BB269,Règles_bovins[Ration]&amp;Règles_bovins[Aliment],0))="c"),
INDEX(Règles_bovins[Valeur 36 et plus],MATCH(ChoixRationBovins&amp;$BB269,Règles_bovins[Ration]&amp;Règles_bovins[Aliment],0)),0),0)*IF(ChoixBovinsPréHiver=OUI,TotalVachesRacesLaitières,TotalVaches*SUM(NbreJoursNourrirBovins)))</f>
        <v>0</v>
      </c>
      <c r="BD269" s="1269">
        <f t="array" ref="BD269">IF(Ration_complète_bovins[somme]&gt;0,0,IFERROR(IF(OR(AND(INDEX(Règles_bovins[Specificite],MATCH(ChoixRationBovins&amp;$BB269,Règles_bovins[Ration]&amp;Règles_bovins[Aliment],0))="s1",IF($BB269=Spécificité1Bovins,1)),
AND(INDEX(Règles_bovins[Specificite],MATCH(ChoixRationBovins&amp;$BB269,Règles_bovins[Ration]&amp;Règles_bovins[Aliment],0))="s2",IF($BB269=Spécificité2Bovins,1)),
INDEX(Règles_bovins[Specificite],MATCH(ChoixRationBovins&amp;$BB269,Règles_bovins[Ration]&amp;Règles_bovins[Aliment],0))="c"),
INDEX(Règles_bovins[Valeur 24-36],MATCH(ChoixRationBovins&amp;$BB269,Règles_bovins[Ration]&amp;Règles_bovins[Aliment],0)),0),0)*IF(ChoixBovinsPréHiver=OUI,TotalGénisse_24_36_RacesLaitières,TotalBovinsFemelles_24_36mois*SUM(NbreJoursNourrirBovins)))</f>
        <v>0</v>
      </c>
      <c r="BE269" s="1269">
        <f t="array" ref="BE269">IF(Ration_complète_bovins[somme]&gt;0,0,IFERROR(IF(OR(AND(INDEX(Règles_bovins[Specificite],MATCH(ChoixRationBovins&amp;$BB269,Règles_bovins[Ration]&amp;Règles_bovins[Aliment],0))="s1",IF($BB269=Spécificité1Bovins,1)),
AND(INDEX(Règles_bovins[Specificite],MATCH(ChoixRationBovins&amp;$BB269,Règles_bovins[Ration]&amp;Règles_bovins[Aliment],0))="s2",IF($BB269=Spécificité2Bovins,1)),
INDEX(Règles_bovins[Specificite],MATCH(ChoixRationBovins&amp;$BB269,Règles_bovins[Ration]&amp;Règles_bovins[Aliment],0))="c"),
INDEX(Règles_bovins[Valeur 18-24],MATCH(ChoixRationBovins&amp;$BB269,Règles_bovins[Ration]&amp;Règles_bovins[Aliment],0)),0),0)*IF(ChoixBovinsPréHiver=OUI,TotalGénisse_18_24_RacesLaitières,TotalBovinsFemelles_18_24mois*SUM(NbreJoursNourrirBovins)))</f>
        <v>0</v>
      </c>
      <c r="BF269" s="1269">
        <f t="array" ref="BF269">IF(Ration_complète_bovins[somme]&gt;0,0,IFERROR(IF(OR(AND(INDEX(Règles_bovins[Specificite],MATCH(ChoixRationBovins&amp;$BB269,Règles_bovins[Ration]&amp;Règles_bovins[Aliment],0))="s1",IF($BB269=Spécificité1Bovins,1)),
AND(INDEX(Règles_bovins[Specificite],MATCH(ChoixRationBovins&amp;$BB269,Règles_bovins[Ration]&amp;Règles_bovins[Aliment],0))="s2",IF($BB269=Spécificité2Bovins,1)),
INDEX(Règles_bovins[Specificite],MATCH(ChoixRationBovins&amp;$BB269,Règles_bovins[Ration]&amp;Règles_bovins[Aliment],0))="c"),
INDEX(Règles_bovins[Valeur 12-18],MATCH(ChoixRationBovins&amp;$BB269,Règles_bovins[Ration]&amp;Règles_bovins[Aliment],0)),0),0)*IF(ChoixBovinsPréHiver=OUI,TotalGénisse_12_18_RacesLaitières,TotalBovinsFemelles_12_18mois*SUM(NbreJoursNourrirBovins)))</f>
        <v>0</v>
      </c>
      <c r="BG269" s="1269">
        <f t="array" ref="BG269">IF(Ration_complète_bovins[somme]&gt;0,0,IFERROR(IF(OR(AND(INDEX(Règles_bovins[Specificite],MATCH(ChoixRationBovins&amp;$BB269,Règles_bovins[Ration]&amp;Règles_bovins[Aliment],0))="s1",IF($BB269=Spécificité1Bovins,1)),
AND(INDEX(Règles_bovins[Specificite],MATCH(ChoixRationBovins&amp;$BB269,Règles_bovins[Ration]&amp;Règles_bovins[Aliment],0))="s2",IF($BB269=Spécificité2Bovins,1)),
INDEX(Règles_bovins[Specificite],MATCH(ChoixRationBovins&amp;$BB269,Règles_bovins[Ration]&amp;Règles_bovins[Aliment],0))="c"),
INDEX(Règles_bovins[Valeur 6-12],MATCH(ChoixRationBovins&amp;$BB269,Règles_bovins[Ration]&amp;Règles_bovins[Aliment],0)),0),0)*IF(ChoixBovinsPréHiver=OUI,TotalVeauFemelle_6_12_RacesLaitières,TotalBovinsFemelles_6_12mois*SUM(NbreJoursNourrirBovins)))</f>
        <v>0</v>
      </c>
      <c r="BH269" s="1269">
        <f t="array" ref="BH269">IF(Ration_complète_bovins[somme]&gt;0,0,IFERROR(IF(OR(AND(INDEX(Règles_bovins[Specificite],MATCH(ChoixRationBovins&amp;$BB269,Règles_bovins[Ration]&amp;Règles_bovins[Aliment],0))="s1",IF($BB269=Spécificité1Bovins,1)),
AND(INDEX(Règles_bovins[Specificite],MATCH(ChoixRationBovins&amp;$BB269,Règles_bovins[Ration]&amp;Règles_bovins[Aliment],0))="s2",IF($BB269=Spécificité2Bovins,1)),
INDEX(Règles_bovins[Specificite],MATCH(ChoixRationBovins&amp;$BB269,Règles_bovins[Ration]&amp;Règles_bovins[Aliment],0))="c"),
INDEX(Règles_bovins[Valeur 3-6],MATCH(ChoixRationBovins&amp;$BB269,Règles_bovins[Ration]&amp;Règles_bovins[Aliment],0)),0),0)*IF(ChoixBovinsPréHiver=OUI,TotalVeauFemelle_3_6_RacesLaitières,TotalBovinsFemelles_3_6mois*SUM(NbreJoursNourrirBovins)))</f>
        <v>0</v>
      </c>
      <c r="BI269" s="1269">
        <f t="array" ref="BI269">IF(Ration_complète_bovins[somme]&gt;0,0,IFERROR(IF(OR(AND(INDEX(Règles_bovins[Specificite],MATCH(ChoixRationBovins&amp;$BB269,Règles_bovins[Ration]&amp;Règles_bovins[Aliment],0))="s1",IF($BB269=Spécificité1Bovins,1)),
AND(INDEX(Règles_bovins[Specificite],MATCH(ChoixRationBovins&amp;$BB269,Règles_bovins[Ration]&amp;Règles_bovins[Aliment],0))="s2",IF($BB269=Spécificité2Bovins,1)),
INDEX(Règles_bovins[Specificite],MATCH(ChoixRationBovins&amp;$BB269,Règles_bovins[Ration]&amp;Règles_bovins[Aliment],0))="c"),
INDEX(Règles_bovins[Valeur 0-3],MATCH(ChoixRationBovins&amp;$BB269,Règles_bovins[Ration]&amp;Règles_bovins[Aliment],0)),0),0)*IF(ChoixBovinsPréHiver=OUI,TotalVeauFemelle_0_3_RacesLaitières,TotalBovinsFemelles_0_3mois*SUM(NbreJoursNourrirBovins)))</f>
        <v>0</v>
      </c>
      <c r="BJ269" s="1270">
        <f t="shared" si="74"/>
        <v>0</v>
      </c>
      <c r="BK269" s="1345"/>
      <c r="BL269" s="1345"/>
      <c r="BM269" s="1346"/>
      <c r="BN269" s="1321"/>
      <c r="BO269" s="1321"/>
      <c r="BP269" s="1321"/>
      <c r="BQ269" s="1321"/>
      <c r="BR269" s="1321"/>
      <c r="BS269" s="1321"/>
      <c r="BT269" s="1321"/>
      <c r="BU269" s="1321"/>
      <c r="BV269" s="1345"/>
      <c r="BW269" s="1345"/>
      <c r="BX269" s="1321"/>
      <c r="BY269" s="1321"/>
      <c r="BZ269" s="1321"/>
      <c r="CA269" s="1321"/>
      <c r="CB269" s="1321"/>
      <c r="CC269" s="1321"/>
      <c r="CD269" s="1345"/>
      <c r="CE269" s="1345"/>
      <c r="CF269" s="1345"/>
      <c r="CG269" s="1345"/>
      <c r="CH269" s="1345"/>
      <c r="CI269" s="1321"/>
      <c r="CJ269" s="1321"/>
      <c r="CK269" s="1321"/>
      <c r="CL269" s="1321"/>
      <c r="CM269" s="1321"/>
      <c r="CN269" s="1321"/>
      <c r="CO269" s="1321"/>
      <c r="CP269" s="1321"/>
      <c r="CQ269" s="1321"/>
      <c r="CR269" s="1321"/>
      <c r="CS269" s="1321"/>
      <c r="CT269" s="1321"/>
      <c r="CU269" s="1321"/>
      <c r="CV269" s="1321"/>
      <c r="CW269" s="1321"/>
      <c r="CX269" s="1321"/>
      <c r="CY269" s="1321"/>
      <c r="CZ269" s="1321"/>
      <c r="DA269" s="1321"/>
      <c r="DB269" s="1321"/>
      <c r="DC269" s="1321"/>
      <c r="DD269" s="1321"/>
      <c r="DE269" s="1321"/>
      <c r="DF269" s="1321"/>
      <c r="DG269" s="1321"/>
      <c r="DH269" s="1321"/>
      <c r="DI269" s="1321"/>
      <c r="DJ269" s="1321"/>
      <c r="DK269" s="1321"/>
      <c r="DL269" s="1321"/>
      <c r="DM269" s="1321"/>
      <c r="DN269" s="1075" t="str">
        <f t="shared" si="77"/>
        <v>Tourteau de tournesol</v>
      </c>
      <c r="DO269" s="1269">
        <f t="array" ref="DO269">IF(ChoixRationHivernaleOvinsComplète=OUI,0,IFERROR(IF(OR(AND(INDEX(Règles_ovins[Specificite],MATCH(RationHivernaleOvinsAuPré&amp;$DN269,Règles_ovins[Ration]&amp;Règles_ovins[Aliment],0))="s1",IF($DN269=Spécificité1Ovins,1)),
AND(INDEX(Règles_ovins[Specificite],MATCH(RationHivernaleOvinsAuPré&amp;$DN269,Règles_ovins[Ration]&amp;Règles_ovins[Aliment],0))="s2",IF($DN269=Spécificité2Ovins,1)),
INDEX(Règles_ovins[Specificite],MATCH(RationHivernaleOvinsAuPré&amp;$DN269,Règles_ovins[Ration]&amp;Règles_ovins[Aliment],0))="c"),
INDEX(Règles_ovins[Valeur 12 et plus],MATCH(RationHivernaleOvinsAuPré&amp;$DN269,Règles_ovins[Ration]&amp;Règles_ovins[Aliment],0)),0),0)*IF(SUM(TotalOvinsAdultesAuPré)&gt;0,SUM(TotalOvinsAdultesAuPré)*SUM(AD76:AD100),SUM(TotalOvinsAdultes)*SUM(AD76:AD100)))</f>
        <v>0</v>
      </c>
      <c r="DP269" s="1269">
        <f t="array" ref="DP269">IF(ChoixRationHivernaleOvinsComplète=OUI,0,IFERROR(IF(OR(AND(INDEX(Règles_ovins[Specificite],MATCH(RationHivernaleOvinsAuPré&amp;$DN269,Règles_ovins[Ration]&amp;Règles_ovins[Aliment],0))="s1",IF($DN269=Spécificité1Ovins,1)),
AND(INDEX(Règles_ovins[Specificite],MATCH(RationHivernaleOvinsAuPré&amp;$DN269,Règles_ovins[Ration]&amp;Règles_ovins[Aliment],0))="s2",IF($DN269=Spécificité2Ovins,1)),
INDEX(Règles_ovins[Specificite],MATCH(RationHivernaleOvinsAuPré&amp;$DN269,Règles_ovins[Ration]&amp;Règles_ovins[Aliment],0))="c"),
INDEX(Règles_ovins[Valeur 6-12],MATCH(RationHivernaleOvinsAuPré&amp;$DN269,Règles_ovins[Ration]&amp;Règles_ovins[Aliment],0)),0),0)*IF(SUM(TotalOvins_6_12moisAuPré)&gt;0,SUM(TotalOvins_6_12moisAuPré)*SUM(AD76:AD100),SUM(TotalJeunesOvins)*SUM(AD76:AD100)))</f>
        <v>0</v>
      </c>
      <c r="DQ269" s="1269">
        <f t="array" ref="DQ269">IF(ChoixRationHivernaleOvinsComplète=OUI,0,IFERROR(IF(OR(AND(INDEX(Règles_ovins[Specificite],MATCH(RationHivernaleOvinsAuPré&amp;$DN269,Règles_ovins[Ration]&amp;Règles_ovins[Aliment],0))="s1",IF($DN269=Spécificité1Ovins,1)),
AND(INDEX(Règles_ovins[Specificite],MATCH(RationHivernaleOvinsAuPré&amp;$DN269,Règles_ovins[Ration]&amp;Règles_ovins[Aliment],0))="s2",IF($DN269=Spécificité2Ovins,1)),
INDEX(Règles_ovins[Specificite],MATCH(RationHivernaleOvinsAuPré&amp;$DN269,Règles_ovins[Ration]&amp;Règles_ovins[Aliment],0))="c"),
INDEX(Règles_ovins[Valeur 3-6],MATCH(RationHivernaleOvinsAuPré&amp;$DN269,Règles_ovins[Ration]&amp;Règles_ovins[Aliment],0)),0),0)*IF(SUM(TotalOvins_3_6moisAuPré)&gt;0,SUM(TotalOvins_3_6moisAuPré)*SUM(AD76:AD100),SUM(TotalOvins_3_6mois)*SUM(AD76:AD100)))</f>
        <v>0</v>
      </c>
      <c r="DR269" s="1269">
        <f t="array" ref="DR269">IF(ChoixRationHivernaleOvinsComplète=OUI,0,IFERROR(IF(OR(AND(INDEX(Règles_ovins[Specificite],MATCH(RationHivernaleOvinsAuPré&amp;$DN269,Règles_ovins[Ration]&amp;Règles_ovins[Aliment],0))="s1",IF($DN269=Spécificité1Ovins,1)),
AND(INDEX(Règles_ovins[Specificite],MATCH(RationHivernaleOvinsAuPré&amp;$DN269,Règles_ovins[Ration]&amp;Règles_ovins[Aliment],0))="s2",IF($DN269=Spécificité2Ovins,1)),
INDEX(Règles_ovins[Specificite],MATCH(RationHivernaleOvinsAuPré&amp;$DN269,Règles_ovins[Ration]&amp;Règles_ovins[Aliment],0))="c"),
INDEX(Règles_ovins[Valeur 0-3],MATCH(RationHivernaleOvinsAuPré&amp;$DN269,Règles_ovins[Ration]&amp;Règles_ovins[Aliment],0)),0),0)*IF(SUM(TotalOvins_0_3moisAuPré)&gt;0,SUM(TotalOvins_0_3moisAuPré)*SUM(AD76:AD100),SUM(TotalOvins_3_6mois)*SUM(AD76:AD100)))</f>
        <v>0</v>
      </c>
      <c r="DS269" s="1280">
        <f t="shared" si="76"/>
        <v>0</v>
      </c>
      <c r="DT269" s="1346"/>
      <c r="DU269" s="1346"/>
      <c r="DV269" s="1321"/>
      <c r="DW269" s="1321"/>
      <c r="DX269" s="1321"/>
      <c r="DY269" s="1321"/>
      <c r="DZ269" s="1321"/>
      <c r="EA269" s="1321"/>
      <c r="EB269" s="1321"/>
      <c r="EC269" s="1321"/>
      <c r="ED269" s="1345"/>
      <c r="EE269" s="1345"/>
      <c r="EF269" s="1321"/>
      <c r="EG269" s="1321"/>
      <c r="EH269" s="1321"/>
      <c r="EI269" s="1321"/>
      <c r="EJ269" s="1321"/>
      <c r="EK269" s="1345"/>
      <c r="EL269" s="1345"/>
      <c r="EM269" s="1321"/>
      <c r="EN269" s="1321"/>
      <c r="EO269" s="1321"/>
      <c r="EP269" s="1321"/>
      <c r="EQ269" s="1321"/>
      <c r="ER269" s="1345"/>
      <c r="ES269" s="1345"/>
      <c r="ET269" s="1321"/>
      <c r="EU269" s="1321"/>
      <c r="EV269" s="1321"/>
      <c r="EW269" s="1321"/>
      <c r="EX269" s="1321"/>
      <c r="EY269" s="1321"/>
      <c r="EZ269" s="1345"/>
      <c r="FA269" s="1345"/>
      <c r="FB269" s="1345"/>
      <c r="FC269" s="1321"/>
      <c r="FD269" s="1321"/>
      <c r="FE269" s="1321"/>
      <c r="FF269" s="1321"/>
      <c r="FG269" s="1321"/>
      <c r="FH269" s="1321"/>
      <c r="FI269" s="1345"/>
      <c r="FJ269" s="1345"/>
      <c r="FK269" s="1345"/>
      <c r="FL269" s="1345"/>
      <c r="FM269" s="1321"/>
      <c r="FN269" s="1321"/>
      <c r="FO269" s="1321"/>
      <c r="FP269" s="1321"/>
      <c r="FQ269" s="1321"/>
      <c r="FR269" s="1321"/>
      <c r="FS269" s="1345"/>
      <c r="FT269" s="1345"/>
      <c r="FU269" s="1345"/>
      <c r="FV269" s="1345"/>
      <c r="FW269" s="1321"/>
      <c r="FX269" s="1321"/>
      <c r="FY269" s="1321"/>
      <c r="FZ269" s="1321"/>
      <c r="GA269" s="1345"/>
      <c r="GB269" s="1321"/>
      <c r="GC269" s="1321"/>
      <c r="GD269" s="1321"/>
      <c r="GE269" s="1321"/>
      <c r="GF269" s="1321"/>
      <c r="GG269" s="1321" t="s">
        <v>1349</v>
      </c>
      <c r="GH269" s="1321" t="s">
        <v>1349</v>
      </c>
      <c r="GI269" s="1321" t="s">
        <v>1349</v>
      </c>
      <c r="GJ269" s="1321" t="s">
        <v>1349</v>
      </c>
      <c r="GK269" s="1321" t="s">
        <v>1349</v>
      </c>
      <c r="GL269" s="1321" t="s">
        <v>1349</v>
      </c>
      <c r="GM269" s="1321" t="s">
        <v>1349</v>
      </c>
      <c r="GN269" s="1321" t="s">
        <v>1349</v>
      </c>
      <c r="GO269" s="1321" t="s">
        <v>1349</v>
      </c>
      <c r="GP269" s="1321" t="s">
        <v>1349</v>
      </c>
      <c r="GQ269" s="1321" t="s">
        <v>1349</v>
      </c>
      <c r="GR269" s="1321" t="s">
        <v>1349</v>
      </c>
      <c r="GS269" s="1321" t="s">
        <v>1349</v>
      </c>
      <c r="GT269" s="1321" t="s">
        <v>1349</v>
      </c>
      <c r="GU269" s="1321" t="s">
        <v>1349</v>
      </c>
      <c r="GV269" s="1321" t="s">
        <v>1349</v>
      </c>
      <c r="GW269" s="1321"/>
      <c r="GX269" s="1321"/>
      <c r="GY269" s="1321"/>
      <c r="GZ269" s="1321"/>
      <c r="HA269" s="1321"/>
      <c r="HB269" s="1321"/>
      <c r="HC269" s="1321"/>
      <c r="HD269" s="1321"/>
      <c r="HE269" s="1321"/>
      <c r="HF269" s="1321"/>
      <c r="HG269" s="1321"/>
      <c r="HH269" s="1321"/>
      <c r="HI269" s="1321"/>
      <c r="HJ269" s="1321"/>
      <c r="HK269" s="1321"/>
      <c r="HL269" s="1321"/>
      <c r="HM269" s="1321"/>
      <c r="HN269" s="1321"/>
      <c r="HO269" s="1321"/>
      <c r="HP269" s="1321"/>
      <c r="HQ269" s="1321"/>
      <c r="HR269" s="1321"/>
      <c r="HS269" s="1321"/>
      <c r="HT269" s="1321"/>
      <c r="HU269" s="1321"/>
      <c r="HV269" s="1321"/>
      <c r="HW269" s="1321"/>
      <c r="HX269" s="1321"/>
      <c r="HY269" s="1321"/>
      <c r="HZ269" s="1321"/>
      <c r="IA269" s="1321"/>
      <c r="IB269" s="1321"/>
      <c r="IC269" s="1321"/>
      <c r="ID269" s="1321"/>
      <c r="IE269" s="1321"/>
      <c r="IF269" s="1321"/>
      <c r="IG269" s="1321"/>
      <c r="IH269" s="1321"/>
      <c r="II269" s="1321"/>
      <c r="IJ269" s="1321"/>
      <c r="IK269" s="1321"/>
      <c r="IL269" s="1321"/>
      <c r="IM269" s="1321"/>
      <c r="IN269" s="1368"/>
    </row>
    <row r="270" spans="1:248" ht="12.75" customHeight="1" x14ac:dyDescent="0.2">
      <c r="A270" s="1319"/>
      <c r="B270" s="1321"/>
      <c r="C270" s="1321"/>
      <c r="D270" s="1321"/>
      <c r="E270" s="1321"/>
      <c r="F270" s="1321"/>
      <c r="G270" s="1321"/>
      <c r="H270" s="1321"/>
      <c r="I270" s="1321"/>
      <c r="J270" s="1321"/>
      <c r="K270" s="1321"/>
      <c r="L270" s="1321"/>
      <c r="M270" s="1321"/>
      <c r="N270" s="1321"/>
      <c r="O270" s="1321"/>
      <c r="P270" s="1321"/>
      <c r="Q270" s="1321"/>
      <c r="R270" s="1321"/>
      <c r="S270" s="1321"/>
      <c r="T270" s="1321"/>
      <c r="U270" s="1321"/>
      <c r="V270" s="1321"/>
      <c r="W270" s="1321"/>
      <c r="X270" s="1321"/>
      <c r="Y270" s="1321"/>
      <c r="Z270" s="1321"/>
      <c r="AA270" s="1321"/>
      <c r="AB270" s="1321"/>
      <c r="AC270" s="1321"/>
      <c r="AD270" s="1321"/>
      <c r="AE270" s="1321"/>
      <c r="AF270" s="1321"/>
      <c r="AG270" s="1321"/>
      <c r="AH270" s="1321"/>
      <c r="AI270" s="1321"/>
      <c r="AJ270" s="1321"/>
      <c r="AK270" s="1321"/>
      <c r="AL270" s="1321"/>
      <c r="AM270" s="1321"/>
      <c r="AN270" s="1321"/>
      <c r="AO270" s="1321"/>
      <c r="AP270" s="1321"/>
      <c r="AQ270" s="1321"/>
      <c r="AR270" s="1321"/>
      <c r="AS270" s="1321"/>
      <c r="AT270" s="1321"/>
      <c r="AU270" s="1321"/>
      <c r="AV270" s="1321"/>
      <c r="AW270" s="1321"/>
      <c r="AX270" s="1321"/>
      <c r="AY270" s="1321"/>
      <c r="AZ270" s="1321"/>
      <c r="BA270" s="1321"/>
      <c r="BB270" s="1076">
        <f t="shared" si="75"/>
        <v>0</v>
      </c>
      <c r="BC270" s="1267">
        <f t="array" ref="BC270">IF(Ration_complète_bovins[somme]&gt;0,0,IFERROR(IF(OR(AND(INDEX(Règles_bovins[Specificite],MATCH(ChoixRationBovins&amp;$BB270,Règles_bovins[Ration]&amp;Règles_bovins[Aliment],0))="s1",IF($BB270=Spécificité1Bovins,1)),
AND(INDEX(Règles_bovins[Specificite],MATCH(ChoixRationBovins&amp;$BB270,Règles_bovins[Ration]&amp;Règles_bovins[Aliment],0))="s2",IF($BB270=Spécificité2Bovins,1)),
INDEX(Règles_bovins[Specificite],MATCH(ChoixRationBovins&amp;$BB270,Règles_bovins[Ration]&amp;Règles_bovins[Aliment],0))="c"),
INDEX(Règles_bovins[Valeur 36 et plus],MATCH(ChoixRationBovins&amp;$BB270,Règles_bovins[Ration]&amp;Règles_bovins[Aliment],0)),0),0)*IF(ChoixBovinsPréHiver=OUI,TotalVachesRacesLaitières,TotalVaches*SUM(NbreJoursNourrirBovins)))</f>
        <v>0</v>
      </c>
      <c r="BD270" s="1267">
        <f t="array" ref="BD270">IF(Ration_complète_bovins[somme]&gt;0,0,IFERROR(IF(OR(AND(INDEX(Règles_bovins[Specificite],MATCH(ChoixRationBovins&amp;$BB270,Règles_bovins[Ration]&amp;Règles_bovins[Aliment],0))="s1",IF($BB270=Spécificité1Bovins,1)),
AND(INDEX(Règles_bovins[Specificite],MATCH(ChoixRationBovins&amp;$BB270,Règles_bovins[Ration]&amp;Règles_bovins[Aliment],0))="s2",IF($BB270=Spécificité2Bovins,1)),
INDEX(Règles_bovins[Specificite],MATCH(ChoixRationBovins&amp;$BB270,Règles_bovins[Ration]&amp;Règles_bovins[Aliment],0))="c"),
INDEX(Règles_bovins[Valeur 24-36],MATCH(ChoixRationBovins&amp;$BB270,Règles_bovins[Ration]&amp;Règles_bovins[Aliment],0)),0),0)*IF(ChoixBovinsPréHiver=OUI,TotalGénisse_24_36_RacesLaitières,TotalBovinsFemelles_24_36mois*SUM(NbreJoursNourrirBovins)))</f>
        <v>0</v>
      </c>
      <c r="BE270" s="1267">
        <f t="array" ref="BE270">IF(Ration_complète_bovins[somme]&gt;0,0,IFERROR(IF(OR(AND(INDEX(Règles_bovins[Specificite],MATCH(ChoixRationBovins&amp;$BB270,Règles_bovins[Ration]&amp;Règles_bovins[Aliment],0))="s1",IF($BB270=Spécificité1Bovins,1)),
AND(INDEX(Règles_bovins[Specificite],MATCH(ChoixRationBovins&amp;$BB270,Règles_bovins[Ration]&amp;Règles_bovins[Aliment],0))="s2",IF($BB270=Spécificité2Bovins,1)),
INDEX(Règles_bovins[Specificite],MATCH(ChoixRationBovins&amp;$BB270,Règles_bovins[Ration]&amp;Règles_bovins[Aliment],0))="c"),
INDEX(Règles_bovins[Valeur 18-24],MATCH(ChoixRationBovins&amp;$BB270,Règles_bovins[Ration]&amp;Règles_bovins[Aliment],0)),0),0)*IF(ChoixBovinsPréHiver=OUI,TotalGénisse_18_24_RacesLaitières,TotalBovinsFemelles_18_24mois*SUM(NbreJoursNourrirBovins)))</f>
        <v>0</v>
      </c>
      <c r="BF270" s="1267">
        <f t="array" ref="BF270">IF(Ration_complète_bovins[somme]&gt;0,0,IFERROR(IF(OR(AND(INDEX(Règles_bovins[Specificite],MATCH(ChoixRationBovins&amp;$BB270,Règles_bovins[Ration]&amp;Règles_bovins[Aliment],0))="s1",IF($BB270=Spécificité1Bovins,1)),
AND(INDEX(Règles_bovins[Specificite],MATCH(ChoixRationBovins&amp;$BB270,Règles_bovins[Ration]&amp;Règles_bovins[Aliment],0))="s2",IF($BB270=Spécificité2Bovins,1)),
INDEX(Règles_bovins[Specificite],MATCH(ChoixRationBovins&amp;$BB270,Règles_bovins[Ration]&amp;Règles_bovins[Aliment],0))="c"),
INDEX(Règles_bovins[Valeur 12-18],MATCH(ChoixRationBovins&amp;$BB270,Règles_bovins[Ration]&amp;Règles_bovins[Aliment],0)),0),0)*IF(ChoixBovinsPréHiver=OUI,TotalGénisse_12_18_RacesLaitières,TotalBovinsFemelles_12_18mois*SUM(NbreJoursNourrirBovins)))</f>
        <v>0</v>
      </c>
      <c r="BG270" s="1267">
        <f t="array" ref="BG270">IF(Ration_complète_bovins[somme]&gt;0,0,IFERROR(IF(OR(AND(INDEX(Règles_bovins[Specificite],MATCH(ChoixRationBovins&amp;$BB270,Règles_bovins[Ration]&amp;Règles_bovins[Aliment],0))="s1",IF($BB270=Spécificité1Bovins,1)),
AND(INDEX(Règles_bovins[Specificite],MATCH(ChoixRationBovins&amp;$BB270,Règles_bovins[Ration]&amp;Règles_bovins[Aliment],0))="s2",IF($BB270=Spécificité2Bovins,1)),
INDEX(Règles_bovins[Specificite],MATCH(ChoixRationBovins&amp;$BB270,Règles_bovins[Ration]&amp;Règles_bovins[Aliment],0))="c"),
INDEX(Règles_bovins[Valeur 6-12],MATCH(ChoixRationBovins&amp;$BB270,Règles_bovins[Ration]&amp;Règles_bovins[Aliment],0)),0),0)*IF(ChoixBovinsPréHiver=OUI,TotalVeauFemelle_6_12_RacesLaitières,TotalBovinsFemelles_6_12mois*SUM(NbreJoursNourrirBovins)))</f>
        <v>0</v>
      </c>
      <c r="BH270" s="1267">
        <f t="array" ref="BH270">IF(Ration_complète_bovins[somme]&gt;0,0,IFERROR(IF(OR(AND(INDEX(Règles_bovins[Specificite],MATCH(ChoixRationBovins&amp;$BB270,Règles_bovins[Ration]&amp;Règles_bovins[Aliment],0))="s1",IF($BB270=Spécificité1Bovins,1)),
AND(INDEX(Règles_bovins[Specificite],MATCH(ChoixRationBovins&amp;$BB270,Règles_bovins[Ration]&amp;Règles_bovins[Aliment],0))="s2",IF($BB270=Spécificité2Bovins,1)),
INDEX(Règles_bovins[Specificite],MATCH(ChoixRationBovins&amp;$BB270,Règles_bovins[Ration]&amp;Règles_bovins[Aliment],0))="c"),
INDEX(Règles_bovins[Valeur 3-6],MATCH(ChoixRationBovins&amp;$BB270,Règles_bovins[Ration]&amp;Règles_bovins[Aliment],0)),0),0)*IF(ChoixBovinsPréHiver=OUI,TotalVeauFemelle_3_6_RacesLaitières,TotalBovinsFemelles_3_6mois*SUM(NbreJoursNourrirBovins)))</f>
        <v>0</v>
      </c>
      <c r="BI270" s="1267">
        <f t="array" ref="BI270">IF(Ration_complète_bovins[somme]&gt;0,0,IFERROR(IF(OR(AND(INDEX(Règles_bovins[Specificite],MATCH(ChoixRationBovins&amp;$BB270,Règles_bovins[Ration]&amp;Règles_bovins[Aliment],0))="s1",IF($BB270=Spécificité1Bovins,1)),
AND(INDEX(Règles_bovins[Specificite],MATCH(ChoixRationBovins&amp;$BB270,Règles_bovins[Ration]&amp;Règles_bovins[Aliment],0))="s2",IF($BB270=Spécificité2Bovins,1)),
INDEX(Règles_bovins[Specificite],MATCH(ChoixRationBovins&amp;$BB270,Règles_bovins[Ration]&amp;Règles_bovins[Aliment],0))="c"),
INDEX(Règles_bovins[Valeur 0-3],MATCH(ChoixRationBovins&amp;$BB270,Règles_bovins[Ration]&amp;Règles_bovins[Aliment],0)),0),0)*IF(ChoixBovinsPréHiver=OUI,TotalVeauFemelle_0_3_RacesLaitières,TotalBovinsFemelles_0_3mois*SUM(NbreJoursNourrirBovins)))</f>
        <v>0</v>
      </c>
      <c r="BJ270" s="1268">
        <f t="shared" si="74"/>
        <v>0</v>
      </c>
      <c r="BK270" s="1345"/>
      <c r="BL270" s="1345"/>
      <c r="BM270" s="1346"/>
      <c r="BN270" s="1321"/>
      <c r="BO270" s="1321"/>
      <c r="BP270" s="1321"/>
      <c r="BQ270" s="1321"/>
      <c r="BR270" s="1321"/>
      <c r="BS270" s="1321"/>
      <c r="BT270" s="1321"/>
      <c r="BU270" s="1321"/>
      <c r="BV270" s="1345"/>
      <c r="BW270" s="1345"/>
      <c r="BX270" s="1321"/>
      <c r="BY270" s="1321"/>
      <c r="BZ270" s="1321"/>
      <c r="CA270" s="1321"/>
      <c r="CB270" s="1321"/>
      <c r="CC270" s="1321"/>
      <c r="CD270" s="1345"/>
      <c r="CE270" s="1345"/>
      <c r="CF270" s="1345"/>
      <c r="CG270" s="1345"/>
      <c r="CH270" s="1345"/>
      <c r="CI270" s="1321"/>
      <c r="CJ270" s="1321"/>
      <c r="CK270" s="1321"/>
      <c r="CL270" s="1321"/>
      <c r="CM270" s="1321"/>
      <c r="CN270" s="1321"/>
      <c r="CO270" s="1321"/>
      <c r="CP270" s="1321"/>
      <c r="CQ270" s="1321"/>
      <c r="CR270" s="1321"/>
      <c r="CS270" s="1321"/>
      <c r="CT270" s="1321"/>
      <c r="CU270" s="1321"/>
      <c r="CV270" s="1321"/>
      <c r="CW270" s="1321"/>
      <c r="CX270" s="1321"/>
      <c r="CY270" s="1321"/>
      <c r="CZ270" s="1321"/>
      <c r="DA270" s="1321"/>
      <c r="DB270" s="1321"/>
      <c r="DC270" s="1321"/>
      <c r="DD270" s="1321"/>
      <c r="DE270" s="1321"/>
      <c r="DF270" s="1321"/>
      <c r="DG270" s="1321"/>
      <c r="DH270" s="1321"/>
      <c r="DI270" s="1321"/>
      <c r="DJ270" s="1321"/>
      <c r="DK270" s="1321"/>
      <c r="DL270" s="1321"/>
      <c r="DM270" s="1321"/>
      <c r="DN270" s="1076" t="str">
        <f t="shared" si="77"/>
        <v>Triticale</v>
      </c>
      <c r="DO270" s="1267">
        <f t="array" ref="DO270">IF(ChoixRationHivernaleOvinsComplète=OUI,0,IFERROR(IF(OR(AND(INDEX(Règles_ovins[Specificite],MATCH(RationHivernaleOvinsAuPré&amp;$DN270,Règles_ovins[Ration]&amp;Règles_ovins[Aliment],0))="s1",IF($DN270=Spécificité1Ovins,1)),
AND(INDEX(Règles_ovins[Specificite],MATCH(RationHivernaleOvinsAuPré&amp;$DN270,Règles_ovins[Ration]&amp;Règles_ovins[Aliment],0))="s2",IF($DN270=Spécificité2Ovins,1)),
INDEX(Règles_ovins[Specificite],MATCH(RationHivernaleOvinsAuPré&amp;$DN270,Règles_ovins[Ration]&amp;Règles_ovins[Aliment],0))="c"),
INDEX(Règles_ovins[Valeur 12 et plus],MATCH(RationHivernaleOvinsAuPré&amp;$DN270,Règles_ovins[Ration]&amp;Règles_ovins[Aliment],0)),0),0)*IF(SUM(TotalOvinsAdultesAuPré)&gt;0,SUM(TotalOvinsAdultesAuPré)*SUM(AD76:AD100),SUM(TotalOvinsAdultes)*SUM(AD76:AD100)))</f>
        <v>0</v>
      </c>
      <c r="DP270" s="1267">
        <f t="array" ref="DP270">IF(ChoixRationHivernaleOvinsComplète=OUI,0,IFERROR(IF(OR(AND(INDEX(Règles_ovins[Specificite],MATCH(RationHivernaleOvinsAuPré&amp;$DN270,Règles_ovins[Ration]&amp;Règles_ovins[Aliment],0))="s1",IF($DN270=Spécificité1Ovins,1)),
AND(INDEX(Règles_ovins[Specificite],MATCH(RationHivernaleOvinsAuPré&amp;$DN270,Règles_ovins[Ration]&amp;Règles_ovins[Aliment],0))="s2",IF($DN270=Spécificité2Ovins,1)),
INDEX(Règles_ovins[Specificite],MATCH(RationHivernaleOvinsAuPré&amp;$DN270,Règles_ovins[Ration]&amp;Règles_ovins[Aliment],0))="c"),
INDEX(Règles_ovins[Valeur 6-12],MATCH(RationHivernaleOvinsAuPré&amp;$DN270,Règles_ovins[Ration]&amp;Règles_ovins[Aliment],0)),0),0)*IF(SUM(TotalOvins_6_12moisAuPré)&gt;0,SUM(TotalOvins_6_12moisAuPré)*SUM(AD76:AD100),SUM(TotalJeunesOvins)*SUM(AD76:AD100)))</f>
        <v>0</v>
      </c>
      <c r="DQ270" s="1267">
        <f t="array" ref="DQ270">IF(ChoixRationHivernaleOvinsComplète=OUI,0,IFERROR(IF(OR(AND(INDEX(Règles_ovins[Specificite],MATCH(RationHivernaleOvinsAuPré&amp;$DN270,Règles_ovins[Ration]&amp;Règles_ovins[Aliment],0))="s1",IF($DN270=Spécificité1Ovins,1)),
AND(INDEX(Règles_ovins[Specificite],MATCH(RationHivernaleOvinsAuPré&amp;$DN270,Règles_ovins[Ration]&amp;Règles_ovins[Aliment],0))="s2",IF($DN270=Spécificité2Ovins,1)),
INDEX(Règles_ovins[Specificite],MATCH(RationHivernaleOvinsAuPré&amp;$DN270,Règles_ovins[Ration]&amp;Règles_ovins[Aliment],0))="c"),
INDEX(Règles_ovins[Valeur 3-6],MATCH(RationHivernaleOvinsAuPré&amp;$DN270,Règles_ovins[Ration]&amp;Règles_ovins[Aliment],0)),0),0)*IF(SUM(TotalOvins_3_6moisAuPré)&gt;0,SUM(TotalOvins_3_6moisAuPré)*SUM(AD76:AD100),SUM(TotalOvins_3_6mois)*SUM(AD76:AD100)))</f>
        <v>0</v>
      </c>
      <c r="DR270" s="1267">
        <f t="array" ref="DR270">IF(ChoixRationHivernaleOvinsComplète=OUI,0,IFERROR(IF(OR(AND(INDEX(Règles_ovins[Specificite],MATCH(RationHivernaleOvinsAuPré&amp;$DN270,Règles_ovins[Ration]&amp;Règles_ovins[Aliment],0))="s1",IF($DN270=Spécificité1Ovins,1)),
AND(INDEX(Règles_ovins[Specificite],MATCH(RationHivernaleOvinsAuPré&amp;$DN270,Règles_ovins[Ration]&amp;Règles_ovins[Aliment],0))="s2",IF($DN270=Spécificité2Ovins,1)),
INDEX(Règles_ovins[Specificite],MATCH(RationHivernaleOvinsAuPré&amp;$DN270,Règles_ovins[Ration]&amp;Règles_ovins[Aliment],0))="c"),
INDEX(Règles_ovins[Valeur 0-3],MATCH(RationHivernaleOvinsAuPré&amp;$DN270,Règles_ovins[Ration]&amp;Règles_ovins[Aliment],0)),0),0)*IF(SUM(TotalOvins_0_3moisAuPré)&gt;0,SUM(TotalOvins_0_3moisAuPré)*SUM(AD76:AD100),SUM(TotalOvins_3_6mois)*SUM(AD76:AD100)))</f>
        <v>0</v>
      </c>
      <c r="DS270" s="1279">
        <f t="shared" si="76"/>
        <v>0</v>
      </c>
      <c r="DT270" s="1346"/>
      <c r="DU270" s="1346"/>
      <c r="DV270" s="1321"/>
      <c r="DW270" s="1321"/>
      <c r="DX270" s="1321"/>
      <c r="DY270" s="1321"/>
      <c r="DZ270" s="1321"/>
      <c r="EA270" s="1321"/>
      <c r="EB270" s="1321"/>
      <c r="EC270" s="1321"/>
      <c r="ED270" s="1345"/>
      <c r="EE270" s="1345"/>
      <c r="EF270" s="1321"/>
      <c r="EG270" s="1321"/>
      <c r="EH270" s="1321"/>
      <c r="EI270" s="1321"/>
      <c r="EJ270" s="1321"/>
      <c r="EK270" s="1345"/>
      <c r="EL270" s="1345"/>
      <c r="EM270" s="1321"/>
      <c r="EN270" s="1321"/>
      <c r="EO270" s="1321"/>
      <c r="EP270" s="1321"/>
      <c r="EQ270" s="1321"/>
      <c r="ER270" s="1345"/>
      <c r="ES270" s="1345"/>
      <c r="ET270" s="1321"/>
      <c r="EU270" s="1321"/>
      <c r="EV270" s="1321"/>
      <c r="EW270" s="1321"/>
      <c r="EX270" s="1321"/>
      <c r="EY270" s="1321"/>
      <c r="EZ270" s="1345"/>
      <c r="FA270" s="1345"/>
      <c r="FB270" s="1345"/>
      <c r="FC270" s="1321"/>
      <c r="FD270" s="1321"/>
      <c r="FE270" s="1321"/>
      <c r="FF270" s="1321"/>
      <c r="FG270" s="1321"/>
      <c r="FH270" s="1321"/>
      <c r="FI270" s="1345"/>
      <c r="FJ270" s="1345"/>
      <c r="FK270" s="1345"/>
      <c r="FL270" s="1345"/>
      <c r="FM270" s="1321"/>
      <c r="FN270" s="1321"/>
      <c r="FO270" s="1321"/>
      <c r="FP270" s="1321"/>
      <c r="FQ270" s="1321"/>
      <c r="FR270" s="1321"/>
      <c r="FS270" s="1345"/>
      <c r="FT270" s="1345"/>
      <c r="FU270" s="1345"/>
      <c r="FV270" s="1345"/>
      <c r="FW270" s="1321"/>
      <c r="FX270" s="1321"/>
      <c r="FY270" s="1321"/>
      <c r="FZ270" s="1321"/>
      <c r="GA270" s="1345"/>
      <c r="GB270" s="1321"/>
      <c r="GC270" s="1321"/>
      <c r="GD270" s="1321"/>
      <c r="GE270" s="1321"/>
      <c r="GF270" s="1321"/>
      <c r="GG270" s="1321" t="s">
        <v>1349</v>
      </c>
      <c r="GH270" s="1321" t="s">
        <v>1349</v>
      </c>
      <c r="GI270" s="1321" t="s">
        <v>1349</v>
      </c>
      <c r="GJ270" s="1321" t="s">
        <v>1349</v>
      </c>
      <c r="GK270" s="1321" t="s">
        <v>1349</v>
      </c>
      <c r="GL270" s="1321" t="s">
        <v>1349</v>
      </c>
      <c r="GM270" s="1321" t="s">
        <v>1349</v>
      </c>
      <c r="GN270" s="1321" t="s">
        <v>1349</v>
      </c>
      <c r="GO270" s="1321" t="s">
        <v>1349</v>
      </c>
      <c r="GP270" s="1321" t="s">
        <v>1349</v>
      </c>
      <c r="GQ270" s="1321" t="s">
        <v>1349</v>
      </c>
      <c r="GR270" s="1321" t="s">
        <v>1349</v>
      </c>
      <c r="GS270" s="1321" t="s">
        <v>1349</v>
      </c>
      <c r="GT270" s="1321" t="s">
        <v>1349</v>
      </c>
      <c r="GU270" s="1321" t="s">
        <v>1349</v>
      </c>
      <c r="GV270" s="1321" t="s">
        <v>1349</v>
      </c>
      <c r="GW270" s="1321"/>
      <c r="GX270" s="1321"/>
      <c r="GY270" s="1321"/>
      <c r="GZ270" s="1321"/>
      <c r="HA270" s="1321"/>
      <c r="HB270" s="1321"/>
      <c r="HC270" s="1321"/>
      <c r="HD270" s="1321"/>
      <c r="HE270" s="1321"/>
      <c r="HF270" s="1321"/>
      <c r="HG270" s="1321"/>
      <c r="HH270" s="1321"/>
      <c r="HI270" s="1321"/>
      <c r="HJ270" s="1321"/>
      <c r="HK270" s="1321"/>
      <c r="HL270" s="1321"/>
      <c r="HM270" s="1321"/>
      <c r="HN270" s="1321"/>
      <c r="HO270" s="1321"/>
      <c r="HP270" s="1321"/>
      <c r="HQ270" s="1321"/>
      <c r="HR270" s="1321"/>
      <c r="HS270" s="1321"/>
      <c r="HT270" s="1321"/>
      <c r="HU270" s="1321"/>
      <c r="HV270" s="1321"/>
      <c r="HW270" s="1321"/>
      <c r="HX270" s="1321"/>
      <c r="HY270" s="1321"/>
      <c r="HZ270" s="1321"/>
      <c r="IA270" s="1321"/>
      <c r="IB270" s="1321"/>
      <c r="IC270" s="1321"/>
      <c r="ID270" s="1321"/>
      <c r="IE270" s="1321"/>
      <c r="IF270" s="1321"/>
      <c r="IG270" s="1321"/>
      <c r="IH270" s="1321"/>
      <c r="II270" s="1321"/>
      <c r="IJ270" s="1321"/>
      <c r="IK270" s="1321"/>
      <c r="IL270" s="1321"/>
      <c r="IM270" s="1321"/>
      <c r="IN270" s="1368"/>
    </row>
    <row r="271" spans="1:248" ht="12.75" customHeight="1" x14ac:dyDescent="0.2">
      <c r="A271" s="1322"/>
      <c r="B271" s="1320"/>
      <c r="C271" s="1321"/>
      <c r="D271" s="1321"/>
      <c r="E271" s="1321"/>
      <c r="F271" s="1321"/>
      <c r="G271" s="1321"/>
      <c r="H271" s="1321"/>
      <c r="I271" s="1321"/>
      <c r="J271" s="1321"/>
      <c r="K271" s="1321"/>
      <c r="L271" s="1321"/>
      <c r="M271" s="1321"/>
      <c r="N271" s="1321"/>
      <c r="O271" s="1321"/>
      <c r="P271" s="1321"/>
      <c r="Q271" s="1321"/>
      <c r="R271" s="1321"/>
      <c r="S271" s="1321"/>
      <c r="T271" s="1321"/>
      <c r="U271" s="1321"/>
      <c r="V271" s="1321"/>
      <c r="W271" s="1321"/>
      <c r="X271" s="1321"/>
      <c r="Y271" s="1321"/>
      <c r="Z271" s="1321"/>
      <c r="AA271" s="1321"/>
      <c r="AB271" s="1321"/>
      <c r="AC271" s="1321"/>
      <c r="AD271" s="1321"/>
      <c r="AE271" s="1321"/>
      <c r="AF271" s="1321"/>
      <c r="AG271" s="1321"/>
      <c r="AH271" s="1321"/>
      <c r="AI271" s="1321"/>
      <c r="AJ271" s="1321"/>
      <c r="AK271" s="1321"/>
      <c r="AL271" s="1321"/>
      <c r="AM271" s="1321"/>
      <c r="AN271" s="1321"/>
      <c r="AO271" s="1321"/>
      <c r="AP271" s="1321"/>
      <c r="AQ271" s="1321"/>
      <c r="AR271" s="1321"/>
      <c r="AS271" s="1321"/>
      <c r="AT271" s="1321"/>
      <c r="AU271" s="1321"/>
      <c r="AV271" s="1321"/>
      <c r="AW271" s="1321"/>
      <c r="AX271" s="1321"/>
      <c r="AY271" s="1321"/>
      <c r="AZ271" s="1321"/>
      <c r="BA271" s="1321"/>
      <c r="BB271" s="1075">
        <f t="shared" si="75"/>
        <v>0</v>
      </c>
      <c r="BC271" s="1269">
        <f t="array" ref="BC271">IF(Ration_complète_bovins[somme]&gt;0,0,IFERROR(IF(OR(AND(INDEX(Règles_bovins[Specificite],MATCH(ChoixRationBovins&amp;$BB271,Règles_bovins[Ration]&amp;Règles_bovins[Aliment],0))="s1",IF($BB271=Spécificité1Bovins,1)),
AND(INDEX(Règles_bovins[Specificite],MATCH(ChoixRationBovins&amp;$BB271,Règles_bovins[Ration]&amp;Règles_bovins[Aliment],0))="s2",IF($BB271=Spécificité2Bovins,1)),
INDEX(Règles_bovins[Specificite],MATCH(ChoixRationBovins&amp;$BB271,Règles_bovins[Ration]&amp;Règles_bovins[Aliment],0))="c"),
INDEX(Règles_bovins[Valeur 36 et plus],MATCH(ChoixRationBovins&amp;$BB271,Règles_bovins[Ration]&amp;Règles_bovins[Aliment],0)),0),0)*IF(ChoixBovinsPréHiver=OUI,TotalVachesRacesLaitières,TotalVaches*SUM(NbreJoursNourrirBovins)))</f>
        <v>0</v>
      </c>
      <c r="BD271" s="1269">
        <f t="array" ref="BD271">IF(Ration_complète_bovins[somme]&gt;0,0,IFERROR(IF(OR(AND(INDEX(Règles_bovins[Specificite],MATCH(ChoixRationBovins&amp;$BB271,Règles_bovins[Ration]&amp;Règles_bovins[Aliment],0))="s1",IF($BB271=Spécificité1Bovins,1)),
AND(INDEX(Règles_bovins[Specificite],MATCH(ChoixRationBovins&amp;$BB271,Règles_bovins[Ration]&amp;Règles_bovins[Aliment],0))="s2",IF($BB271=Spécificité2Bovins,1)),
INDEX(Règles_bovins[Specificite],MATCH(ChoixRationBovins&amp;$BB271,Règles_bovins[Ration]&amp;Règles_bovins[Aliment],0))="c"),
INDEX(Règles_bovins[Valeur 24-36],MATCH(ChoixRationBovins&amp;$BB271,Règles_bovins[Ration]&amp;Règles_bovins[Aliment],0)),0),0)*IF(ChoixBovinsPréHiver=OUI,TotalGénisse_24_36_RacesLaitières,TotalBovinsFemelles_24_36mois*SUM(NbreJoursNourrirBovins)))</f>
        <v>0</v>
      </c>
      <c r="BE271" s="1269">
        <f t="array" ref="BE271">IF(Ration_complète_bovins[somme]&gt;0,0,IFERROR(IF(OR(AND(INDEX(Règles_bovins[Specificite],MATCH(ChoixRationBovins&amp;$BB271,Règles_bovins[Ration]&amp;Règles_bovins[Aliment],0))="s1",IF($BB271=Spécificité1Bovins,1)),
AND(INDEX(Règles_bovins[Specificite],MATCH(ChoixRationBovins&amp;$BB271,Règles_bovins[Ration]&amp;Règles_bovins[Aliment],0))="s2",IF($BB271=Spécificité2Bovins,1)),
INDEX(Règles_bovins[Specificite],MATCH(ChoixRationBovins&amp;$BB271,Règles_bovins[Ration]&amp;Règles_bovins[Aliment],0))="c"),
INDEX(Règles_bovins[Valeur 18-24],MATCH(ChoixRationBovins&amp;$BB271,Règles_bovins[Ration]&amp;Règles_bovins[Aliment],0)),0),0)*IF(ChoixBovinsPréHiver=OUI,TotalGénisse_18_24_RacesLaitières,TotalBovinsFemelles_18_24mois*SUM(NbreJoursNourrirBovins)))</f>
        <v>0</v>
      </c>
      <c r="BF271" s="1269">
        <f t="array" ref="BF271">IF(Ration_complète_bovins[somme]&gt;0,0,IFERROR(IF(OR(AND(INDEX(Règles_bovins[Specificite],MATCH(ChoixRationBovins&amp;$BB271,Règles_bovins[Ration]&amp;Règles_bovins[Aliment],0))="s1",IF($BB271=Spécificité1Bovins,1)),
AND(INDEX(Règles_bovins[Specificite],MATCH(ChoixRationBovins&amp;$BB271,Règles_bovins[Ration]&amp;Règles_bovins[Aliment],0))="s2",IF($BB271=Spécificité2Bovins,1)),
INDEX(Règles_bovins[Specificite],MATCH(ChoixRationBovins&amp;$BB271,Règles_bovins[Ration]&amp;Règles_bovins[Aliment],0))="c"),
INDEX(Règles_bovins[Valeur 12-18],MATCH(ChoixRationBovins&amp;$BB271,Règles_bovins[Ration]&amp;Règles_bovins[Aliment],0)),0),0)*IF(ChoixBovinsPréHiver=OUI,TotalGénisse_12_18_RacesLaitières,TotalBovinsFemelles_12_18mois*SUM(NbreJoursNourrirBovins)))</f>
        <v>0</v>
      </c>
      <c r="BG271" s="1269">
        <f t="array" ref="BG271">IF(Ration_complète_bovins[somme]&gt;0,0,IFERROR(IF(OR(AND(INDEX(Règles_bovins[Specificite],MATCH(ChoixRationBovins&amp;$BB271,Règles_bovins[Ration]&amp;Règles_bovins[Aliment],0))="s1",IF($BB271=Spécificité1Bovins,1)),
AND(INDEX(Règles_bovins[Specificite],MATCH(ChoixRationBovins&amp;$BB271,Règles_bovins[Ration]&amp;Règles_bovins[Aliment],0))="s2",IF($BB271=Spécificité2Bovins,1)),
INDEX(Règles_bovins[Specificite],MATCH(ChoixRationBovins&amp;$BB271,Règles_bovins[Ration]&amp;Règles_bovins[Aliment],0))="c"),
INDEX(Règles_bovins[Valeur 6-12],MATCH(ChoixRationBovins&amp;$BB271,Règles_bovins[Ration]&amp;Règles_bovins[Aliment],0)),0),0)*IF(ChoixBovinsPréHiver=OUI,TotalVeauFemelle_6_12_RacesLaitières,TotalBovinsFemelles_6_12mois*SUM(NbreJoursNourrirBovins)))</f>
        <v>0</v>
      </c>
      <c r="BH271" s="1269">
        <f t="array" ref="BH271">IF(Ration_complète_bovins[somme]&gt;0,0,IFERROR(IF(OR(AND(INDEX(Règles_bovins[Specificite],MATCH(ChoixRationBovins&amp;$BB271,Règles_bovins[Ration]&amp;Règles_bovins[Aliment],0))="s1",IF($BB271=Spécificité1Bovins,1)),
AND(INDEX(Règles_bovins[Specificite],MATCH(ChoixRationBovins&amp;$BB271,Règles_bovins[Ration]&amp;Règles_bovins[Aliment],0))="s2",IF($BB271=Spécificité2Bovins,1)),
INDEX(Règles_bovins[Specificite],MATCH(ChoixRationBovins&amp;$BB271,Règles_bovins[Ration]&amp;Règles_bovins[Aliment],0))="c"),
INDEX(Règles_bovins[Valeur 3-6],MATCH(ChoixRationBovins&amp;$BB271,Règles_bovins[Ration]&amp;Règles_bovins[Aliment],0)),0),0)*IF(ChoixBovinsPréHiver=OUI,TotalVeauFemelle_3_6_RacesLaitières,TotalBovinsFemelles_3_6mois*SUM(NbreJoursNourrirBovins)))</f>
        <v>0</v>
      </c>
      <c r="BI271" s="1269">
        <f t="array" ref="BI271">IF(Ration_complète_bovins[somme]&gt;0,0,IFERROR(IF(OR(AND(INDEX(Règles_bovins[Specificite],MATCH(ChoixRationBovins&amp;$BB271,Règles_bovins[Ration]&amp;Règles_bovins[Aliment],0))="s1",IF($BB271=Spécificité1Bovins,1)),
AND(INDEX(Règles_bovins[Specificite],MATCH(ChoixRationBovins&amp;$BB271,Règles_bovins[Ration]&amp;Règles_bovins[Aliment],0))="s2",IF($BB271=Spécificité2Bovins,1)),
INDEX(Règles_bovins[Specificite],MATCH(ChoixRationBovins&amp;$BB271,Règles_bovins[Ration]&amp;Règles_bovins[Aliment],0))="c"),
INDEX(Règles_bovins[Valeur 0-3],MATCH(ChoixRationBovins&amp;$BB271,Règles_bovins[Ration]&amp;Règles_bovins[Aliment],0)),0),0)*IF(ChoixBovinsPréHiver=OUI,TotalVeauFemelle_0_3_RacesLaitières,TotalBovinsFemelles_0_3mois*SUM(NbreJoursNourrirBovins)))</f>
        <v>0</v>
      </c>
      <c r="BJ271" s="1270">
        <f t="shared" si="74"/>
        <v>0</v>
      </c>
      <c r="BK271" s="1345"/>
      <c r="BL271" s="1345"/>
      <c r="BM271" s="1346"/>
      <c r="BN271" s="1321"/>
      <c r="BO271" s="1321"/>
      <c r="BP271" s="1321"/>
      <c r="BQ271" s="1321"/>
      <c r="BR271" s="1321"/>
      <c r="BS271" s="1321"/>
      <c r="BT271" s="1321"/>
      <c r="BU271" s="1321"/>
      <c r="BV271" s="1345"/>
      <c r="BW271" s="1345"/>
      <c r="BX271" s="1321"/>
      <c r="BY271" s="1321"/>
      <c r="BZ271" s="1321"/>
      <c r="CA271" s="1321"/>
      <c r="CB271" s="1321"/>
      <c r="CC271" s="1321"/>
      <c r="CD271" s="1345"/>
      <c r="CE271" s="1345"/>
      <c r="CF271" s="1345"/>
      <c r="CG271" s="1345"/>
      <c r="CH271" s="1345"/>
      <c r="CI271" s="1321"/>
      <c r="CJ271" s="1321"/>
      <c r="CK271" s="1321"/>
      <c r="CL271" s="1321"/>
      <c r="CM271" s="1321"/>
      <c r="CN271" s="1321"/>
      <c r="CO271" s="1321"/>
      <c r="CP271" s="1321"/>
      <c r="CQ271" s="1321"/>
      <c r="CR271" s="1321"/>
      <c r="CS271" s="1321"/>
      <c r="CT271" s="1321"/>
      <c r="CU271" s="1321"/>
      <c r="CV271" s="1321"/>
      <c r="CW271" s="1321"/>
      <c r="CX271" s="1321"/>
      <c r="CY271" s="1321"/>
      <c r="CZ271" s="1321"/>
      <c r="DA271" s="1321"/>
      <c r="DB271" s="1321"/>
      <c r="DC271" s="1321"/>
      <c r="DD271" s="1321"/>
      <c r="DE271" s="1321"/>
      <c r="DF271" s="1321"/>
      <c r="DG271" s="1321"/>
      <c r="DH271" s="1321"/>
      <c r="DI271" s="1321"/>
      <c r="DJ271" s="1321"/>
      <c r="DK271" s="1321"/>
      <c r="DL271" s="1321"/>
      <c r="DM271" s="1321"/>
      <c r="DN271" s="1075">
        <f t="shared" si="77"/>
        <v>0</v>
      </c>
      <c r="DO271" s="1269">
        <f t="array" ref="DO271">IF(ChoixRationHivernaleOvinsComplète=OUI,0,IFERROR(IF(OR(AND(INDEX(Règles_ovins[Specificite],MATCH(RationHivernaleOvinsAuPré&amp;$DN271,Règles_ovins[Ration]&amp;Règles_ovins[Aliment],0))="s1",IF($DN271=Spécificité1Ovins,1)),
AND(INDEX(Règles_ovins[Specificite],MATCH(RationHivernaleOvinsAuPré&amp;$DN271,Règles_ovins[Ration]&amp;Règles_ovins[Aliment],0))="s2",IF($DN271=Spécificité2Ovins,1)),
INDEX(Règles_ovins[Specificite],MATCH(RationHivernaleOvinsAuPré&amp;$DN271,Règles_ovins[Ration]&amp;Règles_ovins[Aliment],0))="c"),
INDEX(Règles_ovins[Valeur 12 et plus],MATCH(RationHivernaleOvinsAuPré&amp;$DN271,Règles_ovins[Ration]&amp;Règles_ovins[Aliment],0)),0),0)*IF(SUM(TotalOvinsAdultesAuPré)&gt;0,SUM(TotalOvinsAdultesAuPré)*SUM(AD76:AD100),SUM(TotalOvinsAdultes)*SUM(AD76:AD100)))</f>
        <v>0</v>
      </c>
      <c r="DP271" s="1269">
        <f t="array" ref="DP271">IF(ChoixRationHivernaleOvinsComplète=OUI,0,IFERROR(IF(OR(AND(INDEX(Règles_ovins[Specificite],MATCH(RationHivernaleOvinsAuPré&amp;$DN271,Règles_ovins[Ration]&amp;Règles_ovins[Aliment],0))="s1",IF($DN271=Spécificité1Ovins,1)),
AND(INDEX(Règles_ovins[Specificite],MATCH(RationHivernaleOvinsAuPré&amp;$DN271,Règles_ovins[Ration]&amp;Règles_ovins[Aliment],0))="s2",IF($DN271=Spécificité2Ovins,1)),
INDEX(Règles_ovins[Specificite],MATCH(RationHivernaleOvinsAuPré&amp;$DN271,Règles_ovins[Ration]&amp;Règles_ovins[Aliment],0))="c"),
INDEX(Règles_ovins[Valeur 6-12],MATCH(RationHivernaleOvinsAuPré&amp;$DN271,Règles_ovins[Ration]&amp;Règles_ovins[Aliment],0)),0),0)*IF(SUM(TotalOvins_6_12moisAuPré)&gt;0,SUM(TotalOvins_6_12moisAuPré)*SUM(AD76:AD100),SUM(TotalJeunesOvins)*SUM(AD76:AD100)))</f>
        <v>0</v>
      </c>
      <c r="DQ271" s="1269">
        <f t="array" ref="DQ271">IF(ChoixRationHivernaleOvinsComplète=OUI,0,IFERROR(IF(OR(AND(INDEX(Règles_ovins[Specificite],MATCH(RationHivernaleOvinsAuPré&amp;$DN271,Règles_ovins[Ration]&amp;Règles_ovins[Aliment],0))="s1",IF($DN271=Spécificité1Ovins,1)),
AND(INDEX(Règles_ovins[Specificite],MATCH(RationHivernaleOvinsAuPré&amp;$DN271,Règles_ovins[Ration]&amp;Règles_ovins[Aliment],0))="s2",IF($DN271=Spécificité2Ovins,1)),
INDEX(Règles_ovins[Specificite],MATCH(RationHivernaleOvinsAuPré&amp;$DN271,Règles_ovins[Ration]&amp;Règles_ovins[Aliment],0))="c"),
INDEX(Règles_ovins[Valeur 3-6],MATCH(RationHivernaleOvinsAuPré&amp;$DN271,Règles_ovins[Ration]&amp;Règles_ovins[Aliment],0)),0),0)*IF(SUM(TotalOvins_3_6moisAuPré)&gt;0,SUM(TotalOvins_3_6moisAuPré)*SUM(AD76:AD100),SUM(TotalOvins_3_6mois)*SUM(AD76:AD100)))</f>
        <v>0</v>
      </c>
      <c r="DR271" s="1269">
        <f t="array" ref="DR271">IF(ChoixRationHivernaleOvinsComplète=OUI,0,IFERROR(IF(OR(AND(INDEX(Règles_ovins[Specificite],MATCH(RationHivernaleOvinsAuPré&amp;$DN271,Règles_ovins[Ration]&amp;Règles_ovins[Aliment],0))="s1",IF($DN271=Spécificité1Ovins,1)),
AND(INDEX(Règles_ovins[Specificite],MATCH(RationHivernaleOvinsAuPré&amp;$DN271,Règles_ovins[Ration]&amp;Règles_ovins[Aliment],0))="s2",IF($DN271=Spécificité2Ovins,1)),
INDEX(Règles_ovins[Specificite],MATCH(RationHivernaleOvinsAuPré&amp;$DN271,Règles_ovins[Ration]&amp;Règles_ovins[Aliment],0))="c"),
INDEX(Règles_ovins[Valeur 0-3],MATCH(RationHivernaleOvinsAuPré&amp;$DN271,Règles_ovins[Ration]&amp;Règles_ovins[Aliment],0)),0),0)*IF(SUM(TotalOvins_0_3moisAuPré)&gt;0,SUM(TotalOvins_0_3moisAuPré)*SUM(AD76:AD100),SUM(TotalOvins_3_6mois)*SUM(AD76:AD100)))</f>
        <v>0</v>
      </c>
      <c r="DS271" s="1280">
        <f t="shared" si="76"/>
        <v>0</v>
      </c>
      <c r="DT271" s="1346"/>
      <c r="DU271" s="1346"/>
      <c r="DV271" s="1321"/>
      <c r="DW271" s="1321"/>
      <c r="DX271" s="1321"/>
      <c r="DY271" s="1321"/>
      <c r="DZ271" s="1321"/>
      <c r="EA271" s="1321"/>
      <c r="EB271" s="1321"/>
      <c r="EC271" s="1321"/>
      <c r="ED271" s="1345"/>
      <c r="EE271" s="1345"/>
      <c r="EF271" s="1321"/>
      <c r="EG271" s="1321"/>
      <c r="EH271" s="1321"/>
      <c r="EI271" s="1321"/>
      <c r="EJ271" s="1321"/>
      <c r="EK271" s="1345"/>
      <c r="EL271" s="1345"/>
      <c r="EM271" s="1321"/>
      <c r="EN271" s="1321"/>
      <c r="EO271" s="1321"/>
      <c r="EP271" s="1321"/>
      <c r="EQ271" s="1321"/>
      <c r="ER271" s="1345"/>
      <c r="ES271" s="1345"/>
      <c r="ET271" s="1321"/>
      <c r="EU271" s="1321"/>
      <c r="EV271" s="1321"/>
      <c r="EW271" s="1321"/>
      <c r="EX271" s="1321"/>
      <c r="EY271" s="1321"/>
      <c r="EZ271" s="1345"/>
      <c r="FA271" s="1345"/>
      <c r="FB271" s="1345"/>
      <c r="FC271" s="1321"/>
      <c r="FD271" s="1321"/>
      <c r="FE271" s="1321"/>
      <c r="FF271" s="1321"/>
      <c r="FG271" s="1321"/>
      <c r="FH271" s="1321"/>
      <c r="FI271" s="1345"/>
      <c r="FJ271" s="1345"/>
      <c r="FK271" s="1345"/>
      <c r="FL271" s="1345"/>
      <c r="FM271" s="1321"/>
      <c r="FN271" s="1321"/>
      <c r="FO271" s="1321"/>
      <c r="FP271" s="1321"/>
      <c r="FQ271" s="1321"/>
      <c r="FR271" s="1321"/>
      <c r="FS271" s="1345"/>
      <c r="FT271" s="1345"/>
      <c r="FU271" s="1345"/>
      <c r="FV271" s="1345"/>
      <c r="FW271" s="1321"/>
      <c r="FX271" s="1321"/>
      <c r="FY271" s="1321"/>
      <c r="FZ271" s="1321"/>
      <c r="GA271" s="1345"/>
      <c r="GB271" s="1321"/>
      <c r="GC271" s="1321"/>
      <c r="GD271" s="1321"/>
      <c r="GE271" s="1321"/>
      <c r="GF271" s="1321"/>
      <c r="GG271" s="1321" t="s">
        <v>1349</v>
      </c>
      <c r="GH271" s="1321" t="s">
        <v>1349</v>
      </c>
      <c r="GI271" s="1321" t="s">
        <v>1349</v>
      </c>
      <c r="GJ271" s="1321" t="s">
        <v>1349</v>
      </c>
      <c r="GK271" s="1321" t="s">
        <v>1349</v>
      </c>
      <c r="GL271" s="1321" t="s">
        <v>1349</v>
      </c>
      <c r="GM271" s="1321" t="s">
        <v>1349</v>
      </c>
      <c r="GN271" s="1321" t="s">
        <v>1349</v>
      </c>
      <c r="GO271" s="1321" t="s">
        <v>1349</v>
      </c>
      <c r="GP271" s="1321" t="s">
        <v>1349</v>
      </c>
      <c r="GQ271" s="1321" t="s">
        <v>1349</v>
      </c>
      <c r="GR271" s="1321" t="s">
        <v>1349</v>
      </c>
      <c r="GS271" s="1321" t="s">
        <v>1349</v>
      </c>
      <c r="GT271" s="1321" t="s">
        <v>1349</v>
      </c>
      <c r="GU271" s="1321" t="s">
        <v>1349</v>
      </c>
      <c r="GV271" s="1321" t="s">
        <v>1349</v>
      </c>
      <c r="GW271" s="1321"/>
      <c r="GX271" s="1321"/>
      <c r="GY271" s="1321"/>
      <c r="GZ271" s="1321"/>
      <c r="HA271" s="1321"/>
      <c r="HB271" s="1321"/>
      <c r="HC271" s="1321"/>
      <c r="HD271" s="1321"/>
      <c r="HE271" s="1321"/>
      <c r="HF271" s="1321"/>
      <c r="HG271" s="1321"/>
      <c r="HH271" s="1321"/>
      <c r="HI271" s="1321"/>
      <c r="HJ271" s="1321"/>
      <c r="HK271" s="1321"/>
      <c r="HL271" s="1321"/>
      <c r="HM271" s="1321"/>
      <c r="HN271" s="1321"/>
      <c r="HO271" s="1321"/>
      <c r="HP271" s="1321"/>
      <c r="HQ271" s="1321"/>
      <c r="HR271" s="1321"/>
      <c r="HS271" s="1321"/>
      <c r="HT271" s="1321"/>
      <c r="HU271" s="1321"/>
      <c r="HV271" s="1321"/>
      <c r="HW271" s="1321"/>
      <c r="HX271" s="1321"/>
      <c r="HY271" s="1321"/>
      <c r="HZ271" s="1321"/>
      <c r="IA271" s="1321"/>
      <c r="IB271" s="1321"/>
      <c r="IC271" s="1321"/>
      <c r="ID271" s="1321"/>
      <c r="IE271" s="1321"/>
      <c r="IF271" s="1321"/>
      <c r="IG271" s="1321"/>
      <c r="IH271" s="1321"/>
      <c r="II271" s="1321"/>
      <c r="IJ271" s="1321"/>
      <c r="IK271" s="1321"/>
      <c r="IL271" s="1321"/>
      <c r="IM271" s="1321"/>
      <c r="IN271" s="1368"/>
    </row>
    <row r="272" spans="1:248" ht="12.75" customHeight="1" x14ac:dyDescent="0.2">
      <c r="A272" s="1322"/>
      <c r="B272" s="1320"/>
      <c r="C272" s="1321"/>
      <c r="D272" s="1321"/>
      <c r="E272" s="1321"/>
      <c r="F272" s="1321"/>
      <c r="G272" s="1321"/>
      <c r="H272" s="1321"/>
      <c r="I272" s="1321"/>
      <c r="J272" s="1321"/>
      <c r="K272" s="1321"/>
      <c r="L272" s="1321"/>
      <c r="M272" s="1321"/>
      <c r="N272" s="1321"/>
      <c r="O272" s="1321"/>
      <c r="P272" s="1321"/>
      <c r="Q272" s="1321"/>
      <c r="R272" s="1321"/>
      <c r="S272" s="1321"/>
      <c r="T272" s="1321"/>
      <c r="U272" s="1321"/>
      <c r="V272" s="1321"/>
      <c r="W272" s="1321"/>
      <c r="X272" s="1321"/>
      <c r="Y272" s="1321"/>
      <c r="Z272" s="1321"/>
      <c r="AA272" s="1321"/>
      <c r="AB272" s="1321"/>
      <c r="AC272" s="1321"/>
      <c r="AD272" s="1321"/>
      <c r="AE272" s="1321"/>
      <c r="AF272" s="1321"/>
      <c r="AG272" s="1321"/>
      <c r="AH272" s="1321"/>
      <c r="AI272" s="1321"/>
      <c r="AJ272" s="1321"/>
      <c r="AK272" s="1321"/>
      <c r="AL272" s="1321"/>
      <c r="AM272" s="1321"/>
      <c r="AN272" s="1321"/>
      <c r="AO272" s="1321"/>
      <c r="AP272" s="1321"/>
      <c r="AQ272" s="1321"/>
      <c r="AR272" s="1321"/>
      <c r="AS272" s="1321"/>
      <c r="AT272" s="1321"/>
      <c r="AU272" s="1321"/>
      <c r="AV272" s="1321"/>
      <c r="AW272" s="1321"/>
      <c r="AX272" s="1321"/>
      <c r="AY272" s="1321"/>
      <c r="AZ272" s="1321"/>
      <c r="BA272" s="1321"/>
      <c r="BB272" s="1076">
        <f t="shared" si="75"/>
        <v>0</v>
      </c>
      <c r="BC272" s="1267">
        <f t="array" ref="BC272">IF(Ration_complète_bovins[somme]&gt;0,0,IFERROR(IF(OR(AND(INDEX(Règles_bovins[Specificite],MATCH(ChoixRationBovins&amp;$BB272,Règles_bovins[Ration]&amp;Règles_bovins[Aliment],0))="s1",IF($BB272=Spécificité1Bovins,1)),
AND(INDEX(Règles_bovins[Specificite],MATCH(ChoixRationBovins&amp;$BB272,Règles_bovins[Ration]&amp;Règles_bovins[Aliment],0))="s2",IF($BB272=Spécificité2Bovins,1)),
INDEX(Règles_bovins[Specificite],MATCH(ChoixRationBovins&amp;$BB272,Règles_bovins[Ration]&amp;Règles_bovins[Aliment],0))="c"),
INDEX(Règles_bovins[Valeur 36 et plus],MATCH(ChoixRationBovins&amp;$BB272,Règles_bovins[Ration]&amp;Règles_bovins[Aliment],0)),0),0)*IF(ChoixBovinsPréHiver=OUI,TotalVachesRacesLaitières,TotalVaches*SUM(NbreJoursNourrirBovins)))</f>
        <v>0</v>
      </c>
      <c r="BD272" s="1267">
        <f t="array" ref="BD272">IF(Ration_complète_bovins[somme]&gt;0,0,IFERROR(IF(OR(AND(INDEX(Règles_bovins[Specificite],MATCH(ChoixRationBovins&amp;$BB272,Règles_bovins[Ration]&amp;Règles_bovins[Aliment],0))="s1",IF($BB272=Spécificité1Bovins,1)),
AND(INDEX(Règles_bovins[Specificite],MATCH(ChoixRationBovins&amp;$BB272,Règles_bovins[Ration]&amp;Règles_bovins[Aliment],0))="s2",IF($BB272=Spécificité2Bovins,1)),
INDEX(Règles_bovins[Specificite],MATCH(ChoixRationBovins&amp;$BB272,Règles_bovins[Ration]&amp;Règles_bovins[Aliment],0))="c"),
INDEX(Règles_bovins[Valeur 24-36],MATCH(ChoixRationBovins&amp;$BB272,Règles_bovins[Ration]&amp;Règles_bovins[Aliment],0)),0),0)*IF(ChoixBovinsPréHiver=OUI,TotalGénisse_24_36_RacesLaitières,TotalBovinsFemelles_24_36mois*SUM(NbreJoursNourrirBovins)))</f>
        <v>0</v>
      </c>
      <c r="BE272" s="1267">
        <f t="array" ref="BE272">IF(Ration_complète_bovins[somme]&gt;0,0,IFERROR(IF(OR(AND(INDEX(Règles_bovins[Specificite],MATCH(ChoixRationBovins&amp;$BB272,Règles_bovins[Ration]&amp;Règles_bovins[Aliment],0))="s1",IF($BB272=Spécificité1Bovins,1)),
AND(INDEX(Règles_bovins[Specificite],MATCH(ChoixRationBovins&amp;$BB272,Règles_bovins[Ration]&amp;Règles_bovins[Aliment],0))="s2",IF($BB272=Spécificité2Bovins,1)),
INDEX(Règles_bovins[Specificite],MATCH(ChoixRationBovins&amp;$BB272,Règles_bovins[Ration]&amp;Règles_bovins[Aliment],0))="c"),
INDEX(Règles_bovins[Valeur 18-24],MATCH(ChoixRationBovins&amp;$BB272,Règles_bovins[Ration]&amp;Règles_bovins[Aliment],0)),0),0)*IF(ChoixBovinsPréHiver=OUI,TotalGénisse_18_24_RacesLaitières,TotalBovinsFemelles_18_24mois*SUM(NbreJoursNourrirBovins)))</f>
        <v>0</v>
      </c>
      <c r="BF272" s="1267">
        <f t="array" ref="BF272">IF(Ration_complète_bovins[somme]&gt;0,0,IFERROR(IF(OR(AND(INDEX(Règles_bovins[Specificite],MATCH(ChoixRationBovins&amp;$BB272,Règles_bovins[Ration]&amp;Règles_bovins[Aliment],0))="s1",IF($BB272=Spécificité1Bovins,1)),
AND(INDEX(Règles_bovins[Specificite],MATCH(ChoixRationBovins&amp;$BB272,Règles_bovins[Ration]&amp;Règles_bovins[Aliment],0))="s2",IF($BB272=Spécificité2Bovins,1)),
INDEX(Règles_bovins[Specificite],MATCH(ChoixRationBovins&amp;$BB272,Règles_bovins[Ration]&amp;Règles_bovins[Aliment],0))="c"),
INDEX(Règles_bovins[Valeur 12-18],MATCH(ChoixRationBovins&amp;$BB272,Règles_bovins[Ration]&amp;Règles_bovins[Aliment],0)),0),0)*IF(ChoixBovinsPréHiver=OUI,TotalGénisse_12_18_RacesLaitières,TotalBovinsFemelles_12_18mois*SUM(NbreJoursNourrirBovins)))</f>
        <v>0</v>
      </c>
      <c r="BG272" s="1267">
        <f t="array" ref="BG272">IF(Ration_complète_bovins[somme]&gt;0,0,IFERROR(IF(OR(AND(INDEX(Règles_bovins[Specificite],MATCH(ChoixRationBovins&amp;$BB272,Règles_bovins[Ration]&amp;Règles_bovins[Aliment],0))="s1",IF($BB272=Spécificité1Bovins,1)),
AND(INDEX(Règles_bovins[Specificite],MATCH(ChoixRationBovins&amp;$BB272,Règles_bovins[Ration]&amp;Règles_bovins[Aliment],0))="s2",IF($BB272=Spécificité2Bovins,1)),
INDEX(Règles_bovins[Specificite],MATCH(ChoixRationBovins&amp;$BB272,Règles_bovins[Ration]&amp;Règles_bovins[Aliment],0))="c"),
INDEX(Règles_bovins[Valeur 6-12],MATCH(ChoixRationBovins&amp;$BB272,Règles_bovins[Ration]&amp;Règles_bovins[Aliment],0)),0),0)*IF(ChoixBovinsPréHiver=OUI,TotalVeauFemelle_6_12_RacesLaitières,TotalBovinsFemelles_6_12mois*SUM(NbreJoursNourrirBovins)))</f>
        <v>0</v>
      </c>
      <c r="BH272" s="1267">
        <f t="array" ref="BH272">IF(Ration_complète_bovins[somme]&gt;0,0,IFERROR(IF(OR(AND(INDEX(Règles_bovins[Specificite],MATCH(ChoixRationBovins&amp;$BB272,Règles_bovins[Ration]&amp;Règles_bovins[Aliment],0))="s1",IF($BB272=Spécificité1Bovins,1)),
AND(INDEX(Règles_bovins[Specificite],MATCH(ChoixRationBovins&amp;$BB272,Règles_bovins[Ration]&amp;Règles_bovins[Aliment],0))="s2",IF($BB272=Spécificité2Bovins,1)),
INDEX(Règles_bovins[Specificite],MATCH(ChoixRationBovins&amp;$BB272,Règles_bovins[Ration]&amp;Règles_bovins[Aliment],0))="c"),
INDEX(Règles_bovins[Valeur 3-6],MATCH(ChoixRationBovins&amp;$BB272,Règles_bovins[Ration]&amp;Règles_bovins[Aliment],0)),0),0)*IF(ChoixBovinsPréHiver=OUI,TotalVeauFemelle_3_6_RacesLaitières,TotalBovinsFemelles_3_6mois*SUM(NbreJoursNourrirBovins)))</f>
        <v>0</v>
      </c>
      <c r="BI272" s="1267">
        <f t="array" ref="BI272">IF(Ration_complète_bovins[somme]&gt;0,0,IFERROR(IF(OR(AND(INDEX(Règles_bovins[Specificite],MATCH(ChoixRationBovins&amp;$BB272,Règles_bovins[Ration]&amp;Règles_bovins[Aliment],0))="s1",IF($BB272=Spécificité1Bovins,1)),
AND(INDEX(Règles_bovins[Specificite],MATCH(ChoixRationBovins&amp;$BB272,Règles_bovins[Ration]&amp;Règles_bovins[Aliment],0))="s2",IF($BB272=Spécificité2Bovins,1)),
INDEX(Règles_bovins[Specificite],MATCH(ChoixRationBovins&amp;$BB272,Règles_bovins[Ration]&amp;Règles_bovins[Aliment],0))="c"),
INDEX(Règles_bovins[Valeur 0-3],MATCH(ChoixRationBovins&amp;$BB272,Règles_bovins[Ration]&amp;Règles_bovins[Aliment],0)),0),0)*IF(ChoixBovinsPréHiver=OUI,TotalVeauFemelle_0_3_RacesLaitières,TotalBovinsFemelles_0_3mois*SUM(NbreJoursNourrirBovins)))</f>
        <v>0</v>
      </c>
      <c r="BJ272" s="1268">
        <f t="shared" si="74"/>
        <v>0</v>
      </c>
      <c r="BK272" s="1345"/>
      <c r="BL272" s="1345"/>
      <c r="BM272" s="1346"/>
      <c r="BN272" s="1321"/>
      <c r="BO272" s="1321"/>
      <c r="BP272" s="1321"/>
      <c r="BQ272" s="1321"/>
      <c r="BR272" s="1321"/>
      <c r="BS272" s="1321"/>
      <c r="BT272" s="1321"/>
      <c r="BU272" s="1321"/>
      <c r="BV272" s="1345"/>
      <c r="BW272" s="1345"/>
      <c r="BX272" s="1321"/>
      <c r="BY272" s="1321"/>
      <c r="BZ272" s="1321"/>
      <c r="CA272" s="1321"/>
      <c r="CB272" s="1321"/>
      <c r="CC272" s="1321"/>
      <c r="CD272" s="1345"/>
      <c r="CE272" s="1345"/>
      <c r="CF272" s="1345"/>
      <c r="CG272" s="1345"/>
      <c r="CH272" s="1345"/>
      <c r="CI272" s="1321"/>
      <c r="CJ272" s="1321"/>
      <c r="CK272" s="1321"/>
      <c r="CL272" s="1321"/>
      <c r="CM272" s="1321"/>
      <c r="CN272" s="1321"/>
      <c r="CO272" s="1321"/>
      <c r="CP272" s="1321"/>
      <c r="CQ272" s="1321"/>
      <c r="CR272" s="1321"/>
      <c r="CS272" s="1321"/>
      <c r="CT272" s="1321"/>
      <c r="CU272" s="1321"/>
      <c r="CV272" s="1321"/>
      <c r="CW272" s="1321"/>
      <c r="CX272" s="1321"/>
      <c r="CY272" s="1321"/>
      <c r="CZ272" s="1321"/>
      <c r="DA272" s="1321"/>
      <c r="DB272" s="1321"/>
      <c r="DC272" s="1321"/>
      <c r="DD272" s="1321"/>
      <c r="DE272" s="1321"/>
      <c r="DF272" s="1321"/>
      <c r="DG272" s="1321"/>
      <c r="DH272" s="1321"/>
      <c r="DI272" s="1321"/>
      <c r="DJ272" s="1321"/>
      <c r="DK272" s="1321"/>
      <c r="DL272" s="1321"/>
      <c r="DM272" s="1321"/>
      <c r="DN272" s="1076">
        <f t="shared" si="77"/>
        <v>0</v>
      </c>
      <c r="DO272" s="1267">
        <f t="array" ref="DO272">IF(ChoixRationHivernaleOvinsComplète=OUI,0,IFERROR(IF(OR(AND(INDEX(Règles_ovins[Specificite],MATCH(RationHivernaleOvinsAuPré&amp;$DN272,Règles_ovins[Ration]&amp;Règles_ovins[Aliment],0))="s1",IF($DN272=Spécificité1Ovins,1)),
AND(INDEX(Règles_ovins[Specificite],MATCH(RationHivernaleOvinsAuPré&amp;$DN272,Règles_ovins[Ration]&amp;Règles_ovins[Aliment],0))="s2",IF($DN272=Spécificité2Ovins,1)),
INDEX(Règles_ovins[Specificite],MATCH(RationHivernaleOvinsAuPré&amp;$DN272,Règles_ovins[Ration]&amp;Règles_ovins[Aliment],0))="c"),
INDEX(Règles_ovins[Valeur 12 et plus],MATCH(RationHivernaleOvinsAuPré&amp;$DN272,Règles_ovins[Ration]&amp;Règles_ovins[Aliment],0)),0),0)*IF(SUM(TotalOvinsAdultesAuPré)&gt;0,SUM(TotalOvinsAdultesAuPré)*SUM(AD76:AD100),SUM(TotalOvinsAdultes)*SUM(AD76:AD100)))</f>
        <v>0</v>
      </c>
      <c r="DP272" s="1267">
        <f t="array" ref="DP272">IF(ChoixRationHivernaleOvinsComplète=OUI,0,IFERROR(IF(OR(AND(INDEX(Règles_ovins[Specificite],MATCH(RationHivernaleOvinsAuPré&amp;$DN272,Règles_ovins[Ration]&amp;Règles_ovins[Aliment],0))="s1",IF($DN272=Spécificité1Ovins,1)),
AND(INDEX(Règles_ovins[Specificite],MATCH(RationHivernaleOvinsAuPré&amp;$DN272,Règles_ovins[Ration]&amp;Règles_ovins[Aliment],0))="s2",IF($DN272=Spécificité2Ovins,1)),
INDEX(Règles_ovins[Specificite],MATCH(RationHivernaleOvinsAuPré&amp;$DN272,Règles_ovins[Ration]&amp;Règles_ovins[Aliment],0))="c"),
INDEX(Règles_ovins[Valeur 6-12],MATCH(RationHivernaleOvinsAuPré&amp;$DN272,Règles_ovins[Ration]&amp;Règles_ovins[Aliment],0)),0),0)*IF(SUM(TotalOvins_6_12moisAuPré)&gt;0,SUM(TotalOvins_6_12moisAuPré)*SUM(AD76:AD100),SUM(TotalJeunesOvins)*SUM(AD76:AD100)))</f>
        <v>0</v>
      </c>
      <c r="DQ272" s="1267">
        <f t="array" ref="DQ272">IF(ChoixRationHivernaleOvinsComplète=OUI,0,IFERROR(IF(OR(AND(INDEX(Règles_ovins[Specificite],MATCH(RationHivernaleOvinsAuPré&amp;$DN272,Règles_ovins[Ration]&amp;Règles_ovins[Aliment],0))="s1",IF($DN272=Spécificité1Ovins,1)),
AND(INDEX(Règles_ovins[Specificite],MATCH(RationHivernaleOvinsAuPré&amp;$DN272,Règles_ovins[Ration]&amp;Règles_ovins[Aliment],0))="s2",IF($DN272=Spécificité2Ovins,1)),
INDEX(Règles_ovins[Specificite],MATCH(RationHivernaleOvinsAuPré&amp;$DN272,Règles_ovins[Ration]&amp;Règles_ovins[Aliment],0))="c"),
INDEX(Règles_ovins[Valeur 3-6],MATCH(RationHivernaleOvinsAuPré&amp;$DN272,Règles_ovins[Ration]&amp;Règles_ovins[Aliment],0)),0),0)*IF(SUM(TotalOvins_3_6moisAuPré)&gt;0,SUM(TotalOvins_3_6moisAuPré)*SUM(AD76:AD100),SUM(TotalOvins_3_6mois)*SUM(AD76:AD100)))</f>
        <v>0</v>
      </c>
      <c r="DR272" s="1267">
        <f t="array" ref="DR272">IF(ChoixRationHivernaleOvinsComplète=OUI,0,IFERROR(IF(OR(AND(INDEX(Règles_ovins[Specificite],MATCH(RationHivernaleOvinsAuPré&amp;$DN272,Règles_ovins[Ration]&amp;Règles_ovins[Aliment],0))="s1",IF($DN272=Spécificité1Ovins,1)),
AND(INDEX(Règles_ovins[Specificite],MATCH(RationHivernaleOvinsAuPré&amp;$DN272,Règles_ovins[Ration]&amp;Règles_ovins[Aliment],0))="s2",IF($DN272=Spécificité2Ovins,1)),
INDEX(Règles_ovins[Specificite],MATCH(RationHivernaleOvinsAuPré&amp;$DN272,Règles_ovins[Ration]&amp;Règles_ovins[Aliment],0))="c"),
INDEX(Règles_ovins[Valeur 0-3],MATCH(RationHivernaleOvinsAuPré&amp;$DN272,Règles_ovins[Ration]&amp;Règles_ovins[Aliment],0)),0),0)*IF(SUM(TotalOvins_0_3moisAuPré)&gt;0,SUM(TotalOvins_0_3moisAuPré)*SUM(AD76:AD100),SUM(TotalOvins_3_6mois)*SUM(AD76:AD100)))</f>
        <v>0</v>
      </c>
      <c r="DS272" s="1279">
        <f t="shared" si="76"/>
        <v>0</v>
      </c>
      <c r="DT272" s="1346"/>
      <c r="DU272" s="1346"/>
      <c r="DV272" s="1321"/>
      <c r="DW272" s="1321"/>
      <c r="DX272" s="1321"/>
      <c r="DY272" s="1321"/>
      <c r="DZ272" s="1321"/>
      <c r="EA272" s="1321"/>
      <c r="EB272" s="1321"/>
      <c r="EC272" s="1321"/>
      <c r="ED272" s="1345"/>
      <c r="EE272" s="1345"/>
      <c r="EF272" s="1321"/>
      <c r="EG272" s="1321"/>
      <c r="EH272" s="1321"/>
      <c r="EI272" s="1321"/>
      <c r="EJ272" s="1321"/>
      <c r="EK272" s="1345"/>
      <c r="EL272" s="1345"/>
      <c r="EM272" s="1321"/>
      <c r="EN272" s="1321"/>
      <c r="EO272" s="1321"/>
      <c r="EP272" s="1321"/>
      <c r="EQ272" s="1321"/>
      <c r="ER272" s="1345"/>
      <c r="ES272" s="1345"/>
      <c r="ET272" s="1321"/>
      <c r="EU272" s="1321"/>
      <c r="EV272" s="1321"/>
      <c r="EW272" s="1321"/>
      <c r="EX272" s="1321"/>
      <c r="EY272" s="1321"/>
      <c r="EZ272" s="1345"/>
      <c r="FA272" s="1345"/>
      <c r="FB272" s="1345"/>
      <c r="FC272" s="1321"/>
      <c r="FD272" s="1321"/>
      <c r="FE272" s="1321"/>
      <c r="FF272" s="1321"/>
      <c r="FG272" s="1321"/>
      <c r="FH272" s="1321"/>
      <c r="FI272" s="1345"/>
      <c r="FJ272" s="1345"/>
      <c r="FK272" s="1345"/>
      <c r="FL272" s="1345"/>
      <c r="FM272" s="1321"/>
      <c r="FN272" s="1321"/>
      <c r="FO272" s="1321"/>
      <c r="FP272" s="1321"/>
      <c r="FQ272" s="1321"/>
      <c r="FR272" s="1321"/>
      <c r="FS272" s="1345"/>
      <c r="FT272" s="1345"/>
      <c r="FU272" s="1345"/>
      <c r="FV272" s="1345"/>
      <c r="FW272" s="1321"/>
      <c r="FX272" s="1321"/>
      <c r="FY272" s="1321"/>
      <c r="FZ272" s="1321"/>
      <c r="GA272" s="1345"/>
      <c r="GB272" s="1321"/>
      <c r="GC272" s="1321"/>
      <c r="GD272" s="1321"/>
      <c r="GE272" s="1321"/>
      <c r="GF272" s="1321"/>
      <c r="GG272" s="1321" t="s">
        <v>1349</v>
      </c>
      <c r="GH272" s="1321" t="s">
        <v>1349</v>
      </c>
      <c r="GI272" s="1321" t="s">
        <v>1349</v>
      </c>
      <c r="GJ272" s="1321" t="s">
        <v>1349</v>
      </c>
      <c r="GK272" s="1321" t="s">
        <v>1349</v>
      </c>
      <c r="GL272" s="1321" t="s">
        <v>1349</v>
      </c>
      <c r="GM272" s="1321" t="s">
        <v>1349</v>
      </c>
      <c r="GN272" s="1321" t="s">
        <v>1349</v>
      </c>
      <c r="GO272" s="1321" t="s">
        <v>1349</v>
      </c>
      <c r="GP272" s="1321" t="s">
        <v>1349</v>
      </c>
      <c r="GQ272" s="1321" t="s">
        <v>1349</v>
      </c>
      <c r="GR272" s="1321" t="s">
        <v>1349</v>
      </c>
      <c r="GS272" s="1321" t="s">
        <v>1349</v>
      </c>
      <c r="GT272" s="1321" t="s">
        <v>1349</v>
      </c>
      <c r="GU272" s="1321" t="s">
        <v>1349</v>
      </c>
      <c r="GV272" s="1321" t="s">
        <v>1349</v>
      </c>
      <c r="GW272" s="1321"/>
      <c r="GX272" s="1321"/>
      <c r="GY272" s="1321"/>
      <c r="GZ272" s="1321"/>
      <c r="HA272" s="1321"/>
      <c r="HB272" s="1321"/>
      <c r="HC272" s="1321"/>
      <c r="HD272" s="1321"/>
      <c r="HE272" s="1321"/>
      <c r="HF272" s="1321"/>
      <c r="HG272" s="1321"/>
      <c r="HH272" s="1321"/>
      <c r="HI272" s="1321"/>
      <c r="HJ272" s="1321"/>
      <c r="HK272" s="1321"/>
      <c r="HL272" s="1321"/>
      <c r="HM272" s="1321"/>
      <c r="HN272" s="1321"/>
      <c r="HO272" s="1321"/>
      <c r="HP272" s="1321"/>
      <c r="HQ272" s="1321"/>
      <c r="HR272" s="1321"/>
      <c r="HS272" s="1321"/>
      <c r="HT272" s="1321"/>
      <c r="HU272" s="1321"/>
      <c r="HV272" s="1321"/>
      <c r="HW272" s="1321"/>
      <c r="HX272" s="1321"/>
      <c r="HY272" s="1321"/>
      <c r="HZ272" s="1321"/>
      <c r="IA272" s="1321"/>
      <c r="IB272" s="1321"/>
      <c r="IC272" s="1321"/>
      <c r="ID272" s="1321"/>
      <c r="IE272" s="1321"/>
      <c r="IF272" s="1321"/>
      <c r="IG272" s="1321"/>
      <c r="IH272" s="1321"/>
      <c r="II272" s="1321"/>
      <c r="IJ272" s="1321"/>
      <c r="IK272" s="1321"/>
      <c r="IL272" s="1321"/>
      <c r="IM272" s="1321"/>
      <c r="IN272" s="1368"/>
    </row>
    <row r="273" spans="1:248" ht="12.75" customHeight="1" x14ac:dyDescent="0.2">
      <c r="A273" s="1319"/>
      <c r="B273" s="1321"/>
      <c r="C273" s="1321"/>
      <c r="D273" s="1321"/>
      <c r="E273" s="1321"/>
      <c r="F273" s="1321"/>
      <c r="G273" s="1321"/>
      <c r="H273" s="1321"/>
      <c r="I273" s="1321"/>
      <c r="J273" s="1321"/>
      <c r="K273" s="1321"/>
      <c r="L273" s="1321"/>
      <c r="M273" s="1321"/>
      <c r="N273" s="1321"/>
      <c r="O273" s="1321"/>
      <c r="P273" s="1321"/>
      <c r="Q273" s="1321"/>
      <c r="R273" s="1321"/>
      <c r="S273" s="1321"/>
      <c r="T273" s="1321"/>
      <c r="U273" s="1321"/>
      <c r="V273" s="1321"/>
      <c r="W273" s="1321"/>
      <c r="X273" s="1321"/>
      <c r="Y273" s="1321"/>
      <c r="Z273" s="1321"/>
      <c r="AA273" s="1321"/>
      <c r="AB273" s="1321"/>
      <c r="AC273" s="1321"/>
      <c r="AD273" s="1321"/>
      <c r="AE273" s="1321"/>
      <c r="AF273" s="1321"/>
      <c r="AG273" s="1321"/>
      <c r="AH273" s="1321"/>
      <c r="AI273" s="1321"/>
      <c r="AJ273" s="1321"/>
      <c r="AK273" s="1321"/>
      <c r="AL273" s="1321"/>
      <c r="AM273" s="1321"/>
      <c r="AN273" s="1321"/>
      <c r="AO273" s="1321"/>
      <c r="AP273" s="1321"/>
      <c r="AQ273" s="1321"/>
      <c r="AR273" s="1321"/>
      <c r="AS273" s="1321"/>
      <c r="AT273" s="1321"/>
      <c r="AU273" s="1321"/>
      <c r="AV273" s="1321"/>
      <c r="AW273" s="1321"/>
      <c r="AX273" s="1321"/>
      <c r="AY273" s="1321"/>
      <c r="AZ273" s="1321"/>
      <c r="BA273" s="1321"/>
      <c r="BB273" s="1075">
        <f t="shared" si="75"/>
        <v>0</v>
      </c>
      <c r="BC273" s="1269">
        <f t="array" ref="BC273">IF(Ration_complète_bovins[somme]&gt;0,0,IFERROR(IF(OR(AND(INDEX(Règles_bovins[Specificite],MATCH(ChoixRationBovins&amp;$BB273,Règles_bovins[Ration]&amp;Règles_bovins[Aliment],0))="s1",IF($BB273=Spécificité1Bovins,1)),
AND(INDEX(Règles_bovins[Specificite],MATCH(ChoixRationBovins&amp;$BB273,Règles_bovins[Ration]&amp;Règles_bovins[Aliment],0))="s2",IF($BB273=Spécificité2Bovins,1)),
INDEX(Règles_bovins[Specificite],MATCH(ChoixRationBovins&amp;$BB273,Règles_bovins[Ration]&amp;Règles_bovins[Aliment],0))="c"),
INDEX(Règles_bovins[Valeur 36 et plus],MATCH(ChoixRationBovins&amp;$BB273,Règles_bovins[Ration]&amp;Règles_bovins[Aliment],0)),0),0)*IF(ChoixBovinsPréHiver=OUI,TotalVachesRacesLaitières,TotalVaches*SUM(NbreJoursNourrirBovins)))</f>
        <v>0</v>
      </c>
      <c r="BD273" s="1269">
        <f t="array" ref="BD273">IF(Ration_complète_bovins[somme]&gt;0,0,IFERROR(IF(OR(AND(INDEX(Règles_bovins[Specificite],MATCH(ChoixRationBovins&amp;$BB273,Règles_bovins[Ration]&amp;Règles_bovins[Aliment],0))="s1",IF($BB273=Spécificité1Bovins,1)),
AND(INDEX(Règles_bovins[Specificite],MATCH(ChoixRationBovins&amp;$BB273,Règles_bovins[Ration]&amp;Règles_bovins[Aliment],0))="s2",IF($BB273=Spécificité2Bovins,1)),
INDEX(Règles_bovins[Specificite],MATCH(ChoixRationBovins&amp;$BB273,Règles_bovins[Ration]&amp;Règles_bovins[Aliment],0))="c"),
INDEX(Règles_bovins[Valeur 24-36],MATCH(ChoixRationBovins&amp;$BB273,Règles_bovins[Ration]&amp;Règles_bovins[Aliment],0)),0),0)*IF(ChoixBovinsPréHiver=OUI,TotalGénisse_24_36_RacesLaitières,TotalBovinsFemelles_24_36mois*SUM(NbreJoursNourrirBovins)))</f>
        <v>0</v>
      </c>
      <c r="BE273" s="1269">
        <f t="array" ref="BE273">IF(Ration_complète_bovins[somme]&gt;0,0,IFERROR(IF(OR(AND(INDEX(Règles_bovins[Specificite],MATCH(ChoixRationBovins&amp;$BB273,Règles_bovins[Ration]&amp;Règles_bovins[Aliment],0))="s1",IF($BB273=Spécificité1Bovins,1)),
AND(INDEX(Règles_bovins[Specificite],MATCH(ChoixRationBovins&amp;$BB273,Règles_bovins[Ration]&amp;Règles_bovins[Aliment],0))="s2",IF($BB273=Spécificité2Bovins,1)),
INDEX(Règles_bovins[Specificite],MATCH(ChoixRationBovins&amp;$BB273,Règles_bovins[Ration]&amp;Règles_bovins[Aliment],0))="c"),
INDEX(Règles_bovins[Valeur 18-24],MATCH(ChoixRationBovins&amp;$BB273,Règles_bovins[Ration]&amp;Règles_bovins[Aliment],0)),0),0)*IF(ChoixBovinsPréHiver=OUI,TotalGénisse_18_24_RacesLaitières,TotalBovinsFemelles_18_24mois*SUM(NbreJoursNourrirBovins)))</f>
        <v>0</v>
      </c>
      <c r="BF273" s="1269">
        <f t="array" ref="BF273">IF(Ration_complète_bovins[somme]&gt;0,0,IFERROR(IF(OR(AND(INDEX(Règles_bovins[Specificite],MATCH(ChoixRationBovins&amp;$BB273,Règles_bovins[Ration]&amp;Règles_bovins[Aliment],0))="s1",IF($BB273=Spécificité1Bovins,1)),
AND(INDEX(Règles_bovins[Specificite],MATCH(ChoixRationBovins&amp;$BB273,Règles_bovins[Ration]&amp;Règles_bovins[Aliment],0))="s2",IF($BB273=Spécificité2Bovins,1)),
INDEX(Règles_bovins[Specificite],MATCH(ChoixRationBovins&amp;$BB273,Règles_bovins[Ration]&amp;Règles_bovins[Aliment],0))="c"),
INDEX(Règles_bovins[Valeur 12-18],MATCH(ChoixRationBovins&amp;$BB273,Règles_bovins[Ration]&amp;Règles_bovins[Aliment],0)),0),0)*IF(ChoixBovinsPréHiver=OUI,TotalGénisse_12_18_RacesLaitières,TotalBovinsFemelles_12_18mois*SUM(NbreJoursNourrirBovins)))</f>
        <v>0</v>
      </c>
      <c r="BG273" s="1269">
        <f t="array" ref="BG273">IF(Ration_complète_bovins[somme]&gt;0,0,IFERROR(IF(OR(AND(INDEX(Règles_bovins[Specificite],MATCH(ChoixRationBovins&amp;$BB273,Règles_bovins[Ration]&amp;Règles_bovins[Aliment],0))="s1",IF($BB273=Spécificité1Bovins,1)),
AND(INDEX(Règles_bovins[Specificite],MATCH(ChoixRationBovins&amp;$BB273,Règles_bovins[Ration]&amp;Règles_bovins[Aliment],0))="s2",IF($BB273=Spécificité2Bovins,1)),
INDEX(Règles_bovins[Specificite],MATCH(ChoixRationBovins&amp;$BB273,Règles_bovins[Ration]&amp;Règles_bovins[Aliment],0))="c"),
INDEX(Règles_bovins[Valeur 6-12],MATCH(ChoixRationBovins&amp;$BB273,Règles_bovins[Ration]&amp;Règles_bovins[Aliment],0)),0),0)*IF(ChoixBovinsPréHiver=OUI,TotalVeauFemelle_6_12_RacesLaitières,TotalBovinsFemelles_6_12mois*SUM(NbreJoursNourrirBovins)))</f>
        <v>0</v>
      </c>
      <c r="BH273" s="1269">
        <f t="array" ref="BH273">IF(Ration_complète_bovins[somme]&gt;0,0,IFERROR(IF(OR(AND(INDEX(Règles_bovins[Specificite],MATCH(ChoixRationBovins&amp;$BB273,Règles_bovins[Ration]&amp;Règles_bovins[Aliment],0))="s1",IF($BB273=Spécificité1Bovins,1)),
AND(INDEX(Règles_bovins[Specificite],MATCH(ChoixRationBovins&amp;$BB273,Règles_bovins[Ration]&amp;Règles_bovins[Aliment],0))="s2",IF($BB273=Spécificité2Bovins,1)),
INDEX(Règles_bovins[Specificite],MATCH(ChoixRationBovins&amp;$BB273,Règles_bovins[Ration]&amp;Règles_bovins[Aliment],0))="c"),
INDEX(Règles_bovins[Valeur 3-6],MATCH(ChoixRationBovins&amp;$BB273,Règles_bovins[Ration]&amp;Règles_bovins[Aliment],0)),0),0)*IF(ChoixBovinsPréHiver=OUI,TotalVeauFemelle_3_6_RacesLaitières,TotalBovinsFemelles_3_6mois*SUM(NbreJoursNourrirBovins)))</f>
        <v>0</v>
      </c>
      <c r="BI273" s="1269">
        <f t="array" ref="BI273">IF(Ration_complète_bovins[somme]&gt;0,0,IFERROR(IF(OR(AND(INDEX(Règles_bovins[Specificite],MATCH(ChoixRationBovins&amp;$BB273,Règles_bovins[Ration]&amp;Règles_bovins[Aliment],0))="s1",IF($BB273=Spécificité1Bovins,1)),
AND(INDEX(Règles_bovins[Specificite],MATCH(ChoixRationBovins&amp;$BB273,Règles_bovins[Ration]&amp;Règles_bovins[Aliment],0))="s2",IF($BB273=Spécificité2Bovins,1)),
INDEX(Règles_bovins[Specificite],MATCH(ChoixRationBovins&amp;$BB273,Règles_bovins[Ration]&amp;Règles_bovins[Aliment],0))="c"),
INDEX(Règles_bovins[Valeur 0-3],MATCH(ChoixRationBovins&amp;$BB273,Règles_bovins[Ration]&amp;Règles_bovins[Aliment],0)),0),0)*IF(ChoixBovinsPréHiver=OUI,TotalVeauFemelle_0_3_RacesLaitières,TotalBovinsFemelles_0_3mois*SUM(NbreJoursNourrirBovins)))</f>
        <v>0</v>
      </c>
      <c r="BJ273" s="1270">
        <f t="shared" si="74"/>
        <v>0</v>
      </c>
      <c r="BK273" s="1345"/>
      <c r="BL273" s="1345"/>
      <c r="BM273" s="1346"/>
      <c r="BN273" s="1321"/>
      <c r="BO273" s="1321"/>
      <c r="BP273" s="1321"/>
      <c r="BQ273" s="1321"/>
      <c r="BR273" s="1321"/>
      <c r="BS273" s="1321"/>
      <c r="BT273" s="1321"/>
      <c r="BU273" s="1321"/>
      <c r="BV273" s="1345"/>
      <c r="BW273" s="1345"/>
      <c r="BX273" s="1321"/>
      <c r="BY273" s="1321"/>
      <c r="BZ273" s="1321"/>
      <c r="CA273" s="1321"/>
      <c r="CB273" s="1321"/>
      <c r="CC273" s="1321"/>
      <c r="CD273" s="1345"/>
      <c r="CE273" s="1345"/>
      <c r="CF273" s="1345"/>
      <c r="CG273" s="1345"/>
      <c r="CH273" s="1345"/>
      <c r="CI273" s="1321"/>
      <c r="CJ273" s="1321"/>
      <c r="CK273" s="1321"/>
      <c r="CL273" s="1321"/>
      <c r="CM273" s="1321"/>
      <c r="CN273" s="1321"/>
      <c r="CO273" s="1321"/>
      <c r="CP273" s="1321"/>
      <c r="CQ273" s="1321"/>
      <c r="CR273" s="1321"/>
      <c r="CS273" s="1321"/>
      <c r="CT273" s="1321"/>
      <c r="CU273" s="1321"/>
      <c r="CV273" s="1321"/>
      <c r="CW273" s="1321"/>
      <c r="CX273" s="1321"/>
      <c r="CY273" s="1321"/>
      <c r="CZ273" s="1321"/>
      <c r="DA273" s="1321"/>
      <c r="DB273" s="1321"/>
      <c r="DC273" s="1321"/>
      <c r="DD273" s="1321"/>
      <c r="DE273" s="1321"/>
      <c r="DF273" s="1321"/>
      <c r="DG273" s="1321"/>
      <c r="DH273" s="1321"/>
      <c r="DI273" s="1321"/>
      <c r="DJ273" s="1321"/>
      <c r="DK273" s="1321"/>
      <c r="DL273" s="1321"/>
      <c r="DM273" s="1321"/>
      <c r="DN273" s="1075">
        <f t="shared" si="77"/>
        <v>0</v>
      </c>
      <c r="DO273" s="1269">
        <f t="array" ref="DO273">IF(ChoixRationHivernaleOvinsComplète=OUI,0,IFERROR(IF(OR(AND(INDEX(Règles_ovins[Specificite],MATCH(RationHivernaleOvinsAuPré&amp;$DN273,Règles_ovins[Ration]&amp;Règles_ovins[Aliment],0))="s1",IF($DN273=Spécificité1Ovins,1)),
AND(INDEX(Règles_ovins[Specificite],MATCH(RationHivernaleOvinsAuPré&amp;$DN273,Règles_ovins[Ration]&amp;Règles_ovins[Aliment],0))="s2",IF($DN273=Spécificité2Ovins,1)),
INDEX(Règles_ovins[Specificite],MATCH(RationHivernaleOvinsAuPré&amp;$DN273,Règles_ovins[Ration]&amp;Règles_ovins[Aliment],0))="c"),
INDEX(Règles_ovins[Valeur 12 et plus],MATCH(RationHivernaleOvinsAuPré&amp;$DN273,Règles_ovins[Ration]&amp;Règles_ovins[Aliment],0)),0),0)*IF(SUM(TotalOvinsAdultesAuPré)&gt;0,SUM(TotalOvinsAdultesAuPré)*SUM(AD76:AD100),SUM(TotalOvinsAdultes)*SUM(AD76:AD100)))</f>
        <v>0</v>
      </c>
      <c r="DP273" s="1269">
        <f t="array" ref="DP273">IF(ChoixRationHivernaleOvinsComplète=OUI,0,IFERROR(IF(OR(AND(INDEX(Règles_ovins[Specificite],MATCH(RationHivernaleOvinsAuPré&amp;$DN273,Règles_ovins[Ration]&amp;Règles_ovins[Aliment],0))="s1",IF($DN273=Spécificité1Ovins,1)),
AND(INDEX(Règles_ovins[Specificite],MATCH(RationHivernaleOvinsAuPré&amp;$DN273,Règles_ovins[Ration]&amp;Règles_ovins[Aliment],0))="s2",IF($DN273=Spécificité2Ovins,1)),
INDEX(Règles_ovins[Specificite],MATCH(RationHivernaleOvinsAuPré&amp;$DN273,Règles_ovins[Ration]&amp;Règles_ovins[Aliment],0))="c"),
INDEX(Règles_ovins[Valeur 6-12],MATCH(RationHivernaleOvinsAuPré&amp;$DN273,Règles_ovins[Ration]&amp;Règles_ovins[Aliment],0)),0),0)*IF(SUM(TotalOvins_6_12moisAuPré)&gt;0,SUM(TotalOvins_6_12moisAuPré)*SUM(AD76:AD100),SUM(TotalJeunesOvins)*SUM(AD76:AD100)))</f>
        <v>0</v>
      </c>
      <c r="DQ273" s="1269">
        <f t="array" ref="DQ273">IF(ChoixRationHivernaleOvinsComplète=OUI,0,IFERROR(IF(OR(AND(INDEX(Règles_ovins[Specificite],MATCH(RationHivernaleOvinsAuPré&amp;$DN273,Règles_ovins[Ration]&amp;Règles_ovins[Aliment],0))="s1",IF($DN273=Spécificité1Ovins,1)),
AND(INDEX(Règles_ovins[Specificite],MATCH(RationHivernaleOvinsAuPré&amp;$DN273,Règles_ovins[Ration]&amp;Règles_ovins[Aliment],0))="s2",IF($DN273=Spécificité2Ovins,1)),
INDEX(Règles_ovins[Specificite],MATCH(RationHivernaleOvinsAuPré&amp;$DN273,Règles_ovins[Ration]&amp;Règles_ovins[Aliment],0))="c"),
INDEX(Règles_ovins[Valeur 3-6],MATCH(RationHivernaleOvinsAuPré&amp;$DN273,Règles_ovins[Ration]&amp;Règles_ovins[Aliment],0)),0),0)*IF(SUM(TotalOvins_3_6moisAuPré)&gt;0,SUM(TotalOvins_3_6moisAuPré)*SUM(AD76:AD100),SUM(TotalOvins_3_6mois)*SUM(AD76:AD100)))</f>
        <v>0</v>
      </c>
      <c r="DR273" s="1269">
        <f t="array" ref="DR273">IF(ChoixRationHivernaleOvinsComplète=OUI,0,IFERROR(IF(OR(AND(INDEX(Règles_ovins[Specificite],MATCH(RationHivernaleOvinsAuPré&amp;$DN273,Règles_ovins[Ration]&amp;Règles_ovins[Aliment],0))="s1",IF($DN273=Spécificité1Ovins,1)),
AND(INDEX(Règles_ovins[Specificite],MATCH(RationHivernaleOvinsAuPré&amp;$DN273,Règles_ovins[Ration]&amp;Règles_ovins[Aliment],0))="s2",IF($DN273=Spécificité2Ovins,1)),
INDEX(Règles_ovins[Specificite],MATCH(RationHivernaleOvinsAuPré&amp;$DN273,Règles_ovins[Ration]&amp;Règles_ovins[Aliment],0))="c"),
INDEX(Règles_ovins[Valeur 0-3],MATCH(RationHivernaleOvinsAuPré&amp;$DN273,Règles_ovins[Ration]&amp;Règles_ovins[Aliment],0)),0),0)*IF(SUM(TotalOvins_0_3moisAuPré)&gt;0,SUM(TotalOvins_0_3moisAuPré)*SUM(AD76:AD100),SUM(TotalOvins_3_6mois)*SUM(AD76:AD100)))</f>
        <v>0</v>
      </c>
      <c r="DS273" s="1280">
        <f t="shared" si="76"/>
        <v>0</v>
      </c>
      <c r="DT273" s="1346"/>
      <c r="DU273" s="1346"/>
      <c r="DV273" s="1321"/>
      <c r="DW273" s="1321"/>
      <c r="DX273" s="1321"/>
      <c r="DY273" s="1321"/>
      <c r="DZ273" s="1321"/>
      <c r="EA273" s="1321"/>
      <c r="EB273" s="1321"/>
      <c r="EC273" s="1321"/>
      <c r="ED273" s="1345"/>
      <c r="EE273" s="1345"/>
      <c r="EF273" s="1321"/>
      <c r="EG273" s="1321"/>
      <c r="EH273" s="1321"/>
      <c r="EI273" s="1321"/>
      <c r="EJ273" s="1321"/>
      <c r="EK273" s="1345"/>
      <c r="EL273" s="1345"/>
      <c r="EM273" s="1321"/>
      <c r="EN273" s="1321"/>
      <c r="EO273" s="1321"/>
      <c r="EP273" s="1321"/>
      <c r="EQ273" s="1321"/>
      <c r="ER273" s="1345"/>
      <c r="ES273" s="1345"/>
      <c r="ET273" s="1321"/>
      <c r="EU273" s="1321"/>
      <c r="EV273" s="1321"/>
      <c r="EW273" s="1321"/>
      <c r="EX273" s="1321"/>
      <c r="EY273" s="1321"/>
      <c r="EZ273" s="1345"/>
      <c r="FA273" s="1345"/>
      <c r="FB273" s="1345"/>
      <c r="FC273" s="1321"/>
      <c r="FD273" s="1321"/>
      <c r="FE273" s="1321"/>
      <c r="FF273" s="1321"/>
      <c r="FG273" s="1321"/>
      <c r="FH273" s="1321"/>
      <c r="FI273" s="1345"/>
      <c r="FJ273" s="1345"/>
      <c r="FK273" s="1345"/>
      <c r="FL273" s="1345"/>
      <c r="FM273" s="1321"/>
      <c r="FN273" s="1321"/>
      <c r="FO273" s="1321"/>
      <c r="FP273" s="1321"/>
      <c r="FQ273" s="1321"/>
      <c r="FR273" s="1321"/>
      <c r="FS273" s="1345"/>
      <c r="FT273" s="1345"/>
      <c r="FU273" s="1345"/>
      <c r="FV273" s="1345"/>
      <c r="FW273" s="1321"/>
      <c r="FX273" s="1321"/>
      <c r="FY273" s="1321"/>
      <c r="FZ273" s="1321"/>
      <c r="GA273" s="1345"/>
      <c r="GB273" s="1321"/>
      <c r="GC273" s="1321"/>
      <c r="GD273" s="1321"/>
      <c r="GE273" s="1321"/>
      <c r="GF273" s="1321"/>
      <c r="GG273" s="1321" t="s">
        <v>1349</v>
      </c>
      <c r="GH273" s="1321" t="s">
        <v>1349</v>
      </c>
      <c r="GI273" s="1321" t="s">
        <v>1349</v>
      </c>
      <c r="GJ273" s="1321" t="s">
        <v>1349</v>
      </c>
      <c r="GK273" s="1321" t="s">
        <v>1349</v>
      </c>
      <c r="GL273" s="1321" t="s">
        <v>1349</v>
      </c>
      <c r="GM273" s="1321" t="s">
        <v>1349</v>
      </c>
      <c r="GN273" s="1321" t="s">
        <v>1349</v>
      </c>
      <c r="GO273" s="1321" t="s">
        <v>1349</v>
      </c>
      <c r="GP273" s="1321" t="s">
        <v>1349</v>
      </c>
      <c r="GQ273" s="1321" t="s">
        <v>1349</v>
      </c>
      <c r="GR273" s="1321" t="s">
        <v>1349</v>
      </c>
      <c r="GS273" s="1321" t="s">
        <v>1349</v>
      </c>
      <c r="GT273" s="1321" t="s">
        <v>1349</v>
      </c>
      <c r="GU273" s="1321" t="s">
        <v>1349</v>
      </c>
      <c r="GV273" s="1321" t="s">
        <v>1349</v>
      </c>
      <c r="GW273" s="1321"/>
      <c r="GX273" s="1321"/>
      <c r="GY273" s="1321"/>
      <c r="GZ273" s="1321"/>
      <c r="HA273" s="1321"/>
      <c r="HB273" s="1321"/>
      <c r="HC273" s="1321"/>
      <c r="HD273" s="1321"/>
      <c r="HE273" s="1321"/>
      <c r="HF273" s="1321"/>
      <c r="HG273" s="1321"/>
      <c r="HH273" s="1321"/>
      <c r="HI273" s="1321"/>
      <c r="HJ273" s="1321"/>
      <c r="HK273" s="1321"/>
      <c r="HL273" s="1321"/>
      <c r="HM273" s="1321"/>
      <c r="HN273" s="1321"/>
      <c r="HO273" s="1321"/>
      <c r="HP273" s="1321"/>
      <c r="HQ273" s="1321"/>
      <c r="HR273" s="1321"/>
      <c r="HS273" s="1321"/>
      <c r="HT273" s="1321"/>
      <c r="HU273" s="1321"/>
      <c r="HV273" s="1321"/>
      <c r="HW273" s="1321"/>
      <c r="HX273" s="1321"/>
      <c r="HY273" s="1321"/>
      <c r="HZ273" s="1321"/>
      <c r="IA273" s="1321"/>
      <c r="IB273" s="1321"/>
      <c r="IC273" s="1321"/>
      <c r="ID273" s="1321"/>
      <c r="IE273" s="1321"/>
      <c r="IF273" s="1321"/>
      <c r="IG273" s="1321"/>
      <c r="IH273" s="1321"/>
      <c r="II273" s="1321"/>
      <c r="IJ273" s="1321"/>
      <c r="IK273" s="1321"/>
      <c r="IL273" s="1321"/>
      <c r="IM273" s="1321"/>
      <c r="IN273" s="1368"/>
    </row>
    <row r="274" spans="1:248" ht="12.75" customHeight="1" x14ac:dyDescent="0.2">
      <c r="A274" s="1319"/>
      <c r="B274" s="1321"/>
      <c r="C274" s="1321"/>
      <c r="D274" s="1321"/>
      <c r="E274" s="1321"/>
      <c r="F274" s="1321"/>
      <c r="G274" s="1321"/>
      <c r="H274" s="1321"/>
      <c r="I274" s="1321"/>
      <c r="J274" s="1321"/>
      <c r="K274" s="1321"/>
      <c r="L274" s="1321"/>
      <c r="M274" s="1321"/>
      <c r="N274" s="1321"/>
      <c r="O274" s="1321"/>
      <c r="P274" s="1321"/>
      <c r="Q274" s="1321"/>
      <c r="R274" s="1321"/>
      <c r="S274" s="1321"/>
      <c r="T274" s="1321"/>
      <c r="U274" s="1321"/>
      <c r="V274" s="1321"/>
      <c r="W274" s="1321"/>
      <c r="X274" s="1321"/>
      <c r="Y274" s="1321"/>
      <c r="Z274" s="1321"/>
      <c r="AA274" s="1321"/>
      <c r="AB274" s="1321"/>
      <c r="AC274" s="1321"/>
      <c r="AD274" s="1321"/>
      <c r="AE274" s="1321"/>
      <c r="AF274" s="1321"/>
      <c r="AG274" s="1321"/>
      <c r="AH274" s="1321"/>
      <c r="AI274" s="1321"/>
      <c r="AJ274" s="1321"/>
      <c r="AK274" s="1321"/>
      <c r="AL274" s="1321"/>
      <c r="AM274" s="1321"/>
      <c r="AN274" s="1321"/>
      <c r="AO274" s="1321"/>
      <c r="AP274" s="1321"/>
      <c r="AQ274" s="1321"/>
      <c r="AR274" s="1321"/>
      <c r="AS274" s="1321"/>
      <c r="AT274" s="1321"/>
      <c r="AU274" s="1321"/>
      <c r="AV274" s="1321"/>
      <c r="AW274" s="1321"/>
      <c r="AX274" s="1321"/>
      <c r="AY274" s="1321"/>
      <c r="AZ274" s="1321"/>
      <c r="BA274" s="1321"/>
      <c r="BB274" s="1076">
        <f t="shared" si="75"/>
        <v>0</v>
      </c>
      <c r="BC274" s="1267">
        <f t="array" ref="BC274">IF(Ration_complète_bovins[somme]&gt;0,0,IFERROR(IF(OR(AND(INDEX(Règles_bovins[Specificite],MATCH(ChoixRationBovins&amp;$BB274,Règles_bovins[Ration]&amp;Règles_bovins[Aliment],0))="s1",IF($BB274=Spécificité1Bovins,1)),
AND(INDEX(Règles_bovins[Specificite],MATCH(ChoixRationBovins&amp;$BB274,Règles_bovins[Ration]&amp;Règles_bovins[Aliment],0))="s2",IF($BB274=Spécificité2Bovins,1)),
INDEX(Règles_bovins[Specificite],MATCH(ChoixRationBovins&amp;$BB274,Règles_bovins[Ration]&amp;Règles_bovins[Aliment],0))="c"),
INDEX(Règles_bovins[Valeur 36 et plus],MATCH(ChoixRationBovins&amp;$BB274,Règles_bovins[Ration]&amp;Règles_bovins[Aliment],0)),0),0)*IF(ChoixBovinsPréHiver=OUI,TotalVachesRacesLaitières,TotalVaches*SUM(NbreJoursNourrirBovins)))</f>
        <v>0</v>
      </c>
      <c r="BD274" s="1267">
        <f t="array" ref="BD274">IF(Ration_complète_bovins[somme]&gt;0,0,IFERROR(IF(OR(AND(INDEX(Règles_bovins[Specificite],MATCH(ChoixRationBovins&amp;$BB274,Règles_bovins[Ration]&amp;Règles_bovins[Aliment],0))="s1",IF($BB274=Spécificité1Bovins,1)),
AND(INDEX(Règles_bovins[Specificite],MATCH(ChoixRationBovins&amp;$BB274,Règles_bovins[Ration]&amp;Règles_bovins[Aliment],0))="s2",IF($BB274=Spécificité2Bovins,1)),
INDEX(Règles_bovins[Specificite],MATCH(ChoixRationBovins&amp;$BB274,Règles_bovins[Ration]&amp;Règles_bovins[Aliment],0))="c"),
INDEX(Règles_bovins[Valeur 24-36],MATCH(ChoixRationBovins&amp;$BB274,Règles_bovins[Ration]&amp;Règles_bovins[Aliment],0)),0),0)*IF(ChoixBovinsPréHiver=OUI,TotalGénisse_24_36_RacesLaitières,TotalBovinsFemelles_24_36mois*SUM(NbreJoursNourrirBovins)))</f>
        <v>0</v>
      </c>
      <c r="BE274" s="1267">
        <f t="array" ref="BE274">IF(Ration_complète_bovins[somme]&gt;0,0,IFERROR(IF(OR(AND(INDEX(Règles_bovins[Specificite],MATCH(ChoixRationBovins&amp;$BB274,Règles_bovins[Ration]&amp;Règles_bovins[Aliment],0))="s1",IF($BB274=Spécificité1Bovins,1)),
AND(INDEX(Règles_bovins[Specificite],MATCH(ChoixRationBovins&amp;$BB274,Règles_bovins[Ration]&amp;Règles_bovins[Aliment],0))="s2",IF($BB274=Spécificité2Bovins,1)),
INDEX(Règles_bovins[Specificite],MATCH(ChoixRationBovins&amp;$BB274,Règles_bovins[Ration]&amp;Règles_bovins[Aliment],0))="c"),
INDEX(Règles_bovins[Valeur 18-24],MATCH(ChoixRationBovins&amp;$BB274,Règles_bovins[Ration]&amp;Règles_bovins[Aliment],0)),0),0)*IF(ChoixBovinsPréHiver=OUI,TotalGénisse_18_24_RacesLaitières,TotalBovinsFemelles_18_24mois*SUM(NbreJoursNourrirBovins)))</f>
        <v>0</v>
      </c>
      <c r="BF274" s="1267">
        <f t="array" ref="BF274">IF(Ration_complète_bovins[somme]&gt;0,0,IFERROR(IF(OR(AND(INDEX(Règles_bovins[Specificite],MATCH(ChoixRationBovins&amp;$BB274,Règles_bovins[Ration]&amp;Règles_bovins[Aliment],0))="s1",IF($BB274=Spécificité1Bovins,1)),
AND(INDEX(Règles_bovins[Specificite],MATCH(ChoixRationBovins&amp;$BB274,Règles_bovins[Ration]&amp;Règles_bovins[Aliment],0))="s2",IF($BB274=Spécificité2Bovins,1)),
INDEX(Règles_bovins[Specificite],MATCH(ChoixRationBovins&amp;$BB274,Règles_bovins[Ration]&amp;Règles_bovins[Aliment],0))="c"),
INDEX(Règles_bovins[Valeur 12-18],MATCH(ChoixRationBovins&amp;$BB274,Règles_bovins[Ration]&amp;Règles_bovins[Aliment],0)),0),0)*IF(ChoixBovinsPréHiver=OUI,TotalGénisse_12_18_RacesLaitières,TotalBovinsFemelles_12_18mois*SUM(NbreJoursNourrirBovins)))</f>
        <v>0</v>
      </c>
      <c r="BG274" s="1267">
        <f t="array" ref="BG274">IF(Ration_complète_bovins[somme]&gt;0,0,IFERROR(IF(OR(AND(INDEX(Règles_bovins[Specificite],MATCH(ChoixRationBovins&amp;$BB274,Règles_bovins[Ration]&amp;Règles_bovins[Aliment],0))="s1",IF($BB274=Spécificité1Bovins,1)),
AND(INDEX(Règles_bovins[Specificite],MATCH(ChoixRationBovins&amp;$BB274,Règles_bovins[Ration]&amp;Règles_bovins[Aliment],0))="s2",IF($BB274=Spécificité2Bovins,1)),
INDEX(Règles_bovins[Specificite],MATCH(ChoixRationBovins&amp;$BB274,Règles_bovins[Ration]&amp;Règles_bovins[Aliment],0))="c"),
INDEX(Règles_bovins[Valeur 6-12],MATCH(ChoixRationBovins&amp;$BB274,Règles_bovins[Ration]&amp;Règles_bovins[Aliment],0)),0),0)*IF(ChoixBovinsPréHiver=OUI,TotalVeauFemelle_6_12_RacesLaitières,TotalBovinsFemelles_6_12mois*SUM(NbreJoursNourrirBovins)))</f>
        <v>0</v>
      </c>
      <c r="BH274" s="1267">
        <f t="array" ref="BH274">IF(Ration_complète_bovins[somme]&gt;0,0,IFERROR(IF(OR(AND(INDEX(Règles_bovins[Specificite],MATCH(ChoixRationBovins&amp;$BB274,Règles_bovins[Ration]&amp;Règles_bovins[Aliment],0))="s1",IF($BB274=Spécificité1Bovins,1)),
AND(INDEX(Règles_bovins[Specificite],MATCH(ChoixRationBovins&amp;$BB274,Règles_bovins[Ration]&amp;Règles_bovins[Aliment],0))="s2",IF($BB274=Spécificité2Bovins,1)),
INDEX(Règles_bovins[Specificite],MATCH(ChoixRationBovins&amp;$BB274,Règles_bovins[Ration]&amp;Règles_bovins[Aliment],0))="c"),
INDEX(Règles_bovins[Valeur 3-6],MATCH(ChoixRationBovins&amp;$BB274,Règles_bovins[Ration]&amp;Règles_bovins[Aliment],0)),0),0)*IF(ChoixBovinsPréHiver=OUI,TotalVeauFemelle_3_6_RacesLaitières,TotalBovinsFemelles_3_6mois*SUM(NbreJoursNourrirBovins)))</f>
        <v>0</v>
      </c>
      <c r="BI274" s="1267">
        <f t="array" ref="BI274">IF(Ration_complète_bovins[somme]&gt;0,0,IFERROR(IF(OR(AND(INDEX(Règles_bovins[Specificite],MATCH(ChoixRationBovins&amp;$BB274,Règles_bovins[Ration]&amp;Règles_bovins[Aliment],0))="s1",IF($BB274=Spécificité1Bovins,1)),
AND(INDEX(Règles_bovins[Specificite],MATCH(ChoixRationBovins&amp;$BB274,Règles_bovins[Ration]&amp;Règles_bovins[Aliment],0))="s2",IF($BB274=Spécificité2Bovins,1)),
INDEX(Règles_bovins[Specificite],MATCH(ChoixRationBovins&amp;$BB274,Règles_bovins[Ration]&amp;Règles_bovins[Aliment],0))="c"),
INDEX(Règles_bovins[Valeur 0-3],MATCH(ChoixRationBovins&amp;$BB274,Règles_bovins[Ration]&amp;Règles_bovins[Aliment],0)),0),0)*IF(ChoixBovinsPréHiver=OUI,TotalVeauFemelle_0_3_RacesLaitières,TotalBovinsFemelles_0_3mois*SUM(NbreJoursNourrirBovins)))</f>
        <v>0</v>
      </c>
      <c r="BJ274" s="1268">
        <f t="shared" si="74"/>
        <v>0</v>
      </c>
      <c r="BK274" s="1345"/>
      <c r="BL274" s="1345"/>
      <c r="BM274" s="1346"/>
      <c r="BN274" s="1321"/>
      <c r="BO274" s="1321"/>
      <c r="BP274" s="1321"/>
      <c r="BQ274" s="1321"/>
      <c r="BR274" s="1321"/>
      <c r="BS274" s="1321"/>
      <c r="BT274" s="1321"/>
      <c r="BU274" s="1321"/>
      <c r="BV274" s="1345"/>
      <c r="BW274" s="1345"/>
      <c r="BX274" s="1321"/>
      <c r="BY274" s="1321"/>
      <c r="BZ274" s="1321"/>
      <c r="CA274" s="1321"/>
      <c r="CB274" s="1321"/>
      <c r="CC274" s="1321"/>
      <c r="CD274" s="1345"/>
      <c r="CE274" s="1345"/>
      <c r="CF274" s="1345"/>
      <c r="CG274" s="1345"/>
      <c r="CH274" s="1345"/>
      <c r="CI274" s="1321"/>
      <c r="CJ274" s="1321"/>
      <c r="CK274" s="1321"/>
      <c r="CL274" s="1321"/>
      <c r="CM274" s="1321"/>
      <c r="CN274" s="1321"/>
      <c r="CO274" s="1321"/>
      <c r="CP274" s="1321"/>
      <c r="CQ274" s="1321"/>
      <c r="CR274" s="1321"/>
      <c r="CS274" s="1321"/>
      <c r="CT274" s="1321"/>
      <c r="CU274" s="1321"/>
      <c r="CV274" s="1321"/>
      <c r="CW274" s="1321"/>
      <c r="CX274" s="1321"/>
      <c r="CY274" s="1321"/>
      <c r="CZ274" s="1321"/>
      <c r="DA274" s="1321"/>
      <c r="DB274" s="1321"/>
      <c r="DC274" s="1321"/>
      <c r="DD274" s="1321"/>
      <c r="DE274" s="1321"/>
      <c r="DF274" s="1321"/>
      <c r="DG274" s="1321"/>
      <c r="DH274" s="1321"/>
      <c r="DI274" s="1321"/>
      <c r="DJ274" s="1321"/>
      <c r="DK274" s="1321"/>
      <c r="DL274" s="1321"/>
      <c r="DM274" s="1321"/>
      <c r="DN274" s="1076">
        <f t="shared" si="77"/>
        <v>0</v>
      </c>
      <c r="DO274" s="1267">
        <f t="array" ref="DO274">IF(ChoixRationHivernaleOvinsComplète=OUI,0,IFERROR(IF(OR(AND(INDEX(Règles_ovins[Specificite],MATCH(RationHivernaleOvinsAuPré&amp;$DN274,Règles_ovins[Ration]&amp;Règles_ovins[Aliment],0))="s1",IF($DN274=Spécificité1Ovins,1)),
AND(INDEX(Règles_ovins[Specificite],MATCH(RationHivernaleOvinsAuPré&amp;$DN274,Règles_ovins[Ration]&amp;Règles_ovins[Aliment],0))="s2",IF($DN274=Spécificité2Ovins,1)),
INDEX(Règles_ovins[Specificite],MATCH(RationHivernaleOvinsAuPré&amp;$DN274,Règles_ovins[Ration]&amp;Règles_ovins[Aliment],0))="c"),
INDEX(Règles_ovins[Valeur 12 et plus],MATCH(RationHivernaleOvinsAuPré&amp;$DN274,Règles_ovins[Ration]&amp;Règles_ovins[Aliment],0)),0),0)*IF(SUM(TotalOvinsAdultesAuPré)&gt;0,SUM(TotalOvinsAdultesAuPré)*SUM(AD76:AD100),SUM(TotalOvinsAdultes)*SUM(AD76:AD100)))</f>
        <v>0</v>
      </c>
      <c r="DP274" s="1267">
        <f t="array" ref="DP274">IF(ChoixRationHivernaleOvinsComplète=OUI,0,IFERROR(IF(OR(AND(INDEX(Règles_ovins[Specificite],MATCH(RationHivernaleOvinsAuPré&amp;$DN274,Règles_ovins[Ration]&amp;Règles_ovins[Aliment],0))="s1",IF($DN274=Spécificité1Ovins,1)),
AND(INDEX(Règles_ovins[Specificite],MATCH(RationHivernaleOvinsAuPré&amp;$DN274,Règles_ovins[Ration]&amp;Règles_ovins[Aliment],0))="s2",IF($DN274=Spécificité2Ovins,1)),
INDEX(Règles_ovins[Specificite],MATCH(RationHivernaleOvinsAuPré&amp;$DN274,Règles_ovins[Ration]&amp;Règles_ovins[Aliment],0))="c"),
INDEX(Règles_ovins[Valeur 6-12],MATCH(RationHivernaleOvinsAuPré&amp;$DN274,Règles_ovins[Ration]&amp;Règles_ovins[Aliment],0)),0),0)*IF(SUM(TotalOvins_6_12moisAuPré)&gt;0,SUM(TotalOvins_6_12moisAuPré)*SUM(AD76:AD100),SUM(TotalJeunesOvins)*SUM(AD76:AD100)))</f>
        <v>0</v>
      </c>
      <c r="DQ274" s="1267">
        <f t="array" ref="DQ274">IF(ChoixRationHivernaleOvinsComplète=OUI,0,IFERROR(IF(OR(AND(INDEX(Règles_ovins[Specificite],MATCH(RationHivernaleOvinsAuPré&amp;$DN274,Règles_ovins[Ration]&amp;Règles_ovins[Aliment],0))="s1",IF($DN274=Spécificité1Ovins,1)),
AND(INDEX(Règles_ovins[Specificite],MATCH(RationHivernaleOvinsAuPré&amp;$DN274,Règles_ovins[Ration]&amp;Règles_ovins[Aliment],0))="s2",IF($DN274=Spécificité2Ovins,1)),
INDEX(Règles_ovins[Specificite],MATCH(RationHivernaleOvinsAuPré&amp;$DN274,Règles_ovins[Ration]&amp;Règles_ovins[Aliment],0))="c"),
INDEX(Règles_ovins[Valeur 3-6],MATCH(RationHivernaleOvinsAuPré&amp;$DN274,Règles_ovins[Ration]&amp;Règles_ovins[Aliment],0)),0),0)*IF(SUM(TotalOvins_3_6moisAuPré)&gt;0,SUM(TotalOvins_3_6moisAuPré)*SUM(AD76:AD100),SUM(TotalOvins_3_6mois)*SUM(AD76:AD100)))</f>
        <v>0</v>
      </c>
      <c r="DR274" s="1267">
        <f t="array" ref="DR274">IF(ChoixRationHivernaleOvinsComplète=OUI,0,IFERROR(IF(OR(AND(INDEX(Règles_ovins[Specificite],MATCH(RationHivernaleOvinsAuPré&amp;$DN274,Règles_ovins[Ration]&amp;Règles_ovins[Aliment],0))="s1",IF($DN274=Spécificité1Ovins,1)),
AND(INDEX(Règles_ovins[Specificite],MATCH(RationHivernaleOvinsAuPré&amp;$DN274,Règles_ovins[Ration]&amp;Règles_ovins[Aliment],0))="s2",IF($DN274=Spécificité2Ovins,1)),
INDEX(Règles_ovins[Specificite],MATCH(RationHivernaleOvinsAuPré&amp;$DN274,Règles_ovins[Ration]&amp;Règles_ovins[Aliment],0))="c"),
INDEX(Règles_ovins[Valeur 0-3],MATCH(RationHivernaleOvinsAuPré&amp;$DN274,Règles_ovins[Ration]&amp;Règles_ovins[Aliment],0)),0),0)*IF(SUM(TotalOvins_0_3moisAuPré)&gt;0,SUM(TotalOvins_0_3moisAuPré)*SUM(AD76:AD100),SUM(TotalOvins_3_6mois)*SUM(AD76:AD100)))</f>
        <v>0</v>
      </c>
      <c r="DS274" s="1279">
        <f t="shared" si="76"/>
        <v>0</v>
      </c>
      <c r="DT274" s="1346"/>
      <c r="DU274" s="1346"/>
      <c r="DV274" s="1321"/>
      <c r="DW274" s="1321"/>
      <c r="DX274" s="1321"/>
      <c r="DY274" s="1321"/>
      <c r="DZ274" s="1321"/>
      <c r="EA274" s="1321"/>
      <c r="EB274" s="1321"/>
      <c r="EC274" s="1321"/>
      <c r="ED274" s="1345"/>
      <c r="EE274" s="1345"/>
      <c r="EF274" s="1321"/>
      <c r="EG274" s="1321"/>
      <c r="EH274" s="1321"/>
      <c r="EI274" s="1321"/>
      <c r="EJ274" s="1321"/>
      <c r="EK274" s="1345"/>
      <c r="EL274" s="1345"/>
      <c r="EM274" s="1321"/>
      <c r="EN274" s="1321"/>
      <c r="EO274" s="1321"/>
      <c r="EP274" s="1321"/>
      <c r="EQ274" s="1321"/>
      <c r="ER274" s="1345"/>
      <c r="ES274" s="1345"/>
      <c r="ET274" s="1321"/>
      <c r="EU274" s="1321"/>
      <c r="EV274" s="1321"/>
      <c r="EW274" s="1321"/>
      <c r="EX274" s="1321"/>
      <c r="EY274" s="1321"/>
      <c r="EZ274" s="1345"/>
      <c r="FA274" s="1345"/>
      <c r="FB274" s="1345"/>
      <c r="FC274" s="1321"/>
      <c r="FD274" s="1321"/>
      <c r="FE274" s="1321"/>
      <c r="FF274" s="1321"/>
      <c r="FG274" s="1321"/>
      <c r="FH274" s="1321"/>
      <c r="FI274" s="1345"/>
      <c r="FJ274" s="1345"/>
      <c r="FK274" s="1345"/>
      <c r="FL274" s="1345"/>
      <c r="FM274" s="1321"/>
      <c r="FN274" s="1321"/>
      <c r="FO274" s="1321"/>
      <c r="FP274" s="1321"/>
      <c r="FQ274" s="1321"/>
      <c r="FR274" s="1321"/>
      <c r="FS274" s="1345"/>
      <c r="FT274" s="1345"/>
      <c r="FU274" s="1345"/>
      <c r="FV274" s="1345"/>
      <c r="FW274" s="1321"/>
      <c r="FX274" s="1321"/>
      <c r="FY274" s="1321"/>
      <c r="FZ274" s="1321"/>
      <c r="GA274" s="1345"/>
      <c r="GB274" s="1321"/>
      <c r="GC274" s="1321"/>
      <c r="GD274" s="1321"/>
      <c r="GE274" s="1321"/>
      <c r="GF274" s="1321"/>
      <c r="GG274" s="1321" t="s">
        <v>1349</v>
      </c>
      <c r="GH274" s="1321" t="s">
        <v>1349</v>
      </c>
      <c r="GI274" s="1321" t="s">
        <v>1349</v>
      </c>
      <c r="GJ274" s="1321" t="s">
        <v>1349</v>
      </c>
      <c r="GK274" s="1321" t="s">
        <v>1349</v>
      </c>
      <c r="GL274" s="1321" t="s">
        <v>1349</v>
      </c>
      <c r="GM274" s="1321" t="s">
        <v>1349</v>
      </c>
      <c r="GN274" s="1321" t="s">
        <v>1349</v>
      </c>
      <c r="GO274" s="1321" t="s">
        <v>1349</v>
      </c>
      <c r="GP274" s="1321" t="s">
        <v>1349</v>
      </c>
      <c r="GQ274" s="1321" t="s">
        <v>1349</v>
      </c>
      <c r="GR274" s="1321" t="s">
        <v>1349</v>
      </c>
      <c r="GS274" s="1321" t="s">
        <v>1349</v>
      </c>
      <c r="GT274" s="1321" t="s">
        <v>1349</v>
      </c>
      <c r="GU274" s="1321" t="s">
        <v>1349</v>
      </c>
      <c r="GV274" s="1321" t="s">
        <v>1349</v>
      </c>
      <c r="GW274" s="1321"/>
      <c r="GX274" s="1321"/>
      <c r="GY274" s="1321"/>
      <c r="GZ274" s="1321"/>
      <c r="HA274" s="1321"/>
      <c r="HB274" s="1321"/>
      <c r="HC274" s="1321"/>
      <c r="HD274" s="1321"/>
      <c r="HE274" s="1321"/>
      <c r="HF274" s="1321"/>
      <c r="HG274" s="1321"/>
      <c r="HH274" s="1321"/>
      <c r="HI274" s="1321"/>
      <c r="HJ274" s="1321"/>
      <c r="HK274" s="1321"/>
      <c r="HL274" s="1321"/>
      <c r="HM274" s="1321"/>
      <c r="HN274" s="1321"/>
      <c r="HO274" s="1321"/>
      <c r="HP274" s="1321"/>
      <c r="HQ274" s="1321"/>
      <c r="HR274" s="1321"/>
      <c r="HS274" s="1321"/>
      <c r="HT274" s="1321"/>
      <c r="HU274" s="1321"/>
      <c r="HV274" s="1321"/>
      <c r="HW274" s="1321"/>
      <c r="HX274" s="1321"/>
      <c r="HY274" s="1321"/>
      <c r="HZ274" s="1321"/>
      <c r="IA274" s="1321"/>
      <c r="IB274" s="1321"/>
      <c r="IC274" s="1321"/>
      <c r="ID274" s="1321"/>
      <c r="IE274" s="1321"/>
      <c r="IF274" s="1321"/>
      <c r="IG274" s="1321"/>
      <c r="IH274" s="1321"/>
      <c r="II274" s="1321"/>
      <c r="IJ274" s="1321"/>
      <c r="IK274" s="1321"/>
      <c r="IL274" s="1321"/>
      <c r="IM274" s="1321"/>
      <c r="IN274" s="1368"/>
    </row>
    <row r="275" spans="1:248" ht="12.75" customHeight="1" x14ac:dyDescent="0.2">
      <c r="A275" s="1319"/>
      <c r="B275" s="1321"/>
      <c r="C275" s="1321"/>
      <c r="D275" s="1321"/>
      <c r="E275" s="1321"/>
      <c r="F275" s="1321"/>
      <c r="G275" s="1321"/>
      <c r="H275" s="1321"/>
      <c r="I275" s="1321"/>
      <c r="J275" s="1321"/>
      <c r="K275" s="1321"/>
      <c r="L275" s="1321"/>
      <c r="M275" s="1321"/>
      <c r="N275" s="1321"/>
      <c r="O275" s="1321"/>
      <c r="P275" s="1321"/>
      <c r="Q275" s="1321"/>
      <c r="R275" s="1321"/>
      <c r="S275" s="1321"/>
      <c r="T275" s="1321"/>
      <c r="U275" s="1321"/>
      <c r="V275" s="1321"/>
      <c r="W275" s="1321"/>
      <c r="X275" s="1321"/>
      <c r="Y275" s="1321"/>
      <c r="Z275" s="1321"/>
      <c r="AA275" s="1321"/>
      <c r="AB275" s="1321"/>
      <c r="AC275" s="1321"/>
      <c r="AD275" s="1321"/>
      <c r="AE275" s="1321"/>
      <c r="AF275" s="1321"/>
      <c r="AG275" s="1321"/>
      <c r="AH275" s="1321"/>
      <c r="AI275" s="1321"/>
      <c r="AJ275" s="1321"/>
      <c r="AK275" s="1321"/>
      <c r="AL275" s="1321"/>
      <c r="AM275" s="1321"/>
      <c r="AN275" s="1321"/>
      <c r="AO275" s="1321"/>
      <c r="AP275" s="1321"/>
      <c r="AQ275" s="1321"/>
      <c r="AR275" s="1321"/>
      <c r="AS275" s="1321"/>
      <c r="AT275" s="1321"/>
      <c r="AU275" s="1321"/>
      <c r="AV275" s="1321"/>
      <c r="AW275" s="1321"/>
      <c r="AX275" s="1321"/>
      <c r="AY275" s="1321"/>
      <c r="AZ275" s="1321"/>
      <c r="BA275" s="1321"/>
      <c r="BB275" s="1336"/>
      <c r="BC275" s="1341"/>
      <c r="BD275" s="1341"/>
      <c r="BE275" s="1341"/>
      <c r="BF275" s="1341"/>
      <c r="BG275" s="1341"/>
      <c r="BH275" s="1341"/>
      <c r="BI275" s="1341"/>
      <c r="BJ275" s="1351"/>
      <c r="BK275" s="1345"/>
      <c r="BL275" s="1345"/>
      <c r="BM275" s="1346"/>
      <c r="BN275" s="1321"/>
      <c r="BO275" s="1321"/>
      <c r="BP275" s="1321"/>
      <c r="BQ275" s="1321"/>
      <c r="BR275" s="1321"/>
      <c r="BS275" s="1321"/>
      <c r="BT275" s="1321"/>
      <c r="BU275" s="1321"/>
      <c r="BV275" s="1345"/>
      <c r="BW275" s="1345"/>
      <c r="BX275" s="1321"/>
      <c r="BY275" s="1321"/>
      <c r="BZ275" s="1321"/>
      <c r="CA275" s="1321"/>
      <c r="CB275" s="1321"/>
      <c r="CC275" s="1321"/>
      <c r="CD275" s="1345"/>
      <c r="CE275" s="1345"/>
      <c r="CF275" s="1345"/>
      <c r="CG275" s="1345"/>
      <c r="CH275" s="1345"/>
      <c r="CI275" s="1321"/>
      <c r="CJ275" s="1321"/>
      <c r="CK275" s="1321"/>
      <c r="CL275" s="1321"/>
      <c r="CM275" s="1321"/>
      <c r="CN275" s="1321"/>
      <c r="CO275" s="1321"/>
      <c r="CP275" s="1321"/>
      <c r="CQ275" s="1321"/>
      <c r="CR275" s="1321"/>
      <c r="CS275" s="1321"/>
      <c r="CT275" s="1321"/>
      <c r="CU275" s="1321"/>
      <c r="CV275" s="1321"/>
      <c r="CW275" s="1321"/>
      <c r="CX275" s="1321"/>
      <c r="CY275" s="1321"/>
      <c r="CZ275" s="1321"/>
      <c r="DA275" s="1321"/>
      <c r="DB275" s="1321"/>
      <c r="DC275" s="1321"/>
      <c r="DD275" s="1321"/>
      <c r="DE275" s="1321"/>
      <c r="DF275" s="1321"/>
      <c r="DG275" s="1321"/>
      <c r="DH275" s="1321"/>
      <c r="DI275" s="1321"/>
      <c r="DJ275" s="1321"/>
      <c r="DK275" s="1321"/>
      <c r="DL275" s="1321"/>
      <c r="DM275" s="1321"/>
      <c r="DN275" s="1075">
        <f t="shared" si="77"/>
        <v>0</v>
      </c>
      <c r="DO275" s="1269">
        <f t="array" ref="DO275">IF(ChoixRationHivernaleOvinsComplète=OUI,0,IFERROR(IF(OR(AND(INDEX(Règles_ovins[Specificite],MATCH(RationHivernaleOvinsAuPré&amp;$DN275,Règles_ovins[Ration]&amp;Règles_ovins[Aliment],0))="s1",IF($DN275=Spécificité1Ovins,1)),
AND(INDEX(Règles_ovins[Specificite],MATCH(RationHivernaleOvinsAuPré&amp;$DN275,Règles_ovins[Ration]&amp;Règles_ovins[Aliment],0))="s2",IF($DN275=Spécificité2Ovins,1)),
INDEX(Règles_ovins[Specificite],MATCH(RationHivernaleOvinsAuPré&amp;$DN275,Règles_ovins[Ration]&amp;Règles_ovins[Aliment],0))="c"),
INDEX(Règles_ovins[Valeur 12 et plus],MATCH(RationHivernaleOvinsAuPré&amp;$DN275,Règles_ovins[Ration]&amp;Règles_ovins[Aliment],0)),0),0)*IF(SUM(TotalOvinsAdultesAuPré)&gt;0,SUM(TotalOvinsAdultesAuPré)*SUM(AD76:AD100),SUM(TotalOvinsAdultes)*SUM(AD76:AD100)))</f>
        <v>0</v>
      </c>
      <c r="DP275" s="1269">
        <f t="array" ref="DP275">IF(ChoixRationHivernaleOvinsComplète=OUI,0,IFERROR(IF(OR(AND(INDEX(Règles_ovins[Specificite],MATCH(RationHivernaleOvinsAuPré&amp;$DN275,Règles_ovins[Ration]&amp;Règles_ovins[Aliment],0))="s1",IF($DN275=Spécificité1Ovins,1)),
AND(INDEX(Règles_ovins[Specificite],MATCH(RationHivernaleOvinsAuPré&amp;$DN275,Règles_ovins[Ration]&amp;Règles_ovins[Aliment],0))="s2",IF($DN275=Spécificité2Ovins,1)),
INDEX(Règles_ovins[Specificite],MATCH(RationHivernaleOvinsAuPré&amp;$DN275,Règles_ovins[Ration]&amp;Règles_ovins[Aliment],0))="c"),
INDEX(Règles_ovins[Valeur 6-12],MATCH(RationHivernaleOvinsAuPré&amp;$DN275,Règles_ovins[Ration]&amp;Règles_ovins[Aliment],0)),0),0)*IF(SUM(TotalOvins_6_12moisAuPré)&gt;0,SUM(TotalOvins_6_12moisAuPré)*SUM(AD76:AD100),SUM(TotalJeunesOvins)*SUM(AD76:AD100)))</f>
        <v>0</v>
      </c>
      <c r="DQ275" s="1269">
        <f t="array" ref="DQ275">IF(ChoixRationHivernaleOvinsComplète=OUI,0,IFERROR(IF(OR(AND(INDEX(Règles_ovins[Specificite],MATCH(RationHivernaleOvinsAuPré&amp;$DN275,Règles_ovins[Ration]&amp;Règles_ovins[Aliment],0))="s1",IF($DN275=Spécificité1Ovins,1)),
AND(INDEX(Règles_ovins[Specificite],MATCH(RationHivernaleOvinsAuPré&amp;$DN275,Règles_ovins[Ration]&amp;Règles_ovins[Aliment],0))="s2",IF($DN275=Spécificité2Ovins,1)),
INDEX(Règles_ovins[Specificite],MATCH(RationHivernaleOvinsAuPré&amp;$DN275,Règles_ovins[Ration]&amp;Règles_ovins[Aliment],0))="c"),
INDEX(Règles_ovins[Valeur 3-6],MATCH(RationHivernaleOvinsAuPré&amp;$DN275,Règles_ovins[Ration]&amp;Règles_ovins[Aliment],0)),0),0)*IF(SUM(TotalOvins_3_6moisAuPré)&gt;0,SUM(TotalOvins_3_6moisAuPré)*SUM(AD76:AD100),SUM(TotalOvins_3_6mois)*SUM(AD76:AD100)))</f>
        <v>0</v>
      </c>
      <c r="DR275" s="1269">
        <f t="array" ref="DR275">IF(ChoixRationHivernaleOvinsComplète=OUI,0,IFERROR(IF(OR(AND(INDEX(Règles_ovins[Specificite],MATCH(RationHivernaleOvinsAuPré&amp;$DN275,Règles_ovins[Ration]&amp;Règles_ovins[Aliment],0))="s1",IF($DN275=Spécificité1Ovins,1)),
AND(INDEX(Règles_ovins[Specificite],MATCH(RationHivernaleOvinsAuPré&amp;$DN275,Règles_ovins[Ration]&amp;Règles_ovins[Aliment],0))="s2",IF($DN275=Spécificité2Ovins,1)),
INDEX(Règles_ovins[Specificite],MATCH(RationHivernaleOvinsAuPré&amp;$DN275,Règles_ovins[Ration]&amp;Règles_ovins[Aliment],0))="c"),
INDEX(Règles_ovins[Valeur 0-3],MATCH(RationHivernaleOvinsAuPré&amp;$DN275,Règles_ovins[Ration]&amp;Règles_ovins[Aliment],0)),0),0)*IF(SUM(TotalOvins_0_3moisAuPré)&gt;0,SUM(TotalOvins_0_3moisAuPré)*SUM(AD76:AD100),SUM(TotalOvins_3_6mois)*SUM(AD76:AD100)))</f>
        <v>0</v>
      </c>
      <c r="DS275" s="1280">
        <f t="shared" si="76"/>
        <v>0</v>
      </c>
      <c r="DT275" s="1346"/>
      <c r="DU275" s="1346"/>
      <c r="DV275" s="1321"/>
      <c r="DW275" s="1321"/>
      <c r="DX275" s="1321"/>
      <c r="DY275" s="1321"/>
      <c r="DZ275" s="1321"/>
      <c r="EA275" s="1321"/>
      <c r="EB275" s="1321"/>
      <c r="EC275" s="1321"/>
      <c r="ED275" s="1345"/>
      <c r="EE275" s="1345"/>
      <c r="EF275" s="1321"/>
      <c r="EG275" s="1321"/>
      <c r="EH275" s="1321"/>
      <c r="EI275" s="1321"/>
      <c r="EJ275" s="1321"/>
      <c r="EK275" s="1345"/>
      <c r="EL275" s="1345"/>
      <c r="EM275" s="1321"/>
      <c r="EN275" s="1321"/>
      <c r="EO275" s="1321"/>
      <c r="EP275" s="1321"/>
      <c r="EQ275" s="1321"/>
      <c r="ER275" s="1345"/>
      <c r="ES275" s="1345"/>
      <c r="ET275" s="1321"/>
      <c r="EU275" s="1321"/>
      <c r="EV275" s="1321"/>
      <c r="EW275" s="1321"/>
      <c r="EX275" s="1321"/>
      <c r="EY275" s="1321"/>
      <c r="EZ275" s="1345"/>
      <c r="FA275" s="1345"/>
      <c r="FB275" s="1345"/>
      <c r="FC275" s="1321"/>
      <c r="FD275" s="1321"/>
      <c r="FE275" s="1321"/>
      <c r="FF275" s="1321"/>
      <c r="FG275" s="1321"/>
      <c r="FH275" s="1321"/>
      <c r="FI275" s="1345"/>
      <c r="FJ275" s="1345"/>
      <c r="FK275" s="1345"/>
      <c r="FL275" s="1345"/>
      <c r="FM275" s="1321"/>
      <c r="FN275" s="1321"/>
      <c r="FO275" s="1321"/>
      <c r="FP275" s="1321"/>
      <c r="FQ275" s="1321"/>
      <c r="FR275" s="1321"/>
      <c r="FS275" s="1345"/>
      <c r="FT275" s="1345"/>
      <c r="FU275" s="1345"/>
      <c r="FV275" s="1345"/>
      <c r="FW275" s="1321"/>
      <c r="FX275" s="1321"/>
      <c r="FY275" s="1321"/>
      <c r="FZ275" s="1321"/>
      <c r="GA275" s="1345"/>
      <c r="GB275" s="1321"/>
      <c r="GC275" s="1321"/>
      <c r="GD275" s="1321"/>
      <c r="GE275" s="1321"/>
      <c r="GF275" s="1321"/>
      <c r="GG275" s="1321" t="s">
        <v>1349</v>
      </c>
      <c r="GH275" s="1321" t="s">
        <v>1349</v>
      </c>
      <c r="GI275" s="1321" t="s">
        <v>1349</v>
      </c>
      <c r="GJ275" s="1321" t="s">
        <v>1349</v>
      </c>
      <c r="GK275" s="1321" t="s">
        <v>1349</v>
      </c>
      <c r="GL275" s="1321" t="s">
        <v>1349</v>
      </c>
      <c r="GM275" s="1321" t="s">
        <v>1349</v>
      </c>
      <c r="GN275" s="1321" t="s">
        <v>1349</v>
      </c>
      <c r="GO275" s="1321" t="s">
        <v>1349</v>
      </c>
      <c r="GP275" s="1321" t="s">
        <v>1349</v>
      </c>
      <c r="GQ275" s="1321" t="s">
        <v>1349</v>
      </c>
      <c r="GR275" s="1321" t="s">
        <v>1349</v>
      </c>
      <c r="GS275" s="1321" t="s">
        <v>1349</v>
      </c>
      <c r="GT275" s="1321" t="s">
        <v>1349</v>
      </c>
      <c r="GU275" s="1321" t="s">
        <v>1349</v>
      </c>
      <c r="GV275" s="1321" t="s">
        <v>1349</v>
      </c>
      <c r="GW275" s="1321"/>
      <c r="GX275" s="1321"/>
      <c r="GY275" s="1321"/>
      <c r="GZ275" s="1321"/>
      <c r="HA275" s="1321"/>
      <c r="HB275" s="1321"/>
      <c r="HC275" s="1321"/>
      <c r="HD275" s="1321"/>
      <c r="HE275" s="1321"/>
      <c r="HF275" s="1321"/>
      <c r="HG275" s="1321"/>
      <c r="HH275" s="1321"/>
      <c r="HI275" s="1321"/>
      <c r="HJ275" s="1321"/>
      <c r="HK275" s="1321"/>
      <c r="HL275" s="1321"/>
      <c r="HM275" s="1321"/>
      <c r="HN275" s="1321"/>
      <c r="HO275" s="1321"/>
      <c r="HP275" s="1321"/>
      <c r="HQ275" s="1321"/>
      <c r="HR275" s="1321"/>
      <c r="HS275" s="1321"/>
      <c r="HT275" s="1321"/>
      <c r="HU275" s="1321"/>
      <c r="HV275" s="1321"/>
      <c r="HW275" s="1321"/>
      <c r="HX275" s="1321"/>
      <c r="HY275" s="1321"/>
      <c r="HZ275" s="1321"/>
      <c r="IA275" s="1321"/>
      <c r="IB275" s="1321"/>
      <c r="IC275" s="1321"/>
      <c r="ID275" s="1321"/>
      <c r="IE275" s="1321"/>
      <c r="IF275" s="1321"/>
      <c r="IG275" s="1321"/>
      <c r="IH275" s="1321"/>
      <c r="II275" s="1321"/>
      <c r="IJ275" s="1321"/>
      <c r="IK275" s="1321"/>
      <c r="IL275" s="1321"/>
      <c r="IM275" s="1321"/>
      <c r="IN275" s="1368"/>
    </row>
    <row r="276" spans="1:248" ht="12.75" customHeight="1" x14ac:dyDescent="0.2">
      <c r="A276" s="1319"/>
      <c r="B276" s="1321"/>
      <c r="C276" s="1321"/>
      <c r="D276" s="1321"/>
      <c r="E276" s="1321"/>
      <c r="F276" s="1321"/>
      <c r="G276" s="1321"/>
      <c r="H276" s="1321"/>
      <c r="I276" s="1321"/>
      <c r="J276" s="1321"/>
      <c r="K276" s="1321"/>
      <c r="L276" s="1321"/>
      <c r="M276" s="1321"/>
      <c r="N276" s="1321"/>
      <c r="O276" s="1321"/>
      <c r="P276" s="1321"/>
      <c r="Q276" s="1321"/>
      <c r="R276" s="1321"/>
      <c r="S276" s="1321"/>
      <c r="T276" s="1321"/>
      <c r="U276" s="1321"/>
      <c r="V276" s="1321"/>
      <c r="W276" s="1321"/>
      <c r="X276" s="1321"/>
      <c r="Y276" s="1321"/>
      <c r="Z276" s="1321"/>
      <c r="AA276" s="1321"/>
      <c r="AB276" s="1321"/>
      <c r="AC276" s="1321"/>
      <c r="AD276" s="1321"/>
      <c r="AE276" s="1321"/>
      <c r="AF276" s="1321"/>
      <c r="AG276" s="1321"/>
      <c r="AH276" s="1321"/>
      <c r="AI276" s="1321"/>
      <c r="AJ276" s="1321"/>
      <c r="AK276" s="1321"/>
      <c r="AL276" s="1321"/>
      <c r="AM276" s="1321"/>
      <c r="AN276" s="1321"/>
      <c r="AO276" s="1321"/>
      <c r="AP276" s="1321"/>
      <c r="AQ276" s="1321"/>
      <c r="AR276" s="1321"/>
      <c r="AS276" s="1321"/>
      <c r="AT276" s="1321"/>
      <c r="AU276" s="1321"/>
      <c r="AV276" s="1321"/>
      <c r="AW276" s="1321"/>
      <c r="AX276" s="1321"/>
      <c r="AY276" s="1321"/>
      <c r="AZ276" s="1321"/>
      <c r="BA276" s="1321"/>
      <c r="BB276" s="1336" t="s">
        <v>1278</v>
      </c>
      <c r="BC276" s="1341"/>
      <c r="BD276" s="1341"/>
      <c r="BE276" s="1341"/>
      <c r="BF276" s="1341"/>
      <c r="BG276" s="1341"/>
      <c r="BH276" s="1341"/>
      <c r="BI276" s="1341"/>
      <c r="BJ276" s="1351"/>
      <c r="BK276" s="1345"/>
      <c r="BL276" s="1345"/>
      <c r="BM276" s="1346"/>
      <c r="BN276" s="1321"/>
      <c r="BO276" s="1321"/>
      <c r="BP276" s="1321"/>
      <c r="BQ276" s="1321"/>
      <c r="BR276" s="1321"/>
      <c r="BS276" s="1321"/>
      <c r="BT276" s="1321"/>
      <c r="BU276" s="1321"/>
      <c r="BV276" s="1345"/>
      <c r="BW276" s="1345"/>
      <c r="BX276" s="1321"/>
      <c r="BY276" s="1321"/>
      <c r="BZ276" s="1321"/>
      <c r="CA276" s="1321"/>
      <c r="CB276" s="1321"/>
      <c r="CC276" s="1321"/>
      <c r="CD276" s="1345"/>
      <c r="CE276" s="1345"/>
      <c r="CF276" s="1345"/>
      <c r="CG276" s="1345"/>
      <c r="CH276" s="1345"/>
      <c r="CI276" s="1321"/>
      <c r="CJ276" s="1321"/>
      <c r="CK276" s="1321"/>
      <c r="CL276" s="1321"/>
      <c r="CM276" s="1321"/>
      <c r="CN276" s="1321"/>
      <c r="CO276" s="1321"/>
      <c r="CP276" s="1321"/>
      <c r="CQ276" s="1321"/>
      <c r="CR276" s="1321"/>
      <c r="CS276" s="1321"/>
      <c r="CT276" s="1321"/>
      <c r="CU276" s="1321"/>
      <c r="CV276" s="1321"/>
      <c r="CW276" s="1321"/>
      <c r="CX276" s="1321"/>
      <c r="CY276" s="1321"/>
      <c r="CZ276" s="1321"/>
      <c r="DA276" s="1321"/>
      <c r="DB276" s="1321"/>
      <c r="DC276" s="1321"/>
      <c r="DD276" s="1321"/>
      <c r="DE276" s="1321"/>
      <c r="DF276" s="1321"/>
      <c r="DG276" s="1321"/>
      <c r="DH276" s="1321"/>
      <c r="DI276" s="1321"/>
      <c r="DJ276" s="1321"/>
      <c r="DK276" s="1321"/>
      <c r="DL276" s="1321"/>
      <c r="DM276" s="1321"/>
      <c r="DN276" s="1076">
        <f t="shared" si="77"/>
        <v>0</v>
      </c>
      <c r="DO276" s="1267">
        <f t="array" ref="DO276">IF(ChoixRationHivernaleOvinsComplète=OUI,0,IFERROR(IF(OR(AND(INDEX(Règles_ovins[Specificite],MATCH(RationHivernaleOvinsAuPré&amp;$DN276,Règles_ovins[Ration]&amp;Règles_ovins[Aliment],0))="s1",IF($DN276=Spécificité1Ovins,1)),
AND(INDEX(Règles_ovins[Specificite],MATCH(RationHivernaleOvinsAuPré&amp;$DN276,Règles_ovins[Ration]&amp;Règles_ovins[Aliment],0))="s2",IF($DN276=Spécificité2Ovins,1)),
INDEX(Règles_ovins[Specificite],MATCH(RationHivernaleOvinsAuPré&amp;$DN276,Règles_ovins[Ration]&amp;Règles_ovins[Aliment],0))="c"),
INDEX(Règles_ovins[Valeur 12 et plus],MATCH(RationHivernaleOvinsAuPré&amp;$DN276,Règles_ovins[Ration]&amp;Règles_ovins[Aliment],0)),0),0)*IF(SUM(TotalOvinsAdultesAuPré)&gt;0,SUM(TotalOvinsAdultesAuPré)*SUM(AD76:AD100),SUM(TotalOvinsAdultes)*SUM(AD76:AD100)))</f>
        <v>0</v>
      </c>
      <c r="DP276" s="1267">
        <f t="array" ref="DP276">IF(ChoixRationHivernaleOvinsComplète=OUI,0,IFERROR(IF(OR(AND(INDEX(Règles_ovins[Specificite],MATCH(RationHivernaleOvinsAuPré&amp;$DN276,Règles_ovins[Ration]&amp;Règles_ovins[Aliment],0))="s1",IF($DN276=Spécificité1Ovins,1)),
AND(INDEX(Règles_ovins[Specificite],MATCH(RationHivernaleOvinsAuPré&amp;$DN276,Règles_ovins[Ration]&amp;Règles_ovins[Aliment],0))="s2",IF($DN276=Spécificité2Ovins,1)),
INDEX(Règles_ovins[Specificite],MATCH(RationHivernaleOvinsAuPré&amp;$DN276,Règles_ovins[Ration]&amp;Règles_ovins[Aliment],0))="c"),
INDEX(Règles_ovins[Valeur 6-12],MATCH(RationHivernaleOvinsAuPré&amp;$DN276,Règles_ovins[Ration]&amp;Règles_ovins[Aliment],0)),0),0)*IF(SUM(TotalOvins_6_12moisAuPré)&gt;0,SUM(TotalOvins_6_12moisAuPré)*SUM(AD76:AD100),SUM(TotalJeunesOvins)*SUM(AD76:AD100)))</f>
        <v>0</v>
      </c>
      <c r="DQ276" s="1267">
        <f t="array" ref="DQ276">IF(ChoixRationHivernaleOvinsComplète=OUI,0,IFERROR(IF(OR(AND(INDEX(Règles_ovins[Specificite],MATCH(RationHivernaleOvinsAuPré&amp;$DN276,Règles_ovins[Ration]&amp;Règles_ovins[Aliment],0))="s1",IF($DN276=Spécificité1Ovins,1)),
AND(INDEX(Règles_ovins[Specificite],MATCH(RationHivernaleOvinsAuPré&amp;$DN276,Règles_ovins[Ration]&amp;Règles_ovins[Aliment],0))="s2",IF($DN276=Spécificité2Ovins,1)),
INDEX(Règles_ovins[Specificite],MATCH(RationHivernaleOvinsAuPré&amp;$DN276,Règles_ovins[Ration]&amp;Règles_ovins[Aliment],0))="c"),
INDEX(Règles_ovins[Valeur 3-6],MATCH(RationHivernaleOvinsAuPré&amp;$DN276,Règles_ovins[Ration]&amp;Règles_ovins[Aliment],0)),0),0)*IF(SUM(TotalOvins_3_6moisAuPré)&gt;0,SUM(TotalOvins_3_6moisAuPré)*SUM(AD76:AD100),SUM(TotalOvins_3_6mois)*SUM(AD76:AD100)))</f>
        <v>0</v>
      </c>
      <c r="DR276" s="1267">
        <f t="array" ref="DR276">IF(ChoixRationHivernaleOvinsComplète=OUI,0,IFERROR(IF(OR(AND(INDEX(Règles_ovins[Specificite],MATCH(RationHivernaleOvinsAuPré&amp;$DN276,Règles_ovins[Ration]&amp;Règles_ovins[Aliment],0))="s1",IF($DN276=Spécificité1Ovins,1)),
AND(INDEX(Règles_ovins[Specificite],MATCH(RationHivernaleOvinsAuPré&amp;$DN276,Règles_ovins[Ration]&amp;Règles_ovins[Aliment],0))="s2",IF($DN276=Spécificité2Ovins,1)),
INDEX(Règles_ovins[Specificite],MATCH(RationHivernaleOvinsAuPré&amp;$DN276,Règles_ovins[Ration]&amp;Règles_ovins[Aliment],0))="c"),
INDEX(Règles_ovins[Valeur 0-3],MATCH(RationHivernaleOvinsAuPré&amp;$DN276,Règles_ovins[Ration]&amp;Règles_ovins[Aliment],0)),0),0)*IF(SUM(TotalOvins_0_3moisAuPré)&gt;0,SUM(TotalOvins_0_3moisAuPré)*SUM(AD76:AD100),SUM(TotalOvins_3_6mois)*SUM(AD76:AD100)))</f>
        <v>0</v>
      </c>
      <c r="DS276" s="1279">
        <f t="shared" si="76"/>
        <v>0</v>
      </c>
      <c r="DT276" s="1346"/>
      <c r="DU276" s="1346"/>
      <c r="DV276" s="1321"/>
      <c r="DW276" s="1321"/>
      <c r="DX276" s="1321"/>
      <c r="DY276" s="1321"/>
      <c r="DZ276" s="1321"/>
      <c r="EA276" s="1321"/>
      <c r="EB276" s="1321"/>
      <c r="EC276" s="1321"/>
      <c r="ED276" s="1345"/>
      <c r="EE276" s="1345"/>
      <c r="EF276" s="1321"/>
      <c r="EG276" s="1321"/>
      <c r="EH276" s="1321"/>
      <c r="EI276" s="1321"/>
      <c r="EJ276" s="1321"/>
      <c r="EK276" s="1345"/>
      <c r="EL276" s="1345"/>
      <c r="EM276" s="1321"/>
      <c r="EN276" s="1321"/>
      <c r="EO276" s="1321"/>
      <c r="EP276" s="1321"/>
      <c r="EQ276" s="1321"/>
      <c r="ER276" s="1345"/>
      <c r="ES276" s="1345"/>
      <c r="ET276" s="1321"/>
      <c r="EU276" s="1321"/>
      <c r="EV276" s="1321"/>
      <c r="EW276" s="1321"/>
      <c r="EX276" s="1321"/>
      <c r="EY276" s="1321"/>
      <c r="EZ276" s="1345"/>
      <c r="FA276" s="1345"/>
      <c r="FB276" s="1345"/>
      <c r="FC276" s="1321"/>
      <c r="FD276" s="1321"/>
      <c r="FE276" s="1321"/>
      <c r="FF276" s="1321"/>
      <c r="FG276" s="1321"/>
      <c r="FH276" s="1321"/>
      <c r="FI276" s="1345"/>
      <c r="FJ276" s="1345"/>
      <c r="FK276" s="1345"/>
      <c r="FL276" s="1345"/>
      <c r="FM276" s="1321"/>
      <c r="FN276" s="1321"/>
      <c r="FO276" s="1321"/>
      <c r="FP276" s="1321"/>
      <c r="FQ276" s="1321"/>
      <c r="FR276" s="1321"/>
      <c r="FS276" s="1345"/>
      <c r="FT276" s="1345"/>
      <c r="FU276" s="1345"/>
      <c r="FV276" s="1345"/>
      <c r="FW276" s="1321"/>
      <c r="FX276" s="1321"/>
      <c r="FY276" s="1321"/>
      <c r="FZ276" s="1321"/>
      <c r="GA276" s="1345"/>
      <c r="GB276" s="1321"/>
      <c r="GC276" s="1321"/>
      <c r="GD276" s="1321"/>
      <c r="GE276" s="1321"/>
      <c r="GF276" s="1321"/>
      <c r="GG276" s="1321" t="s">
        <v>1349</v>
      </c>
      <c r="GH276" s="1321" t="s">
        <v>1349</v>
      </c>
      <c r="GI276" s="1321" t="s">
        <v>1349</v>
      </c>
      <c r="GJ276" s="1321" t="s">
        <v>1349</v>
      </c>
      <c r="GK276" s="1321" t="s">
        <v>1349</v>
      </c>
      <c r="GL276" s="1321" t="s">
        <v>1349</v>
      </c>
      <c r="GM276" s="1321" t="s">
        <v>1349</v>
      </c>
      <c r="GN276" s="1321" t="s">
        <v>1349</v>
      </c>
      <c r="GO276" s="1321" t="s">
        <v>1349</v>
      </c>
      <c r="GP276" s="1321" t="s">
        <v>1349</v>
      </c>
      <c r="GQ276" s="1321" t="s">
        <v>1349</v>
      </c>
      <c r="GR276" s="1321" t="s">
        <v>1349</v>
      </c>
      <c r="GS276" s="1321" t="s">
        <v>1349</v>
      </c>
      <c r="GT276" s="1321" t="s">
        <v>1349</v>
      </c>
      <c r="GU276" s="1321" t="s">
        <v>1349</v>
      </c>
      <c r="GV276" s="1321" t="s">
        <v>1349</v>
      </c>
      <c r="GW276" s="1321"/>
      <c r="GX276" s="1321"/>
      <c r="GY276" s="1321"/>
      <c r="GZ276" s="1321"/>
      <c r="HA276" s="1321"/>
      <c r="HB276" s="1321"/>
      <c r="HC276" s="1321"/>
      <c r="HD276" s="1321"/>
      <c r="HE276" s="1321"/>
      <c r="HF276" s="1321"/>
      <c r="HG276" s="1321"/>
      <c r="HH276" s="1321"/>
      <c r="HI276" s="1321"/>
      <c r="HJ276" s="1321"/>
      <c r="HK276" s="1321"/>
      <c r="HL276" s="1321"/>
      <c r="HM276" s="1321"/>
      <c r="HN276" s="1321"/>
      <c r="HO276" s="1321"/>
      <c r="HP276" s="1321"/>
      <c r="HQ276" s="1321"/>
      <c r="HR276" s="1321"/>
      <c r="HS276" s="1321"/>
      <c r="HT276" s="1321"/>
      <c r="HU276" s="1321"/>
      <c r="HV276" s="1321"/>
      <c r="HW276" s="1321"/>
      <c r="HX276" s="1321"/>
      <c r="HY276" s="1321"/>
      <c r="HZ276" s="1321"/>
      <c r="IA276" s="1321"/>
      <c r="IB276" s="1321"/>
      <c r="IC276" s="1321"/>
      <c r="ID276" s="1321"/>
      <c r="IE276" s="1321"/>
      <c r="IF276" s="1321"/>
      <c r="IG276" s="1321"/>
      <c r="IH276" s="1321"/>
      <c r="II276" s="1321"/>
      <c r="IJ276" s="1321"/>
      <c r="IK276" s="1321"/>
      <c r="IL276" s="1321"/>
      <c r="IM276" s="1321"/>
      <c r="IN276" s="1368"/>
    </row>
    <row r="277" spans="1:248" ht="12.75" customHeight="1" x14ac:dyDescent="0.2">
      <c r="A277" s="1319"/>
      <c r="B277" s="1321"/>
      <c r="C277" s="1321"/>
      <c r="D277" s="1321"/>
      <c r="E277" s="1321"/>
      <c r="F277" s="1321"/>
      <c r="G277" s="1321"/>
      <c r="H277" s="1321"/>
      <c r="I277" s="1321"/>
      <c r="J277" s="1321"/>
      <c r="K277" s="1321"/>
      <c r="L277" s="1321"/>
      <c r="M277" s="1321"/>
      <c r="N277" s="1321"/>
      <c r="O277" s="1321"/>
      <c r="P277" s="1321"/>
      <c r="Q277" s="1321"/>
      <c r="R277" s="1321"/>
      <c r="S277" s="1321"/>
      <c r="T277" s="1321"/>
      <c r="U277" s="1321"/>
      <c r="V277" s="1321"/>
      <c r="W277" s="1321"/>
      <c r="X277" s="1321"/>
      <c r="Y277" s="1321"/>
      <c r="Z277" s="1321"/>
      <c r="AA277" s="1321"/>
      <c r="AB277" s="1321"/>
      <c r="AC277" s="1321"/>
      <c r="AD277" s="1321"/>
      <c r="AE277" s="1321"/>
      <c r="AF277" s="1321"/>
      <c r="AG277" s="1321"/>
      <c r="AH277" s="1321"/>
      <c r="AI277" s="1321"/>
      <c r="AJ277" s="1321"/>
      <c r="AK277" s="1321"/>
      <c r="AL277" s="1321"/>
      <c r="AM277" s="1321"/>
      <c r="AN277" s="1321"/>
      <c r="AO277" s="1321"/>
      <c r="AP277" s="1321"/>
      <c r="AQ277" s="1321"/>
      <c r="AR277" s="1321"/>
      <c r="AS277" s="1321"/>
      <c r="AT277" s="1321"/>
      <c r="AU277" s="1321"/>
      <c r="AV277" s="1321"/>
      <c r="AW277" s="1321"/>
      <c r="AX277" s="1321"/>
      <c r="AY277" s="1321"/>
      <c r="AZ277" s="1321"/>
      <c r="BA277" s="1321"/>
      <c r="BB277" s="789" t="s">
        <v>1276</v>
      </c>
      <c r="BC277" s="790" t="s">
        <v>1268</v>
      </c>
      <c r="BD277" s="790" t="s">
        <v>1267</v>
      </c>
      <c r="BE277" s="790" t="s">
        <v>1266</v>
      </c>
      <c r="BF277" s="790" t="s">
        <v>1265</v>
      </c>
      <c r="BG277" s="790" t="s">
        <v>1264</v>
      </c>
      <c r="BH277" s="790" t="s">
        <v>1263</v>
      </c>
      <c r="BI277" s="790" t="s">
        <v>1262</v>
      </c>
      <c r="BJ277" s="791" t="s">
        <v>1269</v>
      </c>
      <c r="BK277" s="1345"/>
      <c r="BL277" s="1345"/>
      <c r="BM277" s="1346"/>
      <c r="BN277" s="1321"/>
      <c r="BO277" s="1321"/>
      <c r="BP277" s="1321"/>
      <c r="BQ277" s="1321"/>
      <c r="BR277" s="1321"/>
      <c r="BS277" s="1321"/>
      <c r="BT277" s="1321"/>
      <c r="BU277" s="1321"/>
      <c r="BV277" s="1345"/>
      <c r="BW277" s="1345"/>
      <c r="BX277" s="1321"/>
      <c r="BY277" s="1321"/>
      <c r="BZ277" s="1321"/>
      <c r="CA277" s="1321"/>
      <c r="CB277" s="1321"/>
      <c r="CC277" s="1321"/>
      <c r="CD277" s="1345"/>
      <c r="CE277" s="1345"/>
      <c r="CF277" s="1345"/>
      <c r="CG277" s="1345"/>
      <c r="CH277" s="1345"/>
      <c r="CI277" s="1321"/>
      <c r="CJ277" s="1321"/>
      <c r="CK277" s="1321"/>
      <c r="CL277" s="1321"/>
      <c r="CM277" s="1321"/>
      <c r="CN277" s="1321"/>
      <c r="CO277" s="1321"/>
      <c r="CP277" s="1321"/>
      <c r="CQ277" s="1321"/>
      <c r="CR277" s="1321"/>
      <c r="CS277" s="1321"/>
      <c r="CT277" s="1321"/>
      <c r="CU277" s="1321"/>
      <c r="CV277" s="1321"/>
      <c r="CW277" s="1321"/>
      <c r="CX277" s="1321"/>
      <c r="CY277" s="1321"/>
      <c r="CZ277" s="1321"/>
      <c r="DA277" s="1321"/>
      <c r="DB277" s="1321"/>
      <c r="DC277" s="1321"/>
      <c r="DD277" s="1321"/>
      <c r="DE277" s="1321"/>
      <c r="DF277" s="1321"/>
      <c r="DG277" s="1321"/>
      <c r="DH277" s="1321"/>
      <c r="DI277" s="1321"/>
      <c r="DJ277" s="1321"/>
      <c r="DK277" s="1321"/>
      <c r="DL277" s="1321"/>
      <c r="DM277" s="1321"/>
      <c r="DN277" s="1336"/>
      <c r="DO277" s="1336"/>
      <c r="DP277" s="1336"/>
      <c r="DQ277" s="1336"/>
      <c r="DR277" s="1336"/>
      <c r="DS277" s="1359"/>
      <c r="DT277" s="1346"/>
      <c r="DU277" s="1346"/>
      <c r="DV277" s="1321"/>
      <c r="DW277" s="1321"/>
      <c r="DX277" s="1321"/>
      <c r="DY277" s="1321"/>
      <c r="DZ277" s="1321"/>
      <c r="EA277" s="1321"/>
      <c r="EB277" s="1321"/>
      <c r="EC277" s="1321"/>
      <c r="ED277" s="1345"/>
      <c r="EE277" s="1345"/>
      <c r="EF277" s="1321"/>
      <c r="EG277" s="1321"/>
      <c r="EH277" s="1321"/>
      <c r="EI277" s="1321"/>
      <c r="EJ277" s="1321"/>
      <c r="EK277" s="1345"/>
      <c r="EL277" s="1345"/>
      <c r="EM277" s="1321"/>
      <c r="EN277" s="1321"/>
      <c r="EO277" s="1321"/>
      <c r="EP277" s="1321"/>
      <c r="EQ277" s="1321"/>
      <c r="ER277" s="1345"/>
      <c r="ES277" s="1345"/>
      <c r="ET277" s="1321"/>
      <c r="EU277" s="1321"/>
      <c r="EV277" s="1321"/>
      <c r="EW277" s="1321"/>
      <c r="EX277" s="1321"/>
      <c r="EY277" s="1321"/>
      <c r="EZ277" s="1345"/>
      <c r="FA277" s="1345"/>
      <c r="FB277" s="1345"/>
      <c r="FC277" s="1321"/>
      <c r="FD277" s="1321"/>
      <c r="FE277" s="1321"/>
      <c r="FF277" s="1321"/>
      <c r="FG277" s="1321"/>
      <c r="FH277" s="1321"/>
      <c r="FI277" s="1345"/>
      <c r="FJ277" s="1345"/>
      <c r="FK277" s="1345"/>
      <c r="FL277" s="1345"/>
      <c r="FM277" s="1321"/>
      <c r="FN277" s="1321"/>
      <c r="FO277" s="1321"/>
      <c r="FP277" s="1321"/>
      <c r="FQ277" s="1321"/>
      <c r="FR277" s="1321"/>
      <c r="FS277" s="1345"/>
      <c r="FT277" s="1345"/>
      <c r="FU277" s="1345"/>
      <c r="FV277" s="1345"/>
      <c r="FW277" s="1321"/>
      <c r="FX277" s="1321"/>
      <c r="FY277" s="1321"/>
      <c r="FZ277" s="1321"/>
      <c r="GA277" s="1345"/>
      <c r="GB277" s="1321"/>
      <c r="GC277" s="1321"/>
      <c r="GD277" s="1321"/>
      <c r="GE277" s="1321"/>
      <c r="GF277" s="1321"/>
      <c r="GG277" s="1321" t="s">
        <v>1349</v>
      </c>
      <c r="GH277" s="1321" t="s">
        <v>1349</v>
      </c>
      <c r="GI277" s="1321" t="s">
        <v>1349</v>
      </c>
      <c r="GJ277" s="1321" t="s">
        <v>1349</v>
      </c>
      <c r="GK277" s="1321" t="s">
        <v>1349</v>
      </c>
      <c r="GL277" s="1321" t="s">
        <v>1349</v>
      </c>
      <c r="GM277" s="1321" t="s">
        <v>1349</v>
      </c>
      <c r="GN277" s="1321" t="s">
        <v>1349</v>
      </c>
      <c r="GO277" s="1321" t="s">
        <v>1349</v>
      </c>
      <c r="GP277" s="1321" t="s">
        <v>1349</v>
      </c>
      <c r="GQ277" s="1321" t="s">
        <v>1349</v>
      </c>
      <c r="GR277" s="1321" t="s">
        <v>1349</v>
      </c>
      <c r="GS277" s="1321" t="s">
        <v>1349</v>
      </c>
      <c r="GT277" s="1321" t="s">
        <v>1349</v>
      </c>
      <c r="GU277" s="1321" t="s">
        <v>1349</v>
      </c>
      <c r="GV277" s="1321" t="s">
        <v>1349</v>
      </c>
      <c r="GW277" s="1321"/>
      <c r="GX277" s="1321"/>
      <c r="GY277" s="1321"/>
      <c r="GZ277" s="1321"/>
      <c r="HA277" s="1321"/>
      <c r="HB277" s="1321"/>
      <c r="HC277" s="1321"/>
      <c r="HD277" s="1321"/>
      <c r="HE277" s="1321"/>
      <c r="HF277" s="1321"/>
      <c r="HG277" s="1321"/>
      <c r="HH277" s="1321"/>
      <c r="HI277" s="1321"/>
      <c r="HJ277" s="1321"/>
      <c r="HK277" s="1321"/>
      <c r="HL277" s="1321"/>
      <c r="HM277" s="1321"/>
      <c r="HN277" s="1321"/>
      <c r="HO277" s="1321"/>
      <c r="HP277" s="1321"/>
      <c r="HQ277" s="1321"/>
      <c r="HR277" s="1321"/>
      <c r="HS277" s="1321"/>
      <c r="HT277" s="1321"/>
      <c r="HU277" s="1321"/>
      <c r="HV277" s="1321"/>
      <c r="HW277" s="1321"/>
      <c r="HX277" s="1321"/>
      <c r="HY277" s="1321"/>
      <c r="HZ277" s="1321"/>
      <c r="IA277" s="1321"/>
      <c r="IB277" s="1321"/>
      <c r="IC277" s="1321"/>
      <c r="ID277" s="1321"/>
      <c r="IE277" s="1321"/>
      <c r="IF277" s="1321"/>
      <c r="IG277" s="1321"/>
      <c r="IH277" s="1321"/>
      <c r="II277" s="1321"/>
      <c r="IJ277" s="1321"/>
      <c r="IK277" s="1321"/>
      <c r="IL277" s="1321"/>
      <c r="IM277" s="1321"/>
      <c r="IN277" s="1368"/>
    </row>
    <row r="278" spans="1:248" ht="12.75" customHeight="1" x14ac:dyDescent="0.2">
      <c r="A278" s="1319"/>
      <c r="B278" s="1321"/>
      <c r="C278" s="1321"/>
      <c r="D278" s="1321"/>
      <c r="E278" s="1321"/>
      <c r="F278" s="1321"/>
      <c r="G278" s="1321"/>
      <c r="H278" s="1321"/>
      <c r="I278" s="1321"/>
      <c r="J278" s="1321"/>
      <c r="K278" s="1321"/>
      <c r="L278" s="1321"/>
      <c r="M278" s="1321"/>
      <c r="N278" s="1321"/>
      <c r="O278" s="1321"/>
      <c r="P278" s="1321"/>
      <c r="Q278" s="1321"/>
      <c r="R278" s="1321"/>
      <c r="S278" s="1321"/>
      <c r="T278" s="1321"/>
      <c r="U278" s="1321"/>
      <c r="V278" s="1321"/>
      <c r="W278" s="1321"/>
      <c r="X278" s="1321"/>
      <c r="Y278" s="1321"/>
      <c r="Z278" s="1321"/>
      <c r="AA278" s="1321"/>
      <c r="AB278" s="1321"/>
      <c r="AC278" s="1321"/>
      <c r="AD278" s="1321"/>
      <c r="AE278" s="1321"/>
      <c r="AF278" s="1321"/>
      <c r="AG278" s="1321"/>
      <c r="AH278" s="1321"/>
      <c r="AI278" s="1321"/>
      <c r="AJ278" s="1321"/>
      <c r="AK278" s="1321"/>
      <c r="AL278" s="1321"/>
      <c r="AM278" s="1321"/>
      <c r="AN278" s="1321"/>
      <c r="AO278" s="1321"/>
      <c r="AP278" s="1321"/>
      <c r="AQ278" s="1321"/>
      <c r="AR278" s="1321"/>
      <c r="AS278" s="1321"/>
      <c r="AT278" s="1321"/>
      <c r="AU278" s="1321"/>
      <c r="AV278" s="1321"/>
      <c r="AW278" s="1321"/>
      <c r="AX278" s="1321"/>
      <c r="AY278" s="1321"/>
      <c r="AZ278" s="1321"/>
      <c r="BA278" s="1321"/>
      <c r="BB278" s="792" t="s">
        <v>723</v>
      </c>
      <c r="BC278" s="793">
        <f t="array" ref="BC278">IF(ChoixRationComplèteBovins=OUI,IFERROR(IF(OR(AND(INDEX(Règles_bovins[Specificite],MATCH(ChoixRationBovins&amp;Ration_complète_bovins[[#This Row],[aliment]],Règles_bovins[Ration]&amp;Règles_bovins[Aliment],0))="s1",IF(Ration_complète_bovins[[#This Row],[aliment]]=Spécificité1Bovins,1)),
AND(INDEX(Règles_bovins[Specificite],MATCH(ChoixRationBovins&amp;Ration_complète_bovins[[#This Row],[aliment]],Règles_bovins[Ration]&amp;Règles_bovins[Aliment],0))="s2",IF(Ration_complète_bovins[[#This Row],[aliment]]=Spécificité2Bovins,1)),
INDEX(Règles_bovins[Specificite],MATCH(ChoixRationBovins&amp;Ration_complète_bovins[[#This Row],[aliment]],Règles_bovins[Ration]&amp;Règles_bovins[Aliment],0))="c",INDEX(Règles_bovins[Specificite],MATCH(ChoixRationBovins&amp;Ration_complète_bovins[[#This Row],[aliment]],Règles_bovins[Ration]&amp;Règles_bovins[Aliment],0))="complet"),
INDEX(Règles_bovins[Valeur 36 et plus],MATCH(ChoixRationBovins&amp;Ration_complète_bovins[[#This Row],[aliment]],Règles_bovins[Ration]&amp;Règles_bovins[Aliment],0)),0),0)*SUM(TotalBovinsAdultes)*SUM(NbreJoursNourrirBovins),0)</f>
        <v>0</v>
      </c>
      <c r="BD278" s="793">
        <f t="array" ref="BD278">IF(ChoixRationComplèteBovins=OUI,IFERROR(IF(OR(AND(INDEX(Règles_bovins[Specificite],MATCH(ChoixRationBovins&amp;Ration_complète_bovins[[#This Row],[aliment]],Règles_bovins[Ration]&amp;Règles_bovins[Aliment],0))="s1",IF(Ration_complète_bovins[[#This Row],[aliment]]=Spécificité1Bovins,1)),
AND(INDEX(Règles_bovins[Specificite],MATCH(ChoixRationBovins&amp;Ration_complète_bovins[[#This Row],[aliment]],Règles_bovins[Ration]&amp;Règles_bovins[Aliment],0))="s2",IF(Ration_complète_bovins[[#This Row],[aliment]]=Spécificité2Bovins,1)),
INDEX(Règles_bovins[Specificite],MATCH(ChoixRationBovins&amp;Ration_complète_bovins[[#This Row],[aliment]],Règles_bovins[Ration]&amp;Règles_bovins[Aliment],0))="c",INDEX(Règles_bovins[Specificite],MATCH(ChoixRationBovins&amp;Ration_complète_bovins[[#This Row],[aliment]],Règles_bovins[Ration]&amp;Règles_bovins[Aliment],0))="complet"),
INDEX(Règles_bovins[Valeur 24-36],MATCH(ChoixRationBovins&amp;Ration_complète_bovins[[#This Row],[aliment]],Règles_bovins[Ration]&amp;Règles_bovins[Aliment],0)),0),0)*SUM(TotalBovins_24_36mois)*SUM(NbreJoursNourrirBovins),0)</f>
        <v>0</v>
      </c>
      <c r="BE278" s="793">
        <f t="array" ref="BE278">IF(ChoixRationComplèteBovins=OUI,IFERROR(IF(OR(AND(INDEX(Règles_bovins[Specificite],MATCH(ChoixRationBovins&amp;Ration_complète_bovins[[#This Row],[aliment]],Règles_bovins[Ration]&amp;Règles_bovins[Aliment],0))="s1",IF(Ration_complète_bovins[[#This Row],[aliment]]=Spécificité1Bovins,1)),
AND(INDEX(Règles_bovins[Specificite],MATCH(ChoixRationBovins&amp;Ration_complète_bovins[[#This Row],[aliment]],Règles_bovins[Ration]&amp;Règles_bovins[Aliment],0))="s2",IF(Ration_complète_bovins[[#This Row],[aliment]]=Spécificité2Bovins,1)),
INDEX(Règles_bovins[Specificite],MATCH(ChoixRationBovins&amp;Ration_complète_bovins[[#This Row],[aliment]],Règles_bovins[Ration]&amp;Règles_bovins[Aliment],0))="c",INDEX(Règles_bovins[Specificite],MATCH(ChoixRationBovins&amp;Ration_complète_bovins[[#This Row],[aliment]],Règles_bovins[Ration]&amp;Règles_bovins[Aliment],0))="complet"),
INDEX(Règles_bovins[Valeur 18-24],MATCH(ChoixRationBovins&amp;Ration_complète_bovins[[#This Row],[aliment]],Règles_bovins[Ration]&amp;Règles_bovins[Aliment],0)),0),0)*SUM(TotalBovins_18_24mois)*SUM(NbreJoursNourrirBovins),0)</f>
        <v>0</v>
      </c>
      <c r="BF278" s="793">
        <f t="array" ref="BF278">IF(ChoixRationComplèteBovins=OUI,IFERROR(IF(OR(AND(INDEX(Règles_bovins[Specificite],MATCH(ChoixRationBovins&amp;Ration_complète_bovins[[#This Row],[aliment]],Règles_bovins[Ration]&amp;Règles_bovins[Aliment],0))="s1",IF(Ration_complète_bovins[[#This Row],[aliment]]=Spécificité1Bovins,1)),
AND(INDEX(Règles_bovins[Specificite],MATCH(ChoixRationBovins&amp;Ration_complète_bovins[[#This Row],[aliment]],Règles_bovins[Ration]&amp;Règles_bovins[Aliment],0))="s2",IF(Ration_complète_bovins[[#This Row],[aliment]]=Spécificité2Bovins,1)),
INDEX(Règles_bovins[Specificite],MATCH(ChoixRationBovins&amp;Ration_complète_bovins[[#This Row],[aliment]],Règles_bovins[Ration]&amp;Règles_bovins[Aliment],0))="c",INDEX(Règles_bovins[Specificite],MATCH(ChoixRationBovins&amp;Ration_complète_bovins[[#This Row],[aliment]],Règles_bovins[Ration]&amp;Règles_bovins[Aliment],0))="complet"),
INDEX(Règles_bovins[Valeur 12-18],MATCH(ChoixRationBovins&amp;Ration_complète_bovins[[#This Row],[aliment]],Règles_bovins[Ration]&amp;Règles_bovins[Aliment],0)),0),0)*SUM(TotalBovins_12_18mois)*SUM(NbreJoursNourrirBovins),0)</f>
        <v>0</v>
      </c>
      <c r="BG278" s="793">
        <f t="array" ref="BG278">IF(ChoixRationComplèteBovins=OUI,IFERROR(IF(OR(AND(INDEX(Règles_bovins[Specificite],MATCH(ChoixRationBovins&amp;Ration_complète_bovins[[#This Row],[aliment]],Règles_bovins[Ration]&amp;Règles_bovins[Aliment],0))="s1",IF(Ration_complète_bovins[[#This Row],[aliment]]=Spécificité1Bovins,1)),
AND(INDEX(Règles_bovins[Specificite],MATCH(ChoixRationBovins&amp;Ration_complète_bovins[[#This Row],[aliment]],Règles_bovins[Ration]&amp;Règles_bovins[Aliment],0))="s2",IF(Ration_complète_bovins[[#This Row],[aliment]]=Spécificité2Bovins,1)),
INDEX(Règles_bovins[Specificite],MATCH(ChoixRationBovins&amp;Ration_complète_bovins[[#This Row],[aliment]],Règles_bovins[Ration]&amp;Règles_bovins[Aliment],0))="c",INDEX(Règles_bovins[Specificite],MATCH(ChoixRationBovins&amp;Ration_complète_bovins[[#This Row],[aliment]],Règles_bovins[Ration]&amp;Règles_bovins[Aliment],0))="complet"),
INDEX(Règles_bovins[Valeur 6-12],MATCH(ChoixRationBovins&amp;Ration_complète_bovins[[#This Row],[aliment]],Règles_bovins[Ration]&amp;Règles_bovins[Aliment],0)),0),0)*SUM(TotalBovins_6_12mois)*SUM(NbreJoursNourrirBovins),0)</f>
        <v>0</v>
      </c>
      <c r="BH278" s="793">
        <f t="array" ref="BH278">IF(ChoixRationComplèteBovins=OUI,IFERROR(IF(OR(AND(INDEX(Règles_bovins[Specificite],MATCH(ChoixRationBovins&amp;Ration_complète_bovins[[#This Row],[aliment]],Règles_bovins[Ration]&amp;Règles_bovins[Aliment],0))="s1",IF(Ration_complète_bovins[[#This Row],[aliment]]=Spécificité1Bovins,1)),
AND(INDEX(Règles_bovins[Specificite],MATCH(ChoixRationBovins&amp;Ration_complète_bovins[[#This Row],[aliment]],Règles_bovins[Ration]&amp;Règles_bovins[Aliment],0))="s2",IF(Ration_complète_bovins[[#This Row],[aliment]]=Spécificité2Bovins,1)),
INDEX(Règles_bovins[Specificite],MATCH(ChoixRationBovins&amp;Ration_complète_bovins[[#This Row],[aliment]],Règles_bovins[Ration]&amp;Règles_bovins[Aliment],0))="c",INDEX(Règles_bovins[Specificite],MATCH(ChoixRationBovins&amp;Ration_complète_bovins[[#This Row],[aliment]],Règles_bovins[Ration]&amp;Règles_bovins[Aliment],0))="complet"),
INDEX(Règles_bovins[Valeur 3-6],MATCH(ChoixRationBovins&amp;Ration_complète_bovins[[#This Row],[aliment]],Règles_bovins[Ration]&amp;Règles_bovins[Aliment],0)),0),0)*SUM(TotalBovins_3_6mois)*SUM(NbreJoursNourrirBovins),0)</f>
        <v>0</v>
      </c>
      <c r="BI278" s="793">
        <f t="array" ref="BI278">IF(ChoixRationComplèteBovins=OUI,IFERROR(IF(OR(AND(INDEX(Règles_bovins[Specificite],MATCH(ChoixRationBovins&amp;Ration_complète_bovins[[#This Row],[aliment]],Règles_bovins[Ration]&amp;Règles_bovins[Aliment],0))="s1",IF(Ration_complète_bovins[[#This Row],[aliment]]=Spécificité1Bovins,1)),
AND(INDEX(Règles_bovins[Specificite],MATCH(ChoixRationBovins&amp;Ration_complète_bovins[[#This Row],[aliment]],Règles_bovins[Ration]&amp;Règles_bovins[Aliment],0))="s2",IF(Ration_complète_bovins[[#This Row],[aliment]]=Spécificité2Bovins,1)),
INDEX(Règles_bovins[Specificite],MATCH(ChoixRationBovins&amp;Ration_complète_bovins[[#This Row],[aliment]],Règles_bovins[Ration]&amp;Règles_bovins[Aliment],0))="c",INDEX(Règles_bovins[Specificite],MATCH(ChoixRationBovins&amp;Ration_complète_bovins[[#This Row],[aliment]],Règles_bovins[Ration]&amp;Règles_bovins[Aliment],0))="complet"),
INDEX(Règles_bovins[Valeur 0-3],MATCH(ChoixRationBovins&amp;Ration_complète_bovins[[#This Row],[aliment]],Règles_bovins[Ration]&amp;Règles_bovins[Aliment],0)),0),0)*SUM(TotalBovins_0_3mois)*SUM(NbreJoursNourrirBovins),0)</f>
        <v>0</v>
      </c>
      <c r="BJ278" s="794">
        <f>SUM(Ration_complète_bovins[[Val 36 et plus]:[Val 0-3]])</f>
        <v>0</v>
      </c>
      <c r="BK278" s="1345"/>
      <c r="BL278" s="1345"/>
      <c r="BM278" s="1346"/>
      <c r="BN278" s="1321"/>
      <c r="BO278" s="1321"/>
      <c r="BP278" s="1321"/>
      <c r="BQ278" s="1321"/>
      <c r="BR278" s="1321"/>
      <c r="BS278" s="1321"/>
      <c r="BT278" s="1321"/>
      <c r="BU278" s="1321"/>
      <c r="BV278" s="1345"/>
      <c r="BW278" s="1345"/>
      <c r="BX278" s="1321"/>
      <c r="BY278" s="1321"/>
      <c r="BZ278" s="1321"/>
      <c r="CA278" s="1321"/>
      <c r="CB278" s="1321"/>
      <c r="CC278" s="1321"/>
      <c r="CD278" s="1345"/>
      <c r="CE278" s="1345"/>
      <c r="CF278" s="1345"/>
      <c r="CG278" s="1345"/>
      <c r="CH278" s="1345"/>
      <c r="CI278" s="1321"/>
      <c r="CJ278" s="1321"/>
      <c r="CK278" s="1321"/>
      <c r="CL278" s="1321"/>
      <c r="CM278" s="1321"/>
      <c r="CN278" s="1321"/>
      <c r="CO278" s="1321"/>
      <c r="CP278" s="1321"/>
      <c r="CQ278" s="1321"/>
      <c r="CR278" s="1321"/>
      <c r="CS278" s="1321"/>
      <c r="CT278" s="1321"/>
      <c r="CU278" s="1321"/>
      <c r="CV278" s="1321"/>
      <c r="CW278" s="1321"/>
      <c r="CX278" s="1321"/>
      <c r="CY278" s="1321"/>
      <c r="CZ278" s="1321"/>
      <c r="DA278" s="1321"/>
      <c r="DB278" s="1321"/>
      <c r="DC278" s="1321"/>
      <c r="DD278" s="1321"/>
      <c r="DE278" s="1321"/>
      <c r="DF278" s="1321"/>
      <c r="DG278" s="1321"/>
      <c r="DH278" s="1321"/>
      <c r="DI278" s="1321"/>
      <c r="DJ278" s="1321"/>
      <c r="DK278" s="1321"/>
      <c r="DL278" s="1321"/>
      <c r="DM278" s="1321"/>
      <c r="DN278" s="1336" t="s">
        <v>1278</v>
      </c>
      <c r="DO278" s="1341"/>
      <c r="DP278" s="1341"/>
      <c r="DQ278" s="1341"/>
      <c r="DR278" s="1336"/>
      <c r="DS278" s="1359"/>
      <c r="DT278" s="1346"/>
      <c r="DU278" s="1346"/>
      <c r="DV278" s="1321"/>
      <c r="DW278" s="1321"/>
      <c r="DX278" s="1321"/>
      <c r="DY278" s="1321"/>
      <c r="DZ278" s="1321"/>
      <c r="EA278" s="1321"/>
      <c r="EB278" s="1321"/>
      <c r="EC278" s="1321"/>
      <c r="ED278" s="1345"/>
      <c r="EE278" s="1345"/>
      <c r="EF278" s="1321"/>
      <c r="EG278" s="1321"/>
      <c r="EH278" s="1321"/>
      <c r="EI278" s="1321"/>
      <c r="EJ278" s="1321"/>
      <c r="EK278" s="1345"/>
      <c r="EL278" s="1345"/>
      <c r="EM278" s="1321"/>
      <c r="EN278" s="1321"/>
      <c r="EO278" s="1321"/>
      <c r="EP278" s="1321"/>
      <c r="EQ278" s="1321"/>
      <c r="ER278" s="1345"/>
      <c r="ES278" s="1345"/>
      <c r="ET278" s="1321"/>
      <c r="EU278" s="1321"/>
      <c r="EV278" s="1321"/>
      <c r="EW278" s="1321"/>
      <c r="EX278" s="1321"/>
      <c r="EY278" s="1321"/>
      <c r="EZ278" s="1345"/>
      <c r="FA278" s="1345"/>
      <c r="FB278" s="1345"/>
      <c r="FC278" s="1321"/>
      <c r="FD278" s="1321"/>
      <c r="FE278" s="1321"/>
      <c r="FF278" s="1321"/>
      <c r="FG278" s="1321"/>
      <c r="FH278" s="1321"/>
      <c r="FI278" s="1345"/>
      <c r="FJ278" s="1345"/>
      <c r="FK278" s="1345"/>
      <c r="FL278" s="1345"/>
      <c r="FM278" s="1321"/>
      <c r="FN278" s="1321"/>
      <c r="FO278" s="1321"/>
      <c r="FP278" s="1321"/>
      <c r="FQ278" s="1321"/>
      <c r="FR278" s="1321"/>
      <c r="FS278" s="1345"/>
      <c r="FT278" s="1345"/>
      <c r="FU278" s="1345"/>
      <c r="FV278" s="1345"/>
      <c r="FW278" s="1321"/>
      <c r="FX278" s="1321"/>
      <c r="FY278" s="1321"/>
      <c r="FZ278" s="1321"/>
      <c r="GA278" s="1345"/>
      <c r="GB278" s="1321"/>
      <c r="GC278" s="1321"/>
      <c r="GD278" s="1321"/>
      <c r="GE278" s="1321"/>
      <c r="GF278" s="1321"/>
      <c r="GG278" s="1321" t="s">
        <v>1349</v>
      </c>
      <c r="GH278" s="1321" t="s">
        <v>1349</v>
      </c>
      <c r="GI278" s="1321" t="s">
        <v>1349</v>
      </c>
      <c r="GJ278" s="1321" t="s">
        <v>1349</v>
      </c>
      <c r="GK278" s="1321" t="s">
        <v>1349</v>
      </c>
      <c r="GL278" s="1321" t="s">
        <v>1349</v>
      </c>
      <c r="GM278" s="1321" t="s">
        <v>1349</v>
      </c>
      <c r="GN278" s="1321" t="s">
        <v>1349</v>
      </c>
      <c r="GO278" s="1321" t="s">
        <v>1349</v>
      </c>
      <c r="GP278" s="1321" t="s">
        <v>1349</v>
      </c>
      <c r="GQ278" s="1321" t="s">
        <v>1349</v>
      </c>
      <c r="GR278" s="1321" t="s">
        <v>1349</v>
      </c>
      <c r="GS278" s="1321" t="s">
        <v>1349</v>
      </c>
      <c r="GT278" s="1321" t="s">
        <v>1349</v>
      </c>
      <c r="GU278" s="1321" t="s">
        <v>1349</v>
      </c>
      <c r="GV278" s="1321" t="s">
        <v>1349</v>
      </c>
      <c r="GW278" s="1321"/>
      <c r="GX278" s="1321"/>
      <c r="GY278" s="1321"/>
      <c r="GZ278" s="1321"/>
      <c r="HA278" s="1321"/>
      <c r="HB278" s="1321"/>
      <c r="HC278" s="1321"/>
      <c r="HD278" s="1321"/>
      <c r="HE278" s="1321"/>
      <c r="HF278" s="1321"/>
      <c r="HG278" s="1321"/>
      <c r="HH278" s="1321"/>
      <c r="HI278" s="1321"/>
      <c r="HJ278" s="1321"/>
      <c r="HK278" s="1321"/>
      <c r="HL278" s="1321"/>
      <c r="HM278" s="1321"/>
      <c r="HN278" s="1321"/>
      <c r="HO278" s="1321"/>
      <c r="HP278" s="1321"/>
      <c r="HQ278" s="1321"/>
      <c r="HR278" s="1321"/>
      <c r="HS278" s="1321"/>
      <c r="HT278" s="1321"/>
      <c r="HU278" s="1321"/>
      <c r="HV278" s="1321"/>
      <c r="HW278" s="1321"/>
      <c r="HX278" s="1321"/>
      <c r="HY278" s="1321"/>
      <c r="HZ278" s="1321"/>
      <c r="IA278" s="1321"/>
      <c r="IB278" s="1321"/>
      <c r="IC278" s="1321"/>
      <c r="ID278" s="1321"/>
      <c r="IE278" s="1321"/>
      <c r="IF278" s="1321"/>
      <c r="IG278" s="1321"/>
      <c r="IH278" s="1321"/>
      <c r="II278" s="1321"/>
      <c r="IJ278" s="1321"/>
      <c r="IK278" s="1321"/>
      <c r="IL278" s="1321"/>
      <c r="IM278" s="1321"/>
      <c r="IN278" s="1368"/>
    </row>
    <row r="279" spans="1:248" ht="12.75" customHeight="1" x14ac:dyDescent="0.2">
      <c r="A279" s="1319"/>
      <c r="B279" s="1321"/>
      <c r="C279" s="1321"/>
      <c r="D279" s="1321"/>
      <c r="E279" s="1321"/>
      <c r="F279" s="1321"/>
      <c r="G279" s="1321"/>
      <c r="H279" s="1321"/>
      <c r="I279" s="1321"/>
      <c r="J279" s="1321"/>
      <c r="K279" s="1321"/>
      <c r="L279" s="1321"/>
      <c r="M279" s="1321"/>
      <c r="N279" s="1321"/>
      <c r="O279" s="1321"/>
      <c r="P279" s="1321"/>
      <c r="Q279" s="1321"/>
      <c r="R279" s="1321"/>
      <c r="S279" s="1321"/>
      <c r="T279" s="1321"/>
      <c r="U279" s="1321"/>
      <c r="V279" s="1321"/>
      <c r="W279" s="1321"/>
      <c r="X279" s="1321"/>
      <c r="Y279" s="1321"/>
      <c r="Z279" s="1321"/>
      <c r="AA279" s="1321"/>
      <c r="AB279" s="1321"/>
      <c r="AC279" s="1321"/>
      <c r="AD279" s="1321"/>
      <c r="AE279" s="1321"/>
      <c r="AF279" s="1321"/>
      <c r="AG279" s="1321"/>
      <c r="AH279" s="1321"/>
      <c r="AI279" s="1321"/>
      <c r="AJ279" s="1321"/>
      <c r="AK279" s="1321"/>
      <c r="AL279" s="1321"/>
      <c r="AM279" s="1321"/>
      <c r="AN279" s="1321"/>
      <c r="AO279" s="1321"/>
      <c r="AP279" s="1321"/>
      <c r="AQ279" s="1321"/>
      <c r="AR279" s="1321"/>
      <c r="AS279" s="1321"/>
      <c r="AT279" s="1321"/>
      <c r="AU279" s="1321"/>
      <c r="AV279" s="1321"/>
      <c r="AW279" s="1321"/>
      <c r="AX279" s="1321"/>
      <c r="AY279" s="1321"/>
      <c r="AZ279" s="1321"/>
      <c r="BA279" s="1321"/>
      <c r="BB279" s="1336"/>
      <c r="BC279" s="1341"/>
      <c r="BD279" s="1341"/>
      <c r="BE279" s="1341"/>
      <c r="BF279" s="1341"/>
      <c r="BG279" s="1341"/>
      <c r="BH279" s="1341"/>
      <c r="BI279" s="1341"/>
      <c r="BJ279" s="1351"/>
      <c r="BK279" s="1345"/>
      <c r="BL279" s="1345"/>
      <c r="BM279" s="1346"/>
      <c r="BN279" s="1321"/>
      <c r="BO279" s="1321"/>
      <c r="BP279" s="1321"/>
      <c r="BQ279" s="1321"/>
      <c r="BR279" s="1321"/>
      <c r="BS279" s="1321"/>
      <c r="BT279" s="1321"/>
      <c r="BU279" s="1321"/>
      <c r="BV279" s="1345"/>
      <c r="BW279" s="1345"/>
      <c r="BX279" s="1321"/>
      <c r="BY279" s="1321"/>
      <c r="BZ279" s="1321"/>
      <c r="CA279" s="1321"/>
      <c r="CB279" s="1321"/>
      <c r="CC279" s="1321"/>
      <c r="CD279" s="1345"/>
      <c r="CE279" s="1345"/>
      <c r="CF279" s="1345"/>
      <c r="CG279" s="1345"/>
      <c r="CH279" s="1345"/>
      <c r="CI279" s="1321"/>
      <c r="CJ279" s="1321"/>
      <c r="CK279" s="1321"/>
      <c r="CL279" s="1321"/>
      <c r="CM279" s="1321"/>
      <c r="CN279" s="1321"/>
      <c r="CO279" s="1321"/>
      <c r="CP279" s="1321"/>
      <c r="CQ279" s="1321"/>
      <c r="CR279" s="1321"/>
      <c r="CS279" s="1321"/>
      <c r="CT279" s="1321"/>
      <c r="CU279" s="1321"/>
      <c r="CV279" s="1321"/>
      <c r="CW279" s="1321"/>
      <c r="CX279" s="1321"/>
      <c r="CY279" s="1321"/>
      <c r="CZ279" s="1321"/>
      <c r="DA279" s="1321"/>
      <c r="DB279" s="1321"/>
      <c r="DC279" s="1321"/>
      <c r="DD279" s="1321"/>
      <c r="DE279" s="1321"/>
      <c r="DF279" s="1321"/>
      <c r="DG279" s="1321"/>
      <c r="DH279" s="1321"/>
      <c r="DI279" s="1321"/>
      <c r="DJ279" s="1321"/>
      <c r="DK279" s="1321"/>
      <c r="DL279" s="1321"/>
      <c r="DM279" s="1321"/>
      <c r="DN279" s="789" t="s">
        <v>1276</v>
      </c>
      <c r="DO279" s="790" t="s">
        <v>1280</v>
      </c>
      <c r="DP279" s="790" t="s">
        <v>1257</v>
      </c>
      <c r="DQ279" s="790" t="s">
        <v>1256</v>
      </c>
      <c r="DR279" s="822" t="s">
        <v>1255</v>
      </c>
      <c r="DS279" s="791" t="s">
        <v>1269</v>
      </c>
      <c r="DT279" s="1346"/>
      <c r="DU279" s="1346"/>
      <c r="DV279" s="1321"/>
      <c r="DW279" s="1321"/>
      <c r="DX279" s="1321"/>
      <c r="DY279" s="1321"/>
      <c r="DZ279" s="1321"/>
      <c r="EA279" s="1321"/>
      <c r="EB279" s="1321"/>
      <c r="EC279" s="1321"/>
      <c r="ED279" s="1345"/>
      <c r="EE279" s="1345"/>
      <c r="EF279" s="1321"/>
      <c r="EG279" s="1321"/>
      <c r="EH279" s="1321"/>
      <c r="EI279" s="1321"/>
      <c r="EJ279" s="1321"/>
      <c r="EK279" s="1345"/>
      <c r="EL279" s="1345"/>
      <c r="EM279" s="1321"/>
      <c r="EN279" s="1321"/>
      <c r="EO279" s="1321"/>
      <c r="EP279" s="1321"/>
      <c r="EQ279" s="1321"/>
      <c r="ER279" s="1345"/>
      <c r="ES279" s="1345"/>
      <c r="ET279" s="1321"/>
      <c r="EU279" s="1321"/>
      <c r="EV279" s="1321"/>
      <c r="EW279" s="1321"/>
      <c r="EX279" s="1321"/>
      <c r="EY279" s="1321"/>
      <c r="EZ279" s="1345"/>
      <c r="FA279" s="1345"/>
      <c r="FB279" s="1345"/>
      <c r="FC279" s="1321"/>
      <c r="FD279" s="1321"/>
      <c r="FE279" s="1321"/>
      <c r="FF279" s="1321"/>
      <c r="FG279" s="1321"/>
      <c r="FH279" s="1321"/>
      <c r="FI279" s="1345"/>
      <c r="FJ279" s="1345"/>
      <c r="FK279" s="1345"/>
      <c r="FL279" s="1345"/>
      <c r="FM279" s="1321"/>
      <c r="FN279" s="1321"/>
      <c r="FO279" s="1321"/>
      <c r="FP279" s="1321"/>
      <c r="FQ279" s="1321"/>
      <c r="FR279" s="1321"/>
      <c r="FS279" s="1345"/>
      <c r="FT279" s="1345"/>
      <c r="FU279" s="1345"/>
      <c r="FV279" s="1345"/>
      <c r="FW279" s="1321"/>
      <c r="FX279" s="1321"/>
      <c r="FY279" s="1321"/>
      <c r="FZ279" s="1321"/>
      <c r="GA279" s="1345"/>
      <c r="GB279" s="1321"/>
      <c r="GC279" s="1321"/>
      <c r="GD279" s="1321"/>
      <c r="GE279" s="1321"/>
      <c r="GF279" s="1321"/>
      <c r="GG279" s="1321" t="s">
        <v>1349</v>
      </c>
      <c r="GH279" s="1321" t="s">
        <v>1349</v>
      </c>
      <c r="GI279" s="1321" t="s">
        <v>1349</v>
      </c>
      <c r="GJ279" s="1321" t="s">
        <v>1349</v>
      </c>
      <c r="GK279" s="1321" t="s">
        <v>1349</v>
      </c>
      <c r="GL279" s="1321" t="s">
        <v>1349</v>
      </c>
      <c r="GM279" s="1321" t="s">
        <v>1349</v>
      </c>
      <c r="GN279" s="1321" t="s">
        <v>1349</v>
      </c>
      <c r="GO279" s="1321" t="s">
        <v>1349</v>
      </c>
      <c r="GP279" s="1321" t="s">
        <v>1349</v>
      </c>
      <c r="GQ279" s="1321" t="s">
        <v>1349</v>
      </c>
      <c r="GR279" s="1321" t="s">
        <v>1349</v>
      </c>
      <c r="GS279" s="1321" t="s">
        <v>1349</v>
      </c>
      <c r="GT279" s="1321" t="s">
        <v>1349</v>
      </c>
      <c r="GU279" s="1321" t="s">
        <v>1349</v>
      </c>
      <c r="GV279" s="1321" t="s">
        <v>1349</v>
      </c>
      <c r="GW279" s="1321"/>
      <c r="GX279" s="1321"/>
      <c r="GY279" s="1321"/>
      <c r="GZ279" s="1321"/>
      <c r="HA279" s="1321"/>
      <c r="HB279" s="1321"/>
      <c r="HC279" s="1321"/>
      <c r="HD279" s="1321"/>
      <c r="HE279" s="1321"/>
      <c r="HF279" s="1321"/>
      <c r="HG279" s="1321"/>
      <c r="HH279" s="1321"/>
      <c r="HI279" s="1321"/>
      <c r="HJ279" s="1321"/>
      <c r="HK279" s="1321"/>
      <c r="HL279" s="1321"/>
      <c r="HM279" s="1321"/>
      <c r="HN279" s="1321"/>
      <c r="HO279" s="1321"/>
      <c r="HP279" s="1321"/>
      <c r="HQ279" s="1321"/>
      <c r="HR279" s="1321"/>
      <c r="HS279" s="1321"/>
      <c r="HT279" s="1321"/>
      <c r="HU279" s="1321"/>
      <c r="HV279" s="1321"/>
      <c r="HW279" s="1321"/>
      <c r="HX279" s="1321"/>
      <c r="HY279" s="1321"/>
      <c r="HZ279" s="1321"/>
      <c r="IA279" s="1321"/>
      <c r="IB279" s="1321"/>
      <c r="IC279" s="1321"/>
      <c r="ID279" s="1321"/>
      <c r="IE279" s="1321"/>
      <c r="IF279" s="1321"/>
      <c r="IG279" s="1321"/>
      <c r="IH279" s="1321"/>
      <c r="II279" s="1321"/>
      <c r="IJ279" s="1321"/>
      <c r="IK279" s="1321"/>
      <c r="IL279" s="1321"/>
      <c r="IM279" s="1321"/>
      <c r="IN279" s="1368"/>
    </row>
    <row r="280" spans="1:248" ht="12.75" customHeight="1" x14ac:dyDescent="0.2">
      <c r="A280" s="1319"/>
      <c r="B280" s="1321"/>
      <c r="C280" s="1321"/>
      <c r="D280" s="1321"/>
      <c r="E280" s="1321"/>
      <c r="F280" s="1321"/>
      <c r="G280" s="1321"/>
      <c r="H280" s="1321"/>
      <c r="I280" s="1321"/>
      <c r="J280" s="1321"/>
      <c r="K280" s="1321"/>
      <c r="L280" s="1321"/>
      <c r="M280" s="1321"/>
      <c r="N280" s="1321"/>
      <c r="O280" s="1321"/>
      <c r="P280" s="1321"/>
      <c r="Q280" s="1321"/>
      <c r="R280" s="1321"/>
      <c r="S280" s="1321"/>
      <c r="T280" s="1321"/>
      <c r="U280" s="1321"/>
      <c r="V280" s="1321"/>
      <c r="W280" s="1321"/>
      <c r="X280" s="1321"/>
      <c r="Y280" s="1321"/>
      <c r="Z280" s="1321"/>
      <c r="AA280" s="1321"/>
      <c r="AB280" s="1321"/>
      <c r="AC280" s="1321"/>
      <c r="AD280" s="1321"/>
      <c r="AE280" s="1321"/>
      <c r="AF280" s="1321"/>
      <c r="AG280" s="1321"/>
      <c r="AH280" s="1321"/>
      <c r="AI280" s="1321"/>
      <c r="AJ280" s="1321"/>
      <c r="AK280" s="1321"/>
      <c r="AL280" s="1321"/>
      <c r="AM280" s="1321"/>
      <c r="AN280" s="1321"/>
      <c r="AO280" s="1321"/>
      <c r="AP280" s="1321"/>
      <c r="AQ280" s="1321"/>
      <c r="AR280" s="1321"/>
      <c r="AS280" s="1321"/>
      <c r="AT280" s="1321"/>
      <c r="AU280" s="1321"/>
      <c r="AV280" s="1321"/>
      <c r="AW280" s="1321"/>
      <c r="AX280" s="1321"/>
      <c r="AY280" s="1321"/>
      <c r="AZ280" s="1321"/>
      <c r="BA280" s="1321"/>
      <c r="BB280" s="1336"/>
      <c r="BC280" s="1341"/>
      <c r="BD280" s="1341"/>
      <c r="BE280" s="1341"/>
      <c r="BF280" s="1341"/>
      <c r="BG280" s="1341"/>
      <c r="BH280" s="1341"/>
      <c r="BI280" s="1341"/>
      <c r="BJ280" s="1351"/>
      <c r="BK280" s="1345"/>
      <c r="BL280" s="1345"/>
      <c r="BM280" s="1346"/>
      <c r="BN280" s="1321"/>
      <c r="BO280" s="1321"/>
      <c r="BP280" s="1321"/>
      <c r="BQ280" s="1321"/>
      <c r="BR280" s="1321"/>
      <c r="BS280" s="1321"/>
      <c r="BT280" s="1321"/>
      <c r="BU280" s="1321"/>
      <c r="BV280" s="1345"/>
      <c r="BW280" s="1345"/>
      <c r="BX280" s="1321"/>
      <c r="BY280" s="1321"/>
      <c r="BZ280" s="1321"/>
      <c r="CA280" s="1321"/>
      <c r="CB280" s="1321"/>
      <c r="CC280" s="1321"/>
      <c r="CD280" s="1345"/>
      <c r="CE280" s="1345"/>
      <c r="CF280" s="1345"/>
      <c r="CG280" s="1345"/>
      <c r="CH280" s="1345"/>
      <c r="CI280" s="1321"/>
      <c r="CJ280" s="1321"/>
      <c r="CK280" s="1321"/>
      <c r="CL280" s="1321"/>
      <c r="CM280" s="1321"/>
      <c r="CN280" s="1321"/>
      <c r="CO280" s="1321"/>
      <c r="CP280" s="1321"/>
      <c r="CQ280" s="1321"/>
      <c r="CR280" s="1321"/>
      <c r="CS280" s="1321"/>
      <c r="CT280" s="1321"/>
      <c r="CU280" s="1321"/>
      <c r="CV280" s="1321"/>
      <c r="CW280" s="1321"/>
      <c r="CX280" s="1321"/>
      <c r="CY280" s="1321"/>
      <c r="CZ280" s="1321"/>
      <c r="DA280" s="1321"/>
      <c r="DB280" s="1321"/>
      <c r="DC280" s="1321"/>
      <c r="DD280" s="1321"/>
      <c r="DE280" s="1321"/>
      <c r="DF280" s="1321"/>
      <c r="DG280" s="1321"/>
      <c r="DH280" s="1321"/>
      <c r="DI280" s="1321"/>
      <c r="DJ280" s="1321"/>
      <c r="DK280" s="1321"/>
      <c r="DL280" s="1321"/>
      <c r="DM280" s="1321"/>
      <c r="DN280" s="792" t="s">
        <v>723</v>
      </c>
      <c r="DO280" s="793">
        <f t="array" ref="DO280">IF(ChoixRationHivernaleOvinsComplète=NON,0,IFERROR(IF(OR(AND(INDEX(Règles_ovins[Specificite],MATCH(RationHivernaleOvinsAuPré&amp;Ration_hivernale_complète_ovins[aliment],Règles_ovins[Ration]&amp;Règles_ovins[Aliment],0))="s1",IF(Ration_hivernale_complète_ovins[aliment]=Spécificité1Ovins,1)),
AND(INDEX(Règles_ovins[Specificite],MATCH(RationHivernaleOvinsAuPré&amp;Ration_hivernale_complète_ovins[aliment],Règles_ovins[Ration]&amp;Règles_ovins[Aliment],0))="s2",IF(Ration_hivernale_complète_ovins[aliment]=Spécificité1Ovins,1)),
INDEX(Règles_ovins[Specificite],MATCH(RationHivernaleOvinsAuPré&amp;Ration_hivernale_complète_ovins[aliment],Règles_ovins[Ration]&amp;Règles_ovins[Aliment],0))="c",INDEX(Règles_ovins[Specificite],MATCH(RationHivernaleOvinsAuPré&amp;Ration_hivernale_complète_ovins[aliment],Règles_ovins[Ration]&amp;Règles_ovins[Aliment],0))="complet"),
INDEX(Règles_ovins[Valeur 12 et plus],MATCH(RationHivernaleOvinsAuPré&amp;Ration_hivernale_complète_ovins[aliment],Règles_ovins[Ration]&amp;Règles_ovins[Aliment],0)),0),0)*SUM(TotalOvinsAdultes)*SUM(AD76:AD100))</f>
        <v>0</v>
      </c>
      <c r="DP280" s="793">
        <f t="array" ref="DP280">IF(ChoixRationHivernaleOvinsComplète=NON,0,IFERROR(IF(OR(AND(INDEX(Règles_ovins[Specificite],MATCH(RationHivernaleOvinsAuPré&amp;Ration_hivernale_complète_ovins[aliment],Règles_ovins[Ration]&amp;Règles_ovins[Aliment],0))="s1",IF(Ration_hivernale_complète_ovins[aliment]=Spécificité1Ovins,1)),
AND(INDEX(Règles_ovins[Specificite],MATCH(RationHivernaleOvinsAuPré&amp;Ration_hivernale_complète_ovins[aliment],Règles_ovins[Ration]&amp;Règles_ovins[Aliment],0))="s2",IF(Ration_hivernale_complète_ovins[aliment]=Spécificité1Ovins,1)),
INDEX(Règles_ovins[Specificite],MATCH(RationHivernaleOvinsAuPré&amp;Ration_hivernale_complète_ovins[aliment],Règles_ovins[Ration]&amp;Règles_ovins[Aliment],0))="c",INDEX(Règles_ovins[Specificite],MATCH(RationHivernaleOvinsAuPré&amp;Ration_hivernale_complète_ovins[aliment],Règles_ovins[Ration]&amp;Règles_ovins[Aliment],0))="complet"),
INDEX(Règles_ovins[Valeur 6-12],MATCH(RationHivernaleOvinsAuPré&amp;Ration_hivernale_complète_ovins[aliment],Règles_ovins[Ration]&amp;Règles_ovins[Aliment],0)),0),0)*SUM(TotalJeunesOvins)*SUM(AD76:AD100))</f>
        <v>0</v>
      </c>
      <c r="DQ280" s="793">
        <f t="array" ref="DQ280">IF(ChoixRationHivernaleOvinsComplète=NON,0,IFERROR(IF(OR(AND(INDEX(Règles_ovins[Specificite],MATCH(RationHivernaleOvinsAuPré&amp;Ration_hivernale_complète_ovins[aliment],Règles_ovins[Ration]&amp;Règles_ovins[Aliment],0))="s1",IF(Ration_hivernale_complète_ovins[aliment]=Spécificité1Ovins,1)),
AND(INDEX(Règles_ovins[Specificite],MATCH(RationHivernaleOvinsAuPré&amp;Ration_hivernale_complète_ovins[aliment],Règles_ovins[Ration]&amp;Règles_ovins[Aliment],0))="s2",IF(Ration_hivernale_complète_ovins[aliment]=Spécificité1Ovins,1)),
INDEX(Règles_ovins[Specificite],MATCH(RationHivernaleOvinsAuPré&amp;Ration_hivernale_complète_ovins[aliment],Règles_ovins[Ration]&amp;Règles_ovins[Aliment],0))="c",INDEX(Règles_ovins[Specificite],MATCH(RationHivernaleOvinsAuPré&amp;Ration_hivernale_complète_ovins[aliment],Règles_ovins[Ration]&amp;Règles_ovins[Aliment],0))="complet"),
INDEX(Règles_ovins[Valeur 3-6],MATCH(RationHivernaleOvinsAuPré&amp;Ration_hivernale_complète_ovins[aliment],Règles_ovins[Ration]&amp;Règles_ovins[Aliment],0)),0),0)*SUM(TotalOvins_3_6mois)*SUM(AD76:AD100))</f>
        <v>0</v>
      </c>
      <c r="DR280" s="793">
        <f t="array" ref="DR280">IF(ChoixRationHivernaleOvinsComplète=NON,0,IFERROR(IF(OR(AND(INDEX(Règles_ovins[Specificite],MATCH(RationHivernaleOvinsAuPré&amp;Ration_hivernale_complète_ovins[aliment],Règles_ovins[Ration]&amp;Règles_ovins[Aliment],0))="s1",IF(Ration_hivernale_complète_ovins[aliment]=Spécificité1Ovins,1)),
AND(INDEX(Règles_ovins[Specificite],MATCH(RationHivernaleOvinsAuPré&amp;Ration_hivernale_complète_ovins[aliment],Règles_ovins[Ration]&amp;Règles_ovins[Aliment],0))="s2",IF(Ration_hivernale_complète_ovins[aliment]=Spécificité1Ovins,1)),
INDEX(Règles_ovins[Specificite],MATCH(RationHivernaleOvinsAuPré&amp;Ration_hivernale_complète_ovins[aliment],Règles_ovins[Ration]&amp;Règles_ovins[Aliment],0))="c",INDEX(Règles_ovins[Specificite],MATCH(RationHivernaleOvinsAuPré&amp;Ration_hivernale_complète_ovins[aliment],Règles_ovins[Ration]&amp;Règles_ovins[Aliment],0))="complet"),
INDEX(Règles_ovins[Valeur 0-3],MATCH(RationHivernaleOvinsAuPré&amp;Ration_hivernale_complète_ovins[aliment],Règles_ovins[Ration]&amp;Règles_ovins[Aliment],0)),0),0)*SUM(TotalOvins_3_6mois)*SUM(AD76:AD100))</f>
        <v>0</v>
      </c>
      <c r="DS280" s="820">
        <f>SUM(Ration_hivernale_complète_ovins[[Valeur 12 et plus]:[Valeur 0-3]])</f>
        <v>0</v>
      </c>
      <c r="DT280" s="1346"/>
      <c r="DU280" s="1346"/>
      <c r="DV280" s="1321"/>
      <c r="DW280" s="1321"/>
      <c r="DX280" s="1321"/>
      <c r="DY280" s="1321"/>
      <c r="DZ280" s="1321"/>
      <c r="EA280" s="1321"/>
      <c r="EB280" s="1321"/>
      <c r="EC280" s="1321"/>
      <c r="ED280" s="1345"/>
      <c r="EE280" s="1345"/>
      <c r="EF280" s="1321"/>
      <c r="EG280" s="1321"/>
      <c r="EH280" s="1321"/>
      <c r="EI280" s="1321"/>
      <c r="EJ280" s="1321"/>
      <c r="EK280" s="1345"/>
      <c r="EL280" s="1345"/>
      <c r="EM280" s="1321"/>
      <c r="EN280" s="1321"/>
      <c r="EO280" s="1321"/>
      <c r="EP280" s="1321"/>
      <c r="EQ280" s="1321"/>
      <c r="ER280" s="1345"/>
      <c r="ES280" s="1345"/>
      <c r="ET280" s="1321"/>
      <c r="EU280" s="1321"/>
      <c r="EV280" s="1321"/>
      <c r="EW280" s="1321"/>
      <c r="EX280" s="1321"/>
      <c r="EY280" s="1321"/>
      <c r="EZ280" s="1345"/>
      <c r="FA280" s="1345"/>
      <c r="FB280" s="1345"/>
      <c r="FC280" s="1321"/>
      <c r="FD280" s="1321"/>
      <c r="FE280" s="1321"/>
      <c r="FF280" s="1321"/>
      <c r="FG280" s="1321"/>
      <c r="FH280" s="1321"/>
      <c r="FI280" s="1345"/>
      <c r="FJ280" s="1345"/>
      <c r="FK280" s="1345"/>
      <c r="FL280" s="1345"/>
      <c r="FM280" s="1321"/>
      <c r="FN280" s="1321"/>
      <c r="FO280" s="1321"/>
      <c r="FP280" s="1321"/>
      <c r="FQ280" s="1321"/>
      <c r="FR280" s="1321"/>
      <c r="FS280" s="1345"/>
      <c r="FT280" s="1345"/>
      <c r="FU280" s="1345"/>
      <c r="FV280" s="1345"/>
      <c r="FW280" s="1321"/>
      <c r="FX280" s="1321"/>
      <c r="FY280" s="1321"/>
      <c r="FZ280" s="1321"/>
      <c r="GA280" s="1345"/>
      <c r="GB280" s="1321"/>
      <c r="GC280" s="1321"/>
      <c r="GD280" s="1321"/>
      <c r="GE280" s="1321"/>
      <c r="GF280" s="1321"/>
      <c r="GG280" s="1321" t="s">
        <v>1349</v>
      </c>
      <c r="GH280" s="1321" t="s">
        <v>1349</v>
      </c>
      <c r="GI280" s="1321" t="s">
        <v>1349</v>
      </c>
      <c r="GJ280" s="1321" t="s">
        <v>1349</v>
      </c>
      <c r="GK280" s="1321" t="s">
        <v>1349</v>
      </c>
      <c r="GL280" s="1321" t="s">
        <v>1349</v>
      </c>
      <c r="GM280" s="1321" t="s">
        <v>1349</v>
      </c>
      <c r="GN280" s="1321" t="s">
        <v>1349</v>
      </c>
      <c r="GO280" s="1321" t="s">
        <v>1349</v>
      </c>
      <c r="GP280" s="1321" t="s">
        <v>1349</v>
      </c>
      <c r="GQ280" s="1321" t="s">
        <v>1349</v>
      </c>
      <c r="GR280" s="1321" t="s">
        <v>1349</v>
      </c>
      <c r="GS280" s="1321" t="s">
        <v>1349</v>
      </c>
      <c r="GT280" s="1321" t="s">
        <v>1349</v>
      </c>
      <c r="GU280" s="1321" t="s">
        <v>1349</v>
      </c>
      <c r="GV280" s="1321" t="s">
        <v>1349</v>
      </c>
      <c r="GW280" s="1321"/>
      <c r="GX280" s="1321"/>
      <c r="GY280" s="1321"/>
      <c r="GZ280" s="1321"/>
      <c r="HA280" s="1321"/>
      <c r="HB280" s="1321"/>
      <c r="HC280" s="1321"/>
      <c r="HD280" s="1321"/>
      <c r="HE280" s="1321"/>
      <c r="HF280" s="1321"/>
      <c r="HG280" s="1321"/>
      <c r="HH280" s="1321"/>
      <c r="HI280" s="1321"/>
      <c r="HJ280" s="1321"/>
      <c r="HK280" s="1321"/>
      <c r="HL280" s="1321"/>
      <c r="HM280" s="1321"/>
      <c r="HN280" s="1321"/>
      <c r="HO280" s="1321"/>
      <c r="HP280" s="1321"/>
      <c r="HQ280" s="1321"/>
      <c r="HR280" s="1321"/>
      <c r="HS280" s="1321"/>
      <c r="HT280" s="1321"/>
      <c r="HU280" s="1321"/>
      <c r="HV280" s="1321"/>
      <c r="HW280" s="1321"/>
      <c r="HX280" s="1321"/>
      <c r="HY280" s="1321"/>
      <c r="HZ280" s="1321"/>
      <c r="IA280" s="1321"/>
      <c r="IB280" s="1321"/>
      <c r="IC280" s="1321"/>
      <c r="ID280" s="1321"/>
      <c r="IE280" s="1321"/>
      <c r="IF280" s="1321"/>
      <c r="IG280" s="1321"/>
      <c r="IH280" s="1321"/>
      <c r="II280" s="1321"/>
      <c r="IJ280" s="1321"/>
      <c r="IK280" s="1321"/>
      <c r="IL280" s="1321"/>
      <c r="IM280" s="1321"/>
      <c r="IN280" s="1368"/>
    </row>
    <row r="281" spans="1:248" ht="12.75" customHeight="1" x14ac:dyDescent="0.2">
      <c r="A281" s="1319"/>
      <c r="B281" s="1321"/>
      <c r="C281" s="1321"/>
      <c r="D281" s="1321"/>
      <c r="E281" s="1321"/>
      <c r="F281" s="1321"/>
      <c r="G281" s="1321"/>
      <c r="H281" s="1321"/>
      <c r="I281" s="1321"/>
      <c r="J281" s="1321"/>
      <c r="K281" s="1321"/>
      <c r="L281" s="1321"/>
      <c r="M281" s="1321"/>
      <c r="N281" s="1321"/>
      <c r="O281" s="1321"/>
      <c r="P281" s="1321"/>
      <c r="Q281" s="1321"/>
      <c r="R281" s="1321"/>
      <c r="S281" s="1321"/>
      <c r="T281" s="1321"/>
      <c r="U281" s="1321"/>
      <c r="V281" s="1321"/>
      <c r="W281" s="1321"/>
      <c r="X281" s="1321"/>
      <c r="Y281" s="1321"/>
      <c r="Z281" s="1321"/>
      <c r="AA281" s="1321"/>
      <c r="AB281" s="1321"/>
      <c r="AC281" s="1321"/>
      <c r="AD281" s="1321"/>
      <c r="AE281" s="1321"/>
      <c r="AF281" s="1321"/>
      <c r="AG281" s="1321"/>
      <c r="AH281" s="1321"/>
      <c r="AI281" s="1321"/>
      <c r="AJ281" s="1321"/>
      <c r="AK281" s="1321"/>
      <c r="AL281" s="1321"/>
      <c r="AM281" s="1321"/>
      <c r="AN281" s="1321"/>
      <c r="AO281" s="1321"/>
      <c r="AP281" s="1321"/>
      <c r="AQ281" s="1321"/>
      <c r="AR281" s="1321"/>
      <c r="AS281" s="1321"/>
      <c r="AT281" s="1321"/>
      <c r="AU281" s="1321"/>
      <c r="AV281" s="1321"/>
      <c r="AW281" s="1321"/>
      <c r="AX281" s="1321"/>
      <c r="AY281" s="1321"/>
      <c r="AZ281" s="1321"/>
      <c r="BA281" s="1321"/>
      <c r="BB281" s="1336"/>
      <c r="BC281" s="1341"/>
      <c r="BD281" s="1341"/>
      <c r="BE281" s="1341"/>
      <c r="BF281" s="1341"/>
      <c r="BG281" s="1341"/>
      <c r="BH281" s="1341"/>
      <c r="BI281" s="1341"/>
      <c r="BJ281" s="1351"/>
      <c r="BK281" s="1345"/>
      <c r="BL281" s="1345"/>
      <c r="BM281" s="1346"/>
      <c r="BN281" s="1321"/>
      <c r="BO281" s="1321"/>
      <c r="BP281" s="1321"/>
      <c r="BQ281" s="1321"/>
      <c r="BR281" s="1321"/>
      <c r="BS281" s="1321"/>
      <c r="BT281" s="1321"/>
      <c r="BU281" s="1321"/>
      <c r="BV281" s="1345"/>
      <c r="BW281" s="1345"/>
      <c r="BX281" s="1321"/>
      <c r="BY281" s="1321"/>
      <c r="BZ281" s="1321"/>
      <c r="CA281" s="1321"/>
      <c r="CB281" s="1321"/>
      <c r="CC281" s="1321"/>
      <c r="CD281" s="1345"/>
      <c r="CE281" s="1345"/>
      <c r="CF281" s="1345"/>
      <c r="CG281" s="1345"/>
      <c r="CH281" s="1345"/>
      <c r="CI281" s="1321"/>
      <c r="CJ281" s="1321"/>
      <c r="CK281" s="1321"/>
      <c r="CL281" s="1321"/>
      <c r="CM281" s="1321"/>
      <c r="CN281" s="1321"/>
      <c r="CO281" s="1321"/>
      <c r="CP281" s="1321"/>
      <c r="CQ281" s="1321"/>
      <c r="CR281" s="1321"/>
      <c r="CS281" s="1321"/>
      <c r="CT281" s="1321"/>
      <c r="CU281" s="1321"/>
      <c r="CV281" s="1321"/>
      <c r="CW281" s="1321"/>
      <c r="CX281" s="1321"/>
      <c r="CY281" s="1321"/>
      <c r="CZ281" s="1321"/>
      <c r="DA281" s="1321"/>
      <c r="DB281" s="1321"/>
      <c r="DC281" s="1321"/>
      <c r="DD281" s="1321"/>
      <c r="DE281" s="1321"/>
      <c r="DF281" s="1321"/>
      <c r="DG281" s="1321"/>
      <c r="DH281" s="1321"/>
      <c r="DI281" s="1321"/>
      <c r="DJ281" s="1321"/>
      <c r="DK281" s="1321"/>
      <c r="DL281" s="1321"/>
      <c r="DM281" s="1321"/>
      <c r="DN281" s="1321"/>
      <c r="DO281" s="1321"/>
      <c r="DP281" s="1321"/>
      <c r="DQ281" s="1321"/>
      <c r="DR281" s="1321"/>
      <c r="DS281" s="1345"/>
      <c r="DT281" s="1346"/>
      <c r="DU281" s="1346"/>
      <c r="DV281" s="1321"/>
      <c r="DW281" s="1321"/>
      <c r="DX281" s="1321"/>
      <c r="DY281" s="1321"/>
      <c r="DZ281" s="1321"/>
      <c r="EA281" s="1321"/>
      <c r="EB281" s="1321"/>
      <c r="EC281" s="1321"/>
      <c r="ED281" s="1345"/>
      <c r="EE281" s="1345"/>
      <c r="EF281" s="1321"/>
      <c r="EG281" s="1321"/>
      <c r="EH281" s="1321"/>
      <c r="EI281" s="1321"/>
      <c r="EJ281" s="1321"/>
      <c r="EK281" s="1345"/>
      <c r="EL281" s="1345"/>
      <c r="EM281" s="1321"/>
      <c r="EN281" s="1321"/>
      <c r="EO281" s="1321"/>
      <c r="EP281" s="1321"/>
      <c r="EQ281" s="1321"/>
      <c r="ER281" s="1345"/>
      <c r="ES281" s="1345"/>
      <c r="ET281" s="1321"/>
      <c r="EU281" s="1321"/>
      <c r="EV281" s="1321"/>
      <c r="EW281" s="1321"/>
      <c r="EX281" s="1321"/>
      <c r="EY281" s="1321"/>
      <c r="EZ281" s="1345"/>
      <c r="FA281" s="1345"/>
      <c r="FB281" s="1345"/>
      <c r="FC281" s="1321"/>
      <c r="FD281" s="1321"/>
      <c r="FE281" s="1321"/>
      <c r="FF281" s="1321"/>
      <c r="FG281" s="1321"/>
      <c r="FH281" s="1321"/>
      <c r="FI281" s="1345"/>
      <c r="FJ281" s="1345"/>
      <c r="FK281" s="1345"/>
      <c r="FL281" s="1345"/>
      <c r="FM281" s="1321"/>
      <c r="FN281" s="1321"/>
      <c r="FO281" s="1321"/>
      <c r="FP281" s="1321"/>
      <c r="FQ281" s="1321"/>
      <c r="FR281" s="1321"/>
      <c r="FS281" s="1345"/>
      <c r="FT281" s="1345"/>
      <c r="FU281" s="1345"/>
      <c r="FV281" s="1345"/>
      <c r="FW281" s="1321"/>
      <c r="FX281" s="1321"/>
      <c r="FY281" s="1321"/>
      <c r="FZ281" s="1321"/>
      <c r="GA281" s="1345"/>
      <c r="GB281" s="1321"/>
      <c r="GC281" s="1321"/>
      <c r="GD281" s="1321"/>
      <c r="GE281" s="1321"/>
      <c r="GF281" s="1321"/>
      <c r="GG281" s="1321" t="s">
        <v>1349</v>
      </c>
      <c r="GH281" s="1321" t="s">
        <v>1349</v>
      </c>
      <c r="GI281" s="1321" t="s">
        <v>1349</v>
      </c>
      <c r="GJ281" s="1321" t="s">
        <v>1349</v>
      </c>
      <c r="GK281" s="1321" t="s">
        <v>1349</v>
      </c>
      <c r="GL281" s="1321" t="s">
        <v>1349</v>
      </c>
      <c r="GM281" s="1321" t="s">
        <v>1349</v>
      </c>
      <c r="GN281" s="1321" t="s">
        <v>1349</v>
      </c>
      <c r="GO281" s="1321" t="s">
        <v>1349</v>
      </c>
      <c r="GP281" s="1321" t="s">
        <v>1349</v>
      </c>
      <c r="GQ281" s="1321" t="s">
        <v>1349</v>
      </c>
      <c r="GR281" s="1321" t="s">
        <v>1349</v>
      </c>
      <c r="GS281" s="1321" t="s">
        <v>1349</v>
      </c>
      <c r="GT281" s="1321" t="s">
        <v>1349</v>
      </c>
      <c r="GU281" s="1321" t="s">
        <v>1349</v>
      </c>
      <c r="GV281" s="1321" t="s">
        <v>1349</v>
      </c>
      <c r="GW281" s="1321"/>
      <c r="GX281" s="1321"/>
      <c r="GY281" s="1321"/>
      <c r="GZ281" s="1321"/>
      <c r="HA281" s="1321"/>
      <c r="HB281" s="1321"/>
      <c r="HC281" s="1321"/>
      <c r="HD281" s="1321"/>
      <c r="HE281" s="1321"/>
      <c r="HF281" s="1321"/>
      <c r="HG281" s="1321"/>
      <c r="HH281" s="1321"/>
      <c r="HI281" s="1321"/>
      <c r="HJ281" s="1321"/>
      <c r="HK281" s="1321"/>
      <c r="HL281" s="1321"/>
      <c r="HM281" s="1321"/>
      <c r="HN281" s="1321"/>
      <c r="HO281" s="1321"/>
      <c r="HP281" s="1321"/>
      <c r="HQ281" s="1321"/>
      <c r="HR281" s="1321"/>
      <c r="HS281" s="1321"/>
      <c r="HT281" s="1321"/>
      <c r="HU281" s="1321"/>
      <c r="HV281" s="1321"/>
      <c r="HW281" s="1321"/>
      <c r="HX281" s="1321"/>
      <c r="HY281" s="1321"/>
      <c r="HZ281" s="1321"/>
      <c r="IA281" s="1321"/>
      <c r="IB281" s="1321"/>
      <c r="IC281" s="1321"/>
      <c r="ID281" s="1321"/>
      <c r="IE281" s="1321"/>
      <c r="IF281" s="1321"/>
      <c r="IG281" s="1321"/>
      <c r="IH281" s="1321"/>
      <c r="II281" s="1321"/>
      <c r="IJ281" s="1321"/>
      <c r="IK281" s="1321"/>
      <c r="IL281" s="1321"/>
      <c r="IM281" s="1321"/>
      <c r="IN281" s="1368"/>
    </row>
    <row r="282" spans="1:248" ht="12.75" customHeight="1" x14ac:dyDescent="0.2">
      <c r="A282" s="1319"/>
      <c r="B282" s="1321"/>
      <c r="C282" s="1321"/>
      <c r="D282" s="1321"/>
      <c r="E282" s="1321"/>
      <c r="F282" s="1321"/>
      <c r="G282" s="1321"/>
      <c r="H282" s="1321"/>
      <c r="I282" s="1321"/>
      <c r="J282" s="1321"/>
      <c r="K282" s="1321"/>
      <c r="L282" s="1321"/>
      <c r="M282" s="1321"/>
      <c r="N282" s="1321"/>
      <c r="O282" s="1321"/>
      <c r="P282" s="1321"/>
      <c r="Q282" s="1321"/>
      <c r="R282" s="1321"/>
      <c r="S282" s="1321"/>
      <c r="T282" s="1321"/>
      <c r="U282" s="1321"/>
      <c r="V282" s="1321"/>
      <c r="W282" s="1321"/>
      <c r="X282" s="1321"/>
      <c r="Y282" s="1321"/>
      <c r="Z282" s="1321"/>
      <c r="AA282" s="1321"/>
      <c r="AB282" s="1321"/>
      <c r="AC282" s="1321"/>
      <c r="AD282" s="1321"/>
      <c r="AE282" s="1321"/>
      <c r="AF282" s="1321"/>
      <c r="AG282" s="1321"/>
      <c r="AH282" s="1321"/>
      <c r="AI282" s="1321"/>
      <c r="AJ282" s="1321"/>
      <c r="AK282" s="1321"/>
      <c r="AL282" s="1321"/>
      <c r="AM282" s="1321"/>
      <c r="AN282" s="1321"/>
      <c r="AO282" s="1321"/>
      <c r="AP282" s="1321"/>
      <c r="AQ282" s="1321"/>
      <c r="AR282" s="1321"/>
      <c r="AS282" s="1321"/>
      <c r="AT282" s="1321"/>
      <c r="AU282" s="1321"/>
      <c r="AV282" s="1321"/>
      <c r="AW282" s="1321"/>
      <c r="AX282" s="1321"/>
      <c r="AY282" s="1321"/>
      <c r="AZ282" s="1321"/>
      <c r="BA282" s="1321"/>
      <c r="BB282" s="1336" t="s">
        <v>1239</v>
      </c>
      <c r="BC282" s="1336"/>
      <c r="BD282" s="1336"/>
      <c r="BE282" s="1336"/>
      <c r="BF282" s="1336"/>
      <c r="BG282" s="1336"/>
      <c r="BH282" s="1336"/>
      <c r="BI282" s="1336"/>
      <c r="BJ282" s="1336"/>
      <c r="BK282" s="1345"/>
      <c r="BL282" s="1345"/>
      <c r="BM282" s="1346"/>
      <c r="BN282" s="1321"/>
      <c r="BO282" s="1321"/>
      <c r="BP282" s="1321"/>
      <c r="BQ282" s="1321"/>
      <c r="BR282" s="1321"/>
      <c r="BS282" s="1321"/>
      <c r="BT282" s="1321"/>
      <c r="BU282" s="1321"/>
      <c r="BV282" s="1345"/>
      <c r="BW282" s="1345"/>
      <c r="BX282" s="1321"/>
      <c r="BY282" s="1321"/>
      <c r="BZ282" s="1321"/>
      <c r="CA282" s="1321"/>
      <c r="CB282" s="1321"/>
      <c r="CC282" s="1321"/>
      <c r="CD282" s="1345"/>
      <c r="CE282" s="1345"/>
      <c r="CF282" s="1345"/>
      <c r="CG282" s="1345"/>
      <c r="CH282" s="1345"/>
      <c r="CI282" s="1321"/>
      <c r="CJ282" s="1321"/>
      <c r="CK282" s="1321"/>
      <c r="CL282" s="1321"/>
      <c r="CM282" s="1321"/>
      <c r="CN282" s="1321"/>
      <c r="CO282" s="1321"/>
      <c r="CP282" s="1321"/>
      <c r="CQ282" s="1321"/>
      <c r="CR282" s="1321"/>
      <c r="CS282" s="1321"/>
      <c r="CT282" s="1321"/>
      <c r="CU282" s="1321"/>
      <c r="CV282" s="1321"/>
      <c r="CW282" s="1321"/>
      <c r="CX282" s="1321"/>
      <c r="CY282" s="1321"/>
      <c r="CZ282" s="1321"/>
      <c r="DA282" s="1321"/>
      <c r="DB282" s="1321"/>
      <c r="DC282" s="1321"/>
      <c r="DD282" s="1321"/>
      <c r="DE282" s="1321"/>
      <c r="DF282" s="1321"/>
      <c r="DG282" s="1321"/>
      <c r="DH282" s="1321"/>
      <c r="DI282" s="1321"/>
      <c r="DJ282" s="1321"/>
      <c r="DK282" s="1321"/>
      <c r="DL282" s="1321"/>
      <c r="DM282" s="1321"/>
      <c r="DN282" s="1336" t="s">
        <v>1478</v>
      </c>
      <c r="DO282" s="1336"/>
      <c r="DP282" s="1336"/>
      <c r="DQ282" s="1321"/>
      <c r="DR282" s="1321"/>
      <c r="DS282" s="1345"/>
      <c r="DT282" s="1346"/>
      <c r="DU282" s="1346"/>
      <c r="DV282" s="1321"/>
      <c r="DW282" s="1321"/>
      <c r="DX282" s="1321"/>
      <c r="DY282" s="1321"/>
      <c r="DZ282" s="1321"/>
      <c r="EA282" s="1321"/>
      <c r="EB282" s="1321"/>
      <c r="EC282" s="1321"/>
      <c r="ED282" s="1345"/>
      <c r="EE282" s="1345"/>
      <c r="EF282" s="1321"/>
      <c r="EG282" s="1321"/>
      <c r="EH282" s="1321"/>
      <c r="EI282" s="1321"/>
      <c r="EJ282" s="1321"/>
      <c r="EK282" s="1345"/>
      <c r="EL282" s="1345"/>
      <c r="EM282" s="1321"/>
      <c r="EN282" s="1321"/>
      <c r="EO282" s="1321"/>
      <c r="EP282" s="1321"/>
      <c r="EQ282" s="1321"/>
      <c r="ER282" s="1345"/>
      <c r="ES282" s="1345"/>
      <c r="ET282" s="1321"/>
      <c r="EU282" s="1321"/>
      <c r="EV282" s="1321"/>
      <c r="EW282" s="1321"/>
      <c r="EX282" s="1321"/>
      <c r="EY282" s="1321"/>
      <c r="EZ282" s="1345"/>
      <c r="FA282" s="1345"/>
      <c r="FB282" s="1345"/>
      <c r="FC282" s="1321"/>
      <c r="FD282" s="1321"/>
      <c r="FE282" s="1321"/>
      <c r="FF282" s="1321"/>
      <c r="FG282" s="1321"/>
      <c r="FH282" s="1321"/>
      <c r="FI282" s="1345"/>
      <c r="FJ282" s="1345"/>
      <c r="FK282" s="1345"/>
      <c r="FL282" s="1345"/>
      <c r="FM282" s="1321"/>
      <c r="FN282" s="1321"/>
      <c r="FO282" s="1321"/>
      <c r="FP282" s="1321"/>
      <c r="FQ282" s="1321"/>
      <c r="FR282" s="1321"/>
      <c r="FS282" s="1345"/>
      <c r="FT282" s="1345"/>
      <c r="FU282" s="1345"/>
      <c r="FV282" s="1345"/>
      <c r="FW282" s="1321"/>
      <c r="FX282" s="1321"/>
      <c r="FY282" s="1321"/>
      <c r="FZ282" s="1321"/>
      <c r="GA282" s="1345"/>
      <c r="GB282" s="1321"/>
      <c r="GC282" s="1321"/>
      <c r="GD282" s="1321"/>
      <c r="GE282" s="1321"/>
      <c r="GF282" s="1321"/>
      <c r="GG282" s="1321" t="s">
        <v>1349</v>
      </c>
      <c r="GH282" s="1321" t="s">
        <v>1349</v>
      </c>
      <c r="GI282" s="1321" t="s">
        <v>1349</v>
      </c>
      <c r="GJ282" s="1321" t="s">
        <v>1349</v>
      </c>
      <c r="GK282" s="1321" t="s">
        <v>1349</v>
      </c>
      <c r="GL282" s="1321" t="s">
        <v>1349</v>
      </c>
      <c r="GM282" s="1321" t="s">
        <v>1349</v>
      </c>
      <c r="GN282" s="1321" t="s">
        <v>1349</v>
      </c>
      <c r="GO282" s="1321" t="s">
        <v>1349</v>
      </c>
      <c r="GP282" s="1321" t="s">
        <v>1349</v>
      </c>
      <c r="GQ282" s="1321" t="s">
        <v>1349</v>
      </c>
      <c r="GR282" s="1321" t="s">
        <v>1349</v>
      </c>
      <c r="GS282" s="1321" t="s">
        <v>1349</v>
      </c>
      <c r="GT282" s="1321" t="s">
        <v>1349</v>
      </c>
      <c r="GU282" s="1321" t="s">
        <v>1349</v>
      </c>
      <c r="GV282" s="1321" t="s">
        <v>1349</v>
      </c>
      <c r="GW282" s="1321"/>
      <c r="GX282" s="1321"/>
      <c r="GY282" s="1321"/>
      <c r="GZ282" s="1321"/>
      <c r="HA282" s="1321"/>
      <c r="HB282" s="1321"/>
      <c r="HC282" s="1321"/>
      <c r="HD282" s="1321"/>
      <c r="HE282" s="1321"/>
      <c r="HF282" s="1321"/>
      <c r="HG282" s="1321"/>
      <c r="HH282" s="1321"/>
      <c r="HI282" s="1321"/>
      <c r="HJ282" s="1321"/>
      <c r="HK282" s="1321"/>
      <c r="HL282" s="1321"/>
      <c r="HM282" s="1321"/>
      <c r="HN282" s="1321"/>
      <c r="HO282" s="1321"/>
      <c r="HP282" s="1321"/>
      <c r="HQ282" s="1321"/>
      <c r="HR282" s="1321"/>
      <c r="HS282" s="1321"/>
      <c r="HT282" s="1321"/>
      <c r="HU282" s="1321"/>
      <c r="HV282" s="1321"/>
      <c r="HW282" s="1321"/>
      <c r="HX282" s="1321"/>
      <c r="HY282" s="1321"/>
      <c r="HZ282" s="1321"/>
      <c r="IA282" s="1321"/>
      <c r="IB282" s="1321"/>
      <c r="IC282" s="1321"/>
      <c r="ID282" s="1321"/>
      <c r="IE282" s="1321"/>
      <c r="IF282" s="1321"/>
      <c r="IG282" s="1321"/>
      <c r="IH282" s="1321"/>
      <c r="II282" s="1321"/>
      <c r="IJ282" s="1321"/>
      <c r="IK282" s="1321"/>
      <c r="IL282" s="1321"/>
      <c r="IM282" s="1321"/>
      <c r="IN282" s="1368"/>
    </row>
    <row r="283" spans="1:248" ht="12.75" customHeight="1" x14ac:dyDescent="0.2">
      <c r="A283" s="1319"/>
      <c r="B283" s="1321"/>
      <c r="C283" s="1321"/>
      <c r="D283" s="1321"/>
      <c r="E283" s="1321"/>
      <c r="F283" s="1321"/>
      <c r="G283" s="1321"/>
      <c r="H283" s="1321"/>
      <c r="I283" s="1321"/>
      <c r="J283" s="1321"/>
      <c r="K283" s="1321"/>
      <c r="L283" s="1321"/>
      <c r="M283" s="1321"/>
      <c r="N283" s="1321"/>
      <c r="O283" s="1321"/>
      <c r="P283" s="1321"/>
      <c r="Q283" s="1321"/>
      <c r="R283" s="1321"/>
      <c r="S283" s="1321"/>
      <c r="T283" s="1321"/>
      <c r="U283" s="1321"/>
      <c r="V283" s="1321"/>
      <c r="W283" s="1321"/>
      <c r="X283" s="1321"/>
      <c r="Y283" s="1321"/>
      <c r="Z283" s="1321"/>
      <c r="AA283" s="1321"/>
      <c r="AB283" s="1321"/>
      <c r="AC283" s="1321"/>
      <c r="AD283" s="1321"/>
      <c r="AE283" s="1321"/>
      <c r="AF283" s="1321"/>
      <c r="AG283" s="1321"/>
      <c r="AH283" s="1321"/>
      <c r="AI283" s="1321"/>
      <c r="AJ283" s="1321"/>
      <c r="AK283" s="1321"/>
      <c r="AL283" s="1321"/>
      <c r="AM283" s="1321"/>
      <c r="AN283" s="1321"/>
      <c r="AO283" s="1321"/>
      <c r="AP283" s="1321"/>
      <c r="AQ283" s="1321"/>
      <c r="AR283" s="1321"/>
      <c r="AS283" s="1321"/>
      <c r="AT283" s="1321"/>
      <c r="AU283" s="1321"/>
      <c r="AV283" s="1321"/>
      <c r="AW283" s="1321"/>
      <c r="AX283" s="1321"/>
      <c r="AY283" s="1321"/>
      <c r="AZ283" s="1321"/>
      <c r="BA283" s="1321"/>
      <c r="BB283" s="1079" t="s">
        <v>1276</v>
      </c>
      <c r="BC283" s="1079" t="s">
        <v>1268</v>
      </c>
      <c r="BD283" s="1079" t="s">
        <v>1267</v>
      </c>
      <c r="BE283" s="1079" t="s">
        <v>1266</v>
      </c>
      <c r="BF283" s="1079" t="s">
        <v>1265</v>
      </c>
      <c r="BG283" s="1079" t="s">
        <v>1264</v>
      </c>
      <c r="BH283" s="1079" t="s">
        <v>1263</v>
      </c>
      <c r="BI283" s="1079" t="s">
        <v>1262</v>
      </c>
      <c r="BJ283" s="1079" t="s">
        <v>1269</v>
      </c>
      <c r="BK283" s="1345"/>
      <c r="BL283" s="1345"/>
      <c r="BM283" s="1346"/>
      <c r="BN283" s="1321"/>
      <c r="BO283" s="1321"/>
      <c r="BP283" s="1321"/>
      <c r="BQ283" s="1321"/>
      <c r="BR283" s="1321"/>
      <c r="BS283" s="1321"/>
      <c r="BT283" s="1321"/>
      <c r="BU283" s="1321"/>
      <c r="BV283" s="1345"/>
      <c r="BW283" s="1345"/>
      <c r="BX283" s="1321"/>
      <c r="BY283" s="1321"/>
      <c r="BZ283" s="1321"/>
      <c r="CA283" s="1321"/>
      <c r="CB283" s="1321"/>
      <c r="CC283" s="1321"/>
      <c r="CD283" s="1345"/>
      <c r="CE283" s="1345"/>
      <c r="CF283" s="1345"/>
      <c r="CG283" s="1345"/>
      <c r="CH283" s="1345"/>
      <c r="CI283" s="1321"/>
      <c r="CJ283" s="1321"/>
      <c r="CK283" s="1321"/>
      <c r="CL283" s="1321"/>
      <c r="CM283" s="1321"/>
      <c r="CN283" s="1321"/>
      <c r="CO283" s="1321"/>
      <c r="CP283" s="1321"/>
      <c r="CQ283" s="1321"/>
      <c r="CR283" s="1321"/>
      <c r="CS283" s="1321"/>
      <c r="CT283" s="1321"/>
      <c r="CU283" s="1321"/>
      <c r="CV283" s="1321"/>
      <c r="CW283" s="1321"/>
      <c r="CX283" s="1321"/>
      <c r="CY283" s="1321"/>
      <c r="CZ283" s="1321"/>
      <c r="DA283" s="1321"/>
      <c r="DB283" s="1321"/>
      <c r="DC283" s="1321"/>
      <c r="DD283" s="1321"/>
      <c r="DE283" s="1321"/>
      <c r="DF283" s="1321"/>
      <c r="DG283" s="1321"/>
      <c r="DH283" s="1321"/>
      <c r="DI283" s="1321"/>
      <c r="DJ283" s="1321"/>
      <c r="DK283" s="1321"/>
      <c r="DL283" s="1321"/>
      <c r="DM283" s="1321"/>
      <c r="DN283" s="789" t="s">
        <v>1372</v>
      </c>
      <c r="DO283" s="790" t="s">
        <v>1376</v>
      </c>
      <c r="DP283" s="791" t="s">
        <v>1377</v>
      </c>
      <c r="DQ283" s="1321"/>
      <c r="DR283" s="1321"/>
      <c r="DS283" s="1345"/>
      <c r="DT283" s="1346"/>
      <c r="DU283" s="1346"/>
      <c r="DV283" s="1321"/>
      <c r="DW283" s="1321"/>
      <c r="DX283" s="1321"/>
      <c r="DY283" s="1321"/>
      <c r="DZ283" s="1321"/>
      <c r="EA283" s="1321"/>
      <c r="EB283" s="1321"/>
      <c r="EC283" s="1321"/>
      <c r="ED283" s="1345"/>
      <c r="EE283" s="1345"/>
      <c r="EF283" s="1321"/>
      <c r="EG283" s="1321"/>
      <c r="EH283" s="1321"/>
      <c r="EI283" s="1321"/>
      <c r="EJ283" s="1321"/>
      <c r="EK283" s="1345"/>
      <c r="EL283" s="1345"/>
      <c r="EM283" s="1321"/>
      <c r="EN283" s="1321"/>
      <c r="EO283" s="1321"/>
      <c r="EP283" s="1321"/>
      <c r="EQ283" s="1321"/>
      <c r="ER283" s="1345"/>
      <c r="ES283" s="1345"/>
      <c r="ET283" s="1321"/>
      <c r="EU283" s="1321"/>
      <c r="EV283" s="1321"/>
      <c r="EW283" s="1321"/>
      <c r="EX283" s="1321"/>
      <c r="EY283" s="1321"/>
      <c r="EZ283" s="1345"/>
      <c r="FA283" s="1345"/>
      <c r="FB283" s="1345"/>
      <c r="FC283" s="1321"/>
      <c r="FD283" s="1321"/>
      <c r="FE283" s="1321"/>
      <c r="FF283" s="1321"/>
      <c r="FG283" s="1321"/>
      <c r="FH283" s="1321"/>
      <c r="FI283" s="1345"/>
      <c r="FJ283" s="1345"/>
      <c r="FK283" s="1345"/>
      <c r="FL283" s="1345"/>
      <c r="FM283" s="1321"/>
      <c r="FN283" s="1321"/>
      <c r="FO283" s="1321"/>
      <c r="FP283" s="1321"/>
      <c r="FQ283" s="1321"/>
      <c r="FR283" s="1321"/>
      <c r="FS283" s="1345"/>
      <c r="FT283" s="1345"/>
      <c r="FU283" s="1345"/>
      <c r="FV283" s="1345"/>
      <c r="FW283" s="1321"/>
      <c r="FX283" s="1321"/>
      <c r="FY283" s="1321"/>
      <c r="FZ283" s="1321"/>
      <c r="GA283" s="1345"/>
      <c r="GB283" s="1321"/>
      <c r="GC283" s="1321"/>
      <c r="GD283" s="1321"/>
      <c r="GE283" s="1321"/>
      <c r="GF283" s="1321"/>
      <c r="GG283" s="1321" t="s">
        <v>1349</v>
      </c>
      <c r="GH283" s="1321" t="s">
        <v>1349</v>
      </c>
      <c r="GI283" s="1321" t="s">
        <v>1349</v>
      </c>
      <c r="GJ283" s="1321" t="s">
        <v>1349</v>
      </c>
      <c r="GK283" s="1321" t="s">
        <v>1349</v>
      </c>
      <c r="GL283" s="1321" t="s">
        <v>1349</v>
      </c>
      <c r="GM283" s="1321" t="s">
        <v>1349</v>
      </c>
      <c r="GN283" s="1321" t="s">
        <v>1349</v>
      </c>
      <c r="GO283" s="1321" t="s">
        <v>1349</v>
      </c>
      <c r="GP283" s="1321" t="s">
        <v>1349</v>
      </c>
      <c r="GQ283" s="1321" t="s">
        <v>1349</v>
      </c>
      <c r="GR283" s="1321" t="s">
        <v>1349</v>
      </c>
      <c r="GS283" s="1321" t="s">
        <v>1349</v>
      </c>
      <c r="GT283" s="1321" t="s">
        <v>1349</v>
      </c>
      <c r="GU283" s="1321" t="s">
        <v>1349</v>
      </c>
      <c r="GV283" s="1321" t="s">
        <v>1349</v>
      </c>
      <c r="GW283" s="1321"/>
      <c r="GX283" s="1321"/>
      <c r="GY283" s="1321"/>
      <c r="GZ283" s="1321"/>
      <c r="HA283" s="1321"/>
      <c r="HB283" s="1321"/>
      <c r="HC283" s="1321"/>
      <c r="HD283" s="1321"/>
      <c r="HE283" s="1321"/>
      <c r="HF283" s="1321"/>
      <c r="HG283" s="1321"/>
      <c r="HH283" s="1321"/>
      <c r="HI283" s="1321"/>
      <c r="HJ283" s="1321"/>
      <c r="HK283" s="1321"/>
      <c r="HL283" s="1321"/>
      <c r="HM283" s="1321"/>
      <c r="HN283" s="1321"/>
      <c r="HO283" s="1321"/>
      <c r="HP283" s="1321"/>
      <c r="HQ283" s="1321"/>
      <c r="HR283" s="1321"/>
      <c r="HS283" s="1321"/>
      <c r="HT283" s="1321"/>
      <c r="HU283" s="1321"/>
      <c r="HV283" s="1321"/>
      <c r="HW283" s="1321"/>
      <c r="HX283" s="1321"/>
      <c r="HY283" s="1321"/>
      <c r="HZ283" s="1321"/>
      <c r="IA283" s="1321"/>
      <c r="IB283" s="1321"/>
      <c r="IC283" s="1321"/>
      <c r="ID283" s="1321"/>
      <c r="IE283" s="1321"/>
      <c r="IF283" s="1321"/>
      <c r="IG283" s="1321"/>
      <c r="IH283" s="1321"/>
      <c r="II283" s="1321"/>
      <c r="IJ283" s="1321"/>
      <c r="IK283" s="1321"/>
      <c r="IL283" s="1321"/>
      <c r="IM283" s="1321"/>
      <c r="IN283" s="1368"/>
    </row>
    <row r="284" spans="1:248" ht="12.75" customHeight="1" x14ac:dyDescent="0.2">
      <c r="A284" s="1319"/>
      <c r="B284" s="1321"/>
      <c r="C284" s="1321"/>
      <c r="D284" s="1321"/>
      <c r="E284" s="1321"/>
      <c r="F284" s="1321"/>
      <c r="G284" s="1321"/>
      <c r="H284" s="1321"/>
      <c r="I284" s="1321"/>
      <c r="J284" s="1321"/>
      <c r="K284" s="1321"/>
      <c r="L284" s="1321"/>
      <c r="M284" s="1321"/>
      <c r="N284" s="1321"/>
      <c r="O284" s="1321"/>
      <c r="P284" s="1321"/>
      <c r="Q284" s="1321"/>
      <c r="R284" s="1321"/>
      <c r="S284" s="1321"/>
      <c r="T284" s="1321"/>
      <c r="U284" s="1321"/>
      <c r="V284" s="1321"/>
      <c r="W284" s="1321"/>
      <c r="X284" s="1321"/>
      <c r="Y284" s="1321"/>
      <c r="Z284" s="1321"/>
      <c r="AA284" s="1321"/>
      <c r="AB284" s="1321"/>
      <c r="AC284" s="1321"/>
      <c r="AD284" s="1321"/>
      <c r="AE284" s="1321"/>
      <c r="AF284" s="1321"/>
      <c r="AG284" s="1321"/>
      <c r="AH284" s="1321"/>
      <c r="AI284" s="1321"/>
      <c r="AJ284" s="1321"/>
      <c r="AK284" s="1321"/>
      <c r="AL284" s="1321"/>
      <c r="AM284" s="1321"/>
      <c r="AN284" s="1321"/>
      <c r="AO284" s="1321"/>
      <c r="AP284" s="1321"/>
      <c r="AQ284" s="1321"/>
      <c r="AR284" s="1321"/>
      <c r="AS284" s="1321"/>
      <c r="AT284" s="1321"/>
      <c r="AU284" s="1321"/>
      <c r="AV284" s="1321"/>
      <c r="AW284" s="1321"/>
      <c r="AX284" s="1321"/>
      <c r="AY284" s="1321"/>
      <c r="AZ284" s="1321"/>
      <c r="BA284" s="1321"/>
      <c r="BB284" s="1076" t="str">
        <f>BB194</f>
        <v>Avoine</v>
      </c>
      <c r="BC284" s="1076">
        <f t="array" ref="BC284">IFERROR(IF(OR(AND(INDEX(Règles_bovins[Specificite],MATCH(RationHivernaleBovinsAuPré&amp;$BB284,Règles_bovins[Ration]&amp;Règles_bovins[Aliment],0))="s1",IF($BB284=Spécificité1Bovins,1)),
AND(INDEX(Règles_bovins[Specificite],MATCH(RationHivernaleBovinsAuPré&amp;$BB284,Règles_bovins[Ration]&amp;Règles_bovins[Aliment],0))="s2",IF($BB284=Spécificité2Bovins,1)),
INDEX(Règles_bovins[Specificite],MATCH(RationHivernaleBovinsAuPré&amp;$BB284,Règles_bovins[Ration]&amp;Règles_bovins[Aliment],0))="c"),
INDEX(Règles_bovins[Valeur 36 et plus],MATCH(RationHivernaleBovinsAuPré&amp;$BB284,Règles_bovins[Ration]&amp;Règles_bovins[Aliment],0)),0),0)*IF(SUM(TotalBovinsAdultesAuPré)&gt;0,SUM(TotalBovinsAdultesAuPré),SUM(TotalBovinsAdultes))*35</f>
        <v>0</v>
      </c>
      <c r="BD284" s="1076">
        <f t="array" ref="BD284">IFERROR(IF(OR(AND(INDEX(Règles_bovins[Specificite],MATCH(RationHivernaleBovinsAuPré&amp;$BB284,Règles_bovins[Ration]&amp;Règles_bovins[Aliment],0))="s1",IF($BB284=Spécificité1Bovins,1)),
AND(INDEX(Règles_bovins[Specificite],MATCH(RationHivernaleBovinsAuPré&amp;$BB284,Règles_bovins[Ration]&amp;Règles_bovins[Aliment],0))="s2",IF($BB284=Spécificité2Bovins,1)),
INDEX(Règles_bovins[Specificite],MATCH(RationHivernaleBovinsAuPré&amp;$BB284,Règles_bovins[Ration]&amp;Règles_bovins[Aliment],0))="c"),
INDEX(Règles_bovins[Valeur 24-36],MATCH(RationHivernaleBovinsAuPré&amp;$BB284,Règles_bovins[Ration]&amp;Règles_bovins[Aliment],0)),0),0)*IF(SUM(TotalBovins_24_36moisAuPré)&gt;0,SUM(TotalBovins_24_36moisAuPré),SUM(TotalBovins_24_36mois))*35</f>
        <v>0</v>
      </c>
      <c r="BE284" s="1076">
        <f t="array" ref="BE284">IFERROR(IF(OR(AND(INDEX(Règles_bovins[Specificite],MATCH(RationHivernaleBovinsAuPré&amp;$BB284,Règles_bovins[Ration]&amp;Règles_bovins[Aliment],0))="s1",IF($BB284=Spécificité1Bovins,1)),
AND(INDEX(Règles_bovins[Specificite],MATCH(RationHivernaleBovinsAuPré&amp;$BB284,Règles_bovins[Ration]&amp;Règles_bovins[Aliment],0))="s2",IF($BB284=Spécificité2Bovins,1)),
INDEX(Règles_bovins[Specificite],MATCH(RationHivernaleBovinsAuPré&amp;$BB284,Règles_bovins[Ration]&amp;Règles_bovins[Aliment],0))="c"),
INDEX(Règles_bovins[Valeur 18-24],MATCH(RationHivernaleBovinsAuPré&amp;$BB284,Règles_bovins[Ration]&amp;Règles_bovins[Aliment],0)),0),0)*IF(SUM(TotalBovins_18_24moisAuPré)&gt;0,SUM(TotalBovins_18_24moisAuPré),SUM(TotalBovins_18_24mois))*35</f>
        <v>0</v>
      </c>
      <c r="BF284" s="1076">
        <f t="array" ref="BF284">IFERROR(IF(OR(AND(INDEX(Règles_bovins[Specificite],MATCH(RationHivernaleBovinsAuPré&amp;$BB284,Règles_bovins[Ration]&amp;Règles_bovins[Aliment],0))="s1",IF($BB284=Spécificité1Bovins,1)),
AND(INDEX(Règles_bovins[Specificite],MATCH(RationHivernaleBovinsAuPré&amp;$BB284,Règles_bovins[Ration]&amp;Règles_bovins[Aliment],0))="s2",IF($BB284=Spécificité2Bovins,1)),
INDEX(Règles_bovins[Specificite],MATCH(RationHivernaleBovinsAuPré&amp;$BB284,Règles_bovins[Ration]&amp;Règles_bovins[Aliment],0))="c"),
INDEX(Règles_bovins[Valeur 12-18],MATCH(RationHivernaleBovinsAuPré&amp;$BB284,Règles_bovins[Ration]&amp;Règles_bovins[Aliment],0)),0),0)*IF(SUM(TotalBovins_12_18moisAuPré)&gt;0,SUM(TotalBovins_12_18moisAuPré),SUM(TotalBovins_12_18mois))*35</f>
        <v>0</v>
      </c>
      <c r="BG284" s="1076">
        <f t="array" ref="BG284">IFERROR(IF(OR(AND(INDEX(Règles_bovins[Specificite],MATCH(RationHivernaleBovinsAuPré&amp;$BB284,Règles_bovins[Ration]&amp;Règles_bovins[Aliment],0))="s1",IF($BB284=Spécificité1Bovins,1)),
AND(INDEX(Règles_bovins[Specificite],MATCH(RationHivernaleBovinsAuPré&amp;$BB284,Règles_bovins[Ration]&amp;Règles_bovins[Aliment],0))="s2",IF($BB284=Spécificité2Bovins,1)),
INDEX(Règles_bovins[Specificite],MATCH(RationHivernaleBovinsAuPré&amp;$BB284,Règles_bovins[Ration]&amp;Règles_bovins[Aliment],0))="c"),
INDEX(Règles_bovins[Valeur 6-12],MATCH(RationHivernaleBovinsAuPré&amp;$BB284,Règles_bovins[Ration]&amp;Règles_bovins[Aliment],0)),0),0)*IF(SUM(TotalBovins_6_12moisAuPré)&gt;0,SUM(TotalBovins_6_12moisAuPré),SUM(TotalBovins_6_12mois))*35</f>
        <v>0</v>
      </c>
      <c r="BH284" s="1076">
        <f t="array" ref="BH284">IFERROR(IF(OR(AND(INDEX(Règles_bovins[Specificite],MATCH(RationHivernaleBovinsAuPré&amp;$BB284,Règles_bovins[Ration]&amp;Règles_bovins[Aliment],0))="s1",IF($BB284=Spécificité1Bovins,1)),
AND(INDEX(Règles_bovins[Specificite],MATCH(RationHivernaleBovinsAuPré&amp;$BB284,Règles_bovins[Ration]&amp;Règles_bovins[Aliment],0))="s2",IF($BB284=Spécificité2Bovins,1)),
INDEX(Règles_bovins[Specificite],MATCH(RationHivernaleBovinsAuPré&amp;$BB284,Règles_bovins[Ration]&amp;Règles_bovins[Aliment],0))="c"),
INDEX(Règles_bovins[Valeur 3-6],MATCH(RationHivernaleBovinsAuPré&amp;$BB284,Règles_bovins[Ration]&amp;Règles_bovins[Aliment],0)),0),0)*IF(SUM(TotalBovins_3_6moisAuPré)&gt;0,SUM(TotalBovins_3_6moisAuPré),SUM(TotalBovins_3_6mois))*35</f>
        <v>0</v>
      </c>
      <c r="BI284" s="1076">
        <f t="array" ref="BI284">IFERROR(IF(OR(AND(INDEX(Règles_bovins[Specificite],MATCH(RationHivernaleBovinsAuPré&amp;$BB284,Règles_bovins[Ration]&amp;Règles_bovins[Aliment],0))="s1",IF($BB284=Spécificité1Bovins,1)),
AND(INDEX(Règles_bovins[Specificite],MATCH(RationHivernaleBovinsAuPré&amp;$BB284,Règles_bovins[Ration]&amp;Règles_bovins[Aliment],0))="s2",IF($BB284=Spécificité2Bovins,1)),
INDEX(Règles_bovins[Specificite],MATCH(RationHivernaleBovinsAuPré&amp;$BB284,Règles_bovins[Ration]&amp;Règles_bovins[Aliment],0))="c"),
INDEX(Règles_bovins[Valeur 0-3],MATCH(RationHivernaleBovinsAuPré&amp;$BB284,Règles_bovins[Ration]&amp;Règles_bovins[Aliment],0)),0),0)*IF(SUM(TotalBovins_0_3moisAuPré)&gt;0,SUM(TotalBovins_0_3moisAuPré),SUM(TotalBovins_0_3mois))*35</f>
        <v>0</v>
      </c>
      <c r="BJ284" s="1268">
        <f t="shared" ref="BJ284:BJ323" si="78">SUM($BC284:$BI284)</f>
        <v>0</v>
      </c>
      <c r="BK284" s="1345"/>
      <c r="BL284" s="1345"/>
      <c r="BM284" s="1346"/>
      <c r="BN284" s="1321"/>
      <c r="BO284" s="1321"/>
      <c r="BP284" s="1321"/>
      <c r="BQ284" s="1321"/>
      <c r="BR284" s="1321"/>
      <c r="BS284" s="1321"/>
      <c r="BT284" s="1321"/>
      <c r="BU284" s="1321"/>
      <c r="BV284" s="1345"/>
      <c r="BW284" s="1345"/>
      <c r="BX284" s="1321"/>
      <c r="BY284" s="1321"/>
      <c r="BZ284" s="1320"/>
      <c r="CA284" s="1321"/>
      <c r="CB284" s="1321"/>
      <c r="CC284" s="1321"/>
      <c r="CD284" s="1345"/>
      <c r="CE284" s="1345"/>
      <c r="CF284" s="1345"/>
      <c r="CG284" s="1345"/>
      <c r="CH284" s="1345"/>
      <c r="CI284" s="1321"/>
      <c r="CJ284" s="1321"/>
      <c r="CK284" s="1321"/>
      <c r="CL284" s="1321"/>
      <c r="CM284" s="1321"/>
      <c r="CN284" s="1321"/>
      <c r="CO284" s="1321"/>
      <c r="CP284" s="1321"/>
      <c r="CQ284" s="1321"/>
      <c r="CR284" s="1321"/>
      <c r="CS284" s="1321"/>
      <c r="CT284" s="1321"/>
      <c r="CU284" s="1321"/>
      <c r="CV284" s="1321"/>
      <c r="CW284" s="1321"/>
      <c r="CX284" s="1321"/>
      <c r="CY284" s="1321"/>
      <c r="CZ284" s="1321"/>
      <c r="DA284" s="1321"/>
      <c r="DB284" s="1321"/>
      <c r="DC284" s="1321"/>
      <c r="DD284" s="1321"/>
      <c r="DE284" s="1321"/>
      <c r="DF284" s="1321"/>
      <c r="DG284" s="1321"/>
      <c r="DH284" s="1321"/>
      <c r="DI284" s="1321"/>
      <c r="DJ284" s="1321"/>
      <c r="DK284" s="1321"/>
      <c r="DL284" s="1321"/>
      <c r="DM284" s="1321"/>
      <c r="DN284" s="808" t="s">
        <v>831</v>
      </c>
      <c r="DO284" s="788">
        <f>DR36*TotalBéliers*SUM(NbreJoursNourrirOvins)</f>
        <v>0</v>
      </c>
      <c r="DP284" s="803">
        <f>DR36*TotalBéliersRacesLaitières*SUM(NbreJoursNourrirOvins)</f>
        <v>0</v>
      </c>
      <c r="DQ284" s="1321"/>
      <c r="DR284" s="1321"/>
      <c r="DS284" s="1345"/>
      <c r="DT284" s="1346"/>
      <c r="DU284" s="1346"/>
      <c r="DV284" s="1321"/>
      <c r="DW284" s="1321"/>
      <c r="DX284" s="1321"/>
      <c r="DY284" s="1321"/>
      <c r="DZ284" s="1321"/>
      <c r="EA284" s="1321"/>
      <c r="EB284" s="1321"/>
      <c r="EC284" s="1321"/>
      <c r="ED284" s="1345"/>
      <c r="EE284" s="1345"/>
      <c r="EF284" s="1321"/>
      <c r="EG284" s="1321"/>
      <c r="EH284" s="1321"/>
      <c r="EI284" s="1321"/>
      <c r="EJ284" s="1321"/>
      <c r="EK284" s="1345"/>
      <c r="EL284" s="1345"/>
      <c r="EM284" s="1321"/>
      <c r="EN284" s="1321"/>
      <c r="EO284" s="1321"/>
      <c r="EP284" s="1321"/>
      <c r="EQ284" s="1321"/>
      <c r="ER284" s="1345"/>
      <c r="ES284" s="1345"/>
      <c r="ET284" s="1321"/>
      <c r="EU284" s="1321"/>
      <c r="EV284" s="1321"/>
      <c r="EW284" s="1321"/>
      <c r="EX284" s="1321"/>
      <c r="EY284" s="1321"/>
      <c r="EZ284" s="1345"/>
      <c r="FA284" s="1345"/>
      <c r="FB284" s="1345"/>
      <c r="FC284" s="1321"/>
      <c r="FD284" s="1321"/>
      <c r="FE284" s="1321"/>
      <c r="FF284" s="1321"/>
      <c r="FG284" s="1321"/>
      <c r="FH284" s="1321"/>
      <c r="FI284" s="1345"/>
      <c r="FJ284" s="1345"/>
      <c r="FK284" s="1345"/>
      <c r="FL284" s="1345"/>
      <c r="FM284" s="1321"/>
      <c r="FN284" s="1321"/>
      <c r="FO284" s="1321"/>
      <c r="FP284" s="1321"/>
      <c r="FQ284" s="1321"/>
      <c r="FR284" s="1321"/>
      <c r="FS284" s="1345"/>
      <c r="FT284" s="1345"/>
      <c r="FU284" s="1345"/>
      <c r="FV284" s="1345"/>
      <c r="FW284" s="1321"/>
      <c r="FX284" s="1321"/>
      <c r="FY284" s="1321"/>
      <c r="FZ284" s="1321"/>
      <c r="GA284" s="1345"/>
      <c r="GB284" s="1321"/>
      <c r="GC284" s="1321"/>
      <c r="GD284" s="1321"/>
      <c r="GE284" s="1321"/>
      <c r="GF284" s="1321"/>
      <c r="GG284" s="1321" t="s">
        <v>1349</v>
      </c>
      <c r="GH284" s="1321" t="s">
        <v>1349</v>
      </c>
      <c r="GI284" s="1321" t="s">
        <v>1349</v>
      </c>
      <c r="GJ284" s="1321" t="s">
        <v>1349</v>
      </c>
      <c r="GK284" s="1321" t="s">
        <v>1349</v>
      </c>
      <c r="GL284" s="1321" t="s">
        <v>1349</v>
      </c>
      <c r="GM284" s="1321" t="s">
        <v>1349</v>
      </c>
      <c r="GN284" s="1321" t="s">
        <v>1349</v>
      </c>
      <c r="GO284" s="1321" t="s">
        <v>1349</v>
      </c>
      <c r="GP284" s="1321" t="s">
        <v>1349</v>
      </c>
      <c r="GQ284" s="1321" t="s">
        <v>1349</v>
      </c>
      <c r="GR284" s="1321" t="s">
        <v>1349</v>
      </c>
      <c r="GS284" s="1321" t="s">
        <v>1349</v>
      </c>
      <c r="GT284" s="1321" t="s">
        <v>1349</v>
      </c>
      <c r="GU284" s="1321" t="s">
        <v>1349</v>
      </c>
      <c r="GV284" s="1321" t="s">
        <v>1349</v>
      </c>
      <c r="GW284" s="1321"/>
      <c r="GX284" s="1321"/>
      <c r="GY284" s="1321"/>
      <c r="GZ284" s="1321"/>
      <c r="HA284" s="1321"/>
      <c r="HB284" s="1321"/>
      <c r="HC284" s="1321"/>
      <c r="HD284" s="1321"/>
      <c r="HE284" s="1321"/>
      <c r="HF284" s="1321"/>
      <c r="HG284" s="1321"/>
      <c r="HH284" s="1321"/>
      <c r="HI284" s="1321"/>
      <c r="HJ284" s="1321"/>
      <c r="HK284" s="1321"/>
      <c r="HL284" s="1321"/>
      <c r="HM284" s="1321"/>
      <c r="HN284" s="1321"/>
      <c r="HO284" s="1321"/>
      <c r="HP284" s="1321"/>
      <c r="HQ284" s="1321"/>
      <c r="HR284" s="1321"/>
      <c r="HS284" s="1321"/>
      <c r="HT284" s="1321"/>
      <c r="HU284" s="1321"/>
      <c r="HV284" s="1321"/>
      <c r="HW284" s="1321"/>
      <c r="HX284" s="1321"/>
      <c r="HY284" s="1321"/>
      <c r="HZ284" s="1321"/>
      <c r="IA284" s="1321"/>
      <c r="IB284" s="1321"/>
      <c r="IC284" s="1321"/>
      <c r="ID284" s="1321"/>
      <c r="IE284" s="1321"/>
      <c r="IF284" s="1321"/>
      <c r="IG284" s="1321"/>
      <c r="IH284" s="1321"/>
      <c r="II284" s="1321"/>
      <c r="IJ284" s="1321"/>
      <c r="IK284" s="1321"/>
      <c r="IL284" s="1321"/>
      <c r="IM284" s="1321"/>
      <c r="IN284" s="1368"/>
    </row>
    <row r="285" spans="1:248" ht="12.75" customHeight="1" x14ac:dyDescent="0.2">
      <c r="A285" s="1319"/>
      <c r="B285" s="1321"/>
      <c r="C285" s="1321"/>
      <c r="D285" s="1321"/>
      <c r="E285" s="1321"/>
      <c r="F285" s="1321"/>
      <c r="G285" s="1321"/>
      <c r="H285" s="1321"/>
      <c r="I285" s="1321"/>
      <c r="J285" s="1321"/>
      <c r="K285" s="1321"/>
      <c r="L285" s="1321"/>
      <c r="M285" s="1321"/>
      <c r="N285" s="1321"/>
      <c r="O285" s="1321"/>
      <c r="P285" s="1321"/>
      <c r="Q285" s="1321"/>
      <c r="R285" s="1321"/>
      <c r="S285" s="1321"/>
      <c r="T285" s="1321"/>
      <c r="U285" s="1321"/>
      <c r="V285" s="1321"/>
      <c r="W285" s="1321"/>
      <c r="X285" s="1321"/>
      <c r="Y285" s="1321"/>
      <c r="Z285" s="1321"/>
      <c r="AA285" s="1321"/>
      <c r="AB285" s="1321"/>
      <c r="AC285" s="1321"/>
      <c r="AD285" s="1321"/>
      <c r="AE285" s="1321"/>
      <c r="AF285" s="1321"/>
      <c r="AG285" s="1321"/>
      <c r="AH285" s="1321"/>
      <c r="AI285" s="1321"/>
      <c r="AJ285" s="1321"/>
      <c r="AK285" s="1321"/>
      <c r="AL285" s="1321"/>
      <c r="AM285" s="1321"/>
      <c r="AN285" s="1321"/>
      <c r="AO285" s="1321"/>
      <c r="AP285" s="1321"/>
      <c r="AQ285" s="1321"/>
      <c r="AR285" s="1321"/>
      <c r="AS285" s="1321"/>
      <c r="AT285" s="1321"/>
      <c r="AU285" s="1321"/>
      <c r="AV285" s="1321"/>
      <c r="AW285" s="1321"/>
      <c r="AX285" s="1321"/>
      <c r="AY285" s="1321"/>
      <c r="AZ285" s="1321"/>
      <c r="BA285" s="1321"/>
      <c r="BB285" s="1075" t="str">
        <f t="shared" ref="BB285:BB323" si="79">BB195</f>
        <v>Betterave</v>
      </c>
      <c r="BC285" s="1075">
        <f t="array" ref="BC285">IFERROR(IF(OR(AND(INDEX(Règles_bovins[Specificite],MATCH(RationHivernaleBovinsAuPré&amp;$BB285,Règles_bovins[Ration]&amp;Règles_bovins[Aliment],0))="s1",IF($BB285=Spécificité1Bovins,1)),
AND(INDEX(Règles_bovins[Specificite],MATCH(RationHivernaleBovinsAuPré&amp;$BB285,Règles_bovins[Ration]&amp;Règles_bovins[Aliment],0))="s2",IF($BB285=Spécificité2Bovins,1)),
INDEX(Règles_bovins[Specificite],MATCH(RationHivernaleBovinsAuPré&amp;$BB285,Règles_bovins[Ration]&amp;Règles_bovins[Aliment],0))="c"),
INDEX(Règles_bovins[Valeur 36 et plus],MATCH(RationHivernaleBovinsAuPré&amp;$BB285,Règles_bovins[Ration]&amp;Règles_bovins[Aliment],0)),0),0)*IF(SUM(TotalBovinsAdultesAuPré)&gt;0,SUM(TotalBovinsAdultesAuPré),SUM(TotalBovinsAdultes))*35</f>
        <v>0</v>
      </c>
      <c r="BD285" s="1075">
        <f t="array" ref="BD285">IFERROR(IF(OR(AND(INDEX(Règles_bovins[Specificite],MATCH(RationHivernaleBovinsAuPré&amp;$BB285,Règles_bovins[Ration]&amp;Règles_bovins[Aliment],0))="s1",IF($BB285=Spécificité1Bovins,1)),
AND(INDEX(Règles_bovins[Specificite],MATCH(RationHivernaleBovinsAuPré&amp;$BB285,Règles_bovins[Ration]&amp;Règles_bovins[Aliment],0))="s2",IF($BB285=Spécificité2Bovins,1)),
INDEX(Règles_bovins[Specificite],MATCH(RationHivernaleBovinsAuPré&amp;$BB285,Règles_bovins[Ration]&amp;Règles_bovins[Aliment],0))="c"),
INDEX(Règles_bovins[Valeur 24-36],MATCH(RationHivernaleBovinsAuPré&amp;$BB285,Règles_bovins[Ration]&amp;Règles_bovins[Aliment],0)),0),0)*IF(SUM(TotalBovins_24_36moisAuPré)&gt;0,SUM(TotalBovins_24_36moisAuPré),SUM(TotalBovins_24_36mois))*35</f>
        <v>0</v>
      </c>
      <c r="BE285" s="1075">
        <f t="array" ref="BE285">IFERROR(IF(OR(AND(INDEX(Règles_bovins[Specificite],MATCH(RationHivernaleBovinsAuPré&amp;$BB285,Règles_bovins[Ration]&amp;Règles_bovins[Aliment],0))="s1",IF($BB285=Spécificité1Bovins,1)),
AND(INDEX(Règles_bovins[Specificite],MATCH(RationHivernaleBovinsAuPré&amp;$BB285,Règles_bovins[Ration]&amp;Règles_bovins[Aliment],0))="s2",IF($BB285=Spécificité2Bovins,1)),
INDEX(Règles_bovins[Specificite],MATCH(RationHivernaleBovinsAuPré&amp;$BB285,Règles_bovins[Ration]&amp;Règles_bovins[Aliment],0))="c"),
INDEX(Règles_bovins[Valeur 18-24],MATCH(RationHivernaleBovinsAuPré&amp;$BB285,Règles_bovins[Ration]&amp;Règles_bovins[Aliment],0)),0),0)*IF(SUM(TotalBovins_18_24moisAuPré)&gt;0,SUM(TotalBovins_18_24moisAuPré),SUM(TotalBovins_18_24mois))*35</f>
        <v>0</v>
      </c>
      <c r="BF285" s="1075">
        <f t="array" ref="BF285">IFERROR(IF(OR(AND(INDEX(Règles_bovins[Specificite],MATCH(RationHivernaleBovinsAuPré&amp;$BB285,Règles_bovins[Ration]&amp;Règles_bovins[Aliment],0))="s1",IF($BB285=Spécificité1Bovins,1)),
AND(INDEX(Règles_bovins[Specificite],MATCH(RationHivernaleBovinsAuPré&amp;$BB285,Règles_bovins[Ration]&amp;Règles_bovins[Aliment],0))="s2",IF($BB285=Spécificité2Bovins,1)),
INDEX(Règles_bovins[Specificite],MATCH(RationHivernaleBovinsAuPré&amp;$BB285,Règles_bovins[Ration]&amp;Règles_bovins[Aliment],0))="c"),
INDEX(Règles_bovins[Valeur 12-18],MATCH(RationHivernaleBovinsAuPré&amp;$BB285,Règles_bovins[Ration]&amp;Règles_bovins[Aliment],0)),0),0)*IF(SUM(TotalBovins_12_18moisAuPré)&gt;0,SUM(TotalBovins_12_18moisAuPré),SUM(TotalBovins_12_18mois))*35</f>
        <v>0</v>
      </c>
      <c r="BG285" s="1075">
        <f t="array" ref="BG285">IFERROR(IF(OR(AND(INDEX(Règles_bovins[Specificite],MATCH(RationHivernaleBovinsAuPré&amp;$BB285,Règles_bovins[Ration]&amp;Règles_bovins[Aliment],0))="s1",IF($BB285=Spécificité1Bovins,1)),
AND(INDEX(Règles_bovins[Specificite],MATCH(RationHivernaleBovinsAuPré&amp;$BB285,Règles_bovins[Ration]&amp;Règles_bovins[Aliment],0))="s2",IF($BB285=Spécificité2Bovins,1)),
INDEX(Règles_bovins[Specificite],MATCH(RationHivernaleBovinsAuPré&amp;$BB285,Règles_bovins[Ration]&amp;Règles_bovins[Aliment],0))="c"),
INDEX(Règles_bovins[Valeur 6-12],MATCH(RationHivernaleBovinsAuPré&amp;$BB285,Règles_bovins[Ration]&amp;Règles_bovins[Aliment],0)),0),0)*IF(SUM(TotalBovins_6_12moisAuPré)&gt;0,SUM(TotalBovins_6_12moisAuPré),SUM(TotalBovins_6_12mois))*35</f>
        <v>0</v>
      </c>
      <c r="BH285" s="1075">
        <f t="array" ref="BH285">IFERROR(IF(OR(AND(INDEX(Règles_bovins[Specificite],MATCH(RationHivernaleBovinsAuPré&amp;$BB285,Règles_bovins[Ration]&amp;Règles_bovins[Aliment],0))="s1",IF($BB285=Spécificité1Bovins,1)),
AND(INDEX(Règles_bovins[Specificite],MATCH(RationHivernaleBovinsAuPré&amp;$BB285,Règles_bovins[Ration]&amp;Règles_bovins[Aliment],0))="s2",IF($BB285=Spécificité2Bovins,1)),
INDEX(Règles_bovins[Specificite],MATCH(RationHivernaleBovinsAuPré&amp;$BB285,Règles_bovins[Ration]&amp;Règles_bovins[Aliment],0))="c"),
INDEX(Règles_bovins[Valeur 3-6],MATCH(RationHivernaleBovinsAuPré&amp;$BB285,Règles_bovins[Ration]&amp;Règles_bovins[Aliment],0)),0),0)*IF(SUM(TotalBovins_3_6moisAuPré)&gt;0,SUM(TotalBovins_3_6moisAuPré),SUM(TotalBovins_3_6mois))*35</f>
        <v>0</v>
      </c>
      <c r="BI285" s="1075">
        <f t="array" ref="BI285">IFERROR(IF(OR(AND(INDEX(Règles_bovins[Specificite],MATCH(RationHivernaleBovinsAuPré&amp;$BB285,Règles_bovins[Ration]&amp;Règles_bovins[Aliment],0))="s1",IF($BB285=Spécificité1Bovins,1)),
AND(INDEX(Règles_bovins[Specificite],MATCH(RationHivernaleBovinsAuPré&amp;$BB285,Règles_bovins[Ration]&amp;Règles_bovins[Aliment],0))="s2",IF($BB285=Spécificité2Bovins,1)),
INDEX(Règles_bovins[Specificite],MATCH(RationHivernaleBovinsAuPré&amp;$BB285,Règles_bovins[Ration]&amp;Règles_bovins[Aliment],0))="c"),
INDEX(Règles_bovins[Valeur 0-3],MATCH(RationHivernaleBovinsAuPré&amp;$BB285,Règles_bovins[Ration]&amp;Règles_bovins[Aliment],0)),0),0)*IF(SUM(TotalBovins_0_3moisAuPré)&gt;0,SUM(TotalBovins_0_3moisAuPré),SUM(TotalBovins_0_3mois))*35</f>
        <v>0</v>
      </c>
      <c r="BJ285" s="1270">
        <f t="shared" si="78"/>
        <v>0</v>
      </c>
      <c r="BK285" s="1345"/>
      <c r="BL285" s="1345"/>
      <c r="BM285" s="1346"/>
      <c r="BN285" s="1321"/>
      <c r="BO285" s="1321"/>
      <c r="BP285" s="1321"/>
      <c r="BQ285" s="1321"/>
      <c r="BR285" s="1321"/>
      <c r="BS285" s="1321"/>
      <c r="BT285" s="1321"/>
      <c r="BU285" s="1321"/>
      <c r="BV285" s="1345"/>
      <c r="BW285" s="1345"/>
      <c r="BX285" s="1321"/>
      <c r="BY285" s="1321"/>
      <c r="BZ285" s="1321"/>
      <c r="CA285" s="1321"/>
      <c r="CB285" s="1321"/>
      <c r="CC285" s="1321"/>
      <c r="CD285" s="1345"/>
      <c r="CE285" s="1345"/>
      <c r="CF285" s="1345"/>
      <c r="CG285" s="1345"/>
      <c r="CH285" s="1345"/>
      <c r="CI285" s="1321"/>
      <c r="CJ285" s="1321"/>
      <c r="CK285" s="1321"/>
      <c r="CL285" s="1321"/>
      <c r="CM285" s="1321"/>
      <c r="CN285" s="1321"/>
      <c r="CO285" s="1321"/>
      <c r="CP285" s="1321"/>
      <c r="CQ285" s="1321"/>
      <c r="CR285" s="1321"/>
      <c r="CS285" s="1321"/>
      <c r="CT285" s="1321"/>
      <c r="CU285" s="1321"/>
      <c r="CV285" s="1321"/>
      <c r="CW285" s="1321"/>
      <c r="CX285" s="1321"/>
      <c r="CY285" s="1321"/>
      <c r="CZ285" s="1321"/>
      <c r="DA285" s="1321"/>
      <c r="DB285" s="1321"/>
      <c r="DC285" s="1321"/>
      <c r="DD285" s="1321"/>
      <c r="DE285" s="1321"/>
      <c r="DF285" s="1321"/>
      <c r="DG285" s="1321"/>
      <c r="DH285" s="1321"/>
      <c r="DI285" s="1321"/>
      <c r="DJ285" s="1321"/>
      <c r="DK285" s="1321"/>
      <c r="DL285" s="1321"/>
      <c r="DM285" s="1321"/>
      <c r="DN285" s="808" t="s">
        <v>832</v>
      </c>
      <c r="DO285" s="788">
        <f>DR37*TotalBrebis*SUM(NbreJoursNourrirOvins)</f>
        <v>0</v>
      </c>
      <c r="DP285" s="803">
        <f>DR37*TotalBrebisRacesLaitières*SUM(NbreJoursNourrirOvins)</f>
        <v>0</v>
      </c>
      <c r="DQ285" s="1321"/>
      <c r="DR285" s="1321"/>
      <c r="DS285" s="1345"/>
      <c r="DT285" s="1346"/>
      <c r="DU285" s="1346"/>
      <c r="DV285" s="1321"/>
      <c r="DW285" s="1321"/>
      <c r="DX285" s="1321"/>
      <c r="DY285" s="1321"/>
      <c r="DZ285" s="1321"/>
      <c r="EA285" s="1321"/>
      <c r="EB285" s="1321"/>
      <c r="EC285" s="1321"/>
      <c r="ED285" s="1345"/>
      <c r="EE285" s="1345"/>
      <c r="EF285" s="1321"/>
      <c r="EG285" s="1321"/>
      <c r="EH285" s="1321"/>
      <c r="EI285" s="1321"/>
      <c r="EJ285" s="1321"/>
      <c r="EK285" s="1345"/>
      <c r="EL285" s="1345"/>
      <c r="EM285" s="1321"/>
      <c r="EN285" s="1321"/>
      <c r="EO285" s="1321"/>
      <c r="EP285" s="1321"/>
      <c r="EQ285" s="1321"/>
      <c r="ER285" s="1345"/>
      <c r="ES285" s="1345"/>
      <c r="ET285" s="1321"/>
      <c r="EU285" s="1321"/>
      <c r="EV285" s="1321"/>
      <c r="EW285" s="1321"/>
      <c r="EX285" s="1321"/>
      <c r="EY285" s="1321"/>
      <c r="EZ285" s="1345"/>
      <c r="FA285" s="1345"/>
      <c r="FB285" s="1345"/>
      <c r="FC285" s="1321"/>
      <c r="FD285" s="1321"/>
      <c r="FE285" s="1321"/>
      <c r="FF285" s="1321"/>
      <c r="FG285" s="1321"/>
      <c r="FH285" s="1321"/>
      <c r="FI285" s="1345"/>
      <c r="FJ285" s="1345"/>
      <c r="FK285" s="1345"/>
      <c r="FL285" s="1345"/>
      <c r="FM285" s="1321"/>
      <c r="FN285" s="1321"/>
      <c r="FO285" s="1321"/>
      <c r="FP285" s="1321"/>
      <c r="FQ285" s="1321"/>
      <c r="FR285" s="1321"/>
      <c r="FS285" s="1345"/>
      <c r="FT285" s="1345"/>
      <c r="FU285" s="1345"/>
      <c r="FV285" s="1345"/>
      <c r="FW285" s="1321"/>
      <c r="FX285" s="1321"/>
      <c r="FY285" s="1321"/>
      <c r="FZ285" s="1321"/>
      <c r="GA285" s="1345"/>
      <c r="GB285" s="1321"/>
      <c r="GC285" s="1321"/>
      <c r="GD285" s="1321"/>
      <c r="GE285" s="1321"/>
      <c r="GF285" s="1321"/>
      <c r="GG285" s="1321" t="s">
        <v>1349</v>
      </c>
      <c r="GH285" s="1321" t="s">
        <v>1349</v>
      </c>
      <c r="GI285" s="1321" t="s">
        <v>1349</v>
      </c>
      <c r="GJ285" s="1321" t="s">
        <v>1349</v>
      </c>
      <c r="GK285" s="1321" t="s">
        <v>1349</v>
      </c>
      <c r="GL285" s="1321" t="s">
        <v>1349</v>
      </c>
      <c r="GM285" s="1321" t="s">
        <v>1349</v>
      </c>
      <c r="GN285" s="1321" t="s">
        <v>1349</v>
      </c>
      <c r="GO285" s="1321" t="s">
        <v>1349</v>
      </c>
      <c r="GP285" s="1321" t="s">
        <v>1349</v>
      </c>
      <c r="GQ285" s="1321" t="s">
        <v>1349</v>
      </c>
      <c r="GR285" s="1321" t="s">
        <v>1349</v>
      </c>
      <c r="GS285" s="1321" t="s">
        <v>1349</v>
      </c>
      <c r="GT285" s="1321" t="s">
        <v>1349</v>
      </c>
      <c r="GU285" s="1321" t="s">
        <v>1349</v>
      </c>
      <c r="GV285" s="1321" t="s">
        <v>1349</v>
      </c>
      <c r="GW285" s="1321"/>
      <c r="GX285" s="1321"/>
      <c r="GY285" s="1321"/>
      <c r="GZ285" s="1321"/>
      <c r="HA285" s="1321"/>
      <c r="HB285" s="1321"/>
      <c r="HC285" s="1321"/>
      <c r="HD285" s="1321"/>
      <c r="HE285" s="1321"/>
      <c r="HF285" s="1321"/>
      <c r="HG285" s="1321"/>
      <c r="HH285" s="1321"/>
      <c r="HI285" s="1321"/>
      <c r="HJ285" s="1321"/>
      <c r="HK285" s="1321"/>
      <c r="HL285" s="1321"/>
      <c r="HM285" s="1321"/>
      <c r="HN285" s="1321"/>
      <c r="HO285" s="1321"/>
      <c r="HP285" s="1321"/>
      <c r="HQ285" s="1321"/>
      <c r="HR285" s="1321"/>
      <c r="HS285" s="1321"/>
      <c r="HT285" s="1321"/>
      <c r="HU285" s="1321"/>
      <c r="HV285" s="1321"/>
      <c r="HW285" s="1321"/>
      <c r="HX285" s="1321"/>
      <c r="HY285" s="1321"/>
      <c r="HZ285" s="1321"/>
      <c r="IA285" s="1321"/>
      <c r="IB285" s="1321"/>
      <c r="IC285" s="1321"/>
      <c r="ID285" s="1321"/>
      <c r="IE285" s="1321"/>
      <c r="IF285" s="1321"/>
      <c r="IG285" s="1321"/>
      <c r="IH285" s="1321"/>
      <c r="II285" s="1321"/>
      <c r="IJ285" s="1321"/>
      <c r="IK285" s="1321"/>
      <c r="IL285" s="1321"/>
      <c r="IM285" s="1321"/>
      <c r="IN285" s="1368"/>
    </row>
    <row r="286" spans="1:248" ht="12.75" customHeight="1" x14ac:dyDescent="0.2">
      <c r="A286" s="1319"/>
      <c r="B286" s="1321"/>
      <c r="C286" s="1321"/>
      <c r="D286" s="1321"/>
      <c r="E286" s="1321"/>
      <c r="F286" s="1321"/>
      <c r="G286" s="1321"/>
      <c r="H286" s="1321"/>
      <c r="I286" s="1321"/>
      <c r="J286" s="1321"/>
      <c r="K286" s="1321"/>
      <c r="L286" s="1321"/>
      <c r="M286" s="1321"/>
      <c r="N286" s="1321"/>
      <c r="O286" s="1321"/>
      <c r="P286" s="1321"/>
      <c r="Q286" s="1321"/>
      <c r="R286" s="1321"/>
      <c r="S286" s="1321"/>
      <c r="T286" s="1321"/>
      <c r="U286" s="1321"/>
      <c r="V286" s="1321"/>
      <c r="W286" s="1321"/>
      <c r="X286" s="1321"/>
      <c r="Y286" s="1321"/>
      <c r="Z286" s="1321"/>
      <c r="AA286" s="1321"/>
      <c r="AB286" s="1321"/>
      <c r="AC286" s="1321"/>
      <c r="AD286" s="1321"/>
      <c r="AE286" s="1321"/>
      <c r="AF286" s="1321"/>
      <c r="AG286" s="1321"/>
      <c r="AH286" s="1321"/>
      <c r="AI286" s="1321"/>
      <c r="AJ286" s="1321"/>
      <c r="AK286" s="1321"/>
      <c r="AL286" s="1321"/>
      <c r="AM286" s="1321"/>
      <c r="AN286" s="1321"/>
      <c r="AO286" s="1321"/>
      <c r="AP286" s="1321"/>
      <c r="AQ286" s="1321"/>
      <c r="AR286" s="1321"/>
      <c r="AS286" s="1321"/>
      <c r="AT286" s="1321"/>
      <c r="AU286" s="1321"/>
      <c r="AV286" s="1321"/>
      <c r="AW286" s="1321"/>
      <c r="AX286" s="1321"/>
      <c r="AY286" s="1321"/>
      <c r="AZ286" s="1321"/>
      <c r="BA286" s="1321"/>
      <c r="BB286" s="1076" t="str">
        <f t="shared" si="79"/>
        <v>Blé</v>
      </c>
      <c r="BC286" s="1076">
        <f t="array" ref="BC286">IFERROR(IF(OR(AND(INDEX(Règles_bovins[Specificite],MATCH(RationHivernaleBovinsAuPré&amp;$BB286,Règles_bovins[Ration]&amp;Règles_bovins[Aliment],0))="s1",IF($BB286=Spécificité1Bovins,1)),
AND(INDEX(Règles_bovins[Specificite],MATCH(RationHivernaleBovinsAuPré&amp;$BB286,Règles_bovins[Ration]&amp;Règles_bovins[Aliment],0))="s2",IF($BB286=Spécificité2Bovins,1)),
INDEX(Règles_bovins[Specificite],MATCH(RationHivernaleBovinsAuPré&amp;$BB286,Règles_bovins[Ration]&amp;Règles_bovins[Aliment],0))="c"),
INDEX(Règles_bovins[Valeur 36 et plus],MATCH(RationHivernaleBovinsAuPré&amp;$BB286,Règles_bovins[Ration]&amp;Règles_bovins[Aliment],0)),0),0)*IF(SUM(TotalBovinsAdultesAuPré)&gt;0,SUM(TotalBovinsAdultesAuPré),SUM(TotalBovinsAdultes))*35</f>
        <v>0</v>
      </c>
      <c r="BD286" s="1076">
        <f t="array" ref="BD286">IFERROR(IF(OR(AND(INDEX(Règles_bovins[Specificite],MATCH(RationHivernaleBovinsAuPré&amp;$BB286,Règles_bovins[Ration]&amp;Règles_bovins[Aliment],0))="s1",IF($BB286=Spécificité1Bovins,1)),
AND(INDEX(Règles_bovins[Specificite],MATCH(RationHivernaleBovinsAuPré&amp;$BB286,Règles_bovins[Ration]&amp;Règles_bovins[Aliment],0))="s2",IF($BB286=Spécificité2Bovins,1)),
INDEX(Règles_bovins[Specificite],MATCH(RationHivernaleBovinsAuPré&amp;$BB286,Règles_bovins[Ration]&amp;Règles_bovins[Aliment],0))="c"),
INDEX(Règles_bovins[Valeur 24-36],MATCH(RationHivernaleBovinsAuPré&amp;$BB286,Règles_bovins[Ration]&amp;Règles_bovins[Aliment],0)),0),0)*IF(SUM(TotalBovins_24_36moisAuPré)&gt;0,SUM(TotalBovins_24_36moisAuPré),SUM(TotalBovins_24_36mois))*35</f>
        <v>0</v>
      </c>
      <c r="BE286" s="1076">
        <f t="array" ref="BE286">IFERROR(IF(OR(AND(INDEX(Règles_bovins[Specificite],MATCH(RationHivernaleBovinsAuPré&amp;$BB286,Règles_bovins[Ration]&amp;Règles_bovins[Aliment],0))="s1",IF($BB286=Spécificité1Bovins,1)),
AND(INDEX(Règles_bovins[Specificite],MATCH(RationHivernaleBovinsAuPré&amp;$BB286,Règles_bovins[Ration]&amp;Règles_bovins[Aliment],0))="s2",IF($BB286=Spécificité2Bovins,1)),
INDEX(Règles_bovins[Specificite],MATCH(RationHivernaleBovinsAuPré&amp;$BB286,Règles_bovins[Ration]&amp;Règles_bovins[Aliment],0))="c"),
INDEX(Règles_bovins[Valeur 18-24],MATCH(RationHivernaleBovinsAuPré&amp;$BB286,Règles_bovins[Ration]&amp;Règles_bovins[Aliment],0)),0),0)*IF(SUM(TotalBovins_18_24moisAuPré)&gt;0,SUM(TotalBovins_18_24moisAuPré),SUM(TotalBovins_18_24mois))*35</f>
        <v>0</v>
      </c>
      <c r="BF286" s="1076">
        <f t="array" ref="BF286">IFERROR(IF(OR(AND(INDEX(Règles_bovins[Specificite],MATCH(RationHivernaleBovinsAuPré&amp;$BB286,Règles_bovins[Ration]&amp;Règles_bovins[Aliment],0))="s1",IF($BB286=Spécificité1Bovins,1)),
AND(INDEX(Règles_bovins[Specificite],MATCH(RationHivernaleBovinsAuPré&amp;$BB286,Règles_bovins[Ration]&amp;Règles_bovins[Aliment],0))="s2",IF($BB286=Spécificité2Bovins,1)),
INDEX(Règles_bovins[Specificite],MATCH(RationHivernaleBovinsAuPré&amp;$BB286,Règles_bovins[Ration]&amp;Règles_bovins[Aliment],0))="c"),
INDEX(Règles_bovins[Valeur 12-18],MATCH(RationHivernaleBovinsAuPré&amp;$BB286,Règles_bovins[Ration]&amp;Règles_bovins[Aliment],0)),0),0)*IF(SUM(TotalBovins_12_18moisAuPré)&gt;0,SUM(TotalBovins_12_18moisAuPré),SUM(TotalBovins_12_18mois))*35</f>
        <v>0</v>
      </c>
      <c r="BG286" s="1076">
        <f t="array" ref="BG286">IFERROR(IF(OR(AND(INDEX(Règles_bovins[Specificite],MATCH(RationHivernaleBovinsAuPré&amp;$BB286,Règles_bovins[Ration]&amp;Règles_bovins[Aliment],0))="s1",IF($BB286=Spécificité1Bovins,1)),
AND(INDEX(Règles_bovins[Specificite],MATCH(RationHivernaleBovinsAuPré&amp;$BB286,Règles_bovins[Ration]&amp;Règles_bovins[Aliment],0))="s2",IF($BB286=Spécificité2Bovins,1)),
INDEX(Règles_bovins[Specificite],MATCH(RationHivernaleBovinsAuPré&amp;$BB286,Règles_bovins[Ration]&amp;Règles_bovins[Aliment],0))="c"),
INDEX(Règles_bovins[Valeur 6-12],MATCH(RationHivernaleBovinsAuPré&amp;$BB286,Règles_bovins[Ration]&amp;Règles_bovins[Aliment],0)),0),0)*IF(SUM(TotalBovins_6_12moisAuPré)&gt;0,SUM(TotalBovins_6_12moisAuPré),SUM(TotalBovins_6_12mois))*35</f>
        <v>0</v>
      </c>
      <c r="BH286" s="1076">
        <f t="array" ref="BH286">IFERROR(IF(OR(AND(INDEX(Règles_bovins[Specificite],MATCH(RationHivernaleBovinsAuPré&amp;$BB286,Règles_bovins[Ration]&amp;Règles_bovins[Aliment],0))="s1",IF($BB286=Spécificité1Bovins,1)),
AND(INDEX(Règles_bovins[Specificite],MATCH(RationHivernaleBovinsAuPré&amp;$BB286,Règles_bovins[Ration]&amp;Règles_bovins[Aliment],0))="s2",IF($BB286=Spécificité2Bovins,1)),
INDEX(Règles_bovins[Specificite],MATCH(RationHivernaleBovinsAuPré&amp;$BB286,Règles_bovins[Ration]&amp;Règles_bovins[Aliment],0))="c"),
INDEX(Règles_bovins[Valeur 3-6],MATCH(RationHivernaleBovinsAuPré&amp;$BB286,Règles_bovins[Ration]&amp;Règles_bovins[Aliment],0)),0),0)*IF(SUM(TotalBovins_3_6moisAuPré)&gt;0,SUM(TotalBovins_3_6moisAuPré),SUM(TotalBovins_3_6mois))*35</f>
        <v>0</v>
      </c>
      <c r="BI286" s="1076">
        <f t="array" ref="BI286">IFERROR(IF(OR(AND(INDEX(Règles_bovins[Specificite],MATCH(RationHivernaleBovinsAuPré&amp;$BB286,Règles_bovins[Ration]&amp;Règles_bovins[Aliment],0))="s1",IF($BB286=Spécificité1Bovins,1)),
AND(INDEX(Règles_bovins[Specificite],MATCH(RationHivernaleBovinsAuPré&amp;$BB286,Règles_bovins[Ration]&amp;Règles_bovins[Aliment],0))="s2",IF($BB286=Spécificité2Bovins,1)),
INDEX(Règles_bovins[Specificite],MATCH(RationHivernaleBovinsAuPré&amp;$BB286,Règles_bovins[Ration]&amp;Règles_bovins[Aliment],0))="c"),
INDEX(Règles_bovins[Valeur 0-3],MATCH(RationHivernaleBovinsAuPré&amp;$BB286,Règles_bovins[Ration]&amp;Règles_bovins[Aliment],0)),0),0)*IF(SUM(TotalBovins_0_3moisAuPré)&gt;0,SUM(TotalBovins_0_3moisAuPré),SUM(TotalBovins_0_3mois))*35</f>
        <v>0</v>
      </c>
      <c r="BJ286" s="1268">
        <f t="shared" si="78"/>
        <v>0</v>
      </c>
      <c r="BK286" s="1345"/>
      <c r="BL286" s="1345"/>
      <c r="BM286" s="1346"/>
      <c r="BN286" s="1321"/>
      <c r="BO286" s="1321"/>
      <c r="BP286" s="1321"/>
      <c r="BQ286" s="1321"/>
      <c r="BR286" s="1321"/>
      <c r="BS286" s="1321"/>
      <c r="BT286" s="1321"/>
      <c r="BU286" s="1321"/>
      <c r="BV286" s="1345"/>
      <c r="BW286" s="1345"/>
      <c r="BX286" s="1321"/>
      <c r="BY286" s="1321"/>
      <c r="BZ286" s="1321"/>
      <c r="CA286" s="1321"/>
      <c r="CB286" s="1321"/>
      <c r="CC286" s="1321"/>
      <c r="CD286" s="1345"/>
      <c r="CE286" s="1345"/>
      <c r="CF286" s="1345"/>
      <c r="CG286" s="1345"/>
      <c r="CH286" s="1345"/>
      <c r="CI286" s="1321"/>
      <c r="CJ286" s="1321"/>
      <c r="CK286" s="1321"/>
      <c r="CL286" s="1321"/>
      <c r="CM286" s="1321"/>
      <c r="CN286" s="1321"/>
      <c r="CO286" s="1321"/>
      <c r="CP286" s="1321"/>
      <c r="CQ286" s="1321"/>
      <c r="CR286" s="1321"/>
      <c r="CS286" s="1321"/>
      <c r="CT286" s="1321"/>
      <c r="CU286" s="1321"/>
      <c r="CV286" s="1321"/>
      <c r="CW286" s="1321"/>
      <c r="CX286" s="1321"/>
      <c r="CY286" s="1321"/>
      <c r="CZ286" s="1321"/>
      <c r="DA286" s="1321"/>
      <c r="DB286" s="1321"/>
      <c r="DC286" s="1321"/>
      <c r="DD286" s="1321"/>
      <c r="DE286" s="1321"/>
      <c r="DF286" s="1321"/>
      <c r="DG286" s="1321"/>
      <c r="DH286" s="1321"/>
      <c r="DI286" s="1321"/>
      <c r="DJ286" s="1321"/>
      <c r="DK286" s="1321"/>
      <c r="DL286" s="1321"/>
      <c r="DM286" s="1321"/>
      <c r="DN286" s="808" t="s">
        <v>833</v>
      </c>
      <c r="DO286" s="788">
        <f>DR38*SUM(TotalJeunesOvins)*SUM(NbreJoursNourrirOvins)</f>
        <v>0</v>
      </c>
      <c r="DP286" s="803">
        <f>DR38*SUM(TotalJeunesOvinsRacesLaitières)*SUM(NbreJoursNourrirOvins)</f>
        <v>0</v>
      </c>
      <c r="DQ286" s="1321"/>
      <c r="DR286" s="1321"/>
      <c r="DS286" s="1345"/>
      <c r="DT286" s="1346"/>
      <c r="DU286" s="1346"/>
      <c r="DV286" s="1321"/>
      <c r="DW286" s="1321"/>
      <c r="DX286" s="1321"/>
      <c r="DY286" s="1321"/>
      <c r="DZ286" s="1321"/>
      <c r="EA286" s="1321"/>
      <c r="EB286" s="1321"/>
      <c r="EC286" s="1321"/>
      <c r="ED286" s="1345"/>
      <c r="EE286" s="1345"/>
      <c r="EF286" s="1321"/>
      <c r="EG286" s="1321"/>
      <c r="EH286" s="1321"/>
      <c r="EI286" s="1321"/>
      <c r="EJ286" s="1321"/>
      <c r="EK286" s="1345"/>
      <c r="EL286" s="1345"/>
      <c r="EM286" s="1321"/>
      <c r="EN286" s="1321"/>
      <c r="EO286" s="1321"/>
      <c r="EP286" s="1321"/>
      <c r="EQ286" s="1321"/>
      <c r="ER286" s="1345"/>
      <c r="ES286" s="1345"/>
      <c r="ET286" s="1321"/>
      <c r="EU286" s="1321"/>
      <c r="EV286" s="1321"/>
      <c r="EW286" s="1321"/>
      <c r="EX286" s="1321"/>
      <c r="EY286" s="1321"/>
      <c r="EZ286" s="1345"/>
      <c r="FA286" s="1345"/>
      <c r="FB286" s="1345"/>
      <c r="FC286" s="1321"/>
      <c r="FD286" s="1321"/>
      <c r="FE286" s="1321"/>
      <c r="FF286" s="1321"/>
      <c r="FG286" s="1321"/>
      <c r="FH286" s="1321"/>
      <c r="FI286" s="1345"/>
      <c r="FJ286" s="1345"/>
      <c r="FK286" s="1345"/>
      <c r="FL286" s="1345"/>
      <c r="FM286" s="1321"/>
      <c r="FN286" s="1321"/>
      <c r="FO286" s="1321"/>
      <c r="FP286" s="1321"/>
      <c r="FQ286" s="1321"/>
      <c r="FR286" s="1321"/>
      <c r="FS286" s="1345"/>
      <c r="FT286" s="1345"/>
      <c r="FU286" s="1345"/>
      <c r="FV286" s="1345"/>
      <c r="FW286" s="1321"/>
      <c r="FX286" s="1321"/>
      <c r="FY286" s="1321"/>
      <c r="FZ286" s="1321"/>
      <c r="GA286" s="1345"/>
      <c r="GB286" s="1321"/>
      <c r="GC286" s="1321"/>
      <c r="GD286" s="1321"/>
      <c r="GE286" s="1321"/>
      <c r="GF286" s="1321"/>
      <c r="GG286" s="1321" t="s">
        <v>1349</v>
      </c>
      <c r="GH286" s="1321" t="s">
        <v>1349</v>
      </c>
      <c r="GI286" s="1321" t="s">
        <v>1349</v>
      </c>
      <c r="GJ286" s="1321" t="s">
        <v>1349</v>
      </c>
      <c r="GK286" s="1321" t="s">
        <v>1349</v>
      </c>
      <c r="GL286" s="1321" t="s">
        <v>1349</v>
      </c>
      <c r="GM286" s="1321" t="s">
        <v>1349</v>
      </c>
      <c r="GN286" s="1321" t="s">
        <v>1349</v>
      </c>
      <c r="GO286" s="1321" t="s">
        <v>1349</v>
      </c>
      <c r="GP286" s="1321" t="s">
        <v>1349</v>
      </c>
      <c r="GQ286" s="1321" t="s">
        <v>1349</v>
      </c>
      <c r="GR286" s="1321" t="s">
        <v>1349</v>
      </c>
      <c r="GS286" s="1321" t="s">
        <v>1349</v>
      </c>
      <c r="GT286" s="1321" t="s">
        <v>1349</v>
      </c>
      <c r="GU286" s="1321" t="s">
        <v>1349</v>
      </c>
      <c r="GV286" s="1321" t="s">
        <v>1349</v>
      </c>
      <c r="GW286" s="1321"/>
      <c r="GX286" s="1321"/>
      <c r="GY286" s="1321"/>
      <c r="GZ286" s="1321"/>
      <c r="HA286" s="1321"/>
      <c r="HB286" s="1321"/>
      <c r="HC286" s="1321"/>
      <c r="HD286" s="1321"/>
      <c r="HE286" s="1321"/>
      <c r="HF286" s="1321"/>
      <c r="HG286" s="1321"/>
      <c r="HH286" s="1321"/>
      <c r="HI286" s="1321"/>
      <c r="HJ286" s="1321"/>
      <c r="HK286" s="1321"/>
      <c r="HL286" s="1321"/>
      <c r="HM286" s="1321"/>
      <c r="HN286" s="1321"/>
      <c r="HO286" s="1321"/>
      <c r="HP286" s="1321"/>
      <c r="HQ286" s="1321"/>
      <c r="HR286" s="1321"/>
      <c r="HS286" s="1321"/>
      <c r="HT286" s="1321"/>
      <c r="HU286" s="1321"/>
      <c r="HV286" s="1321"/>
      <c r="HW286" s="1321"/>
      <c r="HX286" s="1321"/>
      <c r="HY286" s="1321"/>
      <c r="HZ286" s="1321"/>
      <c r="IA286" s="1321"/>
      <c r="IB286" s="1321"/>
      <c r="IC286" s="1321"/>
      <c r="ID286" s="1321"/>
      <c r="IE286" s="1321"/>
      <c r="IF286" s="1321"/>
      <c r="IG286" s="1321"/>
      <c r="IH286" s="1321"/>
      <c r="II286" s="1321"/>
      <c r="IJ286" s="1321"/>
      <c r="IK286" s="1321"/>
      <c r="IL286" s="1321"/>
      <c r="IM286" s="1321"/>
      <c r="IN286" s="1368"/>
    </row>
    <row r="287" spans="1:248" ht="12.75" customHeight="1" x14ac:dyDescent="0.2">
      <c r="A287" s="1319"/>
      <c r="B287" s="1321"/>
      <c r="C287" s="1321"/>
      <c r="D287" s="1321"/>
      <c r="E287" s="1321"/>
      <c r="F287" s="1321"/>
      <c r="G287" s="1321"/>
      <c r="H287" s="1321"/>
      <c r="I287" s="1321"/>
      <c r="J287" s="1321"/>
      <c r="K287" s="1321"/>
      <c r="L287" s="1321"/>
      <c r="M287" s="1321"/>
      <c r="N287" s="1321"/>
      <c r="O287" s="1321"/>
      <c r="P287" s="1321"/>
      <c r="Q287" s="1321"/>
      <c r="R287" s="1321"/>
      <c r="S287" s="1321"/>
      <c r="T287" s="1321"/>
      <c r="U287" s="1321"/>
      <c r="V287" s="1321"/>
      <c r="W287" s="1321"/>
      <c r="X287" s="1321"/>
      <c r="Y287" s="1321"/>
      <c r="Z287" s="1321"/>
      <c r="AA287" s="1321"/>
      <c r="AB287" s="1321"/>
      <c r="AC287" s="1321"/>
      <c r="AD287" s="1321"/>
      <c r="AE287" s="1321"/>
      <c r="AF287" s="1321"/>
      <c r="AG287" s="1321"/>
      <c r="AH287" s="1321"/>
      <c r="AI287" s="1321"/>
      <c r="AJ287" s="1321"/>
      <c r="AK287" s="1321"/>
      <c r="AL287" s="1321"/>
      <c r="AM287" s="1321"/>
      <c r="AN287" s="1321"/>
      <c r="AO287" s="1321"/>
      <c r="AP287" s="1321"/>
      <c r="AQ287" s="1321"/>
      <c r="AR287" s="1321"/>
      <c r="AS287" s="1321"/>
      <c r="AT287" s="1321"/>
      <c r="AU287" s="1321"/>
      <c r="AV287" s="1321"/>
      <c r="AW287" s="1321"/>
      <c r="AX287" s="1321"/>
      <c r="AY287" s="1321"/>
      <c r="AZ287" s="1321"/>
      <c r="BA287" s="1321"/>
      <c r="BB287" s="1075" t="str">
        <f t="shared" si="79"/>
        <v>Bouchons luzerne</v>
      </c>
      <c r="BC287" s="1075">
        <f t="array" ref="BC287">IFERROR(IF(OR(AND(INDEX(Règles_bovins[Specificite],MATCH(RationHivernaleBovinsAuPré&amp;$BB287,Règles_bovins[Ration]&amp;Règles_bovins[Aliment],0))="s1",IF($BB287=Spécificité1Bovins,1)),
AND(INDEX(Règles_bovins[Specificite],MATCH(RationHivernaleBovinsAuPré&amp;$BB287,Règles_bovins[Ration]&amp;Règles_bovins[Aliment],0))="s2",IF($BB287=Spécificité2Bovins,1)),
INDEX(Règles_bovins[Specificite],MATCH(RationHivernaleBovinsAuPré&amp;$BB287,Règles_bovins[Ration]&amp;Règles_bovins[Aliment],0))="c"),
INDEX(Règles_bovins[Valeur 36 et plus],MATCH(RationHivernaleBovinsAuPré&amp;$BB287,Règles_bovins[Ration]&amp;Règles_bovins[Aliment],0)),0),0)*IF(SUM(TotalBovinsAdultesAuPré)&gt;0,SUM(TotalBovinsAdultesAuPré),SUM(TotalBovinsAdultes))*35</f>
        <v>0</v>
      </c>
      <c r="BD287" s="1075">
        <f t="array" ref="BD287">IFERROR(IF(OR(AND(INDEX(Règles_bovins[Specificite],MATCH(RationHivernaleBovinsAuPré&amp;$BB287,Règles_bovins[Ration]&amp;Règles_bovins[Aliment],0))="s1",IF($BB287=Spécificité1Bovins,1)),
AND(INDEX(Règles_bovins[Specificite],MATCH(RationHivernaleBovinsAuPré&amp;$BB287,Règles_bovins[Ration]&amp;Règles_bovins[Aliment],0))="s2",IF($BB287=Spécificité2Bovins,1)),
INDEX(Règles_bovins[Specificite],MATCH(RationHivernaleBovinsAuPré&amp;$BB287,Règles_bovins[Ration]&amp;Règles_bovins[Aliment],0))="c"),
INDEX(Règles_bovins[Valeur 24-36],MATCH(RationHivernaleBovinsAuPré&amp;$BB287,Règles_bovins[Ration]&amp;Règles_bovins[Aliment],0)),0),0)*IF(SUM(TotalBovins_24_36moisAuPré)&gt;0,SUM(TotalBovins_24_36moisAuPré),SUM(TotalBovins_24_36mois))*35</f>
        <v>0</v>
      </c>
      <c r="BE287" s="1075">
        <f t="array" ref="BE287">IFERROR(IF(OR(AND(INDEX(Règles_bovins[Specificite],MATCH(RationHivernaleBovinsAuPré&amp;$BB287,Règles_bovins[Ration]&amp;Règles_bovins[Aliment],0))="s1",IF($BB287=Spécificité1Bovins,1)),
AND(INDEX(Règles_bovins[Specificite],MATCH(RationHivernaleBovinsAuPré&amp;$BB287,Règles_bovins[Ration]&amp;Règles_bovins[Aliment],0))="s2",IF($BB287=Spécificité2Bovins,1)),
INDEX(Règles_bovins[Specificite],MATCH(RationHivernaleBovinsAuPré&amp;$BB287,Règles_bovins[Ration]&amp;Règles_bovins[Aliment],0))="c"),
INDEX(Règles_bovins[Valeur 18-24],MATCH(RationHivernaleBovinsAuPré&amp;$BB287,Règles_bovins[Ration]&amp;Règles_bovins[Aliment],0)),0),0)*IF(SUM(TotalBovins_18_24moisAuPré)&gt;0,SUM(TotalBovins_18_24moisAuPré),SUM(TotalBovins_18_24mois))*35</f>
        <v>0</v>
      </c>
      <c r="BF287" s="1075">
        <f t="array" ref="BF287">IFERROR(IF(OR(AND(INDEX(Règles_bovins[Specificite],MATCH(RationHivernaleBovinsAuPré&amp;$BB287,Règles_bovins[Ration]&amp;Règles_bovins[Aliment],0))="s1",IF($BB287=Spécificité1Bovins,1)),
AND(INDEX(Règles_bovins[Specificite],MATCH(RationHivernaleBovinsAuPré&amp;$BB287,Règles_bovins[Ration]&amp;Règles_bovins[Aliment],0))="s2",IF($BB287=Spécificité2Bovins,1)),
INDEX(Règles_bovins[Specificite],MATCH(RationHivernaleBovinsAuPré&amp;$BB287,Règles_bovins[Ration]&amp;Règles_bovins[Aliment],0))="c"),
INDEX(Règles_bovins[Valeur 12-18],MATCH(RationHivernaleBovinsAuPré&amp;$BB287,Règles_bovins[Ration]&amp;Règles_bovins[Aliment],0)),0),0)*IF(SUM(TotalBovins_12_18moisAuPré)&gt;0,SUM(TotalBovins_12_18moisAuPré),SUM(TotalBovins_12_18mois))*35</f>
        <v>0</v>
      </c>
      <c r="BG287" s="1075">
        <f t="array" ref="BG287">IFERROR(IF(OR(AND(INDEX(Règles_bovins[Specificite],MATCH(RationHivernaleBovinsAuPré&amp;$BB287,Règles_bovins[Ration]&amp;Règles_bovins[Aliment],0))="s1",IF($BB287=Spécificité1Bovins,1)),
AND(INDEX(Règles_bovins[Specificite],MATCH(RationHivernaleBovinsAuPré&amp;$BB287,Règles_bovins[Ration]&amp;Règles_bovins[Aliment],0))="s2",IF($BB287=Spécificité2Bovins,1)),
INDEX(Règles_bovins[Specificite],MATCH(RationHivernaleBovinsAuPré&amp;$BB287,Règles_bovins[Ration]&amp;Règles_bovins[Aliment],0))="c"),
INDEX(Règles_bovins[Valeur 6-12],MATCH(RationHivernaleBovinsAuPré&amp;$BB287,Règles_bovins[Ration]&amp;Règles_bovins[Aliment],0)),0),0)*IF(SUM(TotalBovins_6_12moisAuPré)&gt;0,SUM(TotalBovins_6_12moisAuPré),SUM(TotalBovins_6_12mois))*35</f>
        <v>0</v>
      </c>
      <c r="BH287" s="1075">
        <f t="array" ref="BH287">IFERROR(IF(OR(AND(INDEX(Règles_bovins[Specificite],MATCH(RationHivernaleBovinsAuPré&amp;$BB287,Règles_bovins[Ration]&amp;Règles_bovins[Aliment],0))="s1",IF($BB287=Spécificité1Bovins,1)),
AND(INDEX(Règles_bovins[Specificite],MATCH(RationHivernaleBovinsAuPré&amp;$BB287,Règles_bovins[Ration]&amp;Règles_bovins[Aliment],0))="s2",IF($BB287=Spécificité2Bovins,1)),
INDEX(Règles_bovins[Specificite],MATCH(RationHivernaleBovinsAuPré&amp;$BB287,Règles_bovins[Ration]&amp;Règles_bovins[Aliment],0))="c"),
INDEX(Règles_bovins[Valeur 3-6],MATCH(RationHivernaleBovinsAuPré&amp;$BB287,Règles_bovins[Ration]&amp;Règles_bovins[Aliment],0)),0),0)*IF(SUM(TotalBovins_3_6moisAuPré)&gt;0,SUM(TotalBovins_3_6moisAuPré),SUM(TotalBovins_3_6mois))*35</f>
        <v>0</v>
      </c>
      <c r="BI287" s="1075">
        <f t="array" ref="BI287">IFERROR(IF(OR(AND(INDEX(Règles_bovins[Specificite],MATCH(RationHivernaleBovinsAuPré&amp;$BB287,Règles_bovins[Ration]&amp;Règles_bovins[Aliment],0))="s1",IF($BB287=Spécificité1Bovins,1)),
AND(INDEX(Règles_bovins[Specificite],MATCH(RationHivernaleBovinsAuPré&amp;$BB287,Règles_bovins[Ration]&amp;Règles_bovins[Aliment],0))="s2",IF($BB287=Spécificité2Bovins,1)),
INDEX(Règles_bovins[Specificite],MATCH(RationHivernaleBovinsAuPré&amp;$BB287,Règles_bovins[Ration]&amp;Règles_bovins[Aliment],0))="c"),
INDEX(Règles_bovins[Valeur 0-3],MATCH(RationHivernaleBovinsAuPré&amp;$BB287,Règles_bovins[Ration]&amp;Règles_bovins[Aliment],0)),0),0)*IF(SUM(TotalBovins_0_3moisAuPré)&gt;0,SUM(TotalBovins_0_3moisAuPré),SUM(TotalBovins_0_3mois))*35</f>
        <v>0</v>
      </c>
      <c r="BJ287" s="1270">
        <f t="shared" si="78"/>
        <v>0</v>
      </c>
      <c r="BK287" s="1345"/>
      <c r="BL287" s="1345"/>
      <c r="BM287" s="1346"/>
      <c r="BN287" s="1321"/>
      <c r="BO287" s="1321"/>
      <c r="BP287" s="1321"/>
      <c r="BQ287" s="1321"/>
      <c r="BR287" s="1321"/>
      <c r="BS287" s="1321"/>
      <c r="BT287" s="1321"/>
      <c r="BU287" s="1321"/>
      <c r="BV287" s="1345"/>
      <c r="BW287" s="1345"/>
      <c r="BX287" s="1321"/>
      <c r="BY287" s="1321"/>
      <c r="BZ287" s="1321"/>
      <c r="CA287" s="1321"/>
      <c r="CB287" s="1321"/>
      <c r="CC287" s="1321"/>
      <c r="CD287" s="1345"/>
      <c r="CE287" s="1345"/>
      <c r="CF287" s="1345"/>
      <c r="CG287" s="1345"/>
      <c r="CH287" s="1345"/>
      <c r="CI287" s="1321"/>
      <c r="CJ287" s="1321"/>
      <c r="CK287" s="1321"/>
      <c r="CL287" s="1321"/>
      <c r="CM287" s="1321"/>
      <c r="CN287" s="1321"/>
      <c r="CO287" s="1321"/>
      <c r="CP287" s="1321"/>
      <c r="CQ287" s="1321"/>
      <c r="CR287" s="1321"/>
      <c r="CS287" s="1321"/>
      <c r="CT287" s="1321"/>
      <c r="CU287" s="1321"/>
      <c r="CV287" s="1321"/>
      <c r="CW287" s="1321"/>
      <c r="CX287" s="1321"/>
      <c r="CY287" s="1321"/>
      <c r="CZ287" s="1321"/>
      <c r="DA287" s="1321"/>
      <c r="DB287" s="1321"/>
      <c r="DC287" s="1321"/>
      <c r="DD287" s="1321"/>
      <c r="DE287" s="1321"/>
      <c r="DF287" s="1321"/>
      <c r="DG287" s="1321"/>
      <c r="DH287" s="1321"/>
      <c r="DI287" s="1321"/>
      <c r="DJ287" s="1321"/>
      <c r="DK287" s="1321"/>
      <c r="DL287" s="1321"/>
      <c r="DM287" s="1321"/>
      <c r="DN287" s="808" t="s">
        <v>834</v>
      </c>
      <c r="DO287" s="788"/>
      <c r="DP287" s="803"/>
      <c r="DQ287" s="1321"/>
      <c r="DR287" s="1321"/>
      <c r="DS287" s="1345"/>
      <c r="DT287" s="1346"/>
      <c r="DU287" s="1346"/>
      <c r="DV287" s="1321"/>
      <c r="DW287" s="1321"/>
      <c r="DX287" s="1321"/>
      <c r="DY287" s="1321"/>
      <c r="DZ287" s="1321"/>
      <c r="EA287" s="1321"/>
      <c r="EB287" s="1321"/>
      <c r="EC287" s="1321"/>
      <c r="ED287" s="1345"/>
      <c r="EE287" s="1345"/>
      <c r="EF287" s="1321"/>
      <c r="EG287" s="1321"/>
      <c r="EH287" s="1321"/>
      <c r="EI287" s="1321"/>
      <c r="EJ287" s="1321"/>
      <c r="EK287" s="1345"/>
      <c r="EL287" s="1345"/>
      <c r="EM287" s="1321"/>
      <c r="EN287" s="1321"/>
      <c r="EO287" s="1321"/>
      <c r="EP287" s="1321"/>
      <c r="EQ287" s="1321"/>
      <c r="ER287" s="1345"/>
      <c r="ES287" s="1345"/>
      <c r="ET287" s="1321"/>
      <c r="EU287" s="1321"/>
      <c r="EV287" s="1321"/>
      <c r="EW287" s="1321"/>
      <c r="EX287" s="1321"/>
      <c r="EY287" s="1321"/>
      <c r="EZ287" s="1345"/>
      <c r="FA287" s="1345"/>
      <c r="FB287" s="1345"/>
      <c r="FC287" s="1321"/>
      <c r="FD287" s="1321"/>
      <c r="FE287" s="1321"/>
      <c r="FF287" s="1321"/>
      <c r="FG287" s="1321"/>
      <c r="FH287" s="1321"/>
      <c r="FI287" s="1345"/>
      <c r="FJ287" s="1345"/>
      <c r="FK287" s="1345"/>
      <c r="FL287" s="1345"/>
      <c r="FM287" s="1321"/>
      <c r="FN287" s="1321"/>
      <c r="FO287" s="1321"/>
      <c r="FP287" s="1321"/>
      <c r="FQ287" s="1321"/>
      <c r="FR287" s="1321"/>
      <c r="FS287" s="1345"/>
      <c r="FT287" s="1345"/>
      <c r="FU287" s="1345"/>
      <c r="FV287" s="1345"/>
      <c r="FW287" s="1321"/>
      <c r="FX287" s="1321"/>
      <c r="FY287" s="1321"/>
      <c r="FZ287" s="1321"/>
      <c r="GA287" s="1345"/>
      <c r="GB287" s="1321"/>
      <c r="GC287" s="1321"/>
      <c r="GD287" s="1321"/>
      <c r="GE287" s="1321"/>
      <c r="GF287" s="1321"/>
      <c r="GG287" s="1321" t="s">
        <v>1349</v>
      </c>
      <c r="GH287" s="1321" t="s">
        <v>1349</v>
      </c>
      <c r="GI287" s="1321" t="s">
        <v>1349</v>
      </c>
      <c r="GJ287" s="1321" t="s">
        <v>1349</v>
      </c>
      <c r="GK287" s="1321" t="s">
        <v>1349</v>
      </c>
      <c r="GL287" s="1321" t="s">
        <v>1349</v>
      </c>
      <c r="GM287" s="1321" t="s">
        <v>1349</v>
      </c>
      <c r="GN287" s="1321" t="s">
        <v>1349</v>
      </c>
      <c r="GO287" s="1321" t="s">
        <v>1349</v>
      </c>
      <c r="GP287" s="1321" t="s">
        <v>1349</v>
      </c>
      <c r="GQ287" s="1321" t="s">
        <v>1349</v>
      </c>
      <c r="GR287" s="1321" t="s">
        <v>1349</v>
      </c>
      <c r="GS287" s="1321" t="s">
        <v>1349</v>
      </c>
      <c r="GT287" s="1321" t="s">
        <v>1349</v>
      </c>
      <c r="GU287" s="1321" t="s">
        <v>1349</v>
      </c>
      <c r="GV287" s="1321" t="s">
        <v>1349</v>
      </c>
      <c r="GW287" s="1321"/>
      <c r="GX287" s="1321"/>
      <c r="GY287" s="1321"/>
      <c r="GZ287" s="1321"/>
      <c r="HA287" s="1321"/>
      <c r="HB287" s="1321"/>
      <c r="HC287" s="1321"/>
      <c r="HD287" s="1321"/>
      <c r="HE287" s="1321"/>
      <c r="HF287" s="1321"/>
      <c r="HG287" s="1321"/>
      <c r="HH287" s="1321"/>
      <c r="HI287" s="1321"/>
      <c r="HJ287" s="1321"/>
      <c r="HK287" s="1321"/>
      <c r="HL287" s="1321"/>
      <c r="HM287" s="1321"/>
      <c r="HN287" s="1321"/>
      <c r="HO287" s="1321"/>
      <c r="HP287" s="1321"/>
      <c r="HQ287" s="1321"/>
      <c r="HR287" s="1321"/>
      <c r="HS287" s="1321"/>
      <c r="HT287" s="1321"/>
      <c r="HU287" s="1321"/>
      <c r="HV287" s="1321"/>
      <c r="HW287" s="1321"/>
      <c r="HX287" s="1321"/>
      <c r="HY287" s="1321"/>
      <c r="HZ287" s="1321"/>
      <c r="IA287" s="1321"/>
      <c r="IB287" s="1321"/>
      <c r="IC287" s="1321"/>
      <c r="ID287" s="1321"/>
      <c r="IE287" s="1321"/>
      <c r="IF287" s="1321"/>
      <c r="IG287" s="1321"/>
      <c r="IH287" s="1321"/>
      <c r="II287" s="1321"/>
      <c r="IJ287" s="1321"/>
      <c r="IK287" s="1321"/>
      <c r="IL287" s="1321"/>
      <c r="IM287" s="1321"/>
      <c r="IN287" s="1368"/>
    </row>
    <row r="288" spans="1:248" ht="12.75" customHeight="1" x14ac:dyDescent="0.2">
      <c r="A288" s="1319"/>
      <c r="B288" s="1321"/>
      <c r="C288" s="1321"/>
      <c r="D288" s="1321"/>
      <c r="E288" s="1321"/>
      <c r="F288" s="1321"/>
      <c r="G288" s="1321"/>
      <c r="H288" s="1321"/>
      <c r="I288" s="1321"/>
      <c r="J288" s="1321"/>
      <c r="K288" s="1321"/>
      <c r="L288" s="1321"/>
      <c r="M288" s="1321"/>
      <c r="N288" s="1321"/>
      <c r="O288" s="1321"/>
      <c r="P288" s="1321"/>
      <c r="Q288" s="1321"/>
      <c r="R288" s="1321"/>
      <c r="S288" s="1321"/>
      <c r="T288" s="1321"/>
      <c r="U288" s="1321"/>
      <c r="V288" s="1321"/>
      <c r="W288" s="1321"/>
      <c r="X288" s="1321"/>
      <c r="Y288" s="1321"/>
      <c r="Z288" s="1321"/>
      <c r="AA288" s="1321"/>
      <c r="AB288" s="1321"/>
      <c r="AC288" s="1321"/>
      <c r="AD288" s="1321"/>
      <c r="AE288" s="1321"/>
      <c r="AF288" s="1321"/>
      <c r="AG288" s="1321"/>
      <c r="AH288" s="1321"/>
      <c r="AI288" s="1321"/>
      <c r="AJ288" s="1321"/>
      <c r="AK288" s="1321"/>
      <c r="AL288" s="1321"/>
      <c r="AM288" s="1321"/>
      <c r="AN288" s="1321"/>
      <c r="AO288" s="1321"/>
      <c r="AP288" s="1321"/>
      <c r="AQ288" s="1321"/>
      <c r="AR288" s="1321"/>
      <c r="AS288" s="1321"/>
      <c r="AT288" s="1321"/>
      <c r="AU288" s="1321"/>
      <c r="AV288" s="1321"/>
      <c r="AW288" s="1321"/>
      <c r="AX288" s="1321"/>
      <c r="AY288" s="1321"/>
      <c r="AZ288" s="1321"/>
      <c r="BA288" s="1321"/>
      <c r="BB288" s="1076" t="str">
        <f t="shared" si="79"/>
        <v>Chanvre</v>
      </c>
      <c r="BC288" s="1076">
        <f t="array" ref="BC288">IFERROR(IF(OR(AND(INDEX(Règles_bovins[Specificite],MATCH(RationHivernaleBovinsAuPré&amp;$BB288,Règles_bovins[Ration]&amp;Règles_bovins[Aliment],0))="s1",IF($BB288=Spécificité1Bovins,1)),
AND(INDEX(Règles_bovins[Specificite],MATCH(RationHivernaleBovinsAuPré&amp;$BB288,Règles_bovins[Ration]&amp;Règles_bovins[Aliment],0))="s2",IF($BB288=Spécificité2Bovins,1)),
INDEX(Règles_bovins[Specificite],MATCH(RationHivernaleBovinsAuPré&amp;$BB288,Règles_bovins[Ration]&amp;Règles_bovins[Aliment],0))="c"),
INDEX(Règles_bovins[Valeur 36 et plus],MATCH(RationHivernaleBovinsAuPré&amp;$BB288,Règles_bovins[Ration]&amp;Règles_bovins[Aliment],0)),0),0)*IF(SUM(TotalBovinsAdultesAuPré)&gt;0,SUM(TotalBovinsAdultesAuPré),SUM(TotalBovinsAdultes))*35</f>
        <v>0</v>
      </c>
      <c r="BD288" s="1076">
        <f t="array" ref="BD288">IFERROR(IF(OR(AND(INDEX(Règles_bovins[Specificite],MATCH(RationHivernaleBovinsAuPré&amp;$BB288,Règles_bovins[Ration]&amp;Règles_bovins[Aliment],0))="s1",IF($BB288=Spécificité1Bovins,1)),
AND(INDEX(Règles_bovins[Specificite],MATCH(RationHivernaleBovinsAuPré&amp;$BB288,Règles_bovins[Ration]&amp;Règles_bovins[Aliment],0))="s2",IF($BB288=Spécificité2Bovins,1)),
INDEX(Règles_bovins[Specificite],MATCH(RationHivernaleBovinsAuPré&amp;$BB288,Règles_bovins[Ration]&amp;Règles_bovins[Aliment],0))="c"),
INDEX(Règles_bovins[Valeur 24-36],MATCH(RationHivernaleBovinsAuPré&amp;$BB288,Règles_bovins[Ration]&amp;Règles_bovins[Aliment],0)),0),0)*IF(SUM(TotalBovins_24_36moisAuPré)&gt;0,SUM(TotalBovins_24_36moisAuPré),SUM(TotalBovins_24_36mois))*35</f>
        <v>0</v>
      </c>
      <c r="BE288" s="1076">
        <f t="array" ref="BE288">IFERROR(IF(OR(AND(INDEX(Règles_bovins[Specificite],MATCH(RationHivernaleBovinsAuPré&amp;$BB288,Règles_bovins[Ration]&amp;Règles_bovins[Aliment],0))="s1",IF($BB288=Spécificité1Bovins,1)),
AND(INDEX(Règles_bovins[Specificite],MATCH(RationHivernaleBovinsAuPré&amp;$BB288,Règles_bovins[Ration]&amp;Règles_bovins[Aliment],0))="s2",IF($BB288=Spécificité2Bovins,1)),
INDEX(Règles_bovins[Specificite],MATCH(RationHivernaleBovinsAuPré&amp;$BB288,Règles_bovins[Ration]&amp;Règles_bovins[Aliment],0))="c"),
INDEX(Règles_bovins[Valeur 18-24],MATCH(RationHivernaleBovinsAuPré&amp;$BB288,Règles_bovins[Ration]&amp;Règles_bovins[Aliment],0)),0),0)*IF(SUM(TotalBovins_18_24moisAuPré)&gt;0,SUM(TotalBovins_18_24moisAuPré),SUM(TotalBovins_18_24mois))*35</f>
        <v>0</v>
      </c>
      <c r="BF288" s="1076">
        <f t="array" ref="BF288">IFERROR(IF(OR(AND(INDEX(Règles_bovins[Specificite],MATCH(RationHivernaleBovinsAuPré&amp;$BB288,Règles_bovins[Ration]&amp;Règles_bovins[Aliment],0))="s1",IF($BB288=Spécificité1Bovins,1)),
AND(INDEX(Règles_bovins[Specificite],MATCH(RationHivernaleBovinsAuPré&amp;$BB288,Règles_bovins[Ration]&amp;Règles_bovins[Aliment],0))="s2",IF($BB288=Spécificité2Bovins,1)),
INDEX(Règles_bovins[Specificite],MATCH(RationHivernaleBovinsAuPré&amp;$BB288,Règles_bovins[Ration]&amp;Règles_bovins[Aliment],0))="c"),
INDEX(Règles_bovins[Valeur 12-18],MATCH(RationHivernaleBovinsAuPré&amp;$BB288,Règles_bovins[Ration]&amp;Règles_bovins[Aliment],0)),0),0)*IF(SUM(TotalBovins_12_18moisAuPré)&gt;0,SUM(TotalBovins_12_18moisAuPré),SUM(TotalBovins_12_18mois))*35</f>
        <v>0</v>
      </c>
      <c r="BG288" s="1076">
        <f t="array" ref="BG288">IFERROR(IF(OR(AND(INDEX(Règles_bovins[Specificite],MATCH(RationHivernaleBovinsAuPré&amp;$BB288,Règles_bovins[Ration]&amp;Règles_bovins[Aliment],0))="s1",IF($BB288=Spécificité1Bovins,1)),
AND(INDEX(Règles_bovins[Specificite],MATCH(RationHivernaleBovinsAuPré&amp;$BB288,Règles_bovins[Ration]&amp;Règles_bovins[Aliment],0))="s2",IF($BB288=Spécificité2Bovins,1)),
INDEX(Règles_bovins[Specificite],MATCH(RationHivernaleBovinsAuPré&amp;$BB288,Règles_bovins[Ration]&amp;Règles_bovins[Aliment],0))="c"),
INDEX(Règles_bovins[Valeur 6-12],MATCH(RationHivernaleBovinsAuPré&amp;$BB288,Règles_bovins[Ration]&amp;Règles_bovins[Aliment],0)),0),0)*IF(SUM(TotalBovins_6_12moisAuPré)&gt;0,SUM(TotalBovins_6_12moisAuPré),SUM(TotalBovins_6_12mois))*35</f>
        <v>0</v>
      </c>
      <c r="BH288" s="1076">
        <f t="array" ref="BH288">IFERROR(IF(OR(AND(INDEX(Règles_bovins[Specificite],MATCH(RationHivernaleBovinsAuPré&amp;$BB288,Règles_bovins[Ration]&amp;Règles_bovins[Aliment],0))="s1",IF($BB288=Spécificité1Bovins,1)),
AND(INDEX(Règles_bovins[Specificite],MATCH(RationHivernaleBovinsAuPré&amp;$BB288,Règles_bovins[Ration]&amp;Règles_bovins[Aliment],0))="s2",IF($BB288=Spécificité2Bovins,1)),
INDEX(Règles_bovins[Specificite],MATCH(RationHivernaleBovinsAuPré&amp;$BB288,Règles_bovins[Ration]&amp;Règles_bovins[Aliment],0))="c"),
INDEX(Règles_bovins[Valeur 3-6],MATCH(RationHivernaleBovinsAuPré&amp;$BB288,Règles_bovins[Ration]&amp;Règles_bovins[Aliment],0)),0),0)*IF(SUM(TotalBovins_3_6moisAuPré)&gt;0,SUM(TotalBovins_3_6moisAuPré),SUM(TotalBovins_3_6mois))*35</f>
        <v>0</v>
      </c>
      <c r="BI288" s="1076">
        <f t="array" ref="BI288">IFERROR(IF(OR(AND(INDEX(Règles_bovins[Specificite],MATCH(RationHivernaleBovinsAuPré&amp;$BB288,Règles_bovins[Ration]&amp;Règles_bovins[Aliment],0))="s1",IF($BB288=Spécificité1Bovins,1)),
AND(INDEX(Règles_bovins[Specificite],MATCH(RationHivernaleBovinsAuPré&amp;$BB288,Règles_bovins[Ration]&amp;Règles_bovins[Aliment],0))="s2",IF($BB288=Spécificité2Bovins,1)),
INDEX(Règles_bovins[Specificite],MATCH(RationHivernaleBovinsAuPré&amp;$BB288,Règles_bovins[Ration]&amp;Règles_bovins[Aliment],0))="c"),
INDEX(Règles_bovins[Valeur 0-3],MATCH(RationHivernaleBovinsAuPré&amp;$BB288,Règles_bovins[Ration]&amp;Règles_bovins[Aliment],0)),0),0)*IF(SUM(TotalBovins_0_3moisAuPré)&gt;0,SUM(TotalBovins_0_3moisAuPré),SUM(TotalBovins_0_3mois))*35</f>
        <v>0</v>
      </c>
      <c r="BJ288" s="1268">
        <f t="shared" si="78"/>
        <v>0</v>
      </c>
      <c r="BK288" s="1345"/>
      <c r="BL288" s="1345"/>
      <c r="BM288" s="1346"/>
      <c r="BN288" s="1321"/>
      <c r="BO288" s="1321"/>
      <c r="BP288" s="1321"/>
      <c r="BQ288" s="1321"/>
      <c r="BR288" s="1321"/>
      <c r="BS288" s="1321"/>
      <c r="BT288" s="1321"/>
      <c r="BU288" s="1321"/>
      <c r="BV288" s="1345"/>
      <c r="BW288" s="1345"/>
      <c r="BX288" s="1321"/>
      <c r="BY288" s="1321"/>
      <c r="BZ288" s="1321"/>
      <c r="CA288" s="1321"/>
      <c r="CB288" s="1321"/>
      <c r="CC288" s="1321"/>
      <c r="CD288" s="1345"/>
      <c r="CE288" s="1345"/>
      <c r="CF288" s="1345"/>
      <c r="CG288" s="1345"/>
      <c r="CH288" s="1345"/>
      <c r="CI288" s="1321"/>
      <c r="CJ288" s="1321"/>
      <c r="CK288" s="1321"/>
      <c r="CL288" s="1321"/>
      <c r="CM288" s="1321"/>
      <c r="CN288" s="1321"/>
      <c r="CO288" s="1321"/>
      <c r="CP288" s="1321"/>
      <c r="CQ288" s="1321"/>
      <c r="CR288" s="1321"/>
      <c r="CS288" s="1321"/>
      <c r="CT288" s="1321"/>
      <c r="CU288" s="1321"/>
      <c r="CV288" s="1321"/>
      <c r="CW288" s="1321"/>
      <c r="CX288" s="1321"/>
      <c r="CY288" s="1321"/>
      <c r="CZ288" s="1321"/>
      <c r="DA288" s="1321"/>
      <c r="DB288" s="1321"/>
      <c r="DC288" s="1321"/>
      <c r="DD288" s="1321"/>
      <c r="DE288" s="1321"/>
      <c r="DF288" s="1321"/>
      <c r="DG288" s="1321"/>
      <c r="DH288" s="1321"/>
      <c r="DI288" s="1321"/>
      <c r="DJ288" s="1321"/>
      <c r="DK288" s="1321"/>
      <c r="DL288" s="1321"/>
      <c r="DM288" s="1321"/>
      <c r="DN288" s="823" t="s">
        <v>835</v>
      </c>
      <c r="DO288" s="824">
        <f>DR40*SUM(TotalAgneaux)*SUM(NbreJoursNourrirOvins)</f>
        <v>0</v>
      </c>
      <c r="DP288" s="825">
        <f>DR40*SUM(TotalAgneauxRacesLaitières)*SUM(NbreJoursNourrirOvins)</f>
        <v>0</v>
      </c>
      <c r="DQ288" s="1321"/>
      <c r="DR288" s="1321"/>
      <c r="DS288" s="1345"/>
      <c r="DT288" s="1346"/>
      <c r="DU288" s="1346"/>
      <c r="DV288" s="1321"/>
      <c r="DW288" s="1321"/>
      <c r="DX288" s="1321"/>
      <c r="DY288" s="1321"/>
      <c r="DZ288" s="1321"/>
      <c r="EA288" s="1321"/>
      <c r="EB288" s="1321"/>
      <c r="EC288" s="1321"/>
      <c r="ED288" s="1345"/>
      <c r="EE288" s="1345"/>
      <c r="EF288" s="1321"/>
      <c r="EG288" s="1321"/>
      <c r="EH288" s="1321"/>
      <c r="EI288" s="1321"/>
      <c r="EJ288" s="1321"/>
      <c r="EK288" s="1345"/>
      <c r="EL288" s="1345"/>
      <c r="EM288" s="1321"/>
      <c r="EN288" s="1321"/>
      <c r="EO288" s="1321"/>
      <c r="EP288" s="1321"/>
      <c r="EQ288" s="1321"/>
      <c r="ER288" s="1345"/>
      <c r="ES288" s="1345"/>
      <c r="ET288" s="1321"/>
      <c r="EU288" s="1321"/>
      <c r="EV288" s="1321"/>
      <c r="EW288" s="1321"/>
      <c r="EX288" s="1321"/>
      <c r="EY288" s="1321"/>
      <c r="EZ288" s="1345"/>
      <c r="FA288" s="1345"/>
      <c r="FB288" s="1345"/>
      <c r="FC288" s="1321"/>
      <c r="FD288" s="1321"/>
      <c r="FE288" s="1321"/>
      <c r="FF288" s="1321"/>
      <c r="FG288" s="1321"/>
      <c r="FH288" s="1321"/>
      <c r="FI288" s="1345"/>
      <c r="FJ288" s="1345"/>
      <c r="FK288" s="1345"/>
      <c r="FL288" s="1345"/>
      <c r="FM288" s="1321"/>
      <c r="FN288" s="1321"/>
      <c r="FO288" s="1321"/>
      <c r="FP288" s="1321"/>
      <c r="FQ288" s="1321"/>
      <c r="FR288" s="1321"/>
      <c r="FS288" s="1345"/>
      <c r="FT288" s="1345"/>
      <c r="FU288" s="1345"/>
      <c r="FV288" s="1345"/>
      <c r="FW288" s="1321"/>
      <c r="FX288" s="1321"/>
      <c r="FY288" s="1321"/>
      <c r="FZ288" s="1321"/>
      <c r="GA288" s="1345"/>
      <c r="GB288" s="1321"/>
      <c r="GC288" s="1321"/>
      <c r="GD288" s="1321"/>
      <c r="GE288" s="1321"/>
      <c r="GF288" s="1321"/>
      <c r="GG288" s="1321" t="s">
        <v>1349</v>
      </c>
      <c r="GH288" s="1321" t="s">
        <v>1349</v>
      </c>
      <c r="GI288" s="1321" t="s">
        <v>1349</v>
      </c>
      <c r="GJ288" s="1321" t="s">
        <v>1349</v>
      </c>
      <c r="GK288" s="1321" t="s">
        <v>1349</v>
      </c>
      <c r="GL288" s="1321" t="s">
        <v>1349</v>
      </c>
      <c r="GM288" s="1321" t="s">
        <v>1349</v>
      </c>
      <c r="GN288" s="1321" t="s">
        <v>1349</v>
      </c>
      <c r="GO288" s="1321" t="s">
        <v>1349</v>
      </c>
      <c r="GP288" s="1321" t="s">
        <v>1349</v>
      </c>
      <c r="GQ288" s="1321" t="s">
        <v>1349</v>
      </c>
      <c r="GR288" s="1321" t="s">
        <v>1349</v>
      </c>
      <c r="GS288" s="1321" t="s">
        <v>1349</v>
      </c>
      <c r="GT288" s="1321" t="s">
        <v>1349</v>
      </c>
      <c r="GU288" s="1321" t="s">
        <v>1349</v>
      </c>
      <c r="GV288" s="1321" t="s">
        <v>1349</v>
      </c>
      <c r="GW288" s="1321"/>
      <c r="GX288" s="1321"/>
      <c r="GY288" s="1321"/>
      <c r="GZ288" s="1321"/>
      <c r="HA288" s="1321"/>
      <c r="HB288" s="1321"/>
      <c r="HC288" s="1321"/>
      <c r="HD288" s="1321"/>
      <c r="HE288" s="1321"/>
      <c r="HF288" s="1321"/>
      <c r="HG288" s="1321"/>
      <c r="HH288" s="1321"/>
      <c r="HI288" s="1321"/>
      <c r="HJ288" s="1321"/>
      <c r="HK288" s="1321"/>
      <c r="HL288" s="1321"/>
      <c r="HM288" s="1321"/>
      <c r="HN288" s="1321"/>
      <c r="HO288" s="1321"/>
      <c r="HP288" s="1321"/>
      <c r="HQ288" s="1321"/>
      <c r="HR288" s="1321"/>
      <c r="HS288" s="1321"/>
      <c r="HT288" s="1321"/>
      <c r="HU288" s="1321"/>
      <c r="HV288" s="1321"/>
      <c r="HW288" s="1321"/>
      <c r="HX288" s="1321"/>
      <c r="HY288" s="1321"/>
      <c r="HZ288" s="1321"/>
      <c r="IA288" s="1321"/>
      <c r="IB288" s="1321"/>
      <c r="IC288" s="1321"/>
      <c r="ID288" s="1321"/>
      <c r="IE288" s="1321"/>
      <c r="IF288" s="1321"/>
      <c r="IG288" s="1321"/>
      <c r="IH288" s="1321"/>
      <c r="II288" s="1321"/>
      <c r="IJ288" s="1321"/>
      <c r="IK288" s="1321"/>
      <c r="IL288" s="1321"/>
      <c r="IM288" s="1321"/>
      <c r="IN288" s="1368"/>
    </row>
    <row r="289" spans="1:248" ht="12.75" customHeight="1" x14ac:dyDescent="0.2">
      <c r="A289" s="1319"/>
      <c r="B289" s="1321"/>
      <c r="C289" s="1321"/>
      <c r="D289" s="1321"/>
      <c r="E289" s="1321"/>
      <c r="F289" s="1321"/>
      <c r="G289" s="1321"/>
      <c r="H289" s="1321"/>
      <c r="I289" s="1321"/>
      <c r="J289" s="1321"/>
      <c r="K289" s="1321"/>
      <c r="L289" s="1321"/>
      <c r="M289" s="1321"/>
      <c r="N289" s="1321"/>
      <c r="O289" s="1321"/>
      <c r="P289" s="1321"/>
      <c r="Q289" s="1321"/>
      <c r="R289" s="1321"/>
      <c r="S289" s="1321"/>
      <c r="T289" s="1321"/>
      <c r="U289" s="1321"/>
      <c r="V289" s="1321"/>
      <c r="W289" s="1321"/>
      <c r="X289" s="1321"/>
      <c r="Y289" s="1321"/>
      <c r="Z289" s="1321"/>
      <c r="AA289" s="1321"/>
      <c r="AB289" s="1321"/>
      <c r="AC289" s="1321"/>
      <c r="AD289" s="1321"/>
      <c r="AE289" s="1321"/>
      <c r="AF289" s="1321"/>
      <c r="AG289" s="1321"/>
      <c r="AH289" s="1321"/>
      <c r="AI289" s="1321"/>
      <c r="AJ289" s="1321"/>
      <c r="AK289" s="1321"/>
      <c r="AL289" s="1321"/>
      <c r="AM289" s="1321"/>
      <c r="AN289" s="1321"/>
      <c r="AO289" s="1321"/>
      <c r="AP289" s="1321"/>
      <c r="AQ289" s="1321"/>
      <c r="AR289" s="1321"/>
      <c r="AS289" s="1321"/>
      <c r="AT289" s="1321"/>
      <c r="AU289" s="1321"/>
      <c r="AV289" s="1321"/>
      <c r="AW289" s="1321"/>
      <c r="AX289" s="1321"/>
      <c r="AY289" s="1321"/>
      <c r="AZ289" s="1321"/>
      <c r="BA289" s="1321"/>
      <c r="BB289" s="1075" t="str">
        <f t="shared" si="79"/>
        <v>Canola</v>
      </c>
      <c r="BC289" s="1075">
        <f t="array" ref="BC289">IFERROR(IF(OR(AND(INDEX(Règles_bovins[Specificite],MATCH(RationHivernaleBovinsAuPré&amp;$BB289,Règles_bovins[Ration]&amp;Règles_bovins[Aliment],0))="s1",IF($BB289=Spécificité1Bovins,1)),
AND(INDEX(Règles_bovins[Specificite],MATCH(RationHivernaleBovinsAuPré&amp;$BB289,Règles_bovins[Ration]&amp;Règles_bovins[Aliment],0))="s2",IF($BB289=Spécificité2Bovins,1)),
INDEX(Règles_bovins[Specificite],MATCH(RationHivernaleBovinsAuPré&amp;$BB289,Règles_bovins[Ration]&amp;Règles_bovins[Aliment],0))="c"),
INDEX(Règles_bovins[Valeur 36 et plus],MATCH(RationHivernaleBovinsAuPré&amp;$BB289,Règles_bovins[Ration]&amp;Règles_bovins[Aliment],0)),0),0)*IF(SUM(TotalBovinsAdultesAuPré)&gt;0,SUM(TotalBovinsAdultesAuPré),SUM(TotalBovinsAdultes))*35</f>
        <v>0</v>
      </c>
      <c r="BD289" s="1075">
        <f t="array" ref="BD289">IFERROR(IF(OR(AND(INDEX(Règles_bovins[Specificite],MATCH(RationHivernaleBovinsAuPré&amp;$BB289,Règles_bovins[Ration]&amp;Règles_bovins[Aliment],0))="s1",IF($BB289=Spécificité1Bovins,1)),
AND(INDEX(Règles_bovins[Specificite],MATCH(RationHivernaleBovinsAuPré&amp;$BB289,Règles_bovins[Ration]&amp;Règles_bovins[Aliment],0))="s2",IF($BB289=Spécificité2Bovins,1)),
INDEX(Règles_bovins[Specificite],MATCH(RationHivernaleBovinsAuPré&amp;$BB289,Règles_bovins[Ration]&amp;Règles_bovins[Aliment],0))="c"),
INDEX(Règles_bovins[Valeur 24-36],MATCH(RationHivernaleBovinsAuPré&amp;$BB289,Règles_bovins[Ration]&amp;Règles_bovins[Aliment],0)),0),0)*IF(SUM(TotalBovins_24_36moisAuPré)&gt;0,SUM(TotalBovins_24_36moisAuPré),SUM(TotalBovins_24_36mois))*35</f>
        <v>0</v>
      </c>
      <c r="BE289" s="1075">
        <f t="array" ref="BE289">IFERROR(IF(OR(AND(INDEX(Règles_bovins[Specificite],MATCH(RationHivernaleBovinsAuPré&amp;$BB289,Règles_bovins[Ration]&amp;Règles_bovins[Aliment],0))="s1",IF($BB289=Spécificité1Bovins,1)),
AND(INDEX(Règles_bovins[Specificite],MATCH(RationHivernaleBovinsAuPré&amp;$BB289,Règles_bovins[Ration]&amp;Règles_bovins[Aliment],0))="s2",IF($BB289=Spécificité2Bovins,1)),
INDEX(Règles_bovins[Specificite],MATCH(RationHivernaleBovinsAuPré&amp;$BB289,Règles_bovins[Ration]&amp;Règles_bovins[Aliment],0))="c"),
INDEX(Règles_bovins[Valeur 18-24],MATCH(RationHivernaleBovinsAuPré&amp;$BB289,Règles_bovins[Ration]&amp;Règles_bovins[Aliment],0)),0),0)*IF(SUM(TotalBovins_18_24moisAuPré)&gt;0,SUM(TotalBovins_18_24moisAuPré),SUM(TotalBovins_18_24mois))*35</f>
        <v>0</v>
      </c>
      <c r="BF289" s="1075">
        <f t="array" ref="BF289">IFERROR(IF(OR(AND(INDEX(Règles_bovins[Specificite],MATCH(RationHivernaleBovinsAuPré&amp;$BB289,Règles_bovins[Ration]&amp;Règles_bovins[Aliment],0))="s1",IF($BB289=Spécificité1Bovins,1)),
AND(INDEX(Règles_bovins[Specificite],MATCH(RationHivernaleBovinsAuPré&amp;$BB289,Règles_bovins[Ration]&amp;Règles_bovins[Aliment],0))="s2",IF($BB289=Spécificité2Bovins,1)),
INDEX(Règles_bovins[Specificite],MATCH(RationHivernaleBovinsAuPré&amp;$BB289,Règles_bovins[Ration]&amp;Règles_bovins[Aliment],0))="c"),
INDEX(Règles_bovins[Valeur 12-18],MATCH(RationHivernaleBovinsAuPré&amp;$BB289,Règles_bovins[Ration]&amp;Règles_bovins[Aliment],0)),0),0)*IF(SUM(TotalBovins_12_18moisAuPré)&gt;0,SUM(TotalBovins_12_18moisAuPré),SUM(TotalBovins_12_18mois))*35</f>
        <v>0</v>
      </c>
      <c r="BG289" s="1075">
        <f t="array" ref="BG289">IFERROR(IF(OR(AND(INDEX(Règles_bovins[Specificite],MATCH(RationHivernaleBovinsAuPré&amp;$BB289,Règles_bovins[Ration]&amp;Règles_bovins[Aliment],0))="s1",IF($BB289=Spécificité1Bovins,1)),
AND(INDEX(Règles_bovins[Specificite],MATCH(RationHivernaleBovinsAuPré&amp;$BB289,Règles_bovins[Ration]&amp;Règles_bovins[Aliment],0))="s2",IF($BB289=Spécificité2Bovins,1)),
INDEX(Règles_bovins[Specificite],MATCH(RationHivernaleBovinsAuPré&amp;$BB289,Règles_bovins[Ration]&amp;Règles_bovins[Aliment],0))="c"),
INDEX(Règles_bovins[Valeur 6-12],MATCH(RationHivernaleBovinsAuPré&amp;$BB289,Règles_bovins[Ration]&amp;Règles_bovins[Aliment],0)),0),0)*IF(SUM(TotalBovins_6_12moisAuPré)&gt;0,SUM(TotalBovins_6_12moisAuPré),SUM(TotalBovins_6_12mois))*35</f>
        <v>0</v>
      </c>
      <c r="BH289" s="1075">
        <f t="array" ref="BH289">IFERROR(IF(OR(AND(INDEX(Règles_bovins[Specificite],MATCH(RationHivernaleBovinsAuPré&amp;$BB289,Règles_bovins[Ration]&amp;Règles_bovins[Aliment],0))="s1",IF($BB289=Spécificité1Bovins,1)),
AND(INDEX(Règles_bovins[Specificite],MATCH(RationHivernaleBovinsAuPré&amp;$BB289,Règles_bovins[Ration]&amp;Règles_bovins[Aliment],0))="s2",IF($BB289=Spécificité2Bovins,1)),
INDEX(Règles_bovins[Specificite],MATCH(RationHivernaleBovinsAuPré&amp;$BB289,Règles_bovins[Ration]&amp;Règles_bovins[Aliment],0))="c"),
INDEX(Règles_bovins[Valeur 3-6],MATCH(RationHivernaleBovinsAuPré&amp;$BB289,Règles_bovins[Ration]&amp;Règles_bovins[Aliment],0)),0),0)*IF(SUM(TotalBovins_3_6moisAuPré)&gt;0,SUM(TotalBovins_3_6moisAuPré),SUM(TotalBovins_3_6mois))*35</f>
        <v>0</v>
      </c>
      <c r="BI289" s="1075">
        <f t="array" ref="BI289">IFERROR(IF(OR(AND(INDEX(Règles_bovins[Specificite],MATCH(RationHivernaleBovinsAuPré&amp;$BB289,Règles_bovins[Ration]&amp;Règles_bovins[Aliment],0))="s1",IF($BB289=Spécificité1Bovins,1)),
AND(INDEX(Règles_bovins[Specificite],MATCH(RationHivernaleBovinsAuPré&amp;$BB289,Règles_bovins[Ration]&amp;Règles_bovins[Aliment],0))="s2",IF($BB289=Spécificité2Bovins,1)),
INDEX(Règles_bovins[Specificite],MATCH(RationHivernaleBovinsAuPré&amp;$BB289,Règles_bovins[Ration]&amp;Règles_bovins[Aliment],0))="c"),
INDEX(Règles_bovins[Valeur 0-3],MATCH(RationHivernaleBovinsAuPré&amp;$BB289,Règles_bovins[Ration]&amp;Règles_bovins[Aliment],0)),0),0)*IF(SUM(TotalBovins_0_3moisAuPré)&gt;0,SUM(TotalBovins_0_3moisAuPré),SUM(TotalBovins_0_3mois))*35</f>
        <v>0</v>
      </c>
      <c r="BJ289" s="1270">
        <f t="shared" si="78"/>
        <v>0</v>
      </c>
      <c r="BK289" s="1345"/>
      <c r="BL289" s="1345"/>
      <c r="BM289" s="1346"/>
      <c r="BN289" s="1321"/>
      <c r="BO289" s="1321"/>
      <c r="BP289" s="1321"/>
      <c r="BQ289" s="1321"/>
      <c r="BR289" s="1321"/>
      <c r="BS289" s="1321"/>
      <c r="BT289" s="1321"/>
      <c r="BU289" s="1321"/>
      <c r="BV289" s="1345"/>
      <c r="BW289" s="1345"/>
      <c r="BX289" s="1321"/>
      <c r="BY289" s="1321"/>
      <c r="BZ289" s="1321"/>
      <c r="CA289" s="1321"/>
      <c r="CB289" s="1321"/>
      <c r="CC289" s="1321"/>
      <c r="CD289" s="1345"/>
      <c r="CE289" s="1345"/>
      <c r="CF289" s="1345"/>
      <c r="CG289" s="1345"/>
      <c r="CH289" s="1345"/>
      <c r="CI289" s="1321"/>
      <c r="CJ289" s="1321"/>
      <c r="CK289" s="1321"/>
      <c r="CL289" s="1321"/>
      <c r="CM289" s="1321"/>
      <c r="CN289" s="1321"/>
      <c r="CO289" s="1321"/>
      <c r="CP289" s="1321"/>
      <c r="CQ289" s="1321"/>
      <c r="CR289" s="1321"/>
      <c r="CS289" s="1321"/>
      <c r="CT289" s="1321"/>
      <c r="CU289" s="1321"/>
      <c r="CV289" s="1321"/>
      <c r="CW289" s="1321"/>
      <c r="CX289" s="1321"/>
      <c r="CY289" s="1321"/>
      <c r="CZ289" s="1321"/>
      <c r="DA289" s="1321"/>
      <c r="DB289" s="1321"/>
      <c r="DC289" s="1321"/>
      <c r="DD289" s="1321"/>
      <c r="DE289" s="1321"/>
      <c r="DF289" s="1321"/>
      <c r="DG289" s="1321"/>
      <c r="DH289" s="1321"/>
      <c r="DI289" s="1321"/>
      <c r="DJ289" s="1321"/>
      <c r="DK289" s="1321"/>
      <c r="DL289" s="1321"/>
      <c r="DM289" s="1321"/>
      <c r="DN289" s="809" t="s">
        <v>1369</v>
      </c>
      <c r="DO289" s="826">
        <f>IF(AND(OR(ChoixOvinsPréHiver=NON,ChoixOvinsPréHiver=""),ChoixPaillageOvins=OUI),SUBTOTAL(109,LitièreOvins[litière tout ovins]),0)</f>
        <v>0</v>
      </c>
      <c r="DP289" s="810">
        <f>IF(AND(ChoixOvinsPréHiver=OUI,ChoixPaillageOvins=OUI),SUBTOTAL(109,LitièreOvins[litière ovins races laitières]),0)</f>
        <v>0</v>
      </c>
      <c r="DQ289" s="1321"/>
      <c r="DR289" s="1321"/>
      <c r="DS289" s="1321"/>
      <c r="DT289" s="1346"/>
      <c r="DU289" s="1346"/>
      <c r="DV289" s="1321"/>
      <c r="DW289" s="1321"/>
      <c r="DX289" s="1321"/>
      <c r="DY289" s="1321"/>
      <c r="DZ289" s="1321"/>
      <c r="EA289" s="1321"/>
      <c r="EB289" s="1321"/>
      <c r="EC289" s="1321"/>
      <c r="ED289" s="1345"/>
      <c r="EE289" s="1345"/>
      <c r="EF289" s="1321"/>
      <c r="EG289" s="1321"/>
      <c r="EH289" s="1321"/>
      <c r="EI289" s="1321"/>
      <c r="EJ289" s="1321"/>
      <c r="EK289" s="1345"/>
      <c r="EL289" s="1345"/>
      <c r="EM289" s="1321"/>
      <c r="EN289" s="1321"/>
      <c r="EO289" s="1321"/>
      <c r="EP289" s="1321"/>
      <c r="EQ289" s="1321"/>
      <c r="ER289" s="1345"/>
      <c r="ES289" s="1345"/>
      <c r="ET289" s="1321"/>
      <c r="EU289" s="1321"/>
      <c r="EV289" s="1321"/>
      <c r="EW289" s="1321"/>
      <c r="EX289" s="1321"/>
      <c r="EY289" s="1321"/>
      <c r="EZ289" s="1345"/>
      <c r="FA289" s="1345"/>
      <c r="FB289" s="1345"/>
      <c r="FC289" s="1321"/>
      <c r="FD289" s="1321"/>
      <c r="FE289" s="1321"/>
      <c r="FF289" s="1321"/>
      <c r="FG289" s="1321"/>
      <c r="FH289" s="1321"/>
      <c r="FI289" s="1345"/>
      <c r="FJ289" s="1345"/>
      <c r="FK289" s="1345"/>
      <c r="FL289" s="1345"/>
      <c r="FM289" s="1321"/>
      <c r="FN289" s="1321"/>
      <c r="FO289" s="1321"/>
      <c r="FP289" s="1321"/>
      <c r="FQ289" s="1321"/>
      <c r="FR289" s="1321"/>
      <c r="FS289" s="1345"/>
      <c r="FT289" s="1345"/>
      <c r="FU289" s="1345"/>
      <c r="FV289" s="1345"/>
      <c r="FW289" s="1321"/>
      <c r="FX289" s="1321"/>
      <c r="FY289" s="1321"/>
      <c r="FZ289" s="1321"/>
      <c r="GA289" s="1345"/>
      <c r="GB289" s="1321"/>
      <c r="GC289" s="1321"/>
      <c r="GD289" s="1321"/>
      <c r="GE289" s="1321"/>
      <c r="GF289" s="1321"/>
      <c r="GG289" s="1321" t="s">
        <v>1349</v>
      </c>
      <c r="GH289" s="1321" t="s">
        <v>1349</v>
      </c>
      <c r="GI289" s="1321" t="s">
        <v>1349</v>
      </c>
      <c r="GJ289" s="1321" t="s">
        <v>1349</v>
      </c>
      <c r="GK289" s="1321" t="s">
        <v>1349</v>
      </c>
      <c r="GL289" s="1321" t="s">
        <v>1349</v>
      </c>
      <c r="GM289" s="1321" t="s">
        <v>1349</v>
      </c>
      <c r="GN289" s="1321" t="s">
        <v>1349</v>
      </c>
      <c r="GO289" s="1321" t="s">
        <v>1349</v>
      </c>
      <c r="GP289" s="1321" t="s">
        <v>1349</v>
      </c>
      <c r="GQ289" s="1321" t="s">
        <v>1349</v>
      </c>
      <c r="GR289" s="1321" t="s">
        <v>1349</v>
      </c>
      <c r="GS289" s="1321" t="s">
        <v>1349</v>
      </c>
      <c r="GT289" s="1321" t="s">
        <v>1349</v>
      </c>
      <c r="GU289" s="1321" t="s">
        <v>1349</v>
      </c>
      <c r="GV289" s="1321" t="s">
        <v>1349</v>
      </c>
      <c r="GW289" s="1321"/>
      <c r="GX289" s="1321"/>
      <c r="GY289" s="1321"/>
      <c r="GZ289" s="1321"/>
      <c r="HA289" s="1321"/>
      <c r="HB289" s="1321"/>
      <c r="HC289" s="1321"/>
      <c r="HD289" s="1321"/>
      <c r="HE289" s="1321"/>
      <c r="HF289" s="1321"/>
      <c r="HG289" s="1321"/>
      <c r="HH289" s="1321"/>
      <c r="HI289" s="1321"/>
      <c r="HJ289" s="1321"/>
      <c r="HK289" s="1321"/>
      <c r="HL289" s="1321"/>
      <c r="HM289" s="1321"/>
      <c r="HN289" s="1321"/>
      <c r="HO289" s="1321"/>
      <c r="HP289" s="1321"/>
      <c r="HQ289" s="1321"/>
      <c r="HR289" s="1321"/>
      <c r="HS289" s="1321"/>
      <c r="HT289" s="1321"/>
      <c r="HU289" s="1321"/>
      <c r="HV289" s="1321"/>
      <c r="HW289" s="1321"/>
      <c r="HX289" s="1321"/>
      <c r="HY289" s="1321"/>
      <c r="HZ289" s="1321"/>
      <c r="IA289" s="1321"/>
      <c r="IB289" s="1321"/>
      <c r="IC289" s="1321"/>
      <c r="ID289" s="1321"/>
      <c r="IE289" s="1321"/>
      <c r="IF289" s="1321"/>
      <c r="IG289" s="1321"/>
      <c r="IH289" s="1321"/>
      <c r="II289" s="1321"/>
      <c r="IJ289" s="1321"/>
      <c r="IK289" s="1321"/>
      <c r="IL289" s="1321"/>
      <c r="IM289" s="1321"/>
      <c r="IN289" s="1368"/>
    </row>
    <row r="290" spans="1:248" ht="12.75" customHeight="1" x14ac:dyDescent="0.2">
      <c r="A290" s="1319"/>
      <c r="B290" s="1321"/>
      <c r="C290" s="1321"/>
      <c r="D290" s="1321"/>
      <c r="E290" s="1321"/>
      <c r="F290" s="1321"/>
      <c r="G290" s="1321"/>
      <c r="H290" s="1321"/>
      <c r="I290" s="1321"/>
      <c r="J290" s="1321"/>
      <c r="K290" s="1321"/>
      <c r="L290" s="1321"/>
      <c r="M290" s="1321"/>
      <c r="N290" s="1321"/>
      <c r="O290" s="1321"/>
      <c r="P290" s="1321"/>
      <c r="Q290" s="1321"/>
      <c r="R290" s="1321"/>
      <c r="S290" s="1321"/>
      <c r="T290" s="1321"/>
      <c r="U290" s="1321"/>
      <c r="V290" s="1321"/>
      <c r="W290" s="1321"/>
      <c r="X290" s="1321"/>
      <c r="Y290" s="1321"/>
      <c r="Z290" s="1321"/>
      <c r="AA290" s="1321"/>
      <c r="AB290" s="1321"/>
      <c r="AC290" s="1321"/>
      <c r="AD290" s="1321"/>
      <c r="AE290" s="1321"/>
      <c r="AF290" s="1321"/>
      <c r="AG290" s="1321"/>
      <c r="AH290" s="1321"/>
      <c r="AI290" s="1321"/>
      <c r="AJ290" s="1321"/>
      <c r="AK290" s="1321"/>
      <c r="AL290" s="1321"/>
      <c r="AM290" s="1321"/>
      <c r="AN290" s="1321"/>
      <c r="AO290" s="1321"/>
      <c r="AP290" s="1321"/>
      <c r="AQ290" s="1321"/>
      <c r="AR290" s="1321"/>
      <c r="AS290" s="1321"/>
      <c r="AT290" s="1321"/>
      <c r="AU290" s="1321"/>
      <c r="AV290" s="1321"/>
      <c r="AW290" s="1321"/>
      <c r="AX290" s="1321"/>
      <c r="AY290" s="1321"/>
      <c r="AZ290" s="1321"/>
      <c r="BA290" s="1321"/>
      <c r="BB290" s="1076" t="str">
        <f t="shared" si="79"/>
        <v>Colza</v>
      </c>
      <c r="BC290" s="1076">
        <f t="array" ref="BC290">IFERROR(IF(OR(AND(INDEX(Règles_bovins[Specificite],MATCH(RationHivernaleBovinsAuPré&amp;$BB290,Règles_bovins[Ration]&amp;Règles_bovins[Aliment],0))="s1",IF($BB290=Spécificité1Bovins,1)),
AND(INDEX(Règles_bovins[Specificite],MATCH(RationHivernaleBovinsAuPré&amp;$BB290,Règles_bovins[Ration]&amp;Règles_bovins[Aliment],0))="s2",IF($BB290=Spécificité2Bovins,1)),
INDEX(Règles_bovins[Specificite],MATCH(RationHivernaleBovinsAuPré&amp;$BB290,Règles_bovins[Ration]&amp;Règles_bovins[Aliment],0))="c"),
INDEX(Règles_bovins[Valeur 36 et plus],MATCH(RationHivernaleBovinsAuPré&amp;$BB290,Règles_bovins[Ration]&amp;Règles_bovins[Aliment],0)),0),0)*IF(SUM(TotalBovinsAdultesAuPré)&gt;0,SUM(TotalBovinsAdultesAuPré),SUM(TotalBovinsAdultes))*35</f>
        <v>0</v>
      </c>
      <c r="BD290" s="1076">
        <f t="array" ref="BD290">IFERROR(IF(OR(AND(INDEX(Règles_bovins[Specificite],MATCH(RationHivernaleBovinsAuPré&amp;$BB290,Règles_bovins[Ration]&amp;Règles_bovins[Aliment],0))="s1",IF($BB290=Spécificité1Bovins,1)),
AND(INDEX(Règles_bovins[Specificite],MATCH(RationHivernaleBovinsAuPré&amp;$BB290,Règles_bovins[Ration]&amp;Règles_bovins[Aliment],0))="s2",IF($BB290=Spécificité2Bovins,1)),
INDEX(Règles_bovins[Specificite],MATCH(RationHivernaleBovinsAuPré&amp;$BB290,Règles_bovins[Ration]&amp;Règles_bovins[Aliment],0))="c"),
INDEX(Règles_bovins[Valeur 24-36],MATCH(RationHivernaleBovinsAuPré&amp;$BB290,Règles_bovins[Ration]&amp;Règles_bovins[Aliment],0)),0),0)*IF(SUM(TotalBovins_24_36moisAuPré)&gt;0,SUM(TotalBovins_24_36moisAuPré),SUM(TotalBovins_24_36mois))*35</f>
        <v>0</v>
      </c>
      <c r="BE290" s="1076">
        <f t="array" ref="BE290">IFERROR(IF(OR(AND(INDEX(Règles_bovins[Specificite],MATCH(RationHivernaleBovinsAuPré&amp;$BB290,Règles_bovins[Ration]&amp;Règles_bovins[Aliment],0))="s1",IF($BB290=Spécificité1Bovins,1)),
AND(INDEX(Règles_bovins[Specificite],MATCH(RationHivernaleBovinsAuPré&amp;$BB290,Règles_bovins[Ration]&amp;Règles_bovins[Aliment],0))="s2",IF($BB290=Spécificité2Bovins,1)),
INDEX(Règles_bovins[Specificite],MATCH(RationHivernaleBovinsAuPré&amp;$BB290,Règles_bovins[Ration]&amp;Règles_bovins[Aliment],0))="c"),
INDEX(Règles_bovins[Valeur 18-24],MATCH(RationHivernaleBovinsAuPré&amp;$BB290,Règles_bovins[Ration]&amp;Règles_bovins[Aliment],0)),0),0)*IF(SUM(TotalBovins_18_24moisAuPré)&gt;0,SUM(TotalBovins_18_24moisAuPré),SUM(TotalBovins_18_24mois))*35</f>
        <v>0</v>
      </c>
      <c r="BF290" s="1076">
        <f t="array" ref="BF290">IFERROR(IF(OR(AND(INDEX(Règles_bovins[Specificite],MATCH(RationHivernaleBovinsAuPré&amp;$BB290,Règles_bovins[Ration]&amp;Règles_bovins[Aliment],0))="s1",IF($BB290=Spécificité1Bovins,1)),
AND(INDEX(Règles_bovins[Specificite],MATCH(RationHivernaleBovinsAuPré&amp;$BB290,Règles_bovins[Ration]&amp;Règles_bovins[Aliment],0))="s2",IF($BB290=Spécificité2Bovins,1)),
INDEX(Règles_bovins[Specificite],MATCH(RationHivernaleBovinsAuPré&amp;$BB290,Règles_bovins[Ration]&amp;Règles_bovins[Aliment],0))="c"),
INDEX(Règles_bovins[Valeur 12-18],MATCH(RationHivernaleBovinsAuPré&amp;$BB290,Règles_bovins[Ration]&amp;Règles_bovins[Aliment],0)),0),0)*IF(SUM(TotalBovins_12_18moisAuPré)&gt;0,SUM(TotalBovins_12_18moisAuPré),SUM(TotalBovins_12_18mois))*35</f>
        <v>0</v>
      </c>
      <c r="BG290" s="1076">
        <f t="array" ref="BG290">IFERROR(IF(OR(AND(INDEX(Règles_bovins[Specificite],MATCH(RationHivernaleBovinsAuPré&amp;$BB290,Règles_bovins[Ration]&amp;Règles_bovins[Aliment],0))="s1",IF($BB290=Spécificité1Bovins,1)),
AND(INDEX(Règles_bovins[Specificite],MATCH(RationHivernaleBovinsAuPré&amp;$BB290,Règles_bovins[Ration]&amp;Règles_bovins[Aliment],0))="s2",IF($BB290=Spécificité2Bovins,1)),
INDEX(Règles_bovins[Specificite],MATCH(RationHivernaleBovinsAuPré&amp;$BB290,Règles_bovins[Ration]&amp;Règles_bovins[Aliment],0))="c"),
INDEX(Règles_bovins[Valeur 6-12],MATCH(RationHivernaleBovinsAuPré&amp;$BB290,Règles_bovins[Ration]&amp;Règles_bovins[Aliment],0)),0),0)*IF(SUM(TotalBovins_6_12moisAuPré)&gt;0,SUM(TotalBovins_6_12moisAuPré),SUM(TotalBovins_6_12mois))*35</f>
        <v>0</v>
      </c>
      <c r="BH290" s="1076">
        <f t="array" ref="BH290">IFERROR(IF(OR(AND(INDEX(Règles_bovins[Specificite],MATCH(RationHivernaleBovinsAuPré&amp;$BB290,Règles_bovins[Ration]&amp;Règles_bovins[Aliment],0))="s1",IF($BB290=Spécificité1Bovins,1)),
AND(INDEX(Règles_bovins[Specificite],MATCH(RationHivernaleBovinsAuPré&amp;$BB290,Règles_bovins[Ration]&amp;Règles_bovins[Aliment],0))="s2",IF($BB290=Spécificité2Bovins,1)),
INDEX(Règles_bovins[Specificite],MATCH(RationHivernaleBovinsAuPré&amp;$BB290,Règles_bovins[Ration]&amp;Règles_bovins[Aliment],0))="c"),
INDEX(Règles_bovins[Valeur 3-6],MATCH(RationHivernaleBovinsAuPré&amp;$BB290,Règles_bovins[Ration]&amp;Règles_bovins[Aliment],0)),0),0)*IF(SUM(TotalBovins_3_6moisAuPré)&gt;0,SUM(TotalBovins_3_6moisAuPré),SUM(TotalBovins_3_6mois))*35</f>
        <v>0</v>
      </c>
      <c r="BI290" s="1076">
        <f t="array" ref="BI290">IFERROR(IF(OR(AND(INDEX(Règles_bovins[Specificite],MATCH(RationHivernaleBovinsAuPré&amp;$BB290,Règles_bovins[Ration]&amp;Règles_bovins[Aliment],0))="s1",IF($BB290=Spécificité1Bovins,1)),
AND(INDEX(Règles_bovins[Specificite],MATCH(RationHivernaleBovinsAuPré&amp;$BB290,Règles_bovins[Ration]&amp;Règles_bovins[Aliment],0))="s2",IF($BB290=Spécificité2Bovins,1)),
INDEX(Règles_bovins[Specificite],MATCH(RationHivernaleBovinsAuPré&amp;$BB290,Règles_bovins[Ration]&amp;Règles_bovins[Aliment],0))="c"),
INDEX(Règles_bovins[Valeur 0-3],MATCH(RationHivernaleBovinsAuPré&amp;$BB290,Règles_bovins[Ration]&amp;Règles_bovins[Aliment],0)),0),0)*IF(SUM(TotalBovins_0_3moisAuPré)&gt;0,SUM(TotalBovins_0_3moisAuPré),SUM(TotalBovins_0_3mois))*35</f>
        <v>0</v>
      </c>
      <c r="BJ290" s="1268">
        <f t="shared" si="78"/>
        <v>0</v>
      </c>
      <c r="BK290" s="1345"/>
      <c r="BL290" s="1345"/>
      <c r="BM290" s="1346"/>
      <c r="BN290" s="1321"/>
      <c r="BO290" s="1321"/>
      <c r="BP290" s="1321"/>
      <c r="BQ290" s="1321"/>
      <c r="BR290" s="1321"/>
      <c r="BS290" s="1321"/>
      <c r="BT290" s="1321"/>
      <c r="BU290" s="1321"/>
      <c r="BV290" s="1345"/>
      <c r="BW290" s="1345"/>
      <c r="BX290" s="1321"/>
      <c r="BY290" s="1321"/>
      <c r="BZ290" s="1321"/>
      <c r="CA290" s="1321"/>
      <c r="CB290" s="1321"/>
      <c r="CC290" s="1321"/>
      <c r="CD290" s="1345"/>
      <c r="CE290" s="1345"/>
      <c r="CF290" s="1345"/>
      <c r="CG290" s="1345"/>
      <c r="CH290" s="1345"/>
      <c r="CI290" s="1321"/>
      <c r="CJ290" s="1321"/>
      <c r="CK290" s="1321"/>
      <c r="CL290" s="1321"/>
      <c r="CM290" s="1321"/>
      <c r="CN290" s="1321"/>
      <c r="CO290" s="1321"/>
      <c r="CP290" s="1321"/>
      <c r="CQ290" s="1321"/>
      <c r="CR290" s="1321"/>
      <c r="CS290" s="1321"/>
      <c r="CT290" s="1321"/>
      <c r="CU290" s="1321"/>
      <c r="CV290" s="1321"/>
      <c r="CW290" s="1321"/>
      <c r="CX290" s="1321"/>
      <c r="CY290" s="1321"/>
      <c r="CZ290" s="1321"/>
      <c r="DA290" s="1321"/>
      <c r="DB290" s="1321"/>
      <c r="DC290" s="1321"/>
      <c r="DD290" s="1321"/>
      <c r="DE290" s="1321"/>
      <c r="DF290" s="1321"/>
      <c r="DG290" s="1321"/>
      <c r="DH290" s="1321"/>
      <c r="DI290" s="1321"/>
      <c r="DJ290" s="1321"/>
      <c r="DK290" s="1321"/>
      <c r="DL290" s="1321"/>
      <c r="DM290" s="1321"/>
      <c r="DN290" s="1321"/>
      <c r="DO290" s="1321"/>
      <c r="DP290" s="1321"/>
      <c r="DQ290" s="1321"/>
      <c r="DR290" s="1321"/>
      <c r="DS290" s="1321"/>
      <c r="DT290" s="1346"/>
      <c r="DU290" s="1346"/>
      <c r="DV290" s="1321"/>
      <c r="DW290" s="1321"/>
      <c r="DX290" s="1321"/>
      <c r="DY290" s="1321"/>
      <c r="DZ290" s="1321"/>
      <c r="EA290" s="1321"/>
      <c r="EB290" s="1321"/>
      <c r="EC290" s="1321"/>
      <c r="ED290" s="1345"/>
      <c r="EE290" s="1345"/>
      <c r="EF290" s="1321"/>
      <c r="EG290" s="1321"/>
      <c r="EH290" s="1321"/>
      <c r="EI290" s="1321"/>
      <c r="EJ290" s="1321"/>
      <c r="EK290" s="1345"/>
      <c r="EL290" s="1345"/>
      <c r="EM290" s="1321"/>
      <c r="EN290" s="1321"/>
      <c r="EO290" s="1321"/>
      <c r="EP290" s="1321"/>
      <c r="EQ290" s="1321"/>
      <c r="ER290" s="1345"/>
      <c r="ES290" s="1345"/>
      <c r="ET290" s="1321"/>
      <c r="EU290" s="1321"/>
      <c r="EV290" s="1321"/>
      <c r="EW290" s="1321"/>
      <c r="EX290" s="1321"/>
      <c r="EY290" s="1321"/>
      <c r="EZ290" s="1345"/>
      <c r="FA290" s="1345"/>
      <c r="FB290" s="1345"/>
      <c r="FC290" s="1321"/>
      <c r="FD290" s="1321"/>
      <c r="FE290" s="1321"/>
      <c r="FF290" s="1321"/>
      <c r="FG290" s="1321"/>
      <c r="FH290" s="1321"/>
      <c r="FI290" s="1345"/>
      <c r="FJ290" s="1345"/>
      <c r="FK290" s="1345"/>
      <c r="FL290" s="1345"/>
      <c r="FM290" s="1321"/>
      <c r="FN290" s="1321"/>
      <c r="FO290" s="1321"/>
      <c r="FP290" s="1321"/>
      <c r="FQ290" s="1321"/>
      <c r="FR290" s="1321"/>
      <c r="FS290" s="1345"/>
      <c r="FT290" s="1345"/>
      <c r="FU290" s="1345"/>
      <c r="FV290" s="1345"/>
      <c r="FW290" s="1321"/>
      <c r="FX290" s="1321"/>
      <c r="FY290" s="1321"/>
      <c r="FZ290" s="1321"/>
      <c r="GA290" s="1345"/>
      <c r="GB290" s="1321"/>
      <c r="GC290" s="1321"/>
      <c r="GD290" s="1321"/>
      <c r="GE290" s="1321"/>
      <c r="GF290" s="1321"/>
      <c r="GG290" s="1321" t="s">
        <v>1349</v>
      </c>
      <c r="GH290" s="1321" t="s">
        <v>1349</v>
      </c>
      <c r="GI290" s="1321" t="s">
        <v>1349</v>
      </c>
      <c r="GJ290" s="1321" t="s">
        <v>1349</v>
      </c>
      <c r="GK290" s="1321" t="s">
        <v>1349</v>
      </c>
      <c r="GL290" s="1321" t="s">
        <v>1349</v>
      </c>
      <c r="GM290" s="1321" t="s">
        <v>1349</v>
      </c>
      <c r="GN290" s="1321" t="s">
        <v>1349</v>
      </c>
      <c r="GO290" s="1321" t="s">
        <v>1349</v>
      </c>
      <c r="GP290" s="1321" t="s">
        <v>1349</v>
      </c>
      <c r="GQ290" s="1321" t="s">
        <v>1349</v>
      </c>
      <c r="GR290" s="1321" t="s">
        <v>1349</v>
      </c>
      <c r="GS290" s="1321" t="s">
        <v>1349</v>
      </c>
      <c r="GT290" s="1321" t="s">
        <v>1349</v>
      </c>
      <c r="GU290" s="1321" t="s">
        <v>1349</v>
      </c>
      <c r="GV290" s="1321" t="s">
        <v>1349</v>
      </c>
      <c r="GW290" s="1321"/>
      <c r="GX290" s="1321"/>
      <c r="GY290" s="1321"/>
      <c r="GZ290" s="1321"/>
      <c r="HA290" s="1321"/>
      <c r="HB290" s="1321"/>
      <c r="HC290" s="1321"/>
      <c r="HD290" s="1321"/>
      <c r="HE290" s="1321"/>
      <c r="HF290" s="1321"/>
      <c r="HG290" s="1321"/>
      <c r="HH290" s="1321"/>
      <c r="HI290" s="1321"/>
      <c r="HJ290" s="1321"/>
      <c r="HK290" s="1321"/>
      <c r="HL290" s="1321"/>
      <c r="HM290" s="1321"/>
      <c r="HN290" s="1321"/>
      <c r="HO290" s="1321"/>
      <c r="HP290" s="1321"/>
      <c r="HQ290" s="1321"/>
      <c r="HR290" s="1321"/>
      <c r="HS290" s="1321"/>
      <c r="HT290" s="1321"/>
      <c r="HU290" s="1321"/>
      <c r="HV290" s="1321"/>
      <c r="HW290" s="1321"/>
      <c r="HX290" s="1321"/>
      <c r="HY290" s="1321"/>
      <c r="HZ290" s="1321"/>
      <c r="IA290" s="1321"/>
      <c r="IB290" s="1321"/>
      <c r="IC290" s="1321"/>
      <c r="ID290" s="1321"/>
      <c r="IE290" s="1321"/>
      <c r="IF290" s="1321"/>
      <c r="IG290" s="1321"/>
      <c r="IH290" s="1321"/>
      <c r="II290" s="1321"/>
      <c r="IJ290" s="1321"/>
      <c r="IK290" s="1321"/>
      <c r="IL290" s="1321"/>
      <c r="IM290" s="1321"/>
      <c r="IN290" s="1368"/>
    </row>
    <row r="291" spans="1:248" ht="12.75" customHeight="1" x14ac:dyDescent="0.2">
      <c r="A291" s="1319"/>
      <c r="B291" s="1321"/>
      <c r="C291" s="1321"/>
      <c r="D291" s="1321"/>
      <c r="E291" s="1321"/>
      <c r="F291" s="1321"/>
      <c r="G291" s="1321"/>
      <c r="H291" s="1321"/>
      <c r="I291" s="1321"/>
      <c r="J291" s="1321"/>
      <c r="K291" s="1321"/>
      <c r="L291" s="1321"/>
      <c r="M291" s="1321"/>
      <c r="N291" s="1321"/>
      <c r="O291" s="1321"/>
      <c r="P291" s="1321"/>
      <c r="Q291" s="1321"/>
      <c r="R291" s="1321"/>
      <c r="S291" s="1321"/>
      <c r="T291" s="1321"/>
      <c r="U291" s="1321"/>
      <c r="V291" s="1321"/>
      <c r="W291" s="1321"/>
      <c r="X291" s="1321"/>
      <c r="Y291" s="1321"/>
      <c r="Z291" s="1321"/>
      <c r="AA291" s="1321"/>
      <c r="AB291" s="1321"/>
      <c r="AC291" s="1321"/>
      <c r="AD291" s="1321"/>
      <c r="AE291" s="1321"/>
      <c r="AF291" s="1321"/>
      <c r="AG291" s="1321"/>
      <c r="AH291" s="1321"/>
      <c r="AI291" s="1321"/>
      <c r="AJ291" s="1321"/>
      <c r="AK291" s="1321"/>
      <c r="AL291" s="1321"/>
      <c r="AM291" s="1321"/>
      <c r="AN291" s="1321"/>
      <c r="AO291" s="1321"/>
      <c r="AP291" s="1321"/>
      <c r="AQ291" s="1321"/>
      <c r="AR291" s="1321"/>
      <c r="AS291" s="1321"/>
      <c r="AT291" s="1321"/>
      <c r="AU291" s="1321"/>
      <c r="AV291" s="1321"/>
      <c r="AW291" s="1321"/>
      <c r="AX291" s="1321"/>
      <c r="AY291" s="1321"/>
      <c r="AZ291" s="1321"/>
      <c r="BA291" s="1321"/>
      <c r="BB291" s="1075" t="str">
        <f t="shared" si="79"/>
        <v>concentré jeunes bovins</v>
      </c>
      <c r="BC291" s="1075">
        <f t="array" ref="BC291">IFERROR(IF(OR(AND(INDEX(Règles_bovins[Specificite],MATCH(RationHivernaleBovinsAuPré&amp;$BB291,Règles_bovins[Ration]&amp;Règles_bovins[Aliment],0))="s1",IF($BB291=Spécificité1Bovins,1)),
AND(INDEX(Règles_bovins[Specificite],MATCH(RationHivernaleBovinsAuPré&amp;$BB291,Règles_bovins[Ration]&amp;Règles_bovins[Aliment],0))="s2",IF($BB291=Spécificité2Bovins,1)),
INDEX(Règles_bovins[Specificite],MATCH(RationHivernaleBovinsAuPré&amp;$BB291,Règles_bovins[Ration]&amp;Règles_bovins[Aliment],0))="c"),
INDEX(Règles_bovins[Valeur 36 et plus],MATCH(RationHivernaleBovinsAuPré&amp;$BB291,Règles_bovins[Ration]&amp;Règles_bovins[Aliment],0)),0),0)*IF(SUM(TotalBovinsAdultesAuPré)&gt;0,SUM(TotalBovinsAdultesAuPré),SUM(TotalBovinsAdultes))*35</f>
        <v>0</v>
      </c>
      <c r="BD291" s="1075">
        <f t="array" ref="BD291">IFERROR(IF(OR(AND(INDEX(Règles_bovins[Specificite],MATCH(RationHivernaleBovinsAuPré&amp;$BB291,Règles_bovins[Ration]&amp;Règles_bovins[Aliment],0))="s1",IF($BB291=Spécificité1Bovins,1)),
AND(INDEX(Règles_bovins[Specificite],MATCH(RationHivernaleBovinsAuPré&amp;$BB291,Règles_bovins[Ration]&amp;Règles_bovins[Aliment],0))="s2",IF($BB291=Spécificité2Bovins,1)),
INDEX(Règles_bovins[Specificite],MATCH(RationHivernaleBovinsAuPré&amp;$BB291,Règles_bovins[Ration]&amp;Règles_bovins[Aliment],0))="c"),
INDEX(Règles_bovins[Valeur 24-36],MATCH(RationHivernaleBovinsAuPré&amp;$BB291,Règles_bovins[Ration]&amp;Règles_bovins[Aliment],0)),0),0)*IF(SUM(TotalBovins_24_36moisAuPré)&gt;0,SUM(TotalBovins_24_36moisAuPré),SUM(TotalBovins_24_36mois))*35</f>
        <v>0</v>
      </c>
      <c r="BE291" s="1075">
        <f t="array" ref="BE291">IFERROR(IF(OR(AND(INDEX(Règles_bovins[Specificite],MATCH(RationHivernaleBovinsAuPré&amp;$BB291,Règles_bovins[Ration]&amp;Règles_bovins[Aliment],0))="s1",IF($BB291=Spécificité1Bovins,1)),
AND(INDEX(Règles_bovins[Specificite],MATCH(RationHivernaleBovinsAuPré&amp;$BB291,Règles_bovins[Ration]&amp;Règles_bovins[Aliment],0))="s2",IF($BB291=Spécificité2Bovins,1)),
INDEX(Règles_bovins[Specificite],MATCH(RationHivernaleBovinsAuPré&amp;$BB291,Règles_bovins[Ration]&amp;Règles_bovins[Aliment],0))="c"),
INDEX(Règles_bovins[Valeur 18-24],MATCH(RationHivernaleBovinsAuPré&amp;$BB291,Règles_bovins[Ration]&amp;Règles_bovins[Aliment],0)),0),0)*IF(SUM(TotalBovins_18_24moisAuPré)&gt;0,SUM(TotalBovins_18_24moisAuPré),SUM(TotalBovins_18_24mois))*35</f>
        <v>0</v>
      </c>
      <c r="BF291" s="1075">
        <f t="array" ref="BF291">IFERROR(IF(OR(AND(INDEX(Règles_bovins[Specificite],MATCH(RationHivernaleBovinsAuPré&amp;$BB291,Règles_bovins[Ration]&amp;Règles_bovins[Aliment],0))="s1",IF($BB291=Spécificité1Bovins,1)),
AND(INDEX(Règles_bovins[Specificite],MATCH(RationHivernaleBovinsAuPré&amp;$BB291,Règles_bovins[Ration]&amp;Règles_bovins[Aliment],0))="s2",IF($BB291=Spécificité2Bovins,1)),
INDEX(Règles_bovins[Specificite],MATCH(RationHivernaleBovinsAuPré&amp;$BB291,Règles_bovins[Ration]&amp;Règles_bovins[Aliment],0))="c"),
INDEX(Règles_bovins[Valeur 12-18],MATCH(RationHivernaleBovinsAuPré&amp;$BB291,Règles_bovins[Ration]&amp;Règles_bovins[Aliment],0)),0),0)*IF(SUM(TotalBovins_12_18moisAuPré)&gt;0,SUM(TotalBovins_12_18moisAuPré),SUM(TotalBovins_12_18mois))*35</f>
        <v>0</v>
      </c>
      <c r="BG291" s="1075">
        <f t="array" ref="BG291">IFERROR(IF(OR(AND(INDEX(Règles_bovins[Specificite],MATCH(RationHivernaleBovinsAuPré&amp;$BB291,Règles_bovins[Ration]&amp;Règles_bovins[Aliment],0))="s1",IF($BB291=Spécificité1Bovins,1)),
AND(INDEX(Règles_bovins[Specificite],MATCH(RationHivernaleBovinsAuPré&amp;$BB291,Règles_bovins[Ration]&amp;Règles_bovins[Aliment],0))="s2",IF($BB291=Spécificité2Bovins,1)),
INDEX(Règles_bovins[Specificite],MATCH(RationHivernaleBovinsAuPré&amp;$BB291,Règles_bovins[Ration]&amp;Règles_bovins[Aliment],0))="c"),
INDEX(Règles_bovins[Valeur 6-12],MATCH(RationHivernaleBovinsAuPré&amp;$BB291,Règles_bovins[Ration]&amp;Règles_bovins[Aliment],0)),0),0)*IF(SUM(TotalBovins_6_12moisAuPré)&gt;0,SUM(TotalBovins_6_12moisAuPré),SUM(TotalBovins_6_12mois))*35</f>
        <v>0</v>
      </c>
      <c r="BH291" s="1075">
        <f t="array" ref="BH291">IFERROR(IF(OR(AND(INDEX(Règles_bovins[Specificite],MATCH(RationHivernaleBovinsAuPré&amp;$BB291,Règles_bovins[Ration]&amp;Règles_bovins[Aliment],0))="s1",IF($BB291=Spécificité1Bovins,1)),
AND(INDEX(Règles_bovins[Specificite],MATCH(RationHivernaleBovinsAuPré&amp;$BB291,Règles_bovins[Ration]&amp;Règles_bovins[Aliment],0))="s2",IF($BB291=Spécificité2Bovins,1)),
INDEX(Règles_bovins[Specificite],MATCH(RationHivernaleBovinsAuPré&amp;$BB291,Règles_bovins[Ration]&amp;Règles_bovins[Aliment],0))="c"),
INDEX(Règles_bovins[Valeur 3-6],MATCH(RationHivernaleBovinsAuPré&amp;$BB291,Règles_bovins[Ration]&amp;Règles_bovins[Aliment],0)),0),0)*IF(SUM(TotalBovins_3_6moisAuPré)&gt;0,SUM(TotalBovins_3_6moisAuPré),SUM(TotalBovins_3_6mois))*35</f>
        <v>0</v>
      </c>
      <c r="BI291" s="1075">
        <f t="array" ref="BI291">IFERROR(IF(OR(AND(INDEX(Règles_bovins[Specificite],MATCH(RationHivernaleBovinsAuPré&amp;$BB291,Règles_bovins[Ration]&amp;Règles_bovins[Aliment],0))="s1",IF($BB291=Spécificité1Bovins,1)),
AND(INDEX(Règles_bovins[Specificite],MATCH(RationHivernaleBovinsAuPré&amp;$BB291,Règles_bovins[Ration]&amp;Règles_bovins[Aliment],0))="s2",IF($BB291=Spécificité2Bovins,1)),
INDEX(Règles_bovins[Specificite],MATCH(RationHivernaleBovinsAuPré&amp;$BB291,Règles_bovins[Ration]&amp;Règles_bovins[Aliment],0))="c"),
INDEX(Règles_bovins[Valeur 0-3],MATCH(RationHivernaleBovinsAuPré&amp;$BB291,Règles_bovins[Ration]&amp;Règles_bovins[Aliment],0)),0),0)*IF(SUM(TotalBovins_0_3moisAuPré)&gt;0,SUM(TotalBovins_0_3moisAuPré),SUM(TotalBovins_0_3mois))*35</f>
        <v>0</v>
      </c>
      <c r="BJ291" s="1270">
        <f t="shared" si="78"/>
        <v>0</v>
      </c>
      <c r="BK291" s="1345"/>
      <c r="BL291" s="1345"/>
      <c r="BM291" s="1346"/>
      <c r="BN291" s="1321"/>
      <c r="BO291" s="1321"/>
      <c r="BP291" s="1321"/>
      <c r="BQ291" s="1321"/>
      <c r="BR291" s="1321"/>
      <c r="BS291" s="1321"/>
      <c r="BT291" s="1321"/>
      <c r="BU291" s="1321"/>
      <c r="BV291" s="1345"/>
      <c r="BW291" s="1345"/>
      <c r="BX291" s="1321"/>
      <c r="BY291" s="1321"/>
      <c r="BZ291" s="1321"/>
      <c r="CA291" s="1321"/>
      <c r="CB291" s="1321"/>
      <c r="CC291" s="1321"/>
      <c r="CD291" s="1345"/>
      <c r="CE291" s="1345"/>
      <c r="CF291" s="1345"/>
      <c r="CG291" s="1345"/>
      <c r="CH291" s="1345"/>
      <c r="CI291" s="1321"/>
      <c r="CJ291" s="1321"/>
      <c r="CK291" s="1321"/>
      <c r="CL291" s="1321"/>
      <c r="CM291" s="1321"/>
      <c r="CN291" s="1321"/>
      <c r="CO291" s="1321"/>
      <c r="CP291" s="1321"/>
      <c r="CQ291" s="1321"/>
      <c r="CR291" s="1321"/>
      <c r="CS291" s="1321"/>
      <c r="CT291" s="1321"/>
      <c r="CU291" s="1321"/>
      <c r="CV291" s="1321"/>
      <c r="CW291" s="1321"/>
      <c r="CX291" s="1321"/>
      <c r="CY291" s="1321"/>
      <c r="CZ291" s="1321"/>
      <c r="DA291" s="1321"/>
      <c r="DB291" s="1321"/>
      <c r="DC291" s="1321"/>
      <c r="DD291" s="1321"/>
      <c r="DE291" s="1321"/>
      <c r="DF291" s="1321"/>
      <c r="DG291" s="1321"/>
      <c r="DH291" s="1321"/>
      <c r="DI291" s="1321"/>
      <c r="DJ291" s="1321"/>
      <c r="DK291" s="1321"/>
      <c r="DL291" s="1321"/>
      <c r="DM291" s="1321"/>
      <c r="DN291" s="1336" t="s">
        <v>1749</v>
      </c>
      <c r="DO291" s="1336"/>
      <c r="DP291" s="1336"/>
      <c r="DQ291" s="1336"/>
      <c r="DR291" s="1321"/>
      <c r="DS291" s="1321"/>
      <c r="DT291" s="1346"/>
      <c r="DU291" s="1346"/>
      <c r="DV291" s="1321"/>
      <c r="DW291" s="1321"/>
      <c r="DX291" s="1321"/>
      <c r="DY291" s="1321"/>
      <c r="DZ291" s="1321"/>
      <c r="EA291" s="1321"/>
      <c r="EB291" s="1321"/>
      <c r="EC291" s="1321"/>
      <c r="ED291" s="1345"/>
      <c r="EE291" s="1345"/>
      <c r="EF291" s="1321"/>
      <c r="EG291" s="1321"/>
      <c r="EH291" s="1321"/>
      <c r="EI291" s="1321"/>
      <c r="EJ291" s="1321"/>
      <c r="EK291" s="1345"/>
      <c r="EL291" s="1345"/>
      <c r="EM291" s="1321"/>
      <c r="EN291" s="1321"/>
      <c r="EO291" s="1321"/>
      <c r="EP291" s="1321"/>
      <c r="EQ291" s="1321"/>
      <c r="ER291" s="1345"/>
      <c r="ES291" s="1345"/>
      <c r="ET291" s="1321"/>
      <c r="EU291" s="1321"/>
      <c r="EV291" s="1321"/>
      <c r="EW291" s="1321"/>
      <c r="EX291" s="1321"/>
      <c r="EY291" s="1321"/>
      <c r="EZ291" s="1345"/>
      <c r="FA291" s="1345"/>
      <c r="FB291" s="1345"/>
      <c r="FC291" s="1321"/>
      <c r="FD291" s="1321"/>
      <c r="FE291" s="1321"/>
      <c r="FF291" s="1321"/>
      <c r="FG291" s="1321"/>
      <c r="FH291" s="1321"/>
      <c r="FI291" s="1345"/>
      <c r="FJ291" s="1345"/>
      <c r="FK291" s="1345"/>
      <c r="FL291" s="1345"/>
      <c r="FM291" s="1321"/>
      <c r="FN291" s="1321"/>
      <c r="FO291" s="1321"/>
      <c r="FP291" s="1321"/>
      <c r="FQ291" s="1321"/>
      <c r="FR291" s="1321"/>
      <c r="FS291" s="1345"/>
      <c r="FT291" s="1345"/>
      <c r="FU291" s="1345"/>
      <c r="FV291" s="1345"/>
      <c r="FW291" s="1321"/>
      <c r="FX291" s="1321"/>
      <c r="FY291" s="1321"/>
      <c r="FZ291" s="1321"/>
      <c r="GA291" s="1345"/>
      <c r="GB291" s="1321"/>
      <c r="GC291" s="1321"/>
      <c r="GD291" s="1321"/>
      <c r="GE291" s="1321"/>
      <c r="GF291" s="1321"/>
      <c r="GG291" s="1321" t="s">
        <v>1349</v>
      </c>
      <c r="GH291" s="1321" t="s">
        <v>1349</v>
      </c>
      <c r="GI291" s="1321" t="s">
        <v>1349</v>
      </c>
      <c r="GJ291" s="1321" t="s">
        <v>1349</v>
      </c>
      <c r="GK291" s="1321" t="s">
        <v>1349</v>
      </c>
      <c r="GL291" s="1321" t="s">
        <v>1349</v>
      </c>
      <c r="GM291" s="1321" t="s">
        <v>1349</v>
      </c>
      <c r="GN291" s="1321" t="s">
        <v>1349</v>
      </c>
      <c r="GO291" s="1321" t="s">
        <v>1349</v>
      </c>
      <c r="GP291" s="1321" t="s">
        <v>1349</v>
      </c>
      <c r="GQ291" s="1321" t="s">
        <v>1349</v>
      </c>
      <c r="GR291" s="1321" t="s">
        <v>1349</v>
      </c>
      <c r="GS291" s="1321" t="s">
        <v>1349</v>
      </c>
      <c r="GT291" s="1321" t="s">
        <v>1349</v>
      </c>
      <c r="GU291" s="1321" t="s">
        <v>1349</v>
      </c>
      <c r="GV291" s="1321" t="s">
        <v>1349</v>
      </c>
      <c r="GW291" s="1321"/>
      <c r="GX291" s="1321"/>
      <c r="GY291" s="1321"/>
      <c r="GZ291" s="1321"/>
      <c r="HA291" s="1321"/>
      <c r="HB291" s="1321"/>
      <c r="HC291" s="1321"/>
      <c r="HD291" s="1321"/>
      <c r="HE291" s="1321"/>
      <c r="HF291" s="1321"/>
      <c r="HG291" s="1321"/>
      <c r="HH291" s="1321"/>
      <c r="HI291" s="1321"/>
      <c r="HJ291" s="1321"/>
      <c r="HK291" s="1321"/>
      <c r="HL291" s="1321"/>
      <c r="HM291" s="1321"/>
      <c r="HN291" s="1321"/>
      <c r="HO291" s="1321"/>
      <c r="HP291" s="1321"/>
      <c r="HQ291" s="1321"/>
      <c r="HR291" s="1321"/>
      <c r="HS291" s="1321"/>
      <c r="HT291" s="1321"/>
      <c r="HU291" s="1321"/>
      <c r="HV291" s="1321"/>
      <c r="HW291" s="1321"/>
      <c r="HX291" s="1321"/>
      <c r="HY291" s="1321"/>
      <c r="HZ291" s="1321"/>
      <c r="IA291" s="1321"/>
      <c r="IB291" s="1321"/>
      <c r="IC291" s="1321"/>
      <c r="ID291" s="1321"/>
      <c r="IE291" s="1321"/>
      <c r="IF291" s="1321"/>
      <c r="IG291" s="1321"/>
      <c r="IH291" s="1321"/>
      <c r="II291" s="1321"/>
      <c r="IJ291" s="1321"/>
      <c r="IK291" s="1321"/>
      <c r="IL291" s="1321"/>
      <c r="IM291" s="1321"/>
      <c r="IN291" s="1368"/>
    </row>
    <row r="292" spans="1:248" ht="12.75" customHeight="1" x14ac:dyDescent="0.2">
      <c r="A292" s="1319"/>
      <c r="B292" s="1321"/>
      <c r="C292" s="1321"/>
      <c r="D292" s="1321"/>
      <c r="E292" s="1321"/>
      <c r="F292" s="1321"/>
      <c r="G292" s="1321"/>
      <c r="H292" s="1321"/>
      <c r="I292" s="1321"/>
      <c r="J292" s="1321"/>
      <c r="K292" s="1321"/>
      <c r="L292" s="1321"/>
      <c r="M292" s="1321"/>
      <c r="N292" s="1321"/>
      <c r="O292" s="1321"/>
      <c r="P292" s="1321"/>
      <c r="Q292" s="1321"/>
      <c r="R292" s="1321"/>
      <c r="S292" s="1321"/>
      <c r="T292" s="1321"/>
      <c r="U292" s="1321"/>
      <c r="V292" s="1321"/>
      <c r="W292" s="1321"/>
      <c r="X292" s="1321"/>
      <c r="Y292" s="1321"/>
      <c r="Z292" s="1321"/>
      <c r="AA292" s="1321"/>
      <c r="AB292" s="1321"/>
      <c r="AC292" s="1321"/>
      <c r="AD292" s="1321"/>
      <c r="AE292" s="1321"/>
      <c r="AF292" s="1321"/>
      <c r="AG292" s="1321"/>
      <c r="AH292" s="1321"/>
      <c r="AI292" s="1321"/>
      <c r="AJ292" s="1321"/>
      <c r="AK292" s="1321"/>
      <c r="AL292" s="1321"/>
      <c r="AM292" s="1321"/>
      <c r="AN292" s="1321"/>
      <c r="AO292" s="1321"/>
      <c r="AP292" s="1321"/>
      <c r="AQ292" s="1321"/>
      <c r="AR292" s="1321"/>
      <c r="AS292" s="1321"/>
      <c r="AT292" s="1321"/>
      <c r="AU292" s="1321"/>
      <c r="AV292" s="1321"/>
      <c r="AW292" s="1321"/>
      <c r="AX292" s="1321"/>
      <c r="AY292" s="1321"/>
      <c r="AZ292" s="1321"/>
      <c r="BA292" s="1321"/>
      <c r="BB292" s="1076" t="str">
        <f t="shared" si="79"/>
        <v>concentré jeunes lapins</v>
      </c>
      <c r="BC292" s="1076">
        <f t="array" ref="BC292">IFERROR(IF(OR(AND(INDEX(Règles_bovins[Specificite],MATCH(RationHivernaleBovinsAuPré&amp;$BB292,Règles_bovins[Ration]&amp;Règles_bovins[Aliment],0))="s1",IF($BB292=Spécificité1Bovins,1)),
AND(INDEX(Règles_bovins[Specificite],MATCH(RationHivernaleBovinsAuPré&amp;$BB292,Règles_bovins[Ration]&amp;Règles_bovins[Aliment],0))="s2",IF($BB292=Spécificité2Bovins,1)),
INDEX(Règles_bovins[Specificite],MATCH(RationHivernaleBovinsAuPré&amp;$BB292,Règles_bovins[Ration]&amp;Règles_bovins[Aliment],0))="c"),
INDEX(Règles_bovins[Valeur 36 et plus],MATCH(RationHivernaleBovinsAuPré&amp;$BB292,Règles_bovins[Ration]&amp;Règles_bovins[Aliment],0)),0),0)*IF(SUM(TotalBovinsAdultesAuPré)&gt;0,SUM(TotalBovinsAdultesAuPré),SUM(TotalBovinsAdultes))*35</f>
        <v>0</v>
      </c>
      <c r="BD292" s="1076">
        <f t="array" ref="BD292">IFERROR(IF(OR(AND(INDEX(Règles_bovins[Specificite],MATCH(RationHivernaleBovinsAuPré&amp;$BB292,Règles_bovins[Ration]&amp;Règles_bovins[Aliment],0))="s1",IF($BB292=Spécificité1Bovins,1)),
AND(INDEX(Règles_bovins[Specificite],MATCH(RationHivernaleBovinsAuPré&amp;$BB292,Règles_bovins[Ration]&amp;Règles_bovins[Aliment],0))="s2",IF($BB292=Spécificité2Bovins,1)),
INDEX(Règles_bovins[Specificite],MATCH(RationHivernaleBovinsAuPré&amp;$BB292,Règles_bovins[Ration]&amp;Règles_bovins[Aliment],0))="c"),
INDEX(Règles_bovins[Valeur 24-36],MATCH(RationHivernaleBovinsAuPré&amp;$BB292,Règles_bovins[Ration]&amp;Règles_bovins[Aliment],0)),0),0)*IF(SUM(TotalBovins_24_36moisAuPré)&gt;0,SUM(TotalBovins_24_36moisAuPré),SUM(TotalBovins_24_36mois))*35</f>
        <v>0</v>
      </c>
      <c r="BE292" s="1076">
        <f t="array" ref="BE292">IFERROR(IF(OR(AND(INDEX(Règles_bovins[Specificite],MATCH(RationHivernaleBovinsAuPré&amp;$BB292,Règles_bovins[Ration]&amp;Règles_bovins[Aliment],0))="s1",IF($BB292=Spécificité1Bovins,1)),
AND(INDEX(Règles_bovins[Specificite],MATCH(RationHivernaleBovinsAuPré&amp;$BB292,Règles_bovins[Ration]&amp;Règles_bovins[Aliment],0))="s2",IF($BB292=Spécificité2Bovins,1)),
INDEX(Règles_bovins[Specificite],MATCH(RationHivernaleBovinsAuPré&amp;$BB292,Règles_bovins[Ration]&amp;Règles_bovins[Aliment],0))="c"),
INDEX(Règles_bovins[Valeur 18-24],MATCH(RationHivernaleBovinsAuPré&amp;$BB292,Règles_bovins[Ration]&amp;Règles_bovins[Aliment],0)),0),0)*IF(SUM(TotalBovins_18_24moisAuPré)&gt;0,SUM(TotalBovins_18_24moisAuPré),SUM(TotalBovins_18_24mois))*35</f>
        <v>0</v>
      </c>
      <c r="BF292" s="1076">
        <f t="array" ref="BF292">IFERROR(IF(OR(AND(INDEX(Règles_bovins[Specificite],MATCH(RationHivernaleBovinsAuPré&amp;$BB292,Règles_bovins[Ration]&amp;Règles_bovins[Aliment],0))="s1",IF($BB292=Spécificité1Bovins,1)),
AND(INDEX(Règles_bovins[Specificite],MATCH(RationHivernaleBovinsAuPré&amp;$BB292,Règles_bovins[Ration]&amp;Règles_bovins[Aliment],0))="s2",IF($BB292=Spécificité2Bovins,1)),
INDEX(Règles_bovins[Specificite],MATCH(RationHivernaleBovinsAuPré&amp;$BB292,Règles_bovins[Ration]&amp;Règles_bovins[Aliment],0))="c"),
INDEX(Règles_bovins[Valeur 12-18],MATCH(RationHivernaleBovinsAuPré&amp;$BB292,Règles_bovins[Ration]&amp;Règles_bovins[Aliment],0)),0),0)*IF(SUM(TotalBovins_12_18moisAuPré)&gt;0,SUM(TotalBovins_12_18moisAuPré),SUM(TotalBovins_12_18mois))*35</f>
        <v>0</v>
      </c>
      <c r="BG292" s="1076">
        <f t="array" ref="BG292">IFERROR(IF(OR(AND(INDEX(Règles_bovins[Specificite],MATCH(RationHivernaleBovinsAuPré&amp;$BB292,Règles_bovins[Ration]&amp;Règles_bovins[Aliment],0))="s1",IF($BB292=Spécificité1Bovins,1)),
AND(INDEX(Règles_bovins[Specificite],MATCH(RationHivernaleBovinsAuPré&amp;$BB292,Règles_bovins[Ration]&amp;Règles_bovins[Aliment],0))="s2",IF($BB292=Spécificité2Bovins,1)),
INDEX(Règles_bovins[Specificite],MATCH(RationHivernaleBovinsAuPré&amp;$BB292,Règles_bovins[Ration]&amp;Règles_bovins[Aliment],0))="c"),
INDEX(Règles_bovins[Valeur 6-12],MATCH(RationHivernaleBovinsAuPré&amp;$BB292,Règles_bovins[Ration]&amp;Règles_bovins[Aliment],0)),0),0)*IF(SUM(TotalBovins_6_12moisAuPré)&gt;0,SUM(TotalBovins_6_12moisAuPré),SUM(TotalBovins_6_12mois))*35</f>
        <v>0</v>
      </c>
      <c r="BH292" s="1076">
        <f t="array" ref="BH292">IFERROR(IF(OR(AND(INDEX(Règles_bovins[Specificite],MATCH(RationHivernaleBovinsAuPré&amp;$BB292,Règles_bovins[Ration]&amp;Règles_bovins[Aliment],0))="s1",IF($BB292=Spécificité1Bovins,1)),
AND(INDEX(Règles_bovins[Specificite],MATCH(RationHivernaleBovinsAuPré&amp;$BB292,Règles_bovins[Ration]&amp;Règles_bovins[Aliment],0))="s2",IF($BB292=Spécificité2Bovins,1)),
INDEX(Règles_bovins[Specificite],MATCH(RationHivernaleBovinsAuPré&amp;$BB292,Règles_bovins[Ration]&amp;Règles_bovins[Aliment],0))="c"),
INDEX(Règles_bovins[Valeur 3-6],MATCH(RationHivernaleBovinsAuPré&amp;$BB292,Règles_bovins[Ration]&amp;Règles_bovins[Aliment],0)),0),0)*IF(SUM(TotalBovins_3_6moisAuPré)&gt;0,SUM(TotalBovins_3_6moisAuPré),SUM(TotalBovins_3_6mois))*35</f>
        <v>0</v>
      </c>
      <c r="BI292" s="1076">
        <f t="array" ref="BI292">IFERROR(IF(OR(AND(INDEX(Règles_bovins[Specificite],MATCH(RationHivernaleBovinsAuPré&amp;$BB292,Règles_bovins[Ration]&amp;Règles_bovins[Aliment],0))="s1",IF($BB292=Spécificité1Bovins,1)),
AND(INDEX(Règles_bovins[Specificite],MATCH(RationHivernaleBovinsAuPré&amp;$BB292,Règles_bovins[Ration]&amp;Règles_bovins[Aliment],0))="s2",IF($BB292=Spécificité2Bovins,1)),
INDEX(Règles_bovins[Specificite],MATCH(RationHivernaleBovinsAuPré&amp;$BB292,Règles_bovins[Ration]&amp;Règles_bovins[Aliment],0))="c"),
INDEX(Règles_bovins[Valeur 0-3],MATCH(RationHivernaleBovinsAuPré&amp;$BB292,Règles_bovins[Ration]&amp;Règles_bovins[Aliment],0)),0),0)*IF(SUM(TotalBovins_0_3moisAuPré)&gt;0,SUM(TotalBovins_0_3moisAuPré),SUM(TotalBovins_0_3mois))*35</f>
        <v>0</v>
      </c>
      <c r="BJ292" s="1268">
        <f t="shared" si="78"/>
        <v>0</v>
      </c>
      <c r="BK292" s="1345"/>
      <c r="BL292" s="1345"/>
      <c r="BM292" s="1346"/>
      <c r="BN292" s="1321"/>
      <c r="BO292" s="1321"/>
      <c r="BP292" s="1321"/>
      <c r="BQ292" s="1321"/>
      <c r="BR292" s="1321"/>
      <c r="BS292" s="1321"/>
      <c r="BT292" s="1321"/>
      <c r="BU292" s="1321"/>
      <c r="BV292" s="1345"/>
      <c r="BW292" s="1345"/>
      <c r="BX292" s="1321"/>
      <c r="BY292" s="1321"/>
      <c r="BZ292" s="1321"/>
      <c r="CA292" s="1321"/>
      <c r="CB292" s="1321"/>
      <c r="CC292" s="1321"/>
      <c r="CD292" s="1345"/>
      <c r="CE292" s="1345"/>
      <c r="CF292" s="1345"/>
      <c r="CG292" s="1345"/>
      <c r="CH292" s="1345"/>
      <c r="CI292" s="1321"/>
      <c r="CJ292" s="1321"/>
      <c r="CK292" s="1321"/>
      <c r="CL292" s="1321"/>
      <c r="CM292" s="1321"/>
      <c r="CN292" s="1321"/>
      <c r="CO292" s="1321"/>
      <c r="CP292" s="1321"/>
      <c r="CQ292" s="1321"/>
      <c r="CR292" s="1321"/>
      <c r="CS292" s="1321"/>
      <c r="CT292" s="1321"/>
      <c r="CU292" s="1321"/>
      <c r="CV292" s="1321"/>
      <c r="CW292" s="1321"/>
      <c r="CX292" s="1321"/>
      <c r="CY292" s="1321"/>
      <c r="CZ292" s="1321"/>
      <c r="DA292" s="1321"/>
      <c r="DB292" s="1321"/>
      <c r="DC292" s="1321"/>
      <c r="DD292" s="1321"/>
      <c r="DE292" s="1321"/>
      <c r="DF292" s="1321"/>
      <c r="DG292" s="1321"/>
      <c r="DH292" s="1321"/>
      <c r="DI292" s="1321"/>
      <c r="DJ292" s="1321"/>
      <c r="DK292" s="1321"/>
      <c r="DL292" s="1321"/>
      <c r="DM292" s="1321"/>
      <c r="DN292" s="1079" t="s">
        <v>1276</v>
      </c>
      <c r="DO292" s="1271" t="s">
        <v>1746</v>
      </c>
      <c r="DP292" s="1271" t="s">
        <v>1747</v>
      </c>
      <c r="DQ292" s="1271" t="s">
        <v>1748</v>
      </c>
      <c r="DR292" s="1321"/>
      <c r="DS292" s="1321"/>
      <c r="DT292" s="1346"/>
      <c r="DU292" s="1346"/>
      <c r="DV292" s="1321"/>
      <c r="DW292" s="1321"/>
      <c r="DX292" s="1321"/>
      <c r="DY292" s="1321"/>
      <c r="DZ292" s="1321"/>
      <c r="EA292" s="1321"/>
      <c r="EB292" s="1321"/>
      <c r="EC292" s="1321"/>
      <c r="ED292" s="1345"/>
      <c r="EE292" s="1345"/>
      <c r="EF292" s="1321"/>
      <c r="EG292" s="1321"/>
      <c r="EH292" s="1321"/>
      <c r="EI292" s="1321"/>
      <c r="EJ292" s="1321"/>
      <c r="EK292" s="1345"/>
      <c r="EL292" s="1345"/>
      <c r="EM292" s="1321"/>
      <c r="EN292" s="1321"/>
      <c r="EO292" s="1321"/>
      <c r="EP292" s="1321"/>
      <c r="EQ292" s="1321"/>
      <c r="ER292" s="1345"/>
      <c r="ES292" s="1345"/>
      <c r="ET292" s="1321"/>
      <c r="EU292" s="1321"/>
      <c r="EV292" s="1321"/>
      <c r="EW292" s="1321"/>
      <c r="EX292" s="1321"/>
      <c r="EY292" s="1321"/>
      <c r="EZ292" s="1345"/>
      <c r="FA292" s="1345"/>
      <c r="FB292" s="1345"/>
      <c r="FC292" s="1321"/>
      <c r="FD292" s="1321"/>
      <c r="FE292" s="1321"/>
      <c r="FF292" s="1321"/>
      <c r="FG292" s="1321"/>
      <c r="FH292" s="1321"/>
      <c r="FI292" s="1345"/>
      <c r="FJ292" s="1345"/>
      <c r="FK292" s="1345"/>
      <c r="FL292" s="1345"/>
      <c r="FM292" s="1321"/>
      <c r="FN292" s="1321"/>
      <c r="FO292" s="1321"/>
      <c r="FP292" s="1321"/>
      <c r="FQ292" s="1321"/>
      <c r="FR292" s="1321"/>
      <c r="FS292" s="1345"/>
      <c r="FT292" s="1345"/>
      <c r="FU292" s="1345"/>
      <c r="FV292" s="1345"/>
      <c r="FW292" s="1321"/>
      <c r="FX292" s="1321"/>
      <c r="FY292" s="1321"/>
      <c r="FZ292" s="1321"/>
      <c r="GA292" s="1345"/>
      <c r="GB292" s="1321"/>
      <c r="GC292" s="1321"/>
      <c r="GD292" s="1321"/>
      <c r="GE292" s="1321"/>
      <c r="GF292" s="1321"/>
      <c r="GG292" s="1321" t="s">
        <v>1349</v>
      </c>
      <c r="GH292" s="1321" t="s">
        <v>1349</v>
      </c>
      <c r="GI292" s="1321" t="s">
        <v>1349</v>
      </c>
      <c r="GJ292" s="1321" t="s">
        <v>1349</v>
      </c>
      <c r="GK292" s="1321" t="s">
        <v>1349</v>
      </c>
      <c r="GL292" s="1321" t="s">
        <v>1349</v>
      </c>
      <c r="GM292" s="1321" t="s">
        <v>1349</v>
      </c>
      <c r="GN292" s="1321" t="s">
        <v>1349</v>
      </c>
      <c r="GO292" s="1321" t="s">
        <v>1349</v>
      </c>
      <c r="GP292" s="1321" t="s">
        <v>1349</v>
      </c>
      <c r="GQ292" s="1321" t="s">
        <v>1349</v>
      </c>
      <c r="GR292" s="1321" t="s">
        <v>1349</v>
      </c>
      <c r="GS292" s="1321" t="s">
        <v>1349</v>
      </c>
      <c r="GT292" s="1321" t="s">
        <v>1349</v>
      </c>
      <c r="GU292" s="1321" t="s">
        <v>1349</v>
      </c>
      <c r="GV292" s="1321" t="s">
        <v>1349</v>
      </c>
      <c r="GW292" s="1321"/>
      <c r="GX292" s="1321"/>
      <c r="GY292" s="1321"/>
      <c r="GZ292" s="1321"/>
      <c r="HA292" s="1321"/>
      <c r="HB292" s="1321"/>
      <c r="HC292" s="1321"/>
      <c r="HD292" s="1321"/>
      <c r="HE292" s="1321"/>
      <c r="HF292" s="1321"/>
      <c r="HG292" s="1321"/>
      <c r="HH292" s="1321"/>
      <c r="HI292" s="1321"/>
      <c r="HJ292" s="1321"/>
      <c r="HK292" s="1321"/>
      <c r="HL292" s="1321"/>
      <c r="HM292" s="1321"/>
      <c r="HN292" s="1321"/>
      <c r="HO292" s="1321"/>
      <c r="HP292" s="1321"/>
      <c r="HQ292" s="1321"/>
      <c r="HR292" s="1321"/>
      <c r="HS292" s="1321"/>
      <c r="HT292" s="1321"/>
      <c r="HU292" s="1321"/>
      <c r="HV292" s="1321"/>
      <c r="HW292" s="1321"/>
      <c r="HX292" s="1321"/>
      <c r="HY292" s="1321"/>
      <c r="HZ292" s="1321"/>
      <c r="IA292" s="1321"/>
      <c r="IB292" s="1321"/>
      <c r="IC292" s="1321"/>
      <c r="ID292" s="1321"/>
      <c r="IE292" s="1321"/>
      <c r="IF292" s="1321"/>
      <c r="IG292" s="1321"/>
      <c r="IH292" s="1321"/>
      <c r="II292" s="1321"/>
      <c r="IJ292" s="1321"/>
      <c r="IK292" s="1321"/>
      <c r="IL292" s="1321"/>
      <c r="IM292" s="1321"/>
      <c r="IN292" s="1368"/>
    </row>
    <row r="293" spans="1:248" ht="12.75" customHeight="1" x14ac:dyDescent="0.2">
      <c r="A293" s="1319"/>
      <c r="B293" s="1321"/>
      <c r="C293" s="1321"/>
      <c r="D293" s="1321"/>
      <c r="E293" s="1321"/>
      <c r="F293" s="1321"/>
      <c r="G293" s="1321"/>
      <c r="H293" s="1321"/>
      <c r="I293" s="1321"/>
      <c r="J293" s="1321"/>
      <c r="K293" s="1321"/>
      <c r="L293" s="1321"/>
      <c r="M293" s="1321"/>
      <c r="N293" s="1321"/>
      <c r="O293" s="1321"/>
      <c r="P293" s="1321"/>
      <c r="Q293" s="1321"/>
      <c r="R293" s="1321"/>
      <c r="S293" s="1321"/>
      <c r="T293" s="1321"/>
      <c r="U293" s="1321"/>
      <c r="V293" s="1321"/>
      <c r="W293" s="1321"/>
      <c r="X293" s="1321"/>
      <c r="Y293" s="1321"/>
      <c r="Z293" s="1321"/>
      <c r="AA293" s="1321"/>
      <c r="AB293" s="1321"/>
      <c r="AC293" s="1321"/>
      <c r="AD293" s="1321"/>
      <c r="AE293" s="1321"/>
      <c r="AF293" s="1321"/>
      <c r="AG293" s="1321"/>
      <c r="AH293" s="1321"/>
      <c r="AI293" s="1321"/>
      <c r="AJ293" s="1321"/>
      <c r="AK293" s="1321"/>
      <c r="AL293" s="1321"/>
      <c r="AM293" s="1321"/>
      <c r="AN293" s="1321"/>
      <c r="AO293" s="1321"/>
      <c r="AP293" s="1321"/>
      <c r="AQ293" s="1321"/>
      <c r="AR293" s="1321"/>
      <c r="AS293" s="1321"/>
      <c r="AT293" s="1321"/>
      <c r="AU293" s="1321"/>
      <c r="AV293" s="1321"/>
      <c r="AW293" s="1321"/>
      <c r="AX293" s="1321"/>
      <c r="AY293" s="1321"/>
      <c r="AZ293" s="1321"/>
      <c r="BA293" s="1321"/>
      <c r="BB293" s="1075" t="str">
        <f t="shared" si="79"/>
        <v>concentré jeunes porcins</v>
      </c>
      <c r="BC293" s="1075">
        <f t="array" ref="BC293">IFERROR(IF(OR(AND(INDEX(Règles_bovins[Specificite],MATCH(RationHivernaleBovinsAuPré&amp;$BB293,Règles_bovins[Ration]&amp;Règles_bovins[Aliment],0))="s1",IF($BB293=Spécificité1Bovins,1)),
AND(INDEX(Règles_bovins[Specificite],MATCH(RationHivernaleBovinsAuPré&amp;$BB293,Règles_bovins[Ration]&amp;Règles_bovins[Aliment],0))="s2",IF($BB293=Spécificité2Bovins,1)),
INDEX(Règles_bovins[Specificite],MATCH(RationHivernaleBovinsAuPré&amp;$BB293,Règles_bovins[Ration]&amp;Règles_bovins[Aliment],0))="c"),
INDEX(Règles_bovins[Valeur 36 et plus],MATCH(RationHivernaleBovinsAuPré&amp;$BB293,Règles_bovins[Ration]&amp;Règles_bovins[Aliment],0)),0),0)*IF(SUM(TotalBovinsAdultesAuPré)&gt;0,SUM(TotalBovinsAdultesAuPré),SUM(TotalBovinsAdultes))*35</f>
        <v>0</v>
      </c>
      <c r="BD293" s="1075">
        <f t="array" ref="BD293">IFERROR(IF(OR(AND(INDEX(Règles_bovins[Specificite],MATCH(RationHivernaleBovinsAuPré&amp;$BB293,Règles_bovins[Ration]&amp;Règles_bovins[Aliment],0))="s1",IF($BB293=Spécificité1Bovins,1)),
AND(INDEX(Règles_bovins[Specificite],MATCH(RationHivernaleBovinsAuPré&amp;$BB293,Règles_bovins[Ration]&amp;Règles_bovins[Aliment],0))="s2",IF($BB293=Spécificité2Bovins,1)),
INDEX(Règles_bovins[Specificite],MATCH(RationHivernaleBovinsAuPré&amp;$BB293,Règles_bovins[Ration]&amp;Règles_bovins[Aliment],0))="c"),
INDEX(Règles_bovins[Valeur 24-36],MATCH(RationHivernaleBovinsAuPré&amp;$BB293,Règles_bovins[Ration]&amp;Règles_bovins[Aliment],0)),0),0)*IF(SUM(TotalBovins_24_36moisAuPré)&gt;0,SUM(TotalBovins_24_36moisAuPré),SUM(TotalBovins_24_36mois))*35</f>
        <v>0</v>
      </c>
      <c r="BE293" s="1075">
        <f t="array" ref="BE293">IFERROR(IF(OR(AND(INDEX(Règles_bovins[Specificite],MATCH(RationHivernaleBovinsAuPré&amp;$BB293,Règles_bovins[Ration]&amp;Règles_bovins[Aliment],0))="s1",IF($BB293=Spécificité1Bovins,1)),
AND(INDEX(Règles_bovins[Specificite],MATCH(RationHivernaleBovinsAuPré&amp;$BB293,Règles_bovins[Ration]&amp;Règles_bovins[Aliment],0))="s2",IF($BB293=Spécificité2Bovins,1)),
INDEX(Règles_bovins[Specificite],MATCH(RationHivernaleBovinsAuPré&amp;$BB293,Règles_bovins[Ration]&amp;Règles_bovins[Aliment],0))="c"),
INDEX(Règles_bovins[Valeur 18-24],MATCH(RationHivernaleBovinsAuPré&amp;$BB293,Règles_bovins[Ration]&amp;Règles_bovins[Aliment],0)),0),0)*IF(SUM(TotalBovins_18_24moisAuPré)&gt;0,SUM(TotalBovins_18_24moisAuPré),SUM(TotalBovins_18_24mois))*35</f>
        <v>0</v>
      </c>
      <c r="BF293" s="1075">
        <f t="array" ref="BF293">IFERROR(IF(OR(AND(INDEX(Règles_bovins[Specificite],MATCH(RationHivernaleBovinsAuPré&amp;$BB293,Règles_bovins[Ration]&amp;Règles_bovins[Aliment],0))="s1",IF($BB293=Spécificité1Bovins,1)),
AND(INDEX(Règles_bovins[Specificite],MATCH(RationHivernaleBovinsAuPré&amp;$BB293,Règles_bovins[Ration]&amp;Règles_bovins[Aliment],0))="s2",IF($BB293=Spécificité2Bovins,1)),
INDEX(Règles_bovins[Specificite],MATCH(RationHivernaleBovinsAuPré&amp;$BB293,Règles_bovins[Ration]&amp;Règles_bovins[Aliment],0))="c"),
INDEX(Règles_bovins[Valeur 12-18],MATCH(RationHivernaleBovinsAuPré&amp;$BB293,Règles_bovins[Ration]&amp;Règles_bovins[Aliment],0)),0),0)*IF(SUM(TotalBovins_12_18moisAuPré)&gt;0,SUM(TotalBovins_12_18moisAuPré),SUM(TotalBovins_12_18mois))*35</f>
        <v>0</v>
      </c>
      <c r="BG293" s="1075">
        <f t="array" ref="BG293">IFERROR(IF(OR(AND(INDEX(Règles_bovins[Specificite],MATCH(RationHivernaleBovinsAuPré&amp;$BB293,Règles_bovins[Ration]&amp;Règles_bovins[Aliment],0))="s1",IF($BB293=Spécificité1Bovins,1)),
AND(INDEX(Règles_bovins[Specificite],MATCH(RationHivernaleBovinsAuPré&amp;$BB293,Règles_bovins[Ration]&amp;Règles_bovins[Aliment],0))="s2",IF($BB293=Spécificité2Bovins,1)),
INDEX(Règles_bovins[Specificite],MATCH(RationHivernaleBovinsAuPré&amp;$BB293,Règles_bovins[Ration]&amp;Règles_bovins[Aliment],0))="c"),
INDEX(Règles_bovins[Valeur 6-12],MATCH(RationHivernaleBovinsAuPré&amp;$BB293,Règles_bovins[Ration]&amp;Règles_bovins[Aliment],0)),0),0)*IF(SUM(TotalBovins_6_12moisAuPré)&gt;0,SUM(TotalBovins_6_12moisAuPré),SUM(TotalBovins_6_12mois))*35</f>
        <v>0</v>
      </c>
      <c r="BH293" s="1075">
        <f t="array" ref="BH293">IFERROR(IF(OR(AND(INDEX(Règles_bovins[Specificite],MATCH(RationHivernaleBovinsAuPré&amp;$BB293,Règles_bovins[Ration]&amp;Règles_bovins[Aliment],0))="s1",IF($BB293=Spécificité1Bovins,1)),
AND(INDEX(Règles_bovins[Specificite],MATCH(RationHivernaleBovinsAuPré&amp;$BB293,Règles_bovins[Ration]&amp;Règles_bovins[Aliment],0))="s2",IF($BB293=Spécificité2Bovins,1)),
INDEX(Règles_bovins[Specificite],MATCH(RationHivernaleBovinsAuPré&amp;$BB293,Règles_bovins[Ration]&amp;Règles_bovins[Aliment],0))="c"),
INDEX(Règles_bovins[Valeur 3-6],MATCH(RationHivernaleBovinsAuPré&amp;$BB293,Règles_bovins[Ration]&amp;Règles_bovins[Aliment],0)),0),0)*IF(SUM(TotalBovins_3_6moisAuPré)&gt;0,SUM(TotalBovins_3_6moisAuPré),SUM(TotalBovins_3_6mois))*35</f>
        <v>0</v>
      </c>
      <c r="BI293" s="1075">
        <f t="array" ref="BI293">IFERROR(IF(OR(AND(INDEX(Règles_bovins[Specificite],MATCH(RationHivernaleBovinsAuPré&amp;$BB293,Règles_bovins[Ration]&amp;Règles_bovins[Aliment],0))="s1",IF($BB293=Spécificité1Bovins,1)),
AND(INDEX(Règles_bovins[Specificite],MATCH(RationHivernaleBovinsAuPré&amp;$BB293,Règles_bovins[Ration]&amp;Règles_bovins[Aliment],0))="s2",IF($BB293=Spécificité2Bovins,1)),
INDEX(Règles_bovins[Specificite],MATCH(RationHivernaleBovinsAuPré&amp;$BB293,Règles_bovins[Ration]&amp;Règles_bovins[Aliment],0))="c"),
INDEX(Règles_bovins[Valeur 0-3],MATCH(RationHivernaleBovinsAuPré&amp;$BB293,Règles_bovins[Ration]&amp;Règles_bovins[Aliment],0)),0),0)*IF(SUM(TotalBovins_0_3moisAuPré)&gt;0,SUM(TotalBovins_0_3moisAuPré),SUM(TotalBovins_0_3mois))*35</f>
        <v>0</v>
      </c>
      <c r="BJ293" s="1270">
        <f t="shared" si="78"/>
        <v>0</v>
      </c>
      <c r="BK293" s="1345"/>
      <c r="BL293" s="1345"/>
      <c r="BM293" s="1346"/>
      <c r="BN293" s="1321"/>
      <c r="BO293" s="1321"/>
      <c r="BP293" s="1321"/>
      <c r="BQ293" s="1321"/>
      <c r="BR293" s="1321"/>
      <c r="BS293" s="1321"/>
      <c r="BT293" s="1321"/>
      <c r="BU293" s="1321"/>
      <c r="BV293" s="1345"/>
      <c r="BW293" s="1345"/>
      <c r="BX293" s="1321"/>
      <c r="BY293" s="1321"/>
      <c r="BZ293" s="1321"/>
      <c r="CA293" s="1321"/>
      <c r="CB293" s="1321"/>
      <c r="CC293" s="1321"/>
      <c r="CD293" s="1345"/>
      <c r="CE293" s="1345"/>
      <c r="CF293" s="1345"/>
      <c r="CG293" s="1345"/>
      <c r="CH293" s="1345"/>
      <c r="CI293" s="1321"/>
      <c r="CJ293" s="1321"/>
      <c r="CK293" s="1321"/>
      <c r="CL293" s="1321"/>
      <c r="CM293" s="1321"/>
      <c r="CN293" s="1321"/>
      <c r="CO293" s="1321"/>
      <c r="CP293" s="1321"/>
      <c r="CQ293" s="1321"/>
      <c r="CR293" s="1321"/>
      <c r="CS293" s="1321"/>
      <c r="CT293" s="1321"/>
      <c r="CU293" s="1321"/>
      <c r="CV293" s="1321"/>
      <c r="CW293" s="1321"/>
      <c r="CX293" s="1321"/>
      <c r="CY293" s="1321"/>
      <c r="CZ293" s="1321"/>
      <c r="DA293" s="1321"/>
      <c r="DB293" s="1321"/>
      <c r="DC293" s="1321"/>
      <c r="DD293" s="1321"/>
      <c r="DE293" s="1321"/>
      <c r="DF293" s="1321"/>
      <c r="DG293" s="1321"/>
      <c r="DH293" s="1321"/>
      <c r="DI293" s="1321"/>
      <c r="DJ293" s="1321"/>
      <c r="DK293" s="1321"/>
      <c r="DL293" s="1321"/>
      <c r="DM293" s="1321"/>
      <c r="DN293" s="1076" t="str">
        <f>DN150</f>
        <v>Avoine</v>
      </c>
      <c r="DO293" s="1267">
        <f t="array" ref="DO293">SUM((IF(QualitéAlimentsAgneauMâle_0_3_mois=BONNE,VLOOKUP("Avoine",AlimentsRationOvinsMâles,5,FALSE),0)+(IF(QualitéAlimentsAgneauFemelle_0_3_mois=BONNE,VLOOKUP("Avoine",AlimentsRationOvinsFemelles,5,FALSE),0)+(IF(QualitéAlimentsAgneauMâle_3_6_mois=BONNE,VLOOKUP("Avoine",AlimentsRationOvinsMâles,4,FALSE),0)+(IF(QualitéAlimentsAgneauFemelle_3_6_mois=BONNE,VLOOKUP("Avoine",AlimentsRationOvinsFemelles,4,FALSE),0)+(IF(QualitéAlimentsJeuneBélier=BONNE,VLOOKUP("Avoine",AlimentsRationOvinsMâles,3,FALSE),0)+(IF(QualitéAlimentsJeuneBrebis=BONNE,VLOOKUP("Avoine",AlimentsRationOvinsFemelles,3,FALSE),0)+(IF(QualitéAlimentsBélier=BONNE,VLOOKUP("Avoine",AlimentsRationOvinsMâles,2,FALSE),0)+(IF(QualitéAlimentsBrebis=BONNE,VLOOKUP("Avoine",AlimentsRationOvinsFemelles,2,FALSE),0))))))))))</f>
        <v>0</v>
      </c>
      <c r="DP293" s="1267">
        <f t="array" ref="DP293">SUM((IF(QualitéAlimentsAgneauMâle_0_3_mois=MOYENNE,VLOOKUP("Avoine",AlimentsRationOvinsMâles,5,FALSE),0)+(IF(QualitéAlimentsAgneauFemelle_0_3_mois=MOYENNE,VLOOKUP("Avoine",AlimentsRationOvinsFemelles,5,FALSE),0)+(IF(QualitéAlimentsAgneauMâle_3_6_mois=MOYENNE,VLOOKUP("Avoine",AlimentsRationOvinsMâles,4,FALSE),0)+(IF(QualitéAlimentsAgneauFemelle_3_6_mois=MOYENNE,VLOOKUP("Avoine",AlimentsRationOvinsFemelles,4,FALSE),0)+(IF(QualitéAlimentsJeuneBélier=MOYENNE,VLOOKUP("Avoine",AlimentsRationOvinsMâles,3,FALSE),0)+(IF(QualitéAlimentsJeuneBrebis=MOYENNE,VLOOKUP("Avoine",AlimentsRationOvinsFemelles,3,FALSE),0)+(IF(QualitéAlimentsBélier=MOYENNE,VLOOKUP("Avoine",AlimentsRationOvinsMâles,2,FALSE),0)+(IF(QualitéAlimentsBrebis=MOYENNE,VLOOKUP("Avoine",AlimentsRationOvinsFemelles,2,FALSE),0))))))))))</f>
        <v>0</v>
      </c>
      <c r="DQ293" s="1267">
        <f t="array" ref="DQ293">SUM((IF(QualitéAlimentsAgneauMâle_0_3_mois=MAUVAISE,VLOOKUP("Avoine",AlimentsRationOvinsMâles,5,FALSE),0)+(IF(QualitéAlimentsAgneauFemelle_0_3_mois=MAUVAISE,VLOOKUP("Avoine",AlimentsRationOvinsFemelles,5,FALSE),0)+(IF(QualitéAlimentsAgneauMâle_3_6_mois=MAUVAISE,VLOOKUP("Avoine",AlimentsRationOvinsMâles,4,FALSE),0)+(IF(QualitéAlimentsAgneauFemelle_3_6_mois=MAUVAISE,VLOOKUP("Avoine",AlimentsRationOvinsFemelles,4,FALSE),0)+(IF(QualitéAlimentsJeuneBélier=MAUVAISE,VLOOKUP("Avoine",AlimentsRationOvinsMâles,3,FALSE),0)+(IF(QualitéAlimentsJeuneBrebis=MAUVAISE,VLOOKUP("Avoine",AlimentsRationOvinsFemelles,3,FALSE),0)+(IF(QualitéAlimentsBélier=MAUVAISE,VLOOKUP("Avoine",AlimentsRationOvinsMâles,2,FALSE),0)+(IF(QualitéAlimentsBrebis=MAUVAISE,VLOOKUP("Avoine",AlimentsRationOvinsFemelles,2,FALSE),0))))))))))</f>
        <v>0</v>
      </c>
      <c r="DR293" s="1321"/>
      <c r="DS293" s="1321"/>
      <c r="DT293" s="1346"/>
      <c r="DU293" s="1346"/>
      <c r="DV293" s="1321"/>
      <c r="DW293" s="1321"/>
      <c r="DX293" s="1321"/>
      <c r="DY293" s="1321"/>
      <c r="DZ293" s="1321"/>
      <c r="EA293" s="1321"/>
      <c r="EB293" s="1321"/>
      <c r="EC293" s="1321"/>
      <c r="ED293" s="1345"/>
      <c r="EE293" s="1345"/>
      <c r="EF293" s="1321"/>
      <c r="EG293" s="1321"/>
      <c r="EH293" s="1321"/>
      <c r="EI293" s="1321"/>
      <c r="EJ293" s="1321"/>
      <c r="EK293" s="1345"/>
      <c r="EL293" s="1345"/>
      <c r="EM293" s="1321"/>
      <c r="EN293" s="1321"/>
      <c r="EO293" s="1321"/>
      <c r="EP293" s="1321"/>
      <c r="EQ293" s="1321"/>
      <c r="ER293" s="1345"/>
      <c r="ES293" s="1345"/>
      <c r="ET293" s="1321"/>
      <c r="EU293" s="1321"/>
      <c r="EV293" s="1321"/>
      <c r="EW293" s="1321"/>
      <c r="EX293" s="1321"/>
      <c r="EY293" s="1321"/>
      <c r="EZ293" s="1345"/>
      <c r="FA293" s="1345"/>
      <c r="FB293" s="1345"/>
      <c r="FC293" s="1321"/>
      <c r="FD293" s="1321"/>
      <c r="FE293" s="1321"/>
      <c r="FF293" s="1321"/>
      <c r="FG293" s="1321"/>
      <c r="FH293" s="1321"/>
      <c r="FI293" s="1345"/>
      <c r="FJ293" s="1345"/>
      <c r="FK293" s="1345"/>
      <c r="FL293" s="1345"/>
      <c r="FM293" s="1321"/>
      <c r="FN293" s="1321"/>
      <c r="FO293" s="1321"/>
      <c r="FP293" s="1321"/>
      <c r="FQ293" s="1321"/>
      <c r="FR293" s="1321"/>
      <c r="FS293" s="1345"/>
      <c r="FT293" s="1345"/>
      <c r="FU293" s="1345"/>
      <c r="FV293" s="1345"/>
      <c r="FW293" s="1321"/>
      <c r="FX293" s="1321"/>
      <c r="FY293" s="1321"/>
      <c r="FZ293" s="1321"/>
      <c r="GA293" s="1345"/>
      <c r="GB293" s="1321"/>
      <c r="GC293" s="1321"/>
      <c r="GD293" s="1321"/>
      <c r="GE293" s="1321"/>
      <c r="GF293" s="1321"/>
      <c r="GG293" s="1321" t="s">
        <v>1349</v>
      </c>
      <c r="GH293" s="1321" t="s">
        <v>1349</v>
      </c>
      <c r="GI293" s="1321" t="s">
        <v>1349</v>
      </c>
      <c r="GJ293" s="1321" t="s">
        <v>1349</v>
      </c>
      <c r="GK293" s="1321" t="s">
        <v>1349</v>
      </c>
      <c r="GL293" s="1321" t="s">
        <v>1349</v>
      </c>
      <c r="GM293" s="1321" t="s">
        <v>1349</v>
      </c>
      <c r="GN293" s="1321" t="s">
        <v>1349</v>
      </c>
      <c r="GO293" s="1321" t="s">
        <v>1349</v>
      </c>
      <c r="GP293" s="1321" t="s">
        <v>1349</v>
      </c>
      <c r="GQ293" s="1321" t="s">
        <v>1349</v>
      </c>
      <c r="GR293" s="1321" t="s">
        <v>1349</v>
      </c>
      <c r="GS293" s="1321" t="s">
        <v>1349</v>
      </c>
      <c r="GT293" s="1321" t="s">
        <v>1349</v>
      </c>
      <c r="GU293" s="1321" t="s">
        <v>1349</v>
      </c>
      <c r="GV293" s="1321" t="s">
        <v>1349</v>
      </c>
      <c r="GW293" s="1321"/>
      <c r="GX293" s="1321"/>
      <c r="GY293" s="1321"/>
      <c r="GZ293" s="1321"/>
      <c r="HA293" s="1321"/>
      <c r="HB293" s="1321"/>
      <c r="HC293" s="1321"/>
      <c r="HD293" s="1321"/>
      <c r="HE293" s="1321"/>
      <c r="HF293" s="1321"/>
      <c r="HG293" s="1321"/>
      <c r="HH293" s="1321"/>
      <c r="HI293" s="1321"/>
      <c r="HJ293" s="1321"/>
      <c r="HK293" s="1321"/>
      <c r="HL293" s="1321"/>
      <c r="HM293" s="1321"/>
      <c r="HN293" s="1321"/>
      <c r="HO293" s="1321"/>
      <c r="HP293" s="1321"/>
      <c r="HQ293" s="1321"/>
      <c r="HR293" s="1321"/>
      <c r="HS293" s="1321"/>
      <c r="HT293" s="1321"/>
      <c r="HU293" s="1321"/>
      <c r="HV293" s="1321"/>
      <c r="HW293" s="1321"/>
      <c r="HX293" s="1321"/>
      <c r="HY293" s="1321"/>
      <c r="HZ293" s="1321"/>
      <c r="IA293" s="1321"/>
      <c r="IB293" s="1321"/>
      <c r="IC293" s="1321"/>
      <c r="ID293" s="1321"/>
      <c r="IE293" s="1321"/>
      <c r="IF293" s="1321"/>
      <c r="IG293" s="1321"/>
      <c r="IH293" s="1321"/>
      <c r="II293" s="1321"/>
      <c r="IJ293" s="1321"/>
      <c r="IK293" s="1321"/>
      <c r="IL293" s="1321"/>
      <c r="IM293" s="1321"/>
      <c r="IN293" s="1368"/>
    </row>
    <row r="294" spans="1:248" ht="12.75" customHeight="1" x14ac:dyDescent="0.2">
      <c r="A294" s="1319"/>
      <c r="B294" s="1321"/>
      <c r="C294" s="1321"/>
      <c r="D294" s="1321"/>
      <c r="E294" s="1321"/>
      <c r="F294" s="1321"/>
      <c r="G294" s="1321"/>
      <c r="H294" s="1321"/>
      <c r="I294" s="1321"/>
      <c r="J294" s="1321"/>
      <c r="K294" s="1321"/>
      <c r="L294" s="1321"/>
      <c r="M294" s="1321"/>
      <c r="N294" s="1321"/>
      <c r="O294" s="1321"/>
      <c r="P294" s="1321"/>
      <c r="Q294" s="1321"/>
      <c r="R294" s="1321"/>
      <c r="S294" s="1321"/>
      <c r="T294" s="1321"/>
      <c r="U294" s="1321"/>
      <c r="V294" s="1321"/>
      <c r="W294" s="1321"/>
      <c r="X294" s="1321"/>
      <c r="Y294" s="1321"/>
      <c r="Z294" s="1321"/>
      <c r="AA294" s="1321"/>
      <c r="AB294" s="1321"/>
      <c r="AC294" s="1321"/>
      <c r="AD294" s="1321"/>
      <c r="AE294" s="1321"/>
      <c r="AF294" s="1321"/>
      <c r="AG294" s="1321"/>
      <c r="AH294" s="1321"/>
      <c r="AI294" s="1321"/>
      <c r="AJ294" s="1321"/>
      <c r="AK294" s="1321"/>
      <c r="AL294" s="1321"/>
      <c r="AM294" s="1321"/>
      <c r="AN294" s="1321"/>
      <c r="AO294" s="1321"/>
      <c r="AP294" s="1321"/>
      <c r="AQ294" s="1321"/>
      <c r="AR294" s="1321"/>
      <c r="AS294" s="1321"/>
      <c r="AT294" s="1321"/>
      <c r="AU294" s="1321"/>
      <c r="AV294" s="1321"/>
      <c r="AW294" s="1321"/>
      <c r="AX294" s="1321"/>
      <c r="AY294" s="1321"/>
      <c r="AZ294" s="1321"/>
      <c r="BA294" s="1321"/>
      <c r="BB294" s="1076" t="str">
        <f t="shared" si="79"/>
        <v>Ensilage d'herbe</v>
      </c>
      <c r="BC294" s="1076">
        <f t="array" ref="BC294">IFERROR(IF(OR(AND(INDEX(Règles_bovins[Specificite],MATCH(RationHivernaleBovinsAuPré&amp;$BB294,Règles_bovins[Ration]&amp;Règles_bovins[Aliment],0))="s1",IF($BB294=Spécificité1Bovins,1)),
AND(INDEX(Règles_bovins[Specificite],MATCH(RationHivernaleBovinsAuPré&amp;$BB294,Règles_bovins[Ration]&amp;Règles_bovins[Aliment],0))="s2",IF($BB294=Spécificité2Bovins,1)),
INDEX(Règles_bovins[Specificite],MATCH(RationHivernaleBovinsAuPré&amp;$BB294,Règles_bovins[Ration]&amp;Règles_bovins[Aliment],0))="c"),
INDEX(Règles_bovins[Valeur 36 et plus],MATCH(RationHivernaleBovinsAuPré&amp;$BB294,Règles_bovins[Ration]&amp;Règles_bovins[Aliment],0)),0),0)*IF(SUM(TotalBovinsAdultesAuPré)&gt;0,SUM(TotalBovinsAdultesAuPré),SUM(TotalBovinsAdultes))*35</f>
        <v>0</v>
      </c>
      <c r="BD294" s="1076">
        <f t="array" ref="BD294">IFERROR(IF(OR(AND(INDEX(Règles_bovins[Specificite],MATCH(RationHivernaleBovinsAuPré&amp;$BB294,Règles_bovins[Ration]&amp;Règles_bovins[Aliment],0))="s1",IF($BB294=Spécificité1Bovins,1)),
AND(INDEX(Règles_bovins[Specificite],MATCH(RationHivernaleBovinsAuPré&amp;$BB294,Règles_bovins[Ration]&amp;Règles_bovins[Aliment],0))="s2",IF($BB294=Spécificité2Bovins,1)),
INDEX(Règles_bovins[Specificite],MATCH(RationHivernaleBovinsAuPré&amp;$BB294,Règles_bovins[Ration]&amp;Règles_bovins[Aliment],0))="c"),
INDEX(Règles_bovins[Valeur 24-36],MATCH(RationHivernaleBovinsAuPré&amp;$BB294,Règles_bovins[Ration]&amp;Règles_bovins[Aliment],0)),0),0)*IF(SUM(TotalBovins_24_36moisAuPré)&gt;0,SUM(TotalBovins_24_36moisAuPré),SUM(TotalBovins_24_36mois))*35</f>
        <v>0</v>
      </c>
      <c r="BE294" s="1076">
        <f t="array" ref="BE294">IFERROR(IF(OR(AND(INDEX(Règles_bovins[Specificite],MATCH(RationHivernaleBovinsAuPré&amp;$BB294,Règles_bovins[Ration]&amp;Règles_bovins[Aliment],0))="s1",IF($BB294=Spécificité1Bovins,1)),
AND(INDEX(Règles_bovins[Specificite],MATCH(RationHivernaleBovinsAuPré&amp;$BB294,Règles_bovins[Ration]&amp;Règles_bovins[Aliment],0))="s2",IF($BB294=Spécificité2Bovins,1)),
INDEX(Règles_bovins[Specificite],MATCH(RationHivernaleBovinsAuPré&amp;$BB294,Règles_bovins[Ration]&amp;Règles_bovins[Aliment],0))="c"),
INDEX(Règles_bovins[Valeur 18-24],MATCH(RationHivernaleBovinsAuPré&amp;$BB294,Règles_bovins[Ration]&amp;Règles_bovins[Aliment],0)),0),0)*IF(SUM(TotalBovins_18_24moisAuPré)&gt;0,SUM(TotalBovins_18_24moisAuPré),SUM(TotalBovins_18_24mois))*35</f>
        <v>0</v>
      </c>
      <c r="BF294" s="1076">
        <f t="array" ref="BF294">IFERROR(IF(OR(AND(INDEX(Règles_bovins[Specificite],MATCH(RationHivernaleBovinsAuPré&amp;$BB294,Règles_bovins[Ration]&amp;Règles_bovins[Aliment],0))="s1",IF($BB294=Spécificité1Bovins,1)),
AND(INDEX(Règles_bovins[Specificite],MATCH(RationHivernaleBovinsAuPré&amp;$BB294,Règles_bovins[Ration]&amp;Règles_bovins[Aliment],0))="s2",IF($BB294=Spécificité2Bovins,1)),
INDEX(Règles_bovins[Specificite],MATCH(RationHivernaleBovinsAuPré&amp;$BB294,Règles_bovins[Ration]&amp;Règles_bovins[Aliment],0))="c"),
INDEX(Règles_bovins[Valeur 12-18],MATCH(RationHivernaleBovinsAuPré&amp;$BB294,Règles_bovins[Ration]&amp;Règles_bovins[Aliment],0)),0),0)*IF(SUM(TotalBovins_12_18moisAuPré)&gt;0,SUM(TotalBovins_12_18moisAuPré),SUM(TotalBovins_12_18mois))*35</f>
        <v>0</v>
      </c>
      <c r="BG294" s="1076">
        <f t="array" ref="BG294">IFERROR(IF(OR(AND(INDEX(Règles_bovins[Specificite],MATCH(RationHivernaleBovinsAuPré&amp;$BB294,Règles_bovins[Ration]&amp;Règles_bovins[Aliment],0))="s1",IF($BB294=Spécificité1Bovins,1)),
AND(INDEX(Règles_bovins[Specificite],MATCH(RationHivernaleBovinsAuPré&amp;$BB294,Règles_bovins[Ration]&amp;Règles_bovins[Aliment],0))="s2",IF($BB294=Spécificité2Bovins,1)),
INDEX(Règles_bovins[Specificite],MATCH(RationHivernaleBovinsAuPré&amp;$BB294,Règles_bovins[Ration]&amp;Règles_bovins[Aliment],0))="c"),
INDEX(Règles_bovins[Valeur 6-12],MATCH(RationHivernaleBovinsAuPré&amp;$BB294,Règles_bovins[Ration]&amp;Règles_bovins[Aliment],0)),0),0)*IF(SUM(TotalBovins_6_12moisAuPré)&gt;0,SUM(TotalBovins_6_12moisAuPré),SUM(TotalBovins_6_12mois))*35</f>
        <v>0</v>
      </c>
      <c r="BH294" s="1076">
        <f t="array" ref="BH294">IFERROR(IF(OR(AND(INDEX(Règles_bovins[Specificite],MATCH(RationHivernaleBovinsAuPré&amp;$BB294,Règles_bovins[Ration]&amp;Règles_bovins[Aliment],0))="s1",IF($BB294=Spécificité1Bovins,1)),
AND(INDEX(Règles_bovins[Specificite],MATCH(RationHivernaleBovinsAuPré&amp;$BB294,Règles_bovins[Ration]&amp;Règles_bovins[Aliment],0))="s2",IF($BB294=Spécificité2Bovins,1)),
INDEX(Règles_bovins[Specificite],MATCH(RationHivernaleBovinsAuPré&amp;$BB294,Règles_bovins[Ration]&amp;Règles_bovins[Aliment],0))="c"),
INDEX(Règles_bovins[Valeur 3-6],MATCH(RationHivernaleBovinsAuPré&amp;$BB294,Règles_bovins[Ration]&amp;Règles_bovins[Aliment],0)),0),0)*IF(SUM(TotalBovins_3_6moisAuPré)&gt;0,SUM(TotalBovins_3_6moisAuPré),SUM(TotalBovins_3_6mois))*35</f>
        <v>0</v>
      </c>
      <c r="BI294" s="1076">
        <f t="array" ref="BI294">IFERROR(IF(OR(AND(INDEX(Règles_bovins[Specificite],MATCH(RationHivernaleBovinsAuPré&amp;$BB294,Règles_bovins[Ration]&amp;Règles_bovins[Aliment],0))="s1",IF($BB294=Spécificité1Bovins,1)),
AND(INDEX(Règles_bovins[Specificite],MATCH(RationHivernaleBovinsAuPré&amp;$BB294,Règles_bovins[Ration]&amp;Règles_bovins[Aliment],0))="s2",IF($BB294=Spécificité2Bovins,1)),
INDEX(Règles_bovins[Specificite],MATCH(RationHivernaleBovinsAuPré&amp;$BB294,Règles_bovins[Ration]&amp;Règles_bovins[Aliment],0))="c"),
INDEX(Règles_bovins[Valeur 0-3],MATCH(RationHivernaleBovinsAuPré&amp;$BB294,Règles_bovins[Ration]&amp;Règles_bovins[Aliment],0)),0),0)*IF(SUM(TotalBovins_0_3moisAuPré)&gt;0,SUM(TotalBovins_0_3moisAuPré),SUM(TotalBovins_0_3mois))*35</f>
        <v>0</v>
      </c>
      <c r="BJ294" s="1268">
        <f t="shared" si="78"/>
        <v>0</v>
      </c>
      <c r="BK294" s="1345"/>
      <c r="BL294" s="1345"/>
      <c r="BM294" s="1346"/>
      <c r="BN294" s="1321"/>
      <c r="BO294" s="1321"/>
      <c r="BP294" s="1321"/>
      <c r="BQ294" s="1321"/>
      <c r="BR294" s="1321"/>
      <c r="BS294" s="1321"/>
      <c r="BT294" s="1321"/>
      <c r="BU294" s="1321"/>
      <c r="BV294" s="1345"/>
      <c r="BW294" s="1345"/>
      <c r="BX294" s="1321"/>
      <c r="BY294" s="1321"/>
      <c r="BZ294" s="1321"/>
      <c r="CA294" s="1321"/>
      <c r="CB294" s="1321"/>
      <c r="CC294" s="1321"/>
      <c r="CD294" s="1345"/>
      <c r="CE294" s="1345"/>
      <c r="CF294" s="1345"/>
      <c r="CG294" s="1345"/>
      <c r="CH294" s="1345"/>
      <c r="CI294" s="1321"/>
      <c r="CJ294" s="1321"/>
      <c r="CK294" s="1321"/>
      <c r="CL294" s="1321"/>
      <c r="CM294" s="1321"/>
      <c r="CN294" s="1321"/>
      <c r="CO294" s="1321"/>
      <c r="CP294" s="1321"/>
      <c r="CQ294" s="1321"/>
      <c r="CR294" s="1321"/>
      <c r="CS294" s="1321"/>
      <c r="CT294" s="1321"/>
      <c r="CU294" s="1321"/>
      <c r="CV294" s="1321"/>
      <c r="CW294" s="1321"/>
      <c r="CX294" s="1321"/>
      <c r="CY294" s="1321"/>
      <c r="CZ294" s="1321"/>
      <c r="DA294" s="1321"/>
      <c r="DB294" s="1321"/>
      <c r="DC294" s="1321"/>
      <c r="DD294" s="1321"/>
      <c r="DE294" s="1321"/>
      <c r="DF294" s="1321"/>
      <c r="DG294" s="1321"/>
      <c r="DH294" s="1321"/>
      <c r="DI294" s="1321"/>
      <c r="DJ294" s="1321"/>
      <c r="DK294" s="1321"/>
      <c r="DL294" s="1321"/>
      <c r="DM294" s="1321"/>
      <c r="DN294" s="1075" t="str">
        <f t="shared" ref="DN294:DN331" si="80">DN151</f>
        <v>Betterave</v>
      </c>
      <c r="DO294" s="1269">
        <f t="array" ref="DO294">SUM((IF(QualitéAlimentsAgneauMâle_0_3_mois=BONNE,VLOOKUP("Betterave",AlimentsRationOvinsMâles,5,FALSE),0)+(IF(QualitéAlimentsAgneauFemelle_0_3_mois=BONNE,VLOOKUP("Betterave",AlimentsRationOvinsFemelles,5,FALSE),0)+(IF(QualitéAlimentsAgneauMâle_3_6_mois=BONNE,VLOOKUP("Betterave",AlimentsRationOvinsMâles,4,FALSE),0)+(IF(QualitéAlimentsAgneauFemelle_3_6_mois=BONNE,VLOOKUP("Betterave",AlimentsRationOvinsFemelles,4,FALSE),0)+(IF(QualitéAlimentsJeuneBélier=BONNE,VLOOKUP("Betterave",AlimentsRationOvinsMâles,3,FALSE),0)+(IF(QualitéAlimentsJeuneBrebis=BONNE,VLOOKUP("Betterave",AlimentsRationOvinsFemelles,3,FALSE),0)+(IF(QualitéAlimentsBélier=BONNE,VLOOKUP("Betterave",AlimentsRationOvinsMâles,2,FALSE),0)+(IF(QualitéAlimentsBrebis=BONNE,VLOOKUP("Betterave",AlimentsRationOvinsFemelles,2,FALSE),0))))))))))</f>
        <v>0</v>
      </c>
      <c r="DP294" s="1269">
        <f t="array" ref="DP294">SUM((IF(QualitéAlimentsAgneauMâle_0_3_mois=MOYENNE,VLOOKUP("Betterave",AlimentsRationOvinsMâles,5,FALSE),0)+(IF(QualitéAlimentsAgneauFemelle_0_3_mois=MOYENNE,VLOOKUP("Betterave",AlimentsRationOvinsFemelles,5,FALSE),0)+(IF(QualitéAlimentsAgneauMâle_3_6_mois=MOYENNE,VLOOKUP("Betterave",AlimentsRationOvinsMâles,4,FALSE),0)+(IF(QualitéAlimentsAgneauFemelle_3_6_mois=MOYENNE,VLOOKUP("Betterave",AlimentsRationOvinsFemelles,4,FALSE),0)+(IF(QualitéAlimentsJeuneBélier=MOYENNE,VLOOKUP("Betterave",AlimentsRationOvinsMâles,3,FALSE),0)+(IF(QualitéAlimentsJeuneBrebis=MOYENNE,VLOOKUP("Betterave",AlimentsRationOvinsFemelles,3,FALSE),0)+(IF(QualitéAlimentsBélier=MOYENNE,VLOOKUP("Betterave",AlimentsRationOvinsMâles,2,FALSE),0)+(IF(QualitéAlimentsBrebis=MOYENNE,VLOOKUP("Betterave",AlimentsRationOvinsFemelles,2,FALSE),0))))))))))</f>
        <v>0</v>
      </c>
      <c r="DQ294" s="1269">
        <f t="array" ref="DQ294">SUM((IF(QualitéAlimentsAgneauMâle_0_3_mois=MAUVAISE,VLOOKUP("Betterave",AlimentsRationOvinsMâles,5,FALSE),0)+(IF(QualitéAlimentsAgneauFemelle_0_3_mois=MAUVAISE,VLOOKUP("Betterave",AlimentsRationOvinsFemelles,5,FALSE),0)+(IF(QualitéAlimentsAgneauMâle_3_6_mois=MAUVAISE,VLOOKUP("Betterave",AlimentsRationOvinsMâles,4,FALSE),0)+(IF(QualitéAlimentsAgneauFemelle_3_6_mois=MAUVAISE,VLOOKUP("Betterave",AlimentsRationOvinsFemelles,4,FALSE),0)+(IF(QualitéAlimentsJeuneBélier=MAUVAISE,VLOOKUP("Betterave",AlimentsRationOvinsMâles,3,FALSE),0)+(IF(QualitéAlimentsJeuneBrebis=MAUVAISE,VLOOKUP("Betterave",AlimentsRationOvinsFemelles,3,FALSE),0)+(IF(QualitéAlimentsBélier=MAUVAISE,VLOOKUP("Betterave",AlimentsRationOvinsMâles,2,FALSE),0)+(IF(QualitéAlimentsBrebis=MAUVAISE,VLOOKUP("Betterave",AlimentsRationOvinsFemelles,2,FALSE),0))))))))))</f>
        <v>0</v>
      </c>
      <c r="DR294" s="1321"/>
      <c r="DS294" s="1321"/>
      <c r="DT294" s="1346"/>
      <c r="DU294" s="1346"/>
      <c r="DV294" s="1321"/>
      <c r="DW294" s="1321"/>
      <c r="DX294" s="1321"/>
      <c r="DY294" s="1321"/>
      <c r="DZ294" s="1321"/>
      <c r="EA294" s="1321"/>
      <c r="EB294" s="1321"/>
      <c r="EC294" s="1321"/>
      <c r="ED294" s="1345"/>
      <c r="EE294" s="1345"/>
      <c r="EF294" s="1321"/>
      <c r="EG294" s="1321"/>
      <c r="EH294" s="1321"/>
      <c r="EI294" s="1321"/>
      <c r="EJ294" s="1321"/>
      <c r="EK294" s="1345"/>
      <c r="EL294" s="1345"/>
      <c r="EM294" s="1321"/>
      <c r="EN294" s="1321"/>
      <c r="EO294" s="1321"/>
      <c r="EP294" s="1321"/>
      <c r="EQ294" s="1321"/>
      <c r="ER294" s="1345"/>
      <c r="ES294" s="1345"/>
      <c r="ET294" s="1321"/>
      <c r="EU294" s="1321"/>
      <c r="EV294" s="1321"/>
      <c r="EW294" s="1321"/>
      <c r="EX294" s="1321"/>
      <c r="EY294" s="1321"/>
      <c r="EZ294" s="1345"/>
      <c r="FA294" s="1345"/>
      <c r="FB294" s="1345"/>
      <c r="FC294" s="1321"/>
      <c r="FD294" s="1321"/>
      <c r="FE294" s="1321"/>
      <c r="FF294" s="1321"/>
      <c r="FG294" s="1321"/>
      <c r="FH294" s="1321"/>
      <c r="FI294" s="1345"/>
      <c r="FJ294" s="1345"/>
      <c r="FK294" s="1345"/>
      <c r="FL294" s="1345"/>
      <c r="FM294" s="1321"/>
      <c r="FN294" s="1321"/>
      <c r="FO294" s="1321"/>
      <c r="FP294" s="1321"/>
      <c r="FQ294" s="1321"/>
      <c r="FR294" s="1321"/>
      <c r="FS294" s="1345"/>
      <c r="FT294" s="1345"/>
      <c r="FU294" s="1345"/>
      <c r="FV294" s="1345"/>
      <c r="FW294" s="1321"/>
      <c r="FX294" s="1321"/>
      <c r="FY294" s="1321"/>
      <c r="FZ294" s="1321"/>
      <c r="GA294" s="1345"/>
      <c r="GB294" s="1321"/>
      <c r="GC294" s="1321"/>
      <c r="GD294" s="1321"/>
      <c r="GE294" s="1321"/>
      <c r="GF294" s="1321"/>
      <c r="GG294" s="1321" t="s">
        <v>1349</v>
      </c>
      <c r="GH294" s="1321" t="s">
        <v>1349</v>
      </c>
      <c r="GI294" s="1321" t="s">
        <v>1349</v>
      </c>
      <c r="GJ294" s="1321" t="s">
        <v>1349</v>
      </c>
      <c r="GK294" s="1321" t="s">
        <v>1349</v>
      </c>
      <c r="GL294" s="1321" t="s">
        <v>1349</v>
      </c>
      <c r="GM294" s="1321" t="s">
        <v>1349</v>
      </c>
      <c r="GN294" s="1321" t="s">
        <v>1349</v>
      </c>
      <c r="GO294" s="1321" t="s">
        <v>1349</v>
      </c>
      <c r="GP294" s="1321" t="s">
        <v>1349</v>
      </c>
      <c r="GQ294" s="1321" t="s">
        <v>1349</v>
      </c>
      <c r="GR294" s="1321" t="s">
        <v>1349</v>
      </c>
      <c r="GS294" s="1321" t="s">
        <v>1349</v>
      </c>
      <c r="GT294" s="1321" t="s">
        <v>1349</v>
      </c>
      <c r="GU294" s="1321" t="s">
        <v>1349</v>
      </c>
      <c r="GV294" s="1321" t="s">
        <v>1349</v>
      </c>
      <c r="GW294" s="1321"/>
      <c r="GX294" s="1321"/>
      <c r="GY294" s="1321"/>
      <c r="GZ294" s="1321"/>
      <c r="HA294" s="1321"/>
      <c r="HB294" s="1321"/>
      <c r="HC294" s="1321"/>
      <c r="HD294" s="1321"/>
      <c r="HE294" s="1321"/>
      <c r="HF294" s="1321"/>
      <c r="HG294" s="1321"/>
      <c r="HH294" s="1321"/>
      <c r="HI294" s="1321"/>
      <c r="HJ294" s="1321"/>
      <c r="HK294" s="1321"/>
      <c r="HL294" s="1321"/>
      <c r="HM294" s="1321"/>
      <c r="HN294" s="1321"/>
      <c r="HO294" s="1321"/>
      <c r="HP294" s="1321"/>
      <c r="HQ294" s="1321"/>
      <c r="HR294" s="1321"/>
      <c r="HS294" s="1321"/>
      <c r="HT294" s="1321"/>
      <c r="HU294" s="1321"/>
      <c r="HV294" s="1321"/>
      <c r="HW294" s="1321"/>
      <c r="HX294" s="1321"/>
      <c r="HY294" s="1321"/>
      <c r="HZ294" s="1321"/>
      <c r="IA294" s="1321"/>
      <c r="IB294" s="1321"/>
      <c r="IC294" s="1321"/>
      <c r="ID294" s="1321"/>
      <c r="IE294" s="1321"/>
      <c r="IF294" s="1321"/>
      <c r="IG294" s="1321"/>
      <c r="IH294" s="1321"/>
      <c r="II294" s="1321"/>
      <c r="IJ294" s="1321"/>
      <c r="IK294" s="1321"/>
      <c r="IL294" s="1321"/>
      <c r="IM294" s="1321"/>
      <c r="IN294" s="1368"/>
    </row>
    <row r="295" spans="1:248" ht="12.75" customHeight="1" x14ac:dyDescent="0.2">
      <c r="A295" s="1319"/>
      <c r="B295" s="1321"/>
      <c r="C295" s="1321"/>
      <c r="D295" s="1321"/>
      <c r="E295" s="1321"/>
      <c r="F295" s="1321"/>
      <c r="G295" s="1321"/>
      <c r="H295" s="1321"/>
      <c r="I295" s="1321"/>
      <c r="J295" s="1321"/>
      <c r="K295" s="1321"/>
      <c r="L295" s="1321"/>
      <c r="M295" s="1321"/>
      <c r="N295" s="1321"/>
      <c r="O295" s="1321"/>
      <c r="P295" s="1321"/>
      <c r="Q295" s="1321"/>
      <c r="R295" s="1321"/>
      <c r="S295" s="1321"/>
      <c r="T295" s="1321"/>
      <c r="U295" s="1321"/>
      <c r="V295" s="1321"/>
      <c r="W295" s="1321"/>
      <c r="X295" s="1321"/>
      <c r="Y295" s="1321"/>
      <c r="Z295" s="1321"/>
      <c r="AA295" s="1321"/>
      <c r="AB295" s="1321"/>
      <c r="AC295" s="1321"/>
      <c r="AD295" s="1321"/>
      <c r="AE295" s="1321"/>
      <c r="AF295" s="1321"/>
      <c r="AG295" s="1321"/>
      <c r="AH295" s="1321"/>
      <c r="AI295" s="1321"/>
      <c r="AJ295" s="1321"/>
      <c r="AK295" s="1321"/>
      <c r="AL295" s="1321"/>
      <c r="AM295" s="1321"/>
      <c r="AN295" s="1321"/>
      <c r="AO295" s="1321"/>
      <c r="AP295" s="1321"/>
      <c r="AQ295" s="1321"/>
      <c r="AR295" s="1321"/>
      <c r="AS295" s="1321"/>
      <c r="AT295" s="1321"/>
      <c r="AU295" s="1321"/>
      <c r="AV295" s="1321"/>
      <c r="AW295" s="1321"/>
      <c r="AX295" s="1321"/>
      <c r="AY295" s="1321"/>
      <c r="AZ295" s="1321"/>
      <c r="BA295" s="1321"/>
      <c r="BB295" s="1075" t="str">
        <f t="shared" si="79"/>
        <v>Eau</v>
      </c>
      <c r="BC295" s="1075">
        <f t="array" ref="BC295">IFERROR(IF(OR(AND(INDEX(Règles_bovins[Specificite],MATCH(RationHivernaleBovinsAuPré&amp;$BB295,Règles_bovins[Ration]&amp;Règles_bovins[Aliment],0))="s1",IF($BB295=Spécificité1Bovins,1)),
AND(INDEX(Règles_bovins[Specificite],MATCH(RationHivernaleBovinsAuPré&amp;$BB295,Règles_bovins[Ration]&amp;Règles_bovins[Aliment],0))="s2",IF($BB295=Spécificité2Bovins,1)),
INDEX(Règles_bovins[Specificite],MATCH(RationHivernaleBovinsAuPré&amp;$BB295,Règles_bovins[Ration]&amp;Règles_bovins[Aliment],0))="c"),
INDEX(Règles_bovins[Valeur 36 et plus],MATCH(RationHivernaleBovinsAuPré&amp;$BB295,Règles_bovins[Ration]&amp;Règles_bovins[Aliment],0)),0),0)*IF(SUM(TotalBovinsAdultesAuPré)&gt;0,SUM(TotalBovinsAdultesAuPré),SUM(TotalBovinsAdultes))*(84-NbreJoursMaxBovinsAuPré)</f>
        <v>0</v>
      </c>
      <c r="BD295" s="1075">
        <f t="array" ref="BD295">IFERROR(IF(OR(AND(INDEX(Règles_bovins[Specificite],MATCH(RationHivernaleBovinsAuPré&amp;$BB295,Règles_bovins[Ration]&amp;Règles_bovins[Aliment],0))="s1",IF($BB295=Spécificité1Bovins,1)),
AND(INDEX(Règles_bovins[Specificite],MATCH(RationHivernaleBovinsAuPré&amp;$BB295,Règles_bovins[Ration]&amp;Règles_bovins[Aliment],0))="s2",IF($BB295=Spécificité2Bovins,1)),
INDEX(Règles_bovins[Specificite],MATCH(RationHivernaleBovinsAuPré&amp;$BB295,Règles_bovins[Ration]&amp;Règles_bovins[Aliment],0))="c"),
INDEX(Règles_bovins[Valeur 24-36],MATCH(RationHivernaleBovinsAuPré&amp;$BB295,Règles_bovins[Ration]&amp;Règles_bovins[Aliment],0)),0),0)*IF(SUM(TotalBovins_24_36moisAuPré)&gt;0,SUM(TotalBovins_24_36moisAuPré),SUM(TotalBovins_24_36mois))*(84-NbreJoursMaxBovinsAuPré)</f>
        <v>0</v>
      </c>
      <c r="BE295" s="1075">
        <f t="array" ref="BE295">IFERROR(IF(OR(AND(INDEX(Règles_bovins[Specificite],MATCH(RationHivernaleBovinsAuPré&amp;$BB295,Règles_bovins[Ration]&amp;Règles_bovins[Aliment],0))="s1",IF($BB295=Spécificité1Bovins,1)),
AND(INDEX(Règles_bovins[Specificite],MATCH(RationHivernaleBovinsAuPré&amp;$BB295,Règles_bovins[Ration]&amp;Règles_bovins[Aliment],0))="s2",IF($BB295=Spécificité2Bovins,1)),
INDEX(Règles_bovins[Specificite],MATCH(RationHivernaleBovinsAuPré&amp;$BB295,Règles_bovins[Ration]&amp;Règles_bovins[Aliment],0))="c"),
INDEX(Règles_bovins[Valeur 18-24],MATCH(RationHivernaleBovinsAuPré&amp;$BB295,Règles_bovins[Ration]&amp;Règles_bovins[Aliment],0)),0),0)*IF(SUM(TotalBovins_18_24moisAuPré)&gt;0,SUM(TotalBovins_18_24moisAuPré),SUM(TotalBovins_18_24mois))*(84-NbreJoursMaxBovinsAuPré)</f>
        <v>0</v>
      </c>
      <c r="BF295" s="1075">
        <f t="array" ref="BF295">IFERROR(IF(OR(AND(INDEX(Règles_bovins[Specificite],MATCH(RationHivernaleBovinsAuPré&amp;$BB295,Règles_bovins[Ration]&amp;Règles_bovins[Aliment],0))="s1",IF($BB295=Spécificité1Bovins,1)),
AND(INDEX(Règles_bovins[Specificite],MATCH(RationHivernaleBovinsAuPré&amp;$BB295,Règles_bovins[Ration]&amp;Règles_bovins[Aliment],0))="s2",IF($BB295=Spécificité2Bovins,1)),
INDEX(Règles_bovins[Specificite],MATCH(RationHivernaleBovinsAuPré&amp;$BB295,Règles_bovins[Ration]&amp;Règles_bovins[Aliment],0))="c"),
INDEX(Règles_bovins[Valeur 12-18],MATCH(RationHivernaleBovinsAuPré&amp;$BB295,Règles_bovins[Ration]&amp;Règles_bovins[Aliment],0)),0),0)*IF(SUM(TotalBovins_12_18moisAuPré)&gt;0,SUM(TotalBovins_12_18moisAuPré),SUM(TotalBovins_12_18mois))*(84-NbreJoursMaxBovinsAuPré)</f>
        <v>0</v>
      </c>
      <c r="BG295" s="1075">
        <f t="array" ref="BG295">IFERROR(IF(OR(AND(INDEX(Règles_bovins[Specificite],MATCH(RationHivernaleBovinsAuPré&amp;$BB295,Règles_bovins[Ration]&amp;Règles_bovins[Aliment],0))="s1",IF($BB295=Spécificité1Bovins,1)),
AND(INDEX(Règles_bovins[Specificite],MATCH(RationHivernaleBovinsAuPré&amp;$BB295,Règles_bovins[Ration]&amp;Règles_bovins[Aliment],0))="s2",IF($BB295=Spécificité2Bovins,1)),
INDEX(Règles_bovins[Specificite],MATCH(RationHivernaleBovinsAuPré&amp;$BB295,Règles_bovins[Ration]&amp;Règles_bovins[Aliment],0))="c"),
INDEX(Règles_bovins[Valeur 6-12],MATCH(RationHivernaleBovinsAuPré&amp;$BB295,Règles_bovins[Ration]&amp;Règles_bovins[Aliment],0)),0),0)*IF(SUM(TotalBovins_6_12moisAuPré)&gt;0,SUM(TotalBovins_6_12moisAuPré),SUM(TotalBovins_6_12mois))*(84-NbreJoursMaxBovinsAuPré)</f>
        <v>0</v>
      </c>
      <c r="BH295" s="1075">
        <f t="array" ref="BH295">IFERROR(IF(OR(AND(INDEX(Règles_bovins[Specificite],MATCH(RationHivernaleBovinsAuPré&amp;$BB295,Règles_bovins[Ration]&amp;Règles_bovins[Aliment],0))="s1",IF($BB295=Spécificité1Bovins,1)),
AND(INDEX(Règles_bovins[Specificite],MATCH(RationHivernaleBovinsAuPré&amp;$BB295,Règles_bovins[Ration]&amp;Règles_bovins[Aliment],0))="s2",IF($BB295=Spécificité2Bovins,1)),
INDEX(Règles_bovins[Specificite],MATCH(RationHivernaleBovinsAuPré&amp;$BB295,Règles_bovins[Ration]&amp;Règles_bovins[Aliment],0))="c"),
INDEX(Règles_bovins[Valeur 3-6],MATCH(RationHivernaleBovinsAuPré&amp;$BB295,Règles_bovins[Ration]&amp;Règles_bovins[Aliment],0)),0),0)*IF(SUM(TotalBovins_3_6moisAuPré)&gt;0,SUM(TotalBovins_3_6moisAuPré),SUM(TotalBovins_3_6mois))*(84-NbreJoursMaxBovinsAuPré)</f>
        <v>0</v>
      </c>
      <c r="BI295" s="1075">
        <f t="array" ref="BI295">IFERROR(IF(OR(AND(INDEX(Règles_bovins[Specificite],MATCH(RationHivernaleBovinsAuPré&amp;$BB295,Règles_bovins[Ration]&amp;Règles_bovins[Aliment],0))="s1",IF($BB295=Spécificité1Bovins,1)),
AND(INDEX(Règles_bovins[Specificite],MATCH(RationHivernaleBovinsAuPré&amp;$BB295,Règles_bovins[Ration]&amp;Règles_bovins[Aliment],0))="s2",IF($BB295=Spécificité2Bovins,1)),
INDEX(Règles_bovins[Specificite],MATCH(RationHivernaleBovinsAuPré&amp;$BB295,Règles_bovins[Ration]&amp;Règles_bovins[Aliment],0))="c"),
INDEX(Règles_bovins[Valeur 0-3],MATCH(RationHivernaleBovinsAuPré&amp;$BB295,Règles_bovins[Ration]&amp;Règles_bovins[Aliment],0)),0),0)*IF(SUM(TotalBovins_0_3moisAuPré)&gt;0,SUM(TotalBovins_0_3moisAuPré),SUM(TotalBovins_0_3mois))*(84-NbreJoursMaxBovinsAuPré)</f>
        <v>0</v>
      </c>
      <c r="BJ295" s="1270">
        <f t="shared" si="78"/>
        <v>0</v>
      </c>
      <c r="BK295" s="1345"/>
      <c r="BL295" s="1345"/>
      <c r="BM295" s="1346"/>
      <c r="BN295" s="1321"/>
      <c r="BO295" s="1321"/>
      <c r="BP295" s="1321"/>
      <c r="BQ295" s="1321"/>
      <c r="BR295" s="1321"/>
      <c r="BS295" s="1321"/>
      <c r="BT295" s="1321"/>
      <c r="BU295" s="1321"/>
      <c r="BV295" s="1345"/>
      <c r="BW295" s="1345"/>
      <c r="BX295" s="1321"/>
      <c r="BY295" s="1321"/>
      <c r="BZ295" s="1321"/>
      <c r="CA295" s="1321"/>
      <c r="CB295" s="1321"/>
      <c r="CC295" s="1321"/>
      <c r="CD295" s="1345"/>
      <c r="CE295" s="1345"/>
      <c r="CF295" s="1345"/>
      <c r="CG295" s="1345"/>
      <c r="CH295" s="1345"/>
      <c r="CI295" s="1321"/>
      <c r="CJ295" s="1321"/>
      <c r="CK295" s="1321"/>
      <c r="CL295" s="1321"/>
      <c r="CM295" s="1321"/>
      <c r="CN295" s="1321"/>
      <c r="CO295" s="1321"/>
      <c r="CP295" s="1321"/>
      <c r="CQ295" s="1321"/>
      <c r="CR295" s="1321"/>
      <c r="CS295" s="1321"/>
      <c r="CT295" s="1321"/>
      <c r="CU295" s="1321"/>
      <c r="CV295" s="1321"/>
      <c r="CW295" s="1321"/>
      <c r="CX295" s="1321"/>
      <c r="CY295" s="1321"/>
      <c r="CZ295" s="1321"/>
      <c r="DA295" s="1321"/>
      <c r="DB295" s="1321"/>
      <c r="DC295" s="1321"/>
      <c r="DD295" s="1321"/>
      <c r="DE295" s="1321"/>
      <c r="DF295" s="1321"/>
      <c r="DG295" s="1321"/>
      <c r="DH295" s="1321"/>
      <c r="DI295" s="1321"/>
      <c r="DJ295" s="1321"/>
      <c r="DK295" s="1321"/>
      <c r="DL295" s="1321"/>
      <c r="DM295" s="1321"/>
      <c r="DN295" s="1076" t="str">
        <f t="shared" si="80"/>
        <v>Blé</v>
      </c>
      <c r="DO295" s="1267">
        <f t="array" ref="DO295">SUM((IF(QualitéAlimentsAgneauMâle_0_3_mois=BONNE,VLOOKUP("Blé",AlimentsRationOvinsMâles,5,FALSE),0)+(IF(QualitéAlimentsAgneauFemelle_0_3_mois=BONNE,VLOOKUP("Blé",AlimentsRationOvinsFemelles,5,FALSE),0)+(IF(QualitéAlimentsAgneauMâle_3_6_mois=BONNE,VLOOKUP("Blé",AlimentsRationOvinsMâles,4,FALSE),0)+(IF(QualitéAlimentsAgneauFemelle_3_6_mois=BONNE,VLOOKUP("Blé",AlimentsRationOvinsFemelles,4,FALSE),0)+(IF(QualitéAlimentsJeuneBélier=BONNE,VLOOKUP("Blé",AlimentsRationOvinsMâles,3,FALSE),0)+(IF(QualitéAlimentsJeuneBrebis=BONNE,VLOOKUP("Blé",AlimentsRationOvinsFemelles,3,FALSE),0)+(IF(QualitéAlimentsBélier=BONNE,VLOOKUP("Blé",AlimentsRationOvinsMâles,2,FALSE),0)+(IF(QualitéAlimentsBrebis=BONNE,VLOOKUP("Blé",AlimentsRationOvinsFemelles,2,FALSE),0))))))))))</f>
        <v>0</v>
      </c>
      <c r="DP295" s="1267">
        <f t="array" ref="DP295">SUM((IF(QualitéAlimentsAgneauMâle_0_3_mois=MOYENNE,VLOOKUP("Blé",AlimentsRationOvinsMâles,5,FALSE),0)+(IF(QualitéAlimentsAgneauFemelle_0_3_mois=MOYENNE,VLOOKUP("Blé",AlimentsRationOvinsFemelles,5,FALSE),0)+(IF(QualitéAlimentsAgneauMâle_3_6_mois=MOYENNE,VLOOKUP("Blé",AlimentsRationOvinsMâles,4,FALSE),0)+(IF(QualitéAlimentsAgneauFemelle_3_6_mois=MOYENNE,VLOOKUP("Blé",AlimentsRationOvinsFemelles,4,FALSE),0)+(IF(QualitéAlimentsJeuneBélier=MOYENNE,VLOOKUP("Blé",AlimentsRationOvinsMâles,3,FALSE),0)+(IF(QualitéAlimentsJeuneBrebis=MOYENNE,VLOOKUP("Blé",AlimentsRationOvinsFemelles,3,FALSE),0)+(IF(QualitéAlimentsBélier=MOYENNE,VLOOKUP("Blé",AlimentsRationOvinsMâles,2,FALSE),0)+(IF(QualitéAlimentsBrebis=MOYENNE,VLOOKUP("Blé",AlimentsRationOvinsFemelles,2,FALSE),0))))))))))</f>
        <v>0</v>
      </c>
      <c r="DQ295" s="1267">
        <f t="array" ref="DQ295">SUM((IF(QualitéAlimentsAgneauMâle_0_3_mois=MAUVAISE,VLOOKUP("Blé",AlimentsRationOvinsMâles,5,FALSE),0)+(IF(QualitéAlimentsAgneauFemelle_0_3_mois=MAUVAISE,VLOOKUP("Blé",AlimentsRationOvinsFemelles,5,FALSE),0)+(IF(QualitéAlimentsAgneauMâle_3_6_mois=MAUVAISE,VLOOKUP("Blé",AlimentsRationOvinsMâles,4,FALSE),0)+(IF(QualitéAlimentsAgneauFemelle_3_6_mois=MAUVAISE,VLOOKUP("Blé",AlimentsRationOvinsFemelles,4,FALSE),0)+(IF(QualitéAlimentsJeuneBélier=MAUVAISE,VLOOKUP("Blé",AlimentsRationOvinsMâles,3,FALSE),0)+(IF(QualitéAlimentsJeuneBrebis=MAUVAISE,VLOOKUP("Blé",AlimentsRationOvinsFemelles,3,FALSE),0)+(IF(QualitéAlimentsBélier=MAUVAISE,VLOOKUP("Blé",AlimentsRationOvinsMâles,2,FALSE),0)+(IF(QualitéAlimentsBrebis=MAUVAISE,VLOOKUP("Blé",AlimentsRationOvinsFemelles,2,FALSE),0))))))))))</f>
        <v>0</v>
      </c>
      <c r="DR295" s="1321"/>
      <c r="DS295" s="1321"/>
      <c r="DT295" s="1346"/>
      <c r="DU295" s="1346"/>
      <c r="DV295" s="1321"/>
      <c r="DW295" s="1321"/>
      <c r="DX295" s="1321"/>
      <c r="DY295" s="1321"/>
      <c r="DZ295" s="1321"/>
      <c r="EA295" s="1321"/>
      <c r="EB295" s="1321"/>
      <c r="EC295" s="1321"/>
      <c r="ED295" s="1345"/>
      <c r="EE295" s="1345"/>
      <c r="EF295" s="1321"/>
      <c r="EG295" s="1321"/>
      <c r="EH295" s="1321"/>
      <c r="EI295" s="1321"/>
      <c r="EJ295" s="1321"/>
      <c r="EK295" s="1345"/>
      <c r="EL295" s="1345"/>
      <c r="EM295" s="1321"/>
      <c r="EN295" s="1321"/>
      <c r="EO295" s="1321"/>
      <c r="EP295" s="1321"/>
      <c r="EQ295" s="1321"/>
      <c r="ER295" s="1345"/>
      <c r="ES295" s="1345"/>
      <c r="ET295" s="1321"/>
      <c r="EU295" s="1321"/>
      <c r="EV295" s="1321"/>
      <c r="EW295" s="1321"/>
      <c r="EX295" s="1321"/>
      <c r="EY295" s="1321"/>
      <c r="EZ295" s="1345"/>
      <c r="FA295" s="1345"/>
      <c r="FB295" s="1345"/>
      <c r="FC295" s="1321"/>
      <c r="FD295" s="1321"/>
      <c r="FE295" s="1321"/>
      <c r="FF295" s="1321"/>
      <c r="FG295" s="1321"/>
      <c r="FH295" s="1321"/>
      <c r="FI295" s="1345"/>
      <c r="FJ295" s="1345"/>
      <c r="FK295" s="1345"/>
      <c r="FL295" s="1345"/>
      <c r="FM295" s="1321"/>
      <c r="FN295" s="1321"/>
      <c r="FO295" s="1321"/>
      <c r="FP295" s="1321"/>
      <c r="FQ295" s="1321"/>
      <c r="FR295" s="1321"/>
      <c r="FS295" s="1345"/>
      <c r="FT295" s="1345"/>
      <c r="FU295" s="1345"/>
      <c r="FV295" s="1345"/>
      <c r="FW295" s="1321"/>
      <c r="FX295" s="1321"/>
      <c r="FY295" s="1321"/>
      <c r="FZ295" s="1321"/>
      <c r="GA295" s="1345"/>
      <c r="GB295" s="1321"/>
      <c r="GC295" s="1321"/>
      <c r="GD295" s="1321"/>
      <c r="GE295" s="1321"/>
      <c r="GF295" s="1321"/>
      <c r="GG295" s="1321" t="s">
        <v>1349</v>
      </c>
      <c r="GH295" s="1321" t="s">
        <v>1349</v>
      </c>
      <c r="GI295" s="1321" t="s">
        <v>1349</v>
      </c>
      <c r="GJ295" s="1321" t="s">
        <v>1349</v>
      </c>
      <c r="GK295" s="1321" t="s">
        <v>1349</v>
      </c>
      <c r="GL295" s="1321" t="s">
        <v>1349</v>
      </c>
      <c r="GM295" s="1321" t="s">
        <v>1349</v>
      </c>
      <c r="GN295" s="1321" t="s">
        <v>1349</v>
      </c>
      <c r="GO295" s="1321" t="s">
        <v>1349</v>
      </c>
      <c r="GP295" s="1321" t="s">
        <v>1349</v>
      </c>
      <c r="GQ295" s="1321" t="s">
        <v>1349</v>
      </c>
      <c r="GR295" s="1321" t="s">
        <v>1349</v>
      </c>
      <c r="GS295" s="1321" t="s">
        <v>1349</v>
      </c>
      <c r="GT295" s="1321" t="s">
        <v>1349</v>
      </c>
      <c r="GU295" s="1321" t="s">
        <v>1349</v>
      </c>
      <c r="GV295" s="1321" t="s">
        <v>1349</v>
      </c>
      <c r="GW295" s="1321"/>
      <c r="GX295" s="1321"/>
      <c r="GY295" s="1321"/>
      <c r="GZ295" s="1321"/>
      <c r="HA295" s="1321"/>
      <c r="HB295" s="1321"/>
      <c r="HC295" s="1321"/>
      <c r="HD295" s="1321"/>
      <c r="HE295" s="1321"/>
      <c r="HF295" s="1321"/>
      <c r="HG295" s="1321"/>
      <c r="HH295" s="1321"/>
      <c r="HI295" s="1321"/>
      <c r="HJ295" s="1321"/>
      <c r="HK295" s="1321"/>
      <c r="HL295" s="1321"/>
      <c r="HM295" s="1321"/>
      <c r="HN295" s="1321"/>
      <c r="HO295" s="1321"/>
      <c r="HP295" s="1321"/>
      <c r="HQ295" s="1321"/>
      <c r="HR295" s="1321"/>
      <c r="HS295" s="1321"/>
      <c r="HT295" s="1321"/>
      <c r="HU295" s="1321"/>
      <c r="HV295" s="1321"/>
      <c r="HW295" s="1321"/>
      <c r="HX295" s="1321"/>
      <c r="HY295" s="1321"/>
      <c r="HZ295" s="1321"/>
      <c r="IA295" s="1321"/>
      <c r="IB295" s="1321"/>
      <c r="IC295" s="1321"/>
      <c r="ID295" s="1321"/>
      <c r="IE295" s="1321"/>
      <c r="IF295" s="1321"/>
      <c r="IG295" s="1321"/>
      <c r="IH295" s="1321"/>
      <c r="II295" s="1321"/>
      <c r="IJ295" s="1321"/>
      <c r="IK295" s="1321"/>
      <c r="IL295" s="1321"/>
      <c r="IM295" s="1321"/>
      <c r="IN295" s="1368"/>
    </row>
    <row r="296" spans="1:248" ht="12.75" customHeight="1" x14ac:dyDescent="0.2">
      <c r="A296" s="1319"/>
      <c r="B296" s="1321"/>
      <c r="C296" s="1321"/>
      <c r="D296" s="1321"/>
      <c r="E296" s="1321"/>
      <c r="F296" s="1321"/>
      <c r="G296" s="1321"/>
      <c r="H296" s="1321"/>
      <c r="I296" s="1321"/>
      <c r="J296" s="1321"/>
      <c r="K296" s="1321"/>
      <c r="L296" s="1321"/>
      <c r="M296" s="1321"/>
      <c r="N296" s="1321"/>
      <c r="O296" s="1321"/>
      <c r="P296" s="1321"/>
      <c r="Q296" s="1321"/>
      <c r="R296" s="1321"/>
      <c r="S296" s="1321"/>
      <c r="T296" s="1321"/>
      <c r="U296" s="1321"/>
      <c r="V296" s="1321"/>
      <c r="W296" s="1321"/>
      <c r="X296" s="1321"/>
      <c r="Y296" s="1321"/>
      <c r="Z296" s="1321"/>
      <c r="AA296" s="1321"/>
      <c r="AB296" s="1321"/>
      <c r="AC296" s="1321"/>
      <c r="AD296" s="1321"/>
      <c r="AE296" s="1321"/>
      <c r="AF296" s="1321"/>
      <c r="AG296" s="1321"/>
      <c r="AH296" s="1321"/>
      <c r="AI296" s="1321"/>
      <c r="AJ296" s="1321"/>
      <c r="AK296" s="1321"/>
      <c r="AL296" s="1321"/>
      <c r="AM296" s="1321"/>
      <c r="AN296" s="1321"/>
      <c r="AO296" s="1321"/>
      <c r="AP296" s="1321"/>
      <c r="AQ296" s="1321"/>
      <c r="AR296" s="1321"/>
      <c r="AS296" s="1321"/>
      <c r="AT296" s="1321"/>
      <c r="AU296" s="1321"/>
      <c r="AV296" s="1321"/>
      <c r="AW296" s="1321"/>
      <c r="AX296" s="1321"/>
      <c r="AY296" s="1321"/>
      <c r="AZ296" s="1321"/>
      <c r="BA296" s="1321"/>
      <c r="BB296" s="1076" t="str">
        <f t="shared" si="79"/>
        <v>Epinard</v>
      </c>
      <c r="BC296" s="1076">
        <f t="array" ref="BC296">IFERROR(IF(OR(AND(INDEX(Règles_bovins[Specificite],MATCH(RationHivernaleBovinsAuPré&amp;$BB296,Règles_bovins[Ration]&amp;Règles_bovins[Aliment],0))="s1",IF($BB296=Spécificité1Bovins,1)),
AND(INDEX(Règles_bovins[Specificite],MATCH(RationHivernaleBovinsAuPré&amp;$BB296,Règles_bovins[Ration]&amp;Règles_bovins[Aliment],0))="s2",IF($BB296=Spécificité2Bovins,1)),
INDEX(Règles_bovins[Specificite],MATCH(RationHivernaleBovinsAuPré&amp;$BB296,Règles_bovins[Ration]&amp;Règles_bovins[Aliment],0))="c"),
INDEX(Règles_bovins[Valeur 36 et plus],MATCH(RationHivernaleBovinsAuPré&amp;$BB296,Règles_bovins[Ration]&amp;Règles_bovins[Aliment],0)),0),0)*IF(SUM(TotalBovinsAdultesAuPré)&gt;0,SUM(TotalBovinsAdultesAuPré),SUM(TotalBovinsAdultes))*35</f>
        <v>0</v>
      </c>
      <c r="BD296" s="1076">
        <f t="array" ref="BD296">IFERROR(IF(OR(AND(INDEX(Règles_bovins[Specificite],MATCH(RationHivernaleBovinsAuPré&amp;$BB296,Règles_bovins[Ration]&amp;Règles_bovins[Aliment],0))="s1",IF($BB296=Spécificité1Bovins,1)),
AND(INDEX(Règles_bovins[Specificite],MATCH(RationHivernaleBovinsAuPré&amp;$BB296,Règles_bovins[Ration]&amp;Règles_bovins[Aliment],0))="s2",IF($BB296=Spécificité2Bovins,1)),
INDEX(Règles_bovins[Specificite],MATCH(RationHivernaleBovinsAuPré&amp;$BB296,Règles_bovins[Ration]&amp;Règles_bovins[Aliment],0))="c"),
INDEX(Règles_bovins[Valeur 24-36],MATCH(RationHivernaleBovinsAuPré&amp;$BB296,Règles_bovins[Ration]&amp;Règles_bovins[Aliment],0)),0),0)*IF(SUM(TotalBovins_24_36moisAuPré)&gt;0,SUM(TotalBovins_24_36moisAuPré),SUM(TotalBovins_24_36mois))*35</f>
        <v>0</v>
      </c>
      <c r="BE296" s="1076">
        <f t="array" ref="BE296">IFERROR(IF(OR(AND(INDEX(Règles_bovins[Specificite],MATCH(RationHivernaleBovinsAuPré&amp;$BB296,Règles_bovins[Ration]&amp;Règles_bovins[Aliment],0))="s1",IF($BB296=Spécificité1Bovins,1)),
AND(INDEX(Règles_bovins[Specificite],MATCH(RationHivernaleBovinsAuPré&amp;$BB296,Règles_bovins[Ration]&amp;Règles_bovins[Aliment],0))="s2",IF($BB296=Spécificité2Bovins,1)),
INDEX(Règles_bovins[Specificite],MATCH(RationHivernaleBovinsAuPré&amp;$BB296,Règles_bovins[Ration]&amp;Règles_bovins[Aliment],0))="c"),
INDEX(Règles_bovins[Valeur 18-24],MATCH(RationHivernaleBovinsAuPré&amp;$BB296,Règles_bovins[Ration]&amp;Règles_bovins[Aliment],0)),0),0)*IF(SUM(TotalBovins_18_24moisAuPré)&gt;0,SUM(TotalBovins_18_24moisAuPré),SUM(TotalBovins_18_24mois))*35</f>
        <v>0</v>
      </c>
      <c r="BF296" s="1076">
        <f t="array" ref="BF296">IFERROR(IF(OR(AND(INDEX(Règles_bovins[Specificite],MATCH(RationHivernaleBovinsAuPré&amp;$BB296,Règles_bovins[Ration]&amp;Règles_bovins[Aliment],0))="s1",IF($BB296=Spécificité1Bovins,1)),
AND(INDEX(Règles_bovins[Specificite],MATCH(RationHivernaleBovinsAuPré&amp;$BB296,Règles_bovins[Ration]&amp;Règles_bovins[Aliment],0))="s2",IF($BB296=Spécificité2Bovins,1)),
INDEX(Règles_bovins[Specificite],MATCH(RationHivernaleBovinsAuPré&amp;$BB296,Règles_bovins[Ration]&amp;Règles_bovins[Aliment],0))="c"),
INDEX(Règles_bovins[Valeur 12-18],MATCH(RationHivernaleBovinsAuPré&amp;$BB296,Règles_bovins[Ration]&amp;Règles_bovins[Aliment],0)),0),0)*IF(SUM(TotalBovins_12_18moisAuPré)&gt;0,SUM(TotalBovins_12_18moisAuPré),SUM(TotalBovins_12_18mois))*35</f>
        <v>0</v>
      </c>
      <c r="BG296" s="1076">
        <f t="array" ref="BG296">IFERROR(IF(OR(AND(INDEX(Règles_bovins[Specificite],MATCH(RationHivernaleBovinsAuPré&amp;$BB296,Règles_bovins[Ration]&amp;Règles_bovins[Aliment],0))="s1",IF($BB296=Spécificité1Bovins,1)),
AND(INDEX(Règles_bovins[Specificite],MATCH(RationHivernaleBovinsAuPré&amp;$BB296,Règles_bovins[Ration]&amp;Règles_bovins[Aliment],0))="s2",IF($BB296=Spécificité2Bovins,1)),
INDEX(Règles_bovins[Specificite],MATCH(RationHivernaleBovinsAuPré&amp;$BB296,Règles_bovins[Ration]&amp;Règles_bovins[Aliment],0))="c"),
INDEX(Règles_bovins[Valeur 6-12],MATCH(RationHivernaleBovinsAuPré&amp;$BB296,Règles_bovins[Ration]&amp;Règles_bovins[Aliment],0)),0),0)*IF(SUM(TotalBovins_6_12moisAuPré)&gt;0,SUM(TotalBovins_6_12moisAuPré),SUM(TotalBovins_6_12mois))*35</f>
        <v>0</v>
      </c>
      <c r="BH296" s="1076">
        <f t="array" ref="BH296">IFERROR(IF(OR(AND(INDEX(Règles_bovins[Specificite],MATCH(RationHivernaleBovinsAuPré&amp;$BB296,Règles_bovins[Ration]&amp;Règles_bovins[Aliment],0))="s1",IF($BB296=Spécificité1Bovins,1)),
AND(INDEX(Règles_bovins[Specificite],MATCH(RationHivernaleBovinsAuPré&amp;$BB296,Règles_bovins[Ration]&amp;Règles_bovins[Aliment],0))="s2",IF($BB296=Spécificité2Bovins,1)),
INDEX(Règles_bovins[Specificite],MATCH(RationHivernaleBovinsAuPré&amp;$BB296,Règles_bovins[Ration]&amp;Règles_bovins[Aliment],0))="c"),
INDEX(Règles_bovins[Valeur 3-6],MATCH(RationHivernaleBovinsAuPré&amp;$BB296,Règles_bovins[Ration]&amp;Règles_bovins[Aliment],0)),0),0)*IF(SUM(TotalBovins_3_6moisAuPré)&gt;0,SUM(TotalBovins_3_6moisAuPré),SUM(TotalBovins_3_6mois))*35</f>
        <v>0</v>
      </c>
      <c r="BI296" s="1076">
        <f t="array" ref="BI296">IFERROR(IF(OR(AND(INDEX(Règles_bovins[Specificite],MATCH(RationHivernaleBovinsAuPré&amp;$BB296,Règles_bovins[Ration]&amp;Règles_bovins[Aliment],0))="s1",IF($BB296=Spécificité1Bovins,1)),
AND(INDEX(Règles_bovins[Specificite],MATCH(RationHivernaleBovinsAuPré&amp;$BB296,Règles_bovins[Ration]&amp;Règles_bovins[Aliment],0))="s2",IF($BB296=Spécificité2Bovins,1)),
INDEX(Règles_bovins[Specificite],MATCH(RationHivernaleBovinsAuPré&amp;$BB296,Règles_bovins[Ration]&amp;Règles_bovins[Aliment],0))="c"),
INDEX(Règles_bovins[Valeur 0-3],MATCH(RationHivernaleBovinsAuPré&amp;$BB296,Règles_bovins[Ration]&amp;Règles_bovins[Aliment],0)),0),0)*IF(SUM(TotalBovins_0_3moisAuPré)&gt;0,SUM(TotalBovins_0_3moisAuPré),SUM(TotalBovins_0_3mois))*35</f>
        <v>0</v>
      </c>
      <c r="BJ296" s="1268">
        <f t="shared" si="78"/>
        <v>0</v>
      </c>
      <c r="BK296" s="1345"/>
      <c r="BL296" s="1345"/>
      <c r="BM296" s="1346"/>
      <c r="BN296" s="1321"/>
      <c r="BO296" s="1321"/>
      <c r="BP296" s="1321"/>
      <c r="BQ296" s="1321"/>
      <c r="BR296" s="1321"/>
      <c r="BS296" s="1321"/>
      <c r="BT296" s="1321"/>
      <c r="BU296" s="1321"/>
      <c r="BV296" s="1345"/>
      <c r="BW296" s="1345"/>
      <c r="BX296" s="1321"/>
      <c r="BY296" s="1321"/>
      <c r="BZ296" s="1321"/>
      <c r="CA296" s="1321"/>
      <c r="CB296" s="1321"/>
      <c r="CC296" s="1321"/>
      <c r="CD296" s="1345"/>
      <c r="CE296" s="1345"/>
      <c r="CF296" s="1345"/>
      <c r="CG296" s="1345"/>
      <c r="CH296" s="1345"/>
      <c r="CI296" s="1321"/>
      <c r="CJ296" s="1321"/>
      <c r="CK296" s="1321"/>
      <c r="CL296" s="1321"/>
      <c r="CM296" s="1321"/>
      <c r="CN296" s="1321"/>
      <c r="CO296" s="1321"/>
      <c r="CP296" s="1321"/>
      <c r="CQ296" s="1321"/>
      <c r="CR296" s="1321"/>
      <c r="CS296" s="1321"/>
      <c r="CT296" s="1321"/>
      <c r="CU296" s="1321"/>
      <c r="CV296" s="1321"/>
      <c r="CW296" s="1321"/>
      <c r="CX296" s="1321"/>
      <c r="CY296" s="1321"/>
      <c r="CZ296" s="1321"/>
      <c r="DA296" s="1321"/>
      <c r="DB296" s="1321"/>
      <c r="DC296" s="1321"/>
      <c r="DD296" s="1321"/>
      <c r="DE296" s="1321"/>
      <c r="DF296" s="1321"/>
      <c r="DG296" s="1321"/>
      <c r="DH296" s="1321"/>
      <c r="DI296" s="1321"/>
      <c r="DJ296" s="1321"/>
      <c r="DK296" s="1321"/>
      <c r="DL296" s="1321"/>
      <c r="DM296" s="1321"/>
      <c r="DN296" s="1075" t="str">
        <f t="shared" si="80"/>
        <v>Bouchons luzerne</v>
      </c>
      <c r="DO296" s="1269">
        <f t="array" ref="DO296">SUM((IF(QualitéAlimentsAgneauMâle_0_3_mois=BONNE,VLOOKUP("Bouchons luzerne",AlimentsRationOvinsMâles,5,FALSE),0)+(IF(QualitéAlimentsAgneauFemelle_0_3_mois=BONNE,VLOOKUP("Bouchons luzerne",AlimentsRationOvinsFemelles,5,FALSE),0)+(IF(QualitéAlimentsAgneauMâle_3_6_mois=BONNE,VLOOKUP("Bouchons luzerne",AlimentsRationOvinsMâles,4,FALSE),0)+(IF(QualitéAlimentsAgneauFemelle_3_6_mois=BONNE,VLOOKUP("Bouchons luzerne",AlimentsRationOvinsFemelles,4,FALSE),0)+(IF(QualitéAlimentsJeuneBélier=BONNE,VLOOKUP("Bouchons luzerne",AlimentsRationOvinsMâles,3,FALSE),0)+(IF(QualitéAlimentsJeuneBrebis=BONNE,VLOOKUP("Bouchons luzerne",AlimentsRationOvinsFemelles,3,FALSE),0)+(IF(QualitéAlimentsBélier=BONNE,VLOOKUP("Bouchons luzerne",AlimentsRationOvinsMâles,2,FALSE),0)+(IF(QualitéAlimentsBrebis=BONNE,VLOOKUP("Bouchons luzerne",AlimentsRationOvinsFemelles,2,FALSE),0))))))))))</f>
        <v>0</v>
      </c>
      <c r="DP296" s="1269">
        <f t="array" ref="DP296">SUM((IF(QualitéAlimentsAgneauMâle_0_3_mois=MOYENNE,VLOOKUP("Bouchons luzerne",AlimentsRationOvinsMâles,5,FALSE),0)+(IF(QualitéAlimentsAgneauFemelle_0_3_mois=MOYENNE,VLOOKUP("Bouchons luzerne",AlimentsRationOvinsFemelles,5,FALSE),0)+(IF(QualitéAlimentsAgneauMâle_3_6_mois=MOYENNE,VLOOKUP("Bouchons luzerne",AlimentsRationOvinsMâles,4,FALSE),0)+(IF(QualitéAlimentsAgneauFemelle_3_6_mois=MOYENNE,VLOOKUP("Bouchons luzerne",AlimentsRationOvinsFemelles,4,FALSE),0)+(IF(QualitéAlimentsJeuneBélier=MOYENNE,VLOOKUP("Bouchons luzerne",AlimentsRationOvinsMâles,3,FALSE),0)+(IF(QualitéAlimentsJeuneBrebis=MOYENNE,VLOOKUP("Bouchons luzerne",AlimentsRationOvinsFemelles,3,FALSE),0)+(IF(QualitéAlimentsBélier=MOYENNE,VLOOKUP("Bouchons luzerne",AlimentsRationOvinsMâles,2,FALSE),0)+(IF(QualitéAlimentsBrebis=MOYENNE,VLOOKUP("Bouchons luzerne",AlimentsRationOvinsFemelles,2,FALSE),0))))))))))</f>
        <v>0</v>
      </c>
      <c r="DQ296" s="1269">
        <f t="array" ref="DQ296">SUM((IF(QualitéAlimentsAgneauMâle_0_3_mois=MAUVAISE,VLOOKUP("Bouchons luzerne",AlimentsRationOvinsMâles,5,FALSE),0)+(IF(QualitéAlimentsAgneauFemelle_0_3_mois=MAUVAISE,VLOOKUP("Bouchons luzerne",AlimentsRationOvinsFemelles,5,FALSE),0)+(IF(QualitéAlimentsAgneauMâle_3_6_mois=MAUVAISE,VLOOKUP("Bouchons luzerne",AlimentsRationOvinsMâles,4,FALSE),0)+(IF(QualitéAlimentsAgneauFemelle_3_6_mois=MAUVAISE,VLOOKUP("Bouchons luzerne",AlimentsRationOvinsFemelles,4,FALSE),0)+(IF(QualitéAlimentsJeuneBélier=MAUVAISE,VLOOKUP("Bouchons luzerne",AlimentsRationOvinsMâles,3,FALSE),0)+(IF(QualitéAlimentsJeuneBrebis=MAUVAISE,VLOOKUP("Bouchons luzerne",AlimentsRationOvinsFemelles,3,FALSE),0)+(IF(QualitéAlimentsBélier=MAUVAISE,VLOOKUP("Bouchons luzerne",AlimentsRationOvinsMâles,2,FALSE),0)+(IF(QualitéAlimentsBrebis=MAUVAISE,VLOOKUP("Bouchons luzerne",AlimentsRationOvinsFemelles,2,FALSE),0))))))))))</f>
        <v>0</v>
      </c>
      <c r="DR296" s="1321"/>
      <c r="DS296" s="1321"/>
      <c r="DT296" s="1346"/>
      <c r="DU296" s="1346"/>
      <c r="DV296" s="1321"/>
      <c r="DW296" s="1321"/>
      <c r="DX296" s="1321"/>
      <c r="DY296" s="1321"/>
      <c r="DZ296" s="1321"/>
      <c r="EA296" s="1321"/>
      <c r="EB296" s="1321"/>
      <c r="EC296" s="1321"/>
      <c r="ED296" s="1345"/>
      <c r="EE296" s="1345"/>
      <c r="EF296" s="1321"/>
      <c r="EG296" s="1321"/>
      <c r="EH296" s="1321"/>
      <c r="EI296" s="1321"/>
      <c r="EJ296" s="1321"/>
      <c r="EK296" s="1345"/>
      <c r="EL296" s="1345"/>
      <c r="EM296" s="1321"/>
      <c r="EN296" s="1321"/>
      <c r="EO296" s="1321"/>
      <c r="EP296" s="1321"/>
      <c r="EQ296" s="1321"/>
      <c r="ER296" s="1345"/>
      <c r="ES296" s="1345"/>
      <c r="ET296" s="1321"/>
      <c r="EU296" s="1321"/>
      <c r="EV296" s="1321"/>
      <c r="EW296" s="1321"/>
      <c r="EX296" s="1321"/>
      <c r="EY296" s="1321"/>
      <c r="EZ296" s="1345"/>
      <c r="FA296" s="1345"/>
      <c r="FB296" s="1345"/>
      <c r="FC296" s="1321"/>
      <c r="FD296" s="1321"/>
      <c r="FE296" s="1321"/>
      <c r="FF296" s="1321"/>
      <c r="FG296" s="1321"/>
      <c r="FH296" s="1321"/>
      <c r="FI296" s="1345"/>
      <c r="FJ296" s="1345"/>
      <c r="FK296" s="1345"/>
      <c r="FL296" s="1345"/>
      <c r="FM296" s="1321"/>
      <c r="FN296" s="1321"/>
      <c r="FO296" s="1321"/>
      <c r="FP296" s="1321"/>
      <c r="FQ296" s="1321"/>
      <c r="FR296" s="1321"/>
      <c r="FS296" s="1345"/>
      <c r="FT296" s="1345"/>
      <c r="FU296" s="1345"/>
      <c r="FV296" s="1345"/>
      <c r="FW296" s="1321"/>
      <c r="FX296" s="1321"/>
      <c r="FY296" s="1321"/>
      <c r="FZ296" s="1321"/>
      <c r="GA296" s="1345"/>
      <c r="GB296" s="1321"/>
      <c r="GC296" s="1321"/>
      <c r="GD296" s="1321"/>
      <c r="GE296" s="1321"/>
      <c r="GF296" s="1321"/>
      <c r="GG296" s="1321" t="s">
        <v>1349</v>
      </c>
      <c r="GH296" s="1321" t="s">
        <v>1349</v>
      </c>
      <c r="GI296" s="1321" t="s">
        <v>1349</v>
      </c>
      <c r="GJ296" s="1321" t="s">
        <v>1349</v>
      </c>
      <c r="GK296" s="1321" t="s">
        <v>1349</v>
      </c>
      <c r="GL296" s="1321" t="s">
        <v>1349</v>
      </c>
      <c r="GM296" s="1321" t="s">
        <v>1349</v>
      </c>
      <c r="GN296" s="1321" t="s">
        <v>1349</v>
      </c>
      <c r="GO296" s="1321" t="s">
        <v>1349</v>
      </c>
      <c r="GP296" s="1321" t="s">
        <v>1349</v>
      </c>
      <c r="GQ296" s="1321" t="s">
        <v>1349</v>
      </c>
      <c r="GR296" s="1321" t="s">
        <v>1349</v>
      </c>
      <c r="GS296" s="1321" t="s">
        <v>1349</v>
      </c>
      <c r="GT296" s="1321" t="s">
        <v>1349</v>
      </c>
      <c r="GU296" s="1321" t="s">
        <v>1349</v>
      </c>
      <c r="GV296" s="1321" t="s">
        <v>1349</v>
      </c>
      <c r="GW296" s="1321"/>
      <c r="GX296" s="1321"/>
      <c r="GY296" s="1321"/>
      <c r="GZ296" s="1321"/>
      <c r="HA296" s="1321"/>
      <c r="HB296" s="1321"/>
      <c r="HC296" s="1321"/>
      <c r="HD296" s="1321"/>
      <c r="HE296" s="1321"/>
      <c r="HF296" s="1321"/>
      <c r="HG296" s="1321"/>
      <c r="HH296" s="1321"/>
      <c r="HI296" s="1321"/>
      <c r="HJ296" s="1321"/>
      <c r="HK296" s="1321"/>
      <c r="HL296" s="1321"/>
      <c r="HM296" s="1321"/>
      <c r="HN296" s="1321"/>
      <c r="HO296" s="1321"/>
      <c r="HP296" s="1321"/>
      <c r="HQ296" s="1321"/>
      <c r="HR296" s="1321"/>
      <c r="HS296" s="1321"/>
      <c r="HT296" s="1321"/>
      <c r="HU296" s="1321"/>
      <c r="HV296" s="1321"/>
      <c r="HW296" s="1321"/>
      <c r="HX296" s="1321"/>
      <c r="HY296" s="1321"/>
      <c r="HZ296" s="1321"/>
      <c r="IA296" s="1321"/>
      <c r="IB296" s="1321"/>
      <c r="IC296" s="1321"/>
      <c r="ID296" s="1321"/>
      <c r="IE296" s="1321"/>
      <c r="IF296" s="1321"/>
      <c r="IG296" s="1321"/>
      <c r="IH296" s="1321"/>
      <c r="II296" s="1321"/>
      <c r="IJ296" s="1321"/>
      <c r="IK296" s="1321"/>
      <c r="IL296" s="1321"/>
      <c r="IM296" s="1321"/>
      <c r="IN296" s="1368"/>
    </row>
    <row r="297" spans="1:248" ht="12.75" customHeight="1" x14ac:dyDescent="0.2">
      <c r="A297" s="1319"/>
      <c r="B297" s="1321"/>
      <c r="C297" s="1321"/>
      <c r="D297" s="1321"/>
      <c r="E297" s="1321"/>
      <c r="F297" s="1321"/>
      <c r="G297" s="1321"/>
      <c r="H297" s="1321"/>
      <c r="I297" s="1321"/>
      <c r="J297" s="1321"/>
      <c r="K297" s="1321"/>
      <c r="L297" s="1321"/>
      <c r="M297" s="1321"/>
      <c r="N297" s="1321"/>
      <c r="O297" s="1321"/>
      <c r="P297" s="1321"/>
      <c r="Q297" s="1321"/>
      <c r="R297" s="1321"/>
      <c r="S297" s="1321"/>
      <c r="T297" s="1321"/>
      <c r="U297" s="1321"/>
      <c r="V297" s="1321"/>
      <c r="W297" s="1321"/>
      <c r="X297" s="1321"/>
      <c r="Y297" s="1321"/>
      <c r="Z297" s="1321"/>
      <c r="AA297" s="1321"/>
      <c r="AB297" s="1321"/>
      <c r="AC297" s="1321"/>
      <c r="AD297" s="1321"/>
      <c r="AE297" s="1321"/>
      <c r="AF297" s="1321"/>
      <c r="AG297" s="1321"/>
      <c r="AH297" s="1321"/>
      <c r="AI297" s="1321"/>
      <c r="AJ297" s="1321"/>
      <c r="AK297" s="1321"/>
      <c r="AL297" s="1321"/>
      <c r="AM297" s="1321"/>
      <c r="AN297" s="1321"/>
      <c r="AO297" s="1321"/>
      <c r="AP297" s="1321"/>
      <c r="AQ297" s="1321"/>
      <c r="AR297" s="1321"/>
      <c r="AS297" s="1321"/>
      <c r="AT297" s="1321"/>
      <c r="AU297" s="1321"/>
      <c r="AV297" s="1321"/>
      <c r="AW297" s="1321"/>
      <c r="AX297" s="1321"/>
      <c r="AY297" s="1321"/>
      <c r="AZ297" s="1321"/>
      <c r="BA297" s="1321"/>
      <c r="BB297" s="1075" t="str">
        <f t="shared" si="79"/>
        <v>Féverole</v>
      </c>
      <c r="BC297" s="1075">
        <f t="array" ref="BC297">IFERROR(IF(OR(AND(INDEX(Règles_bovins[Specificite],MATCH(RationHivernaleBovinsAuPré&amp;$BB297,Règles_bovins[Ration]&amp;Règles_bovins[Aliment],0))="s1",IF($BB297=Spécificité1Bovins,1)),
AND(INDEX(Règles_bovins[Specificite],MATCH(RationHivernaleBovinsAuPré&amp;$BB297,Règles_bovins[Ration]&amp;Règles_bovins[Aliment],0))="s2",IF($BB297=Spécificité2Bovins,1)),
INDEX(Règles_bovins[Specificite],MATCH(RationHivernaleBovinsAuPré&amp;$BB297,Règles_bovins[Ration]&amp;Règles_bovins[Aliment],0))="c"),
INDEX(Règles_bovins[Valeur 36 et plus],MATCH(RationHivernaleBovinsAuPré&amp;$BB297,Règles_bovins[Ration]&amp;Règles_bovins[Aliment],0)),0),0)*IF(SUM(TotalBovinsAdultesAuPré)&gt;0,SUM(TotalBovinsAdultesAuPré),SUM(TotalBovinsAdultes))*35</f>
        <v>0</v>
      </c>
      <c r="BD297" s="1075">
        <f t="array" ref="BD297">IFERROR(IF(OR(AND(INDEX(Règles_bovins[Specificite],MATCH(RationHivernaleBovinsAuPré&amp;$BB297,Règles_bovins[Ration]&amp;Règles_bovins[Aliment],0))="s1",IF($BB297=Spécificité1Bovins,1)),
AND(INDEX(Règles_bovins[Specificite],MATCH(RationHivernaleBovinsAuPré&amp;$BB297,Règles_bovins[Ration]&amp;Règles_bovins[Aliment],0))="s2",IF($BB297=Spécificité2Bovins,1)),
INDEX(Règles_bovins[Specificite],MATCH(RationHivernaleBovinsAuPré&amp;$BB297,Règles_bovins[Ration]&amp;Règles_bovins[Aliment],0))="c"),
INDEX(Règles_bovins[Valeur 24-36],MATCH(RationHivernaleBovinsAuPré&amp;$BB297,Règles_bovins[Ration]&amp;Règles_bovins[Aliment],0)),0),0)*IF(SUM(TotalBovins_24_36moisAuPré)&gt;0,SUM(TotalBovins_24_36moisAuPré),SUM(TotalBovins_24_36mois))*35</f>
        <v>0</v>
      </c>
      <c r="BE297" s="1075">
        <f t="array" ref="BE297">IFERROR(IF(OR(AND(INDEX(Règles_bovins[Specificite],MATCH(RationHivernaleBovinsAuPré&amp;$BB297,Règles_bovins[Ration]&amp;Règles_bovins[Aliment],0))="s1",IF($BB297=Spécificité1Bovins,1)),
AND(INDEX(Règles_bovins[Specificite],MATCH(RationHivernaleBovinsAuPré&amp;$BB297,Règles_bovins[Ration]&amp;Règles_bovins[Aliment],0))="s2",IF($BB297=Spécificité2Bovins,1)),
INDEX(Règles_bovins[Specificite],MATCH(RationHivernaleBovinsAuPré&amp;$BB297,Règles_bovins[Ration]&amp;Règles_bovins[Aliment],0))="c"),
INDEX(Règles_bovins[Valeur 18-24],MATCH(RationHivernaleBovinsAuPré&amp;$BB297,Règles_bovins[Ration]&amp;Règles_bovins[Aliment],0)),0),0)*IF(SUM(TotalBovins_18_24moisAuPré)&gt;0,SUM(TotalBovins_18_24moisAuPré),SUM(TotalBovins_18_24mois))*35</f>
        <v>0</v>
      </c>
      <c r="BF297" s="1075">
        <f t="array" ref="BF297">IFERROR(IF(OR(AND(INDEX(Règles_bovins[Specificite],MATCH(RationHivernaleBovinsAuPré&amp;$BB297,Règles_bovins[Ration]&amp;Règles_bovins[Aliment],0))="s1",IF($BB297=Spécificité1Bovins,1)),
AND(INDEX(Règles_bovins[Specificite],MATCH(RationHivernaleBovinsAuPré&amp;$BB297,Règles_bovins[Ration]&amp;Règles_bovins[Aliment],0))="s2",IF($BB297=Spécificité2Bovins,1)),
INDEX(Règles_bovins[Specificite],MATCH(RationHivernaleBovinsAuPré&amp;$BB297,Règles_bovins[Ration]&amp;Règles_bovins[Aliment],0))="c"),
INDEX(Règles_bovins[Valeur 12-18],MATCH(RationHivernaleBovinsAuPré&amp;$BB297,Règles_bovins[Ration]&amp;Règles_bovins[Aliment],0)),0),0)*IF(SUM(TotalBovins_12_18moisAuPré)&gt;0,SUM(TotalBovins_12_18moisAuPré),SUM(TotalBovins_12_18mois))*35</f>
        <v>0</v>
      </c>
      <c r="BG297" s="1075">
        <f t="array" ref="BG297">IFERROR(IF(OR(AND(INDEX(Règles_bovins[Specificite],MATCH(RationHivernaleBovinsAuPré&amp;$BB297,Règles_bovins[Ration]&amp;Règles_bovins[Aliment],0))="s1",IF($BB297=Spécificité1Bovins,1)),
AND(INDEX(Règles_bovins[Specificite],MATCH(RationHivernaleBovinsAuPré&amp;$BB297,Règles_bovins[Ration]&amp;Règles_bovins[Aliment],0))="s2",IF($BB297=Spécificité2Bovins,1)),
INDEX(Règles_bovins[Specificite],MATCH(RationHivernaleBovinsAuPré&amp;$BB297,Règles_bovins[Ration]&amp;Règles_bovins[Aliment],0))="c"),
INDEX(Règles_bovins[Valeur 6-12],MATCH(RationHivernaleBovinsAuPré&amp;$BB297,Règles_bovins[Ration]&amp;Règles_bovins[Aliment],0)),0),0)*IF(SUM(TotalBovins_6_12moisAuPré)&gt;0,SUM(TotalBovins_6_12moisAuPré),SUM(TotalBovins_6_12mois))*35</f>
        <v>0</v>
      </c>
      <c r="BH297" s="1075">
        <f t="array" ref="BH297">IFERROR(IF(OR(AND(INDEX(Règles_bovins[Specificite],MATCH(RationHivernaleBovinsAuPré&amp;$BB297,Règles_bovins[Ration]&amp;Règles_bovins[Aliment],0))="s1",IF($BB297=Spécificité1Bovins,1)),
AND(INDEX(Règles_bovins[Specificite],MATCH(RationHivernaleBovinsAuPré&amp;$BB297,Règles_bovins[Ration]&amp;Règles_bovins[Aliment],0))="s2",IF($BB297=Spécificité2Bovins,1)),
INDEX(Règles_bovins[Specificite],MATCH(RationHivernaleBovinsAuPré&amp;$BB297,Règles_bovins[Ration]&amp;Règles_bovins[Aliment],0))="c"),
INDEX(Règles_bovins[Valeur 3-6],MATCH(RationHivernaleBovinsAuPré&amp;$BB297,Règles_bovins[Ration]&amp;Règles_bovins[Aliment],0)),0),0)*IF(SUM(TotalBovins_3_6moisAuPré)&gt;0,SUM(TotalBovins_3_6moisAuPré),SUM(TotalBovins_3_6mois))*35</f>
        <v>0</v>
      </c>
      <c r="BI297" s="1075">
        <f t="array" ref="BI297">IFERROR(IF(OR(AND(INDEX(Règles_bovins[Specificite],MATCH(RationHivernaleBovinsAuPré&amp;$BB297,Règles_bovins[Ration]&amp;Règles_bovins[Aliment],0))="s1",IF($BB297=Spécificité1Bovins,1)),
AND(INDEX(Règles_bovins[Specificite],MATCH(RationHivernaleBovinsAuPré&amp;$BB297,Règles_bovins[Ration]&amp;Règles_bovins[Aliment],0))="s2",IF($BB297=Spécificité2Bovins,1)),
INDEX(Règles_bovins[Specificite],MATCH(RationHivernaleBovinsAuPré&amp;$BB297,Règles_bovins[Ration]&amp;Règles_bovins[Aliment],0))="c"),
INDEX(Règles_bovins[Valeur 0-3],MATCH(RationHivernaleBovinsAuPré&amp;$BB297,Règles_bovins[Ration]&amp;Règles_bovins[Aliment],0)),0),0)*IF(SUM(TotalBovins_0_3moisAuPré)&gt;0,SUM(TotalBovins_0_3moisAuPré),SUM(TotalBovins_0_3mois))*35</f>
        <v>0</v>
      </c>
      <c r="BJ297" s="1270">
        <f t="shared" si="78"/>
        <v>0</v>
      </c>
      <c r="BK297" s="1345"/>
      <c r="BL297" s="1345"/>
      <c r="BM297" s="1346"/>
      <c r="BN297" s="1321"/>
      <c r="BO297" s="1321"/>
      <c r="BP297" s="1321"/>
      <c r="BQ297" s="1321"/>
      <c r="BR297" s="1321"/>
      <c r="BS297" s="1321"/>
      <c r="BT297" s="1321"/>
      <c r="BU297" s="1321"/>
      <c r="BV297" s="1345"/>
      <c r="BW297" s="1345"/>
      <c r="BX297" s="1321"/>
      <c r="BY297" s="1321"/>
      <c r="BZ297" s="1321"/>
      <c r="CA297" s="1321"/>
      <c r="CB297" s="1321"/>
      <c r="CC297" s="1321"/>
      <c r="CD297" s="1345"/>
      <c r="CE297" s="1345"/>
      <c r="CF297" s="1345"/>
      <c r="CG297" s="1345"/>
      <c r="CH297" s="1345"/>
      <c r="CI297" s="1321"/>
      <c r="CJ297" s="1321"/>
      <c r="CK297" s="1321"/>
      <c r="CL297" s="1321"/>
      <c r="CM297" s="1321"/>
      <c r="CN297" s="1321"/>
      <c r="CO297" s="1321"/>
      <c r="CP297" s="1321"/>
      <c r="CQ297" s="1321"/>
      <c r="CR297" s="1321"/>
      <c r="CS297" s="1321"/>
      <c r="CT297" s="1321"/>
      <c r="CU297" s="1321"/>
      <c r="CV297" s="1321"/>
      <c r="CW297" s="1321"/>
      <c r="CX297" s="1321"/>
      <c r="CY297" s="1321"/>
      <c r="CZ297" s="1321"/>
      <c r="DA297" s="1321"/>
      <c r="DB297" s="1321"/>
      <c r="DC297" s="1321"/>
      <c r="DD297" s="1321"/>
      <c r="DE297" s="1321"/>
      <c r="DF297" s="1321"/>
      <c r="DG297" s="1321"/>
      <c r="DH297" s="1321"/>
      <c r="DI297" s="1321"/>
      <c r="DJ297" s="1321"/>
      <c r="DK297" s="1321"/>
      <c r="DL297" s="1321"/>
      <c r="DM297" s="1321"/>
      <c r="DN297" s="1076" t="str">
        <f t="shared" si="80"/>
        <v>Chanvre</v>
      </c>
      <c r="DO297" s="1267">
        <f t="array" ref="DO297">SUM((IF(QualitéAlimentsAgneauMâle_0_3_mois=BONNE,VLOOKUP("Chanvre",AlimentsRationOvinsMâles,5,FALSE),0)+(IF(QualitéAlimentsAgneauFemelle_0_3_mois=BONNE,VLOOKUP("Chanvre",AlimentsRationOvinsFemelles,5,FALSE),0)+(IF(QualitéAlimentsAgneauMâle_3_6_mois=BONNE,VLOOKUP("Chanvre",AlimentsRationOvinsMâles,4,FALSE),0)+(IF(QualitéAlimentsAgneauFemelle_3_6_mois=BONNE,VLOOKUP("Chanvre",AlimentsRationOvinsFemelles,4,FALSE),0)+(IF(QualitéAlimentsJeuneBélier=BONNE,VLOOKUP("Chanvre",AlimentsRationOvinsMâles,3,FALSE),0)+(IF(QualitéAlimentsJeuneBrebis=BONNE,VLOOKUP("Chanvre",AlimentsRationOvinsFemelles,3,FALSE),0)+(IF(QualitéAlimentsBélier=BONNE,VLOOKUP("Chanvre",AlimentsRationOvinsMâles,2,FALSE),0)+(IF(QualitéAlimentsBrebis=BONNE,VLOOKUP("Chanvre",AlimentsRationOvinsFemelles,2,FALSE),0))))))))))</f>
        <v>0</v>
      </c>
      <c r="DP297" s="1267">
        <f t="array" ref="DP297">SUM((IF(QualitéAlimentsAgneauMâle_0_3_mois=MOYENNE,VLOOKUP("Chanvre",AlimentsRationOvinsMâles,5,FALSE),0)+(IF(QualitéAlimentsAgneauFemelle_0_3_mois=MOYENNE,VLOOKUP("Chanvre",AlimentsRationOvinsFemelles,5,FALSE),0)+(IF(QualitéAlimentsAgneauMâle_3_6_mois=MOYENNE,VLOOKUP("Chanvre",AlimentsRationOvinsMâles,4,FALSE),0)+(IF(QualitéAlimentsAgneauFemelle_3_6_mois=MOYENNE,VLOOKUP("Chanvre",AlimentsRationOvinsFemelles,4,FALSE),0)+(IF(QualitéAlimentsJeuneBélier=MOYENNE,VLOOKUP("Chanvre",AlimentsRationOvinsMâles,3,FALSE),0)+(IF(QualitéAlimentsJeuneBrebis=MOYENNE,VLOOKUP("Chanvre",AlimentsRationOvinsFemelles,3,FALSE),0)+(IF(QualitéAlimentsBélier=MOYENNE,VLOOKUP("Chanvre",AlimentsRationOvinsMâles,2,FALSE),0)+(IF(QualitéAlimentsBrebis=MOYENNE,VLOOKUP("Chanvre",AlimentsRationOvinsFemelles,2,FALSE),0))))))))))</f>
        <v>0</v>
      </c>
      <c r="DQ297" s="1267">
        <f t="array" ref="DQ297">SUM((IF(QualitéAlimentsAgneauMâle_0_3_mois=MAUVAISE,VLOOKUP("Chanvre",AlimentsRationOvinsMâles,5,FALSE),0)+(IF(QualitéAlimentsAgneauFemelle_0_3_mois=MAUVAISE,VLOOKUP("Chanvre",AlimentsRationOvinsFemelles,5,FALSE),0)+(IF(QualitéAlimentsAgneauMâle_3_6_mois=MAUVAISE,VLOOKUP("Chanvre",AlimentsRationOvinsMâles,4,FALSE),0)+(IF(QualitéAlimentsAgneauFemelle_3_6_mois=MAUVAISE,VLOOKUP("Chanvre",AlimentsRationOvinsFemelles,4,FALSE),0)+(IF(QualitéAlimentsJeuneBélier=MAUVAISE,VLOOKUP("Chanvre",AlimentsRationOvinsMâles,3,FALSE),0)+(IF(QualitéAlimentsJeuneBrebis=MAUVAISE,VLOOKUP("Chanvre",AlimentsRationOvinsFemelles,3,FALSE),0)+(IF(QualitéAlimentsBélier=MAUVAISE,VLOOKUP("Chanvre",AlimentsRationOvinsMâles,2,FALSE),0)+(IF(QualitéAlimentsBrebis=MAUVAISE,VLOOKUP("Chanvre",AlimentsRationOvinsFemelles,2,FALSE),0))))))))))</f>
        <v>0</v>
      </c>
      <c r="DR297" s="1321"/>
      <c r="DS297" s="1321"/>
      <c r="DT297" s="1346"/>
      <c r="DU297" s="1346"/>
      <c r="DV297" s="1321"/>
      <c r="DW297" s="1321"/>
      <c r="DX297" s="1321"/>
      <c r="DY297" s="1321"/>
      <c r="DZ297" s="1321"/>
      <c r="EA297" s="1321"/>
      <c r="EB297" s="1321"/>
      <c r="EC297" s="1321"/>
      <c r="ED297" s="1345"/>
      <c r="EE297" s="1345"/>
      <c r="EF297" s="1321"/>
      <c r="EG297" s="1321"/>
      <c r="EH297" s="1321"/>
      <c r="EI297" s="1321"/>
      <c r="EJ297" s="1321"/>
      <c r="EK297" s="1345"/>
      <c r="EL297" s="1345"/>
      <c r="EM297" s="1321"/>
      <c r="EN297" s="1321"/>
      <c r="EO297" s="1321"/>
      <c r="EP297" s="1321"/>
      <c r="EQ297" s="1321"/>
      <c r="ER297" s="1345"/>
      <c r="ES297" s="1345"/>
      <c r="ET297" s="1321"/>
      <c r="EU297" s="1321"/>
      <c r="EV297" s="1321"/>
      <c r="EW297" s="1321"/>
      <c r="EX297" s="1321"/>
      <c r="EY297" s="1321"/>
      <c r="EZ297" s="1345"/>
      <c r="FA297" s="1345"/>
      <c r="FB297" s="1345"/>
      <c r="FC297" s="1321"/>
      <c r="FD297" s="1321"/>
      <c r="FE297" s="1321"/>
      <c r="FF297" s="1321"/>
      <c r="FG297" s="1321"/>
      <c r="FH297" s="1321"/>
      <c r="FI297" s="1345"/>
      <c r="FJ297" s="1345"/>
      <c r="FK297" s="1345"/>
      <c r="FL297" s="1345"/>
      <c r="FM297" s="1321"/>
      <c r="FN297" s="1321"/>
      <c r="FO297" s="1321"/>
      <c r="FP297" s="1321"/>
      <c r="FQ297" s="1321"/>
      <c r="FR297" s="1321"/>
      <c r="FS297" s="1345"/>
      <c r="FT297" s="1345"/>
      <c r="FU297" s="1345"/>
      <c r="FV297" s="1345"/>
      <c r="FW297" s="1321"/>
      <c r="FX297" s="1321"/>
      <c r="FY297" s="1321"/>
      <c r="FZ297" s="1321"/>
      <c r="GA297" s="1345"/>
      <c r="GB297" s="1321"/>
      <c r="GC297" s="1321"/>
      <c r="GD297" s="1321"/>
      <c r="GE297" s="1321"/>
      <c r="GF297" s="1321"/>
      <c r="GG297" s="1321" t="s">
        <v>1349</v>
      </c>
      <c r="GH297" s="1321" t="s">
        <v>1349</v>
      </c>
      <c r="GI297" s="1321" t="s">
        <v>1349</v>
      </c>
      <c r="GJ297" s="1321" t="s">
        <v>1349</v>
      </c>
      <c r="GK297" s="1321" t="s">
        <v>1349</v>
      </c>
      <c r="GL297" s="1321" t="s">
        <v>1349</v>
      </c>
      <c r="GM297" s="1321" t="s">
        <v>1349</v>
      </c>
      <c r="GN297" s="1321" t="s">
        <v>1349</v>
      </c>
      <c r="GO297" s="1321" t="s">
        <v>1349</v>
      </c>
      <c r="GP297" s="1321" t="s">
        <v>1349</v>
      </c>
      <c r="GQ297" s="1321" t="s">
        <v>1349</v>
      </c>
      <c r="GR297" s="1321" t="s">
        <v>1349</v>
      </c>
      <c r="GS297" s="1321" t="s">
        <v>1349</v>
      </c>
      <c r="GT297" s="1321" t="s">
        <v>1349</v>
      </c>
      <c r="GU297" s="1321" t="s">
        <v>1349</v>
      </c>
      <c r="GV297" s="1321" t="s">
        <v>1349</v>
      </c>
      <c r="GW297" s="1321"/>
      <c r="GX297" s="1321"/>
      <c r="GY297" s="1321"/>
      <c r="GZ297" s="1321"/>
      <c r="HA297" s="1321"/>
      <c r="HB297" s="1321"/>
      <c r="HC297" s="1321"/>
      <c r="HD297" s="1321"/>
      <c r="HE297" s="1321"/>
      <c r="HF297" s="1321"/>
      <c r="HG297" s="1321"/>
      <c r="HH297" s="1321"/>
      <c r="HI297" s="1321"/>
      <c r="HJ297" s="1321"/>
      <c r="HK297" s="1321"/>
      <c r="HL297" s="1321"/>
      <c r="HM297" s="1321"/>
      <c r="HN297" s="1321"/>
      <c r="HO297" s="1321"/>
      <c r="HP297" s="1321"/>
      <c r="HQ297" s="1321"/>
      <c r="HR297" s="1321"/>
      <c r="HS297" s="1321"/>
      <c r="HT297" s="1321"/>
      <c r="HU297" s="1321"/>
      <c r="HV297" s="1321"/>
      <c r="HW297" s="1321"/>
      <c r="HX297" s="1321"/>
      <c r="HY297" s="1321"/>
      <c r="HZ297" s="1321"/>
      <c r="IA297" s="1321"/>
      <c r="IB297" s="1321"/>
      <c r="IC297" s="1321"/>
      <c r="ID297" s="1321"/>
      <c r="IE297" s="1321"/>
      <c r="IF297" s="1321"/>
      <c r="IG297" s="1321"/>
      <c r="IH297" s="1321"/>
      <c r="II297" s="1321"/>
      <c r="IJ297" s="1321"/>
      <c r="IK297" s="1321"/>
      <c r="IL297" s="1321"/>
      <c r="IM297" s="1321"/>
      <c r="IN297" s="1368"/>
    </row>
    <row r="298" spans="1:248" ht="12.75" customHeight="1" x14ac:dyDescent="0.2">
      <c r="A298" s="1319"/>
      <c r="B298" s="1321"/>
      <c r="C298" s="1321"/>
      <c r="D298" s="1321"/>
      <c r="E298" s="1321"/>
      <c r="F298" s="1321"/>
      <c r="G298" s="1321"/>
      <c r="H298" s="1321"/>
      <c r="I298" s="1321"/>
      <c r="J298" s="1321"/>
      <c r="K298" s="1321"/>
      <c r="L298" s="1321"/>
      <c r="M298" s="1321"/>
      <c r="N298" s="1321"/>
      <c r="O298" s="1321"/>
      <c r="P298" s="1321"/>
      <c r="Q298" s="1321"/>
      <c r="R298" s="1321"/>
      <c r="S298" s="1321"/>
      <c r="T298" s="1321"/>
      <c r="U298" s="1321"/>
      <c r="V298" s="1321"/>
      <c r="W298" s="1321"/>
      <c r="X298" s="1321"/>
      <c r="Y298" s="1321"/>
      <c r="Z298" s="1321"/>
      <c r="AA298" s="1321"/>
      <c r="AB298" s="1321"/>
      <c r="AC298" s="1321"/>
      <c r="AD298" s="1321"/>
      <c r="AE298" s="1321"/>
      <c r="AF298" s="1321"/>
      <c r="AG298" s="1321"/>
      <c r="AH298" s="1321"/>
      <c r="AI298" s="1321"/>
      <c r="AJ298" s="1321"/>
      <c r="AK298" s="1321"/>
      <c r="AL298" s="1321"/>
      <c r="AM298" s="1321"/>
      <c r="AN298" s="1321"/>
      <c r="AO298" s="1321"/>
      <c r="AP298" s="1321"/>
      <c r="AQ298" s="1321"/>
      <c r="AR298" s="1321"/>
      <c r="AS298" s="1321"/>
      <c r="AT298" s="1321"/>
      <c r="AU298" s="1321"/>
      <c r="AV298" s="1321"/>
      <c r="AW298" s="1321"/>
      <c r="AX298" s="1321"/>
      <c r="AY298" s="1321"/>
      <c r="AZ298" s="1321"/>
      <c r="BA298" s="1321"/>
      <c r="BB298" s="1076" t="str">
        <f t="shared" si="79"/>
        <v>Foin</v>
      </c>
      <c r="BC298" s="1076">
        <f t="array" ref="BC298">IFERROR(IF(OR(AND(INDEX(Règles_bovins[Specificite],MATCH(RationHivernaleBovinsAuPré&amp;$BB298,Règles_bovins[Ration]&amp;Règles_bovins[Aliment],0))="s1",IF($BB298=Spécificité1Bovins,1)),
AND(INDEX(Règles_bovins[Specificite],MATCH(RationHivernaleBovinsAuPré&amp;$BB298,Règles_bovins[Ration]&amp;Règles_bovins[Aliment],0))="s2",IF($BB298=Spécificité2Bovins,1)),
INDEX(Règles_bovins[Specificite],MATCH(RationHivernaleBovinsAuPré&amp;$BB298,Règles_bovins[Ration]&amp;Règles_bovins[Aliment],0))="c"),
INDEX(Règles_bovins[Valeur 36 et plus],MATCH(RationHivernaleBovinsAuPré&amp;$BB298,Règles_bovins[Ration]&amp;Règles_bovins[Aliment],0)),0),0)*IF(SUM(TotalBovinsAdultesAuPré)&gt;0,SUM(TotalBovinsAdultesAuPré),SUM(TotalBovinsAdultes))*35</f>
        <v>0</v>
      </c>
      <c r="BD298" s="1076">
        <f t="array" ref="BD298">IFERROR(IF(OR(AND(INDEX(Règles_bovins[Specificite],MATCH(RationHivernaleBovinsAuPré&amp;$BB298,Règles_bovins[Ration]&amp;Règles_bovins[Aliment],0))="s1",IF($BB298=Spécificité1Bovins,1)),
AND(INDEX(Règles_bovins[Specificite],MATCH(RationHivernaleBovinsAuPré&amp;$BB298,Règles_bovins[Ration]&amp;Règles_bovins[Aliment],0))="s2",IF($BB298=Spécificité2Bovins,1)),
INDEX(Règles_bovins[Specificite],MATCH(RationHivernaleBovinsAuPré&amp;$BB298,Règles_bovins[Ration]&amp;Règles_bovins[Aliment],0))="c"),
INDEX(Règles_bovins[Valeur 24-36],MATCH(RationHivernaleBovinsAuPré&amp;$BB298,Règles_bovins[Ration]&amp;Règles_bovins[Aliment],0)),0),0)*IF(SUM(TotalBovins_24_36moisAuPré)&gt;0,SUM(TotalBovins_24_36moisAuPré),SUM(TotalBovins_24_36mois))*35</f>
        <v>0</v>
      </c>
      <c r="BE298" s="1076">
        <f t="array" ref="BE298">IFERROR(IF(OR(AND(INDEX(Règles_bovins[Specificite],MATCH(RationHivernaleBovinsAuPré&amp;$BB298,Règles_bovins[Ration]&amp;Règles_bovins[Aliment],0))="s1",IF($BB298=Spécificité1Bovins,1)),
AND(INDEX(Règles_bovins[Specificite],MATCH(RationHivernaleBovinsAuPré&amp;$BB298,Règles_bovins[Ration]&amp;Règles_bovins[Aliment],0))="s2",IF($BB298=Spécificité2Bovins,1)),
INDEX(Règles_bovins[Specificite],MATCH(RationHivernaleBovinsAuPré&amp;$BB298,Règles_bovins[Ration]&amp;Règles_bovins[Aliment],0))="c"),
INDEX(Règles_bovins[Valeur 18-24],MATCH(RationHivernaleBovinsAuPré&amp;$BB298,Règles_bovins[Ration]&amp;Règles_bovins[Aliment],0)),0),0)*IF(SUM(TotalBovins_18_24moisAuPré)&gt;0,SUM(TotalBovins_18_24moisAuPré),SUM(TotalBovins_18_24mois))*35</f>
        <v>0</v>
      </c>
      <c r="BF298" s="1076">
        <f t="array" ref="BF298">IFERROR(IF(OR(AND(INDEX(Règles_bovins[Specificite],MATCH(RationHivernaleBovinsAuPré&amp;$BB298,Règles_bovins[Ration]&amp;Règles_bovins[Aliment],0))="s1",IF($BB298=Spécificité1Bovins,1)),
AND(INDEX(Règles_bovins[Specificite],MATCH(RationHivernaleBovinsAuPré&amp;$BB298,Règles_bovins[Ration]&amp;Règles_bovins[Aliment],0))="s2",IF($BB298=Spécificité2Bovins,1)),
INDEX(Règles_bovins[Specificite],MATCH(RationHivernaleBovinsAuPré&amp;$BB298,Règles_bovins[Ration]&amp;Règles_bovins[Aliment],0))="c"),
INDEX(Règles_bovins[Valeur 12-18],MATCH(RationHivernaleBovinsAuPré&amp;$BB298,Règles_bovins[Ration]&amp;Règles_bovins[Aliment],0)),0),0)*IF(SUM(TotalBovins_12_18moisAuPré)&gt;0,SUM(TotalBovins_12_18moisAuPré),SUM(TotalBovins_12_18mois))*35</f>
        <v>0</v>
      </c>
      <c r="BG298" s="1076">
        <f t="array" ref="BG298">IFERROR(IF(OR(AND(INDEX(Règles_bovins[Specificite],MATCH(RationHivernaleBovinsAuPré&amp;$BB298,Règles_bovins[Ration]&amp;Règles_bovins[Aliment],0))="s1",IF($BB298=Spécificité1Bovins,1)),
AND(INDEX(Règles_bovins[Specificite],MATCH(RationHivernaleBovinsAuPré&amp;$BB298,Règles_bovins[Ration]&amp;Règles_bovins[Aliment],0))="s2",IF($BB298=Spécificité2Bovins,1)),
INDEX(Règles_bovins[Specificite],MATCH(RationHivernaleBovinsAuPré&amp;$BB298,Règles_bovins[Ration]&amp;Règles_bovins[Aliment],0))="c"),
INDEX(Règles_bovins[Valeur 6-12],MATCH(RationHivernaleBovinsAuPré&amp;$BB298,Règles_bovins[Ration]&amp;Règles_bovins[Aliment],0)),0),0)*IF(SUM(TotalBovins_6_12moisAuPré)&gt;0,SUM(TotalBovins_6_12moisAuPré),SUM(TotalBovins_6_12mois))*35</f>
        <v>0</v>
      </c>
      <c r="BH298" s="1076">
        <f t="array" ref="BH298">IFERROR(IF(OR(AND(INDEX(Règles_bovins[Specificite],MATCH(RationHivernaleBovinsAuPré&amp;$BB298,Règles_bovins[Ration]&amp;Règles_bovins[Aliment],0))="s1",IF($BB298=Spécificité1Bovins,1)),
AND(INDEX(Règles_bovins[Specificite],MATCH(RationHivernaleBovinsAuPré&amp;$BB298,Règles_bovins[Ration]&amp;Règles_bovins[Aliment],0))="s2",IF($BB298=Spécificité2Bovins,1)),
INDEX(Règles_bovins[Specificite],MATCH(RationHivernaleBovinsAuPré&amp;$BB298,Règles_bovins[Ration]&amp;Règles_bovins[Aliment],0))="c"),
INDEX(Règles_bovins[Valeur 3-6],MATCH(RationHivernaleBovinsAuPré&amp;$BB298,Règles_bovins[Ration]&amp;Règles_bovins[Aliment],0)),0),0)*IF(SUM(TotalBovins_3_6moisAuPré)&gt;0,SUM(TotalBovins_3_6moisAuPré),SUM(TotalBovins_3_6mois))*35</f>
        <v>0</v>
      </c>
      <c r="BI298" s="1076">
        <f t="array" ref="BI298">IFERROR(IF(OR(AND(INDEX(Règles_bovins[Specificite],MATCH(RationHivernaleBovinsAuPré&amp;$BB298,Règles_bovins[Ration]&amp;Règles_bovins[Aliment],0))="s1",IF($BB298=Spécificité1Bovins,1)),
AND(INDEX(Règles_bovins[Specificite],MATCH(RationHivernaleBovinsAuPré&amp;$BB298,Règles_bovins[Ration]&amp;Règles_bovins[Aliment],0))="s2",IF($BB298=Spécificité2Bovins,1)),
INDEX(Règles_bovins[Specificite],MATCH(RationHivernaleBovinsAuPré&amp;$BB298,Règles_bovins[Ration]&amp;Règles_bovins[Aliment],0))="c"),
INDEX(Règles_bovins[Valeur 0-3],MATCH(RationHivernaleBovinsAuPré&amp;$BB298,Règles_bovins[Ration]&amp;Règles_bovins[Aliment],0)),0),0)*IF(SUM(TotalBovins_0_3moisAuPré)&gt;0,SUM(TotalBovins_0_3moisAuPré),SUM(TotalBovins_0_3mois))*35</f>
        <v>0</v>
      </c>
      <c r="BJ298" s="1268">
        <f t="shared" si="78"/>
        <v>0</v>
      </c>
      <c r="BK298" s="1345"/>
      <c r="BL298" s="1345"/>
      <c r="BM298" s="1346"/>
      <c r="BN298" s="1321"/>
      <c r="BO298" s="1321"/>
      <c r="BP298" s="1321"/>
      <c r="BQ298" s="1321"/>
      <c r="BR298" s="1321"/>
      <c r="BS298" s="1321"/>
      <c r="BT298" s="1321"/>
      <c r="BU298" s="1321"/>
      <c r="BV298" s="1345"/>
      <c r="BW298" s="1345"/>
      <c r="BX298" s="1321"/>
      <c r="BY298" s="1321"/>
      <c r="BZ298" s="1321"/>
      <c r="CA298" s="1321"/>
      <c r="CB298" s="1321"/>
      <c r="CC298" s="1321"/>
      <c r="CD298" s="1345"/>
      <c r="CE298" s="1345"/>
      <c r="CF298" s="1345"/>
      <c r="CG298" s="1345"/>
      <c r="CH298" s="1345"/>
      <c r="CI298" s="1321"/>
      <c r="CJ298" s="1321"/>
      <c r="CK298" s="1321"/>
      <c r="CL298" s="1321"/>
      <c r="CM298" s="1321"/>
      <c r="CN298" s="1321"/>
      <c r="CO298" s="1321"/>
      <c r="CP298" s="1321"/>
      <c r="CQ298" s="1321"/>
      <c r="CR298" s="1321"/>
      <c r="CS298" s="1321"/>
      <c r="CT298" s="1321"/>
      <c r="CU298" s="1321"/>
      <c r="CV298" s="1321"/>
      <c r="CW298" s="1321"/>
      <c r="CX298" s="1321"/>
      <c r="CY298" s="1321"/>
      <c r="CZ298" s="1321"/>
      <c r="DA298" s="1321"/>
      <c r="DB298" s="1321"/>
      <c r="DC298" s="1321"/>
      <c r="DD298" s="1321"/>
      <c r="DE298" s="1321"/>
      <c r="DF298" s="1321"/>
      <c r="DG298" s="1321"/>
      <c r="DH298" s="1321"/>
      <c r="DI298" s="1321"/>
      <c r="DJ298" s="1321"/>
      <c r="DK298" s="1321"/>
      <c r="DL298" s="1321"/>
      <c r="DM298" s="1321"/>
      <c r="DN298" s="1075" t="str">
        <f t="shared" si="80"/>
        <v>Canola</v>
      </c>
      <c r="DO298" s="1269">
        <f t="array" ref="DO298">SUM((IF(QualitéAlimentsAgneauMâle_0_3_mois=BONNE,VLOOKUP("Canola",AlimentsRationOvinsMâles,5,FALSE),0)+(IF(QualitéAlimentsAgneauFemelle_0_3_mois=BONNE,VLOOKUP("Canola",AlimentsRationOvinsFemelles,5,FALSE),0)+(IF(QualitéAlimentsAgneauMâle_3_6_mois=BONNE,VLOOKUP("Canola",AlimentsRationOvinsMâles,4,FALSE),0)+(IF(QualitéAlimentsAgneauFemelle_3_6_mois=BONNE,VLOOKUP("Canola",AlimentsRationOvinsFemelles,4,FALSE),0)+(IF(QualitéAlimentsJeuneBélier=BONNE,VLOOKUP("Canola",AlimentsRationOvinsMâles,3,FALSE),0)+(IF(QualitéAlimentsJeuneBrebis=BONNE,VLOOKUP("Canola",AlimentsRationOvinsFemelles,3,FALSE),0)+(IF(QualitéAlimentsBélier=BONNE,VLOOKUP("Canola",AlimentsRationOvinsMâles,2,FALSE),0)+(IF(QualitéAlimentsBrebis=BONNE,VLOOKUP("Canola",AlimentsRationOvinsFemelles,2,FALSE),0))))))))))</f>
        <v>0</v>
      </c>
      <c r="DP298" s="1269">
        <f t="array" ref="DP298">SUM((IF(QualitéAlimentsAgneauMâle_0_3_mois=MOYENNE,VLOOKUP("Canola",AlimentsRationOvinsMâles,5,FALSE),0)+(IF(QualitéAlimentsAgneauFemelle_0_3_mois=MOYENNE,VLOOKUP("Canola",AlimentsRationOvinsFemelles,5,FALSE),0)+(IF(QualitéAlimentsAgneauMâle_3_6_mois=MOYENNE,VLOOKUP("Canola",AlimentsRationOvinsMâles,4,FALSE),0)+(IF(QualitéAlimentsAgneauFemelle_3_6_mois=MOYENNE,VLOOKUP("Canola",AlimentsRationOvinsFemelles,4,FALSE),0)+(IF(QualitéAlimentsJeuneBélier=MOYENNE,VLOOKUP("Canola",AlimentsRationOvinsMâles,3,FALSE),0)+(IF(QualitéAlimentsJeuneBrebis=MOYENNE,VLOOKUP("Canola",AlimentsRationOvinsFemelles,3,FALSE),0)+(IF(QualitéAlimentsBélier=MOYENNE,VLOOKUP("Canola",AlimentsRationOvinsMâles,2,FALSE),0)+(IF(QualitéAlimentsBrebis=MOYENNE,VLOOKUP("Canola",AlimentsRationOvinsFemelles,2,FALSE),0))))))))))</f>
        <v>0</v>
      </c>
      <c r="DQ298" s="1269">
        <f t="array" ref="DQ298">SUM((IF(QualitéAlimentsAgneauMâle_0_3_mois=MAUVAISE,VLOOKUP("Canola",AlimentsRationOvinsMâles,5,FALSE),0)+(IF(QualitéAlimentsAgneauFemelle_0_3_mois=MAUVAISE,VLOOKUP("Canola",AlimentsRationOvinsFemelles,5,FALSE),0)+(IF(QualitéAlimentsAgneauMâle_3_6_mois=MAUVAISE,VLOOKUP("Canola",AlimentsRationOvinsMâles,4,FALSE),0)+(IF(QualitéAlimentsAgneauFemelle_3_6_mois=MAUVAISE,VLOOKUP("Canola",AlimentsRationOvinsFemelles,4,FALSE),0)+(IF(QualitéAlimentsJeuneBélier=MAUVAISE,VLOOKUP("Canola",AlimentsRationOvinsMâles,3,FALSE),0)+(IF(QualitéAlimentsJeuneBrebis=MAUVAISE,VLOOKUP("Canola",AlimentsRationOvinsFemelles,3,FALSE),0)+(IF(QualitéAlimentsBélier=MAUVAISE,VLOOKUP("Canola",AlimentsRationOvinsMâles,2,FALSE),0)+(IF(QualitéAlimentsBrebis=MAUVAISE,VLOOKUP("Canola",AlimentsRationOvinsFemelles,2,FALSE),0))))))))))</f>
        <v>0</v>
      </c>
      <c r="DR298" s="1321"/>
      <c r="DS298" s="1321"/>
      <c r="DT298" s="1346"/>
      <c r="DU298" s="1346"/>
      <c r="DV298" s="1321"/>
      <c r="DW298" s="1321"/>
      <c r="DX298" s="1321"/>
      <c r="DY298" s="1321"/>
      <c r="DZ298" s="1321"/>
      <c r="EA298" s="1321"/>
      <c r="EB298" s="1321"/>
      <c r="EC298" s="1321"/>
      <c r="ED298" s="1345"/>
      <c r="EE298" s="1345"/>
      <c r="EF298" s="1321"/>
      <c r="EG298" s="1321"/>
      <c r="EH298" s="1321"/>
      <c r="EI298" s="1321"/>
      <c r="EJ298" s="1321"/>
      <c r="EK298" s="1345"/>
      <c r="EL298" s="1345"/>
      <c r="EM298" s="1321"/>
      <c r="EN298" s="1321"/>
      <c r="EO298" s="1321"/>
      <c r="EP298" s="1321"/>
      <c r="EQ298" s="1321"/>
      <c r="ER298" s="1345"/>
      <c r="ES298" s="1345"/>
      <c r="ET298" s="1321"/>
      <c r="EU298" s="1321"/>
      <c r="EV298" s="1321"/>
      <c r="EW298" s="1321"/>
      <c r="EX298" s="1321"/>
      <c r="EY298" s="1321"/>
      <c r="EZ298" s="1345"/>
      <c r="FA298" s="1345"/>
      <c r="FB298" s="1345"/>
      <c r="FC298" s="1321"/>
      <c r="FD298" s="1321"/>
      <c r="FE298" s="1321"/>
      <c r="FF298" s="1321"/>
      <c r="FG298" s="1321"/>
      <c r="FH298" s="1321"/>
      <c r="FI298" s="1345"/>
      <c r="FJ298" s="1345"/>
      <c r="FK298" s="1345"/>
      <c r="FL298" s="1345"/>
      <c r="FM298" s="1321"/>
      <c r="FN298" s="1321"/>
      <c r="FO298" s="1321"/>
      <c r="FP298" s="1321"/>
      <c r="FQ298" s="1321"/>
      <c r="FR298" s="1321"/>
      <c r="FS298" s="1345"/>
      <c r="FT298" s="1345"/>
      <c r="FU298" s="1345"/>
      <c r="FV298" s="1345"/>
      <c r="FW298" s="1321"/>
      <c r="FX298" s="1321"/>
      <c r="FY298" s="1321"/>
      <c r="FZ298" s="1321"/>
      <c r="GA298" s="1345"/>
      <c r="GB298" s="1321"/>
      <c r="GC298" s="1321"/>
      <c r="GD298" s="1321"/>
      <c r="GE298" s="1321"/>
      <c r="GF298" s="1321"/>
      <c r="GG298" s="1321" t="s">
        <v>1349</v>
      </c>
      <c r="GH298" s="1321" t="s">
        <v>1349</v>
      </c>
      <c r="GI298" s="1321" t="s">
        <v>1349</v>
      </c>
      <c r="GJ298" s="1321" t="s">
        <v>1349</v>
      </c>
      <c r="GK298" s="1321" t="s">
        <v>1349</v>
      </c>
      <c r="GL298" s="1321" t="s">
        <v>1349</v>
      </c>
      <c r="GM298" s="1321" t="s">
        <v>1349</v>
      </c>
      <c r="GN298" s="1321" t="s">
        <v>1349</v>
      </c>
      <c r="GO298" s="1321" t="s">
        <v>1349</v>
      </c>
      <c r="GP298" s="1321" t="s">
        <v>1349</v>
      </c>
      <c r="GQ298" s="1321" t="s">
        <v>1349</v>
      </c>
      <c r="GR298" s="1321" t="s">
        <v>1349</v>
      </c>
      <c r="GS298" s="1321" t="s">
        <v>1349</v>
      </c>
      <c r="GT298" s="1321" t="s">
        <v>1349</v>
      </c>
      <c r="GU298" s="1321" t="s">
        <v>1349</v>
      </c>
      <c r="GV298" s="1321" t="s">
        <v>1349</v>
      </c>
      <c r="GW298" s="1321"/>
      <c r="GX298" s="1321"/>
      <c r="GY298" s="1321"/>
      <c r="GZ298" s="1321"/>
      <c r="HA298" s="1321"/>
      <c r="HB298" s="1321"/>
      <c r="HC298" s="1321"/>
      <c r="HD298" s="1321"/>
      <c r="HE298" s="1321"/>
      <c r="HF298" s="1321"/>
      <c r="HG298" s="1321"/>
      <c r="HH298" s="1321"/>
      <c r="HI298" s="1321"/>
      <c r="HJ298" s="1321"/>
      <c r="HK298" s="1321"/>
      <c r="HL298" s="1321"/>
      <c r="HM298" s="1321"/>
      <c r="HN298" s="1321"/>
      <c r="HO298" s="1321"/>
      <c r="HP298" s="1321"/>
      <c r="HQ298" s="1321"/>
      <c r="HR298" s="1321"/>
      <c r="HS298" s="1321"/>
      <c r="HT298" s="1321"/>
      <c r="HU298" s="1321"/>
      <c r="HV298" s="1321"/>
      <c r="HW298" s="1321"/>
      <c r="HX298" s="1321"/>
      <c r="HY298" s="1321"/>
      <c r="HZ298" s="1321"/>
      <c r="IA298" s="1321"/>
      <c r="IB298" s="1321"/>
      <c r="IC298" s="1321"/>
      <c r="ID298" s="1321"/>
      <c r="IE298" s="1321"/>
      <c r="IF298" s="1321"/>
      <c r="IG298" s="1321"/>
      <c r="IH298" s="1321"/>
      <c r="II298" s="1321"/>
      <c r="IJ298" s="1321"/>
      <c r="IK298" s="1321"/>
      <c r="IL298" s="1321"/>
      <c r="IM298" s="1321"/>
      <c r="IN298" s="1368"/>
    </row>
    <row r="299" spans="1:248" ht="12.75" customHeight="1" x14ac:dyDescent="0.2">
      <c r="A299" s="1319"/>
      <c r="B299" s="1321"/>
      <c r="C299" s="1321"/>
      <c r="D299" s="1321"/>
      <c r="E299" s="1321"/>
      <c r="F299" s="1321"/>
      <c r="G299" s="1321"/>
      <c r="H299" s="1321"/>
      <c r="I299" s="1321"/>
      <c r="J299" s="1321"/>
      <c r="K299" s="1321"/>
      <c r="L299" s="1321"/>
      <c r="M299" s="1321"/>
      <c r="N299" s="1321"/>
      <c r="O299" s="1321"/>
      <c r="P299" s="1321"/>
      <c r="Q299" s="1321"/>
      <c r="R299" s="1321"/>
      <c r="S299" s="1321"/>
      <c r="T299" s="1321"/>
      <c r="U299" s="1321"/>
      <c r="V299" s="1321"/>
      <c r="W299" s="1321"/>
      <c r="X299" s="1321"/>
      <c r="Y299" s="1321"/>
      <c r="Z299" s="1321"/>
      <c r="AA299" s="1321"/>
      <c r="AB299" s="1321"/>
      <c r="AC299" s="1321"/>
      <c r="AD299" s="1321"/>
      <c r="AE299" s="1321"/>
      <c r="AF299" s="1321"/>
      <c r="AG299" s="1321"/>
      <c r="AH299" s="1321"/>
      <c r="AI299" s="1321"/>
      <c r="AJ299" s="1321"/>
      <c r="AK299" s="1321"/>
      <c r="AL299" s="1321"/>
      <c r="AM299" s="1321"/>
      <c r="AN299" s="1321"/>
      <c r="AO299" s="1321"/>
      <c r="AP299" s="1321"/>
      <c r="AQ299" s="1321"/>
      <c r="AR299" s="1321"/>
      <c r="AS299" s="1321"/>
      <c r="AT299" s="1321"/>
      <c r="AU299" s="1321"/>
      <c r="AV299" s="1321"/>
      <c r="AW299" s="1321"/>
      <c r="AX299" s="1321"/>
      <c r="AY299" s="1321"/>
      <c r="AZ299" s="1321"/>
      <c r="BA299" s="1321"/>
      <c r="BB299" s="1075" t="str">
        <f t="shared" si="79"/>
        <v>Haricot vert</v>
      </c>
      <c r="BC299" s="1075">
        <f t="array" ref="BC299">IFERROR(IF(OR(AND(INDEX(Règles_bovins[Specificite],MATCH(RationHivernaleBovinsAuPré&amp;$BB299,Règles_bovins[Ration]&amp;Règles_bovins[Aliment],0))="s1",IF($BB299=Spécificité1Bovins,1)),
AND(INDEX(Règles_bovins[Specificite],MATCH(RationHivernaleBovinsAuPré&amp;$BB299,Règles_bovins[Ration]&amp;Règles_bovins[Aliment],0))="s2",IF($BB299=Spécificité2Bovins,1)),
INDEX(Règles_bovins[Specificite],MATCH(RationHivernaleBovinsAuPré&amp;$BB299,Règles_bovins[Ration]&amp;Règles_bovins[Aliment],0))="c"),
INDEX(Règles_bovins[Valeur 36 et plus],MATCH(RationHivernaleBovinsAuPré&amp;$BB299,Règles_bovins[Ration]&amp;Règles_bovins[Aliment],0)),0),0)*IF(SUM(TotalBovinsAdultesAuPré)&gt;0,SUM(TotalBovinsAdultesAuPré),SUM(TotalBovinsAdultes))*35</f>
        <v>0</v>
      </c>
      <c r="BD299" s="1075">
        <f t="array" ref="BD299">IFERROR(IF(OR(AND(INDEX(Règles_bovins[Specificite],MATCH(RationHivernaleBovinsAuPré&amp;$BB299,Règles_bovins[Ration]&amp;Règles_bovins[Aliment],0))="s1",IF($BB299=Spécificité1Bovins,1)),
AND(INDEX(Règles_bovins[Specificite],MATCH(RationHivernaleBovinsAuPré&amp;$BB299,Règles_bovins[Ration]&amp;Règles_bovins[Aliment],0))="s2",IF($BB299=Spécificité2Bovins,1)),
INDEX(Règles_bovins[Specificite],MATCH(RationHivernaleBovinsAuPré&amp;$BB299,Règles_bovins[Ration]&amp;Règles_bovins[Aliment],0))="c"),
INDEX(Règles_bovins[Valeur 24-36],MATCH(RationHivernaleBovinsAuPré&amp;$BB299,Règles_bovins[Ration]&amp;Règles_bovins[Aliment],0)),0),0)*IF(SUM(TotalBovins_24_36moisAuPré)&gt;0,SUM(TotalBovins_24_36moisAuPré),SUM(TotalBovins_24_36mois))*35</f>
        <v>0</v>
      </c>
      <c r="BE299" s="1075">
        <f t="array" ref="BE299">IFERROR(IF(OR(AND(INDEX(Règles_bovins[Specificite],MATCH(RationHivernaleBovinsAuPré&amp;$BB299,Règles_bovins[Ration]&amp;Règles_bovins[Aliment],0))="s1",IF($BB299=Spécificité1Bovins,1)),
AND(INDEX(Règles_bovins[Specificite],MATCH(RationHivernaleBovinsAuPré&amp;$BB299,Règles_bovins[Ration]&amp;Règles_bovins[Aliment],0))="s2",IF($BB299=Spécificité2Bovins,1)),
INDEX(Règles_bovins[Specificite],MATCH(RationHivernaleBovinsAuPré&amp;$BB299,Règles_bovins[Ration]&amp;Règles_bovins[Aliment],0))="c"),
INDEX(Règles_bovins[Valeur 18-24],MATCH(RationHivernaleBovinsAuPré&amp;$BB299,Règles_bovins[Ration]&amp;Règles_bovins[Aliment],0)),0),0)*IF(SUM(TotalBovins_18_24moisAuPré)&gt;0,SUM(TotalBovins_18_24moisAuPré),SUM(TotalBovins_18_24mois))*35</f>
        <v>0</v>
      </c>
      <c r="BF299" s="1075">
        <f t="array" ref="BF299">IFERROR(IF(OR(AND(INDEX(Règles_bovins[Specificite],MATCH(RationHivernaleBovinsAuPré&amp;$BB299,Règles_bovins[Ration]&amp;Règles_bovins[Aliment],0))="s1",IF($BB299=Spécificité1Bovins,1)),
AND(INDEX(Règles_bovins[Specificite],MATCH(RationHivernaleBovinsAuPré&amp;$BB299,Règles_bovins[Ration]&amp;Règles_bovins[Aliment],0))="s2",IF($BB299=Spécificité2Bovins,1)),
INDEX(Règles_bovins[Specificite],MATCH(RationHivernaleBovinsAuPré&amp;$BB299,Règles_bovins[Ration]&amp;Règles_bovins[Aliment],0))="c"),
INDEX(Règles_bovins[Valeur 12-18],MATCH(RationHivernaleBovinsAuPré&amp;$BB299,Règles_bovins[Ration]&amp;Règles_bovins[Aliment],0)),0),0)*IF(SUM(TotalBovins_12_18moisAuPré)&gt;0,SUM(TotalBovins_12_18moisAuPré),SUM(TotalBovins_12_18mois))*35</f>
        <v>0</v>
      </c>
      <c r="BG299" s="1075">
        <f t="array" ref="BG299">IFERROR(IF(OR(AND(INDEX(Règles_bovins[Specificite],MATCH(RationHivernaleBovinsAuPré&amp;$BB299,Règles_bovins[Ration]&amp;Règles_bovins[Aliment],0))="s1",IF($BB299=Spécificité1Bovins,1)),
AND(INDEX(Règles_bovins[Specificite],MATCH(RationHivernaleBovinsAuPré&amp;$BB299,Règles_bovins[Ration]&amp;Règles_bovins[Aliment],0))="s2",IF($BB299=Spécificité2Bovins,1)),
INDEX(Règles_bovins[Specificite],MATCH(RationHivernaleBovinsAuPré&amp;$BB299,Règles_bovins[Ration]&amp;Règles_bovins[Aliment],0))="c"),
INDEX(Règles_bovins[Valeur 6-12],MATCH(RationHivernaleBovinsAuPré&amp;$BB299,Règles_bovins[Ration]&amp;Règles_bovins[Aliment],0)),0),0)*IF(SUM(TotalBovins_6_12moisAuPré)&gt;0,SUM(TotalBovins_6_12moisAuPré),SUM(TotalBovins_6_12mois))*35</f>
        <v>0</v>
      </c>
      <c r="BH299" s="1075">
        <f t="array" ref="BH299">IFERROR(IF(OR(AND(INDEX(Règles_bovins[Specificite],MATCH(RationHivernaleBovinsAuPré&amp;$BB299,Règles_bovins[Ration]&amp;Règles_bovins[Aliment],0))="s1",IF($BB299=Spécificité1Bovins,1)),
AND(INDEX(Règles_bovins[Specificite],MATCH(RationHivernaleBovinsAuPré&amp;$BB299,Règles_bovins[Ration]&amp;Règles_bovins[Aliment],0))="s2",IF($BB299=Spécificité2Bovins,1)),
INDEX(Règles_bovins[Specificite],MATCH(RationHivernaleBovinsAuPré&amp;$BB299,Règles_bovins[Ration]&amp;Règles_bovins[Aliment],0))="c"),
INDEX(Règles_bovins[Valeur 3-6],MATCH(RationHivernaleBovinsAuPré&amp;$BB299,Règles_bovins[Ration]&amp;Règles_bovins[Aliment],0)),0),0)*IF(SUM(TotalBovins_3_6moisAuPré)&gt;0,SUM(TotalBovins_3_6moisAuPré),SUM(TotalBovins_3_6mois))*35</f>
        <v>0</v>
      </c>
      <c r="BI299" s="1075">
        <f t="array" ref="BI299">IFERROR(IF(OR(AND(INDEX(Règles_bovins[Specificite],MATCH(RationHivernaleBovinsAuPré&amp;$BB299,Règles_bovins[Ration]&amp;Règles_bovins[Aliment],0))="s1",IF($BB299=Spécificité1Bovins,1)),
AND(INDEX(Règles_bovins[Specificite],MATCH(RationHivernaleBovinsAuPré&amp;$BB299,Règles_bovins[Ration]&amp;Règles_bovins[Aliment],0))="s2",IF($BB299=Spécificité2Bovins,1)),
INDEX(Règles_bovins[Specificite],MATCH(RationHivernaleBovinsAuPré&amp;$BB299,Règles_bovins[Ration]&amp;Règles_bovins[Aliment],0))="c"),
INDEX(Règles_bovins[Valeur 0-3],MATCH(RationHivernaleBovinsAuPré&amp;$BB299,Règles_bovins[Ration]&amp;Règles_bovins[Aliment],0)),0),0)*IF(SUM(TotalBovins_0_3moisAuPré)&gt;0,SUM(TotalBovins_0_3moisAuPré),SUM(TotalBovins_0_3mois))*35</f>
        <v>0</v>
      </c>
      <c r="BJ299" s="1270">
        <f t="shared" si="78"/>
        <v>0</v>
      </c>
      <c r="BK299" s="1345"/>
      <c r="BL299" s="1345"/>
      <c r="BM299" s="1346"/>
      <c r="BN299" s="1321"/>
      <c r="BO299" s="1321"/>
      <c r="BP299" s="1321"/>
      <c r="BQ299" s="1321"/>
      <c r="BR299" s="1321"/>
      <c r="BS299" s="1321"/>
      <c r="BT299" s="1321"/>
      <c r="BU299" s="1321"/>
      <c r="BV299" s="1345"/>
      <c r="BW299" s="1345"/>
      <c r="BX299" s="1321"/>
      <c r="BY299" s="1321"/>
      <c r="BZ299" s="1321"/>
      <c r="CA299" s="1321"/>
      <c r="CB299" s="1321"/>
      <c r="CC299" s="1321"/>
      <c r="CD299" s="1345"/>
      <c r="CE299" s="1345"/>
      <c r="CF299" s="1345"/>
      <c r="CG299" s="1345"/>
      <c r="CH299" s="1345"/>
      <c r="CI299" s="1321"/>
      <c r="CJ299" s="1321"/>
      <c r="CK299" s="1321"/>
      <c r="CL299" s="1321"/>
      <c r="CM299" s="1321"/>
      <c r="CN299" s="1321"/>
      <c r="CO299" s="1321"/>
      <c r="CP299" s="1321"/>
      <c r="CQ299" s="1321"/>
      <c r="CR299" s="1321"/>
      <c r="CS299" s="1321"/>
      <c r="CT299" s="1321"/>
      <c r="CU299" s="1321"/>
      <c r="CV299" s="1321"/>
      <c r="CW299" s="1321"/>
      <c r="CX299" s="1321"/>
      <c r="CY299" s="1321"/>
      <c r="CZ299" s="1321"/>
      <c r="DA299" s="1321"/>
      <c r="DB299" s="1321"/>
      <c r="DC299" s="1321"/>
      <c r="DD299" s="1321"/>
      <c r="DE299" s="1321"/>
      <c r="DF299" s="1321"/>
      <c r="DG299" s="1321"/>
      <c r="DH299" s="1321"/>
      <c r="DI299" s="1321"/>
      <c r="DJ299" s="1321"/>
      <c r="DK299" s="1321"/>
      <c r="DL299" s="1321"/>
      <c r="DM299" s="1321"/>
      <c r="DN299" s="1076" t="str">
        <f t="shared" si="80"/>
        <v>Colza</v>
      </c>
      <c r="DO299" s="1267">
        <f t="array" ref="DO299">SUM((IF(QualitéAlimentsAgneauMâle_0_3_mois=BONNE,VLOOKUP("Colza",AlimentsRationOvinsMâles,5,FALSE),0)+(IF(QualitéAlimentsAgneauFemelle_0_3_mois=BONNE,VLOOKUP("Colza",AlimentsRationOvinsFemelles,5,FALSE),0)+(IF(QualitéAlimentsAgneauMâle_3_6_mois=BONNE,VLOOKUP("Colza",AlimentsRationOvinsMâles,4,FALSE),0)+(IF(QualitéAlimentsAgneauFemelle_3_6_mois=BONNE,VLOOKUP("Colza",AlimentsRationOvinsFemelles,4,FALSE),0)+(IF(QualitéAlimentsJeuneBélier=BONNE,VLOOKUP("Colza",AlimentsRationOvinsMâles,3,FALSE),0)+(IF(QualitéAlimentsJeuneBrebis=BONNE,VLOOKUP("Colza",AlimentsRationOvinsFemelles,3,FALSE),0)+(IF(QualitéAlimentsBélier=BONNE,VLOOKUP("Colza",AlimentsRationOvinsMâles,2,FALSE),0)+(IF(QualitéAlimentsBrebis=BONNE,VLOOKUP("Colza",AlimentsRationOvinsFemelles,2,FALSE),0))))))))))</f>
        <v>0</v>
      </c>
      <c r="DP299" s="1267">
        <f t="array" ref="DP299">SUM((IF(QualitéAlimentsAgneauMâle_0_3_mois=MOYENNE,VLOOKUP("Colza",AlimentsRationOvinsMâles,5,FALSE),0)+(IF(QualitéAlimentsAgneauFemelle_0_3_mois=MOYENNE,VLOOKUP("Colza",AlimentsRationOvinsFemelles,5,FALSE),0)+(IF(QualitéAlimentsAgneauMâle_3_6_mois=MOYENNE,VLOOKUP("Colza",AlimentsRationOvinsMâles,4,FALSE),0)+(IF(QualitéAlimentsAgneauFemelle_3_6_mois=MOYENNE,VLOOKUP("Colza",AlimentsRationOvinsFemelles,4,FALSE),0)+(IF(QualitéAlimentsJeuneBélier=MOYENNE,VLOOKUP("Colza",AlimentsRationOvinsMâles,3,FALSE),0)+(IF(QualitéAlimentsJeuneBrebis=MOYENNE,VLOOKUP("Colza",AlimentsRationOvinsFemelles,3,FALSE),0)+(IF(QualitéAlimentsBélier=MOYENNE,VLOOKUP("Colza",AlimentsRationOvinsMâles,2,FALSE),0)+(IF(QualitéAlimentsBrebis=MOYENNE,VLOOKUP("Colza",AlimentsRationOvinsFemelles,2,FALSE),0))))))))))</f>
        <v>0</v>
      </c>
      <c r="DQ299" s="1267">
        <f t="array" ref="DQ299">SUM((IF(QualitéAlimentsAgneauMâle_0_3_mois=MAUVAISE,VLOOKUP("Colza",AlimentsRationOvinsMâles,5,FALSE),0)+(IF(QualitéAlimentsAgneauFemelle_0_3_mois=MAUVAISE,VLOOKUP("Colza",AlimentsRationOvinsFemelles,5,FALSE),0)+(IF(QualitéAlimentsAgneauMâle_3_6_mois=MAUVAISE,VLOOKUP("Colza",AlimentsRationOvinsMâles,4,FALSE),0)+(IF(QualitéAlimentsAgneauFemelle_3_6_mois=MAUVAISE,VLOOKUP("Colza",AlimentsRationOvinsFemelles,4,FALSE),0)+(IF(QualitéAlimentsJeuneBélier=MAUVAISE,VLOOKUP("Colza",AlimentsRationOvinsMâles,3,FALSE),0)+(IF(QualitéAlimentsJeuneBrebis=MAUVAISE,VLOOKUP("Colza",AlimentsRationOvinsFemelles,3,FALSE),0)+(IF(QualitéAlimentsBélier=MAUVAISE,VLOOKUP("Colza",AlimentsRationOvinsMâles,2,FALSE),0)+(IF(QualitéAlimentsBrebis=MAUVAISE,VLOOKUP("Colza",AlimentsRationOvinsFemelles,2,FALSE),0))))))))))</f>
        <v>0</v>
      </c>
      <c r="DR299" s="1321"/>
      <c r="DS299" s="1321"/>
      <c r="DT299" s="1346"/>
      <c r="DU299" s="1346"/>
      <c r="DV299" s="1321"/>
      <c r="DW299" s="1321"/>
      <c r="DX299" s="1321"/>
      <c r="DY299" s="1321"/>
      <c r="DZ299" s="1321"/>
      <c r="EA299" s="1321"/>
      <c r="EB299" s="1321"/>
      <c r="EC299" s="1321"/>
      <c r="ED299" s="1345"/>
      <c r="EE299" s="1345"/>
      <c r="EF299" s="1321"/>
      <c r="EG299" s="1321"/>
      <c r="EH299" s="1321"/>
      <c r="EI299" s="1321"/>
      <c r="EJ299" s="1321"/>
      <c r="EK299" s="1345"/>
      <c r="EL299" s="1345"/>
      <c r="EM299" s="1321"/>
      <c r="EN299" s="1321"/>
      <c r="EO299" s="1321"/>
      <c r="EP299" s="1321"/>
      <c r="EQ299" s="1321"/>
      <c r="ER299" s="1345"/>
      <c r="ES299" s="1345"/>
      <c r="ET299" s="1321"/>
      <c r="EU299" s="1321"/>
      <c r="EV299" s="1321"/>
      <c r="EW299" s="1321"/>
      <c r="EX299" s="1321"/>
      <c r="EY299" s="1321"/>
      <c r="EZ299" s="1345"/>
      <c r="FA299" s="1345"/>
      <c r="FB299" s="1345"/>
      <c r="FC299" s="1321"/>
      <c r="FD299" s="1321"/>
      <c r="FE299" s="1321"/>
      <c r="FF299" s="1321"/>
      <c r="FG299" s="1321"/>
      <c r="FH299" s="1321"/>
      <c r="FI299" s="1345"/>
      <c r="FJ299" s="1345"/>
      <c r="FK299" s="1345"/>
      <c r="FL299" s="1345"/>
      <c r="FM299" s="1321"/>
      <c r="FN299" s="1321"/>
      <c r="FO299" s="1321"/>
      <c r="FP299" s="1321"/>
      <c r="FQ299" s="1321"/>
      <c r="FR299" s="1321"/>
      <c r="FS299" s="1345"/>
      <c r="FT299" s="1345"/>
      <c r="FU299" s="1345"/>
      <c r="FV299" s="1345"/>
      <c r="FW299" s="1321"/>
      <c r="FX299" s="1321"/>
      <c r="FY299" s="1321"/>
      <c r="FZ299" s="1321"/>
      <c r="GA299" s="1345"/>
      <c r="GB299" s="1321"/>
      <c r="GC299" s="1321"/>
      <c r="GD299" s="1321"/>
      <c r="GE299" s="1321"/>
      <c r="GF299" s="1321"/>
      <c r="GG299" s="1321" t="s">
        <v>1349</v>
      </c>
      <c r="GH299" s="1321" t="s">
        <v>1349</v>
      </c>
      <c r="GI299" s="1321" t="s">
        <v>1349</v>
      </c>
      <c r="GJ299" s="1321" t="s">
        <v>1349</v>
      </c>
      <c r="GK299" s="1321" t="s">
        <v>1349</v>
      </c>
      <c r="GL299" s="1321" t="s">
        <v>1349</v>
      </c>
      <c r="GM299" s="1321" t="s">
        <v>1349</v>
      </c>
      <c r="GN299" s="1321" t="s">
        <v>1349</v>
      </c>
      <c r="GO299" s="1321" t="s">
        <v>1349</v>
      </c>
      <c r="GP299" s="1321" t="s">
        <v>1349</v>
      </c>
      <c r="GQ299" s="1321" t="s">
        <v>1349</v>
      </c>
      <c r="GR299" s="1321" t="s">
        <v>1349</v>
      </c>
      <c r="GS299" s="1321" t="s">
        <v>1349</v>
      </c>
      <c r="GT299" s="1321" t="s">
        <v>1349</v>
      </c>
      <c r="GU299" s="1321" t="s">
        <v>1349</v>
      </c>
      <c r="GV299" s="1321" t="s">
        <v>1349</v>
      </c>
      <c r="GW299" s="1321"/>
      <c r="GX299" s="1321"/>
      <c r="GY299" s="1321"/>
      <c r="GZ299" s="1321"/>
      <c r="HA299" s="1321"/>
      <c r="HB299" s="1321"/>
      <c r="HC299" s="1321"/>
      <c r="HD299" s="1321"/>
      <c r="HE299" s="1321"/>
      <c r="HF299" s="1321"/>
      <c r="HG299" s="1321"/>
      <c r="HH299" s="1321"/>
      <c r="HI299" s="1321"/>
      <c r="HJ299" s="1321"/>
      <c r="HK299" s="1321"/>
      <c r="HL299" s="1321"/>
      <c r="HM299" s="1321"/>
      <c r="HN299" s="1321"/>
      <c r="HO299" s="1321"/>
      <c r="HP299" s="1321"/>
      <c r="HQ299" s="1321"/>
      <c r="HR299" s="1321"/>
      <c r="HS299" s="1321"/>
      <c r="HT299" s="1321"/>
      <c r="HU299" s="1321"/>
      <c r="HV299" s="1321"/>
      <c r="HW299" s="1321"/>
      <c r="HX299" s="1321"/>
      <c r="HY299" s="1321"/>
      <c r="HZ299" s="1321"/>
      <c r="IA299" s="1321"/>
      <c r="IB299" s="1321"/>
      <c r="IC299" s="1321"/>
      <c r="ID299" s="1321"/>
      <c r="IE299" s="1321"/>
      <c r="IF299" s="1321"/>
      <c r="IG299" s="1321"/>
      <c r="IH299" s="1321"/>
      <c r="II299" s="1321"/>
      <c r="IJ299" s="1321"/>
      <c r="IK299" s="1321"/>
      <c r="IL299" s="1321"/>
      <c r="IM299" s="1321"/>
      <c r="IN299" s="1368"/>
    </row>
    <row r="300" spans="1:248" ht="12.75" customHeight="1" x14ac:dyDescent="0.2">
      <c r="A300" s="1319"/>
      <c r="B300" s="1321"/>
      <c r="C300" s="1321"/>
      <c r="D300" s="1321"/>
      <c r="E300" s="1321"/>
      <c r="F300" s="1321"/>
      <c r="G300" s="1321"/>
      <c r="H300" s="1321"/>
      <c r="I300" s="1321"/>
      <c r="J300" s="1321"/>
      <c r="K300" s="1321"/>
      <c r="L300" s="1321"/>
      <c r="M300" s="1321"/>
      <c r="N300" s="1321"/>
      <c r="O300" s="1321"/>
      <c r="P300" s="1321"/>
      <c r="Q300" s="1321"/>
      <c r="R300" s="1321"/>
      <c r="S300" s="1321"/>
      <c r="T300" s="1321"/>
      <c r="U300" s="1321"/>
      <c r="V300" s="1321"/>
      <c r="W300" s="1321"/>
      <c r="X300" s="1321"/>
      <c r="Y300" s="1321"/>
      <c r="Z300" s="1321"/>
      <c r="AA300" s="1321"/>
      <c r="AB300" s="1321"/>
      <c r="AC300" s="1321"/>
      <c r="AD300" s="1321"/>
      <c r="AE300" s="1321"/>
      <c r="AF300" s="1321"/>
      <c r="AG300" s="1321"/>
      <c r="AH300" s="1321"/>
      <c r="AI300" s="1321"/>
      <c r="AJ300" s="1321"/>
      <c r="AK300" s="1321"/>
      <c r="AL300" s="1321"/>
      <c r="AM300" s="1321"/>
      <c r="AN300" s="1321"/>
      <c r="AO300" s="1321"/>
      <c r="AP300" s="1321"/>
      <c r="AQ300" s="1321"/>
      <c r="AR300" s="1321"/>
      <c r="AS300" s="1321"/>
      <c r="AT300" s="1321"/>
      <c r="AU300" s="1321"/>
      <c r="AV300" s="1321"/>
      <c r="AW300" s="1321"/>
      <c r="AX300" s="1321"/>
      <c r="AY300" s="1321"/>
      <c r="AZ300" s="1321"/>
      <c r="BA300" s="1321"/>
      <c r="BB300" s="1076" t="str">
        <f t="shared" si="79"/>
        <v>Lentille</v>
      </c>
      <c r="BC300" s="1076">
        <f t="array" ref="BC300">IFERROR(IF(OR(AND(INDEX(Règles_bovins[Specificite],MATCH(RationHivernaleBovinsAuPré&amp;$BB300,Règles_bovins[Ration]&amp;Règles_bovins[Aliment],0))="s1",IF($BB300=Spécificité1Bovins,1)),
AND(INDEX(Règles_bovins[Specificite],MATCH(RationHivernaleBovinsAuPré&amp;$BB300,Règles_bovins[Ration]&amp;Règles_bovins[Aliment],0))="s2",IF($BB300=Spécificité2Bovins,1)),
INDEX(Règles_bovins[Specificite],MATCH(RationHivernaleBovinsAuPré&amp;$BB300,Règles_bovins[Ration]&amp;Règles_bovins[Aliment],0))="c"),
INDEX(Règles_bovins[Valeur 36 et plus],MATCH(RationHivernaleBovinsAuPré&amp;$BB300,Règles_bovins[Ration]&amp;Règles_bovins[Aliment],0)),0),0)*IF(SUM(TotalBovinsAdultesAuPré)&gt;0,SUM(TotalBovinsAdultesAuPré),SUM(TotalBovinsAdultes))*35</f>
        <v>0</v>
      </c>
      <c r="BD300" s="1076">
        <f t="array" ref="BD300">IFERROR(IF(OR(AND(INDEX(Règles_bovins[Specificite],MATCH(RationHivernaleBovinsAuPré&amp;$BB300,Règles_bovins[Ration]&amp;Règles_bovins[Aliment],0))="s1",IF($BB300=Spécificité1Bovins,1)),
AND(INDEX(Règles_bovins[Specificite],MATCH(RationHivernaleBovinsAuPré&amp;$BB300,Règles_bovins[Ration]&amp;Règles_bovins[Aliment],0))="s2",IF($BB300=Spécificité2Bovins,1)),
INDEX(Règles_bovins[Specificite],MATCH(RationHivernaleBovinsAuPré&amp;$BB300,Règles_bovins[Ration]&amp;Règles_bovins[Aliment],0))="c"),
INDEX(Règles_bovins[Valeur 24-36],MATCH(RationHivernaleBovinsAuPré&amp;$BB300,Règles_bovins[Ration]&amp;Règles_bovins[Aliment],0)),0),0)*IF(SUM(TotalBovins_24_36moisAuPré)&gt;0,SUM(TotalBovins_24_36moisAuPré),SUM(TotalBovins_24_36mois))*35</f>
        <v>0</v>
      </c>
      <c r="BE300" s="1076">
        <f t="array" ref="BE300">IFERROR(IF(OR(AND(INDEX(Règles_bovins[Specificite],MATCH(RationHivernaleBovinsAuPré&amp;$BB300,Règles_bovins[Ration]&amp;Règles_bovins[Aliment],0))="s1",IF($BB300=Spécificité1Bovins,1)),
AND(INDEX(Règles_bovins[Specificite],MATCH(RationHivernaleBovinsAuPré&amp;$BB300,Règles_bovins[Ration]&amp;Règles_bovins[Aliment],0))="s2",IF($BB300=Spécificité2Bovins,1)),
INDEX(Règles_bovins[Specificite],MATCH(RationHivernaleBovinsAuPré&amp;$BB300,Règles_bovins[Ration]&amp;Règles_bovins[Aliment],0))="c"),
INDEX(Règles_bovins[Valeur 18-24],MATCH(RationHivernaleBovinsAuPré&amp;$BB300,Règles_bovins[Ration]&amp;Règles_bovins[Aliment],0)),0),0)*IF(SUM(TotalBovins_18_24moisAuPré)&gt;0,SUM(TotalBovins_18_24moisAuPré),SUM(TotalBovins_18_24mois))*35</f>
        <v>0</v>
      </c>
      <c r="BF300" s="1076">
        <f t="array" ref="BF300">IFERROR(IF(OR(AND(INDEX(Règles_bovins[Specificite],MATCH(RationHivernaleBovinsAuPré&amp;$BB300,Règles_bovins[Ration]&amp;Règles_bovins[Aliment],0))="s1",IF($BB300=Spécificité1Bovins,1)),
AND(INDEX(Règles_bovins[Specificite],MATCH(RationHivernaleBovinsAuPré&amp;$BB300,Règles_bovins[Ration]&amp;Règles_bovins[Aliment],0))="s2",IF($BB300=Spécificité2Bovins,1)),
INDEX(Règles_bovins[Specificite],MATCH(RationHivernaleBovinsAuPré&amp;$BB300,Règles_bovins[Ration]&amp;Règles_bovins[Aliment],0))="c"),
INDEX(Règles_bovins[Valeur 12-18],MATCH(RationHivernaleBovinsAuPré&amp;$BB300,Règles_bovins[Ration]&amp;Règles_bovins[Aliment],0)),0),0)*IF(SUM(TotalBovins_12_18moisAuPré)&gt;0,SUM(TotalBovins_12_18moisAuPré),SUM(TotalBovins_12_18mois))*35</f>
        <v>0</v>
      </c>
      <c r="BG300" s="1076">
        <f t="array" ref="BG300">IFERROR(IF(OR(AND(INDEX(Règles_bovins[Specificite],MATCH(RationHivernaleBovinsAuPré&amp;$BB300,Règles_bovins[Ration]&amp;Règles_bovins[Aliment],0))="s1",IF($BB300=Spécificité1Bovins,1)),
AND(INDEX(Règles_bovins[Specificite],MATCH(RationHivernaleBovinsAuPré&amp;$BB300,Règles_bovins[Ration]&amp;Règles_bovins[Aliment],0))="s2",IF($BB300=Spécificité2Bovins,1)),
INDEX(Règles_bovins[Specificite],MATCH(RationHivernaleBovinsAuPré&amp;$BB300,Règles_bovins[Ration]&amp;Règles_bovins[Aliment],0))="c"),
INDEX(Règles_bovins[Valeur 6-12],MATCH(RationHivernaleBovinsAuPré&amp;$BB300,Règles_bovins[Ration]&amp;Règles_bovins[Aliment],0)),0),0)*IF(SUM(TotalBovins_6_12moisAuPré)&gt;0,SUM(TotalBovins_6_12moisAuPré),SUM(TotalBovins_6_12mois))*35</f>
        <v>0</v>
      </c>
      <c r="BH300" s="1076">
        <f t="array" ref="BH300">IFERROR(IF(OR(AND(INDEX(Règles_bovins[Specificite],MATCH(RationHivernaleBovinsAuPré&amp;$BB300,Règles_bovins[Ration]&amp;Règles_bovins[Aliment],0))="s1",IF($BB300=Spécificité1Bovins,1)),
AND(INDEX(Règles_bovins[Specificite],MATCH(RationHivernaleBovinsAuPré&amp;$BB300,Règles_bovins[Ration]&amp;Règles_bovins[Aliment],0))="s2",IF($BB300=Spécificité2Bovins,1)),
INDEX(Règles_bovins[Specificite],MATCH(RationHivernaleBovinsAuPré&amp;$BB300,Règles_bovins[Ration]&amp;Règles_bovins[Aliment],0))="c"),
INDEX(Règles_bovins[Valeur 3-6],MATCH(RationHivernaleBovinsAuPré&amp;$BB300,Règles_bovins[Ration]&amp;Règles_bovins[Aliment],0)),0),0)*IF(SUM(TotalBovins_3_6moisAuPré)&gt;0,SUM(TotalBovins_3_6moisAuPré),SUM(TotalBovins_3_6mois))*35</f>
        <v>0</v>
      </c>
      <c r="BI300" s="1076">
        <f t="array" ref="BI300">IFERROR(IF(OR(AND(INDEX(Règles_bovins[Specificite],MATCH(RationHivernaleBovinsAuPré&amp;$BB300,Règles_bovins[Ration]&amp;Règles_bovins[Aliment],0))="s1",IF($BB300=Spécificité1Bovins,1)),
AND(INDEX(Règles_bovins[Specificite],MATCH(RationHivernaleBovinsAuPré&amp;$BB300,Règles_bovins[Ration]&amp;Règles_bovins[Aliment],0))="s2",IF($BB300=Spécificité2Bovins,1)),
INDEX(Règles_bovins[Specificite],MATCH(RationHivernaleBovinsAuPré&amp;$BB300,Règles_bovins[Ration]&amp;Règles_bovins[Aliment],0))="c"),
INDEX(Règles_bovins[Valeur 0-3],MATCH(RationHivernaleBovinsAuPré&amp;$BB300,Règles_bovins[Ration]&amp;Règles_bovins[Aliment],0)),0),0)*IF(SUM(TotalBovins_0_3moisAuPré)&gt;0,SUM(TotalBovins_0_3moisAuPré),SUM(TotalBovins_0_3mois))*35</f>
        <v>0</v>
      </c>
      <c r="BJ300" s="1268">
        <f t="shared" si="78"/>
        <v>0</v>
      </c>
      <c r="BK300" s="1345"/>
      <c r="BL300" s="1345"/>
      <c r="BM300" s="1346"/>
      <c r="BN300" s="1321"/>
      <c r="BO300" s="1321"/>
      <c r="BP300" s="1321"/>
      <c r="BQ300" s="1321"/>
      <c r="BR300" s="1321"/>
      <c r="BS300" s="1321"/>
      <c r="BT300" s="1321"/>
      <c r="BU300" s="1321"/>
      <c r="BV300" s="1345"/>
      <c r="BW300" s="1345"/>
      <c r="BX300" s="1321"/>
      <c r="BY300" s="1321"/>
      <c r="BZ300" s="1321"/>
      <c r="CA300" s="1321"/>
      <c r="CB300" s="1321"/>
      <c r="CC300" s="1321"/>
      <c r="CD300" s="1345"/>
      <c r="CE300" s="1345"/>
      <c r="CF300" s="1345"/>
      <c r="CG300" s="1345"/>
      <c r="CH300" s="1345"/>
      <c r="CI300" s="1321"/>
      <c r="CJ300" s="1321"/>
      <c r="CK300" s="1321"/>
      <c r="CL300" s="1321"/>
      <c r="CM300" s="1321"/>
      <c r="CN300" s="1321"/>
      <c r="CO300" s="1321"/>
      <c r="CP300" s="1321"/>
      <c r="CQ300" s="1321"/>
      <c r="CR300" s="1321"/>
      <c r="CS300" s="1321"/>
      <c r="CT300" s="1321"/>
      <c r="CU300" s="1321"/>
      <c r="CV300" s="1321"/>
      <c r="CW300" s="1321"/>
      <c r="CX300" s="1321"/>
      <c r="CY300" s="1321"/>
      <c r="CZ300" s="1321"/>
      <c r="DA300" s="1321"/>
      <c r="DB300" s="1321"/>
      <c r="DC300" s="1321"/>
      <c r="DD300" s="1321"/>
      <c r="DE300" s="1321"/>
      <c r="DF300" s="1321"/>
      <c r="DG300" s="1321"/>
      <c r="DH300" s="1321"/>
      <c r="DI300" s="1321"/>
      <c r="DJ300" s="1321"/>
      <c r="DK300" s="1321"/>
      <c r="DL300" s="1321"/>
      <c r="DM300" s="1321"/>
      <c r="DN300" s="1075" t="str">
        <f t="shared" si="80"/>
        <v>concentré jeunes bovins</v>
      </c>
      <c r="DO300" s="1269">
        <f t="array" ref="DO300">SUM((IF(QualitéAlimentsAgneauMâle_0_3_mois=BONNE,VLOOKUP("Concentré jeunes bovins",AlimentsRationOvinsMâles,5,FALSE),0)+(IF(QualitéAlimentsAgneauFemelle_0_3_mois=BONNE,VLOOKUP("Concentré jeunes bovins",AlimentsRationOvinsFemelles,5,FALSE),0)+(IF(QualitéAlimentsAgneauMâle_3_6_mois=BONNE,VLOOKUP("Concentré jeunes bovins",AlimentsRationOvinsMâles,4,FALSE),0)+(IF(QualitéAlimentsAgneauFemelle_3_6_mois=BONNE,VLOOKUP("Concentré jeunes bovins",AlimentsRationOvinsFemelles,4,FALSE),0)+(IF(QualitéAlimentsJeuneBélier=BONNE,VLOOKUP("Concentré jeunes bovins",AlimentsRationOvinsMâles,3,FALSE),0)+(IF(QualitéAlimentsJeuneBrebis=BONNE,VLOOKUP("Concentré jeunes bovins",AlimentsRationOvinsFemelles,3,FALSE),0)+(IF(QualitéAlimentsBélier=BONNE,VLOOKUP("Concentré jeunes bovins",AlimentsRationOvinsMâles,2,FALSE),0)+(IF(QualitéAlimentsBrebis=BONNE,VLOOKUP("Concentré jeunes bovins",AlimentsRationOvinsFemelles,2,FALSE),0))))))))))</f>
        <v>0</v>
      </c>
      <c r="DP300" s="1269">
        <f t="array" ref="DP300">SUM((IF(QualitéAlimentsAgneauMâle_0_3_mois=MOYENNE,VLOOKUP("Concentré jeunes bovins",AlimentsRationOvinsMâles,5,FALSE),0)+(IF(QualitéAlimentsAgneauFemelle_0_3_mois=MOYENNE,VLOOKUP("Concentré jeunes bovins",AlimentsRationOvinsFemelles,5,FALSE),0)+(IF(QualitéAlimentsAgneauMâle_3_6_mois=MOYENNE,VLOOKUP("Concentré jeunes bovins",AlimentsRationOvinsMâles,4,FALSE),0)+(IF(QualitéAlimentsAgneauFemelle_3_6_mois=MOYENNE,VLOOKUP("Concentré jeunes bovins",AlimentsRationOvinsFemelles,4,FALSE),0)+(IF(QualitéAlimentsJeuneBélier=MOYENNE,VLOOKUP("Concentré jeunes bovins",AlimentsRationOvinsMâles,3,FALSE),0)+(IF(QualitéAlimentsJeuneBrebis=MOYENNE,VLOOKUP("Concentré jeunes bovins",AlimentsRationOvinsFemelles,3,FALSE),0)+(IF(QualitéAlimentsBélier=MOYENNE,VLOOKUP("Concentré jeunes bovins",AlimentsRationOvinsMâles,2,FALSE),0)+(IF(QualitéAlimentsBrebis=MOYENNE,VLOOKUP("Concentré jeunes bovins",AlimentsRationOvinsFemelles,2,FALSE),0))))))))))</f>
        <v>0</v>
      </c>
      <c r="DQ300" s="1269">
        <f t="array" ref="DQ300">SUM((IF(QualitéAlimentsAgneauMâle_0_3_mois=MAUVAISE,VLOOKUP("Concentré jeunes bovins",AlimentsRationOvinsMâles,5,FALSE),0)+(IF(QualitéAlimentsAgneauFemelle_0_3_mois=MAUVAISE,VLOOKUP("Concentré jeunes bovins",AlimentsRationOvinsFemelles,5,FALSE),0)+(IF(QualitéAlimentsAgneauMâle_3_6_mois=MAUVAISE,VLOOKUP("Concentré jeunes bovins",AlimentsRationOvinsMâles,4,FALSE),0)+(IF(QualitéAlimentsAgneauFemelle_3_6_mois=MAUVAISE,VLOOKUP("Concentré jeunes bovins",AlimentsRationOvinsFemelles,4,FALSE),0)+(IF(QualitéAlimentsJeuneBélier=MAUVAISE,VLOOKUP("Concentré jeunes bovins",AlimentsRationOvinsMâles,3,FALSE),0)+(IF(QualitéAlimentsJeuneBrebis=MAUVAISE,VLOOKUP("Concentré jeunes bovins",AlimentsRationOvinsFemelles,3,FALSE),0)+(IF(QualitéAlimentsBélier=MAUVAISE,VLOOKUP("Concentré jeunes bovins",AlimentsRationOvinsMâles,2,FALSE),0)+(IF(QualitéAlimentsBrebis=MAUVAISE,VLOOKUP("Concentré jeunes bovins",AlimentsRationOvinsFemelles,2,FALSE),0))))))))))</f>
        <v>0</v>
      </c>
      <c r="DR300" s="1321"/>
      <c r="DS300" s="1321"/>
      <c r="DT300" s="1346"/>
      <c r="DU300" s="1346"/>
      <c r="DV300" s="1321"/>
      <c r="DW300" s="1321"/>
      <c r="DX300" s="1321"/>
      <c r="DY300" s="1321"/>
      <c r="DZ300" s="1321"/>
      <c r="EA300" s="1321"/>
      <c r="EB300" s="1321"/>
      <c r="EC300" s="1321"/>
      <c r="ED300" s="1345"/>
      <c r="EE300" s="1345"/>
      <c r="EF300" s="1321"/>
      <c r="EG300" s="1321"/>
      <c r="EH300" s="1321"/>
      <c r="EI300" s="1321"/>
      <c r="EJ300" s="1321"/>
      <c r="EK300" s="1345"/>
      <c r="EL300" s="1345"/>
      <c r="EM300" s="1321"/>
      <c r="EN300" s="1321"/>
      <c r="EO300" s="1321"/>
      <c r="EP300" s="1321"/>
      <c r="EQ300" s="1321"/>
      <c r="ER300" s="1345"/>
      <c r="ES300" s="1345"/>
      <c r="ET300" s="1321"/>
      <c r="EU300" s="1321"/>
      <c r="EV300" s="1321"/>
      <c r="EW300" s="1321"/>
      <c r="EX300" s="1321"/>
      <c r="EY300" s="1321"/>
      <c r="EZ300" s="1345"/>
      <c r="FA300" s="1345"/>
      <c r="FB300" s="1345"/>
      <c r="FC300" s="1321"/>
      <c r="FD300" s="1321"/>
      <c r="FE300" s="1321"/>
      <c r="FF300" s="1321"/>
      <c r="FG300" s="1321"/>
      <c r="FH300" s="1321"/>
      <c r="FI300" s="1345"/>
      <c r="FJ300" s="1345"/>
      <c r="FK300" s="1345"/>
      <c r="FL300" s="1345"/>
      <c r="FM300" s="1321"/>
      <c r="FN300" s="1321"/>
      <c r="FO300" s="1321"/>
      <c r="FP300" s="1321"/>
      <c r="FQ300" s="1321"/>
      <c r="FR300" s="1321"/>
      <c r="FS300" s="1345"/>
      <c r="FT300" s="1345"/>
      <c r="FU300" s="1345"/>
      <c r="FV300" s="1345"/>
      <c r="FW300" s="1321"/>
      <c r="FX300" s="1321"/>
      <c r="FY300" s="1321"/>
      <c r="FZ300" s="1321"/>
      <c r="GA300" s="1345"/>
      <c r="GB300" s="1321"/>
      <c r="GC300" s="1321"/>
      <c r="GD300" s="1321"/>
      <c r="GE300" s="1321"/>
      <c r="GF300" s="1321"/>
      <c r="GG300" s="1321" t="s">
        <v>1349</v>
      </c>
      <c r="GH300" s="1321" t="s">
        <v>1349</v>
      </c>
      <c r="GI300" s="1321" t="s">
        <v>1349</v>
      </c>
      <c r="GJ300" s="1321" t="s">
        <v>1349</v>
      </c>
      <c r="GK300" s="1321" t="s">
        <v>1349</v>
      </c>
      <c r="GL300" s="1321" t="s">
        <v>1349</v>
      </c>
      <c r="GM300" s="1321" t="s">
        <v>1349</v>
      </c>
      <c r="GN300" s="1321" t="s">
        <v>1349</v>
      </c>
      <c r="GO300" s="1321" t="s">
        <v>1349</v>
      </c>
      <c r="GP300" s="1321" t="s">
        <v>1349</v>
      </c>
      <c r="GQ300" s="1321" t="s">
        <v>1349</v>
      </c>
      <c r="GR300" s="1321" t="s">
        <v>1349</v>
      </c>
      <c r="GS300" s="1321" t="s">
        <v>1349</v>
      </c>
      <c r="GT300" s="1321" t="s">
        <v>1349</v>
      </c>
      <c r="GU300" s="1321" t="s">
        <v>1349</v>
      </c>
      <c r="GV300" s="1321" t="s">
        <v>1349</v>
      </c>
      <c r="GW300" s="1321"/>
      <c r="GX300" s="1321"/>
      <c r="GY300" s="1321"/>
      <c r="GZ300" s="1321"/>
      <c r="HA300" s="1321"/>
      <c r="HB300" s="1321"/>
      <c r="HC300" s="1321"/>
      <c r="HD300" s="1321"/>
      <c r="HE300" s="1321"/>
      <c r="HF300" s="1321"/>
      <c r="HG300" s="1321"/>
      <c r="HH300" s="1321"/>
      <c r="HI300" s="1321"/>
      <c r="HJ300" s="1321"/>
      <c r="HK300" s="1321"/>
      <c r="HL300" s="1321"/>
      <c r="HM300" s="1321"/>
      <c r="HN300" s="1321"/>
      <c r="HO300" s="1321"/>
      <c r="HP300" s="1321"/>
      <c r="HQ300" s="1321"/>
      <c r="HR300" s="1321"/>
      <c r="HS300" s="1321"/>
      <c r="HT300" s="1321"/>
      <c r="HU300" s="1321"/>
      <c r="HV300" s="1321"/>
      <c r="HW300" s="1321"/>
      <c r="HX300" s="1321"/>
      <c r="HY300" s="1321"/>
      <c r="HZ300" s="1321"/>
      <c r="IA300" s="1321"/>
      <c r="IB300" s="1321"/>
      <c r="IC300" s="1321"/>
      <c r="ID300" s="1321"/>
      <c r="IE300" s="1321"/>
      <c r="IF300" s="1321"/>
      <c r="IG300" s="1321"/>
      <c r="IH300" s="1321"/>
      <c r="II300" s="1321"/>
      <c r="IJ300" s="1321"/>
      <c r="IK300" s="1321"/>
      <c r="IL300" s="1321"/>
      <c r="IM300" s="1321"/>
      <c r="IN300" s="1368"/>
    </row>
    <row r="301" spans="1:248" ht="12.75" customHeight="1" x14ac:dyDescent="0.2">
      <c r="A301" s="1319"/>
      <c r="B301" s="1321"/>
      <c r="C301" s="1321"/>
      <c r="D301" s="1321"/>
      <c r="E301" s="1321"/>
      <c r="F301" s="1321"/>
      <c r="G301" s="1321"/>
      <c r="H301" s="1321"/>
      <c r="I301" s="1321"/>
      <c r="J301" s="1321"/>
      <c r="K301" s="1321"/>
      <c r="L301" s="1321"/>
      <c r="M301" s="1321"/>
      <c r="N301" s="1321"/>
      <c r="O301" s="1321"/>
      <c r="P301" s="1321"/>
      <c r="Q301" s="1321"/>
      <c r="R301" s="1321"/>
      <c r="S301" s="1321"/>
      <c r="T301" s="1321"/>
      <c r="U301" s="1321"/>
      <c r="V301" s="1321"/>
      <c r="W301" s="1321"/>
      <c r="X301" s="1321"/>
      <c r="Y301" s="1321"/>
      <c r="Z301" s="1321"/>
      <c r="AA301" s="1321"/>
      <c r="AB301" s="1321"/>
      <c r="AC301" s="1321"/>
      <c r="AD301" s="1321"/>
      <c r="AE301" s="1321"/>
      <c r="AF301" s="1321"/>
      <c r="AG301" s="1321"/>
      <c r="AH301" s="1321"/>
      <c r="AI301" s="1321"/>
      <c r="AJ301" s="1321"/>
      <c r="AK301" s="1321"/>
      <c r="AL301" s="1321"/>
      <c r="AM301" s="1321"/>
      <c r="AN301" s="1321"/>
      <c r="AO301" s="1321"/>
      <c r="AP301" s="1321"/>
      <c r="AQ301" s="1321"/>
      <c r="AR301" s="1321"/>
      <c r="AS301" s="1321"/>
      <c r="AT301" s="1321"/>
      <c r="AU301" s="1321"/>
      <c r="AV301" s="1321"/>
      <c r="AW301" s="1321"/>
      <c r="AX301" s="1321"/>
      <c r="AY301" s="1321"/>
      <c r="AZ301" s="1321"/>
      <c r="BA301" s="1321"/>
      <c r="BB301" s="1075" t="str">
        <f t="shared" si="79"/>
        <v>Maïs ensilé</v>
      </c>
      <c r="BC301" s="1075">
        <f t="array" ref="BC301">IFERROR(IF(OR(AND(INDEX(Règles_bovins[Specificite],MATCH(RationHivernaleBovinsAuPré&amp;$BB301,Règles_bovins[Ration]&amp;Règles_bovins[Aliment],0))="s1",IF($BB301=Spécificité1Bovins,1)),
AND(INDEX(Règles_bovins[Specificite],MATCH(RationHivernaleBovinsAuPré&amp;$BB301,Règles_bovins[Ration]&amp;Règles_bovins[Aliment],0))="s2",IF($BB301=Spécificité2Bovins,1)),
INDEX(Règles_bovins[Specificite],MATCH(RationHivernaleBovinsAuPré&amp;$BB301,Règles_bovins[Ration]&amp;Règles_bovins[Aliment],0))="c"),
INDEX(Règles_bovins[Valeur 36 et plus],MATCH(RationHivernaleBovinsAuPré&amp;$BB301,Règles_bovins[Ration]&amp;Règles_bovins[Aliment],0)),0),0)*IF(SUM(TotalBovinsAdultesAuPré)&gt;0,SUM(TotalBovinsAdultesAuPré),SUM(TotalBovinsAdultes))*35</f>
        <v>0</v>
      </c>
      <c r="BD301" s="1075">
        <f t="array" ref="BD301">IFERROR(IF(OR(AND(INDEX(Règles_bovins[Specificite],MATCH(RationHivernaleBovinsAuPré&amp;$BB301,Règles_bovins[Ration]&amp;Règles_bovins[Aliment],0))="s1",IF($BB301=Spécificité1Bovins,1)),
AND(INDEX(Règles_bovins[Specificite],MATCH(RationHivernaleBovinsAuPré&amp;$BB301,Règles_bovins[Ration]&amp;Règles_bovins[Aliment],0))="s2",IF($BB301=Spécificité2Bovins,1)),
INDEX(Règles_bovins[Specificite],MATCH(RationHivernaleBovinsAuPré&amp;$BB301,Règles_bovins[Ration]&amp;Règles_bovins[Aliment],0))="c"),
INDEX(Règles_bovins[Valeur 24-36],MATCH(RationHivernaleBovinsAuPré&amp;$BB301,Règles_bovins[Ration]&amp;Règles_bovins[Aliment],0)),0),0)*IF(SUM(TotalBovins_24_36moisAuPré)&gt;0,SUM(TotalBovins_24_36moisAuPré),SUM(TotalBovins_24_36mois))*35</f>
        <v>0</v>
      </c>
      <c r="BE301" s="1075">
        <f t="array" ref="BE301">IFERROR(IF(OR(AND(INDEX(Règles_bovins[Specificite],MATCH(RationHivernaleBovinsAuPré&amp;$BB301,Règles_bovins[Ration]&amp;Règles_bovins[Aliment],0))="s1",IF($BB301=Spécificité1Bovins,1)),
AND(INDEX(Règles_bovins[Specificite],MATCH(RationHivernaleBovinsAuPré&amp;$BB301,Règles_bovins[Ration]&amp;Règles_bovins[Aliment],0))="s2",IF($BB301=Spécificité2Bovins,1)),
INDEX(Règles_bovins[Specificite],MATCH(RationHivernaleBovinsAuPré&amp;$BB301,Règles_bovins[Ration]&amp;Règles_bovins[Aliment],0))="c"),
INDEX(Règles_bovins[Valeur 18-24],MATCH(RationHivernaleBovinsAuPré&amp;$BB301,Règles_bovins[Ration]&amp;Règles_bovins[Aliment],0)),0),0)*IF(SUM(TotalBovins_18_24moisAuPré)&gt;0,SUM(TotalBovins_18_24moisAuPré),SUM(TotalBovins_18_24mois))*35</f>
        <v>0</v>
      </c>
      <c r="BF301" s="1075">
        <f t="array" ref="BF301">IFERROR(IF(OR(AND(INDEX(Règles_bovins[Specificite],MATCH(RationHivernaleBovinsAuPré&amp;$BB301,Règles_bovins[Ration]&amp;Règles_bovins[Aliment],0))="s1",IF($BB301=Spécificité1Bovins,1)),
AND(INDEX(Règles_bovins[Specificite],MATCH(RationHivernaleBovinsAuPré&amp;$BB301,Règles_bovins[Ration]&amp;Règles_bovins[Aliment],0))="s2",IF($BB301=Spécificité2Bovins,1)),
INDEX(Règles_bovins[Specificite],MATCH(RationHivernaleBovinsAuPré&amp;$BB301,Règles_bovins[Ration]&amp;Règles_bovins[Aliment],0))="c"),
INDEX(Règles_bovins[Valeur 12-18],MATCH(RationHivernaleBovinsAuPré&amp;$BB301,Règles_bovins[Ration]&amp;Règles_bovins[Aliment],0)),0),0)*IF(SUM(TotalBovins_12_18moisAuPré)&gt;0,SUM(TotalBovins_12_18moisAuPré),SUM(TotalBovins_12_18mois))*35</f>
        <v>0</v>
      </c>
      <c r="BG301" s="1075">
        <f t="array" ref="BG301">IFERROR(IF(OR(AND(INDEX(Règles_bovins[Specificite],MATCH(RationHivernaleBovinsAuPré&amp;$BB301,Règles_bovins[Ration]&amp;Règles_bovins[Aliment],0))="s1",IF($BB301=Spécificité1Bovins,1)),
AND(INDEX(Règles_bovins[Specificite],MATCH(RationHivernaleBovinsAuPré&amp;$BB301,Règles_bovins[Ration]&amp;Règles_bovins[Aliment],0))="s2",IF($BB301=Spécificité2Bovins,1)),
INDEX(Règles_bovins[Specificite],MATCH(RationHivernaleBovinsAuPré&amp;$BB301,Règles_bovins[Ration]&amp;Règles_bovins[Aliment],0))="c"),
INDEX(Règles_bovins[Valeur 6-12],MATCH(RationHivernaleBovinsAuPré&amp;$BB301,Règles_bovins[Ration]&amp;Règles_bovins[Aliment],0)),0),0)*IF(SUM(TotalBovins_6_12moisAuPré)&gt;0,SUM(TotalBovins_6_12moisAuPré),SUM(TotalBovins_6_12mois))*35</f>
        <v>0</v>
      </c>
      <c r="BH301" s="1075">
        <f t="array" ref="BH301">IFERROR(IF(OR(AND(INDEX(Règles_bovins[Specificite],MATCH(RationHivernaleBovinsAuPré&amp;$BB301,Règles_bovins[Ration]&amp;Règles_bovins[Aliment],0))="s1",IF($BB301=Spécificité1Bovins,1)),
AND(INDEX(Règles_bovins[Specificite],MATCH(RationHivernaleBovinsAuPré&amp;$BB301,Règles_bovins[Ration]&amp;Règles_bovins[Aliment],0))="s2",IF($BB301=Spécificité2Bovins,1)),
INDEX(Règles_bovins[Specificite],MATCH(RationHivernaleBovinsAuPré&amp;$BB301,Règles_bovins[Ration]&amp;Règles_bovins[Aliment],0))="c"),
INDEX(Règles_bovins[Valeur 3-6],MATCH(RationHivernaleBovinsAuPré&amp;$BB301,Règles_bovins[Ration]&amp;Règles_bovins[Aliment],0)),0),0)*IF(SUM(TotalBovins_3_6moisAuPré)&gt;0,SUM(TotalBovins_3_6moisAuPré),SUM(TotalBovins_3_6mois))*35</f>
        <v>0</v>
      </c>
      <c r="BI301" s="1075">
        <f t="array" ref="BI301">IFERROR(IF(OR(AND(INDEX(Règles_bovins[Specificite],MATCH(RationHivernaleBovinsAuPré&amp;$BB301,Règles_bovins[Ration]&amp;Règles_bovins[Aliment],0))="s1",IF($BB301=Spécificité1Bovins,1)),
AND(INDEX(Règles_bovins[Specificite],MATCH(RationHivernaleBovinsAuPré&amp;$BB301,Règles_bovins[Ration]&amp;Règles_bovins[Aliment],0))="s2",IF($BB301=Spécificité2Bovins,1)),
INDEX(Règles_bovins[Specificite],MATCH(RationHivernaleBovinsAuPré&amp;$BB301,Règles_bovins[Ration]&amp;Règles_bovins[Aliment],0))="c"),
INDEX(Règles_bovins[Valeur 0-3],MATCH(RationHivernaleBovinsAuPré&amp;$BB301,Règles_bovins[Ration]&amp;Règles_bovins[Aliment],0)),0),0)*IF(SUM(TotalBovins_0_3moisAuPré)&gt;0,SUM(TotalBovins_0_3moisAuPré),SUM(TotalBovins_0_3mois))*35</f>
        <v>0</v>
      </c>
      <c r="BJ301" s="1270">
        <f t="shared" si="78"/>
        <v>0</v>
      </c>
      <c r="BK301" s="1345"/>
      <c r="BL301" s="1345"/>
      <c r="BM301" s="1346"/>
      <c r="BN301" s="1321"/>
      <c r="BO301" s="1321"/>
      <c r="BP301" s="1321"/>
      <c r="BQ301" s="1321"/>
      <c r="BR301" s="1321"/>
      <c r="BS301" s="1321"/>
      <c r="BT301" s="1321"/>
      <c r="BU301" s="1321"/>
      <c r="BV301" s="1345"/>
      <c r="BW301" s="1345"/>
      <c r="BX301" s="1321"/>
      <c r="BY301" s="1321"/>
      <c r="BZ301" s="1321"/>
      <c r="CA301" s="1321"/>
      <c r="CB301" s="1321"/>
      <c r="CC301" s="1321"/>
      <c r="CD301" s="1345"/>
      <c r="CE301" s="1345"/>
      <c r="CF301" s="1345"/>
      <c r="CG301" s="1345"/>
      <c r="CH301" s="1345"/>
      <c r="CI301" s="1321"/>
      <c r="CJ301" s="1321"/>
      <c r="CK301" s="1321"/>
      <c r="CL301" s="1321"/>
      <c r="CM301" s="1321"/>
      <c r="CN301" s="1321"/>
      <c r="CO301" s="1321"/>
      <c r="CP301" s="1321"/>
      <c r="CQ301" s="1321"/>
      <c r="CR301" s="1321"/>
      <c r="CS301" s="1321"/>
      <c r="CT301" s="1321"/>
      <c r="CU301" s="1321"/>
      <c r="CV301" s="1321"/>
      <c r="CW301" s="1321"/>
      <c r="CX301" s="1321"/>
      <c r="CY301" s="1321"/>
      <c r="CZ301" s="1321"/>
      <c r="DA301" s="1321"/>
      <c r="DB301" s="1321"/>
      <c r="DC301" s="1321"/>
      <c r="DD301" s="1321"/>
      <c r="DE301" s="1321"/>
      <c r="DF301" s="1321"/>
      <c r="DG301" s="1321"/>
      <c r="DH301" s="1321"/>
      <c r="DI301" s="1321"/>
      <c r="DJ301" s="1321"/>
      <c r="DK301" s="1321"/>
      <c r="DL301" s="1321"/>
      <c r="DM301" s="1321"/>
      <c r="DN301" s="1076" t="str">
        <f t="shared" si="80"/>
        <v>concentré jeunes lapins</v>
      </c>
      <c r="DO301" s="1267">
        <f t="array" ref="DO301">SUM((IF(QualitéAlimentsAgneauMâle_0_3_mois=BONNE,VLOOKUP("Concentré jeunes lapins",AlimentsRationOvinsMâles,5,FALSE),0)+(IF(QualitéAlimentsAgneauFemelle_0_3_mois=BONNE,VLOOKUP("Concentré jeunes lapins",AlimentsRationOvinsFemelles,5,FALSE),0)+(IF(QualitéAlimentsAgneauMâle_3_6_mois=BONNE,VLOOKUP("Concentré jeunes lapins",AlimentsRationOvinsMâles,4,FALSE),0)+(IF(QualitéAlimentsAgneauFemelle_3_6_mois=BONNE,VLOOKUP("Concentré jeunes lapins",AlimentsRationOvinsFemelles,4,FALSE),0)+(IF(QualitéAlimentsJeuneBélier=BONNE,VLOOKUP("Concentré jeunes lapins",AlimentsRationOvinsMâles,3,FALSE),0)+(IF(QualitéAlimentsJeuneBrebis=BONNE,VLOOKUP("Concentré jeunes lapins",AlimentsRationOvinsFemelles,3,FALSE),0)+(IF(QualitéAlimentsBélier=BONNE,VLOOKUP("Concentré jeunes lapins",AlimentsRationOvinsMâles,2,FALSE),0)+(IF(QualitéAlimentsBrebis=BONNE,VLOOKUP("Concentré jeunes lapins",AlimentsRationOvinsFemelles,2,FALSE),0))))))))))</f>
        <v>0</v>
      </c>
      <c r="DP301" s="1267">
        <f t="array" ref="DP301">SUM((IF(QualitéAlimentsAgneauMâle_0_3_mois=MOYENNE,VLOOKUP("Concentré jeunes lapins",AlimentsRationOvinsMâles,5,FALSE),0)+(IF(QualitéAlimentsAgneauFemelle_0_3_mois=MOYENNE,VLOOKUP("Concentré jeunes lapins",AlimentsRationOvinsFemelles,5,FALSE),0)+(IF(QualitéAlimentsAgneauMâle_3_6_mois=MOYENNE,VLOOKUP("Concentré jeunes lapins",AlimentsRationOvinsMâles,4,FALSE),0)+(IF(QualitéAlimentsAgneauFemelle_3_6_mois=MOYENNE,VLOOKUP("Concentré jeunes lapins",AlimentsRationOvinsFemelles,4,FALSE),0)+(IF(QualitéAlimentsJeuneBélier=MOYENNE,VLOOKUP("Concentré jeunes lapins",AlimentsRationOvinsMâles,3,FALSE),0)+(IF(QualitéAlimentsJeuneBrebis=MOYENNE,VLOOKUP("Concentré jeunes lapins",AlimentsRationOvinsFemelles,3,FALSE),0)+(IF(QualitéAlimentsBélier=MOYENNE,VLOOKUP("Concentré jeunes lapins",AlimentsRationOvinsMâles,2,FALSE),0)+(IF(QualitéAlimentsBrebis=MOYENNE,VLOOKUP("Concentré jeunes lapins",AlimentsRationOvinsFemelles,2,FALSE),0))))))))))</f>
        <v>0</v>
      </c>
      <c r="DQ301" s="1267">
        <f t="array" ref="DQ301">SUM((IF(QualitéAlimentsAgneauMâle_0_3_mois=MAUVAISE,VLOOKUP("Concentré jeunes lapins",AlimentsRationOvinsMâles,5,FALSE),0)+(IF(QualitéAlimentsAgneauFemelle_0_3_mois=MAUVAISE,VLOOKUP("Concentré jeunes lapins",AlimentsRationOvinsFemelles,5,FALSE),0)+(IF(QualitéAlimentsAgneauMâle_3_6_mois=MAUVAISE,VLOOKUP("Concentré jeunes lapins",AlimentsRationOvinsMâles,4,FALSE),0)+(IF(QualitéAlimentsAgneauFemelle_3_6_mois=MAUVAISE,VLOOKUP("Concentré jeunes lapins",AlimentsRationOvinsFemelles,4,FALSE),0)+(IF(QualitéAlimentsJeuneBélier=MAUVAISE,VLOOKUP("Concentré jeunes lapins",AlimentsRationOvinsMâles,3,FALSE),0)+(IF(QualitéAlimentsJeuneBrebis=MAUVAISE,VLOOKUP("Concentré jeunes lapins",AlimentsRationOvinsFemelles,3,FALSE),0)+(IF(QualitéAlimentsBélier=MAUVAISE,VLOOKUP("Concentré jeunes lapins",AlimentsRationOvinsMâles,2,FALSE),0)+(IF(QualitéAlimentsBrebis=MAUVAISE,VLOOKUP("Concentré jeunes lapins",AlimentsRationOvinsFemelles,2,FALSE),0))))))))))</f>
        <v>0</v>
      </c>
      <c r="DR301" s="1321"/>
      <c r="DS301" s="1321"/>
      <c r="DT301" s="1346"/>
      <c r="DU301" s="1346"/>
      <c r="DV301" s="1321"/>
      <c r="DW301" s="1321"/>
      <c r="DX301" s="1321"/>
      <c r="DY301" s="1321"/>
      <c r="DZ301" s="1321"/>
      <c r="EA301" s="1321"/>
      <c r="EB301" s="1321"/>
      <c r="EC301" s="1321"/>
      <c r="ED301" s="1345"/>
      <c r="EE301" s="1345"/>
      <c r="EF301" s="1321"/>
      <c r="EG301" s="1321"/>
      <c r="EH301" s="1321"/>
      <c r="EI301" s="1321"/>
      <c r="EJ301" s="1321"/>
      <c r="EK301" s="1345"/>
      <c r="EL301" s="1345"/>
      <c r="EM301" s="1321"/>
      <c r="EN301" s="1321"/>
      <c r="EO301" s="1321"/>
      <c r="EP301" s="1321"/>
      <c r="EQ301" s="1321"/>
      <c r="ER301" s="1345"/>
      <c r="ES301" s="1345"/>
      <c r="ET301" s="1321"/>
      <c r="EU301" s="1321"/>
      <c r="EV301" s="1321"/>
      <c r="EW301" s="1321"/>
      <c r="EX301" s="1321"/>
      <c r="EY301" s="1321"/>
      <c r="EZ301" s="1345"/>
      <c r="FA301" s="1345"/>
      <c r="FB301" s="1345"/>
      <c r="FC301" s="1321"/>
      <c r="FD301" s="1321"/>
      <c r="FE301" s="1321"/>
      <c r="FF301" s="1321"/>
      <c r="FG301" s="1321"/>
      <c r="FH301" s="1321"/>
      <c r="FI301" s="1345"/>
      <c r="FJ301" s="1345"/>
      <c r="FK301" s="1345"/>
      <c r="FL301" s="1345"/>
      <c r="FM301" s="1321"/>
      <c r="FN301" s="1321"/>
      <c r="FO301" s="1321"/>
      <c r="FP301" s="1321"/>
      <c r="FQ301" s="1321"/>
      <c r="FR301" s="1321"/>
      <c r="FS301" s="1345"/>
      <c r="FT301" s="1345"/>
      <c r="FU301" s="1345"/>
      <c r="FV301" s="1345"/>
      <c r="FW301" s="1321"/>
      <c r="FX301" s="1321"/>
      <c r="FY301" s="1321"/>
      <c r="FZ301" s="1321"/>
      <c r="GA301" s="1345"/>
      <c r="GB301" s="1321"/>
      <c r="GC301" s="1321"/>
      <c r="GD301" s="1321"/>
      <c r="GE301" s="1321"/>
      <c r="GF301" s="1321"/>
      <c r="GG301" s="1321" t="s">
        <v>1349</v>
      </c>
      <c r="GH301" s="1321" t="s">
        <v>1349</v>
      </c>
      <c r="GI301" s="1321" t="s">
        <v>1349</v>
      </c>
      <c r="GJ301" s="1321" t="s">
        <v>1349</v>
      </c>
      <c r="GK301" s="1321" t="s">
        <v>1349</v>
      </c>
      <c r="GL301" s="1321" t="s">
        <v>1349</v>
      </c>
      <c r="GM301" s="1321" t="s">
        <v>1349</v>
      </c>
      <c r="GN301" s="1321" t="s">
        <v>1349</v>
      </c>
      <c r="GO301" s="1321" t="s">
        <v>1349</v>
      </c>
      <c r="GP301" s="1321" t="s">
        <v>1349</v>
      </c>
      <c r="GQ301" s="1321" t="s">
        <v>1349</v>
      </c>
      <c r="GR301" s="1321" t="s">
        <v>1349</v>
      </c>
      <c r="GS301" s="1321" t="s">
        <v>1349</v>
      </c>
      <c r="GT301" s="1321" t="s">
        <v>1349</v>
      </c>
      <c r="GU301" s="1321" t="s">
        <v>1349</v>
      </c>
      <c r="GV301" s="1321" t="s">
        <v>1349</v>
      </c>
      <c r="GW301" s="1321"/>
      <c r="GX301" s="1321"/>
      <c r="GY301" s="1321"/>
      <c r="GZ301" s="1321"/>
      <c r="HA301" s="1321"/>
      <c r="HB301" s="1321"/>
      <c r="HC301" s="1321"/>
      <c r="HD301" s="1321"/>
      <c r="HE301" s="1321"/>
      <c r="HF301" s="1321"/>
      <c r="HG301" s="1321"/>
      <c r="HH301" s="1321"/>
      <c r="HI301" s="1321"/>
      <c r="HJ301" s="1321"/>
      <c r="HK301" s="1321"/>
      <c r="HL301" s="1321"/>
      <c r="HM301" s="1321"/>
      <c r="HN301" s="1321"/>
      <c r="HO301" s="1321"/>
      <c r="HP301" s="1321"/>
      <c r="HQ301" s="1321"/>
      <c r="HR301" s="1321"/>
      <c r="HS301" s="1321"/>
      <c r="HT301" s="1321"/>
      <c r="HU301" s="1321"/>
      <c r="HV301" s="1321"/>
      <c r="HW301" s="1321"/>
      <c r="HX301" s="1321"/>
      <c r="HY301" s="1321"/>
      <c r="HZ301" s="1321"/>
      <c r="IA301" s="1321"/>
      <c r="IB301" s="1321"/>
      <c r="IC301" s="1321"/>
      <c r="ID301" s="1321"/>
      <c r="IE301" s="1321"/>
      <c r="IF301" s="1321"/>
      <c r="IG301" s="1321"/>
      <c r="IH301" s="1321"/>
      <c r="II301" s="1321"/>
      <c r="IJ301" s="1321"/>
      <c r="IK301" s="1321"/>
      <c r="IL301" s="1321"/>
      <c r="IM301" s="1321"/>
      <c r="IN301" s="1368"/>
    </row>
    <row r="302" spans="1:248" ht="12.75" customHeight="1" x14ac:dyDescent="0.2">
      <c r="A302" s="1319"/>
      <c r="B302" s="1321"/>
      <c r="C302" s="1321"/>
      <c r="D302" s="1321"/>
      <c r="E302" s="1321"/>
      <c r="F302" s="1321"/>
      <c r="G302" s="1321"/>
      <c r="H302" s="1321"/>
      <c r="I302" s="1321"/>
      <c r="J302" s="1321"/>
      <c r="K302" s="1321"/>
      <c r="L302" s="1321"/>
      <c r="M302" s="1321"/>
      <c r="N302" s="1321"/>
      <c r="O302" s="1321"/>
      <c r="P302" s="1321"/>
      <c r="Q302" s="1321"/>
      <c r="R302" s="1321"/>
      <c r="S302" s="1321"/>
      <c r="T302" s="1321"/>
      <c r="U302" s="1321"/>
      <c r="V302" s="1321"/>
      <c r="W302" s="1321"/>
      <c r="X302" s="1321"/>
      <c r="Y302" s="1321"/>
      <c r="Z302" s="1321"/>
      <c r="AA302" s="1321"/>
      <c r="AB302" s="1321"/>
      <c r="AC302" s="1321"/>
      <c r="AD302" s="1321"/>
      <c r="AE302" s="1321"/>
      <c r="AF302" s="1321"/>
      <c r="AG302" s="1321"/>
      <c r="AH302" s="1321"/>
      <c r="AI302" s="1321"/>
      <c r="AJ302" s="1321"/>
      <c r="AK302" s="1321"/>
      <c r="AL302" s="1321"/>
      <c r="AM302" s="1321"/>
      <c r="AN302" s="1321"/>
      <c r="AO302" s="1321"/>
      <c r="AP302" s="1321"/>
      <c r="AQ302" s="1321"/>
      <c r="AR302" s="1321"/>
      <c r="AS302" s="1321"/>
      <c r="AT302" s="1321"/>
      <c r="AU302" s="1321"/>
      <c r="AV302" s="1321"/>
      <c r="AW302" s="1321"/>
      <c r="AX302" s="1321"/>
      <c r="AY302" s="1321"/>
      <c r="AZ302" s="1321"/>
      <c r="BA302" s="1321"/>
      <c r="BB302" s="1076" t="str">
        <f t="shared" si="79"/>
        <v>Maïs grain</v>
      </c>
      <c r="BC302" s="1076">
        <f t="array" ref="BC302">IFERROR(IF(OR(AND(INDEX(Règles_bovins[Specificite],MATCH(RationHivernaleBovinsAuPré&amp;$BB302,Règles_bovins[Ration]&amp;Règles_bovins[Aliment],0))="s1",IF($BB302=Spécificité1Bovins,1)),
AND(INDEX(Règles_bovins[Specificite],MATCH(RationHivernaleBovinsAuPré&amp;$BB302,Règles_bovins[Ration]&amp;Règles_bovins[Aliment],0))="s2",IF($BB302=Spécificité2Bovins,1)),
INDEX(Règles_bovins[Specificite],MATCH(RationHivernaleBovinsAuPré&amp;$BB302,Règles_bovins[Ration]&amp;Règles_bovins[Aliment],0))="c"),
INDEX(Règles_bovins[Valeur 36 et plus],MATCH(RationHivernaleBovinsAuPré&amp;$BB302,Règles_bovins[Ration]&amp;Règles_bovins[Aliment],0)),0),0)*IF(SUM(TotalBovinsAdultesAuPré)&gt;0,SUM(TotalBovinsAdultesAuPré),SUM(TotalBovinsAdultes))*35</f>
        <v>0</v>
      </c>
      <c r="BD302" s="1076">
        <f t="array" ref="BD302">IFERROR(IF(OR(AND(INDEX(Règles_bovins[Specificite],MATCH(RationHivernaleBovinsAuPré&amp;$BB302,Règles_bovins[Ration]&amp;Règles_bovins[Aliment],0))="s1",IF($BB302=Spécificité1Bovins,1)),
AND(INDEX(Règles_bovins[Specificite],MATCH(RationHivernaleBovinsAuPré&amp;$BB302,Règles_bovins[Ration]&amp;Règles_bovins[Aliment],0))="s2",IF($BB302=Spécificité2Bovins,1)),
INDEX(Règles_bovins[Specificite],MATCH(RationHivernaleBovinsAuPré&amp;$BB302,Règles_bovins[Ration]&amp;Règles_bovins[Aliment],0))="c"),
INDEX(Règles_bovins[Valeur 24-36],MATCH(RationHivernaleBovinsAuPré&amp;$BB302,Règles_bovins[Ration]&amp;Règles_bovins[Aliment],0)),0),0)*IF(SUM(TotalBovins_24_36moisAuPré)&gt;0,SUM(TotalBovins_24_36moisAuPré),SUM(TotalBovins_24_36mois))*35</f>
        <v>0</v>
      </c>
      <c r="BE302" s="1076">
        <f t="array" ref="BE302">IFERROR(IF(OR(AND(INDEX(Règles_bovins[Specificite],MATCH(RationHivernaleBovinsAuPré&amp;$BB302,Règles_bovins[Ration]&amp;Règles_bovins[Aliment],0))="s1",IF($BB302=Spécificité1Bovins,1)),
AND(INDEX(Règles_bovins[Specificite],MATCH(RationHivernaleBovinsAuPré&amp;$BB302,Règles_bovins[Ration]&amp;Règles_bovins[Aliment],0))="s2",IF($BB302=Spécificité2Bovins,1)),
INDEX(Règles_bovins[Specificite],MATCH(RationHivernaleBovinsAuPré&amp;$BB302,Règles_bovins[Ration]&amp;Règles_bovins[Aliment],0))="c"),
INDEX(Règles_bovins[Valeur 18-24],MATCH(RationHivernaleBovinsAuPré&amp;$BB302,Règles_bovins[Ration]&amp;Règles_bovins[Aliment],0)),0),0)*IF(SUM(TotalBovins_18_24moisAuPré)&gt;0,SUM(TotalBovins_18_24moisAuPré),SUM(TotalBovins_18_24mois))*35</f>
        <v>0</v>
      </c>
      <c r="BF302" s="1076">
        <f t="array" ref="BF302">IFERROR(IF(OR(AND(INDEX(Règles_bovins[Specificite],MATCH(RationHivernaleBovinsAuPré&amp;$BB302,Règles_bovins[Ration]&amp;Règles_bovins[Aliment],0))="s1",IF($BB302=Spécificité1Bovins,1)),
AND(INDEX(Règles_bovins[Specificite],MATCH(RationHivernaleBovinsAuPré&amp;$BB302,Règles_bovins[Ration]&amp;Règles_bovins[Aliment],0))="s2",IF($BB302=Spécificité2Bovins,1)),
INDEX(Règles_bovins[Specificite],MATCH(RationHivernaleBovinsAuPré&amp;$BB302,Règles_bovins[Ration]&amp;Règles_bovins[Aliment],0))="c"),
INDEX(Règles_bovins[Valeur 12-18],MATCH(RationHivernaleBovinsAuPré&amp;$BB302,Règles_bovins[Ration]&amp;Règles_bovins[Aliment],0)),0),0)*IF(SUM(TotalBovins_12_18moisAuPré)&gt;0,SUM(TotalBovins_12_18moisAuPré),SUM(TotalBovins_12_18mois))*35</f>
        <v>0</v>
      </c>
      <c r="BG302" s="1076">
        <f t="array" ref="BG302">IFERROR(IF(OR(AND(INDEX(Règles_bovins[Specificite],MATCH(RationHivernaleBovinsAuPré&amp;$BB302,Règles_bovins[Ration]&amp;Règles_bovins[Aliment],0))="s1",IF($BB302=Spécificité1Bovins,1)),
AND(INDEX(Règles_bovins[Specificite],MATCH(RationHivernaleBovinsAuPré&amp;$BB302,Règles_bovins[Ration]&amp;Règles_bovins[Aliment],0))="s2",IF($BB302=Spécificité2Bovins,1)),
INDEX(Règles_bovins[Specificite],MATCH(RationHivernaleBovinsAuPré&amp;$BB302,Règles_bovins[Ration]&amp;Règles_bovins[Aliment],0))="c"),
INDEX(Règles_bovins[Valeur 6-12],MATCH(RationHivernaleBovinsAuPré&amp;$BB302,Règles_bovins[Ration]&amp;Règles_bovins[Aliment],0)),0),0)*IF(SUM(TotalBovins_6_12moisAuPré)&gt;0,SUM(TotalBovins_6_12moisAuPré),SUM(TotalBovins_6_12mois))*35</f>
        <v>0</v>
      </c>
      <c r="BH302" s="1076">
        <f t="array" ref="BH302">IFERROR(IF(OR(AND(INDEX(Règles_bovins[Specificite],MATCH(RationHivernaleBovinsAuPré&amp;$BB302,Règles_bovins[Ration]&amp;Règles_bovins[Aliment],0))="s1",IF($BB302=Spécificité1Bovins,1)),
AND(INDEX(Règles_bovins[Specificite],MATCH(RationHivernaleBovinsAuPré&amp;$BB302,Règles_bovins[Ration]&amp;Règles_bovins[Aliment],0))="s2",IF($BB302=Spécificité2Bovins,1)),
INDEX(Règles_bovins[Specificite],MATCH(RationHivernaleBovinsAuPré&amp;$BB302,Règles_bovins[Ration]&amp;Règles_bovins[Aliment],0))="c"),
INDEX(Règles_bovins[Valeur 3-6],MATCH(RationHivernaleBovinsAuPré&amp;$BB302,Règles_bovins[Ration]&amp;Règles_bovins[Aliment],0)),0),0)*IF(SUM(TotalBovins_3_6moisAuPré)&gt;0,SUM(TotalBovins_3_6moisAuPré),SUM(TotalBovins_3_6mois))*35</f>
        <v>0</v>
      </c>
      <c r="BI302" s="1076">
        <f t="array" ref="BI302">IFERROR(IF(OR(AND(INDEX(Règles_bovins[Specificite],MATCH(RationHivernaleBovinsAuPré&amp;$BB302,Règles_bovins[Ration]&amp;Règles_bovins[Aliment],0))="s1",IF($BB302=Spécificité1Bovins,1)),
AND(INDEX(Règles_bovins[Specificite],MATCH(RationHivernaleBovinsAuPré&amp;$BB302,Règles_bovins[Ration]&amp;Règles_bovins[Aliment],0))="s2",IF($BB302=Spécificité2Bovins,1)),
INDEX(Règles_bovins[Specificite],MATCH(RationHivernaleBovinsAuPré&amp;$BB302,Règles_bovins[Ration]&amp;Règles_bovins[Aliment],0))="c"),
INDEX(Règles_bovins[Valeur 0-3],MATCH(RationHivernaleBovinsAuPré&amp;$BB302,Règles_bovins[Ration]&amp;Règles_bovins[Aliment],0)),0),0)*IF(SUM(TotalBovins_0_3moisAuPré)&gt;0,SUM(TotalBovins_0_3moisAuPré),SUM(TotalBovins_0_3mois))*35</f>
        <v>0</v>
      </c>
      <c r="BJ302" s="1268">
        <f t="shared" si="78"/>
        <v>0</v>
      </c>
      <c r="BK302" s="1345"/>
      <c r="BL302" s="1345"/>
      <c r="BM302" s="1346"/>
      <c r="BN302" s="1321"/>
      <c r="BO302" s="1321"/>
      <c r="BP302" s="1321"/>
      <c r="BQ302" s="1321"/>
      <c r="BR302" s="1321"/>
      <c r="BS302" s="1321"/>
      <c r="BT302" s="1321"/>
      <c r="BU302" s="1321"/>
      <c r="BV302" s="1345"/>
      <c r="BW302" s="1345"/>
      <c r="BX302" s="1321"/>
      <c r="BY302" s="1321"/>
      <c r="BZ302" s="1321"/>
      <c r="CA302" s="1321"/>
      <c r="CB302" s="1321"/>
      <c r="CC302" s="1321"/>
      <c r="CD302" s="1345"/>
      <c r="CE302" s="1345"/>
      <c r="CF302" s="1345"/>
      <c r="CG302" s="1345"/>
      <c r="CH302" s="1345"/>
      <c r="CI302" s="1321"/>
      <c r="CJ302" s="1321"/>
      <c r="CK302" s="1321"/>
      <c r="CL302" s="1321"/>
      <c r="CM302" s="1321"/>
      <c r="CN302" s="1321"/>
      <c r="CO302" s="1321"/>
      <c r="CP302" s="1321"/>
      <c r="CQ302" s="1321"/>
      <c r="CR302" s="1321"/>
      <c r="CS302" s="1321"/>
      <c r="CT302" s="1321"/>
      <c r="CU302" s="1321"/>
      <c r="CV302" s="1321"/>
      <c r="CW302" s="1321"/>
      <c r="CX302" s="1321"/>
      <c r="CY302" s="1321"/>
      <c r="CZ302" s="1321"/>
      <c r="DA302" s="1321"/>
      <c r="DB302" s="1321"/>
      <c r="DC302" s="1321"/>
      <c r="DD302" s="1321"/>
      <c r="DE302" s="1321"/>
      <c r="DF302" s="1321"/>
      <c r="DG302" s="1321"/>
      <c r="DH302" s="1321"/>
      <c r="DI302" s="1321"/>
      <c r="DJ302" s="1321"/>
      <c r="DK302" s="1321"/>
      <c r="DL302" s="1321"/>
      <c r="DM302" s="1321"/>
      <c r="DN302" s="1075" t="str">
        <f t="shared" si="80"/>
        <v>concentré jeunes porcins</v>
      </c>
      <c r="DO302" s="1269">
        <f t="array" ref="DO302">SUM((IF(QualitéAlimentsAgneauMâle_0_3_mois=BONNE,VLOOKUP("Concentré jeunes porcins",AlimentsRationOvinsMâles,5,FALSE),0)+(IF(QualitéAlimentsAgneauFemelle_0_3_mois=BONNE,VLOOKUP("Concentré jeunes porcins",AlimentsRationOvinsFemelles,5,FALSE),0)+(IF(QualitéAlimentsAgneauMâle_3_6_mois=BONNE,VLOOKUP("Concentré jeunes porcins",AlimentsRationOvinsMâles,4,FALSE),0)+(IF(QualitéAlimentsAgneauFemelle_3_6_mois=BONNE,VLOOKUP("Concentré jeunes porcins",AlimentsRationOvinsFemelles,4,FALSE),0)+(IF(QualitéAlimentsJeuneBélier=BONNE,VLOOKUP("Concentré jeunes porcins",AlimentsRationOvinsMâles,3,FALSE),0)+(IF(QualitéAlimentsJeuneBrebis=BONNE,VLOOKUP("Concentré jeunes porcins",AlimentsRationOvinsFemelles,3,FALSE),0)+(IF(QualitéAlimentsBélier=BONNE,VLOOKUP("Concentré jeunes porcins",AlimentsRationOvinsMâles,2,FALSE),0)+(IF(QualitéAlimentsBrebis=BONNE,VLOOKUP("Concentré jeunes porcins",AlimentsRationOvinsFemelles,2,FALSE),0))))))))))</f>
        <v>0</v>
      </c>
      <c r="DP302" s="1269">
        <f t="array" ref="DP302">SUM((IF(QualitéAlimentsAgneauMâle_0_3_mois=MOYENNE,VLOOKUP("Concentré jeunes porcins",AlimentsRationOvinsMâles,5,FALSE),0)+(IF(QualitéAlimentsAgneauFemelle_0_3_mois=MOYENNE,VLOOKUP("Concentré jeunes porcins",AlimentsRationOvinsFemelles,5,FALSE),0)+(IF(QualitéAlimentsAgneauMâle_3_6_mois=MOYENNE,VLOOKUP("Concentré jeunes porcins",AlimentsRationOvinsMâles,4,FALSE),0)+(IF(QualitéAlimentsAgneauFemelle_3_6_mois=MOYENNE,VLOOKUP("Concentré jeunes porcins",AlimentsRationOvinsFemelles,4,FALSE),0)+(IF(QualitéAlimentsJeuneBélier=MOYENNE,VLOOKUP("Concentré jeunes porcins",AlimentsRationOvinsMâles,3,FALSE),0)+(IF(QualitéAlimentsJeuneBrebis=MOYENNE,VLOOKUP("Concentré jeunes porcins",AlimentsRationOvinsFemelles,3,FALSE),0)+(IF(QualitéAlimentsBélier=MOYENNE,VLOOKUP("Concentré jeunes porcins",AlimentsRationOvinsMâles,2,FALSE),0)+(IF(QualitéAlimentsBrebis=MOYENNE,VLOOKUP("Concentré jeunes porcins",AlimentsRationOvinsFemelles,2,FALSE),0))))))))))</f>
        <v>0</v>
      </c>
      <c r="DQ302" s="1269">
        <f t="array" ref="DQ302">SUM((IF(QualitéAlimentsAgneauMâle_0_3_mois=MAUVAISE,VLOOKUP("Concentré jeunes porcins",AlimentsRationOvinsMâles,5,FALSE),0)+(IF(QualitéAlimentsAgneauFemelle_0_3_mois=MAUVAISE,VLOOKUP("Concentré jeunes porcins",AlimentsRationOvinsFemelles,5,FALSE),0)+(IF(QualitéAlimentsAgneauMâle_3_6_mois=MAUVAISE,VLOOKUP("Concentré jeunes porcins",AlimentsRationOvinsMâles,4,FALSE),0)+(IF(QualitéAlimentsAgneauFemelle_3_6_mois=MAUVAISE,VLOOKUP("Concentré jeunes porcins",AlimentsRationOvinsFemelles,4,FALSE),0)+(IF(QualitéAlimentsJeuneBélier=MAUVAISE,VLOOKUP("Concentré jeunes porcins",AlimentsRationOvinsMâles,3,FALSE),0)+(IF(QualitéAlimentsJeuneBrebis=MAUVAISE,VLOOKUP("Concentré jeunes porcins",AlimentsRationOvinsFemelles,3,FALSE),0)+(IF(QualitéAlimentsBélier=MAUVAISE,VLOOKUP("Concentré jeunes porcins",AlimentsRationOvinsMâles,2,FALSE),0)+(IF(QualitéAlimentsBrebis=MAUVAISE,VLOOKUP("Concentré jeunes porcins",AlimentsRationOvinsFemelles,2,FALSE),0))))))))))</f>
        <v>0</v>
      </c>
      <c r="DR302" s="1321"/>
      <c r="DS302" s="1321"/>
      <c r="DT302" s="1346"/>
      <c r="DU302" s="1346"/>
      <c r="DV302" s="1321"/>
      <c r="DW302" s="1321"/>
      <c r="DX302" s="1321"/>
      <c r="DY302" s="1321"/>
      <c r="DZ302" s="1321"/>
      <c r="EA302" s="1321"/>
      <c r="EB302" s="1321"/>
      <c r="EC302" s="1321"/>
      <c r="ED302" s="1345"/>
      <c r="EE302" s="1345"/>
      <c r="EF302" s="1321"/>
      <c r="EG302" s="1321"/>
      <c r="EH302" s="1321"/>
      <c r="EI302" s="1321"/>
      <c r="EJ302" s="1321"/>
      <c r="EK302" s="1345"/>
      <c r="EL302" s="1345"/>
      <c r="EM302" s="1321"/>
      <c r="EN302" s="1321"/>
      <c r="EO302" s="1321"/>
      <c r="EP302" s="1321"/>
      <c r="EQ302" s="1321"/>
      <c r="ER302" s="1345"/>
      <c r="ES302" s="1345"/>
      <c r="ET302" s="1321"/>
      <c r="EU302" s="1321"/>
      <c r="EV302" s="1321"/>
      <c r="EW302" s="1321"/>
      <c r="EX302" s="1321"/>
      <c r="EY302" s="1321"/>
      <c r="EZ302" s="1345"/>
      <c r="FA302" s="1345"/>
      <c r="FB302" s="1345"/>
      <c r="FC302" s="1321"/>
      <c r="FD302" s="1321"/>
      <c r="FE302" s="1321"/>
      <c r="FF302" s="1321"/>
      <c r="FG302" s="1321"/>
      <c r="FH302" s="1321"/>
      <c r="FI302" s="1345"/>
      <c r="FJ302" s="1345"/>
      <c r="FK302" s="1345"/>
      <c r="FL302" s="1345"/>
      <c r="FM302" s="1321"/>
      <c r="FN302" s="1321"/>
      <c r="FO302" s="1321"/>
      <c r="FP302" s="1321"/>
      <c r="FQ302" s="1321"/>
      <c r="FR302" s="1321"/>
      <c r="FS302" s="1345"/>
      <c r="FT302" s="1345"/>
      <c r="FU302" s="1345"/>
      <c r="FV302" s="1345"/>
      <c r="FW302" s="1321"/>
      <c r="FX302" s="1321"/>
      <c r="FY302" s="1321"/>
      <c r="FZ302" s="1321"/>
      <c r="GA302" s="1345"/>
      <c r="GB302" s="1321"/>
      <c r="GC302" s="1321"/>
      <c r="GD302" s="1321"/>
      <c r="GE302" s="1321"/>
      <c r="GF302" s="1321"/>
      <c r="GG302" s="1321" t="s">
        <v>1349</v>
      </c>
      <c r="GH302" s="1321" t="s">
        <v>1349</v>
      </c>
      <c r="GI302" s="1321" t="s">
        <v>1349</v>
      </c>
      <c r="GJ302" s="1321" t="s">
        <v>1349</v>
      </c>
      <c r="GK302" s="1321" t="s">
        <v>1349</v>
      </c>
      <c r="GL302" s="1321" t="s">
        <v>1349</v>
      </c>
      <c r="GM302" s="1321" t="s">
        <v>1349</v>
      </c>
      <c r="GN302" s="1321" t="s">
        <v>1349</v>
      </c>
      <c r="GO302" s="1321" t="s">
        <v>1349</v>
      </c>
      <c r="GP302" s="1321" t="s">
        <v>1349</v>
      </c>
      <c r="GQ302" s="1321" t="s">
        <v>1349</v>
      </c>
      <c r="GR302" s="1321" t="s">
        <v>1349</v>
      </c>
      <c r="GS302" s="1321" t="s">
        <v>1349</v>
      </c>
      <c r="GT302" s="1321" t="s">
        <v>1349</v>
      </c>
      <c r="GU302" s="1321" t="s">
        <v>1349</v>
      </c>
      <c r="GV302" s="1321" t="s">
        <v>1349</v>
      </c>
      <c r="GW302" s="1321"/>
      <c r="GX302" s="1321"/>
      <c r="GY302" s="1321"/>
      <c r="GZ302" s="1321"/>
      <c r="HA302" s="1321"/>
      <c r="HB302" s="1321"/>
      <c r="HC302" s="1321"/>
      <c r="HD302" s="1321"/>
      <c r="HE302" s="1321"/>
      <c r="HF302" s="1321"/>
      <c r="HG302" s="1321"/>
      <c r="HH302" s="1321"/>
      <c r="HI302" s="1321"/>
      <c r="HJ302" s="1321"/>
      <c r="HK302" s="1321"/>
      <c r="HL302" s="1321"/>
      <c r="HM302" s="1321"/>
      <c r="HN302" s="1321"/>
      <c r="HO302" s="1321"/>
      <c r="HP302" s="1321"/>
      <c r="HQ302" s="1321"/>
      <c r="HR302" s="1321"/>
      <c r="HS302" s="1321"/>
      <c r="HT302" s="1321"/>
      <c r="HU302" s="1321"/>
      <c r="HV302" s="1321"/>
      <c r="HW302" s="1321"/>
      <c r="HX302" s="1321"/>
      <c r="HY302" s="1321"/>
      <c r="HZ302" s="1321"/>
      <c r="IA302" s="1321"/>
      <c r="IB302" s="1321"/>
      <c r="IC302" s="1321"/>
      <c r="ID302" s="1321"/>
      <c r="IE302" s="1321"/>
      <c r="IF302" s="1321"/>
      <c r="IG302" s="1321"/>
      <c r="IH302" s="1321"/>
      <c r="II302" s="1321"/>
      <c r="IJ302" s="1321"/>
      <c r="IK302" s="1321"/>
      <c r="IL302" s="1321"/>
      <c r="IM302" s="1321"/>
      <c r="IN302" s="1368"/>
    </row>
    <row r="303" spans="1:248" ht="12.75" customHeight="1" x14ac:dyDescent="0.2">
      <c r="A303" s="1319"/>
      <c r="B303" s="1321"/>
      <c r="C303" s="1321"/>
      <c r="D303" s="1321"/>
      <c r="E303" s="1321"/>
      <c r="F303" s="1321"/>
      <c r="G303" s="1321"/>
      <c r="H303" s="1321"/>
      <c r="I303" s="1321"/>
      <c r="J303" s="1321"/>
      <c r="K303" s="1321"/>
      <c r="L303" s="1321"/>
      <c r="M303" s="1321"/>
      <c r="N303" s="1321"/>
      <c r="O303" s="1321"/>
      <c r="P303" s="1321"/>
      <c r="Q303" s="1321"/>
      <c r="R303" s="1321"/>
      <c r="S303" s="1321"/>
      <c r="T303" s="1321"/>
      <c r="U303" s="1321"/>
      <c r="V303" s="1321"/>
      <c r="W303" s="1321"/>
      <c r="X303" s="1321"/>
      <c r="Y303" s="1321"/>
      <c r="Z303" s="1321"/>
      <c r="AA303" s="1321"/>
      <c r="AB303" s="1321"/>
      <c r="AC303" s="1321"/>
      <c r="AD303" s="1321"/>
      <c r="AE303" s="1321"/>
      <c r="AF303" s="1321"/>
      <c r="AG303" s="1321"/>
      <c r="AH303" s="1321"/>
      <c r="AI303" s="1321"/>
      <c r="AJ303" s="1321"/>
      <c r="AK303" s="1321"/>
      <c r="AL303" s="1321"/>
      <c r="AM303" s="1321"/>
      <c r="AN303" s="1321"/>
      <c r="AO303" s="1321"/>
      <c r="AP303" s="1321"/>
      <c r="AQ303" s="1321"/>
      <c r="AR303" s="1321"/>
      <c r="AS303" s="1321"/>
      <c r="AT303" s="1321"/>
      <c r="AU303" s="1321"/>
      <c r="AV303" s="1321"/>
      <c r="AW303" s="1321"/>
      <c r="AX303" s="1321"/>
      <c r="AY303" s="1321"/>
      <c r="AZ303" s="1321"/>
      <c r="BA303" s="1321"/>
      <c r="BB303" s="1075" t="str">
        <f t="shared" si="79"/>
        <v>Minéraux + vitamines</v>
      </c>
      <c r="BC303" s="1075">
        <f t="array" ref="BC303">IFERROR(IF(OR(AND(INDEX(Règles_bovins[Specificite],MATCH(RationHivernaleBovinsAuPré&amp;$BB303,Règles_bovins[Ration]&amp;Règles_bovins[Aliment],0))="s1",IF($BB303=Spécificité1Bovins,1)),
AND(INDEX(Règles_bovins[Specificite],MATCH(RationHivernaleBovinsAuPré&amp;$BB303,Règles_bovins[Ration]&amp;Règles_bovins[Aliment],0))="s2",IF($BB303=Spécificité2Bovins,1)),
INDEX(Règles_bovins[Specificite],MATCH(RationHivernaleBovinsAuPré&amp;$BB303,Règles_bovins[Ration]&amp;Règles_bovins[Aliment],0))="c"),
INDEX(Règles_bovins[Valeur 36 et plus],MATCH(RationHivernaleBovinsAuPré&amp;$BB303,Règles_bovins[Ration]&amp;Règles_bovins[Aliment],0)),0),0)*IF(SUM(TotalBovinsAdultesAuPré)&gt;0,SUM(TotalBovinsAdultesAuPré),SUM(TotalBovinsAdultes))*35</f>
        <v>0</v>
      </c>
      <c r="BD303" s="1075">
        <f t="array" ref="BD303">IFERROR(IF(OR(AND(INDEX(Règles_bovins[Specificite],MATCH(RationHivernaleBovinsAuPré&amp;$BB303,Règles_bovins[Ration]&amp;Règles_bovins[Aliment],0))="s1",IF($BB303=Spécificité1Bovins,1)),
AND(INDEX(Règles_bovins[Specificite],MATCH(RationHivernaleBovinsAuPré&amp;$BB303,Règles_bovins[Ration]&amp;Règles_bovins[Aliment],0))="s2",IF($BB303=Spécificité2Bovins,1)),
INDEX(Règles_bovins[Specificite],MATCH(RationHivernaleBovinsAuPré&amp;$BB303,Règles_bovins[Ration]&amp;Règles_bovins[Aliment],0))="c"),
INDEX(Règles_bovins[Valeur 24-36],MATCH(RationHivernaleBovinsAuPré&amp;$BB303,Règles_bovins[Ration]&amp;Règles_bovins[Aliment],0)),0),0)*IF(SUM(TotalBovins_24_36moisAuPré)&gt;0,SUM(TotalBovins_24_36moisAuPré),SUM(TotalBovins_24_36mois))*35</f>
        <v>0</v>
      </c>
      <c r="BE303" s="1075">
        <f t="array" ref="BE303">IFERROR(IF(OR(AND(INDEX(Règles_bovins[Specificite],MATCH(RationHivernaleBovinsAuPré&amp;$BB303,Règles_bovins[Ration]&amp;Règles_bovins[Aliment],0))="s1",IF($BB303=Spécificité1Bovins,1)),
AND(INDEX(Règles_bovins[Specificite],MATCH(RationHivernaleBovinsAuPré&amp;$BB303,Règles_bovins[Ration]&amp;Règles_bovins[Aliment],0))="s2",IF($BB303=Spécificité2Bovins,1)),
INDEX(Règles_bovins[Specificite],MATCH(RationHivernaleBovinsAuPré&amp;$BB303,Règles_bovins[Ration]&amp;Règles_bovins[Aliment],0))="c"),
INDEX(Règles_bovins[Valeur 18-24],MATCH(RationHivernaleBovinsAuPré&amp;$BB303,Règles_bovins[Ration]&amp;Règles_bovins[Aliment],0)),0),0)*IF(SUM(TotalBovins_18_24moisAuPré)&gt;0,SUM(TotalBovins_18_24moisAuPré),SUM(TotalBovins_18_24mois))*35</f>
        <v>0</v>
      </c>
      <c r="BF303" s="1075">
        <f t="array" ref="BF303">IFERROR(IF(OR(AND(INDEX(Règles_bovins[Specificite],MATCH(RationHivernaleBovinsAuPré&amp;$BB303,Règles_bovins[Ration]&amp;Règles_bovins[Aliment],0))="s1",IF($BB303=Spécificité1Bovins,1)),
AND(INDEX(Règles_bovins[Specificite],MATCH(RationHivernaleBovinsAuPré&amp;$BB303,Règles_bovins[Ration]&amp;Règles_bovins[Aliment],0))="s2",IF($BB303=Spécificité2Bovins,1)),
INDEX(Règles_bovins[Specificite],MATCH(RationHivernaleBovinsAuPré&amp;$BB303,Règles_bovins[Ration]&amp;Règles_bovins[Aliment],0))="c"),
INDEX(Règles_bovins[Valeur 12-18],MATCH(RationHivernaleBovinsAuPré&amp;$BB303,Règles_bovins[Ration]&amp;Règles_bovins[Aliment],0)),0),0)*IF(SUM(TotalBovins_12_18moisAuPré)&gt;0,SUM(TotalBovins_12_18moisAuPré),SUM(TotalBovins_12_18mois))*35</f>
        <v>0</v>
      </c>
      <c r="BG303" s="1075">
        <f t="array" ref="BG303">IFERROR(IF(OR(AND(INDEX(Règles_bovins[Specificite],MATCH(RationHivernaleBovinsAuPré&amp;$BB303,Règles_bovins[Ration]&amp;Règles_bovins[Aliment],0))="s1",IF($BB303=Spécificité1Bovins,1)),
AND(INDEX(Règles_bovins[Specificite],MATCH(RationHivernaleBovinsAuPré&amp;$BB303,Règles_bovins[Ration]&amp;Règles_bovins[Aliment],0))="s2",IF($BB303=Spécificité2Bovins,1)),
INDEX(Règles_bovins[Specificite],MATCH(RationHivernaleBovinsAuPré&amp;$BB303,Règles_bovins[Ration]&amp;Règles_bovins[Aliment],0))="c"),
INDEX(Règles_bovins[Valeur 6-12],MATCH(RationHivernaleBovinsAuPré&amp;$BB303,Règles_bovins[Ration]&amp;Règles_bovins[Aliment],0)),0),0)*IF(SUM(TotalBovins_6_12moisAuPré)&gt;0,SUM(TotalBovins_6_12moisAuPré),SUM(TotalBovins_6_12mois))*35</f>
        <v>0</v>
      </c>
      <c r="BH303" s="1075">
        <f t="array" ref="BH303">IFERROR(IF(OR(AND(INDEX(Règles_bovins[Specificite],MATCH(RationHivernaleBovinsAuPré&amp;$BB303,Règles_bovins[Ration]&amp;Règles_bovins[Aliment],0))="s1",IF($BB303=Spécificité1Bovins,1)),
AND(INDEX(Règles_bovins[Specificite],MATCH(RationHivernaleBovinsAuPré&amp;$BB303,Règles_bovins[Ration]&amp;Règles_bovins[Aliment],0))="s2",IF($BB303=Spécificité2Bovins,1)),
INDEX(Règles_bovins[Specificite],MATCH(RationHivernaleBovinsAuPré&amp;$BB303,Règles_bovins[Ration]&amp;Règles_bovins[Aliment],0))="c"),
INDEX(Règles_bovins[Valeur 3-6],MATCH(RationHivernaleBovinsAuPré&amp;$BB303,Règles_bovins[Ration]&amp;Règles_bovins[Aliment],0)),0),0)*IF(SUM(TotalBovins_3_6moisAuPré)&gt;0,SUM(TotalBovins_3_6moisAuPré),SUM(TotalBovins_3_6mois))*35</f>
        <v>0</v>
      </c>
      <c r="BI303" s="1075">
        <f t="array" ref="BI303">IFERROR(IF(OR(AND(INDEX(Règles_bovins[Specificite],MATCH(RationHivernaleBovinsAuPré&amp;$BB303,Règles_bovins[Ration]&amp;Règles_bovins[Aliment],0))="s1",IF($BB303=Spécificité1Bovins,1)),
AND(INDEX(Règles_bovins[Specificite],MATCH(RationHivernaleBovinsAuPré&amp;$BB303,Règles_bovins[Ration]&amp;Règles_bovins[Aliment],0))="s2",IF($BB303=Spécificité2Bovins,1)),
INDEX(Règles_bovins[Specificite],MATCH(RationHivernaleBovinsAuPré&amp;$BB303,Règles_bovins[Ration]&amp;Règles_bovins[Aliment],0))="c"),
INDEX(Règles_bovins[Valeur 0-3],MATCH(RationHivernaleBovinsAuPré&amp;$BB303,Règles_bovins[Ration]&amp;Règles_bovins[Aliment],0)),0),0)*IF(SUM(TotalBovins_0_3moisAuPré)&gt;0,SUM(TotalBovins_0_3moisAuPré),SUM(TotalBovins_0_3mois))*35</f>
        <v>0</v>
      </c>
      <c r="BJ303" s="1270">
        <f t="shared" si="78"/>
        <v>0</v>
      </c>
      <c r="BK303" s="1345"/>
      <c r="BL303" s="1345"/>
      <c r="BM303" s="1346"/>
      <c r="BN303" s="1321"/>
      <c r="BO303" s="1321"/>
      <c r="BP303" s="1321"/>
      <c r="BQ303" s="1321"/>
      <c r="BR303" s="1321"/>
      <c r="BS303" s="1321"/>
      <c r="BT303" s="1321"/>
      <c r="BU303" s="1321"/>
      <c r="BV303" s="1345"/>
      <c r="BW303" s="1345"/>
      <c r="BX303" s="1321"/>
      <c r="BY303" s="1321"/>
      <c r="BZ303" s="1321"/>
      <c r="CA303" s="1321"/>
      <c r="CB303" s="1321"/>
      <c r="CC303" s="1321"/>
      <c r="CD303" s="1345"/>
      <c r="CE303" s="1345"/>
      <c r="CF303" s="1345"/>
      <c r="CG303" s="1345"/>
      <c r="CH303" s="1345"/>
      <c r="CI303" s="1321"/>
      <c r="CJ303" s="1321"/>
      <c r="CK303" s="1321"/>
      <c r="CL303" s="1321"/>
      <c r="CM303" s="1321"/>
      <c r="CN303" s="1321"/>
      <c r="CO303" s="1321"/>
      <c r="CP303" s="1321"/>
      <c r="CQ303" s="1321"/>
      <c r="CR303" s="1321"/>
      <c r="CS303" s="1321"/>
      <c r="CT303" s="1321"/>
      <c r="CU303" s="1321"/>
      <c r="CV303" s="1321"/>
      <c r="CW303" s="1321"/>
      <c r="CX303" s="1321"/>
      <c r="CY303" s="1321"/>
      <c r="CZ303" s="1321"/>
      <c r="DA303" s="1321"/>
      <c r="DB303" s="1321"/>
      <c r="DC303" s="1321"/>
      <c r="DD303" s="1321"/>
      <c r="DE303" s="1321"/>
      <c r="DF303" s="1321"/>
      <c r="DG303" s="1321"/>
      <c r="DH303" s="1321"/>
      <c r="DI303" s="1321"/>
      <c r="DJ303" s="1321"/>
      <c r="DK303" s="1321"/>
      <c r="DL303" s="1321"/>
      <c r="DM303" s="1321"/>
      <c r="DN303" s="1076" t="str">
        <f t="shared" si="80"/>
        <v>Ensilage d'herbe</v>
      </c>
      <c r="DO303" s="1267">
        <f t="array" ref="DO303">SUM((IF(QualitéAlimentsAgneauMâle_0_3_mois=BONNE,VLOOKUP("Ensilage d'herbe",AlimentsRationOvinsMâles,5,FALSE),0)+(IF(QualitéAlimentsAgneauFemelle_0_3_mois=BONNE,VLOOKUP("Ensilage d'herbe",AlimentsRationOvinsFemelles,5,FALSE),0)+(IF(QualitéAlimentsAgneauMâle_3_6_mois=BONNE,VLOOKUP("Ensilage d'herbe",AlimentsRationOvinsMâles,4,FALSE),0)+(IF(QualitéAlimentsAgneauFemelle_3_6_mois=BONNE,VLOOKUP("Ensilage d'herbe",AlimentsRationOvinsFemelles,4,FALSE),0)+(IF(QualitéAlimentsJeuneBélier=BONNE,VLOOKUP("Ensilage d'herbe",AlimentsRationOvinsMâles,3,FALSE),0)+(IF(QualitéAlimentsJeuneBrebis=BONNE,VLOOKUP("Ensilage d'herbe",AlimentsRationOvinsFemelles,3,FALSE),0)+(IF(QualitéAlimentsBélier=BONNE,VLOOKUP("Ensilage d'herbe",AlimentsRationOvinsMâles,2,FALSE),0)+(IF(QualitéAlimentsBrebis=BONNE,VLOOKUP("Ensilage d'herbe",AlimentsRationOvinsFemelles,2,FALSE),0))))))))))</f>
        <v>0</v>
      </c>
      <c r="DP303" s="1267">
        <f t="array" ref="DP303">SUM((IF(QualitéAlimentsAgneauMâle_0_3_mois=MOYENNE,VLOOKUP("Ensilage d'herbe",AlimentsRationOvinsMâles,5,FALSE),0)+(IF(QualitéAlimentsAgneauFemelle_0_3_mois=MOYENNE,VLOOKUP("Ensilage d'herbe",AlimentsRationOvinsFemelles,5,FALSE),0)+(IF(QualitéAlimentsAgneauMâle_3_6_mois=MOYENNE,VLOOKUP("Ensilage d'herbe",AlimentsRationOvinsMâles,4,FALSE),0)+(IF(QualitéAlimentsAgneauFemelle_3_6_mois=MOYENNE,VLOOKUP("Ensilage d'herbe",AlimentsRationOvinsFemelles,4,FALSE),0)+(IF(QualitéAlimentsJeuneBélier=MOYENNE,VLOOKUP("Ensilage d'herbe",AlimentsRationOvinsMâles,3,FALSE),0)+(IF(QualitéAlimentsJeuneBrebis=MOYENNE,VLOOKUP("Ensilage d'herbe",AlimentsRationOvinsFemelles,3,FALSE),0)+(IF(QualitéAlimentsBélier=MOYENNE,VLOOKUP("Ensilage d'herbe",AlimentsRationOvinsMâles,2,FALSE),0)+(IF(QualitéAlimentsBrebis=MOYENNE,VLOOKUP("Ensilage d'herbe",AlimentsRationOvinsFemelles,2,FALSE),0))))))))))</f>
        <v>0</v>
      </c>
      <c r="DQ303" s="1267">
        <f t="array" ref="DQ303">SUM((IF(QualitéAlimentsAgneauMâle_0_3_mois=MAUVAISE,VLOOKUP("Ensilage d'herbe",AlimentsRationOvinsMâles,5,FALSE),0)+(IF(QualitéAlimentsAgneauFemelle_0_3_mois=MAUVAISE,VLOOKUP("Ensilage d'herbe",AlimentsRationOvinsFemelles,5,FALSE),0)+(IF(QualitéAlimentsAgneauMâle_3_6_mois=MAUVAISE,VLOOKUP("Ensilage d'herbe",AlimentsRationOvinsMâles,4,FALSE),0)+(IF(QualitéAlimentsAgneauFemelle_3_6_mois=MAUVAISE,VLOOKUP("Ensilage d'herbe",AlimentsRationOvinsFemelles,4,FALSE),0)+(IF(QualitéAlimentsJeuneBélier=MAUVAISE,VLOOKUP("Ensilage d'herbe",AlimentsRationOvinsMâles,3,FALSE),0)+(IF(QualitéAlimentsJeuneBrebis=MAUVAISE,VLOOKUP("Ensilage d'herbe",AlimentsRationOvinsFemelles,3,FALSE),0)+(IF(QualitéAlimentsBélier=MAUVAISE,VLOOKUP("Ensilage d'herbe",AlimentsRationOvinsMâles,2,FALSE),0)+(IF(QualitéAlimentsBrebis=MAUVAISE,VLOOKUP("Ensilage d'herbe",AlimentsRationOvinsFemelles,2,FALSE),0))))))))))</f>
        <v>0</v>
      </c>
      <c r="DR303" s="1321"/>
      <c r="DS303" s="1321"/>
      <c r="DT303" s="1346"/>
      <c r="DU303" s="1346"/>
      <c r="DV303" s="1321"/>
      <c r="DW303" s="1321"/>
      <c r="DX303" s="1321"/>
      <c r="DY303" s="1321"/>
      <c r="DZ303" s="1321"/>
      <c r="EA303" s="1321"/>
      <c r="EB303" s="1321"/>
      <c r="EC303" s="1321"/>
      <c r="ED303" s="1345"/>
      <c r="EE303" s="1345"/>
      <c r="EF303" s="1321"/>
      <c r="EG303" s="1321"/>
      <c r="EH303" s="1321"/>
      <c r="EI303" s="1321"/>
      <c r="EJ303" s="1321"/>
      <c r="EK303" s="1345"/>
      <c r="EL303" s="1345"/>
      <c r="EM303" s="1321"/>
      <c r="EN303" s="1321"/>
      <c r="EO303" s="1321"/>
      <c r="EP303" s="1321"/>
      <c r="EQ303" s="1321"/>
      <c r="ER303" s="1345"/>
      <c r="ES303" s="1345"/>
      <c r="ET303" s="1321"/>
      <c r="EU303" s="1321"/>
      <c r="EV303" s="1321"/>
      <c r="EW303" s="1321"/>
      <c r="EX303" s="1321"/>
      <c r="EY303" s="1321"/>
      <c r="EZ303" s="1345"/>
      <c r="FA303" s="1345"/>
      <c r="FB303" s="1345"/>
      <c r="FC303" s="1321"/>
      <c r="FD303" s="1321"/>
      <c r="FE303" s="1321"/>
      <c r="FF303" s="1321"/>
      <c r="FG303" s="1321"/>
      <c r="FH303" s="1321"/>
      <c r="FI303" s="1345"/>
      <c r="FJ303" s="1345"/>
      <c r="FK303" s="1345"/>
      <c r="FL303" s="1345"/>
      <c r="FM303" s="1321"/>
      <c r="FN303" s="1321"/>
      <c r="FO303" s="1321"/>
      <c r="FP303" s="1321"/>
      <c r="FQ303" s="1321"/>
      <c r="FR303" s="1321"/>
      <c r="FS303" s="1345"/>
      <c r="FT303" s="1345"/>
      <c r="FU303" s="1345"/>
      <c r="FV303" s="1345"/>
      <c r="FW303" s="1321"/>
      <c r="FX303" s="1321"/>
      <c r="FY303" s="1321"/>
      <c r="FZ303" s="1321"/>
      <c r="GA303" s="1345"/>
      <c r="GB303" s="1321"/>
      <c r="GC303" s="1321"/>
      <c r="GD303" s="1321"/>
      <c r="GE303" s="1321"/>
      <c r="GF303" s="1321"/>
      <c r="GG303" s="1321" t="s">
        <v>1349</v>
      </c>
      <c r="GH303" s="1321" t="s">
        <v>1349</v>
      </c>
      <c r="GI303" s="1321" t="s">
        <v>1349</v>
      </c>
      <c r="GJ303" s="1321" t="s">
        <v>1349</v>
      </c>
      <c r="GK303" s="1321" t="s">
        <v>1349</v>
      </c>
      <c r="GL303" s="1321" t="s">
        <v>1349</v>
      </c>
      <c r="GM303" s="1321" t="s">
        <v>1349</v>
      </c>
      <c r="GN303" s="1321" t="s">
        <v>1349</v>
      </c>
      <c r="GO303" s="1321" t="s">
        <v>1349</v>
      </c>
      <c r="GP303" s="1321" t="s">
        <v>1349</v>
      </c>
      <c r="GQ303" s="1321" t="s">
        <v>1349</v>
      </c>
      <c r="GR303" s="1321" t="s">
        <v>1349</v>
      </c>
      <c r="GS303" s="1321" t="s">
        <v>1349</v>
      </c>
      <c r="GT303" s="1321" t="s">
        <v>1349</v>
      </c>
      <c r="GU303" s="1321" t="s">
        <v>1349</v>
      </c>
      <c r="GV303" s="1321" t="s">
        <v>1349</v>
      </c>
      <c r="GW303" s="1321"/>
      <c r="GX303" s="1321"/>
      <c r="GY303" s="1321"/>
      <c r="GZ303" s="1321"/>
      <c r="HA303" s="1321"/>
      <c r="HB303" s="1321"/>
      <c r="HC303" s="1321"/>
      <c r="HD303" s="1321"/>
      <c r="HE303" s="1321"/>
      <c r="HF303" s="1321"/>
      <c r="HG303" s="1321"/>
      <c r="HH303" s="1321"/>
      <c r="HI303" s="1321"/>
      <c r="HJ303" s="1321"/>
      <c r="HK303" s="1321"/>
      <c r="HL303" s="1321"/>
      <c r="HM303" s="1321"/>
      <c r="HN303" s="1321"/>
      <c r="HO303" s="1321"/>
      <c r="HP303" s="1321"/>
      <c r="HQ303" s="1321"/>
      <c r="HR303" s="1321"/>
      <c r="HS303" s="1321"/>
      <c r="HT303" s="1321"/>
      <c r="HU303" s="1321"/>
      <c r="HV303" s="1321"/>
      <c r="HW303" s="1321"/>
      <c r="HX303" s="1321"/>
      <c r="HY303" s="1321"/>
      <c r="HZ303" s="1321"/>
      <c r="IA303" s="1321"/>
      <c r="IB303" s="1321"/>
      <c r="IC303" s="1321"/>
      <c r="ID303" s="1321"/>
      <c r="IE303" s="1321"/>
      <c r="IF303" s="1321"/>
      <c r="IG303" s="1321"/>
      <c r="IH303" s="1321"/>
      <c r="II303" s="1321"/>
      <c r="IJ303" s="1321"/>
      <c r="IK303" s="1321"/>
      <c r="IL303" s="1321"/>
      <c r="IM303" s="1321"/>
      <c r="IN303" s="1368"/>
    </row>
    <row r="304" spans="1:248" ht="12.75" customHeight="1" x14ac:dyDescent="0.2">
      <c r="A304" s="1319"/>
      <c r="B304" s="1321"/>
      <c r="C304" s="1321"/>
      <c r="D304" s="1321"/>
      <c r="E304" s="1321"/>
      <c r="F304" s="1321"/>
      <c r="G304" s="1321"/>
      <c r="H304" s="1321"/>
      <c r="I304" s="1321"/>
      <c r="J304" s="1321"/>
      <c r="K304" s="1321"/>
      <c r="L304" s="1321"/>
      <c r="M304" s="1321"/>
      <c r="N304" s="1321"/>
      <c r="O304" s="1321"/>
      <c r="P304" s="1321"/>
      <c r="Q304" s="1321"/>
      <c r="R304" s="1321"/>
      <c r="S304" s="1321"/>
      <c r="T304" s="1321"/>
      <c r="U304" s="1321"/>
      <c r="V304" s="1321"/>
      <c r="W304" s="1321"/>
      <c r="X304" s="1321"/>
      <c r="Y304" s="1321"/>
      <c r="Z304" s="1321"/>
      <c r="AA304" s="1321"/>
      <c r="AB304" s="1321"/>
      <c r="AC304" s="1321"/>
      <c r="AD304" s="1321"/>
      <c r="AE304" s="1321"/>
      <c r="AF304" s="1321"/>
      <c r="AG304" s="1321"/>
      <c r="AH304" s="1321"/>
      <c r="AI304" s="1321"/>
      <c r="AJ304" s="1321"/>
      <c r="AK304" s="1321"/>
      <c r="AL304" s="1321"/>
      <c r="AM304" s="1321"/>
      <c r="AN304" s="1321"/>
      <c r="AO304" s="1321"/>
      <c r="AP304" s="1321"/>
      <c r="AQ304" s="1321"/>
      <c r="AR304" s="1321"/>
      <c r="AS304" s="1321"/>
      <c r="AT304" s="1321"/>
      <c r="AU304" s="1321"/>
      <c r="AV304" s="1321"/>
      <c r="AW304" s="1321"/>
      <c r="AX304" s="1321"/>
      <c r="AY304" s="1321"/>
      <c r="AZ304" s="1321"/>
      <c r="BA304" s="1321"/>
      <c r="BB304" s="1076" t="str">
        <f t="shared" si="79"/>
        <v>Orge</v>
      </c>
      <c r="BC304" s="1076">
        <f t="array" ref="BC304">IFERROR(IF(OR(AND(INDEX(Règles_bovins[Specificite],MATCH(RationHivernaleBovinsAuPré&amp;$BB304,Règles_bovins[Ration]&amp;Règles_bovins[Aliment],0))="s1",IF($BB304=Spécificité1Bovins,1)),
AND(INDEX(Règles_bovins[Specificite],MATCH(RationHivernaleBovinsAuPré&amp;$BB304,Règles_bovins[Ration]&amp;Règles_bovins[Aliment],0))="s2",IF($BB304=Spécificité2Bovins,1)),
INDEX(Règles_bovins[Specificite],MATCH(RationHivernaleBovinsAuPré&amp;$BB304,Règles_bovins[Ration]&amp;Règles_bovins[Aliment],0))="c"),
INDEX(Règles_bovins[Valeur 36 et plus],MATCH(RationHivernaleBovinsAuPré&amp;$BB304,Règles_bovins[Ration]&amp;Règles_bovins[Aliment],0)),0),0)*IF(SUM(TotalBovinsAdultesAuPré)&gt;0,SUM(TotalBovinsAdultesAuPré),SUM(TotalBovinsAdultes))*35</f>
        <v>0</v>
      </c>
      <c r="BD304" s="1076">
        <f t="array" ref="BD304">IFERROR(IF(OR(AND(INDEX(Règles_bovins[Specificite],MATCH(RationHivernaleBovinsAuPré&amp;$BB304,Règles_bovins[Ration]&amp;Règles_bovins[Aliment],0))="s1",IF($BB304=Spécificité1Bovins,1)),
AND(INDEX(Règles_bovins[Specificite],MATCH(RationHivernaleBovinsAuPré&amp;$BB304,Règles_bovins[Ration]&amp;Règles_bovins[Aliment],0))="s2",IF($BB304=Spécificité2Bovins,1)),
INDEX(Règles_bovins[Specificite],MATCH(RationHivernaleBovinsAuPré&amp;$BB304,Règles_bovins[Ration]&amp;Règles_bovins[Aliment],0))="c"),
INDEX(Règles_bovins[Valeur 24-36],MATCH(RationHivernaleBovinsAuPré&amp;$BB304,Règles_bovins[Ration]&amp;Règles_bovins[Aliment],0)),0),0)*IF(SUM(TotalBovins_24_36moisAuPré)&gt;0,SUM(TotalBovins_24_36moisAuPré),SUM(TotalBovins_24_36mois))*35</f>
        <v>0</v>
      </c>
      <c r="BE304" s="1076">
        <f t="array" ref="BE304">IFERROR(IF(OR(AND(INDEX(Règles_bovins[Specificite],MATCH(RationHivernaleBovinsAuPré&amp;$BB304,Règles_bovins[Ration]&amp;Règles_bovins[Aliment],0))="s1",IF($BB304=Spécificité1Bovins,1)),
AND(INDEX(Règles_bovins[Specificite],MATCH(RationHivernaleBovinsAuPré&amp;$BB304,Règles_bovins[Ration]&amp;Règles_bovins[Aliment],0))="s2",IF($BB304=Spécificité2Bovins,1)),
INDEX(Règles_bovins[Specificite],MATCH(RationHivernaleBovinsAuPré&amp;$BB304,Règles_bovins[Ration]&amp;Règles_bovins[Aliment],0))="c"),
INDEX(Règles_bovins[Valeur 18-24],MATCH(RationHivernaleBovinsAuPré&amp;$BB304,Règles_bovins[Ration]&amp;Règles_bovins[Aliment],0)),0),0)*IF(SUM(TotalBovins_18_24moisAuPré)&gt;0,SUM(TotalBovins_18_24moisAuPré),SUM(TotalBovins_18_24mois))*35</f>
        <v>0</v>
      </c>
      <c r="BF304" s="1076">
        <f t="array" ref="BF304">IFERROR(IF(OR(AND(INDEX(Règles_bovins[Specificite],MATCH(RationHivernaleBovinsAuPré&amp;$BB304,Règles_bovins[Ration]&amp;Règles_bovins[Aliment],0))="s1",IF($BB304=Spécificité1Bovins,1)),
AND(INDEX(Règles_bovins[Specificite],MATCH(RationHivernaleBovinsAuPré&amp;$BB304,Règles_bovins[Ration]&amp;Règles_bovins[Aliment],0))="s2",IF($BB304=Spécificité2Bovins,1)),
INDEX(Règles_bovins[Specificite],MATCH(RationHivernaleBovinsAuPré&amp;$BB304,Règles_bovins[Ration]&amp;Règles_bovins[Aliment],0))="c"),
INDEX(Règles_bovins[Valeur 12-18],MATCH(RationHivernaleBovinsAuPré&amp;$BB304,Règles_bovins[Ration]&amp;Règles_bovins[Aliment],0)),0),0)*IF(SUM(TotalBovins_12_18moisAuPré)&gt;0,SUM(TotalBovins_12_18moisAuPré),SUM(TotalBovins_12_18mois))*35</f>
        <v>0</v>
      </c>
      <c r="BG304" s="1076">
        <f t="array" ref="BG304">IFERROR(IF(OR(AND(INDEX(Règles_bovins[Specificite],MATCH(RationHivernaleBovinsAuPré&amp;$BB304,Règles_bovins[Ration]&amp;Règles_bovins[Aliment],0))="s1",IF($BB304=Spécificité1Bovins,1)),
AND(INDEX(Règles_bovins[Specificite],MATCH(RationHivernaleBovinsAuPré&amp;$BB304,Règles_bovins[Ration]&amp;Règles_bovins[Aliment],0))="s2",IF($BB304=Spécificité2Bovins,1)),
INDEX(Règles_bovins[Specificite],MATCH(RationHivernaleBovinsAuPré&amp;$BB304,Règles_bovins[Ration]&amp;Règles_bovins[Aliment],0))="c"),
INDEX(Règles_bovins[Valeur 6-12],MATCH(RationHivernaleBovinsAuPré&amp;$BB304,Règles_bovins[Ration]&amp;Règles_bovins[Aliment],0)),0),0)*IF(SUM(TotalBovins_6_12moisAuPré)&gt;0,SUM(TotalBovins_6_12moisAuPré),SUM(TotalBovins_6_12mois))*35</f>
        <v>0</v>
      </c>
      <c r="BH304" s="1076">
        <f t="array" ref="BH304">IFERROR(IF(OR(AND(INDEX(Règles_bovins[Specificite],MATCH(RationHivernaleBovinsAuPré&amp;$BB304,Règles_bovins[Ration]&amp;Règles_bovins[Aliment],0))="s1",IF($BB304=Spécificité1Bovins,1)),
AND(INDEX(Règles_bovins[Specificite],MATCH(RationHivernaleBovinsAuPré&amp;$BB304,Règles_bovins[Ration]&amp;Règles_bovins[Aliment],0))="s2",IF($BB304=Spécificité2Bovins,1)),
INDEX(Règles_bovins[Specificite],MATCH(RationHivernaleBovinsAuPré&amp;$BB304,Règles_bovins[Ration]&amp;Règles_bovins[Aliment],0))="c"),
INDEX(Règles_bovins[Valeur 3-6],MATCH(RationHivernaleBovinsAuPré&amp;$BB304,Règles_bovins[Ration]&amp;Règles_bovins[Aliment],0)),0),0)*IF(SUM(TotalBovins_3_6moisAuPré)&gt;0,SUM(TotalBovins_3_6moisAuPré),SUM(TotalBovins_3_6mois))*35</f>
        <v>0</v>
      </c>
      <c r="BI304" s="1076">
        <f t="array" ref="BI304">IFERROR(IF(OR(AND(INDEX(Règles_bovins[Specificite],MATCH(RationHivernaleBovinsAuPré&amp;$BB304,Règles_bovins[Ration]&amp;Règles_bovins[Aliment],0))="s1",IF($BB304=Spécificité1Bovins,1)),
AND(INDEX(Règles_bovins[Specificite],MATCH(RationHivernaleBovinsAuPré&amp;$BB304,Règles_bovins[Ration]&amp;Règles_bovins[Aliment],0))="s2",IF($BB304=Spécificité2Bovins,1)),
INDEX(Règles_bovins[Specificite],MATCH(RationHivernaleBovinsAuPré&amp;$BB304,Règles_bovins[Ration]&amp;Règles_bovins[Aliment],0))="c"),
INDEX(Règles_bovins[Valeur 0-3],MATCH(RationHivernaleBovinsAuPré&amp;$BB304,Règles_bovins[Ration]&amp;Règles_bovins[Aliment],0)),0),0)*IF(SUM(TotalBovins_0_3moisAuPré)&gt;0,SUM(TotalBovins_0_3moisAuPré),SUM(TotalBovins_0_3mois))*35</f>
        <v>0</v>
      </c>
      <c r="BJ304" s="1268">
        <f t="shared" si="78"/>
        <v>0</v>
      </c>
      <c r="BK304" s="1345"/>
      <c r="BL304" s="1345"/>
      <c r="BM304" s="1346"/>
      <c r="BN304" s="1321"/>
      <c r="BO304" s="1321"/>
      <c r="BP304" s="1321"/>
      <c r="BQ304" s="1321"/>
      <c r="BR304" s="1321"/>
      <c r="BS304" s="1321"/>
      <c r="BT304" s="1321"/>
      <c r="BU304" s="1321"/>
      <c r="BV304" s="1345"/>
      <c r="BW304" s="1345"/>
      <c r="BX304" s="1321"/>
      <c r="BY304" s="1321"/>
      <c r="BZ304" s="1321"/>
      <c r="CA304" s="1321"/>
      <c r="CB304" s="1321"/>
      <c r="CC304" s="1321"/>
      <c r="CD304" s="1345"/>
      <c r="CE304" s="1345"/>
      <c r="CF304" s="1345"/>
      <c r="CG304" s="1345"/>
      <c r="CH304" s="1345"/>
      <c r="CI304" s="1321"/>
      <c r="CJ304" s="1321"/>
      <c r="CK304" s="1321"/>
      <c r="CL304" s="1321"/>
      <c r="CM304" s="1321"/>
      <c r="CN304" s="1321"/>
      <c r="CO304" s="1321"/>
      <c r="CP304" s="1321"/>
      <c r="CQ304" s="1321"/>
      <c r="CR304" s="1321"/>
      <c r="CS304" s="1321"/>
      <c r="CT304" s="1321"/>
      <c r="CU304" s="1321"/>
      <c r="CV304" s="1321"/>
      <c r="CW304" s="1321"/>
      <c r="CX304" s="1321"/>
      <c r="CY304" s="1321"/>
      <c r="CZ304" s="1321"/>
      <c r="DA304" s="1321"/>
      <c r="DB304" s="1321"/>
      <c r="DC304" s="1321"/>
      <c r="DD304" s="1321"/>
      <c r="DE304" s="1321"/>
      <c r="DF304" s="1321"/>
      <c r="DG304" s="1321"/>
      <c r="DH304" s="1321"/>
      <c r="DI304" s="1321"/>
      <c r="DJ304" s="1321"/>
      <c r="DK304" s="1321"/>
      <c r="DL304" s="1321"/>
      <c r="DM304" s="1321"/>
      <c r="DN304" s="1075" t="str">
        <f t="shared" si="80"/>
        <v>Eau</v>
      </c>
      <c r="DO304" s="1269">
        <f t="array" ref="DO304">SUM((IF(QualitéAlimentsAgneauMâle_0_3_mois=BONNE,VLOOKUP("Eau",AlimentsRationOvinsMâles,5,FALSE),0)+(IF(QualitéAlimentsAgneauFemelle_0_3_mois=BONNE,VLOOKUP("Eau",AlimentsRationOvinsFemelles,5,FALSE),0)+(IF(QualitéAlimentsAgneauMâle_3_6_mois=BONNE,VLOOKUP("Eau",AlimentsRationOvinsMâles,4,FALSE),0)+(IF(QualitéAlimentsAgneauFemelle_3_6_mois=BONNE,VLOOKUP("Eau",AlimentsRationOvinsFemelles,4,FALSE),0)+(IF(QualitéAlimentsJeuneBélier=BONNE,VLOOKUP("Eau",AlimentsRationOvinsMâles,3,FALSE),0)+(IF(QualitéAlimentsJeuneBrebis=BONNE,VLOOKUP("Eau",AlimentsRationOvinsFemelles,3,FALSE),0)+(IF(QualitéAlimentsBélier=BONNE,VLOOKUP("Eau",AlimentsRationOvinsMâles,2,FALSE),0)+(IF(QualitéAlimentsBrebis=BONNE,VLOOKUP("Eau",AlimentsRationOvinsFemelles,2,FALSE),0))))))))))</f>
        <v>0</v>
      </c>
      <c r="DP304" s="1269">
        <f t="array" ref="DP304">SUM((IF(QualitéAlimentsAgneauMâle_0_3_mois=MOYENNE,VLOOKUP("Eau",AlimentsRationOvinsMâles,5,FALSE),0)+(IF(QualitéAlimentsAgneauFemelle_0_3_mois=MOYENNE,VLOOKUP("Eau",AlimentsRationOvinsFemelles,5,FALSE),0)+(IF(QualitéAlimentsAgneauMâle_3_6_mois=MOYENNE,VLOOKUP("Eau",AlimentsRationOvinsMâles,4,FALSE),0)+(IF(QualitéAlimentsAgneauFemelle_3_6_mois=MOYENNE,VLOOKUP("Eau",AlimentsRationOvinsFemelles,4,FALSE),0)+(IF(QualitéAlimentsJeuneBélier=MOYENNE,VLOOKUP("Eau",AlimentsRationOvinsMâles,3,FALSE),0)+(IF(QualitéAlimentsJeuneBrebis=MOYENNE,VLOOKUP("Eau",AlimentsRationOvinsFemelles,3,FALSE),0)+(IF(QualitéAlimentsBélier=MOYENNE,VLOOKUP("Eau",AlimentsRationOvinsMâles,2,FALSE),0)+(IF(QualitéAlimentsBrebis=MOYENNE,VLOOKUP("Eau",AlimentsRationOvinsFemelles,2,FALSE),0))))))))))</f>
        <v>0</v>
      </c>
      <c r="DQ304" s="1269">
        <f t="array" ref="DQ304">SUM((IF(QualitéAlimentsAgneauMâle_0_3_mois=MAUVAISE,VLOOKUP("Eau",AlimentsRationOvinsMâles,5,FALSE),0)+(IF(QualitéAlimentsAgneauFemelle_0_3_mois=MAUVAISE,VLOOKUP("Eau",AlimentsRationOvinsFemelles,5,FALSE),0)+(IF(QualitéAlimentsAgneauMâle_3_6_mois=MAUVAISE,VLOOKUP("Eau",AlimentsRationOvinsMâles,4,FALSE),0)+(IF(QualitéAlimentsAgneauFemelle_3_6_mois=MAUVAISE,VLOOKUP("Eau",AlimentsRationOvinsFemelles,4,FALSE),0)+(IF(QualitéAlimentsJeuneBélier=MAUVAISE,VLOOKUP("Eau",AlimentsRationOvinsMâles,3,FALSE),0)+(IF(QualitéAlimentsJeuneBrebis=MAUVAISE,VLOOKUP("Eau",AlimentsRationOvinsFemelles,3,FALSE),0)+(IF(QualitéAlimentsBélier=MAUVAISE,VLOOKUP("Eau",AlimentsRationOvinsMâles,2,FALSE),0)+(IF(QualitéAlimentsBrebis=MAUVAISE,VLOOKUP("Eau",AlimentsRationOvinsFemelles,2,FALSE),0))))))))))</f>
        <v>0</v>
      </c>
      <c r="DR304" s="1321"/>
      <c r="DS304" s="1321"/>
      <c r="DT304" s="1346"/>
      <c r="DU304" s="1346"/>
      <c r="DV304" s="1321"/>
      <c r="DW304" s="1321"/>
      <c r="DX304" s="1321"/>
      <c r="DY304" s="1321"/>
      <c r="DZ304" s="1321"/>
      <c r="EA304" s="1321"/>
      <c r="EB304" s="1321"/>
      <c r="EC304" s="1321"/>
      <c r="ED304" s="1345"/>
      <c r="EE304" s="1345"/>
      <c r="EF304" s="1321"/>
      <c r="EG304" s="1321"/>
      <c r="EH304" s="1321"/>
      <c r="EI304" s="1321"/>
      <c r="EJ304" s="1321"/>
      <c r="EK304" s="1345"/>
      <c r="EL304" s="1345"/>
      <c r="EM304" s="1321"/>
      <c r="EN304" s="1321"/>
      <c r="EO304" s="1321"/>
      <c r="EP304" s="1321"/>
      <c r="EQ304" s="1321"/>
      <c r="ER304" s="1345"/>
      <c r="ES304" s="1345"/>
      <c r="ET304" s="1321"/>
      <c r="EU304" s="1321"/>
      <c r="EV304" s="1321"/>
      <c r="EW304" s="1321"/>
      <c r="EX304" s="1321"/>
      <c r="EY304" s="1321"/>
      <c r="EZ304" s="1345"/>
      <c r="FA304" s="1345"/>
      <c r="FB304" s="1345"/>
      <c r="FC304" s="1321"/>
      <c r="FD304" s="1321"/>
      <c r="FE304" s="1321"/>
      <c r="FF304" s="1321"/>
      <c r="FG304" s="1321"/>
      <c r="FH304" s="1321"/>
      <c r="FI304" s="1345"/>
      <c r="FJ304" s="1345"/>
      <c r="FK304" s="1345"/>
      <c r="FL304" s="1345"/>
      <c r="FM304" s="1321"/>
      <c r="FN304" s="1321"/>
      <c r="FO304" s="1321"/>
      <c r="FP304" s="1321"/>
      <c r="FQ304" s="1321"/>
      <c r="FR304" s="1321"/>
      <c r="FS304" s="1345"/>
      <c r="FT304" s="1345"/>
      <c r="FU304" s="1345"/>
      <c r="FV304" s="1345"/>
      <c r="FW304" s="1321"/>
      <c r="FX304" s="1321"/>
      <c r="FY304" s="1321"/>
      <c r="FZ304" s="1321"/>
      <c r="GA304" s="1345"/>
      <c r="GB304" s="1321"/>
      <c r="GC304" s="1321"/>
      <c r="GD304" s="1321"/>
      <c r="GE304" s="1321"/>
      <c r="GF304" s="1321"/>
      <c r="GG304" s="1321" t="s">
        <v>1349</v>
      </c>
      <c r="GH304" s="1321" t="s">
        <v>1349</v>
      </c>
      <c r="GI304" s="1321" t="s">
        <v>1349</v>
      </c>
      <c r="GJ304" s="1321" t="s">
        <v>1349</v>
      </c>
      <c r="GK304" s="1321" t="s">
        <v>1349</v>
      </c>
      <c r="GL304" s="1321" t="s">
        <v>1349</v>
      </c>
      <c r="GM304" s="1321" t="s">
        <v>1349</v>
      </c>
      <c r="GN304" s="1321" t="s">
        <v>1349</v>
      </c>
      <c r="GO304" s="1321" t="s">
        <v>1349</v>
      </c>
      <c r="GP304" s="1321" t="s">
        <v>1349</v>
      </c>
      <c r="GQ304" s="1321" t="s">
        <v>1349</v>
      </c>
      <c r="GR304" s="1321" t="s">
        <v>1349</v>
      </c>
      <c r="GS304" s="1321" t="s">
        <v>1349</v>
      </c>
      <c r="GT304" s="1321" t="s">
        <v>1349</v>
      </c>
      <c r="GU304" s="1321" t="s">
        <v>1349</v>
      </c>
      <c r="GV304" s="1321" t="s">
        <v>1349</v>
      </c>
      <c r="GW304" s="1321"/>
      <c r="GX304" s="1321"/>
      <c r="GY304" s="1321"/>
      <c r="GZ304" s="1321"/>
      <c r="HA304" s="1321"/>
      <c r="HB304" s="1321"/>
      <c r="HC304" s="1321"/>
      <c r="HD304" s="1321"/>
      <c r="HE304" s="1321"/>
      <c r="HF304" s="1321"/>
      <c r="HG304" s="1321"/>
      <c r="HH304" s="1321"/>
      <c r="HI304" s="1321"/>
      <c r="HJ304" s="1321"/>
      <c r="HK304" s="1321"/>
      <c r="HL304" s="1321"/>
      <c r="HM304" s="1321"/>
      <c r="HN304" s="1321"/>
      <c r="HO304" s="1321"/>
      <c r="HP304" s="1321"/>
      <c r="HQ304" s="1321"/>
      <c r="HR304" s="1321"/>
      <c r="HS304" s="1321"/>
      <c r="HT304" s="1321"/>
      <c r="HU304" s="1321"/>
      <c r="HV304" s="1321"/>
      <c r="HW304" s="1321"/>
      <c r="HX304" s="1321"/>
      <c r="HY304" s="1321"/>
      <c r="HZ304" s="1321"/>
      <c r="IA304" s="1321"/>
      <c r="IB304" s="1321"/>
      <c r="IC304" s="1321"/>
      <c r="ID304" s="1321"/>
      <c r="IE304" s="1321"/>
      <c r="IF304" s="1321"/>
      <c r="IG304" s="1321"/>
      <c r="IH304" s="1321"/>
      <c r="II304" s="1321"/>
      <c r="IJ304" s="1321"/>
      <c r="IK304" s="1321"/>
      <c r="IL304" s="1321"/>
      <c r="IM304" s="1321"/>
      <c r="IN304" s="1368"/>
    </row>
    <row r="305" spans="1:248" ht="12.75" customHeight="1" x14ac:dyDescent="0.2">
      <c r="A305" s="1319"/>
      <c r="B305" s="1321"/>
      <c r="C305" s="1321"/>
      <c r="D305" s="1321"/>
      <c r="E305" s="1321"/>
      <c r="F305" s="1321"/>
      <c r="G305" s="1321"/>
      <c r="H305" s="1321"/>
      <c r="I305" s="1321"/>
      <c r="J305" s="1321"/>
      <c r="K305" s="1321"/>
      <c r="L305" s="1321"/>
      <c r="M305" s="1321"/>
      <c r="N305" s="1321"/>
      <c r="O305" s="1321"/>
      <c r="P305" s="1321"/>
      <c r="Q305" s="1321"/>
      <c r="R305" s="1321"/>
      <c r="S305" s="1321"/>
      <c r="T305" s="1321"/>
      <c r="U305" s="1321"/>
      <c r="V305" s="1321"/>
      <c r="W305" s="1321"/>
      <c r="X305" s="1321"/>
      <c r="Y305" s="1321"/>
      <c r="Z305" s="1321"/>
      <c r="AA305" s="1321"/>
      <c r="AB305" s="1321"/>
      <c r="AC305" s="1321"/>
      <c r="AD305" s="1321"/>
      <c r="AE305" s="1321"/>
      <c r="AF305" s="1321"/>
      <c r="AG305" s="1321"/>
      <c r="AH305" s="1321"/>
      <c r="AI305" s="1321"/>
      <c r="AJ305" s="1321"/>
      <c r="AK305" s="1321"/>
      <c r="AL305" s="1321"/>
      <c r="AM305" s="1321"/>
      <c r="AN305" s="1321"/>
      <c r="AO305" s="1321"/>
      <c r="AP305" s="1321"/>
      <c r="AQ305" s="1321"/>
      <c r="AR305" s="1321"/>
      <c r="AS305" s="1321"/>
      <c r="AT305" s="1321"/>
      <c r="AU305" s="1321"/>
      <c r="AV305" s="1321"/>
      <c r="AW305" s="1321"/>
      <c r="AX305" s="1321"/>
      <c r="AY305" s="1321"/>
      <c r="AZ305" s="1321"/>
      <c r="BA305" s="1321"/>
      <c r="BB305" s="1075" t="str">
        <f t="shared" si="79"/>
        <v>Paille</v>
      </c>
      <c r="BC305" s="1075">
        <f t="array" ref="BC305">IFERROR(IF(OR(AND(INDEX(Règles_bovins[Specificite],MATCH(RationHivernaleBovinsAuPré&amp;$BB305,Règles_bovins[Ration]&amp;Règles_bovins[Aliment],0))="s1",IF($BB305=Spécificité1Bovins,1)),
AND(INDEX(Règles_bovins[Specificite],MATCH(RationHivernaleBovinsAuPré&amp;$BB305,Règles_bovins[Ration]&amp;Règles_bovins[Aliment],0))="s2",IF($BB305=Spécificité2Bovins,1)),
INDEX(Règles_bovins[Specificite],MATCH(RationHivernaleBovinsAuPré&amp;$BB305,Règles_bovins[Ration]&amp;Règles_bovins[Aliment],0))="c"),
INDEX(Règles_bovins[Valeur 36 et plus],MATCH(RationHivernaleBovinsAuPré&amp;$BB305,Règles_bovins[Ration]&amp;Règles_bovins[Aliment],0)),0),0)*IF(SUM(TotalBovinsAdultesAuPré)&gt;0,SUM(TotalBovinsAdultesAuPré),SUM(TotalBovinsAdultes))*35</f>
        <v>0</v>
      </c>
      <c r="BD305" s="1075">
        <f t="array" ref="BD305">IFERROR(IF(OR(AND(INDEX(Règles_bovins[Specificite],MATCH(RationHivernaleBovinsAuPré&amp;$BB305,Règles_bovins[Ration]&amp;Règles_bovins[Aliment],0))="s1",IF($BB305=Spécificité1Bovins,1)),
AND(INDEX(Règles_bovins[Specificite],MATCH(RationHivernaleBovinsAuPré&amp;$BB305,Règles_bovins[Ration]&amp;Règles_bovins[Aliment],0))="s2",IF($BB305=Spécificité2Bovins,1)),
INDEX(Règles_bovins[Specificite],MATCH(RationHivernaleBovinsAuPré&amp;$BB305,Règles_bovins[Ration]&amp;Règles_bovins[Aliment],0))="c"),
INDEX(Règles_bovins[Valeur 24-36],MATCH(RationHivernaleBovinsAuPré&amp;$BB305,Règles_bovins[Ration]&amp;Règles_bovins[Aliment],0)),0),0)*IF(SUM(TotalBovins_24_36moisAuPré)&gt;0,SUM(TotalBovins_24_36moisAuPré),SUM(TotalBovins_24_36mois))*35</f>
        <v>0</v>
      </c>
      <c r="BE305" s="1075">
        <f t="array" ref="BE305">IFERROR(IF(OR(AND(INDEX(Règles_bovins[Specificite],MATCH(RationHivernaleBovinsAuPré&amp;$BB305,Règles_bovins[Ration]&amp;Règles_bovins[Aliment],0))="s1",IF($BB305=Spécificité1Bovins,1)),
AND(INDEX(Règles_bovins[Specificite],MATCH(RationHivernaleBovinsAuPré&amp;$BB305,Règles_bovins[Ration]&amp;Règles_bovins[Aliment],0))="s2",IF($BB305=Spécificité2Bovins,1)),
INDEX(Règles_bovins[Specificite],MATCH(RationHivernaleBovinsAuPré&amp;$BB305,Règles_bovins[Ration]&amp;Règles_bovins[Aliment],0))="c"),
INDEX(Règles_bovins[Valeur 18-24],MATCH(RationHivernaleBovinsAuPré&amp;$BB305,Règles_bovins[Ration]&amp;Règles_bovins[Aliment],0)),0),0)*IF(SUM(TotalBovins_18_24moisAuPré)&gt;0,SUM(TotalBovins_18_24moisAuPré),SUM(TotalBovins_18_24mois))*35</f>
        <v>0</v>
      </c>
      <c r="BF305" s="1075">
        <f t="array" ref="BF305">IFERROR(IF(OR(AND(INDEX(Règles_bovins[Specificite],MATCH(RationHivernaleBovinsAuPré&amp;$BB305,Règles_bovins[Ration]&amp;Règles_bovins[Aliment],0))="s1",IF($BB305=Spécificité1Bovins,1)),
AND(INDEX(Règles_bovins[Specificite],MATCH(RationHivernaleBovinsAuPré&amp;$BB305,Règles_bovins[Ration]&amp;Règles_bovins[Aliment],0))="s2",IF($BB305=Spécificité2Bovins,1)),
INDEX(Règles_bovins[Specificite],MATCH(RationHivernaleBovinsAuPré&amp;$BB305,Règles_bovins[Ration]&amp;Règles_bovins[Aliment],0))="c"),
INDEX(Règles_bovins[Valeur 12-18],MATCH(RationHivernaleBovinsAuPré&amp;$BB305,Règles_bovins[Ration]&amp;Règles_bovins[Aliment],0)),0),0)*IF(SUM(TotalBovins_12_18moisAuPré)&gt;0,SUM(TotalBovins_12_18moisAuPré),SUM(TotalBovins_12_18mois))*35</f>
        <v>0</v>
      </c>
      <c r="BG305" s="1075">
        <f t="array" ref="BG305">IFERROR(IF(OR(AND(INDEX(Règles_bovins[Specificite],MATCH(RationHivernaleBovinsAuPré&amp;$BB305,Règles_bovins[Ration]&amp;Règles_bovins[Aliment],0))="s1",IF($BB305=Spécificité1Bovins,1)),
AND(INDEX(Règles_bovins[Specificite],MATCH(RationHivernaleBovinsAuPré&amp;$BB305,Règles_bovins[Ration]&amp;Règles_bovins[Aliment],0))="s2",IF($BB305=Spécificité2Bovins,1)),
INDEX(Règles_bovins[Specificite],MATCH(RationHivernaleBovinsAuPré&amp;$BB305,Règles_bovins[Ration]&amp;Règles_bovins[Aliment],0))="c"),
INDEX(Règles_bovins[Valeur 6-12],MATCH(RationHivernaleBovinsAuPré&amp;$BB305,Règles_bovins[Ration]&amp;Règles_bovins[Aliment],0)),0),0)*IF(SUM(TotalBovins_6_12moisAuPré)&gt;0,SUM(TotalBovins_6_12moisAuPré),SUM(TotalBovins_6_12mois))*35</f>
        <v>0</v>
      </c>
      <c r="BH305" s="1075">
        <f t="array" ref="BH305">IFERROR(IF(OR(AND(INDEX(Règles_bovins[Specificite],MATCH(RationHivernaleBovinsAuPré&amp;$BB305,Règles_bovins[Ration]&amp;Règles_bovins[Aliment],0))="s1",IF($BB305=Spécificité1Bovins,1)),
AND(INDEX(Règles_bovins[Specificite],MATCH(RationHivernaleBovinsAuPré&amp;$BB305,Règles_bovins[Ration]&amp;Règles_bovins[Aliment],0))="s2",IF($BB305=Spécificité2Bovins,1)),
INDEX(Règles_bovins[Specificite],MATCH(RationHivernaleBovinsAuPré&amp;$BB305,Règles_bovins[Ration]&amp;Règles_bovins[Aliment],0))="c"),
INDEX(Règles_bovins[Valeur 3-6],MATCH(RationHivernaleBovinsAuPré&amp;$BB305,Règles_bovins[Ration]&amp;Règles_bovins[Aliment],0)),0),0)*IF(SUM(TotalBovins_3_6moisAuPré)&gt;0,SUM(TotalBovins_3_6moisAuPré),SUM(TotalBovins_3_6mois))*35</f>
        <v>0</v>
      </c>
      <c r="BI305" s="1075">
        <f t="array" ref="BI305">IFERROR(IF(OR(AND(INDEX(Règles_bovins[Specificite],MATCH(RationHivernaleBovinsAuPré&amp;$BB305,Règles_bovins[Ration]&amp;Règles_bovins[Aliment],0))="s1",IF($BB305=Spécificité1Bovins,1)),
AND(INDEX(Règles_bovins[Specificite],MATCH(RationHivernaleBovinsAuPré&amp;$BB305,Règles_bovins[Ration]&amp;Règles_bovins[Aliment],0))="s2",IF($BB305=Spécificité2Bovins,1)),
INDEX(Règles_bovins[Specificite],MATCH(RationHivernaleBovinsAuPré&amp;$BB305,Règles_bovins[Ration]&amp;Règles_bovins[Aliment],0))="c"),
INDEX(Règles_bovins[Valeur 0-3],MATCH(RationHivernaleBovinsAuPré&amp;$BB305,Règles_bovins[Ration]&amp;Règles_bovins[Aliment],0)),0),0)*IF(SUM(TotalBovins_0_3moisAuPré)&gt;0,SUM(TotalBovins_0_3moisAuPré),SUM(TotalBovins_0_3mois))*35</f>
        <v>0</v>
      </c>
      <c r="BJ305" s="1270">
        <f t="shared" si="78"/>
        <v>0</v>
      </c>
      <c r="BK305" s="1345"/>
      <c r="BL305" s="1345"/>
      <c r="BM305" s="1346"/>
      <c r="BN305" s="1321"/>
      <c r="BO305" s="1321"/>
      <c r="BP305" s="1321"/>
      <c r="BQ305" s="1321"/>
      <c r="BR305" s="1321"/>
      <c r="BS305" s="1321"/>
      <c r="BT305" s="1321"/>
      <c r="BU305" s="1321"/>
      <c r="BV305" s="1345"/>
      <c r="BW305" s="1345"/>
      <c r="BX305" s="1321"/>
      <c r="BY305" s="1321"/>
      <c r="BZ305" s="1321"/>
      <c r="CA305" s="1321"/>
      <c r="CB305" s="1321"/>
      <c r="CC305" s="1321"/>
      <c r="CD305" s="1345"/>
      <c r="CE305" s="1345"/>
      <c r="CF305" s="1345"/>
      <c r="CG305" s="1345"/>
      <c r="CH305" s="1345"/>
      <c r="CI305" s="1321"/>
      <c r="CJ305" s="1321"/>
      <c r="CK305" s="1321"/>
      <c r="CL305" s="1321"/>
      <c r="CM305" s="1321"/>
      <c r="CN305" s="1321"/>
      <c r="CO305" s="1321"/>
      <c r="CP305" s="1321"/>
      <c r="CQ305" s="1321"/>
      <c r="CR305" s="1321"/>
      <c r="CS305" s="1321"/>
      <c r="CT305" s="1321"/>
      <c r="CU305" s="1321"/>
      <c r="CV305" s="1321"/>
      <c r="CW305" s="1321"/>
      <c r="CX305" s="1321"/>
      <c r="CY305" s="1321"/>
      <c r="CZ305" s="1321"/>
      <c r="DA305" s="1321"/>
      <c r="DB305" s="1321"/>
      <c r="DC305" s="1321"/>
      <c r="DD305" s="1321"/>
      <c r="DE305" s="1321"/>
      <c r="DF305" s="1321"/>
      <c r="DG305" s="1321"/>
      <c r="DH305" s="1321"/>
      <c r="DI305" s="1321"/>
      <c r="DJ305" s="1321"/>
      <c r="DK305" s="1321"/>
      <c r="DL305" s="1321"/>
      <c r="DM305" s="1321"/>
      <c r="DN305" s="1076" t="str">
        <f t="shared" si="80"/>
        <v>Epinard</v>
      </c>
      <c r="DO305" s="1267">
        <f t="array" ref="DO305">SUM((IF(QualitéAlimentsAgneauMâle_0_3_mois=BONNE,VLOOKUP("Epinard",AlimentsRationOvinsMâles,5,FALSE),0)+(IF(QualitéAlimentsAgneauFemelle_0_3_mois=BONNE,VLOOKUP("Epinard",AlimentsRationOvinsFemelles,5,FALSE),0)+(IF(QualitéAlimentsAgneauMâle_3_6_mois=BONNE,VLOOKUP("Epinard",AlimentsRationOvinsMâles,4,FALSE),0)+(IF(QualitéAlimentsAgneauFemelle_3_6_mois=BONNE,VLOOKUP("Epinard",AlimentsRationOvinsFemelles,4,FALSE),0)+(IF(QualitéAlimentsJeuneBélier=BONNE,VLOOKUP("Epinard",AlimentsRationOvinsMâles,3,FALSE),0)+(IF(QualitéAlimentsJeuneBrebis=BONNE,VLOOKUP("Epinard",AlimentsRationOvinsFemelles,3,FALSE),0)+(IF(QualitéAlimentsBélier=BONNE,VLOOKUP("Epinard",AlimentsRationOvinsMâles,2,FALSE),0)+(IF(QualitéAlimentsBrebis=BONNE,VLOOKUP("Epinard",AlimentsRationOvinsFemelles,2,FALSE),0))))))))))</f>
        <v>0</v>
      </c>
      <c r="DP305" s="1267">
        <f t="array" ref="DP305">SUM((IF(QualitéAlimentsAgneauMâle_0_3_mois=MOYENNE,VLOOKUP("Epinard",AlimentsRationOvinsMâles,5,FALSE),0)+(IF(QualitéAlimentsAgneauFemelle_0_3_mois=MOYENNE,VLOOKUP("Epinard",AlimentsRationOvinsFemelles,5,FALSE),0)+(IF(QualitéAlimentsAgneauMâle_3_6_mois=MOYENNE,VLOOKUP("Epinard",AlimentsRationOvinsMâles,4,FALSE),0)+(IF(QualitéAlimentsAgneauFemelle_3_6_mois=MOYENNE,VLOOKUP("Epinard",AlimentsRationOvinsFemelles,4,FALSE),0)+(IF(QualitéAlimentsJeuneBélier=MOYENNE,VLOOKUP("Epinard",AlimentsRationOvinsMâles,3,FALSE),0)+(IF(QualitéAlimentsJeuneBrebis=MOYENNE,VLOOKUP("Epinard",AlimentsRationOvinsFemelles,3,FALSE),0)+(IF(QualitéAlimentsBélier=MOYENNE,VLOOKUP("Epinard",AlimentsRationOvinsMâles,2,FALSE),0)+(IF(QualitéAlimentsBrebis=MOYENNE,VLOOKUP("Epinard",AlimentsRationOvinsFemelles,2,FALSE),0))))))))))</f>
        <v>0</v>
      </c>
      <c r="DQ305" s="1267">
        <f t="array" ref="DQ305">SUM((IF(QualitéAlimentsAgneauMâle_0_3_mois=MAUVAISE,VLOOKUP("Epinard",AlimentsRationOvinsMâles,5,FALSE),0)+(IF(QualitéAlimentsAgneauFemelle_0_3_mois=MAUVAISE,VLOOKUP("Epinard",AlimentsRationOvinsFemelles,5,FALSE),0)+(IF(QualitéAlimentsAgneauMâle_3_6_mois=MAUVAISE,VLOOKUP("Epinard",AlimentsRationOvinsMâles,4,FALSE),0)+(IF(QualitéAlimentsAgneauFemelle_3_6_mois=MAUVAISE,VLOOKUP("Epinard",AlimentsRationOvinsFemelles,4,FALSE),0)+(IF(QualitéAlimentsJeuneBélier=MAUVAISE,VLOOKUP("Epinard",AlimentsRationOvinsMâles,3,FALSE),0)+(IF(QualitéAlimentsJeuneBrebis=MAUVAISE,VLOOKUP("Epinard",AlimentsRationOvinsFemelles,3,FALSE),0)+(IF(QualitéAlimentsBélier=MAUVAISE,VLOOKUP("Epinard",AlimentsRationOvinsMâles,2,FALSE),0)+(IF(QualitéAlimentsBrebis=MAUVAISE,VLOOKUP("Epinard",AlimentsRationOvinsFemelles,2,FALSE),0))))))))))</f>
        <v>0</v>
      </c>
      <c r="DR305" s="1321"/>
      <c r="DS305" s="1321"/>
      <c r="DT305" s="1346"/>
      <c r="DU305" s="1346"/>
      <c r="DV305" s="1321"/>
      <c r="DW305" s="1321"/>
      <c r="DX305" s="1321"/>
      <c r="DY305" s="1321"/>
      <c r="DZ305" s="1321"/>
      <c r="EA305" s="1321"/>
      <c r="EB305" s="1321"/>
      <c r="EC305" s="1321"/>
      <c r="ED305" s="1345"/>
      <c r="EE305" s="1345"/>
      <c r="EF305" s="1321"/>
      <c r="EG305" s="1321"/>
      <c r="EH305" s="1321"/>
      <c r="EI305" s="1321"/>
      <c r="EJ305" s="1321"/>
      <c r="EK305" s="1345"/>
      <c r="EL305" s="1345"/>
      <c r="EM305" s="1321"/>
      <c r="EN305" s="1321"/>
      <c r="EO305" s="1321"/>
      <c r="EP305" s="1321"/>
      <c r="EQ305" s="1321"/>
      <c r="ER305" s="1345"/>
      <c r="ES305" s="1345"/>
      <c r="ET305" s="1321"/>
      <c r="EU305" s="1321"/>
      <c r="EV305" s="1321"/>
      <c r="EW305" s="1321"/>
      <c r="EX305" s="1321"/>
      <c r="EY305" s="1321"/>
      <c r="EZ305" s="1345"/>
      <c r="FA305" s="1345"/>
      <c r="FB305" s="1345"/>
      <c r="FC305" s="1321"/>
      <c r="FD305" s="1321"/>
      <c r="FE305" s="1321"/>
      <c r="FF305" s="1321"/>
      <c r="FG305" s="1321"/>
      <c r="FH305" s="1321"/>
      <c r="FI305" s="1345"/>
      <c r="FJ305" s="1345"/>
      <c r="FK305" s="1345"/>
      <c r="FL305" s="1345"/>
      <c r="FM305" s="1321"/>
      <c r="FN305" s="1321"/>
      <c r="FO305" s="1321"/>
      <c r="FP305" s="1321"/>
      <c r="FQ305" s="1321"/>
      <c r="FR305" s="1321"/>
      <c r="FS305" s="1345"/>
      <c r="FT305" s="1345"/>
      <c r="FU305" s="1345"/>
      <c r="FV305" s="1345"/>
      <c r="FW305" s="1321"/>
      <c r="FX305" s="1321"/>
      <c r="FY305" s="1321"/>
      <c r="FZ305" s="1321"/>
      <c r="GA305" s="1345"/>
      <c r="GB305" s="1321"/>
      <c r="GC305" s="1321"/>
      <c r="GD305" s="1321"/>
      <c r="GE305" s="1321"/>
      <c r="GF305" s="1321"/>
      <c r="GG305" s="1321" t="s">
        <v>1349</v>
      </c>
      <c r="GH305" s="1321" t="s">
        <v>1349</v>
      </c>
      <c r="GI305" s="1321" t="s">
        <v>1349</v>
      </c>
      <c r="GJ305" s="1321" t="s">
        <v>1349</v>
      </c>
      <c r="GK305" s="1321" t="s">
        <v>1349</v>
      </c>
      <c r="GL305" s="1321" t="s">
        <v>1349</v>
      </c>
      <c r="GM305" s="1321" t="s">
        <v>1349</v>
      </c>
      <c r="GN305" s="1321" t="s">
        <v>1349</v>
      </c>
      <c r="GO305" s="1321" t="s">
        <v>1349</v>
      </c>
      <c r="GP305" s="1321" t="s">
        <v>1349</v>
      </c>
      <c r="GQ305" s="1321" t="s">
        <v>1349</v>
      </c>
      <c r="GR305" s="1321" t="s">
        <v>1349</v>
      </c>
      <c r="GS305" s="1321" t="s">
        <v>1349</v>
      </c>
      <c r="GT305" s="1321" t="s">
        <v>1349</v>
      </c>
      <c r="GU305" s="1321" t="s">
        <v>1349</v>
      </c>
      <c r="GV305" s="1321" t="s">
        <v>1349</v>
      </c>
      <c r="GW305" s="1321"/>
      <c r="GX305" s="1321"/>
      <c r="GY305" s="1321"/>
      <c r="GZ305" s="1321"/>
      <c r="HA305" s="1321"/>
      <c r="HB305" s="1321"/>
      <c r="HC305" s="1321"/>
      <c r="HD305" s="1321"/>
      <c r="HE305" s="1321"/>
      <c r="HF305" s="1321"/>
      <c r="HG305" s="1321"/>
      <c r="HH305" s="1321"/>
      <c r="HI305" s="1321"/>
      <c r="HJ305" s="1321"/>
      <c r="HK305" s="1321"/>
      <c r="HL305" s="1321"/>
      <c r="HM305" s="1321"/>
      <c r="HN305" s="1321"/>
      <c r="HO305" s="1321"/>
      <c r="HP305" s="1321"/>
      <c r="HQ305" s="1321"/>
      <c r="HR305" s="1321"/>
      <c r="HS305" s="1321"/>
      <c r="HT305" s="1321"/>
      <c r="HU305" s="1321"/>
      <c r="HV305" s="1321"/>
      <c r="HW305" s="1321"/>
      <c r="HX305" s="1321"/>
      <c r="HY305" s="1321"/>
      <c r="HZ305" s="1321"/>
      <c r="IA305" s="1321"/>
      <c r="IB305" s="1321"/>
      <c r="IC305" s="1321"/>
      <c r="ID305" s="1321"/>
      <c r="IE305" s="1321"/>
      <c r="IF305" s="1321"/>
      <c r="IG305" s="1321"/>
      <c r="IH305" s="1321"/>
      <c r="II305" s="1321"/>
      <c r="IJ305" s="1321"/>
      <c r="IK305" s="1321"/>
      <c r="IL305" s="1321"/>
      <c r="IM305" s="1321"/>
      <c r="IN305" s="1368"/>
    </row>
    <row r="306" spans="1:248" ht="12.75" customHeight="1" x14ac:dyDescent="0.2">
      <c r="A306" s="1319"/>
      <c r="B306" s="1321"/>
      <c r="C306" s="1321"/>
      <c r="D306" s="1321"/>
      <c r="E306" s="1321"/>
      <c r="F306" s="1321"/>
      <c r="G306" s="1321"/>
      <c r="H306" s="1321"/>
      <c r="I306" s="1321"/>
      <c r="J306" s="1321"/>
      <c r="K306" s="1321"/>
      <c r="L306" s="1321"/>
      <c r="M306" s="1321"/>
      <c r="N306" s="1321"/>
      <c r="O306" s="1321"/>
      <c r="P306" s="1321"/>
      <c r="Q306" s="1321"/>
      <c r="R306" s="1321"/>
      <c r="S306" s="1321"/>
      <c r="T306" s="1321"/>
      <c r="U306" s="1321"/>
      <c r="V306" s="1321"/>
      <c r="W306" s="1321"/>
      <c r="X306" s="1321"/>
      <c r="Y306" s="1321"/>
      <c r="Z306" s="1321"/>
      <c r="AA306" s="1321"/>
      <c r="AB306" s="1321"/>
      <c r="AC306" s="1321"/>
      <c r="AD306" s="1321"/>
      <c r="AE306" s="1321"/>
      <c r="AF306" s="1321"/>
      <c r="AG306" s="1321"/>
      <c r="AH306" s="1321"/>
      <c r="AI306" s="1321"/>
      <c r="AJ306" s="1321"/>
      <c r="AK306" s="1321"/>
      <c r="AL306" s="1321"/>
      <c r="AM306" s="1321"/>
      <c r="AN306" s="1321"/>
      <c r="AO306" s="1321"/>
      <c r="AP306" s="1321"/>
      <c r="AQ306" s="1321"/>
      <c r="AR306" s="1321"/>
      <c r="AS306" s="1321"/>
      <c r="AT306" s="1321"/>
      <c r="AU306" s="1321"/>
      <c r="AV306" s="1321"/>
      <c r="AW306" s="1321"/>
      <c r="AX306" s="1321"/>
      <c r="AY306" s="1321"/>
      <c r="AZ306" s="1321"/>
      <c r="BA306" s="1321"/>
      <c r="BB306" s="1076" t="str">
        <f t="shared" si="79"/>
        <v>Pois</v>
      </c>
      <c r="BC306" s="1076">
        <f t="array" ref="BC306">IFERROR(IF(OR(AND(INDEX(Règles_bovins[Specificite],MATCH(RationHivernaleBovinsAuPré&amp;$BB306,Règles_bovins[Ration]&amp;Règles_bovins[Aliment],0))="s1",IF($BB306=Spécificité1Bovins,1)),
AND(INDEX(Règles_bovins[Specificite],MATCH(RationHivernaleBovinsAuPré&amp;$BB306,Règles_bovins[Ration]&amp;Règles_bovins[Aliment],0))="s2",IF($BB306=Spécificité2Bovins,1)),
INDEX(Règles_bovins[Specificite],MATCH(RationHivernaleBovinsAuPré&amp;$BB306,Règles_bovins[Ration]&amp;Règles_bovins[Aliment],0))="c"),
INDEX(Règles_bovins[Valeur 36 et plus],MATCH(RationHivernaleBovinsAuPré&amp;$BB306,Règles_bovins[Ration]&amp;Règles_bovins[Aliment],0)),0),0)*IF(SUM(TotalBovinsAdultesAuPré)&gt;0,SUM(TotalBovinsAdultesAuPré),SUM(TotalBovinsAdultes))*35</f>
        <v>0</v>
      </c>
      <c r="BD306" s="1076">
        <f t="array" ref="BD306">IFERROR(IF(OR(AND(INDEX(Règles_bovins[Specificite],MATCH(RationHivernaleBovinsAuPré&amp;$BB306,Règles_bovins[Ration]&amp;Règles_bovins[Aliment],0))="s1",IF($BB306=Spécificité1Bovins,1)),
AND(INDEX(Règles_bovins[Specificite],MATCH(RationHivernaleBovinsAuPré&amp;$BB306,Règles_bovins[Ration]&amp;Règles_bovins[Aliment],0))="s2",IF($BB306=Spécificité2Bovins,1)),
INDEX(Règles_bovins[Specificite],MATCH(RationHivernaleBovinsAuPré&amp;$BB306,Règles_bovins[Ration]&amp;Règles_bovins[Aliment],0))="c"),
INDEX(Règles_bovins[Valeur 24-36],MATCH(RationHivernaleBovinsAuPré&amp;$BB306,Règles_bovins[Ration]&amp;Règles_bovins[Aliment],0)),0),0)*IF(SUM(TotalBovins_24_36moisAuPré)&gt;0,SUM(TotalBovins_24_36moisAuPré),SUM(TotalBovins_24_36mois))*35</f>
        <v>0</v>
      </c>
      <c r="BE306" s="1076">
        <f t="array" ref="BE306">IFERROR(IF(OR(AND(INDEX(Règles_bovins[Specificite],MATCH(RationHivernaleBovinsAuPré&amp;$BB306,Règles_bovins[Ration]&amp;Règles_bovins[Aliment],0))="s1",IF($BB306=Spécificité1Bovins,1)),
AND(INDEX(Règles_bovins[Specificite],MATCH(RationHivernaleBovinsAuPré&amp;$BB306,Règles_bovins[Ration]&amp;Règles_bovins[Aliment],0))="s2",IF($BB306=Spécificité2Bovins,1)),
INDEX(Règles_bovins[Specificite],MATCH(RationHivernaleBovinsAuPré&amp;$BB306,Règles_bovins[Ration]&amp;Règles_bovins[Aliment],0))="c"),
INDEX(Règles_bovins[Valeur 18-24],MATCH(RationHivernaleBovinsAuPré&amp;$BB306,Règles_bovins[Ration]&amp;Règles_bovins[Aliment],0)),0),0)*IF(SUM(TotalBovins_18_24moisAuPré)&gt;0,SUM(TotalBovins_18_24moisAuPré),SUM(TotalBovins_18_24mois))*35</f>
        <v>0</v>
      </c>
      <c r="BF306" s="1076">
        <f t="array" ref="BF306">IFERROR(IF(OR(AND(INDEX(Règles_bovins[Specificite],MATCH(RationHivernaleBovinsAuPré&amp;$BB306,Règles_bovins[Ration]&amp;Règles_bovins[Aliment],0))="s1",IF($BB306=Spécificité1Bovins,1)),
AND(INDEX(Règles_bovins[Specificite],MATCH(RationHivernaleBovinsAuPré&amp;$BB306,Règles_bovins[Ration]&amp;Règles_bovins[Aliment],0))="s2",IF($BB306=Spécificité2Bovins,1)),
INDEX(Règles_bovins[Specificite],MATCH(RationHivernaleBovinsAuPré&amp;$BB306,Règles_bovins[Ration]&amp;Règles_bovins[Aliment],0))="c"),
INDEX(Règles_bovins[Valeur 12-18],MATCH(RationHivernaleBovinsAuPré&amp;$BB306,Règles_bovins[Ration]&amp;Règles_bovins[Aliment],0)),0),0)*IF(SUM(TotalBovins_12_18moisAuPré)&gt;0,SUM(TotalBovins_12_18moisAuPré),SUM(TotalBovins_12_18mois))*35</f>
        <v>0</v>
      </c>
      <c r="BG306" s="1076">
        <f t="array" ref="BG306">IFERROR(IF(OR(AND(INDEX(Règles_bovins[Specificite],MATCH(RationHivernaleBovinsAuPré&amp;$BB306,Règles_bovins[Ration]&amp;Règles_bovins[Aliment],0))="s1",IF($BB306=Spécificité1Bovins,1)),
AND(INDEX(Règles_bovins[Specificite],MATCH(RationHivernaleBovinsAuPré&amp;$BB306,Règles_bovins[Ration]&amp;Règles_bovins[Aliment],0))="s2",IF($BB306=Spécificité2Bovins,1)),
INDEX(Règles_bovins[Specificite],MATCH(RationHivernaleBovinsAuPré&amp;$BB306,Règles_bovins[Ration]&amp;Règles_bovins[Aliment],0))="c"),
INDEX(Règles_bovins[Valeur 6-12],MATCH(RationHivernaleBovinsAuPré&amp;$BB306,Règles_bovins[Ration]&amp;Règles_bovins[Aliment],0)),0),0)*IF(SUM(TotalBovins_6_12moisAuPré)&gt;0,SUM(TotalBovins_6_12moisAuPré),SUM(TotalBovins_6_12mois))*35</f>
        <v>0</v>
      </c>
      <c r="BH306" s="1076">
        <f t="array" ref="BH306">IFERROR(IF(OR(AND(INDEX(Règles_bovins[Specificite],MATCH(RationHivernaleBovinsAuPré&amp;$BB306,Règles_bovins[Ration]&amp;Règles_bovins[Aliment],0))="s1",IF($BB306=Spécificité1Bovins,1)),
AND(INDEX(Règles_bovins[Specificite],MATCH(RationHivernaleBovinsAuPré&amp;$BB306,Règles_bovins[Ration]&amp;Règles_bovins[Aliment],0))="s2",IF($BB306=Spécificité2Bovins,1)),
INDEX(Règles_bovins[Specificite],MATCH(RationHivernaleBovinsAuPré&amp;$BB306,Règles_bovins[Ration]&amp;Règles_bovins[Aliment],0))="c"),
INDEX(Règles_bovins[Valeur 3-6],MATCH(RationHivernaleBovinsAuPré&amp;$BB306,Règles_bovins[Ration]&amp;Règles_bovins[Aliment],0)),0),0)*IF(SUM(TotalBovins_3_6moisAuPré)&gt;0,SUM(TotalBovins_3_6moisAuPré),SUM(TotalBovins_3_6mois))*35</f>
        <v>0</v>
      </c>
      <c r="BI306" s="1076">
        <f t="array" ref="BI306">IFERROR(IF(OR(AND(INDEX(Règles_bovins[Specificite],MATCH(RationHivernaleBovinsAuPré&amp;$BB306,Règles_bovins[Ration]&amp;Règles_bovins[Aliment],0))="s1",IF($BB306=Spécificité1Bovins,1)),
AND(INDEX(Règles_bovins[Specificite],MATCH(RationHivernaleBovinsAuPré&amp;$BB306,Règles_bovins[Ration]&amp;Règles_bovins[Aliment],0))="s2",IF($BB306=Spécificité2Bovins,1)),
INDEX(Règles_bovins[Specificite],MATCH(RationHivernaleBovinsAuPré&amp;$BB306,Règles_bovins[Ration]&amp;Règles_bovins[Aliment],0))="c"),
INDEX(Règles_bovins[Valeur 0-3],MATCH(RationHivernaleBovinsAuPré&amp;$BB306,Règles_bovins[Ration]&amp;Règles_bovins[Aliment],0)),0),0)*IF(SUM(TotalBovins_0_3moisAuPré)&gt;0,SUM(TotalBovins_0_3moisAuPré),SUM(TotalBovins_0_3mois))*35</f>
        <v>0</v>
      </c>
      <c r="BJ306" s="1268">
        <f t="shared" si="78"/>
        <v>0</v>
      </c>
      <c r="BK306" s="1345"/>
      <c r="BL306" s="1345"/>
      <c r="BM306" s="1346"/>
      <c r="BN306" s="1321"/>
      <c r="BO306" s="1321"/>
      <c r="BP306" s="1321"/>
      <c r="BQ306" s="1321"/>
      <c r="BR306" s="1321"/>
      <c r="BS306" s="1321"/>
      <c r="BT306" s="1321"/>
      <c r="BU306" s="1321"/>
      <c r="BV306" s="1345"/>
      <c r="BW306" s="1345"/>
      <c r="BX306" s="1321"/>
      <c r="BY306" s="1321"/>
      <c r="BZ306" s="1321"/>
      <c r="CA306" s="1321"/>
      <c r="CB306" s="1321"/>
      <c r="CC306" s="1321"/>
      <c r="CD306" s="1345"/>
      <c r="CE306" s="1345"/>
      <c r="CF306" s="1345"/>
      <c r="CG306" s="1345"/>
      <c r="CH306" s="1345"/>
      <c r="CI306" s="1321"/>
      <c r="CJ306" s="1321"/>
      <c r="CK306" s="1321"/>
      <c r="CL306" s="1321"/>
      <c r="CM306" s="1321"/>
      <c r="CN306" s="1321"/>
      <c r="CO306" s="1321"/>
      <c r="CP306" s="1321"/>
      <c r="CQ306" s="1321"/>
      <c r="CR306" s="1321"/>
      <c r="CS306" s="1321"/>
      <c r="CT306" s="1321"/>
      <c r="CU306" s="1321"/>
      <c r="CV306" s="1321"/>
      <c r="CW306" s="1321"/>
      <c r="CX306" s="1321"/>
      <c r="CY306" s="1321"/>
      <c r="CZ306" s="1321"/>
      <c r="DA306" s="1321"/>
      <c r="DB306" s="1321"/>
      <c r="DC306" s="1321"/>
      <c r="DD306" s="1321"/>
      <c r="DE306" s="1321"/>
      <c r="DF306" s="1321"/>
      <c r="DG306" s="1321"/>
      <c r="DH306" s="1321"/>
      <c r="DI306" s="1321"/>
      <c r="DJ306" s="1321"/>
      <c r="DK306" s="1321"/>
      <c r="DL306" s="1321"/>
      <c r="DM306" s="1321"/>
      <c r="DN306" s="1075" t="str">
        <f t="shared" si="80"/>
        <v>Féverole</v>
      </c>
      <c r="DO306" s="1269">
        <f t="array" ref="DO306">SUM((IF(QualitéAlimentsAgneauMâle_0_3_mois=BONNE,VLOOKUP("Féverole",AlimentsRationOvinsMâles,5,FALSE),0)+(IF(QualitéAlimentsAgneauFemelle_0_3_mois=BONNE,VLOOKUP("Féverole",AlimentsRationOvinsFemelles,5,FALSE),0)+(IF(QualitéAlimentsAgneauMâle_3_6_mois=BONNE,VLOOKUP("Féverole",AlimentsRationOvinsMâles,4,FALSE),0)+(IF(QualitéAlimentsAgneauFemelle_3_6_mois=BONNE,VLOOKUP("Féverole",AlimentsRationOvinsFemelles,4,FALSE),0)+(IF(QualitéAlimentsJeuneBélier=BONNE,VLOOKUP("Féverole",AlimentsRationOvinsMâles,3,FALSE),0)+(IF(QualitéAlimentsJeuneBrebis=BONNE,VLOOKUP("Féverole",AlimentsRationOvinsFemelles,3,FALSE),0)+(IF(QualitéAlimentsBélier=BONNE,VLOOKUP("Féverole",AlimentsRationOvinsMâles,2,FALSE),0)+(IF(QualitéAlimentsBrebis=BONNE,VLOOKUP("Féverole",AlimentsRationOvinsFemelles,2,FALSE),0))))))))))</f>
        <v>0</v>
      </c>
      <c r="DP306" s="1269">
        <f t="array" ref="DP306">SUM((IF(QualitéAlimentsAgneauMâle_0_3_mois=MOYENNE,VLOOKUP("Féverole",AlimentsRationOvinsMâles,5,FALSE),0)+(IF(QualitéAlimentsAgneauFemelle_0_3_mois=MOYENNE,VLOOKUP("Féverole",AlimentsRationOvinsFemelles,5,FALSE),0)+(IF(QualitéAlimentsAgneauMâle_3_6_mois=MOYENNE,VLOOKUP("Féverole",AlimentsRationOvinsMâles,4,FALSE),0)+(IF(QualitéAlimentsAgneauFemelle_3_6_mois=MOYENNE,VLOOKUP("Féverole",AlimentsRationOvinsFemelles,4,FALSE),0)+(IF(QualitéAlimentsJeuneBélier=MOYENNE,VLOOKUP("Féverole",AlimentsRationOvinsMâles,3,FALSE),0)+(IF(QualitéAlimentsJeuneBrebis=MOYENNE,VLOOKUP("Féverole",AlimentsRationOvinsFemelles,3,FALSE),0)+(IF(QualitéAlimentsBélier=MOYENNE,VLOOKUP("Féverole",AlimentsRationOvinsMâles,2,FALSE),0)+(IF(QualitéAlimentsBrebis=MOYENNE,VLOOKUP("Féverole",AlimentsRationOvinsFemelles,2,FALSE),0))))))))))</f>
        <v>0</v>
      </c>
      <c r="DQ306" s="1269">
        <f t="array" ref="DQ306">SUM((IF(QualitéAlimentsAgneauMâle_0_3_mois=MAUVAISE,VLOOKUP("Féverole",AlimentsRationOvinsMâles,5,FALSE),0)+(IF(QualitéAlimentsAgneauFemelle_0_3_mois=MAUVAISE,VLOOKUP("Féverole",AlimentsRationOvinsFemelles,5,FALSE),0)+(IF(QualitéAlimentsAgneauMâle_3_6_mois=MAUVAISE,VLOOKUP("Féverole",AlimentsRationOvinsMâles,4,FALSE),0)+(IF(QualitéAlimentsAgneauFemelle_3_6_mois=MAUVAISE,VLOOKUP("Féverole",AlimentsRationOvinsFemelles,4,FALSE),0)+(IF(QualitéAlimentsJeuneBélier=MAUVAISE,VLOOKUP("Féverole",AlimentsRationOvinsMâles,3,FALSE),0)+(IF(QualitéAlimentsJeuneBrebis=MAUVAISE,VLOOKUP("Féverole",AlimentsRationOvinsFemelles,3,FALSE),0)+(IF(QualitéAlimentsBélier=MAUVAISE,VLOOKUP("Féverole",AlimentsRationOvinsMâles,2,FALSE),0)+(IF(QualitéAlimentsBrebis=MAUVAISE,VLOOKUP("Féverole",AlimentsRationOvinsFemelles,2,FALSE),0))))))))))</f>
        <v>0</v>
      </c>
      <c r="DR306" s="1321"/>
      <c r="DS306" s="1321"/>
      <c r="DT306" s="1346"/>
      <c r="DU306" s="1346"/>
      <c r="DV306" s="1321"/>
      <c r="DW306" s="1321"/>
      <c r="DX306" s="1321"/>
      <c r="DY306" s="1321"/>
      <c r="DZ306" s="1321"/>
      <c r="EA306" s="1321"/>
      <c r="EB306" s="1321"/>
      <c r="EC306" s="1321"/>
      <c r="ED306" s="1345"/>
      <c r="EE306" s="1345"/>
      <c r="EF306" s="1321"/>
      <c r="EG306" s="1321"/>
      <c r="EH306" s="1321"/>
      <c r="EI306" s="1321"/>
      <c r="EJ306" s="1321"/>
      <c r="EK306" s="1345"/>
      <c r="EL306" s="1345"/>
      <c r="EM306" s="1321"/>
      <c r="EN306" s="1321"/>
      <c r="EO306" s="1321"/>
      <c r="EP306" s="1321"/>
      <c r="EQ306" s="1321"/>
      <c r="ER306" s="1345"/>
      <c r="ES306" s="1345"/>
      <c r="ET306" s="1321"/>
      <c r="EU306" s="1321"/>
      <c r="EV306" s="1321"/>
      <c r="EW306" s="1321"/>
      <c r="EX306" s="1321"/>
      <c r="EY306" s="1321"/>
      <c r="EZ306" s="1345"/>
      <c r="FA306" s="1345"/>
      <c r="FB306" s="1345"/>
      <c r="FC306" s="1321"/>
      <c r="FD306" s="1321"/>
      <c r="FE306" s="1321"/>
      <c r="FF306" s="1321"/>
      <c r="FG306" s="1321"/>
      <c r="FH306" s="1321"/>
      <c r="FI306" s="1345"/>
      <c r="FJ306" s="1345"/>
      <c r="FK306" s="1345"/>
      <c r="FL306" s="1345"/>
      <c r="FM306" s="1321"/>
      <c r="FN306" s="1321"/>
      <c r="FO306" s="1321"/>
      <c r="FP306" s="1321"/>
      <c r="FQ306" s="1321"/>
      <c r="FR306" s="1321"/>
      <c r="FS306" s="1345"/>
      <c r="FT306" s="1345"/>
      <c r="FU306" s="1345"/>
      <c r="FV306" s="1345"/>
      <c r="FW306" s="1321"/>
      <c r="FX306" s="1321"/>
      <c r="FY306" s="1321"/>
      <c r="FZ306" s="1321"/>
      <c r="GA306" s="1345"/>
      <c r="GB306" s="1321"/>
      <c r="GC306" s="1321"/>
      <c r="GD306" s="1321"/>
      <c r="GE306" s="1321"/>
      <c r="GF306" s="1321"/>
      <c r="GG306" s="1321" t="s">
        <v>1349</v>
      </c>
      <c r="GH306" s="1321" t="s">
        <v>1349</v>
      </c>
      <c r="GI306" s="1321" t="s">
        <v>1349</v>
      </c>
      <c r="GJ306" s="1321" t="s">
        <v>1349</v>
      </c>
      <c r="GK306" s="1321" t="s">
        <v>1349</v>
      </c>
      <c r="GL306" s="1321" t="s">
        <v>1349</v>
      </c>
      <c r="GM306" s="1321" t="s">
        <v>1349</v>
      </c>
      <c r="GN306" s="1321" t="s">
        <v>1349</v>
      </c>
      <c r="GO306" s="1321" t="s">
        <v>1349</v>
      </c>
      <c r="GP306" s="1321" t="s">
        <v>1349</v>
      </c>
      <c r="GQ306" s="1321" t="s">
        <v>1349</v>
      </c>
      <c r="GR306" s="1321" t="s">
        <v>1349</v>
      </c>
      <c r="GS306" s="1321" t="s">
        <v>1349</v>
      </c>
      <c r="GT306" s="1321" t="s">
        <v>1349</v>
      </c>
      <c r="GU306" s="1321" t="s">
        <v>1349</v>
      </c>
      <c r="GV306" s="1321" t="s">
        <v>1349</v>
      </c>
      <c r="GW306" s="1321"/>
      <c r="GX306" s="1321"/>
      <c r="GY306" s="1321"/>
      <c r="GZ306" s="1321"/>
      <c r="HA306" s="1321"/>
      <c r="HB306" s="1321"/>
      <c r="HC306" s="1321"/>
      <c r="HD306" s="1321"/>
      <c r="HE306" s="1321"/>
      <c r="HF306" s="1321"/>
      <c r="HG306" s="1321"/>
      <c r="HH306" s="1321"/>
      <c r="HI306" s="1321"/>
      <c r="HJ306" s="1321"/>
      <c r="HK306" s="1321"/>
      <c r="HL306" s="1321"/>
      <c r="HM306" s="1321"/>
      <c r="HN306" s="1321"/>
      <c r="HO306" s="1321"/>
      <c r="HP306" s="1321"/>
      <c r="HQ306" s="1321"/>
      <c r="HR306" s="1321"/>
      <c r="HS306" s="1321"/>
      <c r="HT306" s="1321"/>
      <c r="HU306" s="1321"/>
      <c r="HV306" s="1321"/>
      <c r="HW306" s="1321"/>
      <c r="HX306" s="1321"/>
      <c r="HY306" s="1321"/>
      <c r="HZ306" s="1321"/>
      <c r="IA306" s="1321"/>
      <c r="IB306" s="1321"/>
      <c r="IC306" s="1321"/>
      <c r="ID306" s="1321"/>
      <c r="IE306" s="1321"/>
      <c r="IF306" s="1321"/>
      <c r="IG306" s="1321"/>
      <c r="IH306" s="1321"/>
      <c r="II306" s="1321"/>
      <c r="IJ306" s="1321"/>
      <c r="IK306" s="1321"/>
      <c r="IL306" s="1321"/>
      <c r="IM306" s="1321"/>
      <c r="IN306" s="1368"/>
    </row>
    <row r="307" spans="1:248" ht="12.75" customHeight="1" x14ac:dyDescent="0.2">
      <c r="A307" s="1319"/>
      <c r="B307" s="1321"/>
      <c r="C307" s="1321"/>
      <c r="D307" s="1321"/>
      <c r="E307" s="1321"/>
      <c r="F307" s="1321"/>
      <c r="G307" s="1321"/>
      <c r="H307" s="1321"/>
      <c r="I307" s="1321"/>
      <c r="J307" s="1321"/>
      <c r="K307" s="1321"/>
      <c r="L307" s="1321"/>
      <c r="M307" s="1321"/>
      <c r="N307" s="1321"/>
      <c r="O307" s="1321"/>
      <c r="P307" s="1321"/>
      <c r="Q307" s="1321"/>
      <c r="R307" s="1321"/>
      <c r="S307" s="1321"/>
      <c r="T307" s="1321"/>
      <c r="U307" s="1321"/>
      <c r="V307" s="1321"/>
      <c r="W307" s="1321"/>
      <c r="X307" s="1321"/>
      <c r="Y307" s="1321"/>
      <c r="Z307" s="1321"/>
      <c r="AA307" s="1321"/>
      <c r="AB307" s="1321"/>
      <c r="AC307" s="1321"/>
      <c r="AD307" s="1321"/>
      <c r="AE307" s="1321"/>
      <c r="AF307" s="1321"/>
      <c r="AG307" s="1321"/>
      <c r="AH307" s="1321"/>
      <c r="AI307" s="1321"/>
      <c r="AJ307" s="1321"/>
      <c r="AK307" s="1321"/>
      <c r="AL307" s="1321"/>
      <c r="AM307" s="1321"/>
      <c r="AN307" s="1321"/>
      <c r="AO307" s="1321"/>
      <c r="AP307" s="1321"/>
      <c r="AQ307" s="1321"/>
      <c r="AR307" s="1321"/>
      <c r="AS307" s="1321"/>
      <c r="AT307" s="1321"/>
      <c r="AU307" s="1321"/>
      <c r="AV307" s="1321"/>
      <c r="AW307" s="1321"/>
      <c r="AX307" s="1321"/>
      <c r="AY307" s="1321"/>
      <c r="AZ307" s="1321"/>
      <c r="BA307" s="1321"/>
      <c r="BB307" s="1075" t="str">
        <f t="shared" si="79"/>
        <v>Pomme de terre</v>
      </c>
      <c r="BC307" s="1075">
        <f t="array" ref="BC307">IFERROR(IF(OR(AND(INDEX(Règles_bovins[Specificite],MATCH(RationHivernaleBovinsAuPré&amp;$BB307,Règles_bovins[Ration]&amp;Règles_bovins[Aliment],0))="s1",IF($BB307=Spécificité1Bovins,1)),
AND(INDEX(Règles_bovins[Specificite],MATCH(RationHivernaleBovinsAuPré&amp;$BB307,Règles_bovins[Ration]&amp;Règles_bovins[Aliment],0))="s2",IF($BB307=Spécificité2Bovins,1)),
INDEX(Règles_bovins[Specificite],MATCH(RationHivernaleBovinsAuPré&amp;$BB307,Règles_bovins[Ration]&amp;Règles_bovins[Aliment],0))="c"),
INDEX(Règles_bovins[Valeur 36 et plus],MATCH(RationHivernaleBovinsAuPré&amp;$BB307,Règles_bovins[Ration]&amp;Règles_bovins[Aliment],0)),0),0)*IF(SUM(TotalBovinsAdultesAuPré)&gt;0,SUM(TotalBovinsAdultesAuPré),SUM(TotalBovinsAdultes))*35</f>
        <v>0</v>
      </c>
      <c r="BD307" s="1075">
        <f t="array" ref="BD307">IFERROR(IF(OR(AND(INDEX(Règles_bovins[Specificite],MATCH(RationHivernaleBovinsAuPré&amp;$BB307,Règles_bovins[Ration]&amp;Règles_bovins[Aliment],0))="s1",IF($BB307=Spécificité1Bovins,1)),
AND(INDEX(Règles_bovins[Specificite],MATCH(RationHivernaleBovinsAuPré&amp;$BB307,Règles_bovins[Ration]&amp;Règles_bovins[Aliment],0))="s2",IF($BB307=Spécificité2Bovins,1)),
INDEX(Règles_bovins[Specificite],MATCH(RationHivernaleBovinsAuPré&amp;$BB307,Règles_bovins[Ration]&amp;Règles_bovins[Aliment],0))="c"),
INDEX(Règles_bovins[Valeur 24-36],MATCH(RationHivernaleBovinsAuPré&amp;$BB307,Règles_bovins[Ration]&amp;Règles_bovins[Aliment],0)),0),0)*IF(SUM(TotalBovins_24_36moisAuPré)&gt;0,SUM(TotalBovins_24_36moisAuPré),SUM(TotalBovins_24_36mois))*35</f>
        <v>0</v>
      </c>
      <c r="BE307" s="1075">
        <f t="array" ref="BE307">IFERROR(IF(OR(AND(INDEX(Règles_bovins[Specificite],MATCH(RationHivernaleBovinsAuPré&amp;$BB307,Règles_bovins[Ration]&amp;Règles_bovins[Aliment],0))="s1",IF($BB307=Spécificité1Bovins,1)),
AND(INDEX(Règles_bovins[Specificite],MATCH(RationHivernaleBovinsAuPré&amp;$BB307,Règles_bovins[Ration]&amp;Règles_bovins[Aliment],0))="s2",IF($BB307=Spécificité2Bovins,1)),
INDEX(Règles_bovins[Specificite],MATCH(RationHivernaleBovinsAuPré&amp;$BB307,Règles_bovins[Ration]&amp;Règles_bovins[Aliment],0))="c"),
INDEX(Règles_bovins[Valeur 18-24],MATCH(RationHivernaleBovinsAuPré&amp;$BB307,Règles_bovins[Ration]&amp;Règles_bovins[Aliment],0)),0),0)*IF(SUM(TotalBovins_18_24moisAuPré)&gt;0,SUM(TotalBovins_18_24moisAuPré),SUM(TotalBovins_18_24mois))*35</f>
        <v>0</v>
      </c>
      <c r="BF307" s="1075">
        <f t="array" ref="BF307">IFERROR(IF(OR(AND(INDEX(Règles_bovins[Specificite],MATCH(RationHivernaleBovinsAuPré&amp;$BB307,Règles_bovins[Ration]&amp;Règles_bovins[Aliment],0))="s1",IF($BB307=Spécificité1Bovins,1)),
AND(INDEX(Règles_bovins[Specificite],MATCH(RationHivernaleBovinsAuPré&amp;$BB307,Règles_bovins[Ration]&amp;Règles_bovins[Aliment],0))="s2",IF($BB307=Spécificité2Bovins,1)),
INDEX(Règles_bovins[Specificite],MATCH(RationHivernaleBovinsAuPré&amp;$BB307,Règles_bovins[Ration]&amp;Règles_bovins[Aliment],0))="c"),
INDEX(Règles_bovins[Valeur 12-18],MATCH(RationHivernaleBovinsAuPré&amp;$BB307,Règles_bovins[Ration]&amp;Règles_bovins[Aliment],0)),0),0)*IF(SUM(TotalBovins_12_18moisAuPré)&gt;0,SUM(TotalBovins_12_18moisAuPré),SUM(TotalBovins_12_18mois))*35</f>
        <v>0</v>
      </c>
      <c r="BG307" s="1075">
        <f t="array" ref="BG307">IFERROR(IF(OR(AND(INDEX(Règles_bovins[Specificite],MATCH(RationHivernaleBovinsAuPré&amp;$BB307,Règles_bovins[Ration]&amp;Règles_bovins[Aliment],0))="s1",IF($BB307=Spécificité1Bovins,1)),
AND(INDEX(Règles_bovins[Specificite],MATCH(RationHivernaleBovinsAuPré&amp;$BB307,Règles_bovins[Ration]&amp;Règles_bovins[Aliment],0))="s2",IF($BB307=Spécificité2Bovins,1)),
INDEX(Règles_bovins[Specificite],MATCH(RationHivernaleBovinsAuPré&amp;$BB307,Règles_bovins[Ration]&amp;Règles_bovins[Aliment],0))="c"),
INDEX(Règles_bovins[Valeur 6-12],MATCH(RationHivernaleBovinsAuPré&amp;$BB307,Règles_bovins[Ration]&amp;Règles_bovins[Aliment],0)),0),0)*IF(SUM(TotalBovins_6_12moisAuPré)&gt;0,SUM(TotalBovins_6_12moisAuPré),SUM(TotalBovins_6_12mois))*35</f>
        <v>0</v>
      </c>
      <c r="BH307" s="1075">
        <f t="array" ref="BH307">IFERROR(IF(OR(AND(INDEX(Règles_bovins[Specificite],MATCH(RationHivernaleBovinsAuPré&amp;$BB307,Règles_bovins[Ration]&amp;Règles_bovins[Aliment],0))="s1",IF($BB307=Spécificité1Bovins,1)),
AND(INDEX(Règles_bovins[Specificite],MATCH(RationHivernaleBovinsAuPré&amp;$BB307,Règles_bovins[Ration]&amp;Règles_bovins[Aliment],0))="s2",IF($BB307=Spécificité2Bovins,1)),
INDEX(Règles_bovins[Specificite],MATCH(RationHivernaleBovinsAuPré&amp;$BB307,Règles_bovins[Ration]&amp;Règles_bovins[Aliment],0))="c"),
INDEX(Règles_bovins[Valeur 3-6],MATCH(RationHivernaleBovinsAuPré&amp;$BB307,Règles_bovins[Ration]&amp;Règles_bovins[Aliment],0)),0),0)*IF(SUM(TotalBovins_3_6moisAuPré)&gt;0,SUM(TotalBovins_3_6moisAuPré),SUM(TotalBovins_3_6mois))*35</f>
        <v>0</v>
      </c>
      <c r="BI307" s="1075">
        <f t="array" ref="BI307">IFERROR(IF(OR(AND(INDEX(Règles_bovins[Specificite],MATCH(RationHivernaleBovinsAuPré&amp;$BB307,Règles_bovins[Ration]&amp;Règles_bovins[Aliment],0))="s1",IF($BB307=Spécificité1Bovins,1)),
AND(INDEX(Règles_bovins[Specificite],MATCH(RationHivernaleBovinsAuPré&amp;$BB307,Règles_bovins[Ration]&amp;Règles_bovins[Aliment],0))="s2",IF($BB307=Spécificité2Bovins,1)),
INDEX(Règles_bovins[Specificite],MATCH(RationHivernaleBovinsAuPré&amp;$BB307,Règles_bovins[Ration]&amp;Règles_bovins[Aliment],0))="c"),
INDEX(Règles_bovins[Valeur 0-3],MATCH(RationHivernaleBovinsAuPré&amp;$BB307,Règles_bovins[Ration]&amp;Règles_bovins[Aliment],0)),0),0)*IF(SUM(TotalBovins_0_3moisAuPré)&gt;0,SUM(TotalBovins_0_3moisAuPré),SUM(TotalBovins_0_3mois))*35</f>
        <v>0</v>
      </c>
      <c r="BJ307" s="1270">
        <f t="shared" si="78"/>
        <v>0</v>
      </c>
      <c r="BK307" s="1345"/>
      <c r="BL307" s="1345"/>
      <c r="BM307" s="1346"/>
      <c r="BN307" s="1321"/>
      <c r="BO307" s="1321"/>
      <c r="BP307" s="1321"/>
      <c r="BQ307" s="1321"/>
      <c r="BR307" s="1321"/>
      <c r="BS307" s="1321"/>
      <c r="BT307" s="1321"/>
      <c r="BU307" s="1321"/>
      <c r="BV307" s="1345"/>
      <c r="BW307" s="1345"/>
      <c r="BX307" s="1321"/>
      <c r="BY307" s="1321"/>
      <c r="BZ307" s="1321"/>
      <c r="CA307" s="1321"/>
      <c r="CB307" s="1321"/>
      <c r="CC307" s="1321"/>
      <c r="CD307" s="1345"/>
      <c r="CE307" s="1345"/>
      <c r="CF307" s="1345"/>
      <c r="CG307" s="1345"/>
      <c r="CH307" s="1345"/>
      <c r="CI307" s="1321"/>
      <c r="CJ307" s="1321"/>
      <c r="CK307" s="1321"/>
      <c r="CL307" s="1321"/>
      <c r="CM307" s="1321"/>
      <c r="CN307" s="1321"/>
      <c r="CO307" s="1321"/>
      <c r="CP307" s="1321"/>
      <c r="CQ307" s="1321"/>
      <c r="CR307" s="1321"/>
      <c r="CS307" s="1321"/>
      <c r="CT307" s="1321"/>
      <c r="CU307" s="1321"/>
      <c r="CV307" s="1321"/>
      <c r="CW307" s="1321"/>
      <c r="CX307" s="1321"/>
      <c r="CY307" s="1321"/>
      <c r="CZ307" s="1321"/>
      <c r="DA307" s="1321"/>
      <c r="DB307" s="1321"/>
      <c r="DC307" s="1321"/>
      <c r="DD307" s="1321"/>
      <c r="DE307" s="1321"/>
      <c r="DF307" s="1321"/>
      <c r="DG307" s="1321"/>
      <c r="DH307" s="1321"/>
      <c r="DI307" s="1321"/>
      <c r="DJ307" s="1321"/>
      <c r="DK307" s="1321"/>
      <c r="DL307" s="1321"/>
      <c r="DM307" s="1321"/>
      <c r="DN307" s="1076" t="str">
        <f t="shared" si="80"/>
        <v>Foin</v>
      </c>
      <c r="DO307" s="1267">
        <f t="array" ref="DO307">SUM((IF(QualitéAlimentsAgneauMâle_0_3_mois=BONNE,VLOOKUP("Foin",AlimentsRationOvinsMâles,5,FALSE),0)+(IF(QualitéAlimentsAgneauFemelle_0_3_mois=BONNE,VLOOKUP("Foin",AlimentsRationOvinsFemelles,5,FALSE),0)+(IF(QualitéAlimentsAgneauMâle_3_6_mois=BONNE,VLOOKUP("Foin",AlimentsRationOvinsMâles,4,FALSE),0)+(IF(QualitéAlimentsAgneauFemelle_3_6_mois=BONNE,VLOOKUP("Foin",AlimentsRationOvinsFemelles,4,FALSE),0)+(IF(QualitéAlimentsJeuneBélier=BONNE,VLOOKUP("Foin",AlimentsRationOvinsMâles,3,FALSE),0)+(IF(QualitéAlimentsJeuneBrebis=BONNE,VLOOKUP("Foin",AlimentsRationOvinsFemelles,3,FALSE),0)+(IF(QualitéAlimentsBélier=BONNE,VLOOKUP("Foin",AlimentsRationOvinsMâles,2,FALSE),0)+(IF(QualitéAlimentsBrebis=BONNE,VLOOKUP("Foin",AlimentsRationOvinsFemelles,2,FALSE),0))))))))))</f>
        <v>0</v>
      </c>
      <c r="DP307" s="1267">
        <f t="array" ref="DP307">SUM((IF(QualitéAlimentsAgneauMâle_0_3_mois=MOYENNE,VLOOKUP("Foin",AlimentsRationOvinsMâles,5,FALSE),0)+(IF(QualitéAlimentsAgneauFemelle_0_3_mois=MOYENNE,VLOOKUP("Foin",AlimentsRationOvinsFemelles,5,FALSE),0)+(IF(QualitéAlimentsAgneauMâle_3_6_mois=MOYENNE,VLOOKUP("Foin",AlimentsRationOvinsMâles,4,FALSE),0)+(IF(QualitéAlimentsAgneauFemelle_3_6_mois=MOYENNE,VLOOKUP("Foin",AlimentsRationOvinsFemelles,4,FALSE),0)+(IF(QualitéAlimentsJeuneBélier=MOYENNE,VLOOKUP("Foin",AlimentsRationOvinsMâles,3,FALSE),0)+(IF(QualitéAlimentsJeuneBrebis=MOYENNE,VLOOKUP("Foin",AlimentsRationOvinsFemelles,3,FALSE),0)+(IF(QualitéAlimentsBélier=MOYENNE,VLOOKUP("Foin",AlimentsRationOvinsMâles,2,FALSE),0)+(IF(QualitéAlimentsBrebis=MOYENNE,VLOOKUP("Foin",AlimentsRationOvinsFemelles,2,FALSE),0))))))))))</f>
        <v>0</v>
      </c>
      <c r="DQ307" s="1267">
        <f t="array" ref="DQ307">SUM((IF(QualitéAlimentsAgneauMâle_0_3_mois=MAUVAISE,VLOOKUP("Foin",AlimentsRationOvinsMâles,5,FALSE),0)+(IF(QualitéAlimentsAgneauFemelle_0_3_mois=MAUVAISE,VLOOKUP("Foin",AlimentsRationOvinsFemelles,5,FALSE),0)+(IF(QualitéAlimentsAgneauMâle_3_6_mois=MAUVAISE,VLOOKUP("Foin",AlimentsRationOvinsMâles,4,FALSE),0)+(IF(QualitéAlimentsAgneauFemelle_3_6_mois=MAUVAISE,VLOOKUP("Foin",AlimentsRationOvinsFemelles,4,FALSE),0)+(IF(QualitéAlimentsJeuneBélier=MAUVAISE,VLOOKUP("Foin",AlimentsRationOvinsMâles,3,FALSE),0)+(IF(QualitéAlimentsJeuneBrebis=MAUVAISE,VLOOKUP("Foin",AlimentsRationOvinsFemelles,3,FALSE),0)+(IF(QualitéAlimentsBélier=MAUVAISE,VLOOKUP("Foin",AlimentsRationOvinsMâles,2,FALSE),0)+(IF(QualitéAlimentsBrebis=MAUVAISE,VLOOKUP("Foin",AlimentsRationOvinsFemelles,2,FALSE),0))))))))))</f>
        <v>0</v>
      </c>
      <c r="DR307" s="1321"/>
      <c r="DS307" s="1321"/>
      <c r="DT307" s="1346"/>
      <c r="DU307" s="1346"/>
      <c r="DV307" s="1321"/>
      <c r="DW307" s="1321"/>
      <c r="DX307" s="1321"/>
      <c r="DY307" s="1321"/>
      <c r="DZ307" s="1321"/>
      <c r="EA307" s="1321"/>
      <c r="EB307" s="1321"/>
      <c r="EC307" s="1321"/>
      <c r="ED307" s="1345"/>
      <c r="EE307" s="1345"/>
      <c r="EF307" s="1321"/>
      <c r="EG307" s="1321"/>
      <c r="EH307" s="1321"/>
      <c r="EI307" s="1321"/>
      <c r="EJ307" s="1321"/>
      <c r="EK307" s="1345"/>
      <c r="EL307" s="1345"/>
      <c r="EM307" s="1321"/>
      <c r="EN307" s="1321"/>
      <c r="EO307" s="1321"/>
      <c r="EP307" s="1321"/>
      <c r="EQ307" s="1321"/>
      <c r="ER307" s="1345"/>
      <c r="ES307" s="1345"/>
      <c r="ET307" s="1321"/>
      <c r="EU307" s="1321"/>
      <c r="EV307" s="1321"/>
      <c r="EW307" s="1321"/>
      <c r="EX307" s="1321"/>
      <c r="EY307" s="1321"/>
      <c r="EZ307" s="1345"/>
      <c r="FA307" s="1345"/>
      <c r="FB307" s="1345"/>
      <c r="FC307" s="1321"/>
      <c r="FD307" s="1321"/>
      <c r="FE307" s="1321"/>
      <c r="FF307" s="1321"/>
      <c r="FG307" s="1321"/>
      <c r="FH307" s="1321"/>
      <c r="FI307" s="1345"/>
      <c r="FJ307" s="1345"/>
      <c r="FK307" s="1345"/>
      <c r="FL307" s="1345"/>
      <c r="FM307" s="1321"/>
      <c r="FN307" s="1321"/>
      <c r="FO307" s="1321"/>
      <c r="FP307" s="1321"/>
      <c r="FQ307" s="1321"/>
      <c r="FR307" s="1321"/>
      <c r="FS307" s="1345"/>
      <c r="FT307" s="1345"/>
      <c r="FU307" s="1345"/>
      <c r="FV307" s="1345"/>
      <c r="FW307" s="1321"/>
      <c r="FX307" s="1321"/>
      <c r="FY307" s="1321"/>
      <c r="FZ307" s="1321"/>
      <c r="GA307" s="1345"/>
      <c r="GB307" s="1321"/>
      <c r="GC307" s="1321"/>
      <c r="GD307" s="1321"/>
      <c r="GE307" s="1321"/>
      <c r="GF307" s="1321"/>
      <c r="GG307" s="1321" t="s">
        <v>1349</v>
      </c>
      <c r="GH307" s="1321" t="s">
        <v>1349</v>
      </c>
      <c r="GI307" s="1321" t="s">
        <v>1349</v>
      </c>
      <c r="GJ307" s="1321" t="s">
        <v>1349</v>
      </c>
      <c r="GK307" s="1321" t="s">
        <v>1349</v>
      </c>
      <c r="GL307" s="1321" t="s">
        <v>1349</v>
      </c>
      <c r="GM307" s="1321" t="s">
        <v>1349</v>
      </c>
      <c r="GN307" s="1321" t="s">
        <v>1349</v>
      </c>
      <c r="GO307" s="1321" t="s">
        <v>1349</v>
      </c>
      <c r="GP307" s="1321" t="s">
        <v>1349</v>
      </c>
      <c r="GQ307" s="1321" t="s">
        <v>1349</v>
      </c>
      <c r="GR307" s="1321" t="s">
        <v>1349</v>
      </c>
      <c r="GS307" s="1321" t="s">
        <v>1349</v>
      </c>
      <c r="GT307" s="1321" t="s">
        <v>1349</v>
      </c>
      <c r="GU307" s="1321" t="s">
        <v>1349</v>
      </c>
      <c r="GV307" s="1321" t="s">
        <v>1349</v>
      </c>
      <c r="GW307" s="1321"/>
      <c r="GX307" s="1321"/>
      <c r="GY307" s="1321"/>
      <c r="GZ307" s="1321"/>
      <c r="HA307" s="1321"/>
      <c r="HB307" s="1321"/>
      <c r="HC307" s="1321"/>
      <c r="HD307" s="1321"/>
      <c r="HE307" s="1321"/>
      <c r="HF307" s="1321"/>
      <c r="HG307" s="1321"/>
      <c r="HH307" s="1321"/>
      <c r="HI307" s="1321"/>
      <c r="HJ307" s="1321"/>
      <c r="HK307" s="1321"/>
      <c r="HL307" s="1321"/>
      <c r="HM307" s="1321"/>
      <c r="HN307" s="1321"/>
      <c r="HO307" s="1321"/>
      <c r="HP307" s="1321"/>
      <c r="HQ307" s="1321"/>
      <c r="HR307" s="1321"/>
      <c r="HS307" s="1321"/>
      <c r="HT307" s="1321"/>
      <c r="HU307" s="1321"/>
      <c r="HV307" s="1321"/>
      <c r="HW307" s="1321"/>
      <c r="HX307" s="1321"/>
      <c r="HY307" s="1321"/>
      <c r="HZ307" s="1321"/>
      <c r="IA307" s="1321"/>
      <c r="IB307" s="1321"/>
      <c r="IC307" s="1321"/>
      <c r="ID307" s="1321"/>
      <c r="IE307" s="1321"/>
      <c r="IF307" s="1321"/>
      <c r="IG307" s="1321"/>
      <c r="IH307" s="1321"/>
      <c r="II307" s="1321"/>
      <c r="IJ307" s="1321"/>
      <c r="IK307" s="1321"/>
      <c r="IL307" s="1321"/>
      <c r="IM307" s="1321"/>
      <c r="IN307" s="1368"/>
    </row>
    <row r="308" spans="1:248" ht="12.75" customHeight="1" x14ac:dyDescent="0.2">
      <c r="A308" s="1319"/>
      <c r="B308" s="1321"/>
      <c r="C308" s="1321"/>
      <c r="D308" s="1321"/>
      <c r="E308" s="1321"/>
      <c r="F308" s="1321"/>
      <c r="G308" s="1321"/>
      <c r="H308" s="1321"/>
      <c r="I308" s="1321"/>
      <c r="J308" s="1321"/>
      <c r="K308" s="1321"/>
      <c r="L308" s="1321"/>
      <c r="M308" s="1321"/>
      <c r="N308" s="1321"/>
      <c r="O308" s="1321"/>
      <c r="P308" s="1321"/>
      <c r="Q308" s="1321"/>
      <c r="R308" s="1321"/>
      <c r="S308" s="1321"/>
      <c r="T308" s="1321"/>
      <c r="U308" s="1321"/>
      <c r="V308" s="1321"/>
      <c r="W308" s="1321"/>
      <c r="X308" s="1321"/>
      <c r="Y308" s="1321"/>
      <c r="Z308" s="1321"/>
      <c r="AA308" s="1321"/>
      <c r="AB308" s="1321"/>
      <c r="AC308" s="1321"/>
      <c r="AD308" s="1321"/>
      <c r="AE308" s="1321"/>
      <c r="AF308" s="1321"/>
      <c r="AG308" s="1321"/>
      <c r="AH308" s="1321"/>
      <c r="AI308" s="1321"/>
      <c r="AJ308" s="1321"/>
      <c r="AK308" s="1321"/>
      <c r="AL308" s="1321"/>
      <c r="AM308" s="1321"/>
      <c r="AN308" s="1321"/>
      <c r="AO308" s="1321"/>
      <c r="AP308" s="1321"/>
      <c r="AQ308" s="1321"/>
      <c r="AR308" s="1321"/>
      <c r="AS308" s="1321"/>
      <c r="AT308" s="1321"/>
      <c r="AU308" s="1321"/>
      <c r="AV308" s="1321"/>
      <c r="AW308" s="1321"/>
      <c r="AX308" s="1321"/>
      <c r="AY308" s="1321"/>
      <c r="AZ308" s="1321"/>
      <c r="BA308" s="1321"/>
      <c r="BB308" s="1076" t="str">
        <f t="shared" si="79"/>
        <v>Pulpe déshydratée de betterave</v>
      </c>
      <c r="BC308" s="1076">
        <f t="array" ref="BC308">IFERROR(IF(OR(AND(INDEX(Règles_bovins[Specificite],MATCH(RationHivernaleBovinsAuPré&amp;$BB308,Règles_bovins[Ration]&amp;Règles_bovins[Aliment],0))="s1",IF($BB308=Spécificité1Bovins,1)),
AND(INDEX(Règles_bovins[Specificite],MATCH(RationHivernaleBovinsAuPré&amp;$BB308,Règles_bovins[Ration]&amp;Règles_bovins[Aliment],0))="s2",IF($BB308=Spécificité2Bovins,1)),
INDEX(Règles_bovins[Specificite],MATCH(RationHivernaleBovinsAuPré&amp;$BB308,Règles_bovins[Ration]&amp;Règles_bovins[Aliment],0))="c"),
INDEX(Règles_bovins[Valeur 36 et plus],MATCH(RationHivernaleBovinsAuPré&amp;$BB308,Règles_bovins[Ration]&amp;Règles_bovins[Aliment],0)),0),0)*IF(SUM(TotalBovinsAdultesAuPré)&gt;0,SUM(TotalBovinsAdultesAuPré),SUM(TotalBovinsAdultes))*35</f>
        <v>0</v>
      </c>
      <c r="BD308" s="1076">
        <f t="array" ref="BD308">IFERROR(IF(OR(AND(INDEX(Règles_bovins[Specificite],MATCH(RationHivernaleBovinsAuPré&amp;$BB308,Règles_bovins[Ration]&amp;Règles_bovins[Aliment],0))="s1",IF($BB308=Spécificité1Bovins,1)),
AND(INDEX(Règles_bovins[Specificite],MATCH(RationHivernaleBovinsAuPré&amp;$BB308,Règles_bovins[Ration]&amp;Règles_bovins[Aliment],0))="s2",IF($BB308=Spécificité2Bovins,1)),
INDEX(Règles_bovins[Specificite],MATCH(RationHivernaleBovinsAuPré&amp;$BB308,Règles_bovins[Ration]&amp;Règles_bovins[Aliment],0))="c"),
INDEX(Règles_bovins[Valeur 24-36],MATCH(RationHivernaleBovinsAuPré&amp;$BB308,Règles_bovins[Ration]&amp;Règles_bovins[Aliment],0)),0),0)*IF(SUM(TotalBovins_24_36moisAuPré)&gt;0,SUM(TotalBovins_24_36moisAuPré),SUM(TotalBovins_24_36mois))*35</f>
        <v>0</v>
      </c>
      <c r="BE308" s="1076">
        <f t="array" ref="BE308">IFERROR(IF(OR(AND(INDEX(Règles_bovins[Specificite],MATCH(RationHivernaleBovinsAuPré&amp;$BB308,Règles_bovins[Ration]&amp;Règles_bovins[Aliment],0))="s1",IF($BB308=Spécificité1Bovins,1)),
AND(INDEX(Règles_bovins[Specificite],MATCH(RationHivernaleBovinsAuPré&amp;$BB308,Règles_bovins[Ration]&amp;Règles_bovins[Aliment],0))="s2",IF($BB308=Spécificité2Bovins,1)),
INDEX(Règles_bovins[Specificite],MATCH(RationHivernaleBovinsAuPré&amp;$BB308,Règles_bovins[Ration]&amp;Règles_bovins[Aliment],0))="c"),
INDEX(Règles_bovins[Valeur 18-24],MATCH(RationHivernaleBovinsAuPré&amp;$BB308,Règles_bovins[Ration]&amp;Règles_bovins[Aliment],0)),0),0)*IF(SUM(TotalBovins_18_24moisAuPré)&gt;0,SUM(TotalBovins_18_24moisAuPré),SUM(TotalBovins_18_24mois))*35</f>
        <v>0</v>
      </c>
      <c r="BF308" s="1076">
        <f t="array" ref="BF308">IFERROR(IF(OR(AND(INDEX(Règles_bovins[Specificite],MATCH(RationHivernaleBovinsAuPré&amp;$BB308,Règles_bovins[Ration]&amp;Règles_bovins[Aliment],0))="s1",IF($BB308=Spécificité1Bovins,1)),
AND(INDEX(Règles_bovins[Specificite],MATCH(RationHivernaleBovinsAuPré&amp;$BB308,Règles_bovins[Ration]&amp;Règles_bovins[Aliment],0))="s2",IF($BB308=Spécificité2Bovins,1)),
INDEX(Règles_bovins[Specificite],MATCH(RationHivernaleBovinsAuPré&amp;$BB308,Règles_bovins[Ration]&amp;Règles_bovins[Aliment],0))="c"),
INDEX(Règles_bovins[Valeur 12-18],MATCH(RationHivernaleBovinsAuPré&amp;$BB308,Règles_bovins[Ration]&amp;Règles_bovins[Aliment],0)),0),0)*IF(SUM(TotalBovins_12_18moisAuPré)&gt;0,SUM(TotalBovins_12_18moisAuPré),SUM(TotalBovins_12_18mois))*35</f>
        <v>0</v>
      </c>
      <c r="BG308" s="1076">
        <f t="array" ref="BG308">IFERROR(IF(OR(AND(INDEX(Règles_bovins[Specificite],MATCH(RationHivernaleBovinsAuPré&amp;$BB308,Règles_bovins[Ration]&amp;Règles_bovins[Aliment],0))="s1",IF($BB308=Spécificité1Bovins,1)),
AND(INDEX(Règles_bovins[Specificite],MATCH(RationHivernaleBovinsAuPré&amp;$BB308,Règles_bovins[Ration]&amp;Règles_bovins[Aliment],0))="s2",IF($BB308=Spécificité2Bovins,1)),
INDEX(Règles_bovins[Specificite],MATCH(RationHivernaleBovinsAuPré&amp;$BB308,Règles_bovins[Ration]&amp;Règles_bovins[Aliment],0))="c"),
INDEX(Règles_bovins[Valeur 6-12],MATCH(RationHivernaleBovinsAuPré&amp;$BB308,Règles_bovins[Ration]&amp;Règles_bovins[Aliment],0)),0),0)*IF(SUM(TotalBovins_6_12moisAuPré)&gt;0,SUM(TotalBovins_6_12moisAuPré),SUM(TotalBovins_6_12mois))*35</f>
        <v>0</v>
      </c>
      <c r="BH308" s="1076">
        <f t="array" ref="BH308">IFERROR(IF(OR(AND(INDEX(Règles_bovins[Specificite],MATCH(RationHivernaleBovinsAuPré&amp;$BB308,Règles_bovins[Ration]&amp;Règles_bovins[Aliment],0))="s1",IF($BB308=Spécificité1Bovins,1)),
AND(INDEX(Règles_bovins[Specificite],MATCH(RationHivernaleBovinsAuPré&amp;$BB308,Règles_bovins[Ration]&amp;Règles_bovins[Aliment],0))="s2",IF($BB308=Spécificité2Bovins,1)),
INDEX(Règles_bovins[Specificite],MATCH(RationHivernaleBovinsAuPré&amp;$BB308,Règles_bovins[Ration]&amp;Règles_bovins[Aliment],0))="c"),
INDEX(Règles_bovins[Valeur 3-6],MATCH(RationHivernaleBovinsAuPré&amp;$BB308,Règles_bovins[Ration]&amp;Règles_bovins[Aliment],0)),0),0)*IF(SUM(TotalBovins_3_6moisAuPré)&gt;0,SUM(TotalBovins_3_6moisAuPré),SUM(TotalBovins_3_6mois))*35</f>
        <v>0</v>
      </c>
      <c r="BI308" s="1076">
        <f t="array" ref="BI308">IFERROR(IF(OR(AND(INDEX(Règles_bovins[Specificite],MATCH(RationHivernaleBovinsAuPré&amp;$BB308,Règles_bovins[Ration]&amp;Règles_bovins[Aliment],0))="s1",IF($BB308=Spécificité1Bovins,1)),
AND(INDEX(Règles_bovins[Specificite],MATCH(RationHivernaleBovinsAuPré&amp;$BB308,Règles_bovins[Ration]&amp;Règles_bovins[Aliment],0))="s2",IF($BB308=Spécificité2Bovins,1)),
INDEX(Règles_bovins[Specificite],MATCH(RationHivernaleBovinsAuPré&amp;$BB308,Règles_bovins[Ration]&amp;Règles_bovins[Aliment],0))="c"),
INDEX(Règles_bovins[Valeur 0-3],MATCH(RationHivernaleBovinsAuPré&amp;$BB308,Règles_bovins[Ration]&amp;Règles_bovins[Aliment],0)),0),0)*IF(SUM(TotalBovins_0_3moisAuPré)&gt;0,SUM(TotalBovins_0_3moisAuPré),SUM(TotalBovins_0_3mois))*35</f>
        <v>0</v>
      </c>
      <c r="BJ308" s="1268">
        <f t="shared" si="78"/>
        <v>0</v>
      </c>
      <c r="BK308" s="1345"/>
      <c r="BL308" s="1345"/>
      <c r="BM308" s="1346"/>
      <c r="BN308" s="1321"/>
      <c r="BO308" s="1321"/>
      <c r="BP308" s="1321"/>
      <c r="BQ308" s="1321"/>
      <c r="BR308" s="1321"/>
      <c r="BS308" s="1321"/>
      <c r="BT308" s="1321"/>
      <c r="BU308" s="1321"/>
      <c r="BV308" s="1345"/>
      <c r="BW308" s="1345"/>
      <c r="BX308" s="1321"/>
      <c r="BY308" s="1321"/>
      <c r="BZ308" s="1321"/>
      <c r="CA308" s="1321"/>
      <c r="CB308" s="1321"/>
      <c r="CC308" s="1321"/>
      <c r="CD308" s="1345"/>
      <c r="CE308" s="1345"/>
      <c r="CF308" s="1345"/>
      <c r="CG308" s="1345"/>
      <c r="CH308" s="1345"/>
      <c r="CI308" s="1321"/>
      <c r="CJ308" s="1321"/>
      <c r="CK308" s="1321"/>
      <c r="CL308" s="1321"/>
      <c r="CM308" s="1321"/>
      <c r="CN308" s="1321"/>
      <c r="CO308" s="1321"/>
      <c r="CP308" s="1321"/>
      <c r="CQ308" s="1321"/>
      <c r="CR308" s="1321"/>
      <c r="CS308" s="1321"/>
      <c r="CT308" s="1321"/>
      <c r="CU308" s="1321"/>
      <c r="CV308" s="1321"/>
      <c r="CW308" s="1321"/>
      <c r="CX308" s="1321"/>
      <c r="CY308" s="1321"/>
      <c r="CZ308" s="1321"/>
      <c r="DA308" s="1321"/>
      <c r="DB308" s="1321"/>
      <c r="DC308" s="1321"/>
      <c r="DD308" s="1321"/>
      <c r="DE308" s="1321"/>
      <c r="DF308" s="1321"/>
      <c r="DG308" s="1321"/>
      <c r="DH308" s="1321"/>
      <c r="DI308" s="1321"/>
      <c r="DJ308" s="1321"/>
      <c r="DK308" s="1321"/>
      <c r="DL308" s="1321"/>
      <c r="DM308" s="1321"/>
      <c r="DN308" s="1075" t="str">
        <f t="shared" si="80"/>
        <v>Haricot vert</v>
      </c>
      <c r="DO308" s="1269">
        <f t="array" ref="DO308">SUM((IF(QualitéAlimentsAgneauMâle_0_3_mois=BONNE,VLOOKUP("Haricot vert",AlimentsRationOvinsMâles,5,FALSE),0)+(IF(QualitéAlimentsAgneauFemelle_0_3_mois=BONNE,VLOOKUP("Haricot vert",AlimentsRationOvinsFemelles,5,FALSE),0)+(IF(QualitéAlimentsAgneauMâle_3_6_mois=BONNE,VLOOKUP("Haricot vert",AlimentsRationOvinsMâles,4,FALSE),0)+(IF(QualitéAlimentsAgneauFemelle_3_6_mois=BONNE,VLOOKUP("Haricot vert",AlimentsRationOvinsFemelles,4,FALSE),0)+(IF(QualitéAlimentsJeuneBélier=BONNE,VLOOKUP("Haricot vert",AlimentsRationOvinsMâles,3,FALSE),0)+(IF(QualitéAlimentsJeuneBrebis=BONNE,VLOOKUP("Haricot vert",AlimentsRationOvinsFemelles,3,FALSE),0)+(IF(QualitéAlimentsBélier=BONNE,VLOOKUP("Haricot vert",AlimentsRationOvinsMâles,2,FALSE),0)+(IF(QualitéAlimentsBrebis=BONNE,VLOOKUP("Haricot vert",AlimentsRationOvinsFemelles,2,FALSE),0))))))))))</f>
        <v>0</v>
      </c>
      <c r="DP308" s="1269">
        <f t="array" ref="DP308">SUM((IF(QualitéAlimentsAgneauMâle_0_3_mois=MOYENNE,VLOOKUP("Haricot vert",AlimentsRationOvinsMâles,5,FALSE),0)+(IF(QualitéAlimentsAgneauFemelle_0_3_mois=MOYENNE,VLOOKUP("Haricot vert",AlimentsRationOvinsFemelles,5,FALSE),0)+(IF(QualitéAlimentsAgneauMâle_3_6_mois=MOYENNE,VLOOKUP("Haricot vert",AlimentsRationOvinsMâles,4,FALSE),0)+(IF(QualitéAlimentsAgneauFemelle_3_6_mois=MOYENNE,VLOOKUP("Haricot vert",AlimentsRationOvinsFemelles,4,FALSE),0)+(IF(QualitéAlimentsJeuneBélier=MOYENNE,VLOOKUP("Haricot vert",AlimentsRationOvinsMâles,3,FALSE),0)+(IF(QualitéAlimentsJeuneBrebis=MOYENNE,VLOOKUP("Haricot vert",AlimentsRationOvinsFemelles,3,FALSE),0)+(IF(QualitéAlimentsBélier=MOYENNE,VLOOKUP("Haricot vert",AlimentsRationOvinsMâles,2,FALSE),0)+(IF(QualitéAlimentsBrebis=MOYENNE,VLOOKUP("Haricot vert",AlimentsRationOvinsFemelles,2,FALSE),0))))))))))</f>
        <v>0</v>
      </c>
      <c r="DQ308" s="1269">
        <f t="array" ref="DQ308">SUM((IF(QualitéAlimentsAgneauMâle_0_3_mois=MAUVAISE,VLOOKUP("Haricot vert",AlimentsRationOvinsMâles,5,FALSE),0)+(IF(QualitéAlimentsAgneauFemelle_0_3_mois=MAUVAISE,VLOOKUP("Haricot vert",AlimentsRationOvinsFemelles,5,FALSE),0)+(IF(QualitéAlimentsAgneauMâle_3_6_mois=MAUVAISE,VLOOKUP("Haricot vert",AlimentsRationOvinsMâles,4,FALSE),0)+(IF(QualitéAlimentsAgneauFemelle_3_6_mois=MAUVAISE,VLOOKUP("Haricot vert",AlimentsRationOvinsFemelles,4,FALSE),0)+(IF(QualitéAlimentsJeuneBélier=MAUVAISE,VLOOKUP("Haricot vert",AlimentsRationOvinsMâles,3,FALSE),0)+(IF(QualitéAlimentsJeuneBrebis=MAUVAISE,VLOOKUP("Haricot vert",AlimentsRationOvinsFemelles,3,FALSE),0)+(IF(QualitéAlimentsBélier=MAUVAISE,VLOOKUP("Haricot vert",AlimentsRationOvinsMâles,2,FALSE),0)+(IF(QualitéAlimentsBrebis=MAUVAISE,VLOOKUP("Haricot vert",AlimentsRationOvinsFemelles,2,FALSE),0))))))))))</f>
        <v>0</v>
      </c>
      <c r="DR308" s="1321"/>
      <c r="DS308" s="1321"/>
      <c r="DT308" s="1346"/>
      <c r="DU308" s="1346"/>
      <c r="DV308" s="1321"/>
      <c r="DW308" s="1321"/>
      <c r="DX308" s="1321"/>
      <c r="DY308" s="1321"/>
      <c r="DZ308" s="1321"/>
      <c r="EA308" s="1321"/>
      <c r="EB308" s="1321"/>
      <c r="EC308" s="1321"/>
      <c r="ED308" s="1345"/>
      <c r="EE308" s="1345"/>
      <c r="EF308" s="1321"/>
      <c r="EG308" s="1321"/>
      <c r="EH308" s="1321"/>
      <c r="EI308" s="1321"/>
      <c r="EJ308" s="1321"/>
      <c r="EK308" s="1345"/>
      <c r="EL308" s="1345"/>
      <c r="EM308" s="1321"/>
      <c r="EN308" s="1321"/>
      <c r="EO308" s="1321"/>
      <c r="EP308" s="1321"/>
      <c r="EQ308" s="1321"/>
      <c r="ER308" s="1345"/>
      <c r="ES308" s="1345"/>
      <c r="ET308" s="1321"/>
      <c r="EU308" s="1321"/>
      <c r="EV308" s="1321"/>
      <c r="EW308" s="1321"/>
      <c r="EX308" s="1321"/>
      <c r="EY308" s="1321"/>
      <c r="EZ308" s="1345"/>
      <c r="FA308" s="1345"/>
      <c r="FB308" s="1345"/>
      <c r="FC308" s="1321"/>
      <c r="FD308" s="1321"/>
      <c r="FE308" s="1321"/>
      <c r="FF308" s="1321"/>
      <c r="FG308" s="1321"/>
      <c r="FH308" s="1321"/>
      <c r="FI308" s="1345"/>
      <c r="FJ308" s="1345"/>
      <c r="FK308" s="1345"/>
      <c r="FL308" s="1345"/>
      <c r="FM308" s="1321"/>
      <c r="FN308" s="1321"/>
      <c r="FO308" s="1321"/>
      <c r="FP308" s="1321"/>
      <c r="FQ308" s="1321"/>
      <c r="FR308" s="1321"/>
      <c r="FS308" s="1345"/>
      <c r="FT308" s="1345"/>
      <c r="FU308" s="1345"/>
      <c r="FV308" s="1345"/>
      <c r="FW308" s="1321"/>
      <c r="FX308" s="1321"/>
      <c r="FY308" s="1321"/>
      <c r="FZ308" s="1321"/>
      <c r="GA308" s="1345"/>
      <c r="GB308" s="1321"/>
      <c r="GC308" s="1321"/>
      <c r="GD308" s="1321"/>
      <c r="GE308" s="1321"/>
      <c r="GF308" s="1321"/>
      <c r="GG308" s="1321" t="s">
        <v>1349</v>
      </c>
      <c r="GH308" s="1321" t="s">
        <v>1349</v>
      </c>
      <c r="GI308" s="1321" t="s">
        <v>1349</v>
      </c>
      <c r="GJ308" s="1321" t="s">
        <v>1349</v>
      </c>
      <c r="GK308" s="1321" t="s">
        <v>1349</v>
      </c>
      <c r="GL308" s="1321" t="s">
        <v>1349</v>
      </c>
      <c r="GM308" s="1321" t="s">
        <v>1349</v>
      </c>
      <c r="GN308" s="1321" t="s">
        <v>1349</v>
      </c>
      <c r="GO308" s="1321" t="s">
        <v>1349</v>
      </c>
      <c r="GP308" s="1321" t="s">
        <v>1349</v>
      </c>
      <c r="GQ308" s="1321" t="s">
        <v>1349</v>
      </c>
      <c r="GR308" s="1321" t="s">
        <v>1349</v>
      </c>
      <c r="GS308" s="1321" t="s">
        <v>1349</v>
      </c>
      <c r="GT308" s="1321" t="s">
        <v>1349</v>
      </c>
      <c r="GU308" s="1321" t="s">
        <v>1349</v>
      </c>
      <c r="GV308" s="1321" t="s">
        <v>1349</v>
      </c>
      <c r="GW308" s="1321"/>
      <c r="GX308" s="1321"/>
      <c r="GY308" s="1321"/>
      <c r="GZ308" s="1321"/>
      <c r="HA308" s="1321"/>
      <c r="HB308" s="1321"/>
      <c r="HC308" s="1321"/>
      <c r="HD308" s="1321"/>
      <c r="HE308" s="1321"/>
      <c r="HF308" s="1321"/>
      <c r="HG308" s="1321"/>
      <c r="HH308" s="1321"/>
      <c r="HI308" s="1321"/>
      <c r="HJ308" s="1321"/>
      <c r="HK308" s="1321"/>
      <c r="HL308" s="1321"/>
      <c r="HM308" s="1321"/>
      <c r="HN308" s="1321"/>
      <c r="HO308" s="1321"/>
      <c r="HP308" s="1321"/>
      <c r="HQ308" s="1321"/>
      <c r="HR308" s="1321"/>
      <c r="HS308" s="1321"/>
      <c r="HT308" s="1321"/>
      <c r="HU308" s="1321"/>
      <c r="HV308" s="1321"/>
      <c r="HW308" s="1321"/>
      <c r="HX308" s="1321"/>
      <c r="HY308" s="1321"/>
      <c r="HZ308" s="1321"/>
      <c r="IA308" s="1321"/>
      <c r="IB308" s="1321"/>
      <c r="IC308" s="1321"/>
      <c r="ID308" s="1321"/>
      <c r="IE308" s="1321"/>
      <c r="IF308" s="1321"/>
      <c r="IG308" s="1321"/>
      <c r="IH308" s="1321"/>
      <c r="II308" s="1321"/>
      <c r="IJ308" s="1321"/>
      <c r="IK308" s="1321"/>
      <c r="IL308" s="1321"/>
      <c r="IM308" s="1321"/>
      <c r="IN308" s="1368"/>
    </row>
    <row r="309" spans="1:248" ht="12.75" customHeight="1" x14ac:dyDescent="0.2">
      <c r="A309" s="1319"/>
      <c r="B309" s="1321"/>
      <c r="C309" s="1321"/>
      <c r="D309" s="1321"/>
      <c r="E309" s="1321"/>
      <c r="F309" s="1321"/>
      <c r="G309" s="1321"/>
      <c r="H309" s="1321"/>
      <c r="I309" s="1321"/>
      <c r="J309" s="1321"/>
      <c r="K309" s="1321"/>
      <c r="L309" s="1321"/>
      <c r="M309" s="1321"/>
      <c r="N309" s="1321"/>
      <c r="O309" s="1321"/>
      <c r="P309" s="1321"/>
      <c r="Q309" s="1321"/>
      <c r="R309" s="1321"/>
      <c r="S309" s="1321"/>
      <c r="T309" s="1321"/>
      <c r="U309" s="1321"/>
      <c r="V309" s="1321"/>
      <c r="W309" s="1321"/>
      <c r="X309" s="1321"/>
      <c r="Y309" s="1321"/>
      <c r="Z309" s="1321"/>
      <c r="AA309" s="1321"/>
      <c r="AB309" s="1321"/>
      <c r="AC309" s="1321"/>
      <c r="AD309" s="1321"/>
      <c r="AE309" s="1321"/>
      <c r="AF309" s="1321"/>
      <c r="AG309" s="1321"/>
      <c r="AH309" s="1321"/>
      <c r="AI309" s="1321"/>
      <c r="AJ309" s="1321"/>
      <c r="AK309" s="1321"/>
      <c r="AL309" s="1321"/>
      <c r="AM309" s="1321"/>
      <c r="AN309" s="1321"/>
      <c r="AO309" s="1321"/>
      <c r="AP309" s="1321"/>
      <c r="AQ309" s="1321"/>
      <c r="AR309" s="1321"/>
      <c r="AS309" s="1321"/>
      <c r="AT309" s="1321"/>
      <c r="AU309" s="1321"/>
      <c r="AV309" s="1321"/>
      <c r="AW309" s="1321"/>
      <c r="AX309" s="1321"/>
      <c r="AY309" s="1321"/>
      <c r="AZ309" s="1321"/>
      <c r="BA309" s="1321"/>
      <c r="BB309" s="1075" t="str">
        <f t="shared" si="79"/>
        <v>Ration complète</v>
      </c>
      <c r="BC309" s="1075">
        <f t="array" ref="BC309">IFERROR(IF(OR(AND(INDEX(Règles_bovins[Specificite],MATCH(RationHivernaleBovinsAuPré&amp;$BB309,Règles_bovins[Ration]&amp;Règles_bovins[Aliment],0))="s1",IF($BB309=Spécificité1Bovins,1)),
AND(INDEX(Règles_bovins[Specificite],MATCH(RationHivernaleBovinsAuPré&amp;$BB309,Règles_bovins[Ration]&amp;Règles_bovins[Aliment],0))="s2",IF($BB309=Spécificité2Bovins,1)),
INDEX(Règles_bovins[Specificite],MATCH(RationHivernaleBovinsAuPré&amp;$BB309,Règles_bovins[Ration]&amp;Règles_bovins[Aliment],0))="c"),
INDEX(Règles_bovins[Valeur 36 et plus],MATCH(RationHivernaleBovinsAuPré&amp;$BB309,Règles_bovins[Ration]&amp;Règles_bovins[Aliment],0)),0),0)*IF(SUM(TotalBovinsAdultesAuPré)&gt;0,SUM(TotalBovinsAdultesAuPré),SUM(TotalBovinsAdultes))*35</f>
        <v>0</v>
      </c>
      <c r="BD309" s="1075">
        <f t="array" ref="BD309">IFERROR(IF(OR(AND(INDEX(Règles_bovins[Specificite],MATCH(RationHivernaleBovinsAuPré&amp;$BB309,Règles_bovins[Ration]&amp;Règles_bovins[Aliment],0))="s1",IF($BB309=Spécificité1Bovins,1)),
AND(INDEX(Règles_bovins[Specificite],MATCH(RationHivernaleBovinsAuPré&amp;$BB309,Règles_bovins[Ration]&amp;Règles_bovins[Aliment],0))="s2",IF($BB309=Spécificité2Bovins,1)),
INDEX(Règles_bovins[Specificite],MATCH(RationHivernaleBovinsAuPré&amp;$BB309,Règles_bovins[Ration]&amp;Règles_bovins[Aliment],0))="c"),
INDEX(Règles_bovins[Valeur 24-36],MATCH(RationHivernaleBovinsAuPré&amp;$BB309,Règles_bovins[Ration]&amp;Règles_bovins[Aliment],0)),0),0)*IF(SUM(TotalBovins_24_36moisAuPré)&gt;0,SUM(TotalBovins_24_36moisAuPré),SUM(TotalBovins_24_36mois))*35</f>
        <v>0</v>
      </c>
      <c r="BE309" s="1075">
        <f t="array" ref="BE309">IFERROR(IF(OR(AND(INDEX(Règles_bovins[Specificite],MATCH(RationHivernaleBovinsAuPré&amp;$BB309,Règles_bovins[Ration]&amp;Règles_bovins[Aliment],0))="s1",IF($BB309=Spécificité1Bovins,1)),
AND(INDEX(Règles_bovins[Specificite],MATCH(RationHivernaleBovinsAuPré&amp;$BB309,Règles_bovins[Ration]&amp;Règles_bovins[Aliment],0))="s2",IF($BB309=Spécificité2Bovins,1)),
INDEX(Règles_bovins[Specificite],MATCH(RationHivernaleBovinsAuPré&amp;$BB309,Règles_bovins[Ration]&amp;Règles_bovins[Aliment],0))="c"),
INDEX(Règles_bovins[Valeur 18-24],MATCH(RationHivernaleBovinsAuPré&amp;$BB309,Règles_bovins[Ration]&amp;Règles_bovins[Aliment],0)),0),0)*IF(SUM(TotalBovins_18_24moisAuPré)&gt;0,SUM(TotalBovins_18_24moisAuPré),SUM(TotalBovins_18_24mois))*35</f>
        <v>0</v>
      </c>
      <c r="BF309" s="1075">
        <f t="array" ref="BF309">IFERROR(IF(OR(AND(INDEX(Règles_bovins[Specificite],MATCH(RationHivernaleBovinsAuPré&amp;$BB309,Règles_bovins[Ration]&amp;Règles_bovins[Aliment],0))="s1",IF($BB309=Spécificité1Bovins,1)),
AND(INDEX(Règles_bovins[Specificite],MATCH(RationHivernaleBovinsAuPré&amp;$BB309,Règles_bovins[Ration]&amp;Règles_bovins[Aliment],0))="s2",IF($BB309=Spécificité2Bovins,1)),
INDEX(Règles_bovins[Specificite],MATCH(RationHivernaleBovinsAuPré&amp;$BB309,Règles_bovins[Ration]&amp;Règles_bovins[Aliment],0))="c"),
INDEX(Règles_bovins[Valeur 12-18],MATCH(RationHivernaleBovinsAuPré&amp;$BB309,Règles_bovins[Ration]&amp;Règles_bovins[Aliment],0)),0),0)*IF(SUM(TotalBovins_12_18moisAuPré)&gt;0,SUM(TotalBovins_12_18moisAuPré),SUM(TotalBovins_12_18mois))*35</f>
        <v>0</v>
      </c>
      <c r="BG309" s="1075">
        <f t="array" ref="BG309">IFERROR(IF(OR(AND(INDEX(Règles_bovins[Specificite],MATCH(RationHivernaleBovinsAuPré&amp;$BB309,Règles_bovins[Ration]&amp;Règles_bovins[Aliment],0))="s1",IF($BB309=Spécificité1Bovins,1)),
AND(INDEX(Règles_bovins[Specificite],MATCH(RationHivernaleBovinsAuPré&amp;$BB309,Règles_bovins[Ration]&amp;Règles_bovins[Aliment],0))="s2",IF($BB309=Spécificité2Bovins,1)),
INDEX(Règles_bovins[Specificite],MATCH(RationHivernaleBovinsAuPré&amp;$BB309,Règles_bovins[Ration]&amp;Règles_bovins[Aliment],0))="c"),
INDEX(Règles_bovins[Valeur 6-12],MATCH(RationHivernaleBovinsAuPré&amp;$BB309,Règles_bovins[Ration]&amp;Règles_bovins[Aliment],0)),0),0)*IF(SUM(TotalBovins_6_12moisAuPré)&gt;0,SUM(TotalBovins_6_12moisAuPré),SUM(TotalBovins_6_12mois))*35</f>
        <v>0</v>
      </c>
      <c r="BH309" s="1075">
        <f t="array" ref="BH309">IFERROR(IF(OR(AND(INDEX(Règles_bovins[Specificite],MATCH(RationHivernaleBovinsAuPré&amp;$BB309,Règles_bovins[Ration]&amp;Règles_bovins[Aliment],0))="s1",IF($BB309=Spécificité1Bovins,1)),
AND(INDEX(Règles_bovins[Specificite],MATCH(RationHivernaleBovinsAuPré&amp;$BB309,Règles_bovins[Ration]&amp;Règles_bovins[Aliment],0))="s2",IF($BB309=Spécificité2Bovins,1)),
INDEX(Règles_bovins[Specificite],MATCH(RationHivernaleBovinsAuPré&amp;$BB309,Règles_bovins[Ration]&amp;Règles_bovins[Aliment],0))="c"),
INDEX(Règles_bovins[Valeur 3-6],MATCH(RationHivernaleBovinsAuPré&amp;$BB309,Règles_bovins[Ration]&amp;Règles_bovins[Aliment],0)),0),0)*IF(SUM(TotalBovins_3_6moisAuPré)&gt;0,SUM(TotalBovins_3_6moisAuPré),SUM(TotalBovins_3_6mois))*35</f>
        <v>0</v>
      </c>
      <c r="BI309" s="1075">
        <f t="array" ref="BI309">IFERROR(IF(OR(AND(INDEX(Règles_bovins[Specificite],MATCH(RationHivernaleBovinsAuPré&amp;$BB309,Règles_bovins[Ration]&amp;Règles_bovins[Aliment],0))="s1",IF($BB309=Spécificité1Bovins,1)),
AND(INDEX(Règles_bovins[Specificite],MATCH(RationHivernaleBovinsAuPré&amp;$BB309,Règles_bovins[Ration]&amp;Règles_bovins[Aliment],0))="s2",IF($BB309=Spécificité2Bovins,1)),
INDEX(Règles_bovins[Specificite],MATCH(RationHivernaleBovinsAuPré&amp;$BB309,Règles_bovins[Ration]&amp;Règles_bovins[Aliment],0))="c"),
INDEX(Règles_bovins[Valeur 0-3],MATCH(RationHivernaleBovinsAuPré&amp;$BB309,Règles_bovins[Ration]&amp;Règles_bovins[Aliment],0)),0),0)*IF(SUM(TotalBovins_0_3moisAuPré)&gt;0,SUM(TotalBovins_0_3moisAuPré),SUM(TotalBovins_0_3mois))*35</f>
        <v>0</v>
      </c>
      <c r="BJ309" s="1270">
        <f t="shared" si="78"/>
        <v>0</v>
      </c>
      <c r="BK309" s="1345"/>
      <c r="BL309" s="1345"/>
      <c r="BM309" s="1321"/>
      <c r="BN309" s="1321"/>
      <c r="BO309" s="1321"/>
      <c r="BP309" s="1321"/>
      <c r="BQ309" s="1321"/>
      <c r="BR309" s="1321"/>
      <c r="BS309" s="1321"/>
      <c r="BT309" s="1321"/>
      <c r="BU309" s="1321"/>
      <c r="BV309" s="1345"/>
      <c r="BW309" s="1345"/>
      <c r="BX309" s="1321"/>
      <c r="BY309" s="1321"/>
      <c r="BZ309" s="1321"/>
      <c r="CA309" s="1321"/>
      <c r="CB309" s="1321"/>
      <c r="CC309" s="1321"/>
      <c r="CD309" s="1345"/>
      <c r="CE309" s="1345"/>
      <c r="CF309" s="1345"/>
      <c r="CG309" s="1345"/>
      <c r="CH309" s="1345"/>
      <c r="CI309" s="1321"/>
      <c r="CJ309" s="1321"/>
      <c r="CK309" s="1321"/>
      <c r="CL309" s="1321"/>
      <c r="CM309" s="1321"/>
      <c r="CN309" s="1321"/>
      <c r="CO309" s="1321"/>
      <c r="CP309" s="1321"/>
      <c r="CQ309" s="1321"/>
      <c r="CR309" s="1321"/>
      <c r="CS309" s="1321"/>
      <c r="CT309" s="1321"/>
      <c r="CU309" s="1321"/>
      <c r="CV309" s="1321"/>
      <c r="CW309" s="1321"/>
      <c r="CX309" s="1321"/>
      <c r="CY309" s="1321"/>
      <c r="CZ309" s="1321"/>
      <c r="DA309" s="1321"/>
      <c r="DB309" s="1321"/>
      <c r="DC309" s="1321"/>
      <c r="DD309" s="1321"/>
      <c r="DE309" s="1321"/>
      <c r="DF309" s="1321"/>
      <c r="DG309" s="1321"/>
      <c r="DH309" s="1321"/>
      <c r="DI309" s="1321"/>
      <c r="DJ309" s="1321"/>
      <c r="DK309" s="1321"/>
      <c r="DL309" s="1321"/>
      <c r="DM309" s="1321"/>
      <c r="DN309" s="1076" t="str">
        <f t="shared" si="80"/>
        <v>Lentille</v>
      </c>
      <c r="DO309" s="1267">
        <f t="array" ref="DO309">SUM((IF(QualitéAlimentsAgneauMâle_0_3_mois=BONNE,VLOOKUP("Lentille",AlimentsRationOvinsMâles,5,FALSE),0)+(IF(QualitéAlimentsAgneauFemelle_0_3_mois=BONNE,VLOOKUP("Lentille",AlimentsRationOvinsFemelles,5,FALSE),0)+(IF(QualitéAlimentsAgneauMâle_3_6_mois=BONNE,VLOOKUP("Lentille",AlimentsRationOvinsMâles,4,FALSE),0)+(IF(QualitéAlimentsAgneauFemelle_3_6_mois=BONNE,VLOOKUP("Lentille",AlimentsRationOvinsFemelles,4,FALSE),0)+(IF(QualitéAlimentsJeuneBélier=BONNE,VLOOKUP("Lentille",AlimentsRationOvinsMâles,3,FALSE),0)+(IF(QualitéAlimentsJeuneBrebis=BONNE,VLOOKUP("Lentille",AlimentsRationOvinsFemelles,3,FALSE),0)+(IF(QualitéAlimentsBélier=BONNE,VLOOKUP("Lentille",AlimentsRationOvinsMâles,2,FALSE),0)+(IF(QualitéAlimentsBrebis=BONNE,VLOOKUP("Lentille",AlimentsRationOvinsFemelles,2,FALSE),0))))))))))</f>
        <v>0</v>
      </c>
      <c r="DP309" s="1267">
        <f t="array" ref="DP309">SUM((IF(QualitéAlimentsAgneauMâle_0_3_mois=MOYENNE,VLOOKUP("Lentille",AlimentsRationOvinsMâles,5,FALSE),0)+(IF(QualitéAlimentsAgneauFemelle_0_3_mois=MOYENNE,VLOOKUP("Lentille",AlimentsRationOvinsFemelles,5,FALSE),0)+(IF(QualitéAlimentsAgneauMâle_3_6_mois=MOYENNE,VLOOKUP("Lentille",AlimentsRationOvinsMâles,4,FALSE),0)+(IF(QualitéAlimentsAgneauFemelle_3_6_mois=MOYENNE,VLOOKUP("Lentille",AlimentsRationOvinsFemelles,4,FALSE),0)+(IF(QualitéAlimentsJeuneBélier=MOYENNE,VLOOKUP("Lentille",AlimentsRationOvinsMâles,3,FALSE),0)+(IF(QualitéAlimentsJeuneBrebis=MOYENNE,VLOOKUP("Lentille",AlimentsRationOvinsFemelles,3,FALSE),0)+(IF(QualitéAlimentsBélier=MOYENNE,VLOOKUP("Lentille",AlimentsRationOvinsMâles,2,FALSE),0)+(IF(QualitéAlimentsBrebis=MOYENNE,VLOOKUP("Lentille",AlimentsRationOvinsFemelles,2,FALSE),0))))))))))</f>
        <v>0</v>
      </c>
      <c r="DQ309" s="1267">
        <f t="array" ref="DQ309">SUM((IF(QualitéAlimentsAgneauMâle_0_3_mois=MAUVAISE,VLOOKUP("Lentille",AlimentsRationOvinsMâles,5,FALSE),0)+(IF(QualitéAlimentsAgneauFemelle_0_3_mois=MAUVAISE,VLOOKUP("Lentille",AlimentsRationOvinsFemelles,5,FALSE),0)+(IF(QualitéAlimentsAgneauMâle_3_6_mois=MAUVAISE,VLOOKUP("Lentille",AlimentsRationOvinsMâles,4,FALSE),0)+(IF(QualitéAlimentsAgneauFemelle_3_6_mois=MAUVAISE,VLOOKUP("Lentille",AlimentsRationOvinsFemelles,4,FALSE),0)+(IF(QualitéAlimentsJeuneBélier=MAUVAISE,VLOOKUP("Lentille",AlimentsRationOvinsMâles,3,FALSE),0)+(IF(QualitéAlimentsJeuneBrebis=MAUVAISE,VLOOKUP("Lentille",AlimentsRationOvinsFemelles,3,FALSE),0)+(IF(QualitéAlimentsBélier=MAUVAISE,VLOOKUP("Lentille",AlimentsRationOvinsMâles,2,FALSE),0)+(IF(QualitéAlimentsBrebis=MAUVAISE,VLOOKUP("Lentille",AlimentsRationOvinsFemelles,2,FALSE),0))))))))))</f>
        <v>0</v>
      </c>
      <c r="DR309" s="1321"/>
      <c r="DS309" s="1321"/>
      <c r="DT309" s="1346"/>
      <c r="DU309" s="1346"/>
      <c r="DV309" s="1321"/>
      <c r="DW309" s="1321"/>
      <c r="DX309" s="1321"/>
      <c r="DY309" s="1321"/>
      <c r="DZ309" s="1321"/>
      <c r="EA309" s="1321"/>
      <c r="EB309" s="1321"/>
      <c r="EC309" s="1321"/>
      <c r="ED309" s="1345"/>
      <c r="EE309" s="1345"/>
      <c r="EF309" s="1321"/>
      <c r="EG309" s="1321"/>
      <c r="EH309" s="1321"/>
      <c r="EI309" s="1321"/>
      <c r="EJ309" s="1321"/>
      <c r="EK309" s="1345"/>
      <c r="EL309" s="1345"/>
      <c r="EM309" s="1321"/>
      <c r="EN309" s="1321"/>
      <c r="EO309" s="1321"/>
      <c r="EP309" s="1321"/>
      <c r="EQ309" s="1321"/>
      <c r="ER309" s="1345"/>
      <c r="ES309" s="1345"/>
      <c r="ET309" s="1321"/>
      <c r="EU309" s="1321"/>
      <c r="EV309" s="1321"/>
      <c r="EW309" s="1321"/>
      <c r="EX309" s="1321"/>
      <c r="EY309" s="1321"/>
      <c r="EZ309" s="1345"/>
      <c r="FA309" s="1345"/>
      <c r="FB309" s="1345"/>
      <c r="FC309" s="1321"/>
      <c r="FD309" s="1321"/>
      <c r="FE309" s="1321"/>
      <c r="FF309" s="1321"/>
      <c r="FG309" s="1321"/>
      <c r="FH309" s="1321"/>
      <c r="FI309" s="1345"/>
      <c r="FJ309" s="1345"/>
      <c r="FK309" s="1345"/>
      <c r="FL309" s="1345"/>
      <c r="FM309" s="1321"/>
      <c r="FN309" s="1321"/>
      <c r="FO309" s="1321"/>
      <c r="FP309" s="1321"/>
      <c r="FQ309" s="1321"/>
      <c r="FR309" s="1321"/>
      <c r="FS309" s="1345"/>
      <c r="FT309" s="1345"/>
      <c r="FU309" s="1345"/>
      <c r="FV309" s="1345"/>
      <c r="FW309" s="1321"/>
      <c r="FX309" s="1321"/>
      <c r="FY309" s="1321"/>
      <c r="FZ309" s="1321"/>
      <c r="GA309" s="1345"/>
      <c r="GB309" s="1321"/>
      <c r="GC309" s="1321"/>
      <c r="GD309" s="1321"/>
      <c r="GE309" s="1321"/>
      <c r="GF309" s="1321"/>
      <c r="GG309" s="1321" t="s">
        <v>1349</v>
      </c>
      <c r="GH309" s="1321" t="s">
        <v>1349</v>
      </c>
      <c r="GI309" s="1321" t="s">
        <v>1349</v>
      </c>
      <c r="GJ309" s="1321" t="s">
        <v>1349</v>
      </c>
      <c r="GK309" s="1321" t="s">
        <v>1349</v>
      </c>
      <c r="GL309" s="1321" t="s">
        <v>1349</v>
      </c>
      <c r="GM309" s="1321" t="s">
        <v>1349</v>
      </c>
      <c r="GN309" s="1321" t="s">
        <v>1349</v>
      </c>
      <c r="GO309" s="1321" t="s">
        <v>1349</v>
      </c>
      <c r="GP309" s="1321" t="s">
        <v>1349</v>
      </c>
      <c r="GQ309" s="1321" t="s">
        <v>1349</v>
      </c>
      <c r="GR309" s="1321" t="s">
        <v>1349</v>
      </c>
      <c r="GS309" s="1321" t="s">
        <v>1349</v>
      </c>
      <c r="GT309" s="1321" t="s">
        <v>1349</v>
      </c>
      <c r="GU309" s="1321" t="s">
        <v>1349</v>
      </c>
      <c r="GV309" s="1321" t="s">
        <v>1349</v>
      </c>
      <c r="GW309" s="1321"/>
      <c r="GX309" s="1321"/>
      <c r="GY309" s="1321"/>
      <c r="GZ309" s="1321"/>
      <c r="HA309" s="1321"/>
      <c r="HB309" s="1321"/>
      <c r="HC309" s="1321"/>
      <c r="HD309" s="1321"/>
      <c r="HE309" s="1321"/>
      <c r="HF309" s="1321"/>
      <c r="HG309" s="1321"/>
      <c r="HH309" s="1321"/>
      <c r="HI309" s="1321"/>
      <c r="HJ309" s="1321"/>
      <c r="HK309" s="1321"/>
      <c r="HL309" s="1321"/>
      <c r="HM309" s="1321"/>
      <c r="HN309" s="1321"/>
      <c r="HO309" s="1321"/>
      <c r="HP309" s="1321"/>
      <c r="HQ309" s="1321"/>
      <c r="HR309" s="1321"/>
      <c r="HS309" s="1321"/>
      <c r="HT309" s="1321"/>
      <c r="HU309" s="1321"/>
      <c r="HV309" s="1321"/>
      <c r="HW309" s="1321"/>
      <c r="HX309" s="1321"/>
      <c r="HY309" s="1321"/>
      <c r="HZ309" s="1321"/>
      <c r="IA309" s="1321"/>
      <c r="IB309" s="1321"/>
      <c r="IC309" s="1321"/>
      <c r="ID309" s="1321"/>
      <c r="IE309" s="1321"/>
      <c r="IF309" s="1321"/>
      <c r="IG309" s="1321"/>
      <c r="IH309" s="1321"/>
      <c r="II309" s="1321"/>
      <c r="IJ309" s="1321"/>
      <c r="IK309" s="1321"/>
      <c r="IL309" s="1321"/>
      <c r="IM309" s="1321"/>
      <c r="IN309" s="1368"/>
    </row>
    <row r="310" spans="1:248" ht="12.75" customHeight="1" x14ac:dyDescent="0.2">
      <c r="A310" s="1319"/>
      <c r="B310" s="1321"/>
      <c r="C310" s="1321"/>
      <c r="D310" s="1321"/>
      <c r="E310" s="1321"/>
      <c r="F310" s="1321"/>
      <c r="G310" s="1321"/>
      <c r="H310" s="1321"/>
      <c r="I310" s="1321"/>
      <c r="J310" s="1321"/>
      <c r="K310" s="1321"/>
      <c r="L310" s="1321"/>
      <c r="M310" s="1321"/>
      <c r="N310" s="1321"/>
      <c r="O310" s="1321"/>
      <c r="P310" s="1321"/>
      <c r="Q310" s="1321"/>
      <c r="R310" s="1321"/>
      <c r="S310" s="1321"/>
      <c r="T310" s="1321"/>
      <c r="U310" s="1321"/>
      <c r="V310" s="1321"/>
      <c r="W310" s="1321"/>
      <c r="X310" s="1321"/>
      <c r="Y310" s="1321"/>
      <c r="Z310" s="1321"/>
      <c r="AA310" s="1321"/>
      <c r="AB310" s="1321"/>
      <c r="AC310" s="1321"/>
      <c r="AD310" s="1321"/>
      <c r="AE310" s="1321"/>
      <c r="AF310" s="1321"/>
      <c r="AG310" s="1321"/>
      <c r="AH310" s="1321"/>
      <c r="AI310" s="1321"/>
      <c r="AJ310" s="1321"/>
      <c r="AK310" s="1321"/>
      <c r="AL310" s="1321"/>
      <c r="AM310" s="1321"/>
      <c r="AN310" s="1321"/>
      <c r="AO310" s="1321"/>
      <c r="AP310" s="1321"/>
      <c r="AQ310" s="1321"/>
      <c r="AR310" s="1321"/>
      <c r="AS310" s="1321"/>
      <c r="AT310" s="1321"/>
      <c r="AU310" s="1321"/>
      <c r="AV310" s="1321"/>
      <c r="AW310" s="1321"/>
      <c r="AX310" s="1321"/>
      <c r="AY310" s="1321"/>
      <c r="AZ310" s="1321"/>
      <c r="BA310" s="1321"/>
      <c r="BB310" s="1076" t="str">
        <f t="shared" si="79"/>
        <v>Seigle</v>
      </c>
      <c r="BC310" s="1076">
        <f t="array" ref="BC310">IFERROR(IF(OR(AND(INDEX(Règles_bovins[Specificite],MATCH(RationHivernaleBovinsAuPré&amp;$BB310,Règles_bovins[Ration]&amp;Règles_bovins[Aliment],0))="s1",IF($BB310=Spécificité1Bovins,1)),
AND(INDEX(Règles_bovins[Specificite],MATCH(RationHivernaleBovinsAuPré&amp;$BB310,Règles_bovins[Ration]&amp;Règles_bovins[Aliment],0))="s2",IF($BB310=Spécificité2Bovins,1)),
INDEX(Règles_bovins[Specificite],MATCH(RationHivernaleBovinsAuPré&amp;$BB310,Règles_bovins[Ration]&amp;Règles_bovins[Aliment],0))="c"),
INDEX(Règles_bovins[Valeur 36 et plus],MATCH(RationHivernaleBovinsAuPré&amp;$BB310,Règles_bovins[Ration]&amp;Règles_bovins[Aliment],0)),0),0)*IF(SUM(TotalBovinsAdultesAuPré)&gt;0,SUM(TotalBovinsAdultesAuPré),SUM(TotalBovinsAdultes))*35</f>
        <v>0</v>
      </c>
      <c r="BD310" s="1076">
        <f t="array" ref="BD310">IFERROR(IF(OR(AND(INDEX(Règles_bovins[Specificite],MATCH(RationHivernaleBovinsAuPré&amp;$BB310,Règles_bovins[Ration]&amp;Règles_bovins[Aliment],0))="s1",IF($BB310=Spécificité1Bovins,1)),
AND(INDEX(Règles_bovins[Specificite],MATCH(RationHivernaleBovinsAuPré&amp;$BB310,Règles_bovins[Ration]&amp;Règles_bovins[Aliment],0))="s2",IF($BB310=Spécificité2Bovins,1)),
INDEX(Règles_bovins[Specificite],MATCH(RationHivernaleBovinsAuPré&amp;$BB310,Règles_bovins[Ration]&amp;Règles_bovins[Aliment],0))="c"),
INDEX(Règles_bovins[Valeur 24-36],MATCH(RationHivernaleBovinsAuPré&amp;$BB310,Règles_bovins[Ration]&amp;Règles_bovins[Aliment],0)),0),0)*IF(SUM(TotalBovins_24_36moisAuPré)&gt;0,SUM(TotalBovins_24_36moisAuPré),SUM(TotalBovins_24_36mois))*35</f>
        <v>0</v>
      </c>
      <c r="BE310" s="1076">
        <f t="array" ref="BE310">IFERROR(IF(OR(AND(INDEX(Règles_bovins[Specificite],MATCH(RationHivernaleBovinsAuPré&amp;$BB310,Règles_bovins[Ration]&amp;Règles_bovins[Aliment],0))="s1",IF($BB310=Spécificité1Bovins,1)),
AND(INDEX(Règles_bovins[Specificite],MATCH(RationHivernaleBovinsAuPré&amp;$BB310,Règles_bovins[Ration]&amp;Règles_bovins[Aliment],0))="s2",IF($BB310=Spécificité2Bovins,1)),
INDEX(Règles_bovins[Specificite],MATCH(RationHivernaleBovinsAuPré&amp;$BB310,Règles_bovins[Ration]&amp;Règles_bovins[Aliment],0))="c"),
INDEX(Règles_bovins[Valeur 18-24],MATCH(RationHivernaleBovinsAuPré&amp;$BB310,Règles_bovins[Ration]&amp;Règles_bovins[Aliment],0)),0),0)*IF(SUM(TotalBovins_18_24moisAuPré)&gt;0,SUM(TotalBovins_18_24moisAuPré),SUM(TotalBovins_18_24mois))*35</f>
        <v>0</v>
      </c>
      <c r="BF310" s="1076">
        <f t="array" ref="BF310">IFERROR(IF(OR(AND(INDEX(Règles_bovins[Specificite],MATCH(RationHivernaleBovinsAuPré&amp;$BB310,Règles_bovins[Ration]&amp;Règles_bovins[Aliment],0))="s1",IF($BB310=Spécificité1Bovins,1)),
AND(INDEX(Règles_bovins[Specificite],MATCH(RationHivernaleBovinsAuPré&amp;$BB310,Règles_bovins[Ration]&amp;Règles_bovins[Aliment],0))="s2",IF($BB310=Spécificité2Bovins,1)),
INDEX(Règles_bovins[Specificite],MATCH(RationHivernaleBovinsAuPré&amp;$BB310,Règles_bovins[Ration]&amp;Règles_bovins[Aliment],0))="c"),
INDEX(Règles_bovins[Valeur 12-18],MATCH(RationHivernaleBovinsAuPré&amp;$BB310,Règles_bovins[Ration]&amp;Règles_bovins[Aliment],0)),0),0)*IF(SUM(TotalBovins_12_18moisAuPré)&gt;0,SUM(TotalBovins_12_18moisAuPré),SUM(TotalBovins_12_18mois))*35</f>
        <v>0</v>
      </c>
      <c r="BG310" s="1076">
        <f t="array" ref="BG310">IFERROR(IF(OR(AND(INDEX(Règles_bovins[Specificite],MATCH(RationHivernaleBovinsAuPré&amp;$BB310,Règles_bovins[Ration]&amp;Règles_bovins[Aliment],0))="s1",IF($BB310=Spécificité1Bovins,1)),
AND(INDEX(Règles_bovins[Specificite],MATCH(RationHivernaleBovinsAuPré&amp;$BB310,Règles_bovins[Ration]&amp;Règles_bovins[Aliment],0))="s2",IF($BB310=Spécificité2Bovins,1)),
INDEX(Règles_bovins[Specificite],MATCH(RationHivernaleBovinsAuPré&amp;$BB310,Règles_bovins[Ration]&amp;Règles_bovins[Aliment],0))="c"),
INDEX(Règles_bovins[Valeur 6-12],MATCH(RationHivernaleBovinsAuPré&amp;$BB310,Règles_bovins[Ration]&amp;Règles_bovins[Aliment],0)),0),0)*IF(SUM(TotalBovins_6_12moisAuPré)&gt;0,SUM(TotalBovins_6_12moisAuPré),SUM(TotalBovins_6_12mois))*35</f>
        <v>0</v>
      </c>
      <c r="BH310" s="1076">
        <f t="array" ref="BH310">IFERROR(IF(OR(AND(INDEX(Règles_bovins[Specificite],MATCH(RationHivernaleBovinsAuPré&amp;$BB310,Règles_bovins[Ration]&amp;Règles_bovins[Aliment],0))="s1",IF($BB310=Spécificité1Bovins,1)),
AND(INDEX(Règles_bovins[Specificite],MATCH(RationHivernaleBovinsAuPré&amp;$BB310,Règles_bovins[Ration]&amp;Règles_bovins[Aliment],0))="s2",IF($BB310=Spécificité2Bovins,1)),
INDEX(Règles_bovins[Specificite],MATCH(RationHivernaleBovinsAuPré&amp;$BB310,Règles_bovins[Ration]&amp;Règles_bovins[Aliment],0))="c"),
INDEX(Règles_bovins[Valeur 3-6],MATCH(RationHivernaleBovinsAuPré&amp;$BB310,Règles_bovins[Ration]&amp;Règles_bovins[Aliment],0)),0),0)*IF(SUM(TotalBovins_3_6moisAuPré)&gt;0,SUM(TotalBovins_3_6moisAuPré),SUM(TotalBovins_3_6mois))*35</f>
        <v>0</v>
      </c>
      <c r="BI310" s="1076">
        <f t="array" ref="BI310">IFERROR(IF(OR(AND(INDEX(Règles_bovins[Specificite],MATCH(RationHivernaleBovinsAuPré&amp;$BB310,Règles_bovins[Ration]&amp;Règles_bovins[Aliment],0))="s1",IF($BB310=Spécificité1Bovins,1)),
AND(INDEX(Règles_bovins[Specificite],MATCH(RationHivernaleBovinsAuPré&amp;$BB310,Règles_bovins[Ration]&amp;Règles_bovins[Aliment],0))="s2",IF($BB310=Spécificité2Bovins,1)),
INDEX(Règles_bovins[Specificite],MATCH(RationHivernaleBovinsAuPré&amp;$BB310,Règles_bovins[Ration]&amp;Règles_bovins[Aliment],0))="c"),
INDEX(Règles_bovins[Valeur 0-3],MATCH(RationHivernaleBovinsAuPré&amp;$BB310,Règles_bovins[Ration]&amp;Règles_bovins[Aliment],0)),0),0)*IF(SUM(TotalBovins_0_3moisAuPré)&gt;0,SUM(TotalBovins_0_3moisAuPré),SUM(TotalBovins_0_3mois))*35</f>
        <v>0</v>
      </c>
      <c r="BJ310" s="1268">
        <f t="shared" si="78"/>
        <v>0</v>
      </c>
      <c r="BK310" s="1345"/>
      <c r="BL310" s="1345"/>
      <c r="BM310" s="1321"/>
      <c r="BN310" s="1321"/>
      <c r="BO310" s="1321"/>
      <c r="BP310" s="1321"/>
      <c r="BQ310" s="1321"/>
      <c r="BR310" s="1321"/>
      <c r="BS310" s="1321"/>
      <c r="BT310" s="1321"/>
      <c r="BU310" s="1321"/>
      <c r="BV310" s="1345"/>
      <c r="BW310" s="1345"/>
      <c r="BX310" s="1321"/>
      <c r="BY310" s="1321"/>
      <c r="BZ310" s="1321"/>
      <c r="CA310" s="1321"/>
      <c r="CB310" s="1321"/>
      <c r="CC310" s="1321"/>
      <c r="CD310" s="1345"/>
      <c r="CE310" s="1345"/>
      <c r="CF310" s="1345"/>
      <c r="CG310" s="1345"/>
      <c r="CH310" s="1345"/>
      <c r="CI310" s="1321"/>
      <c r="CJ310" s="1321"/>
      <c r="CK310" s="1321"/>
      <c r="CL310" s="1321"/>
      <c r="CM310" s="1321"/>
      <c r="CN310" s="1321"/>
      <c r="CO310" s="1321"/>
      <c r="CP310" s="1321"/>
      <c r="CQ310" s="1321"/>
      <c r="CR310" s="1321"/>
      <c r="CS310" s="1321"/>
      <c r="CT310" s="1321"/>
      <c r="CU310" s="1321"/>
      <c r="CV310" s="1321"/>
      <c r="CW310" s="1321"/>
      <c r="CX310" s="1321"/>
      <c r="CY310" s="1321"/>
      <c r="CZ310" s="1321"/>
      <c r="DA310" s="1321"/>
      <c r="DB310" s="1321"/>
      <c r="DC310" s="1321"/>
      <c r="DD310" s="1321"/>
      <c r="DE310" s="1321"/>
      <c r="DF310" s="1321"/>
      <c r="DG310" s="1321"/>
      <c r="DH310" s="1321"/>
      <c r="DI310" s="1321"/>
      <c r="DJ310" s="1321"/>
      <c r="DK310" s="1321"/>
      <c r="DL310" s="1321"/>
      <c r="DM310" s="1321"/>
      <c r="DN310" s="1075" t="str">
        <f t="shared" si="80"/>
        <v>Maïs ensilé</v>
      </c>
      <c r="DO310" s="1269">
        <f t="array" ref="DO310">SUM((IF(QualitéAlimentsAgneauMâle_0_3_mois=BONNE,VLOOKUP("Maïs ensilé",AlimentsRationOvinsMâles,5,FALSE),0)+(IF(QualitéAlimentsAgneauFemelle_0_3_mois=BONNE,VLOOKUP("Maïs ensilé",AlimentsRationOvinsFemelles,5,FALSE),0)+(IF(QualitéAlimentsAgneauMâle_3_6_mois=BONNE,VLOOKUP("Maïs ensilé",AlimentsRationOvinsMâles,4,FALSE),0)+(IF(QualitéAlimentsAgneauFemelle_3_6_mois=BONNE,VLOOKUP("Maïs ensilé",AlimentsRationOvinsFemelles,4,FALSE),0)+(IF(QualitéAlimentsJeuneBélier=BONNE,VLOOKUP("Maïs ensilé",AlimentsRationOvinsMâles,3,FALSE),0)+(IF(QualitéAlimentsJeuneBrebis=BONNE,VLOOKUP("Maïs ensilé",AlimentsRationOvinsFemelles,3,FALSE),0)+(IF(QualitéAlimentsBélier=BONNE,VLOOKUP("Maïs ensilé",AlimentsRationOvinsMâles,2,FALSE),0)+(IF(QualitéAlimentsBrebis=BONNE,VLOOKUP("Maïs ensilé",AlimentsRationOvinsFemelles,2,FALSE),0))))))))))</f>
        <v>0</v>
      </c>
      <c r="DP310" s="1269">
        <f t="array" ref="DP310">SUM((IF(QualitéAlimentsAgneauMâle_0_3_mois=MOYENNE,VLOOKUP("Maïs ensilé",AlimentsRationOvinsMâles,5,FALSE),0)+(IF(QualitéAlimentsAgneauFemelle_0_3_mois=MOYENNE,VLOOKUP("Maïs ensilé",AlimentsRationOvinsFemelles,5,FALSE),0)+(IF(QualitéAlimentsAgneauMâle_3_6_mois=MOYENNE,VLOOKUP("Maïs ensilé",AlimentsRationOvinsMâles,4,FALSE),0)+(IF(QualitéAlimentsAgneauFemelle_3_6_mois=MOYENNE,VLOOKUP("Maïs ensilé",AlimentsRationOvinsFemelles,4,FALSE),0)+(IF(QualitéAlimentsJeuneBélier=MOYENNE,VLOOKUP("Maïs ensilé",AlimentsRationOvinsMâles,3,FALSE),0)+(IF(QualitéAlimentsJeuneBrebis=MOYENNE,VLOOKUP("Maïs ensilé",AlimentsRationOvinsFemelles,3,FALSE),0)+(IF(QualitéAlimentsBélier=MOYENNE,VLOOKUP("Maïs ensilé",AlimentsRationOvinsMâles,2,FALSE),0)+(IF(QualitéAlimentsBrebis=MOYENNE,VLOOKUP("Maïs ensilé",AlimentsRationOvinsFemelles,2,FALSE),0))))))))))</f>
        <v>0</v>
      </c>
      <c r="DQ310" s="1269">
        <f t="array" ref="DQ310">SUM((IF(QualitéAlimentsAgneauMâle_0_3_mois=MAUVAISE,VLOOKUP("Maïs ensilé",AlimentsRationOvinsMâles,5,FALSE),0)+(IF(QualitéAlimentsAgneauFemelle_0_3_mois=MAUVAISE,VLOOKUP("Maïs ensilé",AlimentsRationOvinsFemelles,5,FALSE),0)+(IF(QualitéAlimentsAgneauMâle_3_6_mois=MAUVAISE,VLOOKUP("Maïs ensilé",AlimentsRationOvinsMâles,4,FALSE),0)+(IF(QualitéAlimentsAgneauFemelle_3_6_mois=MAUVAISE,VLOOKUP("Maïs ensilé",AlimentsRationOvinsFemelles,4,FALSE),0)+(IF(QualitéAlimentsJeuneBélier=MAUVAISE,VLOOKUP("Maïs ensilé",AlimentsRationOvinsMâles,3,FALSE),0)+(IF(QualitéAlimentsJeuneBrebis=MAUVAISE,VLOOKUP("Maïs ensilé",AlimentsRationOvinsFemelles,3,FALSE),0)+(IF(QualitéAlimentsBélier=MAUVAISE,VLOOKUP("Maïs ensilé",AlimentsRationOvinsMâles,2,FALSE),0)+(IF(QualitéAlimentsBrebis=MAUVAISE,VLOOKUP("Maïs ensilé",AlimentsRationOvinsFemelles,2,FALSE),0))))))))))</f>
        <v>0</v>
      </c>
      <c r="DR310" s="1321"/>
      <c r="DS310" s="1321"/>
      <c r="DT310" s="1346"/>
      <c r="DU310" s="1346"/>
      <c r="DV310" s="1321"/>
      <c r="DW310" s="1321"/>
      <c r="DX310" s="1321"/>
      <c r="DY310" s="1321"/>
      <c r="DZ310" s="1321"/>
      <c r="EA310" s="1321"/>
      <c r="EB310" s="1321"/>
      <c r="EC310" s="1321"/>
      <c r="ED310" s="1345"/>
      <c r="EE310" s="1345"/>
      <c r="EF310" s="1321"/>
      <c r="EG310" s="1321"/>
      <c r="EH310" s="1321"/>
      <c r="EI310" s="1321"/>
      <c r="EJ310" s="1321"/>
      <c r="EK310" s="1345"/>
      <c r="EL310" s="1345"/>
      <c r="EM310" s="1321"/>
      <c r="EN310" s="1321"/>
      <c r="EO310" s="1321"/>
      <c r="EP310" s="1321"/>
      <c r="EQ310" s="1321"/>
      <c r="ER310" s="1345"/>
      <c r="ES310" s="1345"/>
      <c r="ET310" s="1321"/>
      <c r="EU310" s="1321"/>
      <c r="EV310" s="1321"/>
      <c r="EW310" s="1321"/>
      <c r="EX310" s="1321"/>
      <c r="EY310" s="1321"/>
      <c r="EZ310" s="1345"/>
      <c r="FA310" s="1345"/>
      <c r="FB310" s="1345"/>
      <c r="FC310" s="1321"/>
      <c r="FD310" s="1321"/>
      <c r="FE310" s="1321"/>
      <c r="FF310" s="1321"/>
      <c r="FG310" s="1321"/>
      <c r="FH310" s="1321"/>
      <c r="FI310" s="1345"/>
      <c r="FJ310" s="1345"/>
      <c r="FK310" s="1345"/>
      <c r="FL310" s="1345"/>
      <c r="FM310" s="1321"/>
      <c r="FN310" s="1321"/>
      <c r="FO310" s="1321"/>
      <c r="FP310" s="1321"/>
      <c r="FQ310" s="1321"/>
      <c r="FR310" s="1321"/>
      <c r="FS310" s="1345"/>
      <c r="FT310" s="1345"/>
      <c r="FU310" s="1345"/>
      <c r="FV310" s="1345"/>
      <c r="FW310" s="1321"/>
      <c r="FX310" s="1321"/>
      <c r="FY310" s="1321"/>
      <c r="FZ310" s="1321"/>
      <c r="GA310" s="1345"/>
      <c r="GB310" s="1321"/>
      <c r="GC310" s="1321"/>
      <c r="GD310" s="1321"/>
      <c r="GE310" s="1321"/>
      <c r="GF310" s="1321"/>
      <c r="GG310" s="1321" t="s">
        <v>1349</v>
      </c>
      <c r="GH310" s="1321" t="s">
        <v>1349</v>
      </c>
      <c r="GI310" s="1321" t="s">
        <v>1349</v>
      </c>
      <c r="GJ310" s="1321" t="s">
        <v>1349</v>
      </c>
      <c r="GK310" s="1321" t="s">
        <v>1349</v>
      </c>
      <c r="GL310" s="1321" t="s">
        <v>1349</v>
      </c>
      <c r="GM310" s="1321" t="s">
        <v>1349</v>
      </c>
      <c r="GN310" s="1321" t="s">
        <v>1349</v>
      </c>
      <c r="GO310" s="1321" t="s">
        <v>1349</v>
      </c>
      <c r="GP310" s="1321" t="s">
        <v>1349</v>
      </c>
      <c r="GQ310" s="1321" t="s">
        <v>1349</v>
      </c>
      <c r="GR310" s="1321" t="s">
        <v>1349</v>
      </c>
      <c r="GS310" s="1321" t="s">
        <v>1349</v>
      </c>
      <c r="GT310" s="1321" t="s">
        <v>1349</v>
      </c>
      <c r="GU310" s="1321" t="s">
        <v>1349</v>
      </c>
      <c r="GV310" s="1321" t="s">
        <v>1349</v>
      </c>
      <c r="GW310" s="1321"/>
      <c r="GX310" s="1321"/>
      <c r="GY310" s="1321"/>
      <c r="GZ310" s="1321"/>
      <c r="HA310" s="1321"/>
      <c r="HB310" s="1321"/>
      <c r="HC310" s="1321"/>
      <c r="HD310" s="1321"/>
      <c r="HE310" s="1321"/>
      <c r="HF310" s="1321"/>
      <c r="HG310" s="1321"/>
      <c r="HH310" s="1321"/>
      <c r="HI310" s="1321"/>
      <c r="HJ310" s="1321"/>
      <c r="HK310" s="1321"/>
      <c r="HL310" s="1321"/>
      <c r="HM310" s="1321"/>
      <c r="HN310" s="1321"/>
      <c r="HO310" s="1321"/>
      <c r="HP310" s="1321"/>
      <c r="HQ310" s="1321"/>
      <c r="HR310" s="1321"/>
      <c r="HS310" s="1321"/>
      <c r="HT310" s="1321"/>
      <c r="HU310" s="1321"/>
      <c r="HV310" s="1321"/>
      <c r="HW310" s="1321"/>
      <c r="HX310" s="1321"/>
      <c r="HY310" s="1321"/>
      <c r="HZ310" s="1321"/>
      <c r="IA310" s="1321"/>
      <c r="IB310" s="1321"/>
      <c r="IC310" s="1321"/>
      <c r="ID310" s="1321"/>
      <c r="IE310" s="1321"/>
      <c r="IF310" s="1321"/>
      <c r="IG310" s="1321"/>
      <c r="IH310" s="1321"/>
      <c r="II310" s="1321"/>
      <c r="IJ310" s="1321"/>
      <c r="IK310" s="1321"/>
      <c r="IL310" s="1321"/>
      <c r="IM310" s="1321"/>
      <c r="IN310" s="1368"/>
    </row>
    <row r="311" spans="1:248" ht="12.75" customHeight="1" x14ac:dyDescent="0.2">
      <c r="A311" s="1319"/>
      <c r="B311" s="1321"/>
      <c r="C311" s="1321"/>
      <c r="D311" s="1321"/>
      <c r="E311" s="1321"/>
      <c r="F311" s="1321"/>
      <c r="G311" s="1321"/>
      <c r="H311" s="1321"/>
      <c r="I311" s="1321"/>
      <c r="J311" s="1321"/>
      <c r="K311" s="1321"/>
      <c r="L311" s="1321"/>
      <c r="M311" s="1321"/>
      <c r="N311" s="1321"/>
      <c r="O311" s="1321"/>
      <c r="P311" s="1321"/>
      <c r="Q311" s="1321"/>
      <c r="R311" s="1321"/>
      <c r="S311" s="1321"/>
      <c r="T311" s="1321"/>
      <c r="U311" s="1321"/>
      <c r="V311" s="1321"/>
      <c r="W311" s="1321"/>
      <c r="X311" s="1321"/>
      <c r="Y311" s="1321"/>
      <c r="Z311" s="1321"/>
      <c r="AA311" s="1321"/>
      <c r="AB311" s="1321"/>
      <c r="AC311" s="1321"/>
      <c r="AD311" s="1321"/>
      <c r="AE311" s="1321"/>
      <c r="AF311" s="1321"/>
      <c r="AG311" s="1321"/>
      <c r="AH311" s="1321"/>
      <c r="AI311" s="1321"/>
      <c r="AJ311" s="1321"/>
      <c r="AK311" s="1321"/>
      <c r="AL311" s="1321"/>
      <c r="AM311" s="1321"/>
      <c r="AN311" s="1321"/>
      <c r="AO311" s="1321"/>
      <c r="AP311" s="1321"/>
      <c r="AQ311" s="1321"/>
      <c r="AR311" s="1321"/>
      <c r="AS311" s="1321"/>
      <c r="AT311" s="1321"/>
      <c r="AU311" s="1321"/>
      <c r="AV311" s="1321"/>
      <c r="AW311" s="1321"/>
      <c r="AX311" s="1321"/>
      <c r="AY311" s="1321"/>
      <c r="AZ311" s="1321"/>
      <c r="BA311" s="1321"/>
      <c r="BB311" s="1075" t="str">
        <f t="shared" si="79"/>
        <v>Soja</v>
      </c>
      <c r="BC311" s="1075">
        <f t="array" ref="BC311">IFERROR(IF(OR(AND(INDEX(Règles_bovins[Specificite],MATCH(RationHivernaleBovinsAuPré&amp;$BB311,Règles_bovins[Ration]&amp;Règles_bovins[Aliment],0))="s1",IF($BB311=Spécificité1Bovins,1)),
AND(INDEX(Règles_bovins[Specificite],MATCH(RationHivernaleBovinsAuPré&amp;$BB311,Règles_bovins[Ration]&amp;Règles_bovins[Aliment],0))="s2",IF($BB311=Spécificité2Bovins,1)),
INDEX(Règles_bovins[Specificite],MATCH(RationHivernaleBovinsAuPré&amp;$BB311,Règles_bovins[Ration]&amp;Règles_bovins[Aliment],0))="c"),
INDEX(Règles_bovins[Valeur 36 et plus],MATCH(RationHivernaleBovinsAuPré&amp;$BB311,Règles_bovins[Ration]&amp;Règles_bovins[Aliment],0)),0),0)*IF(SUM(TotalBovinsAdultesAuPré)&gt;0,SUM(TotalBovinsAdultesAuPré),SUM(TotalBovinsAdultes))*35</f>
        <v>0</v>
      </c>
      <c r="BD311" s="1075">
        <f t="array" ref="BD311">IFERROR(IF(OR(AND(INDEX(Règles_bovins[Specificite],MATCH(RationHivernaleBovinsAuPré&amp;$BB311,Règles_bovins[Ration]&amp;Règles_bovins[Aliment],0))="s1",IF($BB311=Spécificité1Bovins,1)),
AND(INDEX(Règles_bovins[Specificite],MATCH(RationHivernaleBovinsAuPré&amp;$BB311,Règles_bovins[Ration]&amp;Règles_bovins[Aliment],0))="s2",IF($BB311=Spécificité2Bovins,1)),
INDEX(Règles_bovins[Specificite],MATCH(RationHivernaleBovinsAuPré&amp;$BB311,Règles_bovins[Ration]&amp;Règles_bovins[Aliment],0))="c"),
INDEX(Règles_bovins[Valeur 24-36],MATCH(RationHivernaleBovinsAuPré&amp;$BB311,Règles_bovins[Ration]&amp;Règles_bovins[Aliment],0)),0),0)*IF(SUM(TotalBovins_24_36moisAuPré)&gt;0,SUM(TotalBovins_24_36moisAuPré),SUM(TotalBovins_24_36mois))*35</f>
        <v>0</v>
      </c>
      <c r="BE311" s="1075">
        <f t="array" ref="BE311">IFERROR(IF(OR(AND(INDEX(Règles_bovins[Specificite],MATCH(RationHivernaleBovinsAuPré&amp;$BB311,Règles_bovins[Ration]&amp;Règles_bovins[Aliment],0))="s1",IF($BB311=Spécificité1Bovins,1)),
AND(INDEX(Règles_bovins[Specificite],MATCH(RationHivernaleBovinsAuPré&amp;$BB311,Règles_bovins[Ration]&amp;Règles_bovins[Aliment],0))="s2",IF($BB311=Spécificité2Bovins,1)),
INDEX(Règles_bovins[Specificite],MATCH(RationHivernaleBovinsAuPré&amp;$BB311,Règles_bovins[Ration]&amp;Règles_bovins[Aliment],0))="c"),
INDEX(Règles_bovins[Valeur 18-24],MATCH(RationHivernaleBovinsAuPré&amp;$BB311,Règles_bovins[Ration]&amp;Règles_bovins[Aliment],0)),0),0)*IF(SUM(TotalBovins_18_24moisAuPré)&gt;0,SUM(TotalBovins_18_24moisAuPré),SUM(TotalBovins_18_24mois))*35</f>
        <v>0</v>
      </c>
      <c r="BF311" s="1075">
        <f t="array" ref="BF311">IFERROR(IF(OR(AND(INDEX(Règles_bovins[Specificite],MATCH(RationHivernaleBovinsAuPré&amp;$BB311,Règles_bovins[Ration]&amp;Règles_bovins[Aliment],0))="s1",IF($BB311=Spécificité1Bovins,1)),
AND(INDEX(Règles_bovins[Specificite],MATCH(RationHivernaleBovinsAuPré&amp;$BB311,Règles_bovins[Ration]&amp;Règles_bovins[Aliment],0))="s2",IF($BB311=Spécificité2Bovins,1)),
INDEX(Règles_bovins[Specificite],MATCH(RationHivernaleBovinsAuPré&amp;$BB311,Règles_bovins[Ration]&amp;Règles_bovins[Aliment],0))="c"),
INDEX(Règles_bovins[Valeur 12-18],MATCH(RationHivernaleBovinsAuPré&amp;$BB311,Règles_bovins[Ration]&amp;Règles_bovins[Aliment],0)),0),0)*IF(SUM(TotalBovins_12_18moisAuPré)&gt;0,SUM(TotalBovins_12_18moisAuPré),SUM(TotalBovins_12_18mois))*35</f>
        <v>0</v>
      </c>
      <c r="BG311" s="1075">
        <f t="array" ref="BG311">IFERROR(IF(OR(AND(INDEX(Règles_bovins[Specificite],MATCH(RationHivernaleBovinsAuPré&amp;$BB311,Règles_bovins[Ration]&amp;Règles_bovins[Aliment],0))="s1",IF($BB311=Spécificité1Bovins,1)),
AND(INDEX(Règles_bovins[Specificite],MATCH(RationHivernaleBovinsAuPré&amp;$BB311,Règles_bovins[Ration]&amp;Règles_bovins[Aliment],0))="s2",IF($BB311=Spécificité2Bovins,1)),
INDEX(Règles_bovins[Specificite],MATCH(RationHivernaleBovinsAuPré&amp;$BB311,Règles_bovins[Ration]&amp;Règles_bovins[Aliment],0))="c"),
INDEX(Règles_bovins[Valeur 6-12],MATCH(RationHivernaleBovinsAuPré&amp;$BB311,Règles_bovins[Ration]&amp;Règles_bovins[Aliment],0)),0),0)*IF(SUM(TotalBovins_6_12moisAuPré)&gt;0,SUM(TotalBovins_6_12moisAuPré),SUM(TotalBovins_6_12mois))*35</f>
        <v>0</v>
      </c>
      <c r="BH311" s="1075">
        <f t="array" ref="BH311">IFERROR(IF(OR(AND(INDEX(Règles_bovins[Specificite],MATCH(RationHivernaleBovinsAuPré&amp;$BB311,Règles_bovins[Ration]&amp;Règles_bovins[Aliment],0))="s1",IF($BB311=Spécificité1Bovins,1)),
AND(INDEX(Règles_bovins[Specificite],MATCH(RationHivernaleBovinsAuPré&amp;$BB311,Règles_bovins[Ration]&amp;Règles_bovins[Aliment],0))="s2",IF($BB311=Spécificité2Bovins,1)),
INDEX(Règles_bovins[Specificite],MATCH(RationHivernaleBovinsAuPré&amp;$BB311,Règles_bovins[Ration]&amp;Règles_bovins[Aliment],0))="c"),
INDEX(Règles_bovins[Valeur 3-6],MATCH(RationHivernaleBovinsAuPré&amp;$BB311,Règles_bovins[Ration]&amp;Règles_bovins[Aliment],0)),0),0)*IF(SUM(TotalBovins_3_6moisAuPré)&gt;0,SUM(TotalBovins_3_6moisAuPré),SUM(TotalBovins_3_6mois))*35</f>
        <v>0</v>
      </c>
      <c r="BI311" s="1075">
        <f t="array" ref="BI311">IFERROR(IF(OR(AND(INDEX(Règles_bovins[Specificite],MATCH(RationHivernaleBovinsAuPré&amp;$BB311,Règles_bovins[Ration]&amp;Règles_bovins[Aliment],0))="s1",IF($BB311=Spécificité1Bovins,1)),
AND(INDEX(Règles_bovins[Specificite],MATCH(RationHivernaleBovinsAuPré&amp;$BB311,Règles_bovins[Ration]&amp;Règles_bovins[Aliment],0))="s2",IF($BB311=Spécificité2Bovins,1)),
INDEX(Règles_bovins[Specificite],MATCH(RationHivernaleBovinsAuPré&amp;$BB311,Règles_bovins[Ration]&amp;Règles_bovins[Aliment],0))="c"),
INDEX(Règles_bovins[Valeur 0-3],MATCH(RationHivernaleBovinsAuPré&amp;$BB311,Règles_bovins[Ration]&amp;Règles_bovins[Aliment],0)),0),0)*IF(SUM(TotalBovins_0_3moisAuPré)&gt;0,SUM(TotalBovins_0_3moisAuPré),SUM(TotalBovins_0_3mois))*35</f>
        <v>0</v>
      </c>
      <c r="BJ311" s="1270">
        <f t="shared" si="78"/>
        <v>0</v>
      </c>
      <c r="BK311" s="1345"/>
      <c r="BL311" s="1345"/>
      <c r="BM311" s="1321"/>
      <c r="BN311" s="1321"/>
      <c r="BO311" s="1321"/>
      <c r="BP311" s="1321"/>
      <c r="BQ311" s="1321"/>
      <c r="BR311" s="1321"/>
      <c r="BS311" s="1321"/>
      <c r="BT311" s="1321"/>
      <c r="BU311" s="1321"/>
      <c r="BV311" s="1345"/>
      <c r="BW311" s="1345"/>
      <c r="BX311" s="1321"/>
      <c r="BY311" s="1321"/>
      <c r="BZ311" s="1321"/>
      <c r="CA311" s="1321"/>
      <c r="CB311" s="1321"/>
      <c r="CC311" s="1321"/>
      <c r="CD311" s="1345"/>
      <c r="CE311" s="1345"/>
      <c r="CF311" s="1345"/>
      <c r="CG311" s="1345"/>
      <c r="CH311" s="1345"/>
      <c r="CI311" s="1321"/>
      <c r="CJ311" s="1321"/>
      <c r="CK311" s="1321"/>
      <c r="CL311" s="1321"/>
      <c r="CM311" s="1321"/>
      <c r="CN311" s="1321"/>
      <c r="CO311" s="1321"/>
      <c r="CP311" s="1321"/>
      <c r="CQ311" s="1321"/>
      <c r="CR311" s="1321"/>
      <c r="CS311" s="1321"/>
      <c r="CT311" s="1321"/>
      <c r="CU311" s="1321"/>
      <c r="CV311" s="1321"/>
      <c r="CW311" s="1321"/>
      <c r="CX311" s="1321"/>
      <c r="CY311" s="1321"/>
      <c r="CZ311" s="1321"/>
      <c r="DA311" s="1321"/>
      <c r="DB311" s="1321"/>
      <c r="DC311" s="1321"/>
      <c r="DD311" s="1321"/>
      <c r="DE311" s="1321"/>
      <c r="DF311" s="1321"/>
      <c r="DG311" s="1321"/>
      <c r="DH311" s="1321"/>
      <c r="DI311" s="1321"/>
      <c r="DJ311" s="1321"/>
      <c r="DK311" s="1321"/>
      <c r="DL311" s="1321"/>
      <c r="DM311" s="1321"/>
      <c r="DN311" s="1076" t="str">
        <f t="shared" si="80"/>
        <v>Maïs grain</v>
      </c>
      <c r="DO311" s="1267">
        <f t="array" ref="DO311">SUM((IF(QualitéAlimentsAgneauMâle_0_3_mois=BONNE,VLOOKUP("Maïs grain",AlimentsRationOvinsMâles,5,FALSE),0)+(IF(QualitéAlimentsAgneauFemelle_0_3_mois=BONNE,VLOOKUP("Maïs grain",AlimentsRationOvinsFemelles,5,FALSE),0)+(IF(QualitéAlimentsAgneauMâle_3_6_mois=BONNE,VLOOKUP("Maïs grain",AlimentsRationOvinsMâles,4,FALSE),0)+(IF(QualitéAlimentsAgneauFemelle_3_6_mois=BONNE,VLOOKUP("Maïs grain",AlimentsRationOvinsFemelles,4,FALSE),0)+(IF(QualitéAlimentsJeuneBélier=BONNE,VLOOKUP("Maïs grain",AlimentsRationOvinsMâles,3,FALSE),0)+(IF(QualitéAlimentsJeuneBrebis=BONNE,VLOOKUP("Maïs grain",AlimentsRationOvinsFemelles,3,FALSE),0)+(IF(QualitéAlimentsBélier=BONNE,VLOOKUP("Maïs grain",AlimentsRationOvinsMâles,2,FALSE),0)+(IF(QualitéAlimentsBrebis=BONNE,VLOOKUP("Maïs grain",AlimentsRationOvinsFemelles,2,FALSE),0))))))))))</f>
        <v>0</v>
      </c>
      <c r="DP311" s="1267">
        <f t="array" ref="DP311">SUM((IF(QualitéAlimentsAgneauMâle_0_3_mois=MOYENNE,VLOOKUP("Maïs grain",AlimentsRationOvinsMâles,5,FALSE),0)+(IF(QualitéAlimentsAgneauFemelle_0_3_mois=MOYENNE,VLOOKUP("Maïs grain",AlimentsRationOvinsFemelles,5,FALSE),0)+(IF(QualitéAlimentsAgneauMâle_3_6_mois=MOYENNE,VLOOKUP("Maïs grain",AlimentsRationOvinsMâles,4,FALSE),0)+(IF(QualitéAlimentsAgneauFemelle_3_6_mois=MOYENNE,VLOOKUP("Maïs grain",AlimentsRationOvinsFemelles,4,FALSE),0)+(IF(QualitéAlimentsJeuneBélier=MOYENNE,VLOOKUP("Maïs grain",AlimentsRationOvinsMâles,3,FALSE),0)+(IF(QualitéAlimentsJeuneBrebis=MOYENNE,VLOOKUP("Maïs grain",AlimentsRationOvinsFemelles,3,FALSE),0)+(IF(QualitéAlimentsBélier=MOYENNE,VLOOKUP("Maïs grain",AlimentsRationOvinsMâles,2,FALSE),0)+(IF(QualitéAlimentsBrebis=MOYENNE,VLOOKUP("Maïs grain",AlimentsRationOvinsFemelles,2,FALSE),0))))))))))</f>
        <v>0</v>
      </c>
      <c r="DQ311" s="1267">
        <f t="array" ref="DQ311">SUM((IF(QualitéAlimentsAgneauMâle_0_3_mois=MAUVAISE,VLOOKUP("Maïs grain",AlimentsRationOvinsMâles,5,FALSE),0)+(IF(QualitéAlimentsAgneauFemelle_0_3_mois=MAUVAISE,VLOOKUP("Maïs grain",AlimentsRationOvinsFemelles,5,FALSE),0)+(IF(QualitéAlimentsAgneauMâle_3_6_mois=MAUVAISE,VLOOKUP("Maïs grain",AlimentsRationOvinsMâles,4,FALSE),0)+(IF(QualitéAlimentsAgneauFemelle_3_6_mois=MAUVAISE,VLOOKUP("Maïs grain",AlimentsRationOvinsFemelles,4,FALSE),0)+(IF(QualitéAlimentsJeuneBélier=MAUVAISE,VLOOKUP("Maïs grain",AlimentsRationOvinsMâles,3,FALSE),0)+(IF(QualitéAlimentsJeuneBrebis=MAUVAISE,VLOOKUP("Maïs grain",AlimentsRationOvinsFemelles,3,FALSE),0)+(IF(QualitéAlimentsBélier=MAUVAISE,VLOOKUP("Maïs grain",AlimentsRationOvinsMâles,2,FALSE),0)+(IF(QualitéAlimentsBrebis=MAUVAISE,VLOOKUP("Maïs grain",AlimentsRationOvinsFemelles,2,FALSE),0))))))))))</f>
        <v>0</v>
      </c>
      <c r="DR311" s="1321"/>
      <c r="DS311" s="1321"/>
      <c r="DT311" s="1346"/>
      <c r="DU311" s="1346"/>
      <c r="DV311" s="1321"/>
      <c r="DW311" s="1321"/>
      <c r="DX311" s="1321"/>
      <c r="DY311" s="1321"/>
      <c r="DZ311" s="1321"/>
      <c r="EA311" s="1321"/>
      <c r="EB311" s="1321"/>
      <c r="EC311" s="1321"/>
      <c r="ED311" s="1345"/>
      <c r="EE311" s="1345"/>
      <c r="EF311" s="1321"/>
      <c r="EG311" s="1321"/>
      <c r="EH311" s="1321"/>
      <c r="EI311" s="1321"/>
      <c r="EJ311" s="1321"/>
      <c r="EK311" s="1345"/>
      <c r="EL311" s="1345"/>
      <c r="EM311" s="1321"/>
      <c r="EN311" s="1321"/>
      <c r="EO311" s="1321"/>
      <c r="EP311" s="1321"/>
      <c r="EQ311" s="1321"/>
      <c r="ER311" s="1345"/>
      <c r="ES311" s="1345"/>
      <c r="ET311" s="1321"/>
      <c r="EU311" s="1321"/>
      <c r="EV311" s="1321"/>
      <c r="EW311" s="1321"/>
      <c r="EX311" s="1321"/>
      <c r="EY311" s="1321"/>
      <c r="EZ311" s="1345"/>
      <c r="FA311" s="1345"/>
      <c r="FB311" s="1345"/>
      <c r="FC311" s="1321"/>
      <c r="FD311" s="1321"/>
      <c r="FE311" s="1321"/>
      <c r="FF311" s="1321"/>
      <c r="FG311" s="1321"/>
      <c r="FH311" s="1321"/>
      <c r="FI311" s="1345"/>
      <c r="FJ311" s="1345"/>
      <c r="FK311" s="1345"/>
      <c r="FL311" s="1345"/>
      <c r="FM311" s="1321"/>
      <c r="FN311" s="1321"/>
      <c r="FO311" s="1321"/>
      <c r="FP311" s="1321"/>
      <c r="FQ311" s="1321"/>
      <c r="FR311" s="1321"/>
      <c r="FS311" s="1345"/>
      <c r="FT311" s="1345"/>
      <c r="FU311" s="1345"/>
      <c r="FV311" s="1345"/>
      <c r="FW311" s="1321"/>
      <c r="FX311" s="1321"/>
      <c r="FY311" s="1321"/>
      <c r="FZ311" s="1321"/>
      <c r="GA311" s="1345"/>
      <c r="GB311" s="1321"/>
      <c r="GC311" s="1321"/>
      <c r="GD311" s="1321"/>
      <c r="GE311" s="1321"/>
      <c r="GF311" s="1321"/>
      <c r="GG311" s="1321" t="s">
        <v>1349</v>
      </c>
      <c r="GH311" s="1321" t="s">
        <v>1349</v>
      </c>
      <c r="GI311" s="1321" t="s">
        <v>1349</v>
      </c>
      <c r="GJ311" s="1321" t="s">
        <v>1349</v>
      </c>
      <c r="GK311" s="1321" t="s">
        <v>1349</v>
      </c>
      <c r="GL311" s="1321" t="s">
        <v>1349</v>
      </c>
      <c r="GM311" s="1321" t="s">
        <v>1349</v>
      </c>
      <c r="GN311" s="1321" t="s">
        <v>1349</v>
      </c>
      <c r="GO311" s="1321" t="s">
        <v>1349</v>
      </c>
      <c r="GP311" s="1321" t="s">
        <v>1349</v>
      </c>
      <c r="GQ311" s="1321" t="s">
        <v>1349</v>
      </c>
      <c r="GR311" s="1321" t="s">
        <v>1349</v>
      </c>
      <c r="GS311" s="1321" t="s">
        <v>1349</v>
      </c>
      <c r="GT311" s="1321" t="s">
        <v>1349</v>
      </c>
      <c r="GU311" s="1321" t="s">
        <v>1349</v>
      </c>
      <c r="GV311" s="1321" t="s">
        <v>1349</v>
      </c>
      <c r="GW311" s="1321"/>
      <c r="GX311" s="1321"/>
      <c r="GY311" s="1321"/>
      <c r="GZ311" s="1321"/>
      <c r="HA311" s="1321"/>
      <c r="HB311" s="1321"/>
      <c r="HC311" s="1321"/>
      <c r="HD311" s="1321"/>
      <c r="HE311" s="1321"/>
      <c r="HF311" s="1321"/>
      <c r="HG311" s="1321"/>
      <c r="HH311" s="1321"/>
      <c r="HI311" s="1321"/>
      <c r="HJ311" s="1321"/>
      <c r="HK311" s="1321"/>
      <c r="HL311" s="1321"/>
      <c r="HM311" s="1321"/>
      <c r="HN311" s="1321"/>
      <c r="HO311" s="1321"/>
      <c r="HP311" s="1321"/>
      <c r="HQ311" s="1321"/>
      <c r="HR311" s="1321"/>
      <c r="HS311" s="1321"/>
      <c r="HT311" s="1321"/>
      <c r="HU311" s="1321"/>
      <c r="HV311" s="1321"/>
      <c r="HW311" s="1321"/>
      <c r="HX311" s="1321"/>
      <c r="HY311" s="1321"/>
      <c r="HZ311" s="1321"/>
      <c r="IA311" s="1321"/>
      <c r="IB311" s="1321"/>
      <c r="IC311" s="1321"/>
      <c r="ID311" s="1321"/>
      <c r="IE311" s="1321"/>
      <c r="IF311" s="1321"/>
      <c r="IG311" s="1321"/>
      <c r="IH311" s="1321"/>
      <c r="II311" s="1321"/>
      <c r="IJ311" s="1321"/>
      <c r="IK311" s="1321"/>
      <c r="IL311" s="1321"/>
      <c r="IM311" s="1321"/>
      <c r="IN311" s="1368"/>
    </row>
    <row r="312" spans="1:248" ht="12.75" customHeight="1" x14ac:dyDescent="0.2">
      <c r="A312" s="1319"/>
      <c r="B312" s="1321"/>
      <c r="C312" s="1321"/>
      <c r="D312" s="1321"/>
      <c r="E312" s="1321"/>
      <c r="F312" s="1321"/>
      <c r="G312" s="1321"/>
      <c r="H312" s="1321"/>
      <c r="I312" s="1321"/>
      <c r="J312" s="1321"/>
      <c r="K312" s="1321"/>
      <c r="L312" s="1321"/>
      <c r="M312" s="1321"/>
      <c r="N312" s="1321"/>
      <c r="O312" s="1321"/>
      <c r="P312" s="1321"/>
      <c r="Q312" s="1321"/>
      <c r="R312" s="1321"/>
      <c r="S312" s="1321"/>
      <c r="T312" s="1321"/>
      <c r="U312" s="1321"/>
      <c r="V312" s="1321"/>
      <c r="W312" s="1321"/>
      <c r="X312" s="1321"/>
      <c r="Y312" s="1321"/>
      <c r="Z312" s="1321"/>
      <c r="AA312" s="1321"/>
      <c r="AB312" s="1321"/>
      <c r="AC312" s="1321"/>
      <c r="AD312" s="1321"/>
      <c r="AE312" s="1321"/>
      <c r="AF312" s="1321"/>
      <c r="AG312" s="1321"/>
      <c r="AH312" s="1321"/>
      <c r="AI312" s="1321"/>
      <c r="AJ312" s="1321"/>
      <c r="AK312" s="1321"/>
      <c r="AL312" s="1321"/>
      <c r="AM312" s="1321"/>
      <c r="AN312" s="1321"/>
      <c r="AO312" s="1321"/>
      <c r="AP312" s="1321"/>
      <c r="AQ312" s="1321"/>
      <c r="AR312" s="1321"/>
      <c r="AS312" s="1321"/>
      <c r="AT312" s="1321"/>
      <c r="AU312" s="1321"/>
      <c r="AV312" s="1321"/>
      <c r="AW312" s="1321"/>
      <c r="AX312" s="1321"/>
      <c r="AY312" s="1321"/>
      <c r="AZ312" s="1321"/>
      <c r="BA312" s="1321"/>
      <c r="BB312" s="1076" t="str">
        <f t="shared" si="79"/>
        <v>Sorgho ensilé</v>
      </c>
      <c r="BC312" s="1076">
        <f t="array" ref="BC312">IFERROR(IF(OR(AND(INDEX(Règles_bovins[Specificite],MATCH(RationHivernaleBovinsAuPré&amp;$BB312,Règles_bovins[Ration]&amp;Règles_bovins[Aliment],0))="s1",IF($BB312=Spécificité1Bovins,1)),
AND(INDEX(Règles_bovins[Specificite],MATCH(RationHivernaleBovinsAuPré&amp;$BB312,Règles_bovins[Ration]&amp;Règles_bovins[Aliment],0))="s2",IF($BB312=Spécificité2Bovins,1)),
INDEX(Règles_bovins[Specificite],MATCH(RationHivernaleBovinsAuPré&amp;$BB312,Règles_bovins[Ration]&amp;Règles_bovins[Aliment],0))="c"),
INDEX(Règles_bovins[Valeur 36 et plus],MATCH(RationHivernaleBovinsAuPré&amp;$BB312,Règles_bovins[Ration]&amp;Règles_bovins[Aliment],0)),0),0)*IF(SUM(TotalBovinsAdultesAuPré)&gt;0,SUM(TotalBovinsAdultesAuPré),SUM(TotalBovinsAdultes))*35</f>
        <v>0</v>
      </c>
      <c r="BD312" s="1076">
        <f t="array" ref="BD312">IFERROR(IF(OR(AND(INDEX(Règles_bovins[Specificite],MATCH(RationHivernaleBovinsAuPré&amp;$BB312,Règles_bovins[Ration]&amp;Règles_bovins[Aliment],0))="s1",IF($BB312=Spécificité1Bovins,1)),
AND(INDEX(Règles_bovins[Specificite],MATCH(RationHivernaleBovinsAuPré&amp;$BB312,Règles_bovins[Ration]&amp;Règles_bovins[Aliment],0))="s2",IF($BB312=Spécificité2Bovins,1)),
INDEX(Règles_bovins[Specificite],MATCH(RationHivernaleBovinsAuPré&amp;$BB312,Règles_bovins[Ration]&amp;Règles_bovins[Aliment],0))="c"),
INDEX(Règles_bovins[Valeur 24-36],MATCH(RationHivernaleBovinsAuPré&amp;$BB312,Règles_bovins[Ration]&amp;Règles_bovins[Aliment],0)),0),0)*IF(SUM(TotalBovins_24_36moisAuPré)&gt;0,SUM(TotalBovins_24_36moisAuPré),SUM(TotalBovins_24_36mois))*35</f>
        <v>0</v>
      </c>
      <c r="BE312" s="1076">
        <f t="array" ref="BE312">IFERROR(IF(OR(AND(INDEX(Règles_bovins[Specificite],MATCH(RationHivernaleBovinsAuPré&amp;$BB312,Règles_bovins[Ration]&amp;Règles_bovins[Aliment],0))="s1",IF($BB312=Spécificité1Bovins,1)),
AND(INDEX(Règles_bovins[Specificite],MATCH(RationHivernaleBovinsAuPré&amp;$BB312,Règles_bovins[Ration]&amp;Règles_bovins[Aliment],0))="s2",IF($BB312=Spécificité2Bovins,1)),
INDEX(Règles_bovins[Specificite],MATCH(RationHivernaleBovinsAuPré&amp;$BB312,Règles_bovins[Ration]&amp;Règles_bovins[Aliment],0))="c"),
INDEX(Règles_bovins[Valeur 18-24],MATCH(RationHivernaleBovinsAuPré&amp;$BB312,Règles_bovins[Ration]&amp;Règles_bovins[Aliment],0)),0),0)*IF(SUM(TotalBovins_18_24moisAuPré)&gt;0,SUM(TotalBovins_18_24moisAuPré),SUM(TotalBovins_18_24mois))*35</f>
        <v>0</v>
      </c>
      <c r="BF312" s="1076">
        <f t="array" ref="BF312">IFERROR(IF(OR(AND(INDEX(Règles_bovins[Specificite],MATCH(RationHivernaleBovinsAuPré&amp;$BB312,Règles_bovins[Ration]&amp;Règles_bovins[Aliment],0))="s1",IF($BB312=Spécificité1Bovins,1)),
AND(INDEX(Règles_bovins[Specificite],MATCH(RationHivernaleBovinsAuPré&amp;$BB312,Règles_bovins[Ration]&amp;Règles_bovins[Aliment],0))="s2",IF($BB312=Spécificité2Bovins,1)),
INDEX(Règles_bovins[Specificite],MATCH(RationHivernaleBovinsAuPré&amp;$BB312,Règles_bovins[Ration]&amp;Règles_bovins[Aliment],0))="c"),
INDEX(Règles_bovins[Valeur 12-18],MATCH(RationHivernaleBovinsAuPré&amp;$BB312,Règles_bovins[Ration]&amp;Règles_bovins[Aliment],0)),0),0)*IF(SUM(TotalBovins_12_18moisAuPré)&gt;0,SUM(TotalBovins_12_18moisAuPré),SUM(TotalBovins_12_18mois))*35</f>
        <v>0</v>
      </c>
      <c r="BG312" s="1076">
        <f t="array" ref="BG312">IFERROR(IF(OR(AND(INDEX(Règles_bovins[Specificite],MATCH(RationHivernaleBovinsAuPré&amp;$BB312,Règles_bovins[Ration]&amp;Règles_bovins[Aliment],0))="s1",IF($BB312=Spécificité1Bovins,1)),
AND(INDEX(Règles_bovins[Specificite],MATCH(RationHivernaleBovinsAuPré&amp;$BB312,Règles_bovins[Ration]&amp;Règles_bovins[Aliment],0))="s2",IF($BB312=Spécificité2Bovins,1)),
INDEX(Règles_bovins[Specificite],MATCH(RationHivernaleBovinsAuPré&amp;$BB312,Règles_bovins[Ration]&amp;Règles_bovins[Aliment],0))="c"),
INDEX(Règles_bovins[Valeur 6-12],MATCH(RationHivernaleBovinsAuPré&amp;$BB312,Règles_bovins[Ration]&amp;Règles_bovins[Aliment],0)),0),0)*IF(SUM(TotalBovins_6_12moisAuPré)&gt;0,SUM(TotalBovins_6_12moisAuPré),SUM(TotalBovins_6_12mois))*35</f>
        <v>0</v>
      </c>
      <c r="BH312" s="1076">
        <f t="array" ref="BH312">IFERROR(IF(OR(AND(INDEX(Règles_bovins[Specificite],MATCH(RationHivernaleBovinsAuPré&amp;$BB312,Règles_bovins[Ration]&amp;Règles_bovins[Aliment],0))="s1",IF($BB312=Spécificité1Bovins,1)),
AND(INDEX(Règles_bovins[Specificite],MATCH(RationHivernaleBovinsAuPré&amp;$BB312,Règles_bovins[Ration]&amp;Règles_bovins[Aliment],0))="s2",IF($BB312=Spécificité2Bovins,1)),
INDEX(Règles_bovins[Specificite],MATCH(RationHivernaleBovinsAuPré&amp;$BB312,Règles_bovins[Ration]&amp;Règles_bovins[Aliment],0))="c"),
INDEX(Règles_bovins[Valeur 3-6],MATCH(RationHivernaleBovinsAuPré&amp;$BB312,Règles_bovins[Ration]&amp;Règles_bovins[Aliment],0)),0),0)*IF(SUM(TotalBovins_3_6moisAuPré)&gt;0,SUM(TotalBovins_3_6moisAuPré),SUM(TotalBovins_3_6mois))*35</f>
        <v>0</v>
      </c>
      <c r="BI312" s="1076">
        <f t="array" ref="BI312">IFERROR(IF(OR(AND(INDEX(Règles_bovins[Specificite],MATCH(RationHivernaleBovinsAuPré&amp;$BB312,Règles_bovins[Ration]&amp;Règles_bovins[Aliment],0))="s1",IF($BB312=Spécificité1Bovins,1)),
AND(INDEX(Règles_bovins[Specificite],MATCH(RationHivernaleBovinsAuPré&amp;$BB312,Règles_bovins[Ration]&amp;Règles_bovins[Aliment],0))="s2",IF($BB312=Spécificité2Bovins,1)),
INDEX(Règles_bovins[Specificite],MATCH(RationHivernaleBovinsAuPré&amp;$BB312,Règles_bovins[Ration]&amp;Règles_bovins[Aliment],0))="c"),
INDEX(Règles_bovins[Valeur 0-3],MATCH(RationHivernaleBovinsAuPré&amp;$BB312,Règles_bovins[Ration]&amp;Règles_bovins[Aliment],0)),0),0)*IF(SUM(TotalBovins_0_3moisAuPré)&gt;0,SUM(TotalBovins_0_3moisAuPré),SUM(TotalBovins_0_3mois))*35</f>
        <v>0</v>
      </c>
      <c r="BJ312" s="1268">
        <f t="shared" si="78"/>
        <v>0</v>
      </c>
      <c r="BK312" s="1345"/>
      <c r="BL312" s="1345"/>
      <c r="BM312" s="1321"/>
      <c r="BN312" s="1321"/>
      <c r="BO312" s="1321"/>
      <c r="BP312" s="1321"/>
      <c r="BQ312" s="1321"/>
      <c r="BR312" s="1321"/>
      <c r="BS312" s="1321"/>
      <c r="BT312" s="1321"/>
      <c r="BU312" s="1321"/>
      <c r="BV312" s="1345"/>
      <c r="BW312" s="1345"/>
      <c r="BX312" s="1321"/>
      <c r="BY312" s="1321"/>
      <c r="BZ312" s="1321"/>
      <c r="CA312" s="1321"/>
      <c r="CB312" s="1321"/>
      <c r="CC312" s="1321"/>
      <c r="CD312" s="1345"/>
      <c r="CE312" s="1345"/>
      <c r="CF312" s="1345"/>
      <c r="CG312" s="1345"/>
      <c r="CH312" s="1345"/>
      <c r="CI312" s="1321"/>
      <c r="CJ312" s="1321"/>
      <c r="CK312" s="1321"/>
      <c r="CL312" s="1321"/>
      <c r="CM312" s="1321"/>
      <c r="CN312" s="1321"/>
      <c r="CO312" s="1321"/>
      <c r="CP312" s="1321"/>
      <c r="CQ312" s="1321"/>
      <c r="CR312" s="1321"/>
      <c r="CS312" s="1321"/>
      <c r="CT312" s="1321"/>
      <c r="CU312" s="1321"/>
      <c r="CV312" s="1321"/>
      <c r="CW312" s="1321"/>
      <c r="CX312" s="1321"/>
      <c r="CY312" s="1321"/>
      <c r="CZ312" s="1321"/>
      <c r="DA312" s="1321"/>
      <c r="DB312" s="1321"/>
      <c r="DC312" s="1321"/>
      <c r="DD312" s="1321"/>
      <c r="DE312" s="1321"/>
      <c r="DF312" s="1321"/>
      <c r="DG312" s="1321"/>
      <c r="DH312" s="1321"/>
      <c r="DI312" s="1321"/>
      <c r="DJ312" s="1321"/>
      <c r="DK312" s="1321"/>
      <c r="DL312" s="1321"/>
      <c r="DM312" s="1321"/>
      <c r="DN312" s="1075" t="str">
        <f t="shared" si="80"/>
        <v>Minéraux + vitamines</v>
      </c>
      <c r="DO312" s="1269">
        <f t="array" ref="DO312">SUM((IF(QualitéAlimentsAgneauMâle_0_3_mois=BONNE,VLOOKUP("Minéraux + vitamines",AlimentsRationOvinsMâles,5,FALSE),0)+(IF(QualitéAlimentsAgneauFemelle_0_3_mois=BONNE,VLOOKUP("Minéraux + vitamines",AlimentsRationOvinsFemelles,5,FALSE),0)+(IF(QualitéAlimentsAgneauMâle_3_6_mois=BONNE,VLOOKUP("Minéraux + vitamines",AlimentsRationOvinsMâles,4,FALSE),0)+(IF(QualitéAlimentsAgneauFemelle_3_6_mois=BONNE,VLOOKUP("Minéraux + vitamines",AlimentsRationOvinsFemelles,4,FALSE),0)+(IF(QualitéAlimentsJeuneBélier=BONNE,VLOOKUP("Minéraux + vitamines",AlimentsRationOvinsMâles,3,FALSE),0)+(IF(QualitéAlimentsJeuneBrebis=BONNE,VLOOKUP("Minéraux + vitamines",AlimentsRationOvinsFemelles,3,FALSE),0)+(IF(QualitéAlimentsBélier=BONNE,VLOOKUP("Minéraux + vitamines",AlimentsRationOvinsMâles,2,FALSE),0)+(IF(QualitéAlimentsBrebis=BONNE,VLOOKUP("Minéraux + vitamines",AlimentsRationOvinsFemelles,2,FALSE),0))))))))))</f>
        <v>0</v>
      </c>
      <c r="DP312" s="1269">
        <f t="array" ref="DP312">SUM((IF(QualitéAlimentsAgneauMâle_0_3_mois=MOYENNE,VLOOKUP("Minéraux + vitamines",AlimentsRationOvinsMâles,5,FALSE),0)+(IF(QualitéAlimentsAgneauFemelle_0_3_mois=MOYENNE,VLOOKUP("Minéraux + vitamines",AlimentsRationOvinsFemelles,5,FALSE),0)+(IF(QualitéAlimentsAgneauMâle_3_6_mois=MOYENNE,VLOOKUP("Minéraux + vitamines",AlimentsRationOvinsMâles,4,FALSE),0)+(IF(QualitéAlimentsAgneauFemelle_3_6_mois=MOYENNE,VLOOKUP("Minéraux + vitamines",AlimentsRationOvinsFemelles,4,FALSE),0)+(IF(QualitéAlimentsJeuneBélier=MOYENNE,VLOOKUP("Minéraux + vitamines",AlimentsRationOvinsMâles,3,FALSE),0)+(IF(QualitéAlimentsJeuneBrebis=MOYENNE,VLOOKUP("Minéraux + vitamines",AlimentsRationOvinsFemelles,3,FALSE),0)+(IF(QualitéAlimentsBélier=MOYENNE,VLOOKUP("Minéraux + vitamines",AlimentsRationOvinsMâles,2,FALSE),0)+(IF(QualitéAlimentsBrebis=MOYENNE,VLOOKUP("Minéraux + vitamines",AlimentsRationOvinsFemelles,2,FALSE),0))))))))))</f>
        <v>0</v>
      </c>
      <c r="DQ312" s="1269">
        <f t="array" ref="DQ312">SUM((IF(QualitéAlimentsAgneauMâle_0_3_mois=MAUVAISE,VLOOKUP("Minéraux + vitamines",AlimentsRationOvinsMâles,5,FALSE),0)+(IF(QualitéAlimentsAgneauFemelle_0_3_mois=MAUVAISE,VLOOKUP("Minéraux + vitamines",AlimentsRationOvinsFemelles,5,FALSE),0)+(IF(QualitéAlimentsAgneauMâle_3_6_mois=MAUVAISE,VLOOKUP("Minéraux + vitamines",AlimentsRationOvinsMâles,4,FALSE),0)+(IF(QualitéAlimentsAgneauFemelle_3_6_mois=MAUVAISE,VLOOKUP("Minéraux + vitamines",AlimentsRationOvinsFemelles,4,FALSE),0)+(IF(QualitéAlimentsJeuneBélier=MAUVAISE,VLOOKUP("Minéraux + vitamines",AlimentsRationOvinsMâles,3,FALSE),0)+(IF(QualitéAlimentsJeuneBrebis=MAUVAISE,VLOOKUP("Minéraux + vitamines",AlimentsRationOvinsFemelles,3,FALSE),0)+(IF(QualitéAlimentsBélier=MAUVAISE,VLOOKUP("Minéraux + vitamines",AlimentsRationOvinsMâles,2,FALSE),0)+(IF(QualitéAlimentsBrebis=MAUVAISE,VLOOKUP("Minéraux + vitamines",AlimentsRationOvinsFemelles,2,FALSE),0))))))))))</f>
        <v>0</v>
      </c>
      <c r="DR312" s="1321"/>
      <c r="DS312" s="1321"/>
      <c r="DT312" s="1346"/>
      <c r="DU312" s="1346"/>
      <c r="DV312" s="1321"/>
      <c r="DW312" s="1321"/>
      <c r="DX312" s="1321"/>
      <c r="DY312" s="1321"/>
      <c r="DZ312" s="1321"/>
      <c r="EA312" s="1321"/>
      <c r="EB312" s="1321"/>
      <c r="EC312" s="1321"/>
      <c r="ED312" s="1345"/>
      <c r="EE312" s="1345"/>
      <c r="EF312" s="1321"/>
      <c r="EG312" s="1321"/>
      <c r="EH312" s="1321"/>
      <c r="EI312" s="1321"/>
      <c r="EJ312" s="1321"/>
      <c r="EK312" s="1345"/>
      <c r="EL312" s="1345"/>
      <c r="EM312" s="1321"/>
      <c r="EN312" s="1321"/>
      <c r="EO312" s="1321"/>
      <c r="EP312" s="1321"/>
      <c r="EQ312" s="1321"/>
      <c r="ER312" s="1345"/>
      <c r="ES312" s="1345"/>
      <c r="ET312" s="1321"/>
      <c r="EU312" s="1321"/>
      <c r="EV312" s="1321"/>
      <c r="EW312" s="1321"/>
      <c r="EX312" s="1321"/>
      <c r="EY312" s="1321"/>
      <c r="EZ312" s="1345"/>
      <c r="FA312" s="1345"/>
      <c r="FB312" s="1345"/>
      <c r="FC312" s="1321"/>
      <c r="FD312" s="1321"/>
      <c r="FE312" s="1321"/>
      <c r="FF312" s="1321"/>
      <c r="FG312" s="1321"/>
      <c r="FH312" s="1321"/>
      <c r="FI312" s="1345"/>
      <c r="FJ312" s="1345"/>
      <c r="FK312" s="1345"/>
      <c r="FL312" s="1345"/>
      <c r="FM312" s="1321"/>
      <c r="FN312" s="1321"/>
      <c r="FO312" s="1321"/>
      <c r="FP312" s="1321"/>
      <c r="FQ312" s="1321"/>
      <c r="FR312" s="1321"/>
      <c r="FS312" s="1345"/>
      <c r="FT312" s="1345"/>
      <c r="FU312" s="1345"/>
      <c r="FV312" s="1345"/>
      <c r="FW312" s="1321"/>
      <c r="FX312" s="1321"/>
      <c r="FY312" s="1321"/>
      <c r="FZ312" s="1321"/>
      <c r="GA312" s="1345"/>
      <c r="GB312" s="1321"/>
      <c r="GC312" s="1321"/>
      <c r="GD312" s="1321"/>
      <c r="GE312" s="1321"/>
      <c r="GF312" s="1321"/>
      <c r="GG312" s="1321" t="s">
        <v>1349</v>
      </c>
      <c r="GH312" s="1321" t="s">
        <v>1349</v>
      </c>
      <c r="GI312" s="1321" t="s">
        <v>1349</v>
      </c>
      <c r="GJ312" s="1321" t="s">
        <v>1349</v>
      </c>
      <c r="GK312" s="1321" t="s">
        <v>1349</v>
      </c>
      <c r="GL312" s="1321" t="s">
        <v>1349</v>
      </c>
      <c r="GM312" s="1321" t="s">
        <v>1349</v>
      </c>
      <c r="GN312" s="1321" t="s">
        <v>1349</v>
      </c>
      <c r="GO312" s="1321" t="s">
        <v>1349</v>
      </c>
      <c r="GP312" s="1321" t="s">
        <v>1349</v>
      </c>
      <c r="GQ312" s="1321" t="s">
        <v>1349</v>
      </c>
      <c r="GR312" s="1321" t="s">
        <v>1349</v>
      </c>
      <c r="GS312" s="1321" t="s">
        <v>1349</v>
      </c>
      <c r="GT312" s="1321" t="s">
        <v>1349</v>
      </c>
      <c r="GU312" s="1321" t="s">
        <v>1349</v>
      </c>
      <c r="GV312" s="1321" t="s">
        <v>1349</v>
      </c>
      <c r="GW312" s="1321"/>
      <c r="GX312" s="1321"/>
      <c r="GY312" s="1321"/>
      <c r="GZ312" s="1321"/>
      <c r="HA312" s="1321"/>
      <c r="HB312" s="1321"/>
      <c r="HC312" s="1321"/>
      <c r="HD312" s="1321"/>
      <c r="HE312" s="1321"/>
      <c r="HF312" s="1321"/>
      <c r="HG312" s="1321"/>
      <c r="HH312" s="1321"/>
      <c r="HI312" s="1321"/>
      <c r="HJ312" s="1321"/>
      <c r="HK312" s="1321"/>
      <c r="HL312" s="1321"/>
      <c r="HM312" s="1321"/>
      <c r="HN312" s="1321"/>
      <c r="HO312" s="1321"/>
      <c r="HP312" s="1321"/>
      <c r="HQ312" s="1321"/>
      <c r="HR312" s="1321"/>
      <c r="HS312" s="1321"/>
      <c r="HT312" s="1321"/>
      <c r="HU312" s="1321"/>
      <c r="HV312" s="1321"/>
      <c r="HW312" s="1321"/>
      <c r="HX312" s="1321"/>
      <c r="HY312" s="1321"/>
      <c r="HZ312" s="1321"/>
      <c r="IA312" s="1321"/>
      <c r="IB312" s="1321"/>
      <c r="IC312" s="1321"/>
      <c r="ID312" s="1321"/>
      <c r="IE312" s="1321"/>
      <c r="IF312" s="1321"/>
      <c r="IG312" s="1321"/>
      <c r="IH312" s="1321"/>
      <c r="II312" s="1321"/>
      <c r="IJ312" s="1321"/>
      <c r="IK312" s="1321"/>
      <c r="IL312" s="1321"/>
      <c r="IM312" s="1321"/>
      <c r="IN312" s="1368"/>
    </row>
    <row r="313" spans="1:248" ht="12.75" customHeight="1" x14ac:dyDescent="0.2">
      <c r="A313" s="1319"/>
      <c r="B313" s="1321"/>
      <c r="C313" s="1321"/>
      <c r="D313" s="1321"/>
      <c r="E313" s="1321"/>
      <c r="F313" s="1321"/>
      <c r="G313" s="1321"/>
      <c r="H313" s="1321"/>
      <c r="I313" s="1321"/>
      <c r="J313" s="1321"/>
      <c r="K313" s="1321"/>
      <c r="L313" s="1321"/>
      <c r="M313" s="1321"/>
      <c r="N313" s="1321"/>
      <c r="O313" s="1321"/>
      <c r="P313" s="1321"/>
      <c r="Q313" s="1321"/>
      <c r="R313" s="1321"/>
      <c r="S313" s="1321"/>
      <c r="T313" s="1321"/>
      <c r="U313" s="1321"/>
      <c r="V313" s="1321"/>
      <c r="W313" s="1321"/>
      <c r="X313" s="1321"/>
      <c r="Y313" s="1321"/>
      <c r="Z313" s="1321"/>
      <c r="AA313" s="1321"/>
      <c r="AB313" s="1321"/>
      <c r="AC313" s="1321"/>
      <c r="AD313" s="1321"/>
      <c r="AE313" s="1321"/>
      <c r="AF313" s="1321"/>
      <c r="AG313" s="1321"/>
      <c r="AH313" s="1321"/>
      <c r="AI313" s="1321"/>
      <c r="AJ313" s="1321"/>
      <c r="AK313" s="1321"/>
      <c r="AL313" s="1321"/>
      <c r="AM313" s="1321"/>
      <c r="AN313" s="1321"/>
      <c r="AO313" s="1321"/>
      <c r="AP313" s="1321"/>
      <c r="AQ313" s="1321"/>
      <c r="AR313" s="1321"/>
      <c r="AS313" s="1321"/>
      <c r="AT313" s="1321"/>
      <c r="AU313" s="1321"/>
      <c r="AV313" s="1321"/>
      <c r="AW313" s="1321"/>
      <c r="AX313" s="1321"/>
      <c r="AY313" s="1321"/>
      <c r="AZ313" s="1321"/>
      <c r="BA313" s="1321"/>
      <c r="BB313" s="1075" t="str">
        <f t="shared" si="79"/>
        <v>Tournesol</v>
      </c>
      <c r="BC313" s="1075">
        <f t="array" ref="BC313">IFERROR(IF(OR(AND(INDEX(Règles_bovins[Specificite],MATCH(RationHivernaleBovinsAuPré&amp;$BB313,Règles_bovins[Ration]&amp;Règles_bovins[Aliment],0))="s1",IF($BB313=Spécificité1Bovins,1)),
AND(INDEX(Règles_bovins[Specificite],MATCH(RationHivernaleBovinsAuPré&amp;$BB313,Règles_bovins[Ration]&amp;Règles_bovins[Aliment],0))="s2",IF($BB313=Spécificité2Bovins,1)),
INDEX(Règles_bovins[Specificite],MATCH(RationHivernaleBovinsAuPré&amp;$BB313,Règles_bovins[Ration]&amp;Règles_bovins[Aliment],0))="c"),
INDEX(Règles_bovins[Valeur 36 et plus],MATCH(RationHivernaleBovinsAuPré&amp;$BB313,Règles_bovins[Ration]&amp;Règles_bovins[Aliment],0)),0),0)*IF(SUM(TotalBovinsAdultesAuPré)&gt;0,SUM(TotalBovinsAdultesAuPré),SUM(TotalBovinsAdultes))*35</f>
        <v>0</v>
      </c>
      <c r="BD313" s="1075">
        <f t="array" ref="BD313">IFERROR(IF(OR(AND(INDEX(Règles_bovins[Specificite],MATCH(RationHivernaleBovinsAuPré&amp;$BB313,Règles_bovins[Ration]&amp;Règles_bovins[Aliment],0))="s1",IF($BB313=Spécificité1Bovins,1)),
AND(INDEX(Règles_bovins[Specificite],MATCH(RationHivernaleBovinsAuPré&amp;$BB313,Règles_bovins[Ration]&amp;Règles_bovins[Aliment],0))="s2",IF($BB313=Spécificité2Bovins,1)),
INDEX(Règles_bovins[Specificite],MATCH(RationHivernaleBovinsAuPré&amp;$BB313,Règles_bovins[Ration]&amp;Règles_bovins[Aliment],0))="c"),
INDEX(Règles_bovins[Valeur 24-36],MATCH(RationHivernaleBovinsAuPré&amp;$BB313,Règles_bovins[Ration]&amp;Règles_bovins[Aliment],0)),0),0)*IF(SUM(TotalBovins_24_36moisAuPré)&gt;0,SUM(TotalBovins_24_36moisAuPré),SUM(TotalBovins_24_36mois))*35</f>
        <v>0</v>
      </c>
      <c r="BE313" s="1075">
        <f t="array" ref="BE313">IFERROR(IF(OR(AND(INDEX(Règles_bovins[Specificite],MATCH(RationHivernaleBovinsAuPré&amp;$BB313,Règles_bovins[Ration]&amp;Règles_bovins[Aliment],0))="s1",IF($BB313=Spécificité1Bovins,1)),
AND(INDEX(Règles_bovins[Specificite],MATCH(RationHivernaleBovinsAuPré&amp;$BB313,Règles_bovins[Ration]&amp;Règles_bovins[Aliment],0))="s2",IF($BB313=Spécificité2Bovins,1)),
INDEX(Règles_bovins[Specificite],MATCH(RationHivernaleBovinsAuPré&amp;$BB313,Règles_bovins[Ration]&amp;Règles_bovins[Aliment],0))="c"),
INDEX(Règles_bovins[Valeur 18-24],MATCH(RationHivernaleBovinsAuPré&amp;$BB313,Règles_bovins[Ration]&amp;Règles_bovins[Aliment],0)),0),0)*IF(SUM(TotalBovins_18_24moisAuPré)&gt;0,SUM(TotalBovins_18_24moisAuPré),SUM(TotalBovins_18_24mois))*35</f>
        <v>0</v>
      </c>
      <c r="BF313" s="1075">
        <f t="array" ref="BF313">IFERROR(IF(OR(AND(INDEX(Règles_bovins[Specificite],MATCH(RationHivernaleBovinsAuPré&amp;$BB313,Règles_bovins[Ration]&amp;Règles_bovins[Aliment],0))="s1",IF($BB313=Spécificité1Bovins,1)),
AND(INDEX(Règles_bovins[Specificite],MATCH(RationHivernaleBovinsAuPré&amp;$BB313,Règles_bovins[Ration]&amp;Règles_bovins[Aliment],0))="s2",IF($BB313=Spécificité2Bovins,1)),
INDEX(Règles_bovins[Specificite],MATCH(RationHivernaleBovinsAuPré&amp;$BB313,Règles_bovins[Ration]&amp;Règles_bovins[Aliment],0))="c"),
INDEX(Règles_bovins[Valeur 12-18],MATCH(RationHivernaleBovinsAuPré&amp;$BB313,Règles_bovins[Ration]&amp;Règles_bovins[Aliment],0)),0),0)*IF(SUM(TotalBovins_12_18moisAuPré)&gt;0,SUM(TotalBovins_12_18moisAuPré),SUM(TotalBovins_12_18mois))*35</f>
        <v>0</v>
      </c>
      <c r="BG313" s="1075">
        <f t="array" ref="BG313">IFERROR(IF(OR(AND(INDEX(Règles_bovins[Specificite],MATCH(RationHivernaleBovinsAuPré&amp;$BB313,Règles_bovins[Ration]&amp;Règles_bovins[Aliment],0))="s1",IF($BB313=Spécificité1Bovins,1)),
AND(INDEX(Règles_bovins[Specificite],MATCH(RationHivernaleBovinsAuPré&amp;$BB313,Règles_bovins[Ration]&amp;Règles_bovins[Aliment],0))="s2",IF($BB313=Spécificité2Bovins,1)),
INDEX(Règles_bovins[Specificite],MATCH(RationHivernaleBovinsAuPré&amp;$BB313,Règles_bovins[Ration]&amp;Règles_bovins[Aliment],0))="c"),
INDEX(Règles_bovins[Valeur 6-12],MATCH(RationHivernaleBovinsAuPré&amp;$BB313,Règles_bovins[Ration]&amp;Règles_bovins[Aliment],0)),0),0)*IF(SUM(TotalBovins_6_12moisAuPré)&gt;0,SUM(TotalBovins_6_12moisAuPré),SUM(TotalBovins_6_12mois))*35</f>
        <v>0</v>
      </c>
      <c r="BH313" s="1075">
        <f t="array" ref="BH313">IFERROR(IF(OR(AND(INDEX(Règles_bovins[Specificite],MATCH(RationHivernaleBovinsAuPré&amp;$BB313,Règles_bovins[Ration]&amp;Règles_bovins[Aliment],0))="s1",IF($BB313=Spécificité1Bovins,1)),
AND(INDEX(Règles_bovins[Specificite],MATCH(RationHivernaleBovinsAuPré&amp;$BB313,Règles_bovins[Ration]&amp;Règles_bovins[Aliment],0))="s2",IF($BB313=Spécificité2Bovins,1)),
INDEX(Règles_bovins[Specificite],MATCH(RationHivernaleBovinsAuPré&amp;$BB313,Règles_bovins[Ration]&amp;Règles_bovins[Aliment],0))="c"),
INDEX(Règles_bovins[Valeur 3-6],MATCH(RationHivernaleBovinsAuPré&amp;$BB313,Règles_bovins[Ration]&amp;Règles_bovins[Aliment],0)),0),0)*IF(SUM(TotalBovins_3_6moisAuPré)&gt;0,SUM(TotalBovins_3_6moisAuPré),SUM(TotalBovins_3_6mois))*35</f>
        <v>0</v>
      </c>
      <c r="BI313" s="1075">
        <f t="array" ref="BI313">IFERROR(IF(OR(AND(INDEX(Règles_bovins[Specificite],MATCH(RationHivernaleBovinsAuPré&amp;$BB313,Règles_bovins[Ration]&amp;Règles_bovins[Aliment],0))="s1",IF($BB313=Spécificité1Bovins,1)),
AND(INDEX(Règles_bovins[Specificite],MATCH(RationHivernaleBovinsAuPré&amp;$BB313,Règles_bovins[Ration]&amp;Règles_bovins[Aliment],0))="s2",IF($BB313=Spécificité2Bovins,1)),
INDEX(Règles_bovins[Specificite],MATCH(RationHivernaleBovinsAuPré&amp;$BB313,Règles_bovins[Ration]&amp;Règles_bovins[Aliment],0))="c"),
INDEX(Règles_bovins[Valeur 0-3],MATCH(RationHivernaleBovinsAuPré&amp;$BB313,Règles_bovins[Ration]&amp;Règles_bovins[Aliment],0)),0),0)*IF(SUM(TotalBovins_0_3moisAuPré)&gt;0,SUM(TotalBovins_0_3moisAuPré),SUM(TotalBovins_0_3mois))*35</f>
        <v>0</v>
      </c>
      <c r="BJ313" s="1270">
        <f t="shared" si="78"/>
        <v>0</v>
      </c>
      <c r="BK313" s="1345"/>
      <c r="BL313" s="1345"/>
      <c r="BM313" s="1321"/>
      <c r="BN313" s="1321"/>
      <c r="BO313" s="1321"/>
      <c r="BP313" s="1321"/>
      <c r="BQ313" s="1321"/>
      <c r="BR313" s="1321"/>
      <c r="BS313" s="1321"/>
      <c r="BT313" s="1321"/>
      <c r="BU313" s="1321"/>
      <c r="BV313" s="1345"/>
      <c r="BW313" s="1345"/>
      <c r="BX313" s="1321"/>
      <c r="BY313" s="1321"/>
      <c r="BZ313" s="1321"/>
      <c r="CA313" s="1321"/>
      <c r="CB313" s="1321"/>
      <c r="CC313" s="1321"/>
      <c r="CD313" s="1345"/>
      <c r="CE313" s="1345"/>
      <c r="CF313" s="1345"/>
      <c r="CG313" s="1345"/>
      <c r="CH313" s="1345"/>
      <c r="CI313" s="1321"/>
      <c r="CJ313" s="1321"/>
      <c r="CK313" s="1321"/>
      <c r="CL313" s="1321"/>
      <c r="CM313" s="1321"/>
      <c r="CN313" s="1321"/>
      <c r="CO313" s="1321"/>
      <c r="CP313" s="1321"/>
      <c r="CQ313" s="1321"/>
      <c r="CR313" s="1321"/>
      <c r="CS313" s="1321"/>
      <c r="CT313" s="1321"/>
      <c r="CU313" s="1321"/>
      <c r="CV313" s="1321"/>
      <c r="CW313" s="1321"/>
      <c r="CX313" s="1321"/>
      <c r="CY313" s="1321"/>
      <c r="CZ313" s="1321"/>
      <c r="DA313" s="1321"/>
      <c r="DB313" s="1321"/>
      <c r="DC313" s="1321"/>
      <c r="DD313" s="1321"/>
      <c r="DE313" s="1321"/>
      <c r="DF313" s="1321"/>
      <c r="DG313" s="1321"/>
      <c r="DH313" s="1321"/>
      <c r="DI313" s="1321"/>
      <c r="DJ313" s="1321"/>
      <c r="DK313" s="1321"/>
      <c r="DL313" s="1321"/>
      <c r="DM313" s="1321"/>
      <c r="DN313" s="1076" t="str">
        <f t="shared" si="80"/>
        <v>Orge</v>
      </c>
      <c r="DO313" s="1267">
        <f t="array" ref="DO313">SUM((IF(QualitéAlimentsAgneauMâle_0_3_mois=BONNE,VLOOKUP("Orge",AlimentsRationOvinsMâles,5,FALSE),0)+(IF(QualitéAlimentsAgneauFemelle_0_3_mois=BONNE,VLOOKUP("Orge",AlimentsRationOvinsFemelles,5,FALSE),0)+(IF(QualitéAlimentsAgneauMâle_3_6_mois=BONNE,VLOOKUP("Orge",AlimentsRationOvinsMâles,4,FALSE),0)+(IF(QualitéAlimentsAgneauFemelle_3_6_mois=BONNE,VLOOKUP("Orge",AlimentsRationOvinsFemelles,4,FALSE),0)+(IF(QualitéAlimentsJeuneBélier=BONNE,VLOOKUP("Orge",AlimentsRationOvinsMâles,3,FALSE),0)+(IF(QualitéAlimentsJeuneBrebis=BONNE,VLOOKUP("Orge",AlimentsRationOvinsFemelles,3,FALSE),0)+(IF(QualitéAlimentsBélier=BONNE,VLOOKUP("Orge",AlimentsRationOvinsMâles,2,FALSE),0)+(IF(QualitéAlimentsBrebis=BONNE,VLOOKUP("Orge",AlimentsRationOvinsFemelles,2,FALSE),0))))))))))</f>
        <v>0</v>
      </c>
      <c r="DP313" s="1267">
        <f t="array" ref="DP313">SUM((IF(QualitéAlimentsAgneauMâle_0_3_mois=MOYENNE,VLOOKUP("Orge",AlimentsRationOvinsMâles,5,FALSE),0)+(IF(QualitéAlimentsAgneauFemelle_0_3_mois=MOYENNE,VLOOKUP("Orge",AlimentsRationOvinsFemelles,5,FALSE),0)+(IF(QualitéAlimentsAgneauMâle_3_6_mois=MOYENNE,VLOOKUP("Orge",AlimentsRationOvinsMâles,4,FALSE),0)+(IF(QualitéAlimentsAgneauFemelle_3_6_mois=MOYENNE,VLOOKUP("Orge",AlimentsRationOvinsFemelles,4,FALSE),0)+(IF(QualitéAlimentsJeuneBélier=MOYENNE,VLOOKUP("Orge",AlimentsRationOvinsMâles,3,FALSE),0)+(IF(QualitéAlimentsJeuneBrebis=MOYENNE,VLOOKUP("Orge",AlimentsRationOvinsFemelles,3,FALSE),0)+(IF(QualitéAlimentsBélier=MOYENNE,VLOOKUP("Orge",AlimentsRationOvinsMâles,2,FALSE),0)+(IF(QualitéAlimentsBrebis=MOYENNE,VLOOKUP("Orge",AlimentsRationOvinsFemelles,2,FALSE),0))))))))))</f>
        <v>0</v>
      </c>
      <c r="DQ313" s="1267">
        <f t="array" ref="DQ313">SUM((IF(QualitéAlimentsAgneauMâle_0_3_mois=MAUVAISE,VLOOKUP("Orge",AlimentsRationOvinsMâles,5,FALSE),0)+(IF(QualitéAlimentsAgneauFemelle_0_3_mois=MAUVAISE,VLOOKUP("Orge",AlimentsRationOvinsFemelles,5,FALSE),0)+(IF(QualitéAlimentsAgneauMâle_3_6_mois=MAUVAISE,VLOOKUP("Orge",AlimentsRationOvinsMâles,4,FALSE),0)+(IF(QualitéAlimentsAgneauFemelle_3_6_mois=MAUVAISE,VLOOKUP("Orge",AlimentsRationOvinsFemelles,4,FALSE),0)+(IF(QualitéAlimentsJeuneBélier=MAUVAISE,VLOOKUP("Orge",AlimentsRationOvinsMâles,3,FALSE),0)+(IF(QualitéAlimentsJeuneBrebis=MAUVAISE,VLOOKUP("Orge",AlimentsRationOvinsFemelles,3,FALSE),0)+(IF(QualitéAlimentsBélier=MAUVAISE,VLOOKUP("Orge",AlimentsRationOvinsMâles,2,FALSE),0)+(IF(QualitéAlimentsBrebis=MAUVAISE,VLOOKUP("Orge",AlimentsRationOvinsFemelles,2,FALSE),0))))))))))</f>
        <v>0</v>
      </c>
      <c r="DR313" s="1321"/>
      <c r="DS313" s="1321"/>
      <c r="DT313" s="1346"/>
      <c r="DU313" s="1346"/>
      <c r="DV313" s="1321"/>
      <c r="DW313" s="1321"/>
      <c r="DX313" s="1321"/>
      <c r="DY313" s="1321"/>
      <c r="DZ313" s="1321"/>
      <c r="EA313" s="1321"/>
      <c r="EB313" s="1321"/>
      <c r="EC313" s="1321"/>
      <c r="ED313" s="1345"/>
      <c r="EE313" s="1345"/>
      <c r="EF313" s="1321"/>
      <c r="EG313" s="1321"/>
      <c r="EH313" s="1321"/>
      <c r="EI313" s="1321"/>
      <c r="EJ313" s="1321"/>
      <c r="EK313" s="1345"/>
      <c r="EL313" s="1345"/>
      <c r="EM313" s="1321"/>
      <c r="EN313" s="1321"/>
      <c r="EO313" s="1321"/>
      <c r="EP313" s="1321"/>
      <c r="EQ313" s="1321"/>
      <c r="ER313" s="1345"/>
      <c r="ES313" s="1345"/>
      <c r="ET313" s="1321"/>
      <c r="EU313" s="1321"/>
      <c r="EV313" s="1321"/>
      <c r="EW313" s="1321"/>
      <c r="EX313" s="1321"/>
      <c r="EY313" s="1321"/>
      <c r="EZ313" s="1345"/>
      <c r="FA313" s="1345"/>
      <c r="FB313" s="1345"/>
      <c r="FC313" s="1321"/>
      <c r="FD313" s="1321"/>
      <c r="FE313" s="1321"/>
      <c r="FF313" s="1321"/>
      <c r="FG313" s="1321"/>
      <c r="FH313" s="1321"/>
      <c r="FI313" s="1345"/>
      <c r="FJ313" s="1345"/>
      <c r="FK313" s="1345"/>
      <c r="FL313" s="1345"/>
      <c r="FM313" s="1321"/>
      <c r="FN313" s="1321"/>
      <c r="FO313" s="1321"/>
      <c r="FP313" s="1321"/>
      <c r="FQ313" s="1321"/>
      <c r="FR313" s="1321"/>
      <c r="FS313" s="1345"/>
      <c r="FT313" s="1345"/>
      <c r="FU313" s="1345"/>
      <c r="FV313" s="1345"/>
      <c r="FW313" s="1321"/>
      <c r="FX313" s="1321"/>
      <c r="FY313" s="1321"/>
      <c r="FZ313" s="1321"/>
      <c r="GA313" s="1345"/>
      <c r="GB313" s="1321"/>
      <c r="GC313" s="1321"/>
      <c r="GD313" s="1321"/>
      <c r="GE313" s="1321"/>
      <c r="GF313" s="1321"/>
      <c r="GG313" s="1321" t="s">
        <v>1349</v>
      </c>
      <c r="GH313" s="1321" t="s">
        <v>1349</v>
      </c>
      <c r="GI313" s="1321" t="s">
        <v>1349</v>
      </c>
      <c r="GJ313" s="1321" t="s">
        <v>1349</v>
      </c>
      <c r="GK313" s="1321" t="s">
        <v>1349</v>
      </c>
      <c r="GL313" s="1321" t="s">
        <v>1349</v>
      </c>
      <c r="GM313" s="1321" t="s">
        <v>1349</v>
      </c>
      <c r="GN313" s="1321" t="s">
        <v>1349</v>
      </c>
      <c r="GO313" s="1321" t="s">
        <v>1349</v>
      </c>
      <c r="GP313" s="1321" t="s">
        <v>1349</v>
      </c>
      <c r="GQ313" s="1321" t="s">
        <v>1349</v>
      </c>
      <c r="GR313" s="1321" t="s">
        <v>1349</v>
      </c>
      <c r="GS313" s="1321" t="s">
        <v>1349</v>
      </c>
      <c r="GT313" s="1321" t="s">
        <v>1349</v>
      </c>
      <c r="GU313" s="1321" t="s">
        <v>1349</v>
      </c>
      <c r="GV313" s="1321" t="s">
        <v>1349</v>
      </c>
      <c r="GW313" s="1321"/>
      <c r="GX313" s="1321"/>
      <c r="GY313" s="1321"/>
      <c r="GZ313" s="1321"/>
      <c r="HA313" s="1321"/>
      <c r="HB313" s="1321"/>
      <c r="HC313" s="1321"/>
      <c r="HD313" s="1321"/>
      <c r="HE313" s="1321"/>
      <c r="HF313" s="1321"/>
      <c r="HG313" s="1321"/>
      <c r="HH313" s="1321"/>
      <c r="HI313" s="1321"/>
      <c r="HJ313" s="1321"/>
      <c r="HK313" s="1321"/>
      <c r="HL313" s="1321"/>
      <c r="HM313" s="1321"/>
      <c r="HN313" s="1321"/>
      <c r="HO313" s="1321"/>
      <c r="HP313" s="1321"/>
      <c r="HQ313" s="1321"/>
      <c r="HR313" s="1321"/>
      <c r="HS313" s="1321"/>
      <c r="HT313" s="1321"/>
      <c r="HU313" s="1321"/>
      <c r="HV313" s="1321"/>
      <c r="HW313" s="1321"/>
      <c r="HX313" s="1321"/>
      <c r="HY313" s="1321"/>
      <c r="HZ313" s="1321"/>
      <c r="IA313" s="1321"/>
      <c r="IB313" s="1321"/>
      <c r="IC313" s="1321"/>
      <c r="ID313" s="1321"/>
      <c r="IE313" s="1321"/>
      <c r="IF313" s="1321"/>
      <c r="IG313" s="1321"/>
      <c r="IH313" s="1321"/>
      <c r="II313" s="1321"/>
      <c r="IJ313" s="1321"/>
      <c r="IK313" s="1321"/>
      <c r="IL313" s="1321"/>
      <c r="IM313" s="1321"/>
      <c r="IN313" s="1368"/>
    </row>
    <row r="314" spans="1:248" ht="12.75" customHeight="1" x14ac:dyDescent="0.2">
      <c r="A314" s="1319"/>
      <c r="B314" s="1321"/>
      <c r="C314" s="1321"/>
      <c r="D314" s="1321"/>
      <c r="E314" s="1321"/>
      <c r="F314" s="1321"/>
      <c r="G314" s="1321"/>
      <c r="H314" s="1321"/>
      <c r="I314" s="1321"/>
      <c r="J314" s="1321"/>
      <c r="K314" s="1321"/>
      <c r="L314" s="1321"/>
      <c r="M314" s="1321"/>
      <c r="N314" s="1321"/>
      <c r="O314" s="1321"/>
      <c r="P314" s="1321"/>
      <c r="Q314" s="1321"/>
      <c r="R314" s="1321"/>
      <c r="S314" s="1321"/>
      <c r="T314" s="1321"/>
      <c r="U314" s="1321"/>
      <c r="V314" s="1321"/>
      <c r="W314" s="1321"/>
      <c r="X314" s="1321"/>
      <c r="Y314" s="1321"/>
      <c r="Z314" s="1321"/>
      <c r="AA314" s="1321"/>
      <c r="AB314" s="1321"/>
      <c r="AC314" s="1321"/>
      <c r="AD314" s="1321"/>
      <c r="AE314" s="1321"/>
      <c r="AF314" s="1321"/>
      <c r="AG314" s="1321"/>
      <c r="AH314" s="1321"/>
      <c r="AI314" s="1321"/>
      <c r="AJ314" s="1321"/>
      <c r="AK314" s="1321"/>
      <c r="AL314" s="1321"/>
      <c r="AM314" s="1321"/>
      <c r="AN314" s="1321"/>
      <c r="AO314" s="1321"/>
      <c r="AP314" s="1321"/>
      <c r="AQ314" s="1321"/>
      <c r="AR314" s="1321"/>
      <c r="AS314" s="1321"/>
      <c r="AT314" s="1321"/>
      <c r="AU314" s="1321"/>
      <c r="AV314" s="1321"/>
      <c r="AW314" s="1321"/>
      <c r="AX314" s="1321"/>
      <c r="AY314" s="1321"/>
      <c r="AZ314" s="1321"/>
      <c r="BA314" s="1321"/>
      <c r="BB314" s="1076" t="str">
        <f t="shared" si="79"/>
        <v>Tourteau de colza</v>
      </c>
      <c r="BC314" s="1076">
        <f t="array" ref="BC314">IFERROR(IF(OR(AND(INDEX(Règles_bovins[Specificite],MATCH(RationHivernaleBovinsAuPré&amp;$BB314,Règles_bovins[Ration]&amp;Règles_bovins[Aliment],0))="s1",IF($BB314=Spécificité1Bovins,1)),
AND(INDEX(Règles_bovins[Specificite],MATCH(RationHivernaleBovinsAuPré&amp;$BB314,Règles_bovins[Ration]&amp;Règles_bovins[Aliment],0))="s2",IF($BB314=Spécificité2Bovins,1)),
INDEX(Règles_bovins[Specificite],MATCH(RationHivernaleBovinsAuPré&amp;$BB314,Règles_bovins[Ration]&amp;Règles_bovins[Aliment],0))="c"),
INDEX(Règles_bovins[Valeur 36 et plus],MATCH(RationHivernaleBovinsAuPré&amp;$BB314,Règles_bovins[Ration]&amp;Règles_bovins[Aliment],0)),0),0)*IF(SUM(TotalBovinsAdultesAuPré)&gt;0,SUM(TotalBovinsAdultesAuPré),SUM(TotalBovinsAdultes))*35</f>
        <v>0</v>
      </c>
      <c r="BD314" s="1076">
        <f t="array" ref="BD314">IFERROR(IF(OR(AND(INDEX(Règles_bovins[Specificite],MATCH(RationHivernaleBovinsAuPré&amp;$BB314,Règles_bovins[Ration]&amp;Règles_bovins[Aliment],0))="s1",IF($BB314=Spécificité1Bovins,1)),
AND(INDEX(Règles_bovins[Specificite],MATCH(RationHivernaleBovinsAuPré&amp;$BB314,Règles_bovins[Ration]&amp;Règles_bovins[Aliment],0))="s2",IF($BB314=Spécificité2Bovins,1)),
INDEX(Règles_bovins[Specificite],MATCH(RationHivernaleBovinsAuPré&amp;$BB314,Règles_bovins[Ration]&amp;Règles_bovins[Aliment],0))="c"),
INDEX(Règles_bovins[Valeur 24-36],MATCH(RationHivernaleBovinsAuPré&amp;$BB314,Règles_bovins[Ration]&amp;Règles_bovins[Aliment],0)),0),0)*IF(SUM(TotalBovins_24_36moisAuPré)&gt;0,SUM(TotalBovins_24_36moisAuPré),SUM(TotalBovins_24_36mois))*35</f>
        <v>0</v>
      </c>
      <c r="BE314" s="1076">
        <f t="array" ref="BE314">IFERROR(IF(OR(AND(INDEX(Règles_bovins[Specificite],MATCH(RationHivernaleBovinsAuPré&amp;$BB314,Règles_bovins[Ration]&amp;Règles_bovins[Aliment],0))="s1",IF($BB314=Spécificité1Bovins,1)),
AND(INDEX(Règles_bovins[Specificite],MATCH(RationHivernaleBovinsAuPré&amp;$BB314,Règles_bovins[Ration]&amp;Règles_bovins[Aliment],0))="s2",IF($BB314=Spécificité2Bovins,1)),
INDEX(Règles_bovins[Specificite],MATCH(RationHivernaleBovinsAuPré&amp;$BB314,Règles_bovins[Ration]&amp;Règles_bovins[Aliment],0))="c"),
INDEX(Règles_bovins[Valeur 18-24],MATCH(RationHivernaleBovinsAuPré&amp;$BB314,Règles_bovins[Ration]&amp;Règles_bovins[Aliment],0)),0),0)*IF(SUM(TotalBovins_18_24moisAuPré)&gt;0,SUM(TotalBovins_18_24moisAuPré),SUM(TotalBovins_18_24mois))*35</f>
        <v>0</v>
      </c>
      <c r="BF314" s="1076">
        <f t="array" ref="BF314">IFERROR(IF(OR(AND(INDEX(Règles_bovins[Specificite],MATCH(RationHivernaleBovinsAuPré&amp;$BB314,Règles_bovins[Ration]&amp;Règles_bovins[Aliment],0))="s1",IF($BB314=Spécificité1Bovins,1)),
AND(INDEX(Règles_bovins[Specificite],MATCH(RationHivernaleBovinsAuPré&amp;$BB314,Règles_bovins[Ration]&amp;Règles_bovins[Aliment],0))="s2",IF($BB314=Spécificité2Bovins,1)),
INDEX(Règles_bovins[Specificite],MATCH(RationHivernaleBovinsAuPré&amp;$BB314,Règles_bovins[Ration]&amp;Règles_bovins[Aliment],0))="c"),
INDEX(Règles_bovins[Valeur 12-18],MATCH(RationHivernaleBovinsAuPré&amp;$BB314,Règles_bovins[Ration]&amp;Règles_bovins[Aliment],0)),0),0)*IF(SUM(TotalBovins_12_18moisAuPré)&gt;0,SUM(TotalBovins_12_18moisAuPré),SUM(TotalBovins_12_18mois))*35</f>
        <v>0</v>
      </c>
      <c r="BG314" s="1076">
        <f t="array" ref="BG314">IFERROR(IF(OR(AND(INDEX(Règles_bovins[Specificite],MATCH(RationHivernaleBovinsAuPré&amp;$BB314,Règles_bovins[Ration]&amp;Règles_bovins[Aliment],0))="s1",IF($BB314=Spécificité1Bovins,1)),
AND(INDEX(Règles_bovins[Specificite],MATCH(RationHivernaleBovinsAuPré&amp;$BB314,Règles_bovins[Ration]&amp;Règles_bovins[Aliment],0))="s2",IF($BB314=Spécificité2Bovins,1)),
INDEX(Règles_bovins[Specificite],MATCH(RationHivernaleBovinsAuPré&amp;$BB314,Règles_bovins[Ration]&amp;Règles_bovins[Aliment],0))="c"),
INDEX(Règles_bovins[Valeur 6-12],MATCH(RationHivernaleBovinsAuPré&amp;$BB314,Règles_bovins[Ration]&amp;Règles_bovins[Aliment],0)),0),0)*IF(SUM(TotalBovins_6_12moisAuPré)&gt;0,SUM(TotalBovins_6_12moisAuPré),SUM(TotalBovins_6_12mois))*35</f>
        <v>0</v>
      </c>
      <c r="BH314" s="1076">
        <f t="array" ref="BH314">IFERROR(IF(OR(AND(INDEX(Règles_bovins[Specificite],MATCH(RationHivernaleBovinsAuPré&amp;$BB314,Règles_bovins[Ration]&amp;Règles_bovins[Aliment],0))="s1",IF($BB314=Spécificité1Bovins,1)),
AND(INDEX(Règles_bovins[Specificite],MATCH(RationHivernaleBovinsAuPré&amp;$BB314,Règles_bovins[Ration]&amp;Règles_bovins[Aliment],0))="s2",IF($BB314=Spécificité2Bovins,1)),
INDEX(Règles_bovins[Specificite],MATCH(RationHivernaleBovinsAuPré&amp;$BB314,Règles_bovins[Ration]&amp;Règles_bovins[Aliment],0))="c"),
INDEX(Règles_bovins[Valeur 3-6],MATCH(RationHivernaleBovinsAuPré&amp;$BB314,Règles_bovins[Ration]&amp;Règles_bovins[Aliment],0)),0),0)*IF(SUM(TotalBovins_3_6moisAuPré)&gt;0,SUM(TotalBovins_3_6moisAuPré),SUM(TotalBovins_3_6mois))*35</f>
        <v>0</v>
      </c>
      <c r="BI314" s="1076">
        <f t="array" ref="BI314">IFERROR(IF(OR(AND(INDEX(Règles_bovins[Specificite],MATCH(RationHivernaleBovinsAuPré&amp;$BB314,Règles_bovins[Ration]&amp;Règles_bovins[Aliment],0))="s1",IF($BB314=Spécificité1Bovins,1)),
AND(INDEX(Règles_bovins[Specificite],MATCH(RationHivernaleBovinsAuPré&amp;$BB314,Règles_bovins[Ration]&amp;Règles_bovins[Aliment],0))="s2",IF($BB314=Spécificité2Bovins,1)),
INDEX(Règles_bovins[Specificite],MATCH(RationHivernaleBovinsAuPré&amp;$BB314,Règles_bovins[Ration]&amp;Règles_bovins[Aliment],0))="c"),
INDEX(Règles_bovins[Valeur 0-3],MATCH(RationHivernaleBovinsAuPré&amp;$BB314,Règles_bovins[Ration]&amp;Règles_bovins[Aliment],0)),0),0)*IF(SUM(TotalBovins_0_3moisAuPré)&gt;0,SUM(TotalBovins_0_3moisAuPré),SUM(TotalBovins_0_3mois))*35</f>
        <v>0</v>
      </c>
      <c r="BJ314" s="1268">
        <f t="shared" si="78"/>
        <v>0</v>
      </c>
      <c r="BK314" s="1345"/>
      <c r="BL314" s="1345"/>
      <c r="BM314" s="1321"/>
      <c r="BN314" s="1321"/>
      <c r="BO314" s="1321"/>
      <c r="BP314" s="1321"/>
      <c r="BQ314" s="1321"/>
      <c r="BR314" s="1321"/>
      <c r="BS314" s="1321"/>
      <c r="BT314" s="1321"/>
      <c r="BU314" s="1321"/>
      <c r="BV314" s="1345"/>
      <c r="BW314" s="1345"/>
      <c r="BX314" s="1321"/>
      <c r="BY314" s="1321"/>
      <c r="BZ314" s="1321"/>
      <c r="CA314" s="1321"/>
      <c r="CB314" s="1321"/>
      <c r="CC314" s="1321"/>
      <c r="CD314" s="1345"/>
      <c r="CE314" s="1345"/>
      <c r="CF314" s="1345"/>
      <c r="CG314" s="1345"/>
      <c r="CH314" s="1345"/>
      <c r="CI314" s="1321"/>
      <c r="CJ314" s="1321"/>
      <c r="CK314" s="1321"/>
      <c r="CL314" s="1321"/>
      <c r="CM314" s="1321"/>
      <c r="CN314" s="1321"/>
      <c r="CO314" s="1321"/>
      <c r="CP314" s="1321"/>
      <c r="CQ314" s="1321"/>
      <c r="CR314" s="1321"/>
      <c r="CS314" s="1321"/>
      <c r="CT314" s="1321"/>
      <c r="CU314" s="1321"/>
      <c r="CV314" s="1321"/>
      <c r="CW314" s="1321"/>
      <c r="CX314" s="1321"/>
      <c r="CY314" s="1321"/>
      <c r="CZ314" s="1321"/>
      <c r="DA314" s="1321"/>
      <c r="DB314" s="1321"/>
      <c r="DC314" s="1321"/>
      <c r="DD314" s="1321"/>
      <c r="DE314" s="1321"/>
      <c r="DF314" s="1321"/>
      <c r="DG314" s="1321"/>
      <c r="DH314" s="1321"/>
      <c r="DI314" s="1321"/>
      <c r="DJ314" s="1321"/>
      <c r="DK314" s="1321"/>
      <c r="DL314" s="1321"/>
      <c r="DM314" s="1321"/>
      <c r="DN314" s="1075" t="str">
        <f t="shared" si="80"/>
        <v>Paille</v>
      </c>
      <c r="DO314" s="1269">
        <f t="array" ref="DO314">SUM((IF(QualitéAlimentsAgneauMâle_0_3_mois=BONNE,VLOOKUP("Paille",AlimentsRationOvinsMâles,5,FALSE),0)+(IF(QualitéAlimentsAgneauFemelle_0_3_mois=BONNE,VLOOKUP("Paille",AlimentsRationOvinsFemelles,5,FALSE),0)+(IF(QualitéAlimentsAgneauMâle_3_6_mois=BONNE,VLOOKUP("Paille",AlimentsRationOvinsMâles,4,FALSE),0)+(IF(QualitéAlimentsAgneauFemelle_3_6_mois=BONNE,VLOOKUP("Paille",AlimentsRationOvinsFemelles,4,FALSE),0)+(IF(QualitéAlimentsJeuneBélier=BONNE,VLOOKUP("Paille",AlimentsRationOvinsMâles,3,FALSE),0)+(IF(QualitéAlimentsJeuneBrebis=BONNE,VLOOKUP("Paille",AlimentsRationOvinsFemelles,3,FALSE),0)+(IF(QualitéAlimentsBélier=BONNE,VLOOKUP("Paille",AlimentsRationOvinsMâles,2,FALSE),0)+(IF(QualitéAlimentsBrebis=BONNE,VLOOKUP("Paille",AlimentsRationOvinsFemelles,2,FALSE),0))))))))))</f>
        <v>0</v>
      </c>
      <c r="DP314" s="1269">
        <f t="array" ref="DP314">SUM((IF(QualitéAlimentsAgneauMâle_0_3_mois=MOYENNE,VLOOKUP("Paille",AlimentsRationOvinsMâles,5,FALSE),0)+(IF(QualitéAlimentsAgneauFemelle_0_3_mois=MOYENNE,VLOOKUP("Paille",AlimentsRationOvinsFemelles,5,FALSE),0)+(IF(QualitéAlimentsAgneauMâle_3_6_mois=MOYENNE,VLOOKUP("Paille",AlimentsRationOvinsMâles,4,FALSE),0)+(IF(QualitéAlimentsAgneauFemelle_3_6_mois=MOYENNE,VLOOKUP("Paille",AlimentsRationOvinsFemelles,4,FALSE),0)+(IF(QualitéAlimentsJeuneBélier=MOYENNE,VLOOKUP("Paille",AlimentsRationOvinsMâles,3,FALSE),0)+(IF(QualitéAlimentsJeuneBrebis=MOYENNE,VLOOKUP("Paille",AlimentsRationOvinsFemelles,3,FALSE),0)+(IF(QualitéAlimentsBélier=MOYENNE,VLOOKUP("Paille",AlimentsRationOvinsMâles,2,FALSE),0)+(IF(QualitéAlimentsBrebis=MOYENNE,VLOOKUP("Paille",AlimentsRationOvinsFemelles,2,FALSE),0))))))))))</f>
        <v>0</v>
      </c>
      <c r="DQ314" s="1269">
        <f t="array" ref="DQ314">SUM((IF(QualitéAlimentsAgneauMâle_0_3_mois=MAUVAISE,VLOOKUP("Paille",AlimentsRationOvinsMâles,5,FALSE),0)+(IF(QualitéAlimentsAgneauFemelle_0_3_mois=MAUVAISE,VLOOKUP("Paille",AlimentsRationOvinsFemelles,5,FALSE),0)+(IF(QualitéAlimentsAgneauMâle_3_6_mois=MAUVAISE,VLOOKUP("Paille",AlimentsRationOvinsMâles,4,FALSE),0)+(IF(QualitéAlimentsAgneauFemelle_3_6_mois=MAUVAISE,VLOOKUP("Paille",AlimentsRationOvinsFemelles,4,FALSE),0)+(IF(QualitéAlimentsJeuneBélier=MAUVAISE,VLOOKUP("Paille",AlimentsRationOvinsMâles,3,FALSE),0)+(IF(QualitéAlimentsJeuneBrebis=MAUVAISE,VLOOKUP("Paille",AlimentsRationOvinsFemelles,3,FALSE),0)+(IF(QualitéAlimentsBélier=MAUVAISE,VLOOKUP("Paille",AlimentsRationOvinsMâles,2,FALSE),0)+(IF(QualitéAlimentsBrebis=MAUVAISE,VLOOKUP("Paille",AlimentsRationOvinsFemelles,2,FALSE),0)+SUM(LitièreOvins[[#Totals],[litière tout ovins]:[litière ovins races laitières]]))))))))))</f>
        <v>0</v>
      </c>
      <c r="DR314" s="1321"/>
      <c r="DS314" s="1321"/>
      <c r="DT314" s="1346"/>
      <c r="DU314" s="1346"/>
      <c r="DV314" s="1321"/>
      <c r="DW314" s="1321"/>
      <c r="DX314" s="1321"/>
      <c r="DY314" s="1321"/>
      <c r="DZ314" s="1321"/>
      <c r="EA314" s="1321"/>
      <c r="EB314" s="1321"/>
      <c r="EC314" s="1321"/>
      <c r="ED314" s="1345"/>
      <c r="EE314" s="1345"/>
      <c r="EF314" s="1321"/>
      <c r="EG314" s="1321"/>
      <c r="EH314" s="1321"/>
      <c r="EI314" s="1321"/>
      <c r="EJ314" s="1321"/>
      <c r="EK314" s="1345"/>
      <c r="EL314" s="1345"/>
      <c r="EM314" s="1321"/>
      <c r="EN314" s="1321"/>
      <c r="EO314" s="1321"/>
      <c r="EP314" s="1321"/>
      <c r="EQ314" s="1321"/>
      <c r="ER314" s="1345"/>
      <c r="ES314" s="1345"/>
      <c r="ET314" s="1321"/>
      <c r="EU314" s="1321"/>
      <c r="EV314" s="1321"/>
      <c r="EW314" s="1321"/>
      <c r="EX314" s="1321"/>
      <c r="EY314" s="1321"/>
      <c r="EZ314" s="1345"/>
      <c r="FA314" s="1345"/>
      <c r="FB314" s="1345"/>
      <c r="FC314" s="1321"/>
      <c r="FD314" s="1321"/>
      <c r="FE314" s="1321"/>
      <c r="FF314" s="1321"/>
      <c r="FG314" s="1321"/>
      <c r="FH314" s="1321"/>
      <c r="FI314" s="1345"/>
      <c r="FJ314" s="1345"/>
      <c r="FK314" s="1345"/>
      <c r="FL314" s="1345"/>
      <c r="FM314" s="1321"/>
      <c r="FN314" s="1321"/>
      <c r="FO314" s="1321"/>
      <c r="FP314" s="1321"/>
      <c r="FQ314" s="1321"/>
      <c r="FR314" s="1321"/>
      <c r="FS314" s="1345"/>
      <c r="FT314" s="1345"/>
      <c r="FU314" s="1345"/>
      <c r="FV314" s="1345"/>
      <c r="FW314" s="1321"/>
      <c r="FX314" s="1321"/>
      <c r="FY314" s="1321"/>
      <c r="FZ314" s="1321"/>
      <c r="GA314" s="1345"/>
      <c r="GB314" s="1321"/>
      <c r="GC314" s="1321"/>
      <c r="GD314" s="1321"/>
      <c r="GE314" s="1321"/>
      <c r="GF314" s="1321"/>
      <c r="GG314" s="1321" t="s">
        <v>1349</v>
      </c>
      <c r="GH314" s="1321" t="s">
        <v>1349</v>
      </c>
      <c r="GI314" s="1321" t="s">
        <v>1349</v>
      </c>
      <c r="GJ314" s="1321" t="s">
        <v>1349</v>
      </c>
      <c r="GK314" s="1321" t="s">
        <v>1349</v>
      </c>
      <c r="GL314" s="1321" t="s">
        <v>1349</v>
      </c>
      <c r="GM314" s="1321" t="s">
        <v>1349</v>
      </c>
      <c r="GN314" s="1321" t="s">
        <v>1349</v>
      </c>
      <c r="GO314" s="1321" t="s">
        <v>1349</v>
      </c>
      <c r="GP314" s="1321" t="s">
        <v>1349</v>
      </c>
      <c r="GQ314" s="1321" t="s">
        <v>1349</v>
      </c>
      <c r="GR314" s="1321" t="s">
        <v>1349</v>
      </c>
      <c r="GS314" s="1321" t="s">
        <v>1349</v>
      </c>
      <c r="GT314" s="1321" t="s">
        <v>1349</v>
      </c>
      <c r="GU314" s="1321" t="s">
        <v>1349</v>
      </c>
      <c r="GV314" s="1321" t="s">
        <v>1349</v>
      </c>
      <c r="GW314" s="1321"/>
      <c r="GX314" s="1321"/>
      <c r="GY314" s="1321"/>
      <c r="GZ314" s="1321"/>
      <c r="HA314" s="1321"/>
      <c r="HB314" s="1321"/>
      <c r="HC314" s="1321"/>
      <c r="HD314" s="1321"/>
      <c r="HE314" s="1321"/>
      <c r="HF314" s="1321"/>
      <c r="HG314" s="1321"/>
      <c r="HH314" s="1321"/>
      <c r="HI314" s="1321"/>
      <c r="HJ314" s="1321"/>
      <c r="HK314" s="1321"/>
      <c r="HL314" s="1321"/>
      <c r="HM314" s="1321"/>
      <c r="HN314" s="1321"/>
      <c r="HO314" s="1321"/>
      <c r="HP314" s="1321"/>
      <c r="HQ314" s="1321"/>
      <c r="HR314" s="1321"/>
      <c r="HS314" s="1321"/>
      <c r="HT314" s="1321"/>
      <c r="HU314" s="1321"/>
      <c r="HV314" s="1321"/>
      <c r="HW314" s="1321"/>
      <c r="HX314" s="1321"/>
      <c r="HY314" s="1321"/>
      <c r="HZ314" s="1321"/>
      <c r="IA314" s="1321"/>
      <c r="IB314" s="1321"/>
      <c r="IC314" s="1321"/>
      <c r="ID314" s="1321"/>
      <c r="IE314" s="1321"/>
      <c r="IF314" s="1321"/>
      <c r="IG314" s="1321"/>
      <c r="IH314" s="1321"/>
      <c r="II314" s="1321"/>
      <c r="IJ314" s="1321"/>
      <c r="IK314" s="1321"/>
      <c r="IL314" s="1321"/>
      <c r="IM314" s="1321"/>
      <c r="IN314" s="1368"/>
    </row>
    <row r="315" spans="1:248" ht="12.75" customHeight="1" x14ac:dyDescent="0.2">
      <c r="A315" s="1319"/>
      <c r="B315" s="1321"/>
      <c r="C315" s="1321"/>
      <c r="D315" s="1321"/>
      <c r="E315" s="1321"/>
      <c r="F315" s="1321"/>
      <c r="G315" s="1321"/>
      <c r="H315" s="1321"/>
      <c r="I315" s="1321"/>
      <c r="J315" s="1321"/>
      <c r="K315" s="1321"/>
      <c r="L315" s="1321"/>
      <c r="M315" s="1321"/>
      <c r="N315" s="1321"/>
      <c r="O315" s="1321"/>
      <c r="P315" s="1321"/>
      <c r="Q315" s="1321"/>
      <c r="R315" s="1321"/>
      <c r="S315" s="1321"/>
      <c r="T315" s="1321"/>
      <c r="U315" s="1321"/>
      <c r="V315" s="1321"/>
      <c r="W315" s="1321"/>
      <c r="X315" s="1321"/>
      <c r="Y315" s="1321"/>
      <c r="Z315" s="1321"/>
      <c r="AA315" s="1321"/>
      <c r="AB315" s="1321"/>
      <c r="AC315" s="1321"/>
      <c r="AD315" s="1321"/>
      <c r="AE315" s="1321"/>
      <c r="AF315" s="1321"/>
      <c r="AG315" s="1321"/>
      <c r="AH315" s="1321"/>
      <c r="AI315" s="1321"/>
      <c r="AJ315" s="1321"/>
      <c r="AK315" s="1321"/>
      <c r="AL315" s="1321"/>
      <c r="AM315" s="1321"/>
      <c r="AN315" s="1321"/>
      <c r="AO315" s="1321"/>
      <c r="AP315" s="1321"/>
      <c r="AQ315" s="1321"/>
      <c r="AR315" s="1321"/>
      <c r="AS315" s="1321"/>
      <c r="AT315" s="1321"/>
      <c r="AU315" s="1321"/>
      <c r="AV315" s="1321"/>
      <c r="AW315" s="1321"/>
      <c r="AX315" s="1321"/>
      <c r="AY315" s="1321"/>
      <c r="AZ315" s="1321"/>
      <c r="BA315" s="1321"/>
      <c r="BB315" s="1075" t="str">
        <f t="shared" si="79"/>
        <v>Tourteau de tournesol</v>
      </c>
      <c r="BC315" s="1075">
        <f t="array" ref="BC315">IFERROR(IF(OR(AND(INDEX(Règles_bovins[Specificite],MATCH(RationHivernaleBovinsAuPré&amp;$BB315,Règles_bovins[Ration]&amp;Règles_bovins[Aliment],0))="s1",IF($BB315=Spécificité1Bovins,1)),
AND(INDEX(Règles_bovins[Specificite],MATCH(RationHivernaleBovinsAuPré&amp;$BB315,Règles_bovins[Ration]&amp;Règles_bovins[Aliment],0))="s2",IF($BB315=Spécificité2Bovins,1)),
INDEX(Règles_bovins[Specificite],MATCH(RationHivernaleBovinsAuPré&amp;$BB315,Règles_bovins[Ration]&amp;Règles_bovins[Aliment],0))="c"),
INDEX(Règles_bovins[Valeur 36 et plus],MATCH(RationHivernaleBovinsAuPré&amp;$BB315,Règles_bovins[Ration]&amp;Règles_bovins[Aliment],0)),0),0)*IF(SUM(TotalBovinsAdultesAuPré)&gt;0,SUM(TotalBovinsAdultesAuPré),SUM(TotalBovinsAdultes))*35</f>
        <v>0</v>
      </c>
      <c r="BD315" s="1075">
        <f t="array" ref="BD315">IFERROR(IF(OR(AND(INDEX(Règles_bovins[Specificite],MATCH(RationHivernaleBovinsAuPré&amp;$BB315,Règles_bovins[Ration]&amp;Règles_bovins[Aliment],0))="s1",IF($BB315=Spécificité1Bovins,1)),
AND(INDEX(Règles_bovins[Specificite],MATCH(RationHivernaleBovinsAuPré&amp;$BB315,Règles_bovins[Ration]&amp;Règles_bovins[Aliment],0))="s2",IF($BB315=Spécificité2Bovins,1)),
INDEX(Règles_bovins[Specificite],MATCH(RationHivernaleBovinsAuPré&amp;$BB315,Règles_bovins[Ration]&amp;Règles_bovins[Aliment],0))="c"),
INDEX(Règles_bovins[Valeur 24-36],MATCH(RationHivernaleBovinsAuPré&amp;$BB315,Règles_bovins[Ration]&amp;Règles_bovins[Aliment],0)),0),0)*IF(SUM(TotalBovins_24_36moisAuPré)&gt;0,SUM(TotalBovins_24_36moisAuPré),SUM(TotalBovins_24_36mois))*35</f>
        <v>0</v>
      </c>
      <c r="BE315" s="1075">
        <f t="array" ref="BE315">IFERROR(IF(OR(AND(INDEX(Règles_bovins[Specificite],MATCH(RationHivernaleBovinsAuPré&amp;$BB315,Règles_bovins[Ration]&amp;Règles_bovins[Aliment],0))="s1",IF($BB315=Spécificité1Bovins,1)),
AND(INDEX(Règles_bovins[Specificite],MATCH(RationHivernaleBovinsAuPré&amp;$BB315,Règles_bovins[Ration]&amp;Règles_bovins[Aliment],0))="s2",IF($BB315=Spécificité2Bovins,1)),
INDEX(Règles_bovins[Specificite],MATCH(RationHivernaleBovinsAuPré&amp;$BB315,Règles_bovins[Ration]&amp;Règles_bovins[Aliment],0))="c"),
INDEX(Règles_bovins[Valeur 18-24],MATCH(RationHivernaleBovinsAuPré&amp;$BB315,Règles_bovins[Ration]&amp;Règles_bovins[Aliment],0)),0),0)*IF(SUM(TotalBovins_18_24moisAuPré)&gt;0,SUM(TotalBovins_18_24moisAuPré),SUM(TotalBovins_18_24mois))*35</f>
        <v>0</v>
      </c>
      <c r="BF315" s="1075">
        <f t="array" ref="BF315">IFERROR(IF(OR(AND(INDEX(Règles_bovins[Specificite],MATCH(RationHivernaleBovinsAuPré&amp;$BB315,Règles_bovins[Ration]&amp;Règles_bovins[Aliment],0))="s1",IF($BB315=Spécificité1Bovins,1)),
AND(INDEX(Règles_bovins[Specificite],MATCH(RationHivernaleBovinsAuPré&amp;$BB315,Règles_bovins[Ration]&amp;Règles_bovins[Aliment],0))="s2",IF($BB315=Spécificité2Bovins,1)),
INDEX(Règles_bovins[Specificite],MATCH(RationHivernaleBovinsAuPré&amp;$BB315,Règles_bovins[Ration]&amp;Règles_bovins[Aliment],0))="c"),
INDEX(Règles_bovins[Valeur 12-18],MATCH(RationHivernaleBovinsAuPré&amp;$BB315,Règles_bovins[Ration]&amp;Règles_bovins[Aliment],0)),0),0)*IF(SUM(TotalBovins_12_18moisAuPré)&gt;0,SUM(TotalBovins_12_18moisAuPré),SUM(TotalBovins_12_18mois))*35</f>
        <v>0</v>
      </c>
      <c r="BG315" s="1075">
        <f t="array" ref="BG315">IFERROR(IF(OR(AND(INDEX(Règles_bovins[Specificite],MATCH(RationHivernaleBovinsAuPré&amp;$BB315,Règles_bovins[Ration]&amp;Règles_bovins[Aliment],0))="s1",IF($BB315=Spécificité1Bovins,1)),
AND(INDEX(Règles_bovins[Specificite],MATCH(RationHivernaleBovinsAuPré&amp;$BB315,Règles_bovins[Ration]&amp;Règles_bovins[Aliment],0))="s2",IF($BB315=Spécificité2Bovins,1)),
INDEX(Règles_bovins[Specificite],MATCH(RationHivernaleBovinsAuPré&amp;$BB315,Règles_bovins[Ration]&amp;Règles_bovins[Aliment],0))="c"),
INDEX(Règles_bovins[Valeur 6-12],MATCH(RationHivernaleBovinsAuPré&amp;$BB315,Règles_bovins[Ration]&amp;Règles_bovins[Aliment],0)),0),0)*IF(SUM(TotalBovins_6_12moisAuPré)&gt;0,SUM(TotalBovins_6_12moisAuPré),SUM(TotalBovins_6_12mois))*35</f>
        <v>0</v>
      </c>
      <c r="BH315" s="1075">
        <f t="array" ref="BH315">IFERROR(IF(OR(AND(INDEX(Règles_bovins[Specificite],MATCH(RationHivernaleBovinsAuPré&amp;$BB315,Règles_bovins[Ration]&amp;Règles_bovins[Aliment],0))="s1",IF($BB315=Spécificité1Bovins,1)),
AND(INDEX(Règles_bovins[Specificite],MATCH(RationHivernaleBovinsAuPré&amp;$BB315,Règles_bovins[Ration]&amp;Règles_bovins[Aliment],0))="s2",IF($BB315=Spécificité2Bovins,1)),
INDEX(Règles_bovins[Specificite],MATCH(RationHivernaleBovinsAuPré&amp;$BB315,Règles_bovins[Ration]&amp;Règles_bovins[Aliment],0))="c"),
INDEX(Règles_bovins[Valeur 3-6],MATCH(RationHivernaleBovinsAuPré&amp;$BB315,Règles_bovins[Ration]&amp;Règles_bovins[Aliment],0)),0),0)*IF(SUM(TotalBovins_3_6moisAuPré)&gt;0,SUM(TotalBovins_3_6moisAuPré),SUM(TotalBovins_3_6mois))*35</f>
        <v>0</v>
      </c>
      <c r="BI315" s="1075">
        <f t="array" ref="BI315">IFERROR(IF(OR(AND(INDEX(Règles_bovins[Specificite],MATCH(RationHivernaleBovinsAuPré&amp;$BB315,Règles_bovins[Ration]&amp;Règles_bovins[Aliment],0))="s1",IF($BB315=Spécificité1Bovins,1)),
AND(INDEX(Règles_bovins[Specificite],MATCH(RationHivernaleBovinsAuPré&amp;$BB315,Règles_bovins[Ration]&amp;Règles_bovins[Aliment],0))="s2",IF($BB315=Spécificité2Bovins,1)),
INDEX(Règles_bovins[Specificite],MATCH(RationHivernaleBovinsAuPré&amp;$BB315,Règles_bovins[Ration]&amp;Règles_bovins[Aliment],0))="c"),
INDEX(Règles_bovins[Valeur 0-3],MATCH(RationHivernaleBovinsAuPré&amp;$BB315,Règles_bovins[Ration]&amp;Règles_bovins[Aliment],0)),0),0)*IF(SUM(TotalBovins_0_3moisAuPré)&gt;0,SUM(TotalBovins_0_3moisAuPré),SUM(TotalBovins_0_3mois))*35</f>
        <v>0</v>
      </c>
      <c r="BJ315" s="1270">
        <f t="shared" si="78"/>
        <v>0</v>
      </c>
      <c r="BK315" s="1345"/>
      <c r="BL315" s="1345"/>
      <c r="BM315" s="1321"/>
      <c r="BN315" s="1321"/>
      <c r="BO315" s="1321"/>
      <c r="BP315" s="1321"/>
      <c r="BQ315" s="1321"/>
      <c r="BR315" s="1321"/>
      <c r="BS315" s="1321"/>
      <c r="BT315" s="1321"/>
      <c r="BU315" s="1321"/>
      <c r="BV315" s="1345"/>
      <c r="BW315" s="1345"/>
      <c r="BX315" s="1321"/>
      <c r="BY315" s="1321"/>
      <c r="BZ315" s="1321"/>
      <c r="CA315" s="1321"/>
      <c r="CB315" s="1321"/>
      <c r="CC315" s="1321"/>
      <c r="CD315" s="1345"/>
      <c r="CE315" s="1345"/>
      <c r="CF315" s="1345"/>
      <c r="CG315" s="1345"/>
      <c r="CH315" s="1345"/>
      <c r="CI315" s="1321"/>
      <c r="CJ315" s="1321"/>
      <c r="CK315" s="1321"/>
      <c r="CL315" s="1321"/>
      <c r="CM315" s="1321"/>
      <c r="CN315" s="1321"/>
      <c r="CO315" s="1321"/>
      <c r="CP315" s="1321"/>
      <c r="CQ315" s="1321"/>
      <c r="CR315" s="1321"/>
      <c r="CS315" s="1321"/>
      <c r="CT315" s="1321"/>
      <c r="CU315" s="1321"/>
      <c r="CV315" s="1321"/>
      <c r="CW315" s="1321"/>
      <c r="CX315" s="1321"/>
      <c r="CY315" s="1321"/>
      <c r="CZ315" s="1321"/>
      <c r="DA315" s="1321"/>
      <c r="DB315" s="1321"/>
      <c r="DC315" s="1321"/>
      <c r="DD315" s="1321"/>
      <c r="DE315" s="1321"/>
      <c r="DF315" s="1321"/>
      <c r="DG315" s="1321"/>
      <c r="DH315" s="1321"/>
      <c r="DI315" s="1321"/>
      <c r="DJ315" s="1321"/>
      <c r="DK315" s="1321"/>
      <c r="DL315" s="1321"/>
      <c r="DM315" s="1321"/>
      <c r="DN315" s="1076" t="str">
        <f t="shared" si="80"/>
        <v>Pois</v>
      </c>
      <c r="DO315" s="1267">
        <f t="array" ref="DO315">SUM((IF(QualitéAlimentsAgneauMâle_0_3_mois=BONNE,VLOOKUP("Pois",AlimentsRationOvinsMâles,5,FALSE),0)+(IF(QualitéAlimentsAgneauFemelle_0_3_mois=BONNE,VLOOKUP("Pois",AlimentsRationOvinsFemelles,5,FALSE),0)+(IF(QualitéAlimentsAgneauMâle_3_6_mois=BONNE,VLOOKUP("Pois",AlimentsRationOvinsMâles,4,FALSE),0)+(IF(QualitéAlimentsAgneauFemelle_3_6_mois=BONNE,VLOOKUP("Pois",AlimentsRationOvinsFemelles,4,FALSE),0)+(IF(QualitéAlimentsJeuneBélier=BONNE,VLOOKUP("Pois",AlimentsRationOvinsMâles,3,FALSE),0)+(IF(QualitéAlimentsJeuneBrebis=BONNE,VLOOKUP("Pois",AlimentsRationOvinsFemelles,3,FALSE),0)+(IF(QualitéAlimentsBélier=BONNE,VLOOKUP("Pois",AlimentsRationOvinsMâles,2,FALSE),0)+(IF(QualitéAlimentsBrebis=BONNE,VLOOKUP("Pois",AlimentsRationOvinsFemelles,2,FALSE),0))))))))))</f>
        <v>0</v>
      </c>
      <c r="DP315" s="1267">
        <f t="array" ref="DP315">SUM((IF(QualitéAlimentsAgneauMâle_0_3_mois=MOYENNE,VLOOKUP("Pois",AlimentsRationOvinsMâles,5,FALSE),0)+(IF(QualitéAlimentsAgneauFemelle_0_3_mois=MOYENNE,VLOOKUP("Pois",AlimentsRationOvinsFemelles,5,FALSE),0)+(IF(QualitéAlimentsAgneauMâle_3_6_mois=MOYENNE,VLOOKUP("Pois",AlimentsRationOvinsMâles,4,FALSE),0)+(IF(QualitéAlimentsAgneauFemelle_3_6_mois=MOYENNE,VLOOKUP("Pois",AlimentsRationOvinsFemelles,4,FALSE),0)+(IF(QualitéAlimentsJeuneBélier=MOYENNE,VLOOKUP("Pois",AlimentsRationOvinsMâles,3,FALSE),0)+(IF(QualitéAlimentsJeuneBrebis=MOYENNE,VLOOKUP("Pois",AlimentsRationOvinsFemelles,3,FALSE),0)+(IF(QualitéAlimentsBélier=MOYENNE,VLOOKUP("Pois",AlimentsRationOvinsMâles,2,FALSE),0)+(IF(QualitéAlimentsBrebis=MOYENNE,VLOOKUP("Pois",AlimentsRationOvinsFemelles,2,FALSE),0))))))))))</f>
        <v>0</v>
      </c>
      <c r="DQ315" s="1267">
        <f t="array" ref="DQ315">SUM((IF(QualitéAlimentsAgneauMâle_0_3_mois=MAUVAISE,VLOOKUP("Pois",AlimentsRationOvinsMâles,5,FALSE),0)+(IF(QualitéAlimentsAgneauFemelle_0_3_mois=MAUVAISE,VLOOKUP("Pois",AlimentsRationOvinsFemelles,5,FALSE),0)+(IF(QualitéAlimentsAgneauMâle_3_6_mois=MAUVAISE,VLOOKUP("Pois",AlimentsRationOvinsMâles,4,FALSE),0)+(IF(QualitéAlimentsAgneauFemelle_3_6_mois=MAUVAISE,VLOOKUP("Pois",AlimentsRationOvinsFemelles,4,FALSE),0)+(IF(QualitéAlimentsJeuneBélier=MAUVAISE,VLOOKUP("Pois",AlimentsRationOvinsMâles,3,FALSE),0)+(IF(QualitéAlimentsJeuneBrebis=MAUVAISE,VLOOKUP("Pois",AlimentsRationOvinsFemelles,3,FALSE),0)+(IF(QualitéAlimentsBélier=MAUVAISE,VLOOKUP("Pois",AlimentsRationOvinsMâles,2,FALSE),0)+(IF(QualitéAlimentsBrebis=MAUVAISE,VLOOKUP("Pois",AlimentsRationOvinsFemelles,2,FALSE),0))))))))))</f>
        <v>0</v>
      </c>
      <c r="DR315" s="1321"/>
      <c r="DS315" s="1321"/>
      <c r="DT315" s="1346"/>
      <c r="DU315" s="1346"/>
      <c r="DV315" s="1321"/>
      <c r="DW315" s="1321"/>
      <c r="DX315" s="1321"/>
      <c r="DY315" s="1321"/>
      <c r="DZ315" s="1321"/>
      <c r="EA315" s="1321"/>
      <c r="EB315" s="1321"/>
      <c r="EC315" s="1321"/>
      <c r="ED315" s="1345"/>
      <c r="EE315" s="1345"/>
      <c r="EF315" s="1321"/>
      <c r="EG315" s="1321"/>
      <c r="EH315" s="1321"/>
      <c r="EI315" s="1321"/>
      <c r="EJ315" s="1321"/>
      <c r="EK315" s="1345"/>
      <c r="EL315" s="1345"/>
      <c r="EM315" s="1321"/>
      <c r="EN315" s="1321"/>
      <c r="EO315" s="1321"/>
      <c r="EP315" s="1321"/>
      <c r="EQ315" s="1321"/>
      <c r="ER315" s="1345"/>
      <c r="ES315" s="1345"/>
      <c r="ET315" s="1321"/>
      <c r="EU315" s="1321"/>
      <c r="EV315" s="1321"/>
      <c r="EW315" s="1321"/>
      <c r="EX315" s="1321"/>
      <c r="EY315" s="1321"/>
      <c r="EZ315" s="1345"/>
      <c r="FA315" s="1345"/>
      <c r="FB315" s="1345"/>
      <c r="FC315" s="1321"/>
      <c r="FD315" s="1321"/>
      <c r="FE315" s="1321"/>
      <c r="FF315" s="1321"/>
      <c r="FG315" s="1321"/>
      <c r="FH315" s="1321"/>
      <c r="FI315" s="1345"/>
      <c r="FJ315" s="1345"/>
      <c r="FK315" s="1345"/>
      <c r="FL315" s="1345"/>
      <c r="FM315" s="1321"/>
      <c r="FN315" s="1321"/>
      <c r="FO315" s="1321"/>
      <c r="FP315" s="1321"/>
      <c r="FQ315" s="1321"/>
      <c r="FR315" s="1321"/>
      <c r="FS315" s="1345"/>
      <c r="FT315" s="1345"/>
      <c r="FU315" s="1345"/>
      <c r="FV315" s="1345"/>
      <c r="FW315" s="1321"/>
      <c r="FX315" s="1321"/>
      <c r="FY315" s="1321"/>
      <c r="FZ315" s="1321"/>
      <c r="GA315" s="1345"/>
      <c r="GB315" s="1321"/>
      <c r="GC315" s="1321"/>
      <c r="GD315" s="1321"/>
      <c r="GE315" s="1321"/>
      <c r="GF315" s="1321"/>
      <c r="GG315" s="1321" t="s">
        <v>1349</v>
      </c>
      <c r="GH315" s="1321" t="s">
        <v>1349</v>
      </c>
      <c r="GI315" s="1321" t="s">
        <v>1349</v>
      </c>
      <c r="GJ315" s="1321" t="s">
        <v>1349</v>
      </c>
      <c r="GK315" s="1321" t="s">
        <v>1349</v>
      </c>
      <c r="GL315" s="1321" t="s">
        <v>1349</v>
      </c>
      <c r="GM315" s="1321" t="s">
        <v>1349</v>
      </c>
      <c r="GN315" s="1321" t="s">
        <v>1349</v>
      </c>
      <c r="GO315" s="1321" t="s">
        <v>1349</v>
      </c>
      <c r="GP315" s="1321" t="s">
        <v>1349</v>
      </c>
      <c r="GQ315" s="1321" t="s">
        <v>1349</v>
      </c>
      <c r="GR315" s="1321" t="s">
        <v>1349</v>
      </c>
      <c r="GS315" s="1321" t="s">
        <v>1349</v>
      </c>
      <c r="GT315" s="1321" t="s">
        <v>1349</v>
      </c>
      <c r="GU315" s="1321" t="s">
        <v>1349</v>
      </c>
      <c r="GV315" s="1321" t="s">
        <v>1349</v>
      </c>
      <c r="GW315" s="1321"/>
      <c r="GX315" s="1321"/>
      <c r="GY315" s="1321"/>
      <c r="GZ315" s="1321"/>
      <c r="HA315" s="1321"/>
      <c r="HB315" s="1321"/>
      <c r="HC315" s="1321"/>
      <c r="HD315" s="1321"/>
      <c r="HE315" s="1321"/>
      <c r="HF315" s="1321"/>
      <c r="HG315" s="1321"/>
      <c r="HH315" s="1321"/>
      <c r="HI315" s="1321"/>
      <c r="HJ315" s="1321"/>
      <c r="HK315" s="1321"/>
      <c r="HL315" s="1321"/>
      <c r="HM315" s="1321"/>
      <c r="HN315" s="1321"/>
      <c r="HO315" s="1321"/>
      <c r="HP315" s="1321"/>
      <c r="HQ315" s="1321"/>
      <c r="HR315" s="1321"/>
      <c r="HS315" s="1321"/>
      <c r="HT315" s="1321"/>
      <c r="HU315" s="1321"/>
      <c r="HV315" s="1321"/>
      <c r="HW315" s="1321"/>
      <c r="HX315" s="1321"/>
      <c r="HY315" s="1321"/>
      <c r="HZ315" s="1321"/>
      <c r="IA315" s="1321"/>
      <c r="IB315" s="1321"/>
      <c r="IC315" s="1321"/>
      <c r="ID315" s="1321"/>
      <c r="IE315" s="1321"/>
      <c r="IF315" s="1321"/>
      <c r="IG315" s="1321"/>
      <c r="IH315" s="1321"/>
      <c r="II315" s="1321"/>
      <c r="IJ315" s="1321"/>
      <c r="IK315" s="1321"/>
      <c r="IL315" s="1321"/>
      <c r="IM315" s="1321"/>
      <c r="IN315" s="1368"/>
    </row>
    <row r="316" spans="1:248" ht="12.75" customHeight="1" x14ac:dyDescent="0.2">
      <c r="A316" s="1319"/>
      <c r="B316" s="1321"/>
      <c r="C316" s="1321"/>
      <c r="D316" s="1321"/>
      <c r="E316" s="1321"/>
      <c r="F316" s="1321"/>
      <c r="G316" s="1321"/>
      <c r="H316" s="1321"/>
      <c r="I316" s="1321"/>
      <c r="J316" s="1321"/>
      <c r="K316" s="1321"/>
      <c r="L316" s="1321"/>
      <c r="M316" s="1321"/>
      <c r="N316" s="1321"/>
      <c r="O316" s="1321"/>
      <c r="P316" s="1321"/>
      <c r="Q316" s="1321"/>
      <c r="R316" s="1321"/>
      <c r="S316" s="1321"/>
      <c r="T316" s="1321"/>
      <c r="U316" s="1321"/>
      <c r="V316" s="1321"/>
      <c r="W316" s="1321"/>
      <c r="X316" s="1321"/>
      <c r="Y316" s="1321"/>
      <c r="Z316" s="1321"/>
      <c r="AA316" s="1321"/>
      <c r="AB316" s="1321"/>
      <c r="AC316" s="1321"/>
      <c r="AD316" s="1321"/>
      <c r="AE316" s="1321"/>
      <c r="AF316" s="1321"/>
      <c r="AG316" s="1321"/>
      <c r="AH316" s="1321"/>
      <c r="AI316" s="1321"/>
      <c r="AJ316" s="1321"/>
      <c r="AK316" s="1321"/>
      <c r="AL316" s="1321"/>
      <c r="AM316" s="1321"/>
      <c r="AN316" s="1321"/>
      <c r="AO316" s="1321"/>
      <c r="AP316" s="1321"/>
      <c r="AQ316" s="1321"/>
      <c r="AR316" s="1321"/>
      <c r="AS316" s="1321"/>
      <c r="AT316" s="1321"/>
      <c r="AU316" s="1321"/>
      <c r="AV316" s="1321"/>
      <c r="AW316" s="1321"/>
      <c r="AX316" s="1321"/>
      <c r="AY316" s="1321"/>
      <c r="AZ316" s="1321"/>
      <c r="BA316" s="1321"/>
      <c r="BB316" s="1076" t="str">
        <f t="shared" si="79"/>
        <v>Triticale</v>
      </c>
      <c r="BC316" s="1076">
        <f t="array" ref="BC316">IFERROR(IF(OR(AND(INDEX(Règles_bovins[Specificite],MATCH(RationHivernaleBovinsAuPré&amp;$BB316,Règles_bovins[Ration]&amp;Règles_bovins[Aliment],0))="s1",IF($BB316=Spécificité1Bovins,1)),
AND(INDEX(Règles_bovins[Specificite],MATCH(RationHivernaleBovinsAuPré&amp;$BB316,Règles_bovins[Ration]&amp;Règles_bovins[Aliment],0))="s2",IF($BB316=Spécificité2Bovins,1)),
INDEX(Règles_bovins[Specificite],MATCH(RationHivernaleBovinsAuPré&amp;$BB316,Règles_bovins[Ration]&amp;Règles_bovins[Aliment],0))="c"),
INDEX(Règles_bovins[Valeur 36 et plus],MATCH(RationHivernaleBovinsAuPré&amp;$BB316,Règles_bovins[Ration]&amp;Règles_bovins[Aliment],0)),0),0)*IF(SUM(TotalBovinsAdultesAuPré)&gt;0,SUM(TotalBovinsAdultesAuPré),SUM(TotalBovinsAdultes))*35</f>
        <v>0</v>
      </c>
      <c r="BD316" s="1076">
        <f t="array" ref="BD316">IFERROR(IF(OR(AND(INDEX(Règles_bovins[Specificite],MATCH(RationHivernaleBovinsAuPré&amp;$BB316,Règles_bovins[Ration]&amp;Règles_bovins[Aliment],0))="s1",IF($BB316=Spécificité1Bovins,1)),
AND(INDEX(Règles_bovins[Specificite],MATCH(RationHivernaleBovinsAuPré&amp;$BB316,Règles_bovins[Ration]&amp;Règles_bovins[Aliment],0))="s2",IF($BB316=Spécificité2Bovins,1)),
INDEX(Règles_bovins[Specificite],MATCH(RationHivernaleBovinsAuPré&amp;$BB316,Règles_bovins[Ration]&amp;Règles_bovins[Aliment],0))="c"),
INDEX(Règles_bovins[Valeur 24-36],MATCH(RationHivernaleBovinsAuPré&amp;$BB316,Règles_bovins[Ration]&amp;Règles_bovins[Aliment],0)),0),0)*IF(SUM(TotalBovins_24_36moisAuPré)&gt;0,SUM(TotalBovins_24_36moisAuPré),SUM(TotalBovins_24_36mois))*35</f>
        <v>0</v>
      </c>
      <c r="BE316" s="1076">
        <f t="array" ref="BE316">IFERROR(IF(OR(AND(INDEX(Règles_bovins[Specificite],MATCH(RationHivernaleBovinsAuPré&amp;$BB316,Règles_bovins[Ration]&amp;Règles_bovins[Aliment],0))="s1",IF($BB316=Spécificité1Bovins,1)),
AND(INDEX(Règles_bovins[Specificite],MATCH(RationHivernaleBovinsAuPré&amp;$BB316,Règles_bovins[Ration]&amp;Règles_bovins[Aliment],0))="s2",IF($BB316=Spécificité2Bovins,1)),
INDEX(Règles_bovins[Specificite],MATCH(RationHivernaleBovinsAuPré&amp;$BB316,Règles_bovins[Ration]&amp;Règles_bovins[Aliment],0))="c"),
INDEX(Règles_bovins[Valeur 18-24],MATCH(RationHivernaleBovinsAuPré&amp;$BB316,Règles_bovins[Ration]&amp;Règles_bovins[Aliment],0)),0),0)*IF(SUM(TotalBovins_18_24moisAuPré)&gt;0,SUM(TotalBovins_18_24moisAuPré),SUM(TotalBovins_18_24mois))*35</f>
        <v>0</v>
      </c>
      <c r="BF316" s="1076">
        <f t="array" ref="BF316">IFERROR(IF(OR(AND(INDEX(Règles_bovins[Specificite],MATCH(RationHivernaleBovinsAuPré&amp;$BB316,Règles_bovins[Ration]&amp;Règles_bovins[Aliment],0))="s1",IF($BB316=Spécificité1Bovins,1)),
AND(INDEX(Règles_bovins[Specificite],MATCH(RationHivernaleBovinsAuPré&amp;$BB316,Règles_bovins[Ration]&amp;Règles_bovins[Aliment],0))="s2",IF($BB316=Spécificité2Bovins,1)),
INDEX(Règles_bovins[Specificite],MATCH(RationHivernaleBovinsAuPré&amp;$BB316,Règles_bovins[Ration]&amp;Règles_bovins[Aliment],0))="c"),
INDEX(Règles_bovins[Valeur 12-18],MATCH(RationHivernaleBovinsAuPré&amp;$BB316,Règles_bovins[Ration]&amp;Règles_bovins[Aliment],0)),0),0)*IF(SUM(TotalBovins_12_18moisAuPré)&gt;0,SUM(TotalBovins_12_18moisAuPré),SUM(TotalBovins_12_18mois))*35</f>
        <v>0</v>
      </c>
      <c r="BG316" s="1076">
        <f t="array" ref="BG316">IFERROR(IF(OR(AND(INDEX(Règles_bovins[Specificite],MATCH(RationHivernaleBovinsAuPré&amp;$BB316,Règles_bovins[Ration]&amp;Règles_bovins[Aliment],0))="s1",IF($BB316=Spécificité1Bovins,1)),
AND(INDEX(Règles_bovins[Specificite],MATCH(RationHivernaleBovinsAuPré&amp;$BB316,Règles_bovins[Ration]&amp;Règles_bovins[Aliment],0))="s2",IF($BB316=Spécificité2Bovins,1)),
INDEX(Règles_bovins[Specificite],MATCH(RationHivernaleBovinsAuPré&amp;$BB316,Règles_bovins[Ration]&amp;Règles_bovins[Aliment],0))="c"),
INDEX(Règles_bovins[Valeur 6-12],MATCH(RationHivernaleBovinsAuPré&amp;$BB316,Règles_bovins[Ration]&amp;Règles_bovins[Aliment],0)),0),0)*IF(SUM(TotalBovins_6_12moisAuPré)&gt;0,SUM(TotalBovins_6_12moisAuPré),SUM(TotalBovins_6_12mois))*35</f>
        <v>0</v>
      </c>
      <c r="BH316" s="1076">
        <f t="array" ref="BH316">IFERROR(IF(OR(AND(INDEX(Règles_bovins[Specificite],MATCH(RationHivernaleBovinsAuPré&amp;$BB316,Règles_bovins[Ration]&amp;Règles_bovins[Aliment],0))="s1",IF($BB316=Spécificité1Bovins,1)),
AND(INDEX(Règles_bovins[Specificite],MATCH(RationHivernaleBovinsAuPré&amp;$BB316,Règles_bovins[Ration]&amp;Règles_bovins[Aliment],0))="s2",IF($BB316=Spécificité2Bovins,1)),
INDEX(Règles_bovins[Specificite],MATCH(RationHivernaleBovinsAuPré&amp;$BB316,Règles_bovins[Ration]&amp;Règles_bovins[Aliment],0))="c"),
INDEX(Règles_bovins[Valeur 3-6],MATCH(RationHivernaleBovinsAuPré&amp;$BB316,Règles_bovins[Ration]&amp;Règles_bovins[Aliment],0)),0),0)*IF(SUM(TotalBovins_3_6moisAuPré)&gt;0,SUM(TotalBovins_3_6moisAuPré),SUM(TotalBovins_3_6mois))*35</f>
        <v>0</v>
      </c>
      <c r="BI316" s="1076">
        <f t="array" ref="BI316">IFERROR(IF(OR(AND(INDEX(Règles_bovins[Specificite],MATCH(RationHivernaleBovinsAuPré&amp;$BB316,Règles_bovins[Ration]&amp;Règles_bovins[Aliment],0))="s1",IF($BB316=Spécificité1Bovins,1)),
AND(INDEX(Règles_bovins[Specificite],MATCH(RationHivernaleBovinsAuPré&amp;$BB316,Règles_bovins[Ration]&amp;Règles_bovins[Aliment],0))="s2",IF($BB316=Spécificité2Bovins,1)),
INDEX(Règles_bovins[Specificite],MATCH(RationHivernaleBovinsAuPré&amp;$BB316,Règles_bovins[Ration]&amp;Règles_bovins[Aliment],0))="c"),
INDEX(Règles_bovins[Valeur 0-3],MATCH(RationHivernaleBovinsAuPré&amp;$BB316,Règles_bovins[Ration]&amp;Règles_bovins[Aliment],0)),0),0)*IF(SUM(TotalBovins_0_3moisAuPré)&gt;0,SUM(TotalBovins_0_3moisAuPré),SUM(TotalBovins_0_3mois))*35</f>
        <v>0</v>
      </c>
      <c r="BJ316" s="1268">
        <f t="shared" si="78"/>
        <v>0</v>
      </c>
      <c r="BK316" s="1345"/>
      <c r="BL316" s="1345"/>
      <c r="BM316" s="1321"/>
      <c r="BN316" s="1321"/>
      <c r="BO316" s="1321"/>
      <c r="BP316" s="1321"/>
      <c r="BQ316" s="1321"/>
      <c r="BR316" s="1321"/>
      <c r="BS316" s="1321"/>
      <c r="BT316" s="1321"/>
      <c r="BU316" s="1321"/>
      <c r="BV316" s="1345"/>
      <c r="BW316" s="1345"/>
      <c r="BX316" s="1321"/>
      <c r="BY316" s="1321"/>
      <c r="BZ316" s="1321"/>
      <c r="CA316" s="1321"/>
      <c r="CB316" s="1321"/>
      <c r="CC316" s="1321"/>
      <c r="CD316" s="1345"/>
      <c r="CE316" s="1345"/>
      <c r="CF316" s="1345"/>
      <c r="CG316" s="1345"/>
      <c r="CH316" s="1345"/>
      <c r="CI316" s="1321"/>
      <c r="CJ316" s="1321"/>
      <c r="CK316" s="1321"/>
      <c r="CL316" s="1321"/>
      <c r="CM316" s="1321"/>
      <c r="CN316" s="1321"/>
      <c r="CO316" s="1321"/>
      <c r="CP316" s="1321"/>
      <c r="CQ316" s="1321"/>
      <c r="CR316" s="1321"/>
      <c r="CS316" s="1321"/>
      <c r="CT316" s="1321"/>
      <c r="CU316" s="1321"/>
      <c r="CV316" s="1321"/>
      <c r="CW316" s="1321"/>
      <c r="CX316" s="1321"/>
      <c r="CY316" s="1321"/>
      <c r="CZ316" s="1321"/>
      <c r="DA316" s="1321"/>
      <c r="DB316" s="1321"/>
      <c r="DC316" s="1321"/>
      <c r="DD316" s="1321"/>
      <c r="DE316" s="1321"/>
      <c r="DF316" s="1321"/>
      <c r="DG316" s="1321"/>
      <c r="DH316" s="1321"/>
      <c r="DI316" s="1321"/>
      <c r="DJ316" s="1321"/>
      <c r="DK316" s="1321"/>
      <c r="DL316" s="1321"/>
      <c r="DM316" s="1321"/>
      <c r="DN316" s="1075" t="str">
        <f t="shared" si="80"/>
        <v>Pomme de terre</v>
      </c>
      <c r="DO316" s="1269">
        <f t="array" ref="DO316">SUM((IF(QualitéAlimentsAgneauMâle_0_3_mois=BONNE,VLOOKUP("Pomme de terre",AlimentsRationOvinsMâles,5,FALSE),0)+(IF(QualitéAlimentsAgneauFemelle_0_3_mois=BONNE,VLOOKUP("Pomme de terre",AlimentsRationOvinsFemelles,5,FALSE),0)+(IF(QualitéAlimentsAgneauMâle_3_6_mois=BONNE,VLOOKUP("Pomme de terre",AlimentsRationOvinsMâles,4,FALSE),0)+(IF(QualitéAlimentsAgneauFemelle_3_6_mois=BONNE,VLOOKUP("Pomme de terre",AlimentsRationOvinsFemelles,4,FALSE),0)+(IF(QualitéAlimentsJeuneBélier=BONNE,VLOOKUP("Pomme de terre",AlimentsRationOvinsMâles,3,FALSE),0)+(IF(QualitéAlimentsJeuneBrebis=BONNE,VLOOKUP("Pomme de terre",AlimentsRationOvinsFemelles,3,FALSE),0)+(IF(QualitéAlimentsBélier=BONNE,VLOOKUP("Pomme de terre",AlimentsRationOvinsMâles,2,FALSE),0)+(IF(QualitéAlimentsBrebis=BONNE,VLOOKUP("Pomme de terre",AlimentsRationOvinsFemelles,2,FALSE),0))))))))))</f>
        <v>0</v>
      </c>
      <c r="DP316" s="1269">
        <f t="array" ref="DP316">SUM((IF(QualitéAlimentsAgneauMâle_0_3_mois=MOYENNE,VLOOKUP("Pomme de terre",AlimentsRationOvinsMâles,5,FALSE),0)+(IF(QualitéAlimentsAgneauFemelle_0_3_mois=MOYENNE,VLOOKUP("Pomme de terre",AlimentsRationOvinsFemelles,5,FALSE),0)+(IF(QualitéAlimentsAgneauMâle_3_6_mois=MOYENNE,VLOOKUP("Pomme de terre",AlimentsRationOvinsMâles,4,FALSE),0)+(IF(QualitéAlimentsAgneauFemelle_3_6_mois=MOYENNE,VLOOKUP("Pomme de terre",AlimentsRationOvinsFemelles,4,FALSE),0)+(IF(QualitéAlimentsJeuneBélier=MOYENNE,VLOOKUP("Pomme de terre",AlimentsRationOvinsMâles,3,FALSE),0)+(IF(QualitéAlimentsJeuneBrebis=MOYENNE,VLOOKUP("Pomme de terre",AlimentsRationOvinsFemelles,3,FALSE),0)+(IF(QualitéAlimentsBélier=MOYENNE,VLOOKUP("Pomme de terre",AlimentsRationOvinsMâles,2,FALSE),0)+(IF(QualitéAlimentsBrebis=MOYENNE,VLOOKUP("Pomme de terre",AlimentsRationOvinsFemelles,2,FALSE),0))))))))))</f>
        <v>0</v>
      </c>
      <c r="DQ316" s="1269">
        <f t="array" ref="DQ316">SUM((IF(QualitéAlimentsAgneauMâle_0_3_mois=MAUVAISE,VLOOKUP("Pomme de terre",AlimentsRationOvinsMâles,5,FALSE),0)+(IF(QualitéAlimentsAgneauFemelle_0_3_mois=MAUVAISE,VLOOKUP("Pomme de terre",AlimentsRationOvinsFemelles,5,FALSE),0)+(IF(QualitéAlimentsAgneauMâle_3_6_mois=MAUVAISE,VLOOKUP("Pomme de terre",AlimentsRationOvinsMâles,4,FALSE),0)+(IF(QualitéAlimentsAgneauFemelle_3_6_mois=MAUVAISE,VLOOKUP("Pomme de terre",AlimentsRationOvinsFemelles,4,FALSE),0)+(IF(QualitéAlimentsJeuneBélier=MAUVAISE,VLOOKUP("Pomme de terre",AlimentsRationOvinsMâles,3,FALSE),0)+(IF(QualitéAlimentsJeuneBrebis=MAUVAISE,VLOOKUP("Pomme de terre",AlimentsRationOvinsFemelles,3,FALSE),0)+(IF(QualitéAlimentsBélier=MAUVAISE,VLOOKUP("Pomme de terre",AlimentsRationOvinsMâles,2,FALSE),0)+(IF(QualitéAlimentsBrebis=MAUVAISE,VLOOKUP("Pomme de terre",AlimentsRationOvinsFemelles,2,FALSE),0))))))))))</f>
        <v>0</v>
      </c>
      <c r="DR316" s="1321"/>
      <c r="DS316" s="1321"/>
      <c r="DT316" s="1346"/>
      <c r="DU316" s="1346"/>
      <c r="DV316" s="1321"/>
      <c r="DW316" s="1321"/>
      <c r="DX316" s="1321"/>
      <c r="DY316" s="1321"/>
      <c r="DZ316" s="1321"/>
      <c r="EA316" s="1321"/>
      <c r="EB316" s="1321"/>
      <c r="EC316" s="1321"/>
      <c r="ED316" s="1345"/>
      <c r="EE316" s="1345"/>
      <c r="EF316" s="1321"/>
      <c r="EG316" s="1321"/>
      <c r="EH316" s="1321"/>
      <c r="EI316" s="1321"/>
      <c r="EJ316" s="1321"/>
      <c r="EK316" s="1345"/>
      <c r="EL316" s="1345"/>
      <c r="EM316" s="1321"/>
      <c r="EN316" s="1321"/>
      <c r="EO316" s="1321"/>
      <c r="EP316" s="1321"/>
      <c r="EQ316" s="1321"/>
      <c r="ER316" s="1345"/>
      <c r="ES316" s="1345"/>
      <c r="ET316" s="1321"/>
      <c r="EU316" s="1321"/>
      <c r="EV316" s="1321"/>
      <c r="EW316" s="1321"/>
      <c r="EX316" s="1321"/>
      <c r="EY316" s="1321"/>
      <c r="EZ316" s="1345"/>
      <c r="FA316" s="1345"/>
      <c r="FB316" s="1345"/>
      <c r="FC316" s="1321"/>
      <c r="FD316" s="1321"/>
      <c r="FE316" s="1321"/>
      <c r="FF316" s="1321"/>
      <c r="FG316" s="1321"/>
      <c r="FH316" s="1321"/>
      <c r="FI316" s="1345"/>
      <c r="FJ316" s="1345"/>
      <c r="FK316" s="1345"/>
      <c r="FL316" s="1345"/>
      <c r="FM316" s="1321"/>
      <c r="FN316" s="1321"/>
      <c r="FO316" s="1321"/>
      <c r="FP316" s="1321"/>
      <c r="FQ316" s="1321"/>
      <c r="FR316" s="1321"/>
      <c r="FS316" s="1345"/>
      <c r="FT316" s="1345"/>
      <c r="FU316" s="1345"/>
      <c r="FV316" s="1345"/>
      <c r="FW316" s="1321"/>
      <c r="FX316" s="1321"/>
      <c r="FY316" s="1321"/>
      <c r="FZ316" s="1321"/>
      <c r="GA316" s="1345"/>
      <c r="GB316" s="1321"/>
      <c r="GC316" s="1321"/>
      <c r="GD316" s="1321"/>
      <c r="GE316" s="1321"/>
      <c r="GF316" s="1321"/>
      <c r="GG316" s="1321" t="s">
        <v>1349</v>
      </c>
      <c r="GH316" s="1321" t="s">
        <v>1349</v>
      </c>
      <c r="GI316" s="1321" t="s">
        <v>1349</v>
      </c>
      <c r="GJ316" s="1321" t="s">
        <v>1349</v>
      </c>
      <c r="GK316" s="1321" t="s">
        <v>1349</v>
      </c>
      <c r="GL316" s="1321" t="s">
        <v>1349</v>
      </c>
      <c r="GM316" s="1321" t="s">
        <v>1349</v>
      </c>
      <c r="GN316" s="1321" t="s">
        <v>1349</v>
      </c>
      <c r="GO316" s="1321" t="s">
        <v>1349</v>
      </c>
      <c r="GP316" s="1321" t="s">
        <v>1349</v>
      </c>
      <c r="GQ316" s="1321" t="s">
        <v>1349</v>
      </c>
      <c r="GR316" s="1321" t="s">
        <v>1349</v>
      </c>
      <c r="GS316" s="1321" t="s">
        <v>1349</v>
      </c>
      <c r="GT316" s="1321" t="s">
        <v>1349</v>
      </c>
      <c r="GU316" s="1321" t="s">
        <v>1349</v>
      </c>
      <c r="GV316" s="1321" t="s">
        <v>1349</v>
      </c>
      <c r="GW316" s="1321"/>
      <c r="GX316" s="1321"/>
      <c r="GY316" s="1321"/>
      <c r="GZ316" s="1321"/>
      <c r="HA316" s="1321"/>
      <c r="HB316" s="1321"/>
      <c r="HC316" s="1321"/>
      <c r="HD316" s="1321"/>
      <c r="HE316" s="1321"/>
      <c r="HF316" s="1321"/>
      <c r="HG316" s="1321"/>
      <c r="HH316" s="1321"/>
      <c r="HI316" s="1321"/>
      <c r="HJ316" s="1321"/>
      <c r="HK316" s="1321"/>
      <c r="HL316" s="1321"/>
      <c r="HM316" s="1321"/>
      <c r="HN316" s="1321"/>
      <c r="HO316" s="1321"/>
      <c r="HP316" s="1321"/>
      <c r="HQ316" s="1321"/>
      <c r="HR316" s="1321"/>
      <c r="HS316" s="1321"/>
      <c r="HT316" s="1321"/>
      <c r="HU316" s="1321"/>
      <c r="HV316" s="1321"/>
      <c r="HW316" s="1321"/>
      <c r="HX316" s="1321"/>
      <c r="HY316" s="1321"/>
      <c r="HZ316" s="1321"/>
      <c r="IA316" s="1321"/>
      <c r="IB316" s="1321"/>
      <c r="IC316" s="1321"/>
      <c r="ID316" s="1321"/>
      <c r="IE316" s="1321"/>
      <c r="IF316" s="1321"/>
      <c r="IG316" s="1321"/>
      <c r="IH316" s="1321"/>
      <c r="II316" s="1321"/>
      <c r="IJ316" s="1321"/>
      <c r="IK316" s="1321"/>
      <c r="IL316" s="1321"/>
      <c r="IM316" s="1321"/>
      <c r="IN316" s="1368"/>
    </row>
    <row r="317" spans="1:248" ht="12.75" customHeight="1" x14ac:dyDescent="0.2">
      <c r="A317" s="1319"/>
      <c r="B317" s="1321"/>
      <c r="C317" s="1321"/>
      <c r="D317" s="1321"/>
      <c r="E317" s="1321"/>
      <c r="F317" s="1321"/>
      <c r="G317" s="1321"/>
      <c r="H317" s="1321"/>
      <c r="I317" s="1321"/>
      <c r="J317" s="1321"/>
      <c r="K317" s="1321"/>
      <c r="L317" s="1321"/>
      <c r="M317" s="1321"/>
      <c r="N317" s="1321"/>
      <c r="O317" s="1321"/>
      <c r="P317" s="1321"/>
      <c r="Q317" s="1321"/>
      <c r="R317" s="1321"/>
      <c r="S317" s="1321"/>
      <c r="T317" s="1321"/>
      <c r="U317" s="1321"/>
      <c r="V317" s="1321"/>
      <c r="W317" s="1321"/>
      <c r="X317" s="1321"/>
      <c r="Y317" s="1321"/>
      <c r="Z317" s="1321"/>
      <c r="AA317" s="1321"/>
      <c r="AB317" s="1321"/>
      <c r="AC317" s="1321"/>
      <c r="AD317" s="1321"/>
      <c r="AE317" s="1321"/>
      <c r="AF317" s="1321"/>
      <c r="AG317" s="1321"/>
      <c r="AH317" s="1321"/>
      <c r="AI317" s="1321"/>
      <c r="AJ317" s="1321"/>
      <c r="AK317" s="1321"/>
      <c r="AL317" s="1321"/>
      <c r="AM317" s="1321"/>
      <c r="AN317" s="1321"/>
      <c r="AO317" s="1321"/>
      <c r="AP317" s="1321"/>
      <c r="AQ317" s="1321"/>
      <c r="AR317" s="1321"/>
      <c r="AS317" s="1321"/>
      <c r="AT317" s="1321"/>
      <c r="AU317" s="1321"/>
      <c r="AV317" s="1321"/>
      <c r="AW317" s="1321"/>
      <c r="AX317" s="1321"/>
      <c r="AY317" s="1321"/>
      <c r="AZ317" s="1321"/>
      <c r="BA317" s="1321"/>
      <c r="BB317" s="1075">
        <f t="shared" si="79"/>
        <v>0</v>
      </c>
      <c r="BC317" s="1075">
        <f t="array" ref="BC317">IFERROR(IF(OR(AND(INDEX(Règles_bovins[Specificite],MATCH(RationHivernaleBovinsAuPré&amp;$BB317,Règles_bovins[Ration]&amp;Règles_bovins[Aliment],0))="s1",IF($BB317=Spécificité1Bovins,1)),
AND(INDEX(Règles_bovins[Specificite],MATCH(RationHivernaleBovinsAuPré&amp;$BB317,Règles_bovins[Ration]&amp;Règles_bovins[Aliment],0))="s2",IF($BB317=Spécificité2Bovins,1)),
INDEX(Règles_bovins[Specificite],MATCH(RationHivernaleBovinsAuPré&amp;$BB317,Règles_bovins[Ration]&amp;Règles_bovins[Aliment],0))="c"),
INDEX(Règles_bovins[Valeur 36 et plus],MATCH(RationHivernaleBovinsAuPré&amp;$BB317,Règles_bovins[Ration]&amp;Règles_bovins[Aliment],0)),0),0)*IF(SUM(TotalBovinsAdultesAuPré)&gt;0,SUM(TotalBovinsAdultesAuPré),SUM(TotalBovinsAdultes))*35</f>
        <v>0</v>
      </c>
      <c r="BD317" s="1075">
        <f t="array" ref="BD317">IFERROR(IF(OR(AND(INDEX(Règles_bovins[Specificite],MATCH(RationHivernaleBovinsAuPré&amp;$BB317,Règles_bovins[Ration]&amp;Règles_bovins[Aliment],0))="s1",IF($BB317=Spécificité1Bovins,1)),
AND(INDEX(Règles_bovins[Specificite],MATCH(RationHivernaleBovinsAuPré&amp;$BB317,Règles_bovins[Ration]&amp;Règles_bovins[Aliment],0))="s2",IF($BB317=Spécificité2Bovins,1)),
INDEX(Règles_bovins[Specificite],MATCH(RationHivernaleBovinsAuPré&amp;$BB317,Règles_bovins[Ration]&amp;Règles_bovins[Aliment],0))="c"),
INDEX(Règles_bovins[Valeur 24-36],MATCH(RationHivernaleBovinsAuPré&amp;$BB317,Règles_bovins[Ration]&amp;Règles_bovins[Aliment],0)),0),0)*IF(SUM(TotalBovins_24_36moisAuPré)&gt;0,SUM(TotalBovins_24_36moisAuPré),SUM(TotalBovins_24_36mois))*35</f>
        <v>0</v>
      </c>
      <c r="BE317" s="1075">
        <f t="array" ref="BE317">IFERROR(IF(OR(AND(INDEX(Règles_bovins[Specificite],MATCH(RationHivernaleBovinsAuPré&amp;$BB317,Règles_bovins[Ration]&amp;Règles_bovins[Aliment],0))="s1",IF($BB317=Spécificité1Bovins,1)),
AND(INDEX(Règles_bovins[Specificite],MATCH(RationHivernaleBovinsAuPré&amp;$BB317,Règles_bovins[Ration]&amp;Règles_bovins[Aliment],0))="s2",IF($BB317=Spécificité2Bovins,1)),
INDEX(Règles_bovins[Specificite],MATCH(RationHivernaleBovinsAuPré&amp;$BB317,Règles_bovins[Ration]&amp;Règles_bovins[Aliment],0))="c"),
INDEX(Règles_bovins[Valeur 18-24],MATCH(RationHivernaleBovinsAuPré&amp;$BB317,Règles_bovins[Ration]&amp;Règles_bovins[Aliment],0)),0),0)*IF(SUM(TotalBovins_18_24moisAuPré)&gt;0,SUM(TotalBovins_18_24moisAuPré),SUM(TotalBovins_18_24mois))*35</f>
        <v>0</v>
      </c>
      <c r="BF317" s="1075">
        <f t="array" ref="BF317">IFERROR(IF(OR(AND(INDEX(Règles_bovins[Specificite],MATCH(RationHivernaleBovinsAuPré&amp;$BB317,Règles_bovins[Ration]&amp;Règles_bovins[Aliment],0))="s1",IF($BB317=Spécificité1Bovins,1)),
AND(INDEX(Règles_bovins[Specificite],MATCH(RationHivernaleBovinsAuPré&amp;$BB317,Règles_bovins[Ration]&amp;Règles_bovins[Aliment],0))="s2",IF($BB317=Spécificité2Bovins,1)),
INDEX(Règles_bovins[Specificite],MATCH(RationHivernaleBovinsAuPré&amp;$BB317,Règles_bovins[Ration]&amp;Règles_bovins[Aliment],0))="c"),
INDEX(Règles_bovins[Valeur 12-18],MATCH(RationHivernaleBovinsAuPré&amp;$BB317,Règles_bovins[Ration]&amp;Règles_bovins[Aliment],0)),0),0)*IF(SUM(TotalBovins_12_18moisAuPré)&gt;0,SUM(TotalBovins_12_18moisAuPré),SUM(TotalBovins_12_18mois))*35</f>
        <v>0</v>
      </c>
      <c r="BG317" s="1075">
        <f t="array" ref="BG317">IFERROR(IF(OR(AND(INDEX(Règles_bovins[Specificite],MATCH(RationHivernaleBovinsAuPré&amp;$BB317,Règles_bovins[Ration]&amp;Règles_bovins[Aliment],0))="s1",IF($BB317=Spécificité1Bovins,1)),
AND(INDEX(Règles_bovins[Specificite],MATCH(RationHivernaleBovinsAuPré&amp;$BB317,Règles_bovins[Ration]&amp;Règles_bovins[Aliment],0))="s2",IF($BB317=Spécificité2Bovins,1)),
INDEX(Règles_bovins[Specificite],MATCH(RationHivernaleBovinsAuPré&amp;$BB317,Règles_bovins[Ration]&amp;Règles_bovins[Aliment],0))="c"),
INDEX(Règles_bovins[Valeur 6-12],MATCH(RationHivernaleBovinsAuPré&amp;$BB317,Règles_bovins[Ration]&amp;Règles_bovins[Aliment],0)),0),0)*IF(SUM(TotalBovins_6_12moisAuPré)&gt;0,SUM(TotalBovins_6_12moisAuPré),SUM(TotalBovins_6_12mois))*35</f>
        <v>0</v>
      </c>
      <c r="BH317" s="1075">
        <f t="array" ref="BH317">IFERROR(IF(OR(AND(INDEX(Règles_bovins[Specificite],MATCH(RationHivernaleBovinsAuPré&amp;$BB317,Règles_bovins[Ration]&amp;Règles_bovins[Aliment],0))="s1",IF($BB317=Spécificité1Bovins,1)),
AND(INDEX(Règles_bovins[Specificite],MATCH(RationHivernaleBovinsAuPré&amp;$BB317,Règles_bovins[Ration]&amp;Règles_bovins[Aliment],0))="s2",IF($BB317=Spécificité2Bovins,1)),
INDEX(Règles_bovins[Specificite],MATCH(RationHivernaleBovinsAuPré&amp;$BB317,Règles_bovins[Ration]&amp;Règles_bovins[Aliment],0))="c"),
INDEX(Règles_bovins[Valeur 3-6],MATCH(RationHivernaleBovinsAuPré&amp;$BB317,Règles_bovins[Ration]&amp;Règles_bovins[Aliment],0)),0),0)*IF(SUM(TotalBovins_3_6moisAuPré)&gt;0,SUM(TotalBovins_3_6moisAuPré),SUM(TotalBovins_3_6mois))*35</f>
        <v>0</v>
      </c>
      <c r="BI317" s="1075">
        <f t="array" ref="BI317">IFERROR(IF(OR(AND(INDEX(Règles_bovins[Specificite],MATCH(RationHivernaleBovinsAuPré&amp;$BB317,Règles_bovins[Ration]&amp;Règles_bovins[Aliment],0))="s1",IF($BB317=Spécificité1Bovins,1)),
AND(INDEX(Règles_bovins[Specificite],MATCH(RationHivernaleBovinsAuPré&amp;$BB317,Règles_bovins[Ration]&amp;Règles_bovins[Aliment],0))="s2",IF($BB317=Spécificité2Bovins,1)),
INDEX(Règles_bovins[Specificite],MATCH(RationHivernaleBovinsAuPré&amp;$BB317,Règles_bovins[Ration]&amp;Règles_bovins[Aliment],0))="c"),
INDEX(Règles_bovins[Valeur 0-3],MATCH(RationHivernaleBovinsAuPré&amp;$BB317,Règles_bovins[Ration]&amp;Règles_bovins[Aliment],0)),0),0)*IF(SUM(TotalBovins_0_3moisAuPré)&gt;0,SUM(TotalBovins_0_3moisAuPré),SUM(TotalBovins_0_3mois))*35</f>
        <v>0</v>
      </c>
      <c r="BJ317" s="1270">
        <f t="shared" si="78"/>
        <v>0</v>
      </c>
      <c r="BK317" s="1345"/>
      <c r="BL317" s="1345"/>
      <c r="BM317" s="1321"/>
      <c r="BN317" s="1321"/>
      <c r="BO317" s="1321"/>
      <c r="BP317" s="1321"/>
      <c r="BQ317" s="1321"/>
      <c r="BR317" s="1321"/>
      <c r="BS317" s="1321"/>
      <c r="BT317" s="1321"/>
      <c r="BU317" s="1321"/>
      <c r="BV317" s="1345"/>
      <c r="BW317" s="1345"/>
      <c r="BX317" s="1321"/>
      <c r="BY317" s="1321"/>
      <c r="BZ317" s="1321"/>
      <c r="CA317" s="1321"/>
      <c r="CB317" s="1321"/>
      <c r="CC317" s="1321"/>
      <c r="CD317" s="1345"/>
      <c r="CE317" s="1345"/>
      <c r="CF317" s="1345"/>
      <c r="CG317" s="1345"/>
      <c r="CH317" s="1345"/>
      <c r="CI317" s="1321"/>
      <c r="CJ317" s="1321"/>
      <c r="CK317" s="1321"/>
      <c r="CL317" s="1321"/>
      <c r="CM317" s="1321"/>
      <c r="CN317" s="1321"/>
      <c r="CO317" s="1321"/>
      <c r="CP317" s="1321"/>
      <c r="CQ317" s="1321"/>
      <c r="CR317" s="1321"/>
      <c r="CS317" s="1321"/>
      <c r="CT317" s="1321"/>
      <c r="CU317" s="1321"/>
      <c r="CV317" s="1321"/>
      <c r="CW317" s="1321"/>
      <c r="CX317" s="1321"/>
      <c r="CY317" s="1321"/>
      <c r="CZ317" s="1321"/>
      <c r="DA317" s="1321"/>
      <c r="DB317" s="1321"/>
      <c r="DC317" s="1321"/>
      <c r="DD317" s="1321"/>
      <c r="DE317" s="1321"/>
      <c r="DF317" s="1321"/>
      <c r="DG317" s="1321"/>
      <c r="DH317" s="1321"/>
      <c r="DI317" s="1321"/>
      <c r="DJ317" s="1321"/>
      <c r="DK317" s="1321"/>
      <c r="DL317" s="1321"/>
      <c r="DM317" s="1321"/>
      <c r="DN317" s="1076" t="str">
        <f t="shared" si="80"/>
        <v>Pulpe déshydratée de betterave</v>
      </c>
      <c r="DO317" s="1267">
        <f t="array" ref="DO317">SUM((IF(QualitéAlimentsAgneauMâle_0_3_mois=BONNE,VLOOKUP("Pulpe déshydratée de betterave",AlimentsRationOvinsMâles,5,FALSE),0)+(IF(QualitéAlimentsAgneauFemelle_0_3_mois=BONNE,VLOOKUP("Pulpe déshydratée de betterave",AlimentsRationOvinsFemelles,5,FALSE),0)+(IF(QualitéAlimentsAgneauMâle_3_6_mois=BONNE,VLOOKUP("Pulpe déshydratée de betterave",AlimentsRationOvinsMâles,4,FALSE),0)+(IF(QualitéAlimentsAgneauFemelle_3_6_mois=BONNE,VLOOKUP("Pulpe déshydratée de betterave",AlimentsRationOvinsFemelles,4,FALSE),0)+(IF(QualitéAlimentsJeuneBélier=BONNE,VLOOKUP("Pulpe déshydratée de betterave",AlimentsRationOvinsMâles,3,FALSE),0)+(IF(QualitéAlimentsJeuneBrebis=BONNE,VLOOKUP("Pulpe déshydratée de betterave",AlimentsRationOvinsFemelles,3,FALSE),0)+(IF(QualitéAlimentsBélier=BONNE,VLOOKUP("Pulpe déshydratée de betterave",AlimentsRationOvinsMâles,2,FALSE),0)+(IF(QualitéAlimentsBrebis=BONNE,VLOOKUP("Pulpe déshydratée de betterave",AlimentsRationOvinsFemelles,2,FALSE),0))))))))))</f>
        <v>0</v>
      </c>
      <c r="DP317" s="1267">
        <f t="array" ref="DP317">SUM((IF(QualitéAlimentsAgneauMâle_0_3_mois=MOYENNE,VLOOKUP("Pulpe déshydratée de betterave",AlimentsRationOvinsMâles,5,FALSE),0)+(IF(QualitéAlimentsAgneauFemelle_0_3_mois=MOYENNE,VLOOKUP("Pulpe déshydratée de betterave",AlimentsRationOvinsFemelles,5,FALSE),0)+(IF(QualitéAlimentsAgneauMâle_3_6_mois=MOYENNE,VLOOKUP("Pulpe déshydratée de betterave",AlimentsRationOvinsMâles,4,FALSE),0)+(IF(QualitéAlimentsAgneauFemelle_3_6_mois=MOYENNE,VLOOKUP("Pulpe déshydratée de betterave",AlimentsRationOvinsFemelles,4,FALSE),0)+(IF(QualitéAlimentsJeuneBélier=MOYENNE,VLOOKUP("Pulpe déshydratée de betterave",AlimentsRationOvinsMâles,3,FALSE),0)+(IF(QualitéAlimentsJeuneBrebis=MOYENNE,VLOOKUP("Pulpe déshydratée de betterave",AlimentsRationOvinsFemelles,3,FALSE),0)+(IF(QualitéAlimentsBélier=MOYENNE,VLOOKUP("Pulpe déshydratée de betterave",AlimentsRationOvinsMâles,2,FALSE),0)+(IF(QualitéAlimentsBrebis=MOYENNE,VLOOKUP("Pulpe déshydratée de betterave",AlimentsRationOvinsFemelles,2,FALSE),0))))))))))</f>
        <v>0</v>
      </c>
      <c r="DQ317" s="1267">
        <f t="array" ref="DQ317">SUM((IF(QualitéAlimentsAgneauMâle_0_3_mois=MAUVAISE,VLOOKUP("Pulpe déshydratée de betterave",AlimentsRationOvinsMâles,5,FALSE),0)+(IF(QualitéAlimentsAgneauFemelle_0_3_mois=MAUVAISE,VLOOKUP("Pulpe déshydratée de betterave",AlimentsRationOvinsFemelles,5,FALSE),0)+(IF(QualitéAlimentsAgneauMâle_3_6_mois=MAUVAISE,VLOOKUP("Pulpe déshydratée de betterave",AlimentsRationOvinsMâles,4,FALSE),0)+(IF(QualitéAlimentsAgneauFemelle_3_6_mois=MAUVAISE,VLOOKUP("Pulpe déshydratée de betterave",AlimentsRationOvinsFemelles,4,FALSE),0)+(IF(QualitéAlimentsJeuneBélier=MAUVAISE,VLOOKUP("Pulpe déshydratée de betterave",AlimentsRationOvinsMâles,3,FALSE),0)+(IF(QualitéAlimentsJeuneBrebis=MAUVAISE,VLOOKUP("Pulpe déshydratée de betterave",AlimentsRationOvinsFemelles,3,FALSE),0)+(IF(QualitéAlimentsBélier=MAUVAISE,VLOOKUP("Pulpe déshydratée de betterave",AlimentsRationOvinsMâles,2,FALSE),0)+(IF(QualitéAlimentsBrebis=MAUVAISE,VLOOKUP("Pulpe déshydratée de betterave",AlimentsRationOvinsFemelles,2,FALSE),0))))))))))</f>
        <v>0</v>
      </c>
      <c r="DR317" s="1321"/>
      <c r="DS317" s="1321"/>
      <c r="DT317" s="1346"/>
      <c r="DU317" s="1346"/>
      <c r="DV317" s="1321"/>
      <c r="DW317" s="1321"/>
      <c r="DX317" s="1321"/>
      <c r="DY317" s="1321"/>
      <c r="DZ317" s="1321"/>
      <c r="EA317" s="1321"/>
      <c r="EB317" s="1321"/>
      <c r="EC317" s="1321"/>
      <c r="ED317" s="1345"/>
      <c r="EE317" s="1345"/>
      <c r="EF317" s="1321"/>
      <c r="EG317" s="1321"/>
      <c r="EH317" s="1321"/>
      <c r="EI317" s="1321"/>
      <c r="EJ317" s="1321"/>
      <c r="EK317" s="1345"/>
      <c r="EL317" s="1345"/>
      <c r="EM317" s="1321"/>
      <c r="EN317" s="1321"/>
      <c r="EO317" s="1321"/>
      <c r="EP317" s="1321"/>
      <c r="EQ317" s="1321"/>
      <c r="ER317" s="1345"/>
      <c r="ES317" s="1345"/>
      <c r="ET317" s="1321"/>
      <c r="EU317" s="1321"/>
      <c r="EV317" s="1321"/>
      <c r="EW317" s="1321"/>
      <c r="EX317" s="1321"/>
      <c r="EY317" s="1321"/>
      <c r="EZ317" s="1345"/>
      <c r="FA317" s="1345"/>
      <c r="FB317" s="1345"/>
      <c r="FC317" s="1321"/>
      <c r="FD317" s="1321"/>
      <c r="FE317" s="1321"/>
      <c r="FF317" s="1321"/>
      <c r="FG317" s="1321"/>
      <c r="FH317" s="1321"/>
      <c r="FI317" s="1345"/>
      <c r="FJ317" s="1345"/>
      <c r="FK317" s="1345"/>
      <c r="FL317" s="1345"/>
      <c r="FM317" s="1321"/>
      <c r="FN317" s="1321"/>
      <c r="FO317" s="1321"/>
      <c r="FP317" s="1321"/>
      <c r="FQ317" s="1321"/>
      <c r="FR317" s="1321"/>
      <c r="FS317" s="1345"/>
      <c r="FT317" s="1345"/>
      <c r="FU317" s="1345"/>
      <c r="FV317" s="1345"/>
      <c r="FW317" s="1321"/>
      <c r="FX317" s="1321"/>
      <c r="FY317" s="1321"/>
      <c r="FZ317" s="1321"/>
      <c r="GA317" s="1345"/>
      <c r="GB317" s="1321"/>
      <c r="GC317" s="1321"/>
      <c r="GD317" s="1321"/>
      <c r="GE317" s="1321"/>
      <c r="GF317" s="1321"/>
      <c r="GG317" s="1321" t="s">
        <v>1349</v>
      </c>
      <c r="GH317" s="1321" t="s">
        <v>1349</v>
      </c>
      <c r="GI317" s="1321" t="s">
        <v>1349</v>
      </c>
      <c r="GJ317" s="1321" t="s">
        <v>1349</v>
      </c>
      <c r="GK317" s="1321" t="s">
        <v>1349</v>
      </c>
      <c r="GL317" s="1321" t="s">
        <v>1349</v>
      </c>
      <c r="GM317" s="1321" t="s">
        <v>1349</v>
      </c>
      <c r="GN317" s="1321" t="s">
        <v>1349</v>
      </c>
      <c r="GO317" s="1321" t="s">
        <v>1349</v>
      </c>
      <c r="GP317" s="1321" t="s">
        <v>1349</v>
      </c>
      <c r="GQ317" s="1321" t="s">
        <v>1349</v>
      </c>
      <c r="GR317" s="1321" t="s">
        <v>1349</v>
      </c>
      <c r="GS317" s="1321" t="s">
        <v>1349</v>
      </c>
      <c r="GT317" s="1321" t="s">
        <v>1349</v>
      </c>
      <c r="GU317" s="1321" t="s">
        <v>1349</v>
      </c>
      <c r="GV317" s="1321" t="s">
        <v>1349</v>
      </c>
      <c r="GW317" s="1321"/>
      <c r="GX317" s="1321"/>
      <c r="GY317" s="1321"/>
      <c r="GZ317" s="1321"/>
      <c r="HA317" s="1321"/>
      <c r="HB317" s="1321"/>
      <c r="HC317" s="1321"/>
      <c r="HD317" s="1321"/>
      <c r="HE317" s="1321"/>
      <c r="HF317" s="1321"/>
      <c r="HG317" s="1321"/>
      <c r="HH317" s="1321"/>
      <c r="HI317" s="1321"/>
      <c r="HJ317" s="1321"/>
      <c r="HK317" s="1321"/>
      <c r="HL317" s="1321"/>
      <c r="HM317" s="1321"/>
      <c r="HN317" s="1321"/>
      <c r="HO317" s="1321"/>
      <c r="HP317" s="1321"/>
      <c r="HQ317" s="1321"/>
      <c r="HR317" s="1321"/>
      <c r="HS317" s="1321"/>
      <c r="HT317" s="1321"/>
      <c r="HU317" s="1321"/>
      <c r="HV317" s="1321"/>
      <c r="HW317" s="1321"/>
      <c r="HX317" s="1321"/>
      <c r="HY317" s="1321"/>
      <c r="HZ317" s="1321"/>
      <c r="IA317" s="1321"/>
      <c r="IB317" s="1321"/>
      <c r="IC317" s="1321"/>
      <c r="ID317" s="1321"/>
      <c r="IE317" s="1321"/>
      <c r="IF317" s="1321"/>
      <c r="IG317" s="1321"/>
      <c r="IH317" s="1321"/>
      <c r="II317" s="1321"/>
      <c r="IJ317" s="1321"/>
      <c r="IK317" s="1321"/>
      <c r="IL317" s="1321"/>
      <c r="IM317" s="1321"/>
      <c r="IN317" s="1368"/>
    </row>
    <row r="318" spans="1:248" ht="12.75" customHeight="1" x14ac:dyDescent="0.2">
      <c r="A318" s="1319"/>
      <c r="B318" s="1321"/>
      <c r="C318" s="1321"/>
      <c r="D318" s="1321"/>
      <c r="E318" s="1321"/>
      <c r="F318" s="1321"/>
      <c r="G318" s="1321"/>
      <c r="H318" s="1321"/>
      <c r="I318" s="1321"/>
      <c r="J318" s="1321"/>
      <c r="K318" s="1321"/>
      <c r="L318" s="1321"/>
      <c r="M318" s="1321"/>
      <c r="N318" s="1321"/>
      <c r="O318" s="1321"/>
      <c r="P318" s="1321"/>
      <c r="Q318" s="1321"/>
      <c r="R318" s="1321"/>
      <c r="S318" s="1321"/>
      <c r="T318" s="1321"/>
      <c r="U318" s="1321"/>
      <c r="V318" s="1321"/>
      <c r="W318" s="1321"/>
      <c r="X318" s="1321"/>
      <c r="Y318" s="1321"/>
      <c r="Z318" s="1321"/>
      <c r="AA318" s="1321"/>
      <c r="AB318" s="1321"/>
      <c r="AC318" s="1321"/>
      <c r="AD318" s="1321"/>
      <c r="AE318" s="1321"/>
      <c r="AF318" s="1321"/>
      <c r="AG318" s="1321"/>
      <c r="AH318" s="1321"/>
      <c r="AI318" s="1321"/>
      <c r="AJ318" s="1321"/>
      <c r="AK318" s="1321"/>
      <c r="AL318" s="1321"/>
      <c r="AM318" s="1321"/>
      <c r="AN318" s="1321"/>
      <c r="AO318" s="1321"/>
      <c r="AP318" s="1321"/>
      <c r="AQ318" s="1321"/>
      <c r="AR318" s="1321"/>
      <c r="AS318" s="1321"/>
      <c r="AT318" s="1321"/>
      <c r="AU318" s="1321"/>
      <c r="AV318" s="1321"/>
      <c r="AW318" s="1321"/>
      <c r="AX318" s="1321"/>
      <c r="AY318" s="1321"/>
      <c r="AZ318" s="1321"/>
      <c r="BA318" s="1321"/>
      <c r="BB318" s="1076">
        <f t="shared" si="79"/>
        <v>0</v>
      </c>
      <c r="BC318" s="1076">
        <f t="array" ref="BC318">IFERROR(IF(OR(AND(INDEX(Règles_bovins[Specificite],MATCH(RationHivernaleBovinsAuPré&amp;$BB318,Règles_bovins[Ration]&amp;Règles_bovins[Aliment],0))="s1",IF($BB318=Spécificité1Bovins,1)),
AND(INDEX(Règles_bovins[Specificite],MATCH(RationHivernaleBovinsAuPré&amp;$BB318,Règles_bovins[Ration]&amp;Règles_bovins[Aliment],0))="s2",IF($BB318=Spécificité2Bovins,1)),
INDEX(Règles_bovins[Specificite],MATCH(RationHivernaleBovinsAuPré&amp;$BB318,Règles_bovins[Ration]&amp;Règles_bovins[Aliment],0))="c"),
INDEX(Règles_bovins[Valeur 36 et plus],MATCH(RationHivernaleBovinsAuPré&amp;$BB318,Règles_bovins[Ration]&amp;Règles_bovins[Aliment],0)),0),0)*IF(SUM(TotalBovinsAdultesAuPré)&gt;0,SUM(TotalBovinsAdultesAuPré),SUM(TotalBovinsAdultes))*35</f>
        <v>0</v>
      </c>
      <c r="BD318" s="1076">
        <f t="array" ref="BD318">IFERROR(IF(OR(AND(INDEX(Règles_bovins[Specificite],MATCH(RationHivernaleBovinsAuPré&amp;$BB318,Règles_bovins[Ration]&amp;Règles_bovins[Aliment],0))="s1",IF($BB318=Spécificité1Bovins,1)),
AND(INDEX(Règles_bovins[Specificite],MATCH(RationHivernaleBovinsAuPré&amp;$BB318,Règles_bovins[Ration]&amp;Règles_bovins[Aliment],0))="s2",IF($BB318=Spécificité2Bovins,1)),
INDEX(Règles_bovins[Specificite],MATCH(RationHivernaleBovinsAuPré&amp;$BB318,Règles_bovins[Ration]&amp;Règles_bovins[Aliment],0))="c"),
INDEX(Règles_bovins[Valeur 24-36],MATCH(RationHivernaleBovinsAuPré&amp;$BB318,Règles_bovins[Ration]&amp;Règles_bovins[Aliment],0)),0),0)*IF(SUM(TotalBovins_24_36moisAuPré)&gt;0,SUM(TotalBovins_24_36moisAuPré),SUM(TotalBovins_24_36mois))*35</f>
        <v>0</v>
      </c>
      <c r="BE318" s="1076">
        <f t="array" ref="BE318">IFERROR(IF(OR(AND(INDEX(Règles_bovins[Specificite],MATCH(RationHivernaleBovinsAuPré&amp;$BB318,Règles_bovins[Ration]&amp;Règles_bovins[Aliment],0))="s1",IF($BB318=Spécificité1Bovins,1)),
AND(INDEX(Règles_bovins[Specificite],MATCH(RationHivernaleBovinsAuPré&amp;$BB318,Règles_bovins[Ration]&amp;Règles_bovins[Aliment],0))="s2",IF($BB318=Spécificité2Bovins,1)),
INDEX(Règles_bovins[Specificite],MATCH(RationHivernaleBovinsAuPré&amp;$BB318,Règles_bovins[Ration]&amp;Règles_bovins[Aliment],0))="c"),
INDEX(Règles_bovins[Valeur 18-24],MATCH(RationHivernaleBovinsAuPré&amp;$BB318,Règles_bovins[Ration]&amp;Règles_bovins[Aliment],0)),0),0)*IF(SUM(TotalBovins_18_24moisAuPré)&gt;0,SUM(TotalBovins_18_24moisAuPré),SUM(TotalBovins_18_24mois))*35</f>
        <v>0</v>
      </c>
      <c r="BF318" s="1076">
        <f t="array" ref="BF318">IFERROR(IF(OR(AND(INDEX(Règles_bovins[Specificite],MATCH(RationHivernaleBovinsAuPré&amp;$BB318,Règles_bovins[Ration]&amp;Règles_bovins[Aliment],0))="s1",IF($BB318=Spécificité1Bovins,1)),
AND(INDEX(Règles_bovins[Specificite],MATCH(RationHivernaleBovinsAuPré&amp;$BB318,Règles_bovins[Ration]&amp;Règles_bovins[Aliment],0))="s2",IF($BB318=Spécificité2Bovins,1)),
INDEX(Règles_bovins[Specificite],MATCH(RationHivernaleBovinsAuPré&amp;$BB318,Règles_bovins[Ration]&amp;Règles_bovins[Aliment],0))="c"),
INDEX(Règles_bovins[Valeur 12-18],MATCH(RationHivernaleBovinsAuPré&amp;$BB318,Règles_bovins[Ration]&amp;Règles_bovins[Aliment],0)),0),0)*IF(SUM(TotalBovins_12_18moisAuPré)&gt;0,SUM(TotalBovins_12_18moisAuPré),SUM(TotalBovins_12_18mois))*35</f>
        <v>0</v>
      </c>
      <c r="BG318" s="1076">
        <f t="array" ref="BG318">IFERROR(IF(OR(AND(INDEX(Règles_bovins[Specificite],MATCH(RationHivernaleBovinsAuPré&amp;$BB318,Règles_bovins[Ration]&amp;Règles_bovins[Aliment],0))="s1",IF($BB318=Spécificité1Bovins,1)),
AND(INDEX(Règles_bovins[Specificite],MATCH(RationHivernaleBovinsAuPré&amp;$BB318,Règles_bovins[Ration]&amp;Règles_bovins[Aliment],0))="s2",IF($BB318=Spécificité2Bovins,1)),
INDEX(Règles_bovins[Specificite],MATCH(RationHivernaleBovinsAuPré&amp;$BB318,Règles_bovins[Ration]&amp;Règles_bovins[Aliment],0))="c"),
INDEX(Règles_bovins[Valeur 6-12],MATCH(RationHivernaleBovinsAuPré&amp;$BB318,Règles_bovins[Ration]&amp;Règles_bovins[Aliment],0)),0),0)*IF(SUM(TotalBovins_6_12moisAuPré)&gt;0,SUM(TotalBovins_6_12moisAuPré),SUM(TotalBovins_6_12mois))*35</f>
        <v>0</v>
      </c>
      <c r="BH318" s="1076">
        <f t="array" ref="BH318">IFERROR(IF(OR(AND(INDEX(Règles_bovins[Specificite],MATCH(RationHivernaleBovinsAuPré&amp;$BB318,Règles_bovins[Ration]&amp;Règles_bovins[Aliment],0))="s1",IF($BB318=Spécificité1Bovins,1)),
AND(INDEX(Règles_bovins[Specificite],MATCH(RationHivernaleBovinsAuPré&amp;$BB318,Règles_bovins[Ration]&amp;Règles_bovins[Aliment],0))="s2",IF($BB318=Spécificité2Bovins,1)),
INDEX(Règles_bovins[Specificite],MATCH(RationHivernaleBovinsAuPré&amp;$BB318,Règles_bovins[Ration]&amp;Règles_bovins[Aliment],0))="c"),
INDEX(Règles_bovins[Valeur 3-6],MATCH(RationHivernaleBovinsAuPré&amp;$BB318,Règles_bovins[Ration]&amp;Règles_bovins[Aliment],0)),0),0)*IF(SUM(TotalBovins_3_6moisAuPré)&gt;0,SUM(TotalBovins_3_6moisAuPré),SUM(TotalBovins_3_6mois))*35</f>
        <v>0</v>
      </c>
      <c r="BI318" s="1076">
        <f t="array" ref="BI318">IFERROR(IF(OR(AND(INDEX(Règles_bovins[Specificite],MATCH(RationHivernaleBovinsAuPré&amp;$BB318,Règles_bovins[Ration]&amp;Règles_bovins[Aliment],0))="s1",IF($BB318=Spécificité1Bovins,1)),
AND(INDEX(Règles_bovins[Specificite],MATCH(RationHivernaleBovinsAuPré&amp;$BB318,Règles_bovins[Ration]&amp;Règles_bovins[Aliment],0))="s2",IF($BB318=Spécificité2Bovins,1)),
INDEX(Règles_bovins[Specificite],MATCH(RationHivernaleBovinsAuPré&amp;$BB318,Règles_bovins[Ration]&amp;Règles_bovins[Aliment],0))="c"),
INDEX(Règles_bovins[Valeur 0-3],MATCH(RationHivernaleBovinsAuPré&amp;$BB318,Règles_bovins[Ration]&amp;Règles_bovins[Aliment],0)),0),0)*IF(SUM(TotalBovins_0_3moisAuPré)&gt;0,SUM(TotalBovins_0_3moisAuPré),SUM(TotalBovins_0_3mois))*35</f>
        <v>0</v>
      </c>
      <c r="BJ318" s="1268">
        <f t="shared" si="78"/>
        <v>0</v>
      </c>
      <c r="BK318" s="1345"/>
      <c r="BL318" s="1345"/>
      <c r="BM318" s="1321"/>
      <c r="BN318" s="1321"/>
      <c r="BO318" s="1321"/>
      <c r="BP318" s="1321"/>
      <c r="BQ318" s="1321"/>
      <c r="BR318" s="1321"/>
      <c r="BS318" s="1321"/>
      <c r="BT318" s="1321"/>
      <c r="BU318" s="1321"/>
      <c r="BV318" s="1345"/>
      <c r="BW318" s="1345"/>
      <c r="BX318" s="1321"/>
      <c r="BY318" s="1321"/>
      <c r="BZ318" s="1321"/>
      <c r="CA318" s="1321"/>
      <c r="CB318" s="1321"/>
      <c r="CC318" s="1321"/>
      <c r="CD318" s="1345"/>
      <c r="CE318" s="1345"/>
      <c r="CF318" s="1345"/>
      <c r="CG318" s="1345"/>
      <c r="CH318" s="1345"/>
      <c r="CI318" s="1321"/>
      <c r="CJ318" s="1321"/>
      <c r="CK318" s="1321"/>
      <c r="CL318" s="1321"/>
      <c r="CM318" s="1321"/>
      <c r="CN318" s="1321"/>
      <c r="CO318" s="1321"/>
      <c r="CP318" s="1321"/>
      <c r="CQ318" s="1321"/>
      <c r="CR318" s="1321"/>
      <c r="CS318" s="1321"/>
      <c r="CT318" s="1321"/>
      <c r="CU318" s="1321"/>
      <c r="CV318" s="1321"/>
      <c r="CW318" s="1321"/>
      <c r="CX318" s="1321"/>
      <c r="CY318" s="1321"/>
      <c r="CZ318" s="1321"/>
      <c r="DA318" s="1321"/>
      <c r="DB318" s="1321"/>
      <c r="DC318" s="1321"/>
      <c r="DD318" s="1321"/>
      <c r="DE318" s="1321"/>
      <c r="DF318" s="1321"/>
      <c r="DG318" s="1321"/>
      <c r="DH318" s="1321"/>
      <c r="DI318" s="1321"/>
      <c r="DJ318" s="1321"/>
      <c r="DK318" s="1321"/>
      <c r="DL318" s="1321"/>
      <c r="DM318" s="1321"/>
      <c r="DN318" s="1075" t="str">
        <f t="shared" si="80"/>
        <v>Ration complète</v>
      </c>
      <c r="DO318" s="1269">
        <f>IF(ChoixRationComplèteOvins&lt;&gt;OUI,0,IF(QualitéRationComplèteOvins=BONNE,Ration_complète_ovins[somme],0))</f>
        <v>0</v>
      </c>
      <c r="DP318" s="1269">
        <f>IF(ChoixRationComplèteOvins&lt;&gt;OUI,0,IF(QualitéRationComplèteOvins=MOYENNE,Ration_complète_ovins[somme],0))</f>
        <v>0</v>
      </c>
      <c r="DQ318" s="1269">
        <f>IF(ChoixRationComplèteOvins&lt;&gt;OUI,0,IF(QualitéRationComplèteOvins=MAUVAISE,Ration_complète_ovins[somme],0))</f>
        <v>0</v>
      </c>
      <c r="DR318" s="1321"/>
      <c r="DS318" s="1321"/>
      <c r="DT318" s="1346"/>
      <c r="DU318" s="1346"/>
      <c r="DV318" s="1321"/>
      <c r="DW318" s="1321"/>
      <c r="DX318" s="1321"/>
      <c r="DY318" s="1321"/>
      <c r="DZ318" s="1321"/>
      <c r="EA318" s="1321"/>
      <c r="EB318" s="1321"/>
      <c r="EC318" s="1321"/>
      <c r="ED318" s="1345"/>
      <c r="EE318" s="1345"/>
      <c r="EF318" s="1321"/>
      <c r="EG318" s="1321"/>
      <c r="EH318" s="1321"/>
      <c r="EI318" s="1321"/>
      <c r="EJ318" s="1321"/>
      <c r="EK318" s="1345"/>
      <c r="EL318" s="1345"/>
      <c r="EM318" s="1321"/>
      <c r="EN318" s="1321"/>
      <c r="EO318" s="1321"/>
      <c r="EP318" s="1321"/>
      <c r="EQ318" s="1321"/>
      <c r="ER318" s="1345"/>
      <c r="ES318" s="1345"/>
      <c r="ET318" s="1321"/>
      <c r="EU318" s="1321"/>
      <c r="EV318" s="1321"/>
      <c r="EW318" s="1321"/>
      <c r="EX318" s="1321"/>
      <c r="EY318" s="1321"/>
      <c r="EZ318" s="1345"/>
      <c r="FA318" s="1345"/>
      <c r="FB318" s="1345"/>
      <c r="FC318" s="1321"/>
      <c r="FD318" s="1321"/>
      <c r="FE318" s="1321"/>
      <c r="FF318" s="1321"/>
      <c r="FG318" s="1321"/>
      <c r="FH318" s="1321"/>
      <c r="FI318" s="1345"/>
      <c r="FJ318" s="1345"/>
      <c r="FK318" s="1345"/>
      <c r="FL318" s="1345"/>
      <c r="FM318" s="1321"/>
      <c r="FN318" s="1321"/>
      <c r="FO318" s="1321"/>
      <c r="FP318" s="1321"/>
      <c r="FQ318" s="1321"/>
      <c r="FR318" s="1321"/>
      <c r="FS318" s="1345"/>
      <c r="FT318" s="1345"/>
      <c r="FU318" s="1345"/>
      <c r="FV318" s="1345"/>
      <c r="FW318" s="1321"/>
      <c r="FX318" s="1321"/>
      <c r="FY318" s="1321"/>
      <c r="FZ318" s="1321"/>
      <c r="GA318" s="1345"/>
      <c r="GB318" s="1321"/>
      <c r="GC318" s="1321"/>
      <c r="GD318" s="1321"/>
      <c r="GE318" s="1321"/>
      <c r="GF318" s="1321"/>
      <c r="GG318" s="1321" t="s">
        <v>1349</v>
      </c>
      <c r="GH318" s="1321" t="s">
        <v>1349</v>
      </c>
      <c r="GI318" s="1321" t="s">
        <v>1349</v>
      </c>
      <c r="GJ318" s="1321" t="s">
        <v>1349</v>
      </c>
      <c r="GK318" s="1321" t="s">
        <v>1349</v>
      </c>
      <c r="GL318" s="1321" t="s">
        <v>1349</v>
      </c>
      <c r="GM318" s="1321" t="s">
        <v>1349</v>
      </c>
      <c r="GN318" s="1321" t="s">
        <v>1349</v>
      </c>
      <c r="GO318" s="1321" t="s">
        <v>1349</v>
      </c>
      <c r="GP318" s="1321" t="s">
        <v>1349</v>
      </c>
      <c r="GQ318" s="1321" t="s">
        <v>1349</v>
      </c>
      <c r="GR318" s="1321" t="s">
        <v>1349</v>
      </c>
      <c r="GS318" s="1321" t="s">
        <v>1349</v>
      </c>
      <c r="GT318" s="1321" t="s">
        <v>1349</v>
      </c>
      <c r="GU318" s="1321" t="s">
        <v>1349</v>
      </c>
      <c r="GV318" s="1321" t="s">
        <v>1349</v>
      </c>
      <c r="GW318" s="1321"/>
      <c r="GX318" s="1321"/>
      <c r="GY318" s="1321"/>
      <c r="GZ318" s="1321"/>
      <c r="HA318" s="1321"/>
      <c r="HB318" s="1321"/>
      <c r="HC318" s="1321"/>
      <c r="HD318" s="1321"/>
      <c r="HE318" s="1321"/>
      <c r="HF318" s="1321"/>
      <c r="HG318" s="1321"/>
      <c r="HH318" s="1321"/>
      <c r="HI318" s="1321"/>
      <c r="HJ318" s="1321"/>
      <c r="HK318" s="1321"/>
      <c r="HL318" s="1321"/>
      <c r="HM318" s="1321"/>
      <c r="HN318" s="1321"/>
      <c r="HO318" s="1321"/>
      <c r="HP318" s="1321"/>
      <c r="HQ318" s="1321"/>
      <c r="HR318" s="1321"/>
      <c r="HS318" s="1321"/>
      <c r="HT318" s="1321"/>
      <c r="HU318" s="1321"/>
      <c r="HV318" s="1321"/>
      <c r="HW318" s="1321"/>
      <c r="HX318" s="1321"/>
      <c r="HY318" s="1321"/>
      <c r="HZ318" s="1321"/>
      <c r="IA318" s="1321"/>
      <c r="IB318" s="1321"/>
      <c r="IC318" s="1321"/>
      <c r="ID318" s="1321"/>
      <c r="IE318" s="1321"/>
      <c r="IF318" s="1321"/>
      <c r="IG318" s="1321"/>
      <c r="IH318" s="1321"/>
      <c r="II318" s="1321"/>
      <c r="IJ318" s="1321"/>
      <c r="IK318" s="1321"/>
      <c r="IL318" s="1321"/>
      <c r="IM318" s="1321"/>
      <c r="IN318" s="1368"/>
    </row>
    <row r="319" spans="1:248" ht="12.75" customHeight="1" x14ac:dyDescent="0.2">
      <c r="A319" s="1319"/>
      <c r="B319" s="1321"/>
      <c r="C319" s="1321"/>
      <c r="D319" s="1321"/>
      <c r="E319" s="1321"/>
      <c r="F319" s="1321"/>
      <c r="G319" s="1321"/>
      <c r="H319" s="1321"/>
      <c r="I319" s="1321"/>
      <c r="J319" s="1321"/>
      <c r="K319" s="1321"/>
      <c r="L319" s="1321"/>
      <c r="M319" s="1321"/>
      <c r="N319" s="1321"/>
      <c r="O319" s="1321"/>
      <c r="P319" s="1321"/>
      <c r="Q319" s="1321"/>
      <c r="R319" s="1321"/>
      <c r="S319" s="1321"/>
      <c r="T319" s="1321"/>
      <c r="U319" s="1321"/>
      <c r="V319" s="1321"/>
      <c r="W319" s="1321"/>
      <c r="X319" s="1321"/>
      <c r="Y319" s="1321"/>
      <c r="Z319" s="1321"/>
      <c r="AA319" s="1321"/>
      <c r="AB319" s="1321"/>
      <c r="AC319" s="1321"/>
      <c r="AD319" s="1321"/>
      <c r="AE319" s="1321"/>
      <c r="AF319" s="1321"/>
      <c r="AG319" s="1321"/>
      <c r="AH319" s="1321"/>
      <c r="AI319" s="1321"/>
      <c r="AJ319" s="1321"/>
      <c r="AK319" s="1321"/>
      <c r="AL319" s="1321"/>
      <c r="AM319" s="1321"/>
      <c r="AN319" s="1321"/>
      <c r="AO319" s="1321"/>
      <c r="AP319" s="1321"/>
      <c r="AQ319" s="1321"/>
      <c r="AR319" s="1321"/>
      <c r="AS319" s="1321"/>
      <c r="AT319" s="1321"/>
      <c r="AU319" s="1321"/>
      <c r="AV319" s="1321"/>
      <c r="AW319" s="1321"/>
      <c r="AX319" s="1321"/>
      <c r="AY319" s="1321"/>
      <c r="AZ319" s="1321"/>
      <c r="BA319" s="1321"/>
      <c r="BB319" s="1075">
        <f t="shared" si="79"/>
        <v>0</v>
      </c>
      <c r="BC319" s="1075">
        <f t="array" ref="BC319">IFERROR(IF(OR(AND(INDEX(Règles_bovins[Specificite],MATCH(RationHivernaleBovinsAuPré&amp;$BB319,Règles_bovins[Ration]&amp;Règles_bovins[Aliment],0))="s1",IF($BB319=Spécificité1Bovins,1)),
AND(INDEX(Règles_bovins[Specificite],MATCH(RationHivernaleBovinsAuPré&amp;$BB319,Règles_bovins[Ration]&amp;Règles_bovins[Aliment],0))="s2",IF($BB319=Spécificité2Bovins,1)),
INDEX(Règles_bovins[Specificite],MATCH(RationHivernaleBovinsAuPré&amp;$BB319,Règles_bovins[Ration]&amp;Règles_bovins[Aliment],0))="c"),
INDEX(Règles_bovins[Valeur 36 et plus],MATCH(RationHivernaleBovinsAuPré&amp;$BB319,Règles_bovins[Ration]&amp;Règles_bovins[Aliment],0)),0),0)*IF(SUM(TotalBovinsAdultesAuPré)&gt;0,SUM(TotalBovinsAdultesAuPré),SUM(TotalBovinsAdultes))*35</f>
        <v>0</v>
      </c>
      <c r="BD319" s="1075">
        <f t="array" ref="BD319">IFERROR(IF(OR(AND(INDEX(Règles_bovins[Specificite],MATCH(RationHivernaleBovinsAuPré&amp;$BB319,Règles_bovins[Ration]&amp;Règles_bovins[Aliment],0))="s1",IF($BB319=Spécificité1Bovins,1)),
AND(INDEX(Règles_bovins[Specificite],MATCH(RationHivernaleBovinsAuPré&amp;$BB319,Règles_bovins[Ration]&amp;Règles_bovins[Aliment],0))="s2",IF($BB319=Spécificité2Bovins,1)),
INDEX(Règles_bovins[Specificite],MATCH(RationHivernaleBovinsAuPré&amp;$BB319,Règles_bovins[Ration]&amp;Règles_bovins[Aliment],0))="c"),
INDEX(Règles_bovins[Valeur 24-36],MATCH(RationHivernaleBovinsAuPré&amp;$BB319,Règles_bovins[Ration]&amp;Règles_bovins[Aliment],0)),0),0)*IF(SUM(TotalBovins_24_36moisAuPré)&gt;0,SUM(TotalBovins_24_36moisAuPré),SUM(TotalBovins_24_36mois))*35</f>
        <v>0</v>
      </c>
      <c r="BE319" s="1075">
        <f t="array" ref="BE319">IFERROR(IF(OR(AND(INDEX(Règles_bovins[Specificite],MATCH(RationHivernaleBovinsAuPré&amp;$BB319,Règles_bovins[Ration]&amp;Règles_bovins[Aliment],0))="s1",IF($BB319=Spécificité1Bovins,1)),
AND(INDEX(Règles_bovins[Specificite],MATCH(RationHivernaleBovinsAuPré&amp;$BB319,Règles_bovins[Ration]&amp;Règles_bovins[Aliment],0))="s2",IF($BB319=Spécificité2Bovins,1)),
INDEX(Règles_bovins[Specificite],MATCH(RationHivernaleBovinsAuPré&amp;$BB319,Règles_bovins[Ration]&amp;Règles_bovins[Aliment],0))="c"),
INDEX(Règles_bovins[Valeur 18-24],MATCH(RationHivernaleBovinsAuPré&amp;$BB319,Règles_bovins[Ration]&amp;Règles_bovins[Aliment],0)),0),0)*IF(SUM(TotalBovins_18_24moisAuPré)&gt;0,SUM(TotalBovins_18_24moisAuPré),SUM(TotalBovins_18_24mois))*35</f>
        <v>0</v>
      </c>
      <c r="BF319" s="1075">
        <f t="array" ref="BF319">IFERROR(IF(OR(AND(INDEX(Règles_bovins[Specificite],MATCH(RationHivernaleBovinsAuPré&amp;$BB319,Règles_bovins[Ration]&amp;Règles_bovins[Aliment],0))="s1",IF($BB319=Spécificité1Bovins,1)),
AND(INDEX(Règles_bovins[Specificite],MATCH(RationHivernaleBovinsAuPré&amp;$BB319,Règles_bovins[Ration]&amp;Règles_bovins[Aliment],0))="s2",IF($BB319=Spécificité2Bovins,1)),
INDEX(Règles_bovins[Specificite],MATCH(RationHivernaleBovinsAuPré&amp;$BB319,Règles_bovins[Ration]&amp;Règles_bovins[Aliment],0))="c"),
INDEX(Règles_bovins[Valeur 12-18],MATCH(RationHivernaleBovinsAuPré&amp;$BB319,Règles_bovins[Ration]&amp;Règles_bovins[Aliment],0)),0),0)*IF(SUM(TotalBovins_12_18moisAuPré)&gt;0,SUM(TotalBovins_12_18moisAuPré),SUM(TotalBovins_12_18mois))*35</f>
        <v>0</v>
      </c>
      <c r="BG319" s="1075">
        <f t="array" ref="BG319">IFERROR(IF(OR(AND(INDEX(Règles_bovins[Specificite],MATCH(RationHivernaleBovinsAuPré&amp;$BB319,Règles_bovins[Ration]&amp;Règles_bovins[Aliment],0))="s1",IF($BB319=Spécificité1Bovins,1)),
AND(INDEX(Règles_bovins[Specificite],MATCH(RationHivernaleBovinsAuPré&amp;$BB319,Règles_bovins[Ration]&amp;Règles_bovins[Aliment],0))="s2",IF($BB319=Spécificité2Bovins,1)),
INDEX(Règles_bovins[Specificite],MATCH(RationHivernaleBovinsAuPré&amp;$BB319,Règles_bovins[Ration]&amp;Règles_bovins[Aliment],0))="c"),
INDEX(Règles_bovins[Valeur 6-12],MATCH(RationHivernaleBovinsAuPré&amp;$BB319,Règles_bovins[Ration]&amp;Règles_bovins[Aliment],0)),0),0)*IF(SUM(TotalBovins_6_12moisAuPré)&gt;0,SUM(TotalBovins_6_12moisAuPré),SUM(TotalBovins_6_12mois))*35</f>
        <v>0</v>
      </c>
      <c r="BH319" s="1075">
        <f t="array" ref="BH319">IFERROR(IF(OR(AND(INDEX(Règles_bovins[Specificite],MATCH(RationHivernaleBovinsAuPré&amp;$BB319,Règles_bovins[Ration]&amp;Règles_bovins[Aliment],0))="s1",IF($BB319=Spécificité1Bovins,1)),
AND(INDEX(Règles_bovins[Specificite],MATCH(RationHivernaleBovinsAuPré&amp;$BB319,Règles_bovins[Ration]&amp;Règles_bovins[Aliment],0))="s2",IF($BB319=Spécificité2Bovins,1)),
INDEX(Règles_bovins[Specificite],MATCH(RationHivernaleBovinsAuPré&amp;$BB319,Règles_bovins[Ration]&amp;Règles_bovins[Aliment],0))="c"),
INDEX(Règles_bovins[Valeur 3-6],MATCH(RationHivernaleBovinsAuPré&amp;$BB319,Règles_bovins[Ration]&amp;Règles_bovins[Aliment],0)),0),0)*IF(SUM(TotalBovins_3_6moisAuPré)&gt;0,SUM(TotalBovins_3_6moisAuPré),SUM(TotalBovins_3_6mois))*35</f>
        <v>0</v>
      </c>
      <c r="BI319" s="1075">
        <f t="array" ref="BI319">IFERROR(IF(OR(AND(INDEX(Règles_bovins[Specificite],MATCH(RationHivernaleBovinsAuPré&amp;$BB319,Règles_bovins[Ration]&amp;Règles_bovins[Aliment],0))="s1",IF($BB319=Spécificité1Bovins,1)),
AND(INDEX(Règles_bovins[Specificite],MATCH(RationHivernaleBovinsAuPré&amp;$BB319,Règles_bovins[Ration]&amp;Règles_bovins[Aliment],0))="s2",IF($BB319=Spécificité2Bovins,1)),
INDEX(Règles_bovins[Specificite],MATCH(RationHivernaleBovinsAuPré&amp;$BB319,Règles_bovins[Ration]&amp;Règles_bovins[Aliment],0))="c"),
INDEX(Règles_bovins[Valeur 0-3],MATCH(RationHivernaleBovinsAuPré&amp;$BB319,Règles_bovins[Ration]&amp;Règles_bovins[Aliment],0)),0),0)*IF(SUM(TotalBovins_0_3moisAuPré)&gt;0,SUM(TotalBovins_0_3moisAuPré),SUM(TotalBovins_0_3mois))*35</f>
        <v>0</v>
      </c>
      <c r="BJ319" s="1270">
        <f t="shared" si="78"/>
        <v>0</v>
      </c>
      <c r="BK319" s="1345"/>
      <c r="BL319" s="1345"/>
      <c r="BM319" s="1321"/>
      <c r="BN319" s="1321"/>
      <c r="BO319" s="1321"/>
      <c r="BP319" s="1321"/>
      <c r="BQ319" s="1321"/>
      <c r="BR319" s="1321"/>
      <c r="BS319" s="1321"/>
      <c r="BT319" s="1321"/>
      <c r="BU319" s="1321"/>
      <c r="BV319" s="1345"/>
      <c r="BW319" s="1345"/>
      <c r="BX319" s="1321"/>
      <c r="BY319" s="1321"/>
      <c r="BZ319" s="1321"/>
      <c r="CA319" s="1321"/>
      <c r="CB319" s="1321"/>
      <c r="CC319" s="1321"/>
      <c r="CD319" s="1345"/>
      <c r="CE319" s="1345"/>
      <c r="CF319" s="1345"/>
      <c r="CG319" s="1345"/>
      <c r="CH319" s="1345"/>
      <c r="CI319" s="1321"/>
      <c r="CJ319" s="1321"/>
      <c r="CK319" s="1321"/>
      <c r="CL319" s="1321"/>
      <c r="CM319" s="1321"/>
      <c r="CN319" s="1321"/>
      <c r="CO319" s="1321"/>
      <c r="CP319" s="1321"/>
      <c r="CQ319" s="1321"/>
      <c r="CR319" s="1321"/>
      <c r="CS319" s="1321"/>
      <c r="CT319" s="1321"/>
      <c r="CU319" s="1321"/>
      <c r="CV319" s="1321"/>
      <c r="CW319" s="1321"/>
      <c r="CX319" s="1321"/>
      <c r="CY319" s="1321"/>
      <c r="CZ319" s="1321"/>
      <c r="DA319" s="1321"/>
      <c r="DB319" s="1321"/>
      <c r="DC319" s="1321"/>
      <c r="DD319" s="1321"/>
      <c r="DE319" s="1321"/>
      <c r="DF319" s="1321"/>
      <c r="DG319" s="1321"/>
      <c r="DH319" s="1321"/>
      <c r="DI319" s="1321"/>
      <c r="DJ319" s="1321"/>
      <c r="DK319" s="1321"/>
      <c r="DL319" s="1321"/>
      <c r="DM319" s="1321"/>
      <c r="DN319" s="1076" t="str">
        <f t="shared" si="80"/>
        <v>Seigle</v>
      </c>
      <c r="DO319" s="1267">
        <f t="array" ref="DO319">SUM((IF(QualitéAlimentsAgneauMâle_0_3_mois=BONNE,VLOOKUP("Seigle",AlimentsRationOvinsMâles,5,FALSE),0)+(IF(QualitéAlimentsAgneauFemelle_0_3_mois=BONNE,VLOOKUP("Seigle",AlimentsRationOvinsFemelles,5,FALSE),0)+(IF(QualitéAlimentsAgneauMâle_3_6_mois=BONNE,VLOOKUP("Seigle",AlimentsRationOvinsMâles,4,FALSE),0)+(IF(QualitéAlimentsAgneauFemelle_3_6_mois=BONNE,VLOOKUP("Seigle",AlimentsRationOvinsFemelles,4,FALSE),0)+(IF(QualitéAlimentsJeuneBélier=BONNE,VLOOKUP("Seigle",AlimentsRationOvinsMâles,3,FALSE),0)+(IF(QualitéAlimentsJeuneBrebis=BONNE,VLOOKUP("Seigle",AlimentsRationOvinsFemelles,3,FALSE),0)+(IF(QualitéAlimentsBélier=BONNE,VLOOKUP("Seigle",AlimentsRationOvinsMâles,2,FALSE),0)+(IF(QualitéAlimentsBrebis=BONNE,VLOOKUP("Seigle",AlimentsRationOvinsFemelles,2,FALSE),0))))))))))</f>
        <v>0</v>
      </c>
      <c r="DP319" s="1267">
        <f t="array" ref="DP319">SUM((IF(QualitéAlimentsAgneauMâle_0_3_mois=MOYENNE,VLOOKUP("Seigle",AlimentsRationOvinsMâles,5,FALSE),0)+(IF(QualitéAlimentsAgneauFemelle_0_3_mois=MOYENNE,VLOOKUP("Seigle",AlimentsRationOvinsFemelles,5,FALSE),0)+(IF(QualitéAlimentsAgneauMâle_3_6_mois=MOYENNE,VLOOKUP("Seigle",AlimentsRationOvinsMâles,4,FALSE),0)+(IF(QualitéAlimentsAgneauFemelle_3_6_mois=MOYENNE,VLOOKUP("Seigle",AlimentsRationOvinsFemelles,4,FALSE),0)+(IF(QualitéAlimentsJeuneBélier=MOYENNE,VLOOKUP("Seigle",AlimentsRationOvinsMâles,3,FALSE),0)+(IF(QualitéAlimentsJeuneBrebis=MOYENNE,VLOOKUP("Seigle",AlimentsRationOvinsFemelles,3,FALSE),0)+(IF(QualitéAlimentsBélier=MOYENNE,VLOOKUP("Seigle",AlimentsRationOvinsMâles,2,FALSE),0)+(IF(QualitéAlimentsBrebis=MOYENNE,VLOOKUP("Seigle",AlimentsRationOvinsFemelles,2,FALSE),0))))))))))</f>
        <v>0</v>
      </c>
      <c r="DQ319" s="1267">
        <f t="array" ref="DQ319">SUM((IF(QualitéAlimentsAgneauMâle_0_3_mois=MAUVAISE,VLOOKUP("Seigle",AlimentsRationOvinsMâles,5,FALSE),0)+(IF(QualitéAlimentsAgneauFemelle_0_3_mois=MAUVAISE,VLOOKUP("Seigle",AlimentsRationOvinsFemelles,5,FALSE),0)+(IF(QualitéAlimentsAgneauMâle_3_6_mois=MAUVAISE,VLOOKUP("Seigle",AlimentsRationOvinsMâles,4,FALSE),0)+(IF(QualitéAlimentsAgneauFemelle_3_6_mois=MAUVAISE,VLOOKUP("Seigle",AlimentsRationOvinsFemelles,4,FALSE),0)+(IF(QualitéAlimentsJeuneBélier=MAUVAISE,VLOOKUP("Seigle",AlimentsRationOvinsMâles,3,FALSE),0)+(IF(QualitéAlimentsJeuneBrebis=MAUVAISE,VLOOKUP("Seigle",AlimentsRationOvinsFemelles,3,FALSE),0)+(IF(QualitéAlimentsBélier=MAUVAISE,VLOOKUP("Seigle",AlimentsRationOvinsMâles,2,FALSE),0)+(IF(QualitéAlimentsBrebis=MAUVAISE,VLOOKUP("Seigle",AlimentsRationOvinsFemelles,2,FALSE),0))))))))))</f>
        <v>0</v>
      </c>
      <c r="DR319" s="1321"/>
      <c r="DS319" s="1321"/>
      <c r="DT319" s="1346"/>
      <c r="DU319" s="1346"/>
      <c r="DV319" s="1321"/>
      <c r="DW319" s="1321"/>
      <c r="DX319" s="1321"/>
      <c r="DY319" s="1321"/>
      <c r="DZ319" s="1321"/>
      <c r="EA319" s="1321"/>
      <c r="EB319" s="1321"/>
      <c r="EC319" s="1321"/>
      <c r="ED319" s="1345"/>
      <c r="EE319" s="1345"/>
      <c r="EF319" s="1321"/>
      <c r="EG319" s="1321"/>
      <c r="EH319" s="1321"/>
      <c r="EI319" s="1321"/>
      <c r="EJ319" s="1321"/>
      <c r="EK319" s="1345"/>
      <c r="EL319" s="1345"/>
      <c r="EM319" s="1321"/>
      <c r="EN319" s="1321"/>
      <c r="EO319" s="1321"/>
      <c r="EP319" s="1321"/>
      <c r="EQ319" s="1321"/>
      <c r="ER319" s="1345"/>
      <c r="ES319" s="1345"/>
      <c r="ET319" s="1321"/>
      <c r="EU319" s="1321"/>
      <c r="EV319" s="1321"/>
      <c r="EW319" s="1321"/>
      <c r="EX319" s="1321"/>
      <c r="EY319" s="1321"/>
      <c r="EZ319" s="1345"/>
      <c r="FA319" s="1345"/>
      <c r="FB319" s="1345"/>
      <c r="FC319" s="1321"/>
      <c r="FD319" s="1321"/>
      <c r="FE319" s="1321"/>
      <c r="FF319" s="1321"/>
      <c r="FG319" s="1321"/>
      <c r="FH319" s="1321"/>
      <c r="FI319" s="1345"/>
      <c r="FJ319" s="1345"/>
      <c r="FK319" s="1345"/>
      <c r="FL319" s="1345"/>
      <c r="FM319" s="1321"/>
      <c r="FN319" s="1321"/>
      <c r="FO319" s="1321"/>
      <c r="FP319" s="1321"/>
      <c r="FQ319" s="1321"/>
      <c r="FR319" s="1321"/>
      <c r="FS319" s="1345"/>
      <c r="FT319" s="1345"/>
      <c r="FU319" s="1345"/>
      <c r="FV319" s="1345"/>
      <c r="FW319" s="1321"/>
      <c r="FX319" s="1321"/>
      <c r="FY319" s="1321"/>
      <c r="FZ319" s="1321"/>
      <c r="GA319" s="1345"/>
      <c r="GB319" s="1321"/>
      <c r="GC319" s="1321"/>
      <c r="GD319" s="1321"/>
      <c r="GE319" s="1321"/>
      <c r="GF319" s="1321"/>
      <c r="GG319" s="1321" t="s">
        <v>1349</v>
      </c>
      <c r="GH319" s="1321" t="s">
        <v>1349</v>
      </c>
      <c r="GI319" s="1321" t="s">
        <v>1349</v>
      </c>
      <c r="GJ319" s="1321" t="s">
        <v>1349</v>
      </c>
      <c r="GK319" s="1321" t="s">
        <v>1349</v>
      </c>
      <c r="GL319" s="1321" t="s">
        <v>1349</v>
      </c>
      <c r="GM319" s="1321" t="s">
        <v>1349</v>
      </c>
      <c r="GN319" s="1321" t="s">
        <v>1349</v>
      </c>
      <c r="GO319" s="1321" t="s">
        <v>1349</v>
      </c>
      <c r="GP319" s="1321" t="s">
        <v>1349</v>
      </c>
      <c r="GQ319" s="1321" t="s">
        <v>1349</v>
      </c>
      <c r="GR319" s="1321" t="s">
        <v>1349</v>
      </c>
      <c r="GS319" s="1321" t="s">
        <v>1349</v>
      </c>
      <c r="GT319" s="1321" t="s">
        <v>1349</v>
      </c>
      <c r="GU319" s="1321" t="s">
        <v>1349</v>
      </c>
      <c r="GV319" s="1321" t="s">
        <v>1349</v>
      </c>
      <c r="GW319" s="1321"/>
      <c r="GX319" s="1321"/>
      <c r="GY319" s="1321"/>
      <c r="GZ319" s="1321"/>
      <c r="HA319" s="1321"/>
      <c r="HB319" s="1321"/>
      <c r="HC319" s="1321"/>
      <c r="HD319" s="1321"/>
      <c r="HE319" s="1321"/>
      <c r="HF319" s="1321"/>
      <c r="HG319" s="1321"/>
      <c r="HH319" s="1321"/>
      <c r="HI319" s="1321"/>
      <c r="HJ319" s="1321"/>
      <c r="HK319" s="1321"/>
      <c r="HL319" s="1321"/>
      <c r="HM319" s="1321"/>
      <c r="HN319" s="1321"/>
      <c r="HO319" s="1321"/>
      <c r="HP319" s="1321"/>
      <c r="HQ319" s="1321"/>
      <c r="HR319" s="1321"/>
      <c r="HS319" s="1321"/>
      <c r="HT319" s="1321"/>
      <c r="HU319" s="1321"/>
      <c r="HV319" s="1321"/>
      <c r="HW319" s="1321"/>
      <c r="HX319" s="1321"/>
      <c r="HY319" s="1321"/>
      <c r="HZ319" s="1321"/>
      <c r="IA319" s="1321"/>
      <c r="IB319" s="1321"/>
      <c r="IC319" s="1321"/>
      <c r="ID319" s="1321"/>
      <c r="IE319" s="1321"/>
      <c r="IF319" s="1321"/>
      <c r="IG319" s="1321"/>
      <c r="IH319" s="1321"/>
      <c r="II319" s="1321"/>
      <c r="IJ319" s="1321"/>
      <c r="IK319" s="1321"/>
      <c r="IL319" s="1321"/>
      <c r="IM319" s="1321"/>
      <c r="IN319" s="1368"/>
    </row>
    <row r="320" spans="1:248" ht="12.75" customHeight="1" x14ac:dyDescent="0.2">
      <c r="A320" s="1319"/>
      <c r="B320" s="1321"/>
      <c r="C320" s="1321"/>
      <c r="D320" s="1321"/>
      <c r="E320" s="1321"/>
      <c r="F320" s="1321"/>
      <c r="G320" s="1321"/>
      <c r="H320" s="1321"/>
      <c r="I320" s="1321"/>
      <c r="J320" s="1321"/>
      <c r="K320" s="1321"/>
      <c r="L320" s="1321"/>
      <c r="M320" s="1321"/>
      <c r="N320" s="1321"/>
      <c r="O320" s="1321"/>
      <c r="P320" s="1321"/>
      <c r="Q320" s="1321"/>
      <c r="R320" s="1321"/>
      <c r="S320" s="1321"/>
      <c r="T320" s="1321"/>
      <c r="U320" s="1321"/>
      <c r="V320" s="1321"/>
      <c r="W320" s="1321"/>
      <c r="X320" s="1321"/>
      <c r="Y320" s="1321"/>
      <c r="Z320" s="1321"/>
      <c r="AA320" s="1321"/>
      <c r="AB320" s="1321"/>
      <c r="AC320" s="1321"/>
      <c r="AD320" s="1321"/>
      <c r="AE320" s="1321"/>
      <c r="AF320" s="1321"/>
      <c r="AG320" s="1321"/>
      <c r="AH320" s="1321"/>
      <c r="AI320" s="1321"/>
      <c r="AJ320" s="1321"/>
      <c r="AK320" s="1321"/>
      <c r="AL320" s="1321"/>
      <c r="AM320" s="1321"/>
      <c r="AN320" s="1321"/>
      <c r="AO320" s="1321"/>
      <c r="AP320" s="1321"/>
      <c r="AQ320" s="1321"/>
      <c r="AR320" s="1321"/>
      <c r="AS320" s="1321"/>
      <c r="AT320" s="1321"/>
      <c r="AU320" s="1321"/>
      <c r="AV320" s="1321"/>
      <c r="AW320" s="1321"/>
      <c r="AX320" s="1321"/>
      <c r="AY320" s="1321"/>
      <c r="AZ320" s="1321"/>
      <c r="BA320" s="1321"/>
      <c r="BB320" s="1075">
        <f t="shared" si="79"/>
        <v>0</v>
      </c>
      <c r="BC320" s="1075">
        <f t="array" ref="BC320">IFERROR(IF(OR(AND(INDEX(Règles_bovins[Specificite],MATCH(RationHivernaleBovinsAuPré&amp;$BB320,Règles_bovins[Ration]&amp;Règles_bovins[Aliment],0))="s1",IF($BB320=Spécificité1Bovins,1)),
AND(INDEX(Règles_bovins[Specificite],MATCH(RationHivernaleBovinsAuPré&amp;$BB320,Règles_bovins[Ration]&amp;Règles_bovins[Aliment],0))="s2",IF($BB320=Spécificité2Bovins,1)),
INDEX(Règles_bovins[Specificite],MATCH(RationHivernaleBovinsAuPré&amp;$BB320,Règles_bovins[Ration]&amp;Règles_bovins[Aliment],0))="c"),
INDEX(Règles_bovins[Valeur 36 et plus],MATCH(RationHivernaleBovinsAuPré&amp;$BB320,Règles_bovins[Ration]&amp;Règles_bovins[Aliment],0)),0),0)*IF(SUM(TotalBovinsAdultesAuPré)&gt;0,SUM(TotalBovinsAdultesAuPré),SUM(TotalBovinsAdultes))*35</f>
        <v>0</v>
      </c>
      <c r="BD320" s="1075">
        <f t="array" ref="BD320">IFERROR(IF(OR(AND(INDEX(Règles_bovins[Specificite],MATCH(RationHivernaleBovinsAuPré&amp;$BB320,Règles_bovins[Ration]&amp;Règles_bovins[Aliment],0))="s1",IF($BB320=Spécificité1Bovins,1)),
AND(INDEX(Règles_bovins[Specificite],MATCH(RationHivernaleBovinsAuPré&amp;$BB320,Règles_bovins[Ration]&amp;Règles_bovins[Aliment],0))="s2",IF($BB320=Spécificité2Bovins,1)),
INDEX(Règles_bovins[Specificite],MATCH(RationHivernaleBovinsAuPré&amp;$BB320,Règles_bovins[Ration]&amp;Règles_bovins[Aliment],0))="c"),
INDEX(Règles_bovins[Valeur 24-36],MATCH(RationHivernaleBovinsAuPré&amp;$BB320,Règles_bovins[Ration]&amp;Règles_bovins[Aliment],0)),0),0)*IF(SUM(TotalBovins_24_36moisAuPré)&gt;0,SUM(TotalBovins_24_36moisAuPré),SUM(TotalBovins_24_36mois))*35</f>
        <v>0</v>
      </c>
      <c r="BE320" s="1075">
        <f t="array" ref="BE320">IFERROR(IF(OR(AND(INDEX(Règles_bovins[Specificite],MATCH(RationHivernaleBovinsAuPré&amp;$BB320,Règles_bovins[Ration]&amp;Règles_bovins[Aliment],0))="s1",IF($BB320=Spécificité1Bovins,1)),
AND(INDEX(Règles_bovins[Specificite],MATCH(RationHivernaleBovinsAuPré&amp;$BB320,Règles_bovins[Ration]&amp;Règles_bovins[Aliment],0))="s2",IF($BB320=Spécificité2Bovins,1)),
INDEX(Règles_bovins[Specificite],MATCH(RationHivernaleBovinsAuPré&amp;$BB320,Règles_bovins[Ration]&amp;Règles_bovins[Aliment],0))="c"),
INDEX(Règles_bovins[Valeur 18-24],MATCH(RationHivernaleBovinsAuPré&amp;$BB320,Règles_bovins[Ration]&amp;Règles_bovins[Aliment],0)),0),0)*IF(SUM(TotalBovins_18_24moisAuPré)&gt;0,SUM(TotalBovins_18_24moisAuPré),SUM(TotalBovins_18_24mois))*35</f>
        <v>0</v>
      </c>
      <c r="BF320" s="1075">
        <f t="array" ref="BF320">IFERROR(IF(OR(AND(INDEX(Règles_bovins[Specificite],MATCH(RationHivernaleBovinsAuPré&amp;$BB320,Règles_bovins[Ration]&amp;Règles_bovins[Aliment],0))="s1",IF($BB320=Spécificité1Bovins,1)),
AND(INDEX(Règles_bovins[Specificite],MATCH(RationHivernaleBovinsAuPré&amp;$BB320,Règles_bovins[Ration]&amp;Règles_bovins[Aliment],0))="s2",IF($BB320=Spécificité2Bovins,1)),
INDEX(Règles_bovins[Specificite],MATCH(RationHivernaleBovinsAuPré&amp;$BB320,Règles_bovins[Ration]&amp;Règles_bovins[Aliment],0))="c"),
INDEX(Règles_bovins[Valeur 12-18],MATCH(RationHivernaleBovinsAuPré&amp;$BB320,Règles_bovins[Ration]&amp;Règles_bovins[Aliment],0)),0),0)*IF(SUM(TotalBovins_12_18moisAuPré)&gt;0,SUM(TotalBovins_12_18moisAuPré),SUM(TotalBovins_12_18mois))*35</f>
        <v>0</v>
      </c>
      <c r="BG320" s="1075">
        <f t="array" ref="BG320">IFERROR(IF(OR(AND(INDEX(Règles_bovins[Specificite],MATCH(RationHivernaleBovinsAuPré&amp;$BB320,Règles_bovins[Ration]&amp;Règles_bovins[Aliment],0))="s1",IF($BB320=Spécificité1Bovins,1)),
AND(INDEX(Règles_bovins[Specificite],MATCH(RationHivernaleBovinsAuPré&amp;$BB320,Règles_bovins[Ration]&amp;Règles_bovins[Aliment],0))="s2",IF($BB320=Spécificité2Bovins,1)),
INDEX(Règles_bovins[Specificite],MATCH(RationHivernaleBovinsAuPré&amp;$BB320,Règles_bovins[Ration]&amp;Règles_bovins[Aliment],0))="c"),
INDEX(Règles_bovins[Valeur 6-12],MATCH(RationHivernaleBovinsAuPré&amp;$BB320,Règles_bovins[Ration]&amp;Règles_bovins[Aliment],0)),0),0)*IF(SUM(TotalBovins_6_12moisAuPré)&gt;0,SUM(TotalBovins_6_12moisAuPré),SUM(TotalBovins_6_12mois))*35</f>
        <v>0</v>
      </c>
      <c r="BH320" s="1075">
        <f t="array" ref="BH320">IFERROR(IF(OR(AND(INDEX(Règles_bovins[Specificite],MATCH(RationHivernaleBovinsAuPré&amp;$BB320,Règles_bovins[Ration]&amp;Règles_bovins[Aliment],0))="s1",IF($BB320=Spécificité1Bovins,1)),
AND(INDEX(Règles_bovins[Specificite],MATCH(RationHivernaleBovinsAuPré&amp;$BB320,Règles_bovins[Ration]&amp;Règles_bovins[Aliment],0))="s2",IF($BB320=Spécificité2Bovins,1)),
INDEX(Règles_bovins[Specificite],MATCH(RationHivernaleBovinsAuPré&amp;$BB320,Règles_bovins[Ration]&amp;Règles_bovins[Aliment],0))="c"),
INDEX(Règles_bovins[Valeur 3-6],MATCH(RationHivernaleBovinsAuPré&amp;$BB320,Règles_bovins[Ration]&amp;Règles_bovins[Aliment],0)),0),0)*IF(SUM(TotalBovins_3_6moisAuPré)&gt;0,SUM(TotalBovins_3_6moisAuPré),SUM(TotalBovins_3_6mois))*35</f>
        <v>0</v>
      </c>
      <c r="BI320" s="1075">
        <f t="array" ref="BI320">IFERROR(IF(OR(AND(INDEX(Règles_bovins[Specificite],MATCH(RationHivernaleBovinsAuPré&amp;$BB320,Règles_bovins[Ration]&amp;Règles_bovins[Aliment],0))="s1",IF($BB320=Spécificité1Bovins,1)),
AND(INDEX(Règles_bovins[Specificite],MATCH(RationHivernaleBovinsAuPré&amp;$BB320,Règles_bovins[Ration]&amp;Règles_bovins[Aliment],0))="s2",IF($BB320=Spécificité2Bovins,1)),
INDEX(Règles_bovins[Specificite],MATCH(RationHivernaleBovinsAuPré&amp;$BB320,Règles_bovins[Ration]&amp;Règles_bovins[Aliment],0))="c"),
INDEX(Règles_bovins[Valeur 0-3],MATCH(RationHivernaleBovinsAuPré&amp;$BB320,Règles_bovins[Ration]&amp;Règles_bovins[Aliment],0)),0),0)*IF(SUM(TotalBovins_0_3moisAuPré)&gt;0,SUM(TotalBovins_0_3moisAuPré),SUM(TotalBovins_0_3mois))*35</f>
        <v>0</v>
      </c>
      <c r="BJ320" s="1270">
        <f t="shared" si="78"/>
        <v>0</v>
      </c>
      <c r="BK320" s="1345"/>
      <c r="BL320" s="1345"/>
      <c r="BM320" s="1321"/>
      <c r="BN320" s="1321"/>
      <c r="BO320" s="1321"/>
      <c r="BP320" s="1321"/>
      <c r="BQ320" s="1321"/>
      <c r="BR320" s="1321"/>
      <c r="BS320" s="1321"/>
      <c r="BT320" s="1321"/>
      <c r="BU320" s="1321"/>
      <c r="BV320" s="1345"/>
      <c r="BW320" s="1345"/>
      <c r="BX320" s="1321"/>
      <c r="BY320" s="1321"/>
      <c r="BZ320" s="1321"/>
      <c r="CA320" s="1321"/>
      <c r="CB320" s="1321"/>
      <c r="CC320" s="1321"/>
      <c r="CD320" s="1345"/>
      <c r="CE320" s="1345"/>
      <c r="CF320" s="1345"/>
      <c r="CG320" s="1345"/>
      <c r="CH320" s="1345"/>
      <c r="CI320" s="1321"/>
      <c r="CJ320" s="1321"/>
      <c r="CK320" s="1321"/>
      <c r="CL320" s="1321"/>
      <c r="CM320" s="1321"/>
      <c r="CN320" s="1321"/>
      <c r="CO320" s="1321"/>
      <c r="CP320" s="1321"/>
      <c r="CQ320" s="1321"/>
      <c r="CR320" s="1321"/>
      <c r="CS320" s="1321"/>
      <c r="CT320" s="1321"/>
      <c r="CU320" s="1321"/>
      <c r="CV320" s="1321"/>
      <c r="CW320" s="1321"/>
      <c r="CX320" s="1321"/>
      <c r="CY320" s="1321"/>
      <c r="CZ320" s="1321"/>
      <c r="DA320" s="1321"/>
      <c r="DB320" s="1321"/>
      <c r="DC320" s="1321"/>
      <c r="DD320" s="1321"/>
      <c r="DE320" s="1321"/>
      <c r="DF320" s="1321"/>
      <c r="DG320" s="1321"/>
      <c r="DH320" s="1321"/>
      <c r="DI320" s="1321"/>
      <c r="DJ320" s="1321"/>
      <c r="DK320" s="1321"/>
      <c r="DL320" s="1321"/>
      <c r="DM320" s="1321"/>
      <c r="DN320" s="1075" t="str">
        <f t="shared" si="80"/>
        <v>Soja</v>
      </c>
      <c r="DO320" s="1269">
        <f t="array" ref="DO320">SUM((IF(QualitéAlimentsAgneauMâle_0_3_mois=BONNE,VLOOKUP("Soja",AlimentsRationOvinsMâles,5,FALSE),0)+(IF(QualitéAlimentsAgneauFemelle_0_3_mois=BONNE,VLOOKUP("Soja",AlimentsRationOvinsFemelles,5,FALSE),0)+(IF(QualitéAlimentsAgneauMâle_3_6_mois=BONNE,VLOOKUP("Soja",AlimentsRationOvinsMâles,4,FALSE),0)+(IF(QualitéAlimentsAgneauFemelle_3_6_mois=BONNE,VLOOKUP("Soja",AlimentsRationOvinsFemelles,4,FALSE),0)+(IF(QualitéAlimentsJeuneBélier=BONNE,VLOOKUP("Soja",AlimentsRationOvinsMâles,3,FALSE),0)+(IF(QualitéAlimentsJeuneBrebis=BONNE,VLOOKUP("Soja",AlimentsRationOvinsFemelles,3,FALSE),0)+(IF(QualitéAlimentsBélier=BONNE,VLOOKUP("Soja",AlimentsRationOvinsMâles,2,FALSE),0)+(IF(QualitéAlimentsBrebis=BONNE,VLOOKUP("Soja",AlimentsRationOvinsFemelles,2,FALSE),0))))))))))</f>
        <v>0</v>
      </c>
      <c r="DP320" s="1269">
        <f t="array" ref="DP320">SUM((IF(QualitéAlimentsAgneauMâle_0_3_mois=MOYENNE,VLOOKUP("Soja",AlimentsRationOvinsMâles,5,FALSE),0)+(IF(QualitéAlimentsAgneauFemelle_0_3_mois=MOYENNE,VLOOKUP("Soja",AlimentsRationOvinsFemelles,5,FALSE),0)+(IF(QualitéAlimentsAgneauMâle_3_6_mois=MOYENNE,VLOOKUP("Soja",AlimentsRationOvinsMâles,4,FALSE),0)+(IF(QualitéAlimentsAgneauFemelle_3_6_mois=MOYENNE,VLOOKUP("Soja",AlimentsRationOvinsFemelles,4,FALSE),0)+(IF(QualitéAlimentsJeuneBélier=MOYENNE,VLOOKUP("Soja",AlimentsRationOvinsMâles,3,FALSE),0)+(IF(QualitéAlimentsJeuneBrebis=MOYENNE,VLOOKUP("Soja",AlimentsRationOvinsFemelles,3,FALSE),0)+(IF(QualitéAlimentsBélier=MOYENNE,VLOOKUP("Soja",AlimentsRationOvinsMâles,2,FALSE),0)+(IF(QualitéAlimentsBrebis=MOYENNE,VLOOKUP("Soja",AlimentsRationOvinsFemelles,2,FALSE),0))))))))))</f>
        <v>0</v>
      </c>
      <c r="DQ320" s="1269">
        <f t="array" ref="DQ320">SUM((IF(QualitéAlimentsAgneauMâle_0_3_mois=MAUVAISE,VLOOKUP("Soja",AlimentsRationOvinsMâles,5,FALSE),0)+(IF(QualitéAlimentsAgneauFemelle_0_3_mois=MAUVAISE,VLOOKUP("Soja",AlimentsRationOvinsFemelles,5,FALSE),0)+(IF(QualitéAlimentsAgneauMâle_3_6_mois=MAUVAISE,VLOOKUP("Soja",AlimentsRationOvinsMâles,4,FALSE),0)+(IF(QualitéAlimentsAgneauFemelle_3_6_mois=MAUVAISE,VLOOKUP("Soja",AlimentsRationOvinsFemelles,4,FALSE),0)+(IF(QualitéAlimentsJeuneBélier=MAUVAISE,VLOOKUP("Soja",AlimentsRationOvinsMâles,3,FALSE),0)+(IF(QualitéAlimentsJeuneBrebis=MAUVAISE,VLOOKUP("Soja",AlimentsRationOvinsFemelles,3,FALSE),0)+(IF(QualitéAlimentsBélier=MAUVAISE,VLOOKUP("Soja",AlimentsRationOvinsMâles,2,FALSE),0)+(IF(QualitéAlimentsBrebis=MAUVAISE,VLOOKUP("Soja",AlimentsRationOvinsFemelles,2,FALSE),0))))))))))</f>
        <v>0</v>
      </c>
      <c r="DR320" s="1321"/>
      <c r="DS320" s="1321"/>
      <c r="DT320" s="1346"/>
      <c r="DU320" s="1346"/>
      <c r="DV320" s="1321"/>
      <c r="DW320" s="1321"/>
      <c r="DX320" s="1321"/>
      <c r="DY320" s="1321"/>
      <c r="DZ320" s="1321"/>
      <c r="EA320" s="1321"/>
      <c r="EB320" s="1321"/>
      <c r="EC320" s="1321"/>
      <c r="ED320" s="1345"/>
      <c r="EE320" s="1345"/>
      <c r="EF320" s="1321"/>
      <c r="EG320" s="1321"/>
      <c r="EH320" s="1321"/>
      <c r="EI320" s="1321"/>
      <c r="EJ320" s="1321"/>
      <c r="EK320" s="1345"/>
      <c r="EL320" s="1345"/>
      <c r="EM320" s="1321"/>
      <c r="EN320" s="1321"/>
      <c r="EO320" s="1321"/>
      <c r="EP320" s="1321"/>
      <c r="EQ320" s="1321"/>
      <c r="ER320" s="1345"/>
      <c r="ES320" s="1345"/>
      <c r="ET320" s="1321"/>
      <c r="EU320" s="1321"/>
      <c r="EV320" s="1321"/>
      <c r="EW320" s="1321"/>
      <c r="EX320" s="1321"/>
      <c r="EY320" s="1321"/>
      <c r="EZ320" s="1345"/>
      <c r="FA320" s="1345"/>
      <c r="FB320" s="1345"/>
      <c r="FC320" s="1321"/>
      <c r="FD320" s="1321"/>
      <c r="FE320" s="1321"/>
      <c r="FF320" s="1321"/>
      <c r="FG320" s="1321"/>
      <c r="FH320" s="1321"/>
      <c r="FI320" s="1345"/>
      <c r="FJ320" s="1345"/>
      <c r="FK320" s="1345"/>
      <c r="FL320" s="1345"/>
      <c r="FM320" s="1321"/>
      <c r="FN320" s="1321"/>
      <c r="FO320" s="1321"/>
      <c r="FP320" s="1321"/>
      <c r="FQ320" s="1321"/>
      <c r="FR320" s="1321"/>
      <c r="FS320" s="1345"/>
      <c r="FT320" s="1345"/>
      <c r="FU320" s="1345"/>
      <c r="FV320" s="1345"/>
      <c r="FW320" s="1321"/>
      <c r="FX320" s="1321"/>
      <c r="FY320" s="1321"/>
      <c r="FZ320" s="1321"/>
      <c r="GA320" s="1345"/>
      <c r="GB320" s="1321"/>
      <c r="GC320" s="1321"/>
      <c r="GD320" s="1321"/>
      <c r="GE320" s="1321"/>
      <c r="GF320" s="1321"/>
      <c r="GG320" s="1321" t="s">
        <v>1349</v>
      </c>
      <c r="GH320" s="1321" t="s">
        <v>1349</v>
      </c>
      <c r="GI320" s="1321" t="s">
        <v>1349</v>
      </c>
      <c r="GJ320" s="1321" t="s">
        <v>1349</v>
      </c>
      <c r="GK320" s="1321" t="s">
        <v>1349</v>
      </c>
      <c r="GL320" s="1321" t="s">
        <v>1349</v>
      </c>
      <c r="GM320" s="1321" t="s">
        <v>1349</v>
      </c>
      <c r="GN320" s="1321" t="s">
        <v>1349</v>
      </c>
      <c r="GO320" s="1321" t="s">
        <v>1349</v>
      </c>
      <c r="GP320" s="1321" t="s">
        <v>1349</v>
      </c>
      <c r="GQ320" s="1321" t="s">
        <v>1349</v>
      </c>
      <c r="GR320" s="1321" t="s">
        <v>1349</v>
      </c>
      <c r="GS320" s="1321" t="s">
        <v>1349</v>
      </c>
      <c r="GT320" s="1321" t="s">
        <v>1349</v>
      </c>
      <c r="GU320" s="1321" t="s">
        <v>1349</v>
      </c>
      <c r="GV320" s="1321" t="s">
        <v>1349</v>
      </c>
      <c r="GW320" s="1321"/>
      <c r="GX320" s="1321"/>
      <c r="GY320" s="1321"/>
      <c r="GZ320" s="1321"/>
      <c r="HA320" s="1321"/>
      <c r="HB320" s="1321"/>
      <c r="HC320" s="1321"/>
      <c r="HD320" s="1321"/>
      <c r="HE320" s="1321"/>
      <c r="HF320" s="1321"/>
      <c r="HG320" s="1321"/>
      <c r="HH320" s="1321"/>
      <c r="HI320" s="1321"/>
      <c r="HJ320" s="1321"/>
      <c r="HK320" s="1321"/>
      <c r="HL320" s="1321"/>
      <c r="HM320" s="1321"/>
      <c r="HN320" s="1321"/>
      <c r="HO320" s="1321"/>
      <c r="HP320" s="1321"/>
      <c r="HQ320" s="1321"/>
      <c r="HR320" s="1321"/>
      <c r="HS320" s="1321"/>
      <c r="HT320" s="1321"/>
      <c r="HU320" s="1321"/>
      <c r="HV320" s="1321"/>
      <c r="HW320" s="1321"/>
      <c r="HX320" s="1321"/>
      <c r="HY320" s="1321"/>
      <c r="HZ320" s="1321"/>
      <c r="IA320" s="1321"/>
      <c r="IB320" s="1321"/>
      <c r="IC320" s="1321"/>
      <c r="ID320" s="1321"/>
      <c r="IE320" s="1321"/>
      <c r="IF320" s="1321"/>
      <c r="IG320" s="1321"/>
      <c r="IH320" s="1321"/>
      <c r="II320" s="1321"/>
      <c r="IJ320" s="1321"/>
      <c r="IK320" s="1321"/>
      <c r="IL320" s="1321"/>
      <c r="IM320" s="1321"/>
      <c r="IN320" s="1368"/>
    </row>
    <row r="321" spans="1:248" ht="12.75" customHeight="1" x14ac:dyDescent="0.2">
      <c r="A321" s="1319"/>
      <c r="B321" s="1321"/>
      <c r="C321" s="1321"/>
      <c r="D321" s="1321"/>
      <c r="E321" s="1321"/>
      <c r="F321" s="1321"/>
      <c r="G321" s="1321"/>
      <c r="H321" s="1321"/>
      <c r="I321" s="1321"/>
      <c r="J321" s="1321"/>
      <c r="K321" s="1321"/>
      <c r="L321" s="1321"/>
      <c r="M321" s="1321"/>
      <c r="N321" s="1321"/>
      <c r="O321" s="1321"/>
      <c r="P321" s="1321"/>
      <c r="Q321" s="1321"/>
      <c r="R321" s="1321"/>
      <c r="S321" s="1321"/>
      <c r="T321" s="1321"/>
      <c r="U321" s="1321"/>
      <c r="V321" s="1321"/>
      <c r="W321" s="1321"/>
      <c r="X321" s="1321"/>
      <c r="Y321" s="1321"/>
      <c r="Z321" s="1321"/>
      <c r="AA321" s="1321"/>
      <c r="AB321" s="1321"/>
      <c r="AC321" s="1321"/>
      <c r="AD321" s="1321"/>
      <c r="AE321" s="1321"/>
      <c r="AF321" s="1321"/>
      <c r="AG321" s="1321"/>
      <c r="AH321" s="1321"/>
      <c r="AI321" s="1321"/>
      <c r="AJ321" s="1321"/>
      <c r="AK321" s="1321"/>
      <c r="AL321" s="1321"/>
      <c r="AM321" s="1321"/>
      <c r="AN321" s="1321"/>
      <c r="AO321" s="1321"/>
      <c r="AP321" s="1321"/>
      <c r="AQ321" s="1321"/>
      <c r="AR321" s="1321"/>
      <c r="AS321" s="1321"/>
      <c r="AT321" s="1321"/>
      <c r="AU321" s="1321"/>
      <c r="AV321" s="1321"/>
      <c r="AW321" s="1321"/>
      <c r="AX321" s="1321"/>
      <c r="AY321" s="1321"/>
      <c r="AZ321" s="1321"/>
      <c r="BA321" s="1321"/>
      <c r="BB321" s="1075">
        <f t="shared" si="79"/>
        <v>0</v>
      </c>
      <c r="BC321" s="1075">
        <f t="array" ref="BC321">IFERROR(IF(OR(AND(INDEX(Règles_bovins[Specificite],MATCH(RationHivernaleBovinsAuPré&amp;$BB321,Règles_bovins[Ration]&amp;Règles_bovins[Aliment],0))="s1",IF($BB321=Spécificité1Bovins,1)),
AND(INDEX(Règles_bovins[Specificite],MATCH(RationHivernaleBovinsAuPré&amp;$BB321,Règles_bovins[Ration]&amp;Règles_bovins[Aliment],0))="s2",IF($BB321=Spécificité2Bovins,1)),
INDEX(Règles_bovins[Specificite],MATCH(RationHivernaleBovinsAuPré&amp;$BB321,Règles_bovins[Ration]&amp;Règles_bovins[Aliment],0))="c"),
INDEX(Règles_bovins[Valeur 36 et plus],MATCH(RationHivernaleBovinsAuPré&amp;$BB321,Règles_bovins[Ration]&amp;Règles_bovins[Aliment],0)),0),0)*IF(SUM(TotalBovinsAdultesAuPré)&gt;0,SUM(TotalBovinsAdultesAuPré),SUM(TotalBovinsAdultes))*35</f>
        <v>0</v>
      </c>
      <c r="BD321" s="1075">
        <f t="array" ref="BD321">IFERROR(IF(OR(AND(INDEX(Règles_bovins[Specificite],MATCH(RationHivernaleBovinsAuPré&amp;$BB321,Règles_bovins[Ration]&amp;Règles_bovins[Aliment],0))="s1",IF($BB321=Spécificité1Bovins,1)),
AND(INDEX(Règles_bovins[Specificite],MATCH(RationHivernaleBovinsAuPré&amp;$BB321,Règles_bovins[Ration]&amp;Règles_bovins[Aliment],0))="s2",IF($BB321=Spécificité2Bovins,1)),
INDEX(Règles_bovins[Specificite],MATCH(RationHivernaleBovinsAuPré&amp;$BB321,Règles_bovins[Ration]&amp;Règles_bovins[Aliment],0))="c"),
INDEX(Règles_bovins[Valeur 24-36],MATCH(RationHivernaleBovinsAuPré&amp;$BB321,Règles_bovins[Ration]&amp;Règles_bovins[Aliment],0)),0),0)*IF(SUM(TotalBovins_24_36moisAuPré)&gt;0,SUM(TotalBovins_24_36moisAuPré),SUM(TotalBovins_24_36mois))*35</f>
        <v>0</v>
      </c>
      <c r="BE321" s="1075">
        <f t="array" ref="BE321">IFERROR(IF(OR(AND(INDEX(Règles_bovins[Specificite],MATCH(RationHivernaleBovinsAuPré&amp;$BB321,Règles_bovins[Ration]&amp;Règles_bovins[Aliment],0))="s1",IF($BB321=Spécificité1Bovins,1)),
AND(INDEX(Règles_bovins[Specificite],MATCH(RationHivernaleBovinsAuPré&amp;$BB321,Règles_bovins[Ration]&amp;Règles_bovins[Aliment],0))="s2",IF($BB321=Spécificité2Bovins,1)),
INDEX(Règles_bovins[Specificite],MATCH(RationHivernaleBovinsAuPré&amp;$BB321,Règles_bovins[Ration]&amp;Règles_bovins[Aliment],0))="c"),
INDEX(Règles_bovins[Valeur 18-24],MATCH(RationHivernaleBovinsAuPré&amp;$BB321,Règles_bovins[Ration]&amp;Règles_bovins[Aliment],0)),0),0)*IF(SUM(TotalBovins_18_24moisAuPré)&gt;0,SUM(TotalBovins_18_24moisAuPré),SUM(TotalBovins_18_24mois))*35</f>
        <v>0</v>
      </c>
      <c r="BF321" s="1075">
        <f t="array" ref="BF321">IFERROR(IF(OR(AND(INDEX(Règles_bovins[Specificite],MATCH(RationHivernaleBovinsAuPré&amp;$BB321,Règles_bovins[Ration]&amp;Règles_bovins[Aliment],0))="s1",IF($BB321=Spécificité1Bovins,1)),
AND(INDEX(Règles_bovins[Specificite],MATCH(RationHivernaleBovinsAuPré&amp;$BB321,Règles_bovins[Ration]&amp;Règles_bovins[Aliment],0))="s2",IF($BB321=Spécificité2Bovins,1)),
INDEX(Règles_bovins[Specificite],MATCH(RationHivernaleBovinsAuPré&amp;$BB321,Règles_bovins[Ration]&amp;Règles_bovins[Aliment],0))="c"),
INDEX(Règles_bovins[Valeur 12-18],MATCH(RationHivernaleBovinsAuPré&amp;$BB321,Règles_bovins[Ration]&amp;Règles_bovins[Aliment],0)),0),0)*IF(SUM(TotalBovins_12_18moisAuPré)&gt;0,SUM(TotalBovins_12_18moisAuPré),SUM(TotalBovins_12_18mois))*35</f>
        <v>0</v>
      </c>
      <c r="BG321" s="1075">
        <f t="array" ref="BG321">IFERROR(IF(OR(AND(INDEX(Règles_bovins[Specificite],MATCH(RationHivernaleBovinsAuPré&amp;$BB321,Règles_bovins[Ration]&amp;Règles_bovins[Aliment],0))="s1",IF($BB321=Spécificité1Bovins,1)),
AND(INDEX(Règles_bovins[Specificite],MATCH(RationHivernaleBovinsAuPré&amp;$BB321,Règles_bovins[Ration]&amp;Règles_bovins[Aliment],0))="s2",IF($BB321=Spécificité2Bovins,1)),
INDEX(Règles_bovins[Specificite],MATCH(RationHivernaleBovinsAuPré&amp;$BB321,Règles_bovins[Ration]&amp;Règles_bovins[Aliment],0))="c"),
INDEX(Règles_bovins[Valeur 6-12],MATCH(RationHivernaleBovinsAuPré&amp;$BB321,Règles_bovins[Ration]&amp;Règles_bovins[Aliment],0)),0),0)*IF(SUM(TotalBovins_6_12moisAuPré)&gt;0,SUM(TotalBovins_6_12moisAuPré),SUM(TotalBovins_6_12mois))*35</f>
        <v>0</v>
      </c>
      <c r="BH321" s="1075">
        <f t="array" ref="BH321">IFERROR(IF(OR(AND(INDEX(Règles_bovins[Specificite],MATCH(RationHivernaleBovinsAuPré&amp;$BB321,Règles_bovins[Ration]&amp;Règles_bovins[Aliment],0))="s1",IF($BB321=Spécificité1Bovins,1)),
AND(INDEX(Règles_bovins[Specificite],MATCH(RationHivernaleBovinsAuPré&amp;$BB321,Règles_bovins[Ration]&amp;Règles_bovins[Aliment],0))="s2",IF($BB321=Spécificité2Bovins,1)),
INDEX(Règles_bovins[Specificite],MATCH(RationHivernaleBovinsAuPré&amp;$BB321,Règles_bovins[Ration]&amp;Règles_bovins[Aliment],0))="c"),
INDEX(Règles_bovins[Valeur 3-6],MATCH(RationHivernaleBovinsAuPré&amp;$BB321,Règles_bovins[Ration]&amp;Règles_bovins[Aliment],0)),0),0)*IF(SUM(TotalBovins_3_6moisAuPré)&gt;0,SUM(TotalBovins_3_6moisAuPré),SUM(TotalBovins_3_6mois))*35</f>
        <v>0</v>
      </c>
      <c r="BI321" s="1075">
        <f t="array" ref="BI321">IFERROR(IF(OR(AND(INDEX(Règles_bovins[Specificite],MATCH(RationHivernaleBovinsAuPré&amp;$BB321,Règles_bovins[Ration]&amp;Règles_bovins[Aliment],0))="s1",IF($BB321=Spécificité1Bovins,1)),
AND(INDEX(Règles_bovins[Specificite],MATCH(RationHivernaleBovinsAuPré&amp;$BB321,Règles_bovins[Ration]&amp;Règles_bovins[Aliment],0))="s2",IF($BB321=Spécificité2Bovins,1)),
INDEX(Règles_bovins[Specificite],MATCH(RationHivernaleBovinsAuPré&amp;$BB321,Règles_bovins[Ration]&amp;Règles_bovins[Aliment],0))="c"),
INDEX(Règles_bovins[Valeur 0-3],MATCH(RationHivernaleBovinsAuPré&amp;$BB321,Règles_bovins[Ration]&amp;Règles_bovins[Aliment],0)),0),0)*IF(SUM(TotalBovins_0_3moisAuPré)&gt;0,SUM(TotalBovins_0_3moisAuPré),SUM(TotalBovins_0_3mois))*35</f>
        <v>0</v>
      </c>
      <c r="BJ321" s="1270">
        <f t="shared" si="78"/>
        <v>0</v>
      </c>
      <c r="BK321" s="1345"/>
      <c r="BL321" s="1345"/>
      <c r="BM321" s="1321"/>
      <c r="BN321" s="1321"/>
      <c r="BO321" s="1321"/>
      <c r="BP321" s="1321"/>
      <c r="BQ321" s="1321"/>
      <c r="BR321" s="1321"/>
      <c r="BS321" s="1321"/>
      <c r="BT321" s="1321"/>
      <c r="BU321" s="1321"/>
      <c r="BV321" s="1345"/>
      <c r="BW321" s="1345"/>
      <c r="BX321" s="1321"/>
      <c r="BY321" s="1321"/>
      <c r="BZ321" s="1321"/>
      <c r="CA321" s="1321"/>
      <c r="CB321" s="1321"/>
      <c r="CC321" s="1321"/>
      <c r="CD321" s="1345"/>
      <c r="CE321" s="1345"/>
      <c r="CF321" s="1345"/>
      <c r="CG321" s="1345"/>
      <c r="CH321" s="1345"/>
      <c r="CI321" s="1321"/>
      <c r="CJ321" s="1321"/>
      <c r="CK321" s="1321"/>
      <c r="CL321" s="1321"/>
      <c r="CM321" s="1321"/>
      <c r="CN321" s="1321"/>
      <c r="CO321" s="1321"/>
      <c r="CP321" s="1321"/>
      <c r="CQ321" s="1321"/>
      <c r="CR321" s="1321"/>
      <c r="CS321" s="1321"/>
      <c r="CT321" s="1321"/>
      <c r="CU321" s="1321"/>
      <c r="CV321" s="1321"/>
      <c r="CW321" s="1321"/>
      <c r="CX321" s="1321"/>
      <c r="CY321" s="1321"/>
      <c r="CZ321" s="1321"/>
      <c r="DA321" s="1321"/>
      <c r="DB321" s="1321"/>
      <c r="DC321" s="1321"/>
      <c r="DD321" s="1321"/>
      <c r="DE321" s="1321"/>
      <c r="DF321" s="1321"/>
      <c r="DG321" s="1321"/>
      <c r="DH321" s="1321"/>
      <c r="DI321" s="1321"/>
      <c r="DJ321" s="1321"/>
      <c r="DK321" s="1321"/>
      <c r="DL321" s="1321"/>
      <c r="DM321" s="1321"/>
      <c r="DN321" s="1076" t="str">
        <f t="shared" si="80"/>
        <v>Sorgho ensilé</v>
      </c>
      <c r="DO321" s="1267">
        <f t="array" ref="DO321">SUM((IF(QualitéAlimentsAgneauMâle_0_3_mois=BONNE,VLOOKUP("Sorgho ensilé",AlimentsRationOvinsMâles,5,FALSE),0)+(IF(QualitéAlimentsAgneauFemelle_0_3_mois=BONNE,VLOOKUP("Sorgho ensilé",AlimentsRationOvinsFemelles,5,FALSE),0)+(IF(QualitéAlimentsAgneauMâle_3_6_mois=BONNE,VLOOKUP("Sorgho ensilé",AlimentsRationOvinsMâles,4,FALSE),0)+(IF(QualitéAlimentsAgneauFemelle_3_6_mois=BONNE,VLOOKUP("Sorgho ensilé",AlimentsRationOvinsFemelles,4,FALSE),0)+(IF(QualitéAlimentsJeuneBélier=BONNE,VLOOKUP("Sorgho ensilé",AlimentsRationOvinsMâles,3,FALSE),0)+(IF(QualitéAlimentsJeuneBrebis=BONNE,VLOOKUP("Sorgho ensilé",AlimentsRationOvinsFemelles,3,FALSE),0)+(IF(QualitéAlimentsBélier=BONNE,VLOOKUP("Sorgho ensilé",AlimentsRationOvinsMâles,2,FALSE),0)+(IF(QualitéAlimentsBrebis=BONNE,VLOOKUP("Sorgho ensilé",AlimentsRationOvinsFemelles,2,FALSE),0))))))))))</f>
        <v>0</v>
      </c>
      <c r="DP321" s="1267">
        <f t="array" ref="DP321">SUM((IF(QualitéAlimentsAgneauMâle_0_3_mois=MOYENNE,VLOOKUP("Sorgho ensilé",AlimentsRationOvinsMâles,5,FALSE),0)+(IF(QualitéAlimentsAgneauFemelle_0_3_mois=MOYENNE,VLOOKUP("Sorgho ensilé",AlimentsRationOvinsFemelles,5,FALSE),0)+(IF(QualitéAlimentsAgneauMâle_3_6_mois=MOYENNE,VLOOKUP("Sorgho ensilé",AlimentsRationOvinsMâles,4,FALSE),0)+(IF(QualitéAlimentsAgneauFemelle_3_6_mois=MOYENNE,VLOOKUP("Sorgho ensilé",AlimentsRationOvinsFemelles,4,FALSE),0)+(IF(QualitéAlimentsJeuneBélier=MOYENNE,VLOOKUP("Sorgho ensilé",AlimentsRationOvinsMâles,3,FALSE),0)+(IF(QualitéAlimentsJeuneBrebis=MOYENNE,VLOOKUP("Sorgho ensilé",AlimentsRationOvinsFemelles,3,FALSE),0)+(IF(QualitéAlimentsBélier=MOYENNE,VLOOKUP("Sorgho ensilé",AlimentsRationOvinsMâles,2,FALSE),0)+(IF(QualitéAlimentsBrebis=MOYENNE,VLOOKUP("Sorgho ensilé",AlimentsRationOvinsFemelles,2,FALSE),0))))))))))</f>
        <v>0</v>
      </c>
      <c r="DQ321" s="1267">
        <f t="array" ref="DQ321">SUM((IF(QualitéAlimentsAgneauMâle_0_3_mois=MAUVAISE,VLOOKUP("Sorgho ensilé",AlimentsRationOvinsMâles,5,FALSE),0)+(IF(QualitéAlimentsAgneauFemelle_0_3_mois=MAUVAISE,VLOOKUP("Sorgho ensilé",AlimentsRationOvinsFemelles,5,FALSE),0)+(IF(QualitéAlimentsAgneauMâle_3_6_mois=MAUVAISE,VLOOKUP("Sorgho ensilé",AlimentsRationOvinsMâles,4,FALSE),0)+(IF(QualitéAlimentsAgneauFemelle_3_6_mois=MAUVAISE,VLOOKUP("Sorgho ensilé",AlimentsRationOvinsFemelles,4,FALSE),0)+(IF(QualitéAlimentsJeuneBélier=MAUVAISE,VLOOKUP("Sorgho ensilé",AlimentsRationOvinsMâles,3,FALSE),0)+(IF(QualitéAlimentsJeuneBrebis=MAUVAISE,VLOOKUP("Sorgho ensilé",AlimentsRationOvinsFemelles,3,FALSE),0)+(IF(QualitéAlimentsBélier=MAUVAISE,VLOOKUP("Sorgho ensilé",AlimentsRationOvinsMâles,2,FALSE),0)+(IF(QualitéAlimentsBrebis=MAUVAISE,VLOOKUP("Sorgho ensilé",AlimentsRationOvinsFemelles,2,FALSE),0))))))))))</f>
        <v>0</v>
      </c>
      <c r="DR321" s="1321"/>
      <c r="DS321" s="1321"/>
      <c r="DT321" s="1346"/>
      <c r="DU321" s="1346"/>
      <c r="DV321" s="1321"/>
      <c r="DW321" s="1321"/>
      <c r="DX321" s="1321"/>
      <c r="DY321" s="1321"/>
      <c r="DZ321" s="1321"/>
      <c r="EA321" s="1321"/>
      <c r="EB321" s="1321"/>
      <c r="EC321" s="1321"/>
      <c r="ED321" s="1345"/>
      <c r="EE321" s="1345"/>
      <c r="EF321" s="1321"/>
      <c r="EG321" s="1321"/>
      <c r="EH321" s="1321"/>
      <c r="EI321" s="1321"/>
      <c r="EJ321" s="1321"/>
      <c r="EK321" s="1345"/>
      <c r="EL321" s="1345"/>
      <c r="EM321" s="1321"/>
      <c r="EN321" s="1321"/>
      <c r="EO321" s="1321"/>
      <c r="EP321" s="1321"/>
      <c r="EQ321" s="1321"/>
      <c r="ER321" s="1345"/>
      <c r="ES321" s="1345"/>
      <c r="ET321" s="1321"/>
      <c r="EU321" s="1321"/>
      <c r="EV321" s="1321"/>
      <c r="EW321" s="1321"/>
      <c r="EX321" s="1321"/>
      <c r="EY321" s="1321"/>
      <c r="EZ321" s="1345"/>
      <c r="FA321" s="1345"/>
      <c r="FB321" s="1345"/>
      <c r="FC321" s="1321"/>
      <c r="FD321" s="1321"/>
      <c r="FE321" s="1321"/>
      <c r="FF321" s="1321"/>
      <c r="FG321" s="1321"/>
      <c r="FH321" s="1321"/>
      <c r="FI321" s="1345"/>
      <c r="FJ321" s="1345"/>
      <c r="FK321" s="1345"/>
      <c r="FL321" s="1345"/>
      <c r="FM321" s="1321"/>
      <c r="FN321" s="1321"/>
      <c r="FO321" s="1321"/>
      <c r="FP321" s="1321"/>
      <c r="FQ321" s="1321"/>
      <c r="FR321" s="1321"/>
      <c r="FS321" s="1345"/>
      <c r="FT321" s="1345"/>
      <c r="FU321" s="1345"/>
      <c r="FV321" s="1345"/>
      <c r="FW321" s="1321"/>
      <c r="FX321" s="1321"/>
      <c r="FY321" s="1321"/>
      <c r="FZ321" s="1321"/>
      <c r="GA321" s="1345"/>
      <c r="GB321" s="1321"/>
      <c r="GC321" s="1321"/>
      <c r="GD321" s="1321"/>
      <c r="GE321" s="1321"/>
      <c r="GF321" s="1321"/>
      <c r="GG321" s="1321" t="s">
        <v>1349</v>
      </c>
      <c r="GH321" s="1321" t="s">
        <v>1349</v>
      </c>
      <c r="GI321" s="1321" t="s">
        <v>1349</v>
      </c>
      <c r="GJ321" s="1321" t="s">
        <v>1349</v>
      </c>
      <c r="GK321" s="1321" t="s">
        <v>1349</v>
      </c>
      <c r="GL321" s="1321" t="s">
        <v>1349</v>
      </c>
      <c r="GM321" s="1321" t="s">
        <v>1349</v>
      </c>
      <c r="GN321" s="1321" t="s">
        <v>1349</v>
      </c>
      <c r="GO321" s="1321" t="s">
        <v>1349</v>
      </c>
      <c r="GP321" s="1321" t="s">
        <v>1349</v>
      </c>
      <c r="GQ321" s="1321" t="s">
        <v>1349</v>
      </c>
      <c r="GR321" s="1321" t="s">
        <v>1349</v>
      </c>
      <c r="GS321" s="1321" t="s">
        <v>1349</v>
      </c>
      <c r="GT321" s="1321" t="s">
        <v>1349</v>
      </c>
      <c r="GU321" s="1321" t="s">
        <v>1349</v>
      </c>
      <c r="GV321" s="1321" t="s">
        <v>1349</v>
      </c>
      <c r="GW321" s="1321"/>
      <c r="GX321" s="1321"/>
      <c r="GY321" s="1321"/>
      <c r="GZ321" s="1321"/>
      <c r="HA321" s="1321"/>
      <c r="HB321" s="1321"/>
      <c r="HC321" s="1321"/>
      <c r="HD321" s="1321"/>
      <c r="HE321" s="1321"/>
      <c r="HF321" s="1321"/>
      <c r="HG321" s="1321"/>
      <c r="HH321" s="1321"/>
      <c r="HI321" s="1321"/>
      <c r="HJ321" s="1321"/>
      <c r="HK321" s="1321"/>
      <c r="HL321" s="1321"/>
      <c r="HM321" s="1321"/>
      <c r="HN321" s="1321"/>
      <c r="HO321" s="1321"/>
      <c r="HP321" s="1321"/>
      <c r="HQ321" s="1321"/>
      <c r="HR321" s="1321"/>
      <c r="HS321" s="1321"/>
      <c r="HT321" s="1321"/>
      <c r="HU321" s="1321"/>
      <c r="HV321" s="1321"/>
      <c r="HW321" s="1321"/>
      <c r="HX321" s="1321"/>
      <c r="HY321" s="1321"/>
      <c r="HZ321" s="1321"/>
      <c r="IA321" s="1321"/>
      <c r="IB321" s="1321"/>
      <c r="IC321" s="1321"/>
      <c r="ID321" s="1321"/>
      <c r="IE321" s="1321"/>
      <c r="IF321" s="1321"/>
      <c r="IG321" s="1321"/>
      <c r="IH321" s="1321"/>
      <c r="II321" s="1321"/>
      <c r="IJ321" s="1321"/>
      <c r="IK321" s="1321"/>
      <c r="IL321" s="1321"/>
      <c r="IM321" s="1321"/>
      <c r="IN321" s="1368"/>
    </row>
    <row r="322" spans="1:248" ht="12.75" customHeight="1" x14ac:dyDescent="0.2">
      <c r="A322" s="1319"/>
      <c r="B322" s="1321"/>
      <c r="C322" s="1321"/>
      <c r="D322" s="1321"/>
      <c r="E322" s="1321"/>
      <c r="F322" s="1321"/>
      <c r="G322" s="1321"/>
      <c r="H322" s="1321"/>
      <c r="I322" s="1321"/>
      <c r="J322" s="1321"/>
      <c r="K322" s="1321"/>
      <c r="L322" s="1321"/>
      <c r="M322" s="1321"/>
      <c r="N322" s="1321"/>
      <c r="O322" s="1321"/>
      <c r="P322" s="1321"/>
      <c r="Q322" s="1321"/>
      <c r="R322" s="1321"/>
      <c r="S322" s="1321"/>
      <c r="T322" s="1321"/>
      <c r="U322" s="1321"/>
      <c r="V322" s="1321"/>
      <c r="W322" s="1321"/>
      <c r="X322" s="1321"/>
      <c r="Y322" s="1321"/>
      <c r="Z322" s="1321"/>
      <c r="AA322" s="1321"/>
      <c r="AB322" s="1321"/>
      <c r="AC322" s="1321"/>
      <c r="AD322" s="1321"/>
      <c r="AE322" s="1321"/>
      <c r="AF322" s="1321"/>
      <c r="AG322" s="1321"/>
      <c r="AH322" s="1321"/>
      <c r="AI322" s="1321"/>
      <c r="AJ322" s="1321"/>
      <c r="AK322" s="1321"/>
      <c r="AL322" s="1321"/>
      <c r="AM322" s="1321"/>
      <c r="AN322" s="1321"/>
      <c r="AO322" s="1321"/>
      <c r="AP322" s="1321"/>
      <c r="AQ322" s="1321"/>
      <c r="AR322" s="1321"/>
      <c r="AS322" s="1321"/>
      <c r="AT322" s="1321"/>
      <c r="AU322" s="1321"/>
      <c r="AV322" s="1321"/>
      <c r="AW322" s="1321"/>
      <c r="AX322" s="1321"/>
      <c r="AY322" s="1321"/>
      <c r="AZ322" s="1321"/>
      <c r="BA322" s="1321"/>
      <c r="BB322" s="1076">
        <f t="shared" si="79"/>
        <v>0</v>
      </c>
      <c r="BC322" s="1076">
        <f t="array" ref="BC322">IFERROR(IF(OR(AND(INDEX(Règles_bovins[Specificite],MATCH(RationHivernaleBovinsAuPré&amp;$BB322,Règles_bovins[Ration]&amp;Règles_bovins[Aliment],0))="s1",IF($BB322=Spécificité1Bovins,1)),
AND(INDEX(Règles_bovins[Specificite],MATCH(RationHivernaleBovinsAuPré&amp;$BB322,Règles_bovins[Ration]&amp;Règles_bovins[Aliment],0))="s2",IF($BB322=Spécificité2Bovins,1)),
INDEX(Règles_bovins[Specificite],MATCH(RationHivernaleBovinsAuPré&amp;$BB322,Règles_bovins[Ration]&amp;Règles_bovins[Aliment],0))="c"),
INDEX(Règles_bovins[Valeur 36 et plus],MATCH(RationHivernaleBovinsAuPré&amp;$BB322,Règles_bovins[Ration]&amp;Règles_bovins[Aliment],0)),0),0)*IF(SUM(TotalBovinsAdultesAuPré)&gt;0,SUM(TotalBovinsAdultesAuPré),SUM(TotalBovinsAdultes))*35</f>
        <v>0</v>
      </c>
      <c r="BD322" s="1076">
        <f t="array" ref="BD322">IFERROR(IF(OR(AND(INDEX(Règles_bovins[Specificite],MATCH(RationHivernaleBovinsAuPré&amp;$BB322,Règles_bovins[Ration]&amp;Règles_bovins[Aliment],0))="s1",IF($BB322=Spécificité1Bovins,1)),
AND(INDEX(Règles_bovins[Specificite],MATCH(RationHivernaleBovinsAuPré&amp;$BB322,Règles_bovins[Ration]&amp;Règles_bovins[Aliment],0))="s2",IF($BB322=Spécificité2Bovins,1)),
INDEX(Règles_bovins[Specificite],MATCH(RationHivernaleBovinsAuPré&amp;$BB322,Règles_bovins[Ration]&amp;Règles_bovins[Aliment],0))="c"),
INDEX(Règles_bovins[Valeur 24-36],MATCH(RationHivernaleBovinsAuPré&amp;$BB322,Règles_bovins[Ration]&amp;Règles_bovins[Aliment],0)),0),0)*IF(SUM(TotalBovins_24_36moisAuPré)&gt;0,SUM(TotalBovins_24_36moisAuPré),SUM(TotalBovins_24_36mois))*35</f>
        <v>0</v>
      </c>
      <c r="BE322" s="1076">
        <f t="array" ref="BE322">IFERROR(IF(OR(AND(INDEX(Règles_bovins[Specificite],MATCH(RationHivernaleBovinsAuPré&amp;$BB322,Règles_bovins[Ration]&amp;Règles_bovins[Aliment],0))="s1",IF($BB322=Spécificité1Bovins,1)),
AND(INDEX(Règles_bovins[Specificite],MATCH(RationHivernaleBovinsAuPré&amp;$BB322,Règles_bovins[Ration]&amp;Règles_bovins[Aliment],0))="s2",IF($BB322=Spécificité2Bovins,1)),
INDEX(Règles_bovins[Specificite],MATCH(RationHivernaleBovinsAuPré&amp;$BB322,Règles_bovins[Ration]&amp;Règles_bovins[Aliment],0))="c"),
INDEX(Règles_bovins[Valeur 18-24],MATCH(RationHivernaleBovinsAuPré&amp;$BB322,Règles_bovins[Ration]&amp;Règles_bovins[Aliment],0)),0),0)*IF(SUM(TotalBovins_18_24moisAuPré)&gt;0,SUM(TotalBovins_18_24moisAuPré),SUM(TotalBovins_18_24mois))*35</f>
        <v>0</v>
      </c>
      <c r="BF322" s="1076">
        <f t="array" ref="BF322">IFERROR(IF(OR(AND(INDEX(Règles_bovins[Specificite],MATCH(RationHivernaleBovinsAuPré&amp;$BB322,Règles_bovins[Ration]&amp;Règles_bovins[Aliment],0))="s1",IF($BB322=Spécificité1Bovins,1)),
AND(INDEX(Règles_bovins[Specificite],MATCH(RationHivernaleBovinsAuPré&amp;$BB322,Règles_bovins[Ration]&amp;Règles_bovins[Aliment],0))="s2",IF($BB322=Spécificité2Bovins,1)),
INDEX(Règles_bovins[Specificite],MATCH(RationHivernaleBovinsAuPré&amp;$BB322,Règles_bovins[Ration]&amp;Règles_bovins[Aliment],0))="c"),
INDEX(Règles_bovins[Valeur 12-18],MATCH(RationHivernaleBovinsAuPré&amp;$BB322,Règles_bovins[Ration]&amp;Règles_bovins[Aliment],0)),0),0)*IF(SUM(TotalBovins_12_18moisAuPré)&gt;0,SUM(TotalBovins_12_18moisAuPré),SUM(TotalBovins_12_18mois))*35</f>
        <v>0</v>
      </c>
      <c r="BG322" s="1076">
        <f t="array" ref="BG322">IFERROR(IF(OR(AND(INDEX(Règles_bovins[Specificite],MATCH(RationHivernaleBovinsAuPré&amp;$BB322,Règles_bovins[Ration]&amp;Règles_bovins[Aliment],0))="s1",IF($BB322=Spécificité1Bovins,1)),
AND(INDEX(Règles_bovins[Specificite],MATCH(RationHivernaleBovinsAuPré&amp;$BB322,Règles_bovins[Ration]&amp;Règles_bovins[Aliment],0))="s2",IF($BB322=Spécificité2Bovins,1)),
INDEX(Règles_bovins[Specificite],MATCH(RationHivernaleBovinsAuPré&amp;$BB322,Règles_bovins[Ration]&amp;Règles_bovins[Aliment],0))="c"),
INDEX(Règles_bovins[Valeur 6-12],MATCH(RationHivernaleBovinsAuPré&amp;$BB322,Règles_bovins[Ration]&amp;Règles_bovins[Aliment],0)),0),0)*IF(SUM(TotalBovins_6_12moisAuPré)&gt;0,SUM(TotalBovins_6_12moisAuPré),SUM(TotalBovins_6_12mois))*35</f>
        <v>0</v>
      </c>
      <c r="BH322" s="1076">
        <f t="array" ref="BH322">IFERROR(IF(OR(AND(INDEX(Règles_bovins[Specificite],MATCH(RationHivernaleBovinsAuPré&amp;$BB322,Règles_bovins[Ration]&amp;Règles_bovins[Aliment],0))="s1",IF($BB322=Spécificité1Bovins,1)),
AND(INDEX(Règles_bovins[Specificite],MATCH(RationHivernaleBovinsAuPré&amp;$BB322,Règles_bovins[Ration]&amp;Règles_bovins[Aliment],0))="s2",IF($BB322=Spécificité2Bovins,1)),
INDEX(Règles_bovins[Specificite],MATCH(RationHivernaleBovinsAuPré&amp;$BB322,Règles_bovins[Ration]&amp;Règles_bovins[Aliment],0))="c"),
INDEX(Règles_bovins[Valeur 3-6],MATCH(RationHivernaleBovinsAuPré&amp;$BB322,Règles_bovins[Ration]&amp;Règles_bovins[Aliment],0)),0),0)*IF(SUM(TotalBovins_3_6moisAuPré)&gt;0,SUM(TotalBovins_3_6moisAuPré),SUM(TotalBovins_3_6mois))*35</f>
        <v>0</v>
      </c>
      <c r="BI322" s="1076">
        <f t="array" ref="BI322">IFERROR(IF(OR(AND(INDEX(Règles_bovins[Specificite],MATCH(RationHivernaleBovinsAuPré&amp;$BB322,Règles_bovins[Ration]&amp;Règles_bovins[Aliment],0))="s1",IF($BB322=Spécificité1Bovins,1)),
AND(INDEX(Règles_bovins[Specificite],MATCH(RationHivernaleBovinsAuPré&amp;$BB322,Règles_bovins[Ration]&amp;Règles_bovins[Aliment],0))="s2",IF($BB322=Spécificité2Bovins,1)),
INDEX(Règles_bovins[Specificite],MATCH(RationHivernaleBovinsAuPré&amp;$BB322,Règles_bovins[Ration]&amp;Règles_bovins[Aliment],0))="c"),
INDEX(Règles_bovins[Valeur 0-3],MATCH(RationHivernaleBovinsAuPré&amp;$BB322,Règles_bovins[Ration]&amp;Règles_bovins[Aliment],0)),0),0)*IF(SUM(TotalBovins_0_3moisAuPré)&gt;0,SUM(TotalBovins_0_3moisAuPré),SUM(TotalBovins_0_3mois))*35</f>
        <v>0</v>
      </c>
      <c r="BJ322" s="1268">
        <f t="shared" si="78"/>
        <v>0</v>
      </c>
      <c r="BK322" s="1345"/>
      <c r="BL322" s="1345"/>
      <c r="BM322" s="1321"/>
      <c r="BN322" s="1321"/>
      <c r="BO322" s="1321"/>
      <c r="BP322" s="1321"/>
      <c r="BQ322" s="1321"/>
      <c r="BR322" s="1321"/>
      <c r="BS322" s="1321"/>
      <c r="BT322" s="1321"/>
      <c r="BU322" s="1321"/>
      <c r="BV322" s="1345"/>
      <c r="BW322" s="1345"/>
      <c r="BX322" s="1321"/>
      <c r="BY322" s="1321"/>
      <c r="BZ322" s="1321"/>
      <c r="CA322" s="1321"/>
      <c r="CB322" s="1321"/>
      <c r="CC322" s="1321"/>
      <c r="CD322" s="1345"/>
      <c r="CE322" s="1345"/>
      <c r="CF322" s="1345"/>
      <c r="CG322" s="1345"/>
      <c r="CH322" s="1345"/>
      <c r="CI322" s="1321"/>
      <c r="CJ322" s="1321"/>
      <c r="CK322" s="1321"/>
      <c r="CL322" s="1321"/>
      <c r="CM322" s="1321"/>
      <c r="CN322" s="1321"/>
      <c r="CO322" s="1321"/>
      <c r="CP322" s="1321"/>
      <c r="CQ322" s="1321"/>
      <c r="CR322" s="1321"/>
      <c r="CS322" s="1321"/>
      <c r="CT322" s="1321"/>
      <c r="CU322" s="1321"/>
      <c r="CV322" s="1321"/>
      <c r="CW322" s="1321"/>
      <c r="CX322" s="1321"/>
      <c r="CY322" s="1321"/>
      <c r="CZ322" s="1321"/>
      <c r="DA322" s="1321"/>
      <c r="DB322" s="1321"/>
      <c r="DC322" s="1321"/>
      <c r="DD322" s="1321"/>
      <c r="DE322" s="1321"/>
      <c r="DF322" s="1321"/>
      <c r="DG322" s="1321"/>
      <c r="DH322" s="1321"/>
      <c r="DI322" s="1321"/>
      <c r="DJ322" s="1321"/>
      <c r="DK322" s="1321"/>
      <c r="DL322" s="1321"/>
      <c r="DM322" s="1321"/>
      <c r="DN322" s="1075" t="str">
        <f t="shared" si="80"/>
        <v>Tournesol</v>
      </c>
      <c r="DO322" s="1269">
        <f t="array" ref="DO322">SUM((IF(QualitéAlimentsAgneauMâle_0_3_mois=BONNE,VLOOKUP("Tournesol",AlimentsRationOvinsMâles,5,FALSE),0)+(IF(QualitéAlimentsAgneauFemelle_0_3_mois=BONNE,VLOOKUP("Tournesol",AlimentsRationOvinsFemelles,5,FALSE),0)+(IF(QualitéAlimentsAgneauMâle_3_6_mois=BONNE,VLOOKUP("Tournesol",AlimentsRationOvinsMâles,4,FALSE),0)+(IF(QualitéAlimentsAgneauFemelle_3_6_mois=BONNE,VLOOKUP("Tournesol",AlimentsRationOvinsFemelles,4,FALSE),0)+(IF(QualitéAlimentsJeuneBélier=BONNE,VLOOKUP("Tournesol",AlimentsRationOvinsMâles,3,FALSE),0)+(IF(QualitéAlimentsJeuneBrebis=BONNE,VLOOKUP("Tournesol",AlimentsRationOvinsFemelles,3,FALSE),0)+(IF(QualitéAlimentsBélier=BONNE,VLOOKUP("Tournesol",AlimentsRationOvinsMâles,2,FALSE),0)+(IF(QualitéAlimentsBrebis=BONNE,VLOOKUP("Tournesol",AlimentsRationOvinsFemelles,2,FALSE),0))))))))))</f>
        <v>0</v>
      </c>
      <c r="DP322" s="1269">
        <f t="array" ref="DP322">SUM((IF(QualitéAlimentsAgneauMâle_0_3_mois=MOYENNE,VLOOKUP("Tournesol",AlimentsRationOvinsMâles,5,FALSE),0)+(IF(QualitéAlimentsAgneauFemelle_0_3_mois=MOYENNE,VLOOKUP("Tournesol",AlimentsRationOvinsFemelles,5,FALSE),0)+(IF(QualitéAlimentsAgneauMâle_3_6_mois=MOYENNE,VLOOKUP("Tournesol",AlimentsRationOvinsMâles,4,FALSE),0)+(IF(QualitéAlimentsAgneauFemelle_3_6_mois=MOYENNE,VLOOKUP("Tournesol",AlimentsRationOvinsFemelles,4,FALSE),0)+(IF(QualitéAlimentsJeuneBélier=MOYENNE,VLOOKUP("Tournesol",AlimentsRationOvinsMâles,3,FALSE),0)+(IF(QualitéAlimentsJeuneBrebis=MOYENNE,VLOOKUP("Tournesol",AlimentsRationOvinsFemelles,3,FALSE),0)+(IF(QualitéAlimentsBélier=MOYENNE,VLOOKUP("Tournesol",AlimentsRationOvinsMâles,2,FALSE),0)+(IF(QualitéAlimentsBrebis=MOYENNE,VLOOKUP("Tournesol",AlimentsRationOvinsFemelles,2,FALSE),0))))))))))</f>
        <v>0</v>
      </c>
      <c r="DQ322" s="1269">
        <f t="array" ref="DQ322">SUM((IF(QualitéAlimentsAgneauMâle_0_3_mois=MAUVAISE,VLOOKUP("Tournesol",AlimentsRationOvinsMâles,5,FALSE),0)+(IF(QualitéAlimentsAgneauFemelle_0_3_mois=MAUVAISE,VLOOKUP("Tournesol",AlimentsRationOvinsFemelles,5,FALSE),0)+(IF(QualitéAlimentsAgneauMâle_3_6_mois=MAUVAISE,VLOOKUP("Tournesol",AlimentsRationOvinsMâles,4,FALSE),0)+(IF(QualitéAlimentsAgneauFemelle_3_6_mois=MAUVAISE,VLOOKUP("Tournesol",AlimentsRationOvinsFemelles,4,FALSE),0)+(IF(QualitéAlimentsJeuneBélier=MAUVAISE,VLOOKUP("Tournesol",AlimentsRationOvinsMâles,3,FALSE),0)+(IF(QualitéAlimentsJeuneBrebis=MAUVAISE,VLOOKUP("Tournesol",AlimentsRationOvinsFemelles,3,FALSE),0)+(IF(QualitéAlimentsBélier=MAUVAISE,VLOOKUP("Tournesol",AlimentsRationOvinsMâles,2,FALSE),0)+(IF(QualitéAlimentsBrebis=MAUVAISE,VLOOKUP("Tournesol",AlimentsRationOvinsFemelles,2,FALSE),0))))))))))</f>
        <v>0</v>
      </c>
      <c r="DR322" s="1321"/>
      <c r="DS322" s="1321"/>
      <c r="DT322" s="1346"/>
      <c r="DU322" s="1346"/>
      <c r="DV322" s="1321"/>
      <c r="DW322" s="1321"/>
      <c r="DX322" s="1321"/>
      <c r="DY322" s="1321"/>
      <c r="DZ322" s="1321"/>
      <c r="EA322" s="1321"/>
      <c r="EB322" s="1321"/>
      <c r="EC322" s="1321"/>
      <c r="ED322" s="1345"/>
      <c r="EE322" s="1345"/>
      <c r="EF322" s="1321"/>
      <c r="EG322" s="1321"/>
      <c r="EH322" s="1321"/>
      <c r="EI322" s="1321"/>
      <c r="EJ322" s="1321"/>
      <c r="EK322" s="1345"/>
      <c r="EL322" s="1345"/>
      <c r="EM322" s="1321"/>
      <c r="EN322" s="1321"/>
      <c r="EO322" s="1321"/>
      <c r="EP322" s="1321"/>
      <c r="EQ322" s="1321"/>
      <c r="ER322" s="1345"/>
      <c r="ES322" s="1345"/>
      <c r="ET322" s="1321"/>
      <c r="EU322" s="1321"/>
      <c r="EV322" s="1321"/>
      <c r="EW322" s="1321"/>
      <c r="EX322" s="1321"/>
      <c r="EY322" s="1321"/>
      <c r="EZ322" s="1345"/>
      <c r="FA322" s="1345"/>
      <c r="FB322" s="1345"/>
      <c r="FC322" s="1321"/>
      <c r="FD322" s="1321"/>
      <c r="FE322" s="1321"/>
      <c r="FF322" s="1321"/>
      <c r="FG322" s="1321"/>
      <c r="FH322" s="1321"/>
      <c r="FI322" s="1345"/>
      <c r="FJ322" s="1345"/>
      <c r="FK322" s="1345"/>
      <c r="FL322" s="1345"/>
      <c r="FM322" s="1321"/>
      <c r="FN322" s="1321"/>
      <c r="FO322" s="1321"/>
      <c r="FP322" s="1321"/>
      <c r="FQ322" s="1321"/>
      <c r="FR322" s="1321"/>
      <c r="FS322" s="1345"/>
      <c r="FT322" s="1345"/>
      <c r="FU322" s="1345"/>
      <c r="FV322" s="1345"/>
      <c r="FW322" s="1321"/>
      <c r="FX322" s="1321"/>
      <c r="FY322" s="1321"/>
      <c r="FZ322" s="1321"/>
      <c r="GA322" s="1345"/>
      <c r="GB322" s="1321"/>
      <c r="GC322" s="1321"/>
      <c r="GD322" s="1321"/>
      <c r="GE322" s="1321"/>
      <c r="GF322" s="1321"/>
      <c r="GG322" s="1321" t="s">
        <v>1349</v>
      </c>
      <c r="GH322" s="1321" t="s">
        <v>1349</v>
      </c>
      <c r="GI322" s="1321" t="s">
        <v>1349</v>
      </c>
      <c r="GJ322" s="1321" t="s">
        <v>1349</v>
      </c>
      <c r="GK322" s="1321" t="s">
        <v>1349</v>
      </c>
      <c r="GL322" s="1321" t="s">
        <v>1349</v>
      </c>
      <c r="GM322" s="1321" t="s">
        <v>1349</v>
      </c>
      <c r="GN322" s="1321" t="s">
        <v>1349</v>
      </c>
      <c r="GO322" s="1321" t="s">
        <v>1349</v>
      </c>
      <c r="GP322" s="1321" t="s">
        <v>1349</v>
      </c>
      <c r="GQ322" s="1321" t="s">
        <v>1349</v>
      </c>
      <c r="GR322" s="1321" t="s">
        <v>1349</v>
      </c>
      <c r="GS322" s="1321" t="s">
        <v>1349</v>
      </c>
      <c r="GT322" s="1321" t="s">
        <v>1349</v>
      </c>
      <c r="GU322" s="1321" t="s">
        <v>1349</v>
      </c>
      <c r="GV322" s="1321" t="s">
        <v>1349</v>
      </c>
      <c r="GW322" s="1321"/>
      <c r="GX322" s="1321"/>
      <c r="GY322" s="1321"/>
      <c r="GZ322" s="1321"/>
      <c r="HA322" s="1321"/>
      <c r="HB322" s="1321"/>
      <c r="HC322" s="1321"/>
      <c r="HD322" s="1321"/>
      <c r="HE322" s="1321"/>
      <c r="HF322" s="1321"/>
      <c r="HG322" s="1321"/>
      <c r="HH322" s="1321"/>
      <c r="HI322" s="1321"/>
      <c r="HJ322" s="1321"/>
      <c r="HK322" s="1321"/>
      <c r="HL322" s="1321"/>
      <c r="HM322" s="1321"/>
      <c r="HN322" s="1321"/>
      <c r="HO322" s="1321"/>
      <c r="HP322" s="1321"/>
      <c r="HQ322" s="1321"/>
      <c r="HR322" s="1321"/>
      <c r="HS322" s="1321"/>
      <c r="HT322" s="1321"/>
      <c r="HU322" s="1321"/>
      <c r="HV322" s="1321"/>
      <c r="HW322" s="1321"/>
      <c r="HX322" s="1321"/>
      <c r="HY322" s="1321"/>
      <c r="HZ322" s="1321"/>
      <c r="IA322" s="1321"/>
      <c r="IB322" s="1321"/>
      <c r="IC322" s="1321"/>
      <c r="ID322" s="1321"/>
      <c r="IE322" s="1321"/>
      <c r="IF322" s="1321"/>
      <c r="IG322" s="1321"/>
      <c r="IH322" s="1321"/>
      <c r="II322" s="1321"/>
      <c r="IJ322" s="1321"/>
      <c r="IK322" s="1321"/>
      <c r="IL322" s="1321"/>
      <c r="IM322" s="1321"/>
      <c r="IN322" s="1368"/>
    </row>
    <row r="323" spans="1:248" ht="12.75" customHeight="1" x14ac:dyDescent="0.2">
      <c r="A323" s="1319"/>
      <c r="B323" s="1321"/>
      <c r="C323" s="1321"/>
      <c r="D323" s="1321"/>
      <c r="E323" s="1321"/>
      <c r="F323" s="1321"/>
      <c r="G323" s="1321"/>
      <c r="H323" s="1321"/>
      <c r="I323" s="1321"/>
      <c r="J323" s="1321"/>
      <c r="K323" s="1321"/>
      <c r="L323" s="1321"/>
      <c r="M323" s="1321"/>
      <c r="N323" s="1321"/>
      <c r="O323" s="1321"/>
      <c r="P323" s="1321"/>
      <c r="Q323" s="1321"/>
      <c r="R323" s="1321"/>
      <c r="S323" s="1321"/>
      <c r="T323" s="1321"/>
      <c r="U323" s="1321"/>
      <c r="V323" s="1321"/>
      <c r="W323" s="1321"/>
      <c r="X323" s="1321"/>
      <c r="Y323" s="1321"/>
      <c r="Z323" s="1321"/>
      <c r="AA323" s="1321"/>
      <c r="AB323" s="1321"/>
      <c r="AC323" s="1321"/>
      <c r="AD323" s="1321"/>
      <c r="AE323" s="1321"/>
      <c r="AF323" s="1321"/>
      <c r="AG323" s="1321"/>
      <c r="AH323" s="1321"/>
      <c r="AI323" s="1321"/>
      <c r="AJ323" s="1321"/>
      <c r="AK323" s="1321"/>
      <c r="AL323" s="1321"/>
      <c r="AM323" s="1321"/>
      <c r="AN323" s="1321"/>
      <c r="AO323" s="1321"/>
      <c r="AP323" s="1321"/>
      <c r="AQ323" s="1321"/>
      <c r="AR323" s="1321"/>
      <c r="AS323" s="1321"/>
      <c r="AT323" s="1321"/>
      <c r="AU323" s="1321"/>
      <c r="AV323" s="1321"/>
      <c r="AW323" s="1321"/>
      <c r="AX323" s="1321"/>
      <c r="AY323" s="1321"/>
      <c r="AZ323" s="1321"/>
      <c r="BA323" s="1321"/>
      <c r="BB323" s="1075">
        <f t="shared" si="79"/>
        <v>0</v>
      </c>
      <c r="BC323" s="1075">
        <f t="array" ref="BC323">IFERROR(IF(OR(AND(INDEX(Règles_bovins[Specificite],MATCH(RationHivernaleBovinsAuPré&amp;$BB323,Règles_bovins[Ration]&amp;Règles_bovins[Aliment],0))="s1",IF($BB323=Spécificité1Bovins,1)),
AND(INDEX(Règles_bovins[Specificite],MATCH(RationHivernaleBovinsAuPré&amp;$BB323,Règles_bovins[Ration]&amp;Règles_bovins[Aliment],0))="s2",IF($BB323=Spécificité2Bovins,1)),
INDEX(Règles_bovins[Specificite],MATCH(RationHivernaleBovinsAuPré&amp;$BB323,Règles_bovins[Ration]&amp;Règles_bovins[Aliment],0))="c"),
INDEX(Règles_bovins[Valeur 36 et plus],MATCH(RationHivernaleBovinsAuPré&amp;$BB323,Règles_bovins[Ration]&amp;Règles_bovins[Aliment],0)),0),0)*IF(SUM(TotalBovinsAdultesAuPré)&gt;0,SUM(TotalBovinsAdultesAuPré),SUM(TotalBovinsAdultes))*35</f>
        <v>0</v>
      </c>
      <c r="BD323" s="1075">
        <f t="array" ref="BD323">IFERROR(IF(OR(AND(INDEX(Règles_bovins[Specificite],MATCH(RationHivernaleBovinsAuPré&amp;$BB323,Règles_bovins[Ration]&amp;Règles_bovins[Aliment],0))="s1",IF($BB323=Spécificité1Bovins,1)),
AND(INDEX(Règles_bovins[Specificite],MATCH(RationHivernaleBovinsAuPré&amp;$BB323,Règles_bovins[Ration]&amp;Règles_bovins[Aliment],0))="s2",IF($BB323=Spécificité2Bovins,1)),
INDEX(Règles_bovins[Specificite],MATCH(RationHivernaleBovinsAuPré&amp;$BB323,Règles_bovins[Ration]&amp;Règles_bovins[Aliment],0))="c"),
INDEX(Règles_bovins[Valeur 24-36],MATCH(RationHivernaleBovinsAuPré&amp;$BB323,Règles_bovins[Ration]&amp;Règles_bovins[Aliment],0)),0),0)*IF(SUM(TotalBovins_24_36moisAuPré)&gt;0,SUM(TotalBovins_24_36moisAuPré),SUM(TotalBovins_24_36mois))*35</f>
        <v>0</v>
      </c>
      <c r="BE323" s="1075">
        <f t="array" ref="BE323">IFERROR(IF(OR(AND(INDEX(Règles_bovins[Specificite],MATCH(RationHivernaleBovinsAuPré&amp;$BB323,Règles_bovins[Ration]&amp;Règles_bovins[Aliment],0))="s1",IF($BB323=Spécificité1Bovins,1)),
AND(INDEX(Règles_bovins[Specificite],MATCH(RationHivernaleBovinsAuPré&amp;$BB323,Règles_bovins[Ration]&amp;Règles_bovins[Aliment],0))="s2",IF($BB323=Spécificité2Bovins,1)),
INDEX(Règles_bovins[Specificite],MATCH(RationHivernaleBovinsAuPré&amp;$BB323,Règles_bovins[Ration]&amp;Règles_bovins[Aliment],0))="c"),
INDEX(Règles_bovins[Valeur 18-24],MATCH(RationHivernaleBovinsAuPré&amp;$BB323,Règles_bovins[Ration]&amp;Règles_bovins[Aliment],0)),0),0)*IF(SUM(TotalBovins_18_24moisAuPré)&gt;0,SUM(TotalBovins_18_24moisAuPré),SUM(TotalBovins_18_24mois))*35</f>
        <v>0</v>
      </c>
      <c r="BF323" s="1075">
        <f t="array" ref="BF323">IFERROR(IF(OR(AND(INDEX(Règles_bovins[Specificite],MATCH(RationHivernaleBovinsAuPré&amp;$BB323,Règles_bovins[Ration]&amp;Règles_bovins[Aliment],0))="s1",IF($BB323=Spécificité1Bovins,1)),
AND(INDEX(Règles_bovins[Specificite],MATCH(RationHivernaleBovinsAuPré&amp;$BB323,Règles_bovins[Ration]&amp;Règles_bovins[Aliment],0))="s2",IF($BB323=Spécificité2Bovins,1)),
INDEX(Règles_bovins[Specificite],MATCH(RationHivernaleBovinsAuPré&amp;$BB323,Règles_bovins[Ration]&amp;Règles_bovins[Aliment],0))="c"),
INDEX(Règles_bovins[Valeur 12-18],MATCH(RationHivernaleBovinsAuPré&amp;$BB323,Règles_bovins[Ration]&amp;Règles_bovins[Aliment],0)),0),0)*IF(SUM(TotalBovins_12_18moisAuPré)&gt;0,SUM(TotalBovins_12_18moisAuPré),SUM(TotalBovins_12_18mois))*35</f>
        <v>0</v>
      </c>
      <c r="BG323" s="1075">
        <f t="array" ref="BG323">IFERROR(IF(OR(AND(INDEX(Règles_bovins[Specificite],MATCH(RationHivernaleBovinsAuPré&amp;$BB323,Règles_bovins[Ration]&amp;Règles_bovins[Aliment],0))="s1",IF($BB323=Spécificité1Bovins,1)),
AND(INDEX(Règles_bovins[Specificite],MATCH(RationHivernaleBovinsAuPré&amp;$BB323,Règles_bovins[Ration]&amp;Règles_bovins[Aliment],0))="s2",IF($BB323=Spécificité2Bovins,1)),
INDEX(Règles_bovins[Specificite],MATCH(RationHivernaleBovinsAuPré&amp;$BB323,Règles_bovins[Ration]&amp;Règles_bovins[Aliment],0))="c"),
INDEX(Règles_bovins[Valeur 6-12],MATCH(RationHivernaleBovinsAuPré&amp;$BB323,Règles_bovins[Ration]&amp;Règles_bovins[Aliment],0)),0),0)*IF(SUM(TotalBovins_6_12moisAuPré)&gt;0,SUM(TotalBovins_6_12moisAuPré),SUM(TotalBovins_6_12mois))*35</f>
        <v>0</v>
      </c>
      <c r="BH323" s="1075">
        <f t="array" ref="BH323">IFERROR(IF(OR(AND(INDEX(Règles_bovins[Specificite],MATCH(RationHivernaleBovinsAuPré&amp;$BB323,Règles_bovins[Ration]&amp;Règles_bovins[Aliment],0))="s1",IF($BB323=Spécificité1Bovins,1)),
AND(INDEX(Règles_bovins[Specificite],MATCH(RationHivernaleBovinsAuPré&amp;$BB323,Règles_bovins[Ration]&amp;Règles_bovins[Aliment],0))="s2",IF($BB323=Spécificité2Bovins,1)),
INDEX(Règles_bovins[Specificite],MATCH(RationHivernaleBovinsAuPré&amp;$BB323,Règles_bovins[Ration]&amp;Règles_bovins[Aliment],0))="c"),
INDEX(Règles_bovins[Valeur 3-6],MATCH(RationHivernaleBovinsAuPré&amp;$BB323,Règles_bovins[Ration]&amp;Règles_bovins[Aliment],0)),0),0)*IF(SUM(TotalBovins_3_6moisAuPré)&gt;0,SUM(TotalBovins_3_6moisAuPré),SUM(TotalBovins_3_6mois))*35</f>
        <v>0</v>
      </c>
      <c r="BI323" s="1075">
        <f t="array" ref="BI323">IFERROR(IF(OR(AND(INDEX(Règles_bovins[Specificite],MATCH(RationHivernaleBovinsAuPré&amp;$BB323,Règles_bovins[Ration]&amp;Règles_bovins[Aliment],0))="s1",IF($BB323=Spécificité1Bovins,1)),
AND(INDEX(Règles_bovins[Specificite],MATCH(RationHivernaleBovinsAuPré&amp;$BB323,Règles_bovins[Ration]&amp;Règles_bovins[Aliment],0))="s2",IF($BB323=Spécificité2Bovins,1)),
INDEX(Règles_bovins[Specificite],MATCH(RationHivernaleBovinsAuPré&amp;$BB323,Règles_bovins[Ration]&amp;Règles_bovins[Aliment],0))="c"),
INDEX(Règles_bovins[Valeur 0-3],MATCH(RationHivernaleBovinsAuPré&amp;$BB323,Règles_bovins[Ration]&amp;Règles_bovins[Aliment],0)),0),0)*IF(SUM(TotalBovins_0_3moisAuPré)&gt;0,SUM(TotalBovins_0_3moisAuPré),SUM(TotalBovins_0_3mois))*35</f>
        <v>0</v>
      </c>
      <c r="BJ323" s="1270">
        <f t="shared" si="78"/>
        <v>0</v>
      </c>
      <c r="BK323" s="1345"/>
      <c r="BL323" s="1345"/>
      <c r="BM323" s="1321"/>
      <c r="BN323" s="1321"/>
      <c r="BO323" s="1321"/>
      <c r="BP323" s="1321"/>
      <c r="BQ323" s="1321"/>
      <c r="BR323" s="1321"/>
      <c r="BS323" s="1321"/>
      <c r="BT323" s="1321"/>
      <c r="BU323" s="1321"/>
      <c r="BV323" s="1345"/>
      <c r="BW323" s="1345"/>
      <c r="BX323" s="1321"/>
      <c r="BY323" s="1321"/>
      <c r="BZ323" s="1321"/>
      <c r="CA323" s="1321"/>
      <c r="CB323" s="1321"/>
      <c r="CC323" s="1321"/>
      <c r="CD323" s="1345"/>
      <c r="CE323" s="1345"/>
      <c r="CF323" s="1345"/>
      <c r="CG323" s="1345"/>
      <c r="CH323" s="1345"/>
      <c r="CI323" s="1321"/>
      <c r="CJ323" s="1321"/>
      <c r="CK323" s="1321"/>
      <c r="CL323" s="1321"/>
      <c r="CM323" s="1321"/>
      <c r="CN323" s="1321"/>
      <c r="CO323" s="1321"/>
      <c r="CP323" s="1321"/>
      <c r="CQ323" s="1321"/>
      <c r="CR323" s="1321"/>
      <c r="CS323" s="1321"/>
      <c r="CT323" s="1321"/>
      <c r="CU323" s="1321"/>
      <c r="CV323" s="1321"/>
      <c r="CW323" s="1321"/>
      <c r="CX323" s="1321"/>
      <c r="CY323" s="1321"/>
      <c r="CZ323" s="1321"/>
      <c r="DA323" s="1321"/>
      <c r="DB323" s="1321"/>
      <c r="DC323" s="1321"/>
      <c r="DD323" s="1321"/>
      <c r="DE323" s="1321"/>
      <c r="DF323" s="1321"/>
      <c r="DG323" s="1321"/>
      <c r="DH323" s="1321"/>
      <c r="DI323" s="1321"/>
      <c r="DJ323" s="1321"/>
      <c r="DK323" s="1321"/>
      <c r="DL323" s="1321"/>
      <c r="DM323" s="1321"/>
      <c r="DN323" s="1076" t="str">
        <f t="shared" si="80"/>
        <v>Tourteau de colza</v>
      </c>
      <c r="DO323" s="1267">
        <f t="array" ref="DO323">SUM((IF(QualitéAlimentsAgneauMâle_0_3_mois=BONNE,VLOOKUP("Tourteau de colza",AlimentsRationOvinsMâles,5,FALSE),0)+(IF(QualitéAlimentsAgneauFemelle_0_3_mois=BONNE,VLOOKUP("Tourteau de colza",AlimentsRationOvinsFemelles,5,FALSE),0)+(IF(QualitéAlimentsAgneauMâle_3_6_mois=BONNE,VLOOKUP("Tourteau de colza",AlimentsRationOvinsMâles,4,FALSE),0)+(IF(QualitéAlimentsAgneauFemelle_3_6_mois=BONNE,VLOOKUP("Tourteau de colza",AlimentsRationOvinsFemelles,4,FALSE),0)+(IF(QualitéAlimentsJeuneBélier=BONNE,VLOOKUP("Tourteau de colza",AlimentsRationOvinsMâles,3,FALSE),0)+(IF(QualitéAlimentsJeuneBrebis=BONNE,VLOOKUP("Tourteau de colza",AlimentsRationOvinsFemelles,3,FALSE),0)+(IF(QualitéAlimentsBélier=BONNE,VLOOKUP("Tourteau de colza",AlimentsRationOvinsMâles,2,FALSE),0)+(IF(QualitéAlimentsBrebis=BONNE,VLOOKUP("Tourteau de colza",AlimentsRationOvinsFemelles,2,FALSE),0))))))))))</f>
        <v>0</v>
      </c>
      <c r="DP323" s="1267">
        <f t="array" ref="DP323">SUM((IF(QualitéAlimentsAgneauMâle_0_3_mois=MOYENNE,VLOOKUP("Tourteau de colza",AlimentsRationOvinsMâles,5,FALSE),0)+(IF(QualitéAlimentsAgneauFemelle_0_3_mois=MOYENNE,VLOOKUP("Tourteau de colza",AlimentsRationOvinsFemelles,5,FALSE),0)+(IF(QualitéAlimentsAgneauMâle_3_6_mois=MOYENNE,VLOOKUP("Tourteau de colza",AlimentsRationOvinsMâles,4,FALSE),0)+(IF(QualitéAlimentsAgneauFemelle_3_6_mois=MOYENNE,VLOOKUP("Tourteau de colza",AlimentsRationOvinsFemelles,4,FALSE),0)+(IF(QualitéAlimentsJeuneBélier=MOYENNE,VLOOKUP("Tourteau de colza",AlimentsRationOvinsMâles,3,FALSE),0)+(IF(QualitéAlimentsJeuneBrebis=MOYENNE,VLOOKUP("Tourteau de colza",AlimentsRationOvinsFemelles,3,FALSE),0)+(IF(QualitéAlimentsBélier=MOYENNE,VLOOKUP("Tourteau de colza",AlimentsRationOvinsMâles,2,FALSE),0)+(IF(QualitéAlimentsBrebis=MOYENNE,VLOOKUP("Tourteau de colza",AlimentsRationOvinsFemelles,2,FALSE),0))))))))))</f>
        <v>0</v>
      </c>
      <c r="DQ323" s="1267">
        <f t="array" ref="DQ323">SUM((IF(QualitéAlimentsAgneauMâle_0_3_mois=MAUVAISE,VLOOKUP("Tourteau de colza",AlimentsRationOvinsMâles,5,FALSE),0)+(IF(QualitéAlimentsAgneauFemelle_0_3_mois=MAUVAISE,VLOOKUP("Tourteau de colza",AlimentsRationOvinsFemelles,5,FALSE),0)+(IF(QualitéAlimentsAgneauMâle_3_6_mois=MAUVAISE,VLOOKUP("Tourteau de colza",AlimentsRationOvinsMâles,4,FALSE),0)+(IF(QualitéAlimentsAgneauFemelle_3_6_mois=MAUVAISE,VLOOKUP("Tourteau de colza",AlimentsRationOvinsFemelles,4,FALSE),0)+(IF(QualitéAlimentsJeuneBélier=MAUVAISE,VLOOKUP("Tourteau de colza",AlimentsRationOvinsMâles,3,FALSE),0)+(IF(QualitéAlimentsJeuneBrebis=MAUVAISE,VLOOKUP("Tourteau de colza",AlimentsRationOvinsFemelles,3,FALSE),0)+(IF(QualitéAlimentsBélier=MAUVAISE,VLOOKUP("Tourteau de colza",AlimentsRationOvinsMâles,2,FALSE),0)+(IF(QualitéAlimentsBrebis=MAUVAISE,VLOOKUP("Tourteau de colza",AlimentsRationOvinsFemelles,2,FALSE),0))))))))))</f>
        <v>0</v>
      </c>
      <c r="DR323" s="1321"/>
      <c r="DS323" s="1321"/>
      <c r="DT323" s="1346"/>
      <c r="DU323" s="1346"/>
      <c r="DV323" s="1321"/>
      <c r="DW323" s="1321"/>
      <c r="DX323" s="1321"/>
      <c r="DY323" s="1321"/>
      <c r="DZ323" s="1321"/>
      <c r="EA323" s="1321"/>
      <c r="EB323" s="1321"/>
      <c r="EC323" s="1321"/>
      <c r="ED323" s="1345"/>
      <c r="EE323" s="1345"/>
      <c r="EF323" s="1321"/>
      <c r="EG323" s="1321"/>
      <c r="EH323" s="1321"/>
      <c r="EI323" s="1321"/>
      <c r="EJ323" s="1321"/>
      <c r="EK323" s="1345"/>
      <c r="EL323" s="1345"/>
      <c r="EM323" s="1321"/>
      <c r="EN323" s="1321"/>
      <c r="EO323" s="1321"/>
      <c r="EP323" s="1321"/>
      <c r="EQ323" s="1321"/>
      <c r="ER323" s="1345"/>
      <c r="ES323" s="1345"/>
      <c r="ET323" s="1321"/>
      <c r="EU323" s="1321"/>
      <c r="EV323" s="1321"/>
      <c r="EW323" s="1321"/>
      <c r="EX323" s="1321"/>
      <c r="EY323" s="1321"/>
      <c r="EZ323" s="1345"/>
      <c r="FA323" s="1345"/>
      <c r="FB323" s="1345"/>
      <c r="FC323" s="1321"/>
      <c r="FD323" s="1321"/>
      <c r="FE323" s="1321"/>
      <c r="FF323" s="1321"/>
      <c r="FG323" s="1321"/>
      <c r="FH323" s="1321"/>
      <c r="FI323" s="1345"/>
      <c r="FJ323" s="1345"/>
      <c r="FK323" s="1345"/>
      <c r="FL323" s="1345"/>
      <c r="FM323" s="1321"/>
      <c r="FN323" s="1321"/>
      <c r="FO323" s="1321"/>
      <c r="FP323" s="1321"/>
      <c r="FQ323" s="1321"/>
      <c r="FR323" s="1321"/>
      <c r="FS323" s="1345"/>
      <c r="FT323" s="1345"/>
      <c r="FU323" s="1345"/>
      <c r="FV323" s="1345"/>
      <c r="FW323" s="1321"/>
      <c r="FX323" s="1321"/>
      <c r="FY323" s="1321"/>
      <c r="FZ323" s="1321"/>
      <c r="GA323" s="1345"/>
      <c r="GB323" s="1321"/>
      <c r="GC323" s="1321"/>
      <c r="GD323" s="1321"/>
      <c r="GE323" s="1321"/>
      <c r="GF323" s="1321"/>
      <c r="GG323" s="1321" t="s">
        <v>1349</v>
      </c>
      <c r="GH323" s="1321" t="s">
        <v>1349</v>
      </c>
      <c r="GI323" s="1321" t="s">
        <v>1349</v>
      </c>
      <c r="GJ323" s="1321" t="s">
        <v>1349</v>
      </c>
      <c r="GK323" s="1321" t="s">
        <v>1349</v>
      </c>
      <c r="GL323" s="1321" t="s">
        <v>1349</v>
      </c>
      <c r="GM323" s="1321" t="s">
        <v>1349</v>
      </c>
      <c r="GN323" s="1321" t="s">
        <v>1349</v>
      </c>
      <c r="GO323" s="1321" t="s">
        <v>1349</v>
      </c>
      <c r="GP323" s="1321" t="s">
        <v>1349</v>
      </c>
      <c r="GQ323" s="1321" t="s">
        <v>1349</v>
      </c>
      <c r="GR323" s="1321" t="s">
        <v>1349</v>
      </c>
      <c r="GS323" s="1321" t="s">
        <v>1349</v>
      </c>
      <c r="GT323" s="1321" t="s">
        <v>1349</v>
      </c>
      <c r="GU323" s="1321" t="s">
        <v>1349</v>
      </c>
      <c r="GV323" s="1321" t="s">
        <v>1349</v>
      </c>
      <c r="GW323" s="1321"/>
      <c r="GX323" s="1321"/>
      <c r="GY323" s="1321"/>
      <c r="GZ323" s="1321"/>
      <c r="HA323" s="1321"/>
      <c r="HB323" s="1321"/>
      <c r="HC323" s="1321"/>
      <c r="HD323" s="1321"/>
      <c r="HE323" s="1321"/>
      <c r="HF323" s="1321"/>
      <c r="HG323" s="1321"/>
      <c r="HH323" s="1321"/>
      <c r="HI323" s="1321"/>
      <c r="HJ323" s="1321"/>
      <c r="HK323" s="1321"/>
      <c r="HL323" s="1321"/>
      <c r="HM323" s="1321"/>
      <c r="HN323" s="1321"/>
      <c r="HO323" s="1321"/>
      <c r="HP323" s="1321"/>
      <c r="HQ323" s="1321"/>
      <c r="HR323" s="1321"/>
      <c r="HS323" s="1321"/>
      <c r="HT323" s="1321"/>
      <c r="HU323" s="1321"/>
      <c r="HV323" s="1321"/>
      <c r="HW323" s="1321"/>
      <c r="HX323" s="1321"/>
      <c r="HY323" s="1321"/>
      <c r="HZ323" s="1321"/>
      <c r="IA323" s="1321"/>
      <c r="IB323" s="1321"/>
      <c r="IC323" s="1321"/>
      <c r="ID323" s="1321"/>
      <c r="IE323" s="1321"/>
      <c r="IF323" s="1321"/>
      <c r="IG323" s="1321"/>
      <c r="IH323" s="1321"/>
      <c r="II323" s="1321"/>
      <c r="IJ323" s="1321"/>
      <c r="IK323" s="1321"/>
      <c r="IL323" s="1321"/>
      <c r="IM323" s="1321"/>
      <c r="IN323" s="1368"/>
    </row>
    <row r="324" spans="1:248" ht="12.75" customHeight="1" x14ac:dyDescent="0.2">
      <c r="A324" s="1319"/>
      <c r="B324" s="1321"/>
      <c r="C324" s="1321"/>
      <c r="D324" s="1321"/>
      <c r="E324" s="1321"/>
      <c r="F324" s="1321"/>
      <c r="G324" s="1321"/>
      <c r="H324" s="1321"/>
      <c r="I324" s="1321"/>
      <c r="J324" s="1321"/>
      <c r="K324" s="1321"/>
      <c r="L324" s="1321"/>
      <c r="M324" s="1321"/>
      <c r="N324" s="1321"/>
      <c r="O324" s="1321"/>
      <c r="P324" s="1321"/>
      <c r="Q324" s="1321"/>
      <c r="R324" s="1321"/>
      <c r="S324" s="1321"/>
      <c r="T324" s="1321"/>
      <c r="U324" s="1321"/>
      <c r="V324" s="1321"/>
      <c r="W324" s="1321"/>
      <c r="X324" s="1321"/>
      <c r="Y324" s="1321"/>
      <c r="Z324" s="1321"/>
      <c r="AA324" s="1321"/>
      <c r="AB324" s="1321"/>
      <c r="AC324" s="1321"/>
      <c r="AD324" s="1321"/>
      <c r="AE324" s="1321"/>
      <c r="AF324" s="1321"/>
      <c r="AG324" s="1321"/>
      <c r="AH324" s="1321"/>
      <c r="AI324" s="1321"/>
      <c r="AJ324" s="1321"/>
      <c r="AK324" s="1321"/>
      <c r="AL324" s="1321"/>
      <c r="AM324" s="1321"/>
      <c r="AN324" s="1321"/>
      <c r="AO324" s="1321"/>
      <c r="AP324" s="1321"/>
      <c r="AQ324" s="1321"/>
      <c r="AR324" s="1321"/>
      <c r="AS324" s="1321"/>
      <c r="AT324" s="1321"/>
      <c r="AU324" s="1321"/>
      <c r="AV324" s="1321"/>
      <c r="AW324" s="1321"/>
      <c r="AX324" s="1321"/>
      <c r="AY324" s="1321"/>
      <c r="AZ324" s="1321"/>
      <c r="BA324" s="1321"/>
      <c r="BB324" s="1336"/>
      <c r="BC324" s="1336"/>
      <c r="BD324" s="1336"/>
      <c r="BE324" s="1336"/>
      <c r="BF324" s="1336"/>
      <c r="BG324" s="1336"/>
      <c r="BH324" s="1336"/>
      <c r="BI324" s="1336"/>
      <c r="BJ324" s="1336"/>
      <c r="BK324" s="1345"/>
      <c r="BL324" s="1345"/>
      <c r="BM324" s="1321"/>
      <c r="BN324" s="1321"/>
      <c r="BO324" s="1321"/>
      <c r="BP324" s="1321"/>
      <c r="BQ324" s="1321"/>
      <c r="BR324" s="1321"/>
      <c r="BS324" s="1321"/>
      <c r="BT324" s="1321"/>
      <c r="BU324" s="1321"/>
      <c r="BV324" s="1345"/>
      <c r="BW324" s="1345"/>
      <c r="BX324" s="1321"/>
      <c r="BY324" s="1321"/>
      <c r="BZ324" s="1321"/>
      <c r="CA324" s="1321"/>
      <c r="CB324" s="1321"/>
      <c r="CC324" s="1321"/>
      <c r="CD324" s="1345"/>
      <c r="CE324" s="1345"/>
      <c r="CF324" s="1345"/>
      <c r="CG324" s="1345"/>
      <c r="CH324" s="1345"/>
      <c r="CI324" s="1321"/>
      <c r="CJ324" s="1321"/>
      <c r="CK324" s="1321"/>
      <c r="CL324" s="1321"/>
      <c r="CM324" s="1321"/>
      <c r="CN324" s="1321"/>
      <c r="CO324" s="1321"/>
      <c r="CP324" s="1321"/>
      <c r="CQ324" s="1321"/>
      <c r="CR324" s="1321"/>
      <c r="CS324" s="1321"/>
      <c r="CT324" s="1321"/>
      <c r="CU324" s="1321"/>
      <c r="CV324" s="1321"/>
      <c r="CW324" s="1321"/>
      <c r="CX324" s="1321"/>
      <c r="CY324" s="1321"/>
      <c r="CZ324" s="1321"/>
      <c r="DA324" s="1321"/>
      <c r="DB324" s="1321"/>
      <c r="DC324" s="1321"/>
      <c r="DD324" s="1321"/>
      <c r="DE324" s="1321"/>
      <c r="DF324" s="1321"/>
      <c r="DG324" s="1321"/>
      <c r="DH324" s="1321"/>
      <c r="DI324" s="1321"/>
      <c r="DJ324" s="1321"/>
      <c r="DK324" s="1321"/>
      <c r="DL324" s="1321"/>
      <c r="DM324" s="1321"/>
      <c r="DN324" s="1075" t="str">
        <f t="shared" si="80"/>
        <v>Tourteau de tournesol</v>
      </c>
      <c r="DO324" s="1269">
        <f t="array" ref="DO324">SUM((IF(QualitéAlimentsAgneauMâle_0_3_mois=BONNE,VLOOKUP("Tourteau de tournesol",AlimentsRationOvinsMâles,5,FALSE),0)+(IF(QualitéAlimentsAgneauFemelle_0_3_mois=BONNE,VLOOKUP("Tourteau de tournesol",AlimentsRationOvinsFemelles,5,FALSE),0)+(IF(QualitéAlimentsAgneauMâle_3_6_mois=BONNE,VLOOKUP("Tourteau de tournesol",AlimentsRationOvinsMâles,4,FALSE),0)+(IF(QualitéAlimentsAgneauFemelle_3_6_mois=BONNE,VLOOKUP("Tourteau de tournesol",AlimentsRationOvinsFemelles,4,FALSE),0)+(IF(QualitéAlimentsJeuneBélier=BONNE,VLOOKUP("Tourteau de tournesol",AlimentsRationOvinsMâles,3,FALSE),0)+(IF(QualitéAlimentsJeuneBrebis=BONNE,VLOOKUP("Tourteau de tournesol",AlimentsRationOvinsFemelles,3,FALSE),0)+(IF(QualitéAlimentsBélier=BONNE,VLOOKUP("Tourteau de tournesol",AlimentsRationOvinsMâles,2,FALSE),0)+(IF(QualitéAlimentsBrebis=BONNE,VLOOKUP("Tourteau de tournesol",AlimentsRationOvinsFemelles,2,FALSE),0))))))))))</f>
        <v>0</v>
      </c>
      <c r="DP324" s="1269">
        <f t="array" ref="DP324">SUM((IF(QualitéAlimentsAgneauMâle_0_3_mois=MOYENNE,VLOOKUP("Tourteau de tournesol",AlimentsRationOvinsMâles,5,FALSE),0)+(IF(QualitéAlimentsAgneauFemelle_0_3_mois=MOYENNE,VLOOKUP("Tourteau de tournesol",AlimentsRationOvinsFemelles,5,FALSE),0)+(IF(QualitéAlimentsAgneauMâle_3_6_mois=MOYENNE,VLOOKUP("Tourteau de tournesol",AlimentsRationOvinsMâles,4,FALSE),0)+(IF(QualitéAlimentsAgneauFemelle_3_6_mois=MOYENNE,VLOOKUP("Tourteau de tournesol",AlimentsRationOvinsFemelles,4,FALSE),0)+(IF(QualitéAlimentsJeuneBélier=MOYENNE,VLOOKUP("Tourteau de tournesol",AlimentsRationOvinsMâles,3,FALSE),0)+(IF(QualitéAlimentsJeuneBrebis=MOYENNE,VLOOKUP("Tourteau de tournesol",AlimentsRationOvinsFemelles,3,FALSE),0)+(IF(QualitéAlimentsBélier=MOYENNE,VLOOKUP("Tourteau de tournesol",AlimentsRationOvinsMâles,2,FALSE),0)+(IF(QualitéAlimentsBrebis=MOYENNE,VLOOKUP("Tourteau de tournesol",AlimentsRationOvinsFemelles,2,FALSE),0))))))))))</f>
        <v>0</v>
      </c>
      <c r="DQ324" s="1269">
        <f t="array" ref="DQ324">SUM((IF(QualitéAlimentsAgneauMâle_0_3_mois=MAUVAISE,VLOOKUP("Tourteau de tournesol",AlimentsRationOvinsMâles,5,FALSE),0)+(IF(QualitéAlimentsAgneauFemelle_0_3_mois=MAUVAISE,VLOOKUP("Tourteau de tournesol",AlimentsRationOvinsFemelles,5,FALSE),0)+(IF(QualitéAlimentsAgneauMâle_3_6_mois=MAUVAISE,VLOOKUP("Tourteau de tournesol",AlimentsRationOvinsMâles,4,FALSE),0)+(IF(QualitéAlimentsAgneauFemelle_3_6_mois=MAUVAISE,VLOOKUP("Tourteau de tournesol",AlimentsRationOvinsFemelles,4,FALSE),0)+(IF(QualitéAlimentsJeuneBélier=MAUVAISE,VLOOKUP("Tourteau de tournesol",AlimentsRationOvinsMâles,3,FALSE),0)+(IF(QualitéAlimentsJeuneBrebis=MAUVAISE,VLOOKUP("Tourteau de tournesol",AlimentsRationOvinsFemelles,3,FALSE),0)+(IF(QualitéAlimentsBélier=MAUVAISE,VLOOKUP("Tourteau de tournesol",AlimentsRationOvinsMâles,2,FALSE),0)+(IF(QualitéAlimentsBrebis=MAUVAISE,VLOOKUP("Tourteau de tournesol",AlimentsRationOvinsFemelles,2,FALSE),0))))))))))</f>
        <v>0</v>
      </c>
      <c r="DR324" s="1321"/>
      <c r="DS324" s="1321"/>
      <c r="DT324" s="1346"/>
      <c r="DU324" s="1346"/>
      <c r="DV324" s="1321"/>
      <c r="DW324" s="1321"/>
      <c r="DX324" s="1321"/>
      <c r="DY324" s="1321"/>
      <c r="DZ324" s="1321"/>
      <c r="EA324" s="1321"/>
      <c r="EB324" s="1321"/>
      <c r="EC324" s="1321"/>
      <c r="ED324" s="1345"/>
      <c r="EE324" s="1345"/>
      <c r="EF324" s="1321"/>
      <c r="EG324" s="1321"/>
      <c r="EH324" s="1321"/>
      <c r="EI324" s="1321"/>
      <c r="EJ324" s="1321"/>
      <c r="EK324" s="1345"/>
      <c r="EL324" s="1345"/>
      <c r="EM324" s="1321"/>
      <c r="EN324" s="1321"/>
      <c r="EO324" s="1321"/>
      <c r="EP324" s="1321"/>
      <c r="EQ324" s="1321"/>
      <c r="ER324" s="1345"/>
      <c r="ES324" s="1345"/>
      <c r="ET324" s="1321"/>
      <c r="EU324" s="1321"/>
      <c r="EV324" s="1321"/>
      <c r="EW324" s="1321"/>
      <c r="EX324" s="1321"/>
      <c r="EY324" s="1321"/>
      <c r="EZ324" s="1345"/>
      <c r="FA324" s="1345"/>
      <c r="FB324" s="1345"/>
      <c r="FC324" s="1321"/>
      <c r="FD324" s="1321"/>
      <c r="FE324" s="1321"/>
      <c r="FF324" s="1321"/>
      <c r="FG324" s="1321"/>
      <c r="FH324" s="1321"/>
      <c r="FI324" s="1345"/>
      <c r="FJ324" s="1345"/>
      <c r="FK324" s="1345"/>
      <c r="FL324" s="1345"/>
      <c r="FM324" s="1321"/>
      <c r="FN324" s="1321"/>
      <c r="FO324" s="1321"/>
      <c r="FP324" s="1321"/>
      <c r="FQ324" s="1321"/>
      <c r="FR324" s="1321"/>
      <c r="FS324" s="1345"/>
      <c r="FT324" s="1345"/>
      <c r="FU324" s="1345"/>
      <c r="FV324" s="1345"/>
      <c r="FW324" s="1321"/>
      <c r="FX324" s="1321"/>
      <c r="FY324" s="1321"/>
      <c r="FZ324" s="1321"/>
      <c r="GA324" s="1345"/>
      <c r="GB324" s="1321"/>
      <c r="GC324" s="1321"/>
      <c r="GD324" s="1321"/>
      <c r="GE324" s="1321"/>
      <c r="GF324" s="1321"/>
      <c r="GG324" s="1321" t="s">
        <v>1349</v>
      </c>
      <c r="GH324" s="1321" t="s">
        <v>1349</v>
      </c>
      <c r="GI324" s="1321" t="s">
        <v>1349</v>
      </c>
      <c r="GJ324" s="1321" t="s">
        <v>1349</v>
      </c>
      <c r="GK324" s="1321" t="s">
        <v>1349</v>
      </c>
      <c r="GL324" s="1321" t="s">
        <v>1349</v>
      </c>
      <c r="GM324" s="1321" t="s">
        <v>1349</v>
      </c>
      <c r="GN324" s="1321" t="s">
        <v>1349</v>
      </c>
      <c r="GO324" s="1321" t="s">
        <v>1349</v>
      </c>
      <c r="GP324" s="1321" t="s">
        <v>1349</v>
      </c>
      <c r="GQ324" s="1321" t="s">
        <v>1349</v>
      </c>
      <c r="GR324" s="1321" t="s">
        <v>1349</v>
      </c>
      <c r="GS324" s="1321" t="s">
        <v>1349</v>
      </c>
      <c r="GT324" s="1321" t="s">
        <v>1349</v>
      </c>
      <c r="GU324" s="1321" t="s">
        <v>1349</v>
      </c>
      <c r="GV324" s="1321" t="s">
        <v>1349</v>
      </c>
      <c r="GW324" s="1321"/>
      <c r="GX324" s="1321"/>
      <c r="GY324" s="1321"/>
      <c r="GZ324" s="1321"/>
      <c r="HA324" s="1321"/>
      <c r="HB324" s="1321"/>
      <c r="HC324" s="1321"/>
      <c r="HD324" s="1321"/>
      <c r="HE324" s="1321"/>
      <c r="HF324" s="1321"/>
      <c r="HG324" s="1321"/>
      <c r="HH324" s="1321"/>
      <c r="HI324" s="1321"/>
      <c r="HJ324" s="1321"/>
      <c r="HK324" s="1321"/>
      <c r="HL324" s="1321"/>
      <c r="HM324" s="1321"/>
      <c r="HN324" s="1321"/>
      <c r="HO324" s="1321"/>
      <c r="HP324" s="1321"/>
      <c r="HQ324" s="1321"/>
      <c r="HR324" s="1321"/>
      <c r="HS324" s="1321"/>
      <c r="HT324" s="1321"/>
      <c r="HU324" s="1321"/>
      <c r="HV324" s="1321"/>
      <c r="HW324" s="1321"/>
      <c r="HX324" s="1321"/>
      <c r="HY324" s="1321"/>
      <c r="HZ324" s="1321"/>
      <c r="IA324" s="1321"/>
      <c r="IB324" s="1321"/>
      <c r="IC324" s="1321"/>
      <c r="ID324" s="1321"/>
      <c r="IE324" s="1321"/>
      <c r="IF324" s="1321"/>
      <c r="IG324" s="1321"/>
      <c r="IH324" s="1321"/>
      <c r="II324" s="1321"/>
      <c r="IJ324" s="1321"/>
      <c r="IK324" s="1321"/>
      <c r="IL324" s="1321"/>
      <c r="IM324" s="1321"/>
      <c r="IN324" s="1368"/>
    </row>
    <row r="325" spans="1:248" ht="12.75" customHeight="1" x14ac:dyDescent="0.2">
      <c r="A325" s="1319"/>
      <c r="B325" s="1321"/>
      <c r="C325" s="1321"/>
      <c r="D325" s="1321"/>
      <c r="E325" s="1321"/>
      <c r="F325" s="1321"/>
      <c r="G325" s="1321"/>
      <c r="H325" s="1321"/>
      <c r="I325" s="1321"/>
      <c r="J325" s="1321"/>
      <c r="K325" s="1321"/>
      <c r="L325" s="1321"/>
      <c r="M325" s="1321"/>
      <c r="N325" s="1321"/>
      <c r="O325" s="1321"/>
      <c r="P325" s="1321"/>
      <c r="Q325" s="1321"/>
      <c r="R325" s="1321"/>
      <c r="S325" s="1321"/>
      <c r="T325" s="1321"/>
      <c r="U325" s="1321"/>
      <c r="V325" s="1321"/>
      <c r="W325" s="1321"/>
      <c r="X325" s="1321"/>
      <c r="Y325" s="1321"/>
      <c r="Z325" s="1321"/>
      <c r="AA325" s="1321"/>
      <c r="AB325" s="1321"/>
      <c r="AC325" s="1321"/>
      <c r="AD325" s="1321"/>
      <c r="AE325" s="1321"/>
      <c r="AF325" s="1321"/>
      <c r="AG325" s="1321"/>
      <c r="AH325" s="1321"/>
      <c r="AI325" s="1321"/>
      <c r="AJ325" s="1321"/>
      <c r="AK325" s="1321"/>
      <c r="AL325" s="1321"/>
      <c r="AM325" s="1321"/>
      <c r="AN325" s="1321"/>
      <c r="AO325" s="1321"/>
      <c r="AP325" s="1321"/>
      <c r="AQ325" s="1321"/>
      <c r="AR325" s="1321"/>
      <c r="AS325" s="1321"/>
      <c r="AT325" s="1321"/>
      <c r="AU325" s="1321"/>
      <c r="AV325" s="1321"/>
      <c r="AW325" s="1321"/>
      <c r="AX325" s="1321"/>
      <c r="AY325" s="1321"/>
      <c r="AZ325" s="1321"/>
      <c r="BA325" s="1321"/>
      <c r="BB325" s="1336" t="s">
        <v>1279</v>
      </c>
      <c r="BC325" s="1336"/>
      <c r="BD325" s="1336"/>
      <c r="BE325" s="1336"/>
      <c r="BF325" s="1336"/>
      <c r="BG325" s="1336"/>
      <c r="BH325" s="1336"/>
      <c r="BI325" s="1336"/>
      <c r="BJ325" s="1336"/>
      <c r="BK325" s="1345"/>
      <c r="BL325" s="1345"/>
      <c r="BM325" s="1321"/>
      <c r="BN325" s="1321"/>
      <c r="BO325" s="1321"/>
      <c r="BP325" s="1321"/>
      <c r="BQ325" s="1321"/>
      <c r="BR325" s="1321"/>
      <c r="BS325" s="1321"/>
      <c r="BT325" s="1321"/>
      <c r="BU325" s="1321"/>
      <c r="BV325" s="1345"/>
      <c r="BW325" s="1345"/>
      <c r="BX325" s="1321"/>
      <c r="BY325" s="1321"/>
      <c r="BZ325" s="1321"/>
      <c r="CA325" s="1321"/>
      <c r="CB325" s="1321"/>
      <c r="CC325" s="1321"/>
      <c r="CD325" s="1345"/>
      <c r="CE325" s="1345"/>
      <c r="CF325" s="1345"/>
      <c r="CG325" s="1345"/>
      <c r="CH325" s="1345"/>
      <c r="CI325" s="1321"/>
      <c r="CJ325" s="1321"/>
      <c r="CK325" s="1321"/>
      <c r="CL325" s="1321"/>
      <c r="CM325" s="1321"/>
      <c r="CN325" s="1321"/>
      <c r="CO325" s="1321"/>
      <c r="CP325" s="1321"/>
      <c r="CQ325" s="1321"/>
      <c r="CR325" s="1321"/>
      <c r="CS325" s="1321"/>
      <c r="CT325" s="1321"/>
      <c r="CU325" s="1321"/>
      <c r="CV325" s="1321"/>
      <c r="CW325" s="1321"/>
      <c r="CX325" s="1321"/>
      <c r="CY325" s="1321"/>
      <c r="CZ325" s="1321"/>
      <c r="DA325" s="1321"/>
      <c r="DB325" s="1321"/>
      <c r="DC325" s="1321"/>
      <c r="DD325" s="1321"/>
      <c r="DE325" s="1321"/>
      <c r="DF325" s="1321"/>
      <c r="DG325" s="1321"/>
      <c r="DH325" s="1321"/>
      <c r="DI325" s="1321"/>
      <c r="DJ325" s="1321"/>
      <c r="DK325" s="1321"/>
      <c r="DL325" s="1321"/>
      <c r="DM325" s="1321"/>
      <c r="DN325" s="1076" t="str">
        <f t="shared" si="80"/>
        <v>Triticale</v>
      </c>
      <c r="DO325" s="1267">
        <f t="array" ref="DO325">SUM((IF(QualitéAlimentsAgneauMâle_0_3_mois=BONNE,VLOOKUP("Triticale",AlimentsRationOvinsMâles,5,FALSE),0)+(IF(QualitéAlimentsAgneauFemelle_0_3_mois=BONNE,VLOOKUP("Triticale",AlimentsRationOvinsFemelles,5,FALSE),0)+(IF(QualitéAlimentsAgneauMâle_3_6_mois=BONNE,VLOOKUP("Triticale",AlimentsRationOvinsMâles,4,FALSE),0)+(IF(QualitéAlimentsAgneauFemelle_3_6_mois=BONNE,VLOOKUP("Triticale",AlimentsRationOvinsFemelles,4,FALSE),0)+(IF(QualitéAlimentsJeuneBélier=BONNE,VLOOKUP("Triticale",AlimentsRationOvinsMâles,3,FALSE),0)+(IF(QualitéAlimentsJeuneBrebis=BONNE,VLOOKUP("Triticale",AlimentsRationOvinsFemelles,3,FALSE),0)+(IF(QualitéAlimentsBélier=BONNE,VLOOKUP("Triticale",AlimentsRationOvinsMâles,2,FALSE),0)+(IF(QualitéAlimentsBrebis=BONNE,VLOOKUP("Triticale",AlimentsRationOvinsFemelles,2,FALSE),0))))))))))</f>
        <v>0</v>
      </c>
      <c r="DP325" s="1267">
        <f t="array" ref="DP325">SUM((IF(QualitéAlimentsAgneauMâle_0_3_mois=MOYENNE,VLOOKUP("Triticale",AlimentsRationOvinsMâles,5,FALSE),0)+(IF(QualitéAlimentsAgneauFemelle_0_3_mois=MOYENNE,VLOOKUP("Triticale",AlimentsRationOvinsFemelles,5,FALSE),0)+(IF(QualitéAlimentsAgneauMâle_3_6_mois=MOYENNE,VLOOKUP("Triticale",AlimentsRationOvinsMâles,4,FALSE),0)+(IF(QualitéAlimentsAgneauFemelle_3_6_mois=MOYENNE,VLOOKUP("Triticale",AlimentsRationOvinsFemelles,4,FALSE),0)+(IF(QualitéAlimentsJeuneBélier=MOYENNE,VLOOKUP("Triticale",AlimentsRationOvinsMâles,3,FALSE),0)+(IF(QualitéAlimentsJeuneBrebis=MOYENNE,VLOOKUP("Triticale",AlimentsRationOvinsFemelles,3,FALSE),0)+(IF(QualitéAlimentsBélier=MOYENNE,VLOOKUP("Triticale",AlimentsRationOvinsMâles,2,FALSE),0)+(IF(QualitéAlimentsBrebis=MOYENNE,VLOOKUP("Triticale",AlimentsRationOvinsFemelles,2,FALSE),0))))))))))</f>
        <v>0</v>
      </c>
      <c r="DQ325" s="1267">
        <f t="array" ref="DQ325">SUM((IF(QualitéAlimentsAgneauMâle_0_3_mois=MAUVAISE,VLOOKUP("Triticale",AlimentsRationOvinsMâles,5,FALSE),0)+(IF(QualitéAlimentsAgneauFemelle_0_3_mois=MAUVAISE,VLOOKUP("Triticale",AlimentsRationOvinsFemelles,5,FALSE),0)+(IF(QualitéAlimentsAgneauMâle_3_6_mois=MAUVAISE,VLOOKUP("Triticale",AlimentsRationOvinsMâles,4,FALSE),0)+(IF(QualitéAlimentsAgneauFemelle_3_6_mois=MAUVAISE,VLOOKUP("Triticale",AlimentsRationOvinsFemelles,4,FALSE),0)+(IF(QualitéAlimentsJeuneBélier=MAUVAISE,VLOOKUP("Triticale",AlimentsRationOvinsMâles,3,FALSE),0)+(IF(QualitéAlimentsJeuneBrebis=MAUVAISE,VLOOKUP("Triticale",AlimentsRationOvinsFemelles,3,FALSE),0)+(IF(QualitéAlimentsBélier=MAUVAISE,VLOOKUP("Triticale",AlimentsRationOvinsMâles,2,FALSE),0)+(IF(QualitéAlimentsBrebis=MAUVAISE,VLOOKUP("Triticale",AlimentsRationOvinsFemelles,2,FALSE),0))))))))))</f>
        <v>0</v>
      </c>
      <c r="DR325" s="1321"/>
      <c r="DS325" s="1321"/>
      <c r="DT325" s="1346"/>
      <c r="DU325" s="1346"/>
      <c r="DV325" s="1321"/>
      <c r="DW325" s="1321"/>
      <c r="DX325" s="1321"/>
      <c r="DY325" s="1321"/>
      <c r="DZ325" s="1321"/>
      <c r="EA325" s="1321"/>
      <c r="EB325" s="1321"/>
      <c r="EC325" s="1321"/>
      <c r="ED325" s="1345"/>
      <c r="EE325" s="1345"/>
      <c r="EF325" s="1321"/>
      <c r="EG325" s="1321"/>
      <c r="EH325" s="1321"/>
      <c r="EI325" s="1321"/>
      <c r="EJ325" s="1321"/>
      <c r="EK325" s="1345"/>
      <c r="EL325" s="1345"/>
      <c r="EM325" s="1321"/>
      <c r="EN325" s="1321"/>
      <c r="EO325" s="1321"/>
      <c r="EP325" s="1321"/>
      <c r="EQ325" s="1321"/>
      <c r="ER325" s="1345"/>
      <c r="ES325" s="1345"/>
      <c r="ET325" s="1321"/>
      <c r="EU325" s="1321"/>
      <c r="EV325" s="1321"/>
      <c r="EW325" s="1321"/>
      <c r="EX325" s="1321"/>
      <c r="EY325" s="1321"/>
      <c r="EZ325" s="1345"/>
      <c r="FA325" s="1345"/>
      <c r="FB325" s="1345"/>
      <c r="FC325" s="1321"/>
      <c r="FD325" s="1321"/>
      <c r="FE325" s="1321"/>
      <c r="FF325" s="1321"/>
      <c r="FG325" s="1321"/>
      <c r="FH325" s="1321"/>
      <c r="FI325" s="1345"/>
      <c r="FJ325" s="1345"/>
      <c r="FK325" s="1345"/>
      <c r="FL325" s="1345"/>
      <c r="FM325" s="1321"/>
      <c r="FN325" s="1321"/>
      <c r="FO325" s="1321"/>
      <c r="FP325" s="1321"/>
      <c r="FQ325" s="1321"/>
      <c r="FR325" s="1321"/>
      <c r="FS325" s="1345"/>
      <c r="FT325" s="1345"/>
      <c r="FU325" s="1345"/>
      <c r="FV325" s="1345"/>
      <c r="FW325" s="1321"/>
      <c r="FX325" s="1321"/>
      <c r="FY325" s="1321"/>
      <c r="FZ325" s="1321"/>
      <c r="GA325" s="1345"/>
      <c r="GB325" s="1321"/>
      <c r="GC325" s="1321"/>
      <c r="GD325" s="1321"/>
      <c r="GE325" s="1321"/>
      <c r="GF325" s="1321"/>
      <c r="GG325" s="1321" t="s">
        <v>1349</v>
      </c>
      <c r="GH325" s="1321" t="s">
        <v>1349</v>
      </c>
      <c r="GI325" s="1321" t="s">
        <v>1349</v>
      </c>
      <c r="GJ325" s="1321" t="s">
        <v>1349</v>
      </c>
      <c r="GK325" s="1321" t="s">
        <v>1349</v>
      </c>
      <c r="GL325" s="1321" t="s">
        <v>1349</v>
      </c>
      <c r="GM325" s="1321" t="s">
        <v>1349</v>
      </c>
      <c r="GN325" s="1321" t="s">
        <v>1349</v>
      </c>
      <c r="GO325" s="1321" t="s">
        <v>1349</v>
      </c>
      <c r="GP325" s="1321" t="s">
        <v>1349</v>
      </c>
      <c r="GQ325" s="1321" t="s">
        <v>1349</v>
      </c>
      <c r="GR325" s="1321" t="s">
        <v>1349</v>
      </c>
      <c r="GS325" s="1321" t="s">
        <v>1349</v>
      </c>
      <c r="GT325" s="1321" t="s">
        <v>1349</v>
      </c>
      <c r="GU325" s="1321" t="s">
        <v>1349</v>
      </c>
      <c r="GV325" s="1321" t="s">
        <v>1349</v>
      </c>
      <c r="GW325" s="1321"/>
      <c r="GX325" s="1321"/>
      <c r="GY325" s="1321"/>
      <c r="GZ325" s="1321"/>
      <c r="HA325" s="1321"/>
      <c r="HB325" s="1321"/>
      <c r="HC325" s="1321"/>
      <c r="HD325" s="1321"/>
      <c r="HE325" s="1321"/>
      <c r="HF325" s="1321"/>
      <c r="HG325" s="1321"/>
      <c r="HH325" s="1321"/>
      <c r="HI325" s="1321"/>
      <c r="HJ325" s="1321"/>
      <c r="HK325" s="1321"/>
      <c r="HL325" s="1321"/>
      <c r="HM325" s="1321"/>
      <c r="HN325" s="1321"/>
      <c r="HO325" s="1321"/>
      <c r="HP325" s="1321"/>
      <c r="HQ325" s="1321"/>
      <c r="HR325" s="1321"/>
      <c r="HS325" s="1321"/>
      <c r="HT325" s="1321"/>
      <c r="HU325" s="1321"/>
      <c r="HV325" s="1321"/>
      <c r="HW325" s="1321"/>
      <c r="HX325" s="1321"/>
      <c r="HY325" s="1321"/>
      <c r="HZ325" s="1321"/>
      <c r="IA325" s="1321"/>
      <c r="IB325" s="1321"/>
      <c r="IC325" s="1321"/>
      <c r="ID325" s="1321"/>
      <c r="IE325" s="1321"/>
      <c r="IF325" s="1321"/>
      <c r="IG325" s="1321"/>
      <c r="IH325" s="1321"/>
      <c r="II325" s="1321"/>
      <c r="IJ325" s="1321"/>
      <c r="IK325" s="1321"/>
      <c r="IL325" s="1321"/>
      <c r="IM325" s="1321"/>
      <c r="IN325" s="1368"/>
    </row>
    <row r="326" spans="1:248" ht="12.75" customHeight="1" x14ac:dyDescent="0.2">
      <c r="A326" s="1319"/>
      <c r="B326" s="1321"/>
      <c r="C326" s="1321"/>
      <c r="D326" s="1321"/>
      <c r="E326" s="1321"/>
      <c r="F326" s="1321"/>
      <c r="G326" s="1321"/>
      <c r="H326" s="1321"/>
      <c r="I326" s="1321"/>
      <c r="J326" s="1321"/>
      <c r="K326" s="1321"/>
      <c r="L326" s="1321"/>
      <c r="M326" s="1321"/>
      <c r="N326" s="1321"/>
      <c r="O326" s="1321"/>
      <c r="P326" s="1321"/>
      <c r="Q326" s="1321"/>
      <c r="R326" s="1321"/>
      <c r="S326" s="1321"/>
      <c r="T326" s="1321"/>
      <c r="U326" s="1321"/>
      <c r="V326" s="1321"/>
      <c r="W326" s="1321"/>
      <c r="X326" s="1321"/>
      <c r="Y326" s="1321"/>
      <c r="Z326" s="1321"/>
      <c r="AA326" s="1321"/>
      <c r="AB326" s="1321"/>
      <c r="AC326" s="1321"/>
      <c r="AD326" s="1321"/>
      <c r="AE326" s="1321"/>
      <c r="AF326" s="1321"/>
      <c r="AG326" s="1321"/>
      <c r="AH326" s="1321"/>
      <c r="AI326" s="1321"/>
      <c r="AJ326" s="1321"/>
      <c r="AK326" s="1321"/>
      <c r="AL326" s="1321"/>
      <c r="AM326" s="1321"/>
      <c r="AN326" s="1321"/>
      <c r="AO326" s="1321"/>
      <c r="AP326" s="1321"/>
      <c r="AQ326" s="1321"/>
      <c r="AR326" s="1321"/>
      <c r="AS326" s="1321"/>
      <c r="AT326" s="1321"/>
      <c r="AU326" s="1321"/>
      <c r="AV326" s="1321"/>
      <c r="AW326" s="1321"/>
      <c r="AX326" s="1321"/>
      <c r="AY326" s="1321"/>
      <c r="AZ326" s="1321"/>
      <c r="BA326" s="1321"/>
      <c r="BB326" s="789" t="s">
        <v>1276</v>
      </c>
      <c r="BC326" s="790" t="s">
        <v>1268</v>
      </c>
      <c r="BD326" s="790" t="s">
        <v>1267</v>
      </c>
      <c r="BE326" s="790" t="s">
        <v>1266</v>
      </c>
      <c r="BF326" s="790" t="s">
        <v>1265</v>
      </c>
      <c r="BG326" s="790" t="s">
        <v>1264</v>
      </c>
      <c r="BH326" s="790" t="s">
        <v>1263</v>
      </c>
      <c r="BI326" s="790" t="s">
        <v>1262</v>
      </c>
      <c r="BJ326" s="791" t="s">
        <v>1269</v>
      </c>
      <c r="BK326" s="1345"/>
      <c r="BL326" s="1345"/>
      <c r="BM326" s="1321"/>
      <c r="BN326" s="1321"/>
      <c r="BO326" s="1321"/>
      <c r="BP326" s="1321"/>
      <c r="BQ326" s="1321"/>
      <c r="BR326" s="1321"/>
      <c r="BS326" s="1321"/>
      <c r="BT326" s="1321"/>
      <c r="BU326" s="1321"/>
      <c r="BV326" s="1345"/>
      <c r="BW326" s="1345"/>
      <c r="BX326" s="1321"/>
      <c r="BY326" s="1321"/>
      <c r="BZ326" s="1321"/>
      <c r="CA326" s="1321"/>
      <c r="CB326" s="1321"/>
      <c r="CC326" s="1321"/>
      <c r="CD326" s="1345"/>
      <c r="CE326" s="1345"/>
      <c r="CF326" s="1345"/>
      <c r="CG326" s="1345"/>
      <c r="CH326" s="1345"/>
      <c r="CI326" s="1321"/>
      <c r="CJ326" s="1321"/>
      <c r="CK326" s="1321"/>
      <c r="CL326" s="1321"/>
      <c r="CM326" s="1321"/>
      <c r="CN326" s="1321"/>
      <c r="CO326" s="1321"/>
      <c r="CP326" s="1321"/>
      <c r="CQ326" s="1321"/>
      <c r="CR326" s="1321"/>
      <c r="CS326" s="1321"/>
      <c r="CT326" s="1321"/>
      <c r="CU326" s="1321"/>
      <c r="CV326" s="1321"/>
      <c r="CW326" s="1321"/>
      <c r="CX326" s="1321"/>
      <c r="CY326" s="1321"/>
      <c r="CZ326" s="1321"/>
      <c r="DA326" s="1321"/>
      <c r="DB326" s="1321"/>
      <c r="DC326" s="1321"/>
      <c r="DD326" s="1321"/>
      <c r="DE326" s="1321"/>
      <c r="DF326" s="1321"/>
      <c r="DG326" s="1321"/>
      <c r="DH326" s="1321"/>
      <c r="DI326" s="1321"/>
      <c r="DJ326" s="1321"/>
      <c r="DK326" s="1321"/>
      <c r="DL326" s="1321"/>
      <c r="DM326" s="1321"/>
      <c r="DN326" s="1075">
        <f t="shared" si="80"/>
        <v>0</v>
      </c>
      <c r="DO326" s="1269"/>
      <c r="DP326" s="1269"/>
      <c r="DQ326" s="1269"/>
      <c r="DR326" s="1321"/>
      <c r="DS326" s="1321"/>
      <c r="DT326" s="1346"/>
      <c r="DU326" s="1346"/>
      <c r="DV326" s="1321"/>
      <c r="DW326" s="1321"/>
      <c r="DX326" s="1321"/>
      <c r="DY326" s="1321"/>
      <c r="DZ326" s="1321"/>
      <c r="EA326" s="1321"/>
      <c r="EB326" s="1321"/>
      <c r="EC326" s="1321"/>
      <c r="ED326" s="1345"/>
      <c r="EE326" s="1345"/>
      <c r="EF326" s="1321"/>
      <c r="EG326" s="1321"/>
      <c r="EH326" s="1321"/>
      <c r="EI326" s="1321"/>
      <c r="EJ326" s="1321"/>
      <c r="EK326" s="1345"/>
      <c r="EL326" s="1345"/>
      <c r="EM326" s="1321"/>
      <c r="EN326" s="1321"/>
      <c r="EO326" s="1321"/>
      <c r="EP326" s="1321"/>
      <c r="EQ326" s="1321"/>
      <c r="ER326" s="1345"/>
      <c r="ES326" s="1345"/>
      <c r="ET326" s="1321"/>
      <c r="EU326" s="1321"/>
      <c r="EV326" s="1321"/>
      <c r="EW326" s="1321"/>
      <c r="EX326" s="1321"/>
      <c r="EY326" s="1321"/>
      <c r="EZ326" s="1345"/>
      <c r="FA326" s="1345"/>
      <c r="FB326" s="1345"/>
      <c r="FC326" s="1321"/>
      <c r="FD326" s="1321"/>
      <c r="FE326" s="1321"/>
      <c r="FF326" s="1321"/>
      <c r="FG326" s="1321"/>
      <c r="FH326" s="1321"/>
      <c r="FI326" s="1345"/>
      <c r="FJ326" s="1345"/>
      <c r="FK326" s="1345"/>
      <c r="FL326" s="1345"/>
      <c r="FM326" s="1321"/>
      <c r="FN326" s="1321"/>
      <c r="FO326" s="1321"/>
      <c r="FP326" s="1321"/>
      <c r="FQ326" s="1321"/>
      <c r="FR326" s="1321"/>
      <c r="FS326" s="1345"/>
      <c r="FT326" s="1345"/>
      <c r="FU326" s="1345"/>
      <c r="FV326" s="1345"/>
      <c r="FW326" s="1321"/>
      <c r="FX326" s="1321"/>
      <c r="FY326" s="1321"/>
      <c r="FZ326" s="1321"/>
      <c r="GA326" s="1345"/>
      <c r="GB326" s="1321"/>
      <c r="GC326" s="1321"/>
      <c r="GD326" s="1321"/>
      <c r="GE326" s="1321"/>
      <c r="GF326" s="1321"/>
      <c r="GG326" s="1321" t="s">
        <v>1349</v>
      </c>
      <c r="GH326" s="1321" t="s">
        <v>1349</v>
      </c>
      <c r="GI326" s="1321" t="s">
        <v>1349</v>
      </c>
      <c r="GJ326" s="1321" t="s">
        <v>1349</v>
      </c>
      <c r="GK326" s="1321" t="s">
        <v>1349</v>
      </c>
      <c r="GL326" s="1321" t="s">
        <v>1349</v>
      </c>
      <c r="GM326" s="1321" t="s">
        <v>1349</v>
      </c>
      <c r="GN326" s="1321" t="s">
        <v>1349</v>
      </c>
      <c r="GO326" s="1321" t="s">
        <v>1349</v>
      </c>
      <c r="GP326" s="1321" t="s">
        <v>1349</v>
      </c>
      <c r="GQ326" s="1321" t="s">
        <v>1349</v>
      </c>
      <c r="GR326" s="1321" t="s">
        <v>1349</v>
      </c>
      <c r="GS326" s="1321" t="s">
        <v>1349</v>
      </c>
      <c r="GT326" s="1321" t="s">
        <v>1349</v>
      </c>
      <c r="GU326" s="1321" t="s">
        <v>1349</v>
      </c>
      <c r="GV326" s="1321" t="s">
        <v>1349</v>
      </c>
      <c r="GW326" s="1321"/>
      <c r="GX326" s="1321"/>
      <c r="GY326" s="1321"/>
      <c r="GZ326" s="1321"/>
      <c r="HA326" s="1321"/>
      <c r="HB326" s="1321"/>
      <c r="HC326" s="1321"/>
      <c r="HD326" s="1321"/>
      <c r="HE326" s="1321"/>
      <c r="HF326" s="1321"/>
      <c r="HG326" s="1321"/>
      <c r="HH326" s="1321"/>
      <c r="HI326" s="1321"/>
      <c r="HJ326" s="1321"/>
      <c r="HK326" s="1321"/>
      <c r="HL326" s="1321"/>
      <c r="HM326" s="1321"/>
      <c r="HN326" s="1321"/>
      <c r="HO326" s="1321"/>
      <c r="HP326" s="1321"/>
      <c r="HQ326" s="1321"/>
      <c r="HR326" s="1321"/>
      <c r="HS326" s="1321"/>
      <c r="HT326" s="1321"/>
      <c r="HU326" s="1321"/>
      <c r="HV326" s="1321"/>
      <c r="HW326" s="1321"/>
      <c r="HX326" s="1321"/>
      <c r="HY326" s="1321"/>
      <c r="HZ326" s="1321"/>
      <c r="IA326" s="1321"/>
      <c r="IB326" s="1321"/>
      <c r="IC326" s="1321"/>
      <c r="ID326" s="1321"/>
      <c r="IE326" s="1321"/>
      <c r="IF326" s="1321"/>
      <c r="IG326" s="1321"/>
      <c r="IH326" s="1321"/>
      <c r="II326" s="1321"/>
      <c r="IJ326" s="1321"/>
      <c r="IK326" s="1321"/>
      <c r="IL326" s="1321"/>
      <c r="IM326" s="1321"/>
      <c r="IN326" s="1368"/>
    </row>
    <row r="327" spans="1:248" ht="12.75" customHeight="1" x14ac:dyDescent="0.2">
      <c r="A327" s="1319"/>
      <c r="B327" s="1321"/>
      <c r="C327" s="1321"/>
      <c r="D327" s="1321"/>
      <c r="E327" s="1321"/>
      <c r="F327" s="1321"/>
      <c r="G327" s="1321"/>
      <c r="H327" s="1321"/>
      <c r="I327" s="1321"/>
      <c r="J327" s="1321"/>
      <c r="K327" s="1321"/>
      <c r="L327" s="1321"/>
      <c r="M327" s="1321"/>
      <c r="N327" s="1321"/>
      <c r="O327" s="1321"/>
      <c r="P327" s="1321"/>
      <c r="Q327" s="1321"/>
      <c r="R327" s="1321"/>
      <c r="S327" s="1321"/>
      <c r="T327" s="1321"/>
      <c r="U327" s="1321"/>
      <c r="V327" s="1321"/>
      <c r="W327" s="1321"/>
      <c r="X327" s="1321"/>
      <c r="Y327" s="1321"/>
      <c r="Z327" s="1321"/>
      <c r="AA327" s="1321"/>
      <c r="AB327" s="1321"/>
      <c r="AC327" s="1321"/>
      <c r="AD327" s="1321"/>
      <c r="AE327" s="1321"/>
      <c r="AF327" s="1321"/>
      <c r="AG327" s="1321"/>
      <c r="AH327" s="1321"/>
      <c r="AI327" s="1321"/>
      <c r="AJ327" s="1321"/>
      <c r="AK327" s="1321"/>
      <c r="AL327" s="1321"/>
      <c r="AM327" s="1321"/>
      <c r="AN327" s="1321"/>
      <c r="AO327" s="1321"/>
      <c r="AP327" s="1321"/>
      <c r="AQ327" s="1321"/>
      <c r="AR327" s="1321"/>
      <c r="AS327" s="1321"/>
      <c r="AT327" s="1321"/>
      <c r="AU327" s="1321"/>
      <c r="AV327" s="1321"/>
      <c r="AW327" s="1321"/>
      <c r="AX327" s="1321"/>
      <c r="AY327" s="1321"/>
      <c r="AZ327" s="1321"/>
      <c r="BA327" s="1321"/>
      <c r="BB327" s="792" t="s">
        <v>723</v>
      </c>
      <c r="BC327" s="793">
        <f t="array" ref="BC327">IF(ChoixRationHivernaleComplèteBovins=OUI,IFERROR(IF(OR(AND(INDEX(Règles_bovins[Specificite],MATCH(RationHivernaleBovinsAuPré&amp;Ration_hivernale_complète_bovins[aliment],Règles_bovins[Ration]&amp;Règles_bovins[Aliment],0))="s1",IF(Ration_hivernale_complète_bovins[aliment]=Spécificité1Bovins,1)),
AND(INDEX(Règles_bovins[Specificite],MATCH(RationHivernaleBovinsAuPré&amp;Ration_hivernale_complète_bovins[aliment],Règles_bovins[Ration]&amp;Règles_bovins[Aliment],0))="s2",IF(Ration_hivernale_complète_bovins[aliment]=Spécificité2Bovins,1)),
INDEX(Règles_bovins[Specificite],MATCH(RationHivernaleBovinsAuPré&amp;Ration_hivernale_complète_bovins[aliment],Règles_bovins[Ration]&amp;Règles_bovins[Aliment],0))="c",INDEX(Règles_bovins[Specificite],MATCH(RationHivernaleBovinsAuPré&amp;Ration_hivernale_complète_bovins[aliment],Règles_bovins[Ration]&amp;Règles_bovins[Aliment],0))="complet"),
INDEX(Règles_bovins[Valeur 36 et plus],MATCH(RationHivernaleBovinsAuPré&amp;Ration_hivernale_complète_bovins[aliment],Règles_bovins[Ration]&amp;Règles_bovins[Aliment],0)),0),0)*IF(SUM(TotalBovinsLaitièresEtAlalaitantes)=0,SUM(TotalBovinsAdultes)*35,SUM(TotalBovinsAdultesAuPré)*35),0)</f>
        <v>0</v>
      </c>
      <c r="BD327" s="793">
        <f t="array" ref="BD327">IF(ChoixRationHivernaleComplèteBovins=OUI,IFERROR(IF(OR(AND(INDEX(Règles_bovins[Specificite],MATCH(RationHivernaleBovinsAuPré&amp;Ration_hivernale_complète_bovins[aliment],Règles_bovins[Ration]&amp;Règles_bovins[Aliment],0))="s1",IF(Ration_hivernale_complète_bovins[aliment]=Spécificité1Bovins,1)),
AND(INDEX(Règles_bovins[Specificite],MATCH(RationHivernaleBovinsAuPré&amp;Ration_hivernale_complète_bovins[aliment],Règles_bovins[Ration]&amp;Règles_bovins[Aliment],0))="s2",IF(Ration_hivernale_complète_bovins[aliment]=Spécificité2Bovins,1)),
INDEX(Règles_bovins[Specificite],MATCH(RationHivernaleBovinsAuPré&amp;Ration_hivernale_complète_bovins[aliment],Règles_bovins[Ration]&amp;Règles_bovins[Aliment],0))="c",INDEX(Règles_bovins[Specificite],MATCH(RationHivernaleBovinsAuPré&amp;Ration_hivernale_complète_bovins[aliment],Règles_bovins[Ration]&amp;Règles_bovins[Aliment],0))="complet"),
INDEX(Règles_bovins[Valeur 24-36],MATCH(RationHivernaleBovinsAuPré&amp;Ration_hivernale_complète_bovins[aliment],Règles_bovins[Ration]&amp;Règles_bovins[Aliment],0)),0),0)*IF(SUM(TotalBovinsLaitièresEtAlalaitantes)=0,SUM(TotalBovins_24_36mois)*35,SUM(TotalBovins_24_36moisAuPré)*35),0)</f>
        <v>0</v>
      </c>
      <c r="BE327" s="793">
        <f t="array" ref="BE327">IF(ChoixRationHivernaleComplèteBovins=OUI,IFERROR(IF(OR(AND(INDEX(Règles_bovins[Specificite],MATCH(RationHivernaleBovinsAuPré&amp;Ration_hivernale_complète_bovins[aliment],Règles_bovins[Ration]&amp;Règles_bovins[Aliment],0))="s1",IF(Ration_hivernale_complète_bovins[aliment]=Spécificité1Bovins,1)),
AND(INDEX(Règles_bovins[Specificite],MATCH(RationHivernaleBovinsAuPré&amp;Ration_hivernale_complète_bovins[aliment],Règles_bovins[Ration]&amp;Règles_bovins[Aliment],0))="s2",IF(Ration_hivernale_complète_bovins[aliment]=Spécificité2Bovins,1)),
INDEX(Règles_bovins[Specificite],MATCH(RationHivernaleBovinsAuPré&amp;Ration_hivernale_complète_bovins[aliment],Règles_bovins[Ration]&amp;Règles_bovins[Aliment],0))="c",INDEX(Règles_bovins[Specificite],MATCH(RationHivernaleBovinsAuPré&amp;Ration_hivernale_complète_bovins[aliment],Règles_bovins[Ration]&amp;Règles_bovins[Aliment],0))="complet"),
INDEX(Règles_bovins[Valeur 18-24],MATCH(RationHivernaleBovinsAuPré&amp;Ration_hivernale_complète_bovins[aliment],Règles_bovins[Ration]&amp;Règles_bovins[Aliment],0)),0),0)*IF(SUM(TotalBovinsLaitièresEtAlalaitantes)=0,SUM(TotalBovins_18_24mois)*35,SUM(TotalBovins_18_24moisAuPré)*35),0)</f>
        <v>0</v>
      </c>
      <c r="BF327" s="793">
        <f t="array" ref="BF327">IF(ChoixRationHivernaleComplèteBovins=OUI,IFERROR(IF(OR(AND(INDEX(Règles_bovins[Specificite],MATCH(RationHivernaleBovinsAuPré&amp;Ration_hivernale_complète_bovins[aliment],Règles_bovins[Ration]&amp;Règles_bovins[Aliment],0))="s1",IF(Ration_hivernale_complète_bovins[aliment]=Spécificité1Bovins,1)),
AND(INDEX(Règles_bovins[Specificite],MATCH(RationHivernaleBovinsAuPré&amp;Ration_hivernale_complète_bovins[aliment],Règles_bovins[Ration]&amp;Règles_bovins[Aliment],0))="s2",IF(Ration_hivernale_complète_bovins[aliment]=Spécificité2Bovins,1)),
INDEX(Règles_bovins[Specificite],MATCH(RationHivernaleBovinsAuPré&amp;Ration_hivernale_complète_bovins[aliment],Règles_bovins[Ration]&amp;Règles_bovins[Aliment],0))="c",INDEX(Règles_bovins[Specificite],MATCH(RationHivernaleBovinsAuPré&amp;Ration_hivernale_complète_bovins[aliment],Règles_bovins[Ration]&amp;Règles_bovins[Aliment],0))="complet"),
INDEX(Règles_bovins[Valeur 12-18],MATCH(RationHivernaleBovinsAuPré&amp;Ration_hivernale_complète_bovins[aliment],Règles_bovins[Ration]&amp;Règles_bovins[Aliment],0)),0),0)*IF(SUM(TotalBovinsLaitièresEtAlalaitantes)=0,SUM(TotalBovins_12_18mois)*35,SUM(TotalBovins_12_18moisAuPré)*35),0)</f>
        <v>0</v>
      </c>
      <c r="BG327" s="793">
        <f t="array" ref="BG327">IF(ChoixRationHivernaleComplèteBovins=OUI,IFERROR(IF(OR(AND(INDEX(Règles_bovins[Specificite],MATCH(RationHivernaleBovinsAuPré&amp;Ration_hivernale_complète_bovins[aliment],Règles_bovins[Ration]&amp;Règles_bovins[Aliment],0))="s1",IF(Ration_hivernale_complète_bovins[aliment]=Spécificité1Bovins,1)),
AND(INDEX(Règles_bovins[Specificite],MATCH(RationHivernaleBovinsAuPré&amp;Ration_hivernale_complète_bovins[aliment],Règles_bovins[Ration]&amp;Règles_bovins[Aliment],0))="s2",IF(Ration_hivernale_complète_bovins[aliment]=Spécificité2Bovins,1)),
INDEX(Règles_bovins[Specificite],MATCH(RationHivernaleBovinsAuPré&amp;Ration_hivernale_complète_bovins[aliment],Règles_bovins[Ration]&amp;Règles_bovins[Aliment],0))="c",INDEX(Règles_bovins[Specificite],MATCH(RationHivernaleBovinsAuPré&amp;Ration_hivernale_complète_bovins[aliment],Règles_bovins[Ration]&amp;Règles_bovins[Aliment],0))="complet"),
INDEX(Règles_bovins[Valeur 6-12],MATCH(RationHivernaleBovinsAuPré&amp;Ration_hivernale_complète_bovins[aliment],Règles_bovins[Ration]&amp;Règles_bovins[Aliment],0)),0),0)*IF(SUM(TotalBovinsLaitièresEtAlalaitantes)=0,SUM(TotalBovins_6_12mois)*35,SUM(TotalBovins_6_12moisAuPré)*35),0)</f>
        <v>0</v>
      </c>
      <c r="BH327" s="793">
        <f t="array" ref="BH327">IF(ChoixRationHivernaleComplèteBovins=OUI,IFERROR(IF(OR(AND(INDEX(Règles_bovins[Specificite],MATCH(RationHivernaleBovinsAuPré&amp;Ration_hivernale_complète_bovins[aliment],Règles_bovins[Ration]&amp;Règles_bovins[Aliment],0))="s1",IF(Ration_hivernale_complète_bovins[aliment]=Spécificité1Bovins,1)),
AND(INDEX(Règles_bovins[Specificite],MATCH(RationHivernaleBovinsAuPré&amp;Ration_hivernale_complète_bovins[aliment],Règles_bovins[Ration]&amp;Règles_bovins[Aliment],0))="s2",IF(Ration_hivernale_complète_bovins[aliment]=Spécificité2Bovins,1)),
INDEX(Règles_bovins[Specificite],MATCH(RationHivernaleBovinsAuPré&amp;Ration_hivernale_complète_bovins[aliment],Règles_bovins[Ration]&amp;Règles_bovins[Aliment],0))="c",INDEX(Règles_bovins[Specificite],MATCH(RationHivernaleBovinsAuPré&amp;Ration_hivernale_complète_bovins[aliment],Règles_bovins[Ration]&amp;Règles_bovins[Aliment],0))="complet"),
INDEX(Règles_bovins[Valeur 3-6],MATCH(RationHivernaleBovinsAuPré&amp;Ration_hivernale_complète_bovins[aliment],Règles_bovins[Ration]&amp;Règles_bovins[Aliment],0)),0),0)*IF(SUM(TotalBovinsLaitièresEtAlalaitantes)=0,SUM(TotalBovins_3_6mois)*35,SUM(TotalBovins_3_6moisAuPré)*35),0)</f>
        <v>0</v>
      </c>
      <c r="BI327" s="793">
        <f t="array" ref="BI327">IF(ChoixRationHivernaleComplèteBovins=OUI,IFERROR(IF(OR(AND(INDEX(Règles_bovins[Specificite],MATCH(RationHivernaleBovinsAuPré&amp;Ration_hivernale_complète_bovins[aliment],Règles_bovins[Ration]&amp;Règles_bovins[Aliment],0))="s1",IF(Ration_hivernale_complète_bovins[aliment]=Spécificité1Bovins,1)),
AND(INDEX(Règles_bovins[Specificite],MATCH(RationHivernaleBovinsAuPré&amp;Ration_hivernale_complète_bovins[aliment],Règles_bovins[Ration]&amp;Règles_bovins[Aliment],0))="s2",IF(Ration_hivernale_complète_bovins[aliment]=Spécificité2Bovins,1)),
INDEX(Règles_bovins[Specificite],MATCH(RationHivernaleBovinsAuPré&amp;Ration_hivernale_complète_bovins[aliment],Règles_bovins[Ration]&amp;Règles_bovins[Aliment],0))="c",INDEX(Règles_bovins[Specificite],MATCH(RationHivernaleBovinsAuPré&amp;Ration_hivernale_complète_bovins[aliment],Règles_bovins[Ration]&amp;Règles_bovins[Aliment],0))="complet"),
INDEX(Règles_bovins[Valeur 0-3],MATCH(RationHivernaleBovinsAuPré&amp;Ration_hivernale_complète_bovins[aliment],Règles_bovins[Ration]&amp;Règles_bovins[Aliment],0)),0),0)*IF(SUM(TotalBovinsLaitièresEtAlalaitantes)=0,SUM(TotalBovins_0_3mois)*35,SUM(TotalBovins_0_3moisAuPré)*35),0)</f>
        <v>0</v>
      </c>
      <c r="BJ327" s="794">
        <f>SUM(Ration_hivernale_complète_bovins[[Val 36 et plus]:[Val 0-3]])</f>
        <v>0</v>
      </c>
      <c r="BK327" s="1345"/>
      <c r="BL327" s="1345"/>
      <c r="BM327" s="1321"/>
      <c r="BN327" s="1321"/>
      <c r="BO327" s="1321"/>
      <c r="BP327" s="1321"/>
      <c r="BQ327" s="1321"/>
      <c r="BR327" s="1321"/>
      <c r="BS327" s="1321"/>
      <c r="BT327" s="1321"/>
      <c r="BU327" s="1321"/>
      <c r="BV327" s="1345"/>
      <c r="BW327" s="1345"/>
      <c r="BX327" s="1321"/>
      <c r="BY327" s="1321"/>
      <c r="BZ327" s="1321"/>
      <c r="CA327" s="1321"/>
      <c r="CB327" s="1321"/>
      <c r="CC327" s="1321"/>
      <c r="CD327" s="1345"/>
      <c r="CE327" s="1345"/>
      <c r="CF327" s="1345"/>
      <c r="CG327" s="1345"/>
      <c r="CH327" s="1345"/>
      <c r="CI327" s="1321"/>
      <c r="CJ327" s="1321"/>
      <c r="CK327" s="1321"/>
      <c r="CL327" s="1321"/>
      <c r="CM327" s="1321"/>
      <c r="CN327" s="1321"/>
      <c r="CO327" s="1321"/>
      <c r="CP327" s="1321"/>
      <c r="CQ327" s="1321"/>
      <c r="CR327" s="1321"/>
      <c r="CS327" s="1321"/>
      <c r="CT327" s="1321"/>
      <c r="CU327" s="1321"/>
      <c r="CV327" s="1321"/>
      <c r="CW327" s="1321"/>
      <c r="CX327" s="1321"/>
      <c r="CY327" s="1321"/>
      <c r="CZ327" s="1321"/>
      <c r="DA327" s="1321"/>
      <c r="DB327" s="1321"/>
      <c r="DC327" s="1321"/>
      <c r="DD327" s="1321"/>
      <c r="DE327" s="1321"/>
      <c r="DF327" s="1321"/>
      <c r="DG327" s="1321"/>
      <c r="DH327" s="1321"/>
      <c r="DI327" s="1321"/>
      <c r="DJ327" s="1321"/>
      <c r="DK327" s="1321"/>
      <c r="DL327" s="1321"/>
      <c r="DM327" s="1321"/>
      <c r="DN327" s="1076">
        <f t="shared" si="80"/>
        <v>0</v>
      </c>
      <c r="DO327" s="1267"/>
      <c r="DP327" s="1267"/>
      <c r="DQ327" s="1267"/>
      <c r="DR327" s="1321"/>
      <c r="DS327" s="1321"/>
      <c r="DT327" s="1346"/>
      <c r="DU327" s="1346"/>
      <c r="DV327" s="1321"/>
      <c r="DW327" s="1321"/>
      <c r="DX327" s="1321"/>
      <c r="DY327" s="1321"/>
      <c r="DZ327" s="1321"/>
      <c r="EA327" s="1321"/>
      <c r="EB327" s="1321"/>
      <c r="EC327" s="1321"/>
      <c r="ED327" s="1345"/>
      <c r="EE327" s="1345"/>
      <c r="EF327" s="1321"/>
      <c r="EG327" s="1321"/>
      <c r="EH327" s="1321"/>
      <c r="EI327" s="1321"/>
      <c r="EJ327" s="1321"/>
      <c r="EK327" s="1345"/>
      <c r="EL327" s="1345"/>
      <c r="EM327" s="1321"/>
      <c r="EN327" s="1321"/>
      <c r="EO327" s="1321"/>
      <c r="EP327" s="1321"/>
      <c r="EQ327" s="1321"/>
      <c r="ER327" s="1345"/>
      <c r="ES327" s="1345"/>
      <c r="ET327" s="1321"/>
      <c r="EU327" s="1321"/>
      <c r="EV327" s="1321"/>
      <c r="EW327" s="1321"/>
      <c r="EX327" s="1321"/>
      <c r="EY327" s="1321"/>
      <c r="EZ327" s="1345"/>
      <c r="FA327" s="1345"/>
      <c r="FB327" s="1345"/>
      <c r="FC327" s="1321"/>
      <c r="FD327" s="1321"/>
      <c r="FE327" s="1321"/>
      <c r="FF327" s="1321"/>
      <c r="FG327" s="1321"/>
      <c r="FH327" s="1321"/>
      <c r="FI327" s="1345"/>
      <c r="FJ327" s="1345"/>
      <c r="FK327" s="1345"/>
      <c r="FL327" s="1345"/>
      <c r="FM327" s="1321"/>
      <c r="FN327" s="1321"/>
      <c r="FO327" s="1321"/>
      <c r="FP327" s="1321"/>
      <c r="FQ327" s="1321"/>
      <c r="FR327" s="1321"/>
      <c r="FS327" s="1345"/>
      <c r="FT327" s="1345"/>
      <c r="FU327" s="1345"/>
      <c r="FV327" s="1345"/>
      <c r="FW327" s="1321"/>
      <c r="FX327" s="1321"/>
      <c r="FY327" s="1321"/>
      <c r="FZ327" s="1321"/>
      <c r="GA327" s="1345"/>
      <c r="GB327" s="1321"/>
      <c r="GC327" s="1321"/>
      <c r="GD327" s="1321"/>
      <c r="GE327" s="1321"/>
      <c r="GF327" s="1321"/>
      <c r="GG327" s="1321" t="s">
        <v>1349</v>
      </c>
      <c r="GH327" s="1321" t="s">
        <v>1349</v>
      </c>
      <c r="GI327" s="1321" t="s">
        <v>1349</v>
      </c>
      <c r="GJ327" s="1321" t="s">
        <v>1349</v>
      </c>
      <c r="GK327" s="1321" t="s">
        <v>1349</v>
      </c>
      <c r="GL327" s="1321" t="s">
        <v>1349</v>
      </c>
      <c r="GM327" s="1321" t="s">
        <v>1349</v>
      </c>
      <c r="GN327" s="1321" t="s">
        <v>1349</v>
      </c>
      <c r="GO327" s="1321" t="s">
        <v>1349</v>
      </c>
      <c r="GP327" s="1321" t="s">
        <v>1349</v>
      </c>
      <c r="GQ327" s="1321" t="s">
        <v>1349</v>
      </c>
      <c r="GR327" s="1321" t="s">
        <v>1349</v>
      </c>
      <c r="GS327" s="1321" t="s">
        <v>1349</v>
      </c>
      <c r="GT327" s="1321" t="s">
        <v>1349</v>
      </c>
      <c r="GU327" s="1321" t="s">
        <v>1349</v>
      </c>
      <c r="GV327" s="1321" t="s">
        <v>1349</v>
      </c>
      <c r="GW327" s="1321"/>
      <c r="GX327" s="1321"/>
      <c r="GY327" s="1321"/>
      <c r="GZ327" s="1321"/>
      <c r="HA327" s="1321"/>
      <c r="HB327" s="1321"/>
      <c r="HC327" s="1321"/>
      <c r="HD327" s="1321"/>
      <c r="HE327" s="1321"/>
      <c r="HF327" s="1321"/>
      <c r="HG327" s="1321"/>
      <c r="HH327" s="1321"/>
      <c r="HI327" s="1321"/>
      <c r="HJ327" s="1321"/>
      <c r="HK327" s="1321"/>
      <c r="HL327" s="1321"/>
      <c r="HM327" s="1321"/>
      <c r="HN327" s="1321"/>
      <c r="HO327" s="1321"/>
      <c r="HP327" s="1321"/>
      <c r="HQ327" s="1321"/>
      <c r="HR327" s="1321"/>
      <c r="HS327" s="1321"/>
      <c r="HT327" s="1321"/>
      <c r="HU327" s="1321"/>
      <c r="HV327" s="1321"/>
      <c r="HW327" s="1321"/>
      <c r="HX327" s="1321"/>
      <c r="HY327" s="1321"/>
      <c r="HZ327" s="1321"/>
      <c r="IA327" s="1321"/>
      <c r="IB327" s="1321"/>
      <c r="IC327" s="1321"/>
      <c r="ID327" s="1321"/>
      <c r="IE327" s="1321"/>
      <c r="IF327" s="1321"/>
      <c r="IG327" s="1321"/>
      <c r="IH327" s="1321"/>
      <c r="II327" s="1321"/>
      <c r="IJ327" s="1321"/>
      <c r="IK327" s="1321"/>
      <c r="IL327" s="1321"/>
      <c r="IM327" s="1321"/>
      <c r="IN327" s="1368"/>
    </row>
    <row r="328" spans="1:248" ht="12.75" customHeight="1" x14ac:dyDescent="0.2">
      <c r="A328" s="1319"/>
      <c r="B328" s="1321"/>
      <c r="C328" s="1321"/>
      <c r="D328" s="1321"/>
      <c r="E328" s="1321"/>
      <c r="F328" s="1321"/>
      <c r="G328" s="1321"/>
      <c r="H328" s="1321"/>
      <c r="I328" s="1321"/>
      <c r="J328" s="1321"/>
      <c r="K328" s="1321"/>
      <c r="L328" s="1321"/>
      <c r="M328" s="1321"/>
      <c r="N328" s="1321"/>
      <c r="O328" s="1321"/>
      <c r="P328" s="1321"/>
      <c r="Q328" s="1321"/>
      <c r="R328" s="1321"/>
      <c r="S328" s="1321"/>
      <c r="T328" s="1321"/>
      <c r="U328" s="1321"/>
      <c r="V328" s="1321"/>
      <c r="W328" s="1321"/>
      <c r="X328" s="1321"/>
      <c r="Y328" s="1321"/>
      <c r="Z328" s="1321"/>
      <c r="AA328" s="1321"/>
      <c r="AB328" s="1321"/>
      <c r="AC328" s="1321"/>
      <c r="AD328" s="1321"/>
      <c r="AE328" s="1321"/>
      <c r="AF328" s="1321"/>
      <c r="AG328" s="1321"/>
      <c r="AH328" s="1321"/>
      <c r="AI328" s="1321"/>
      <c r="AJ328" s="1321"/>
      <c r="AK328" s="1321"/>
      <c r="AL328" s="1321"/>
      <c r="AM328" s="1321"/>
      <c r="AN328" s="1321"/>
      <c r="AO328" s="1321"/>
      <c r="AP328" s="1321"/>
      <c r="AQ328" s="1321"/>
      <c r="AR328" s="1321"/>
      <c r="AS328" s="1321"/>
      <c r="AT328" s="1321"/>
      <c r="AU328" s="1321"/>
      <c r="AV328" s="1321"/>
      <c r="AW328" s="1321"/>
      <c r="AX328" s="1321"/>
      <c r="AY328" s="1321"/>
      <c r="AZ328" s="1321"/>
      <c r="BA328" s="1321"/>
      <c r="BB328" s="1321"/>
      <c r="BC328" s="1321"/>
      <c r="BD328" s="1321"/>
      <c r="BE328" s="1321"/>
      <c r="BF328" s="1321"/>
      <c r="BG328" s="1321"/>
      <c r="BH328" s="1321"/>
      <c r="BI328" s="1321"/>
      <c r="BJ328" s="1321"/>
      <c r="BK328" s="1345"/>
      <c r="BL328" s="1345"/>
      <c r="BM328" s="1346"/>
      <c r="BN328" s="1321"/>
      <c r="BO328" s="1321"/>
      <c r="BP328" s="1321"/>
      <c r="BQ328" s="1321"/>
      <c r="BR328" s="1321"/>
      <c r="BS328" s="1321"/>
      <c r="BT328" s="1321"/>
      <c r="BU328" s="1321"/>
      <c r="BV328" s="1345"/>
      <c r="BW328" s="1345"/>
      <c r="BX328" s="1321"/>
      <c r="BY328" s="1321"/>
      <c r="BZ328" s="1321"/>
      <c r="CA328" s="1321"/>
      <c r="CB328" s="1321"/>
      <c r="CC328" s="1321"/>
      <c r="CD328" s="1345"/>
      <c r="CE328" s="1345"/>
      <c r="CF328" s="1345"/>
      <c r="CG328" s="1345"/>
      <c r="CH328" s="1345"/>
      <c r="CI328" s="1321"/>
      <c r="CJ328" s="1321"/>
      <c r="CK328" s="1321"/>
      <c r="CL328" s="1321"/>
      <c r="CM328" s="1321"/>
      <c r="CN328" s="1321"/>
      <c r="CO328" s="1321"/>
      <c r="CP328" s="1321"/>
      <c r="CQ328" s="1321"/>
      <c r="CR328" s="1321"/>
      <c r="CS328" s="1321"/>
      <c r="CT328" s="1321"/>
      <c r="CU328" s="1321"/>
      <c r="CV328" s="1321"/>
      <c r="CW328" s="1321"/>
      <c r="CX328" s="1321"/>
      <c r="CY328" s="1321"/>
      <c r="CZ328" s="1321"/>
      <c r="DA328" s="1321"/>
      <c r="DB328" s="1321"/>
      <c r="DC328" s="1321"/>
      <c r="DD328" s="1321"/>
      <c r="DE328" s="1321"/>
      <c r="DF328" s="1321"/>
      <c r="DG328" s="1321"/>
      <c r="DH328" s="1321"/>
      <c r="DI328" s="1321"/>
      <c r="DJ328" s="1321"/>
      <c r="DK328" s="1321"/>
      <c r="DL328" s="1321"/>
      <c r="DM328" s="1321"/>
      <c r="DN328" s="1075">
        <f t="shared" si="80"/>
        <v>0</v>
      </c>
      <c r="DO328" s="1269"/>
      <c r="DP328" s="1269"/>
      <c r="DQ328" s="1269"/>
      <c r="DR328" s="1321"/>
      <c r="DS328" s="1321"/>
      <c r="DT328" s="1346"/>
      <c r="DU328" s="1346"/>
      <c r="DV328" s="1321"/>
      <c r="DW328" s="1321"/>
      <c r="DX328" s="1321"/>
      <c r="DY328" s="1321"/>
      <c r="DZ328" s="1321"/>
      <c r="EA328" s="1321"/>
      <c r="EB328" s="1321"/>
      <c r="EC328" s="1321"/>
      <c r="ED328" s="1345"/>
      <c r="EE328" s="1345"/>
      <c r="EF328" s="1321"/>
      <c r="EG328" s="1321"/>
      <c r="EH328" s="1321"/>
      <c r="EI328" s="1321"/>
      <c r="EJ328" s="1321"/>
      <c r="EK328" s="1345"/>
      <c r="EL328" s="1345"/>
      <c r="EM328" s="1321"/>
      <c r="EN328" s="1321"/>
      <c r="EO328" s="1321"/>
      <c r="EP328" s="1321"/>
      <c r="EQ328" s="1321"/>
      <c r="ER328" s="1345"/>
      <c r="ES328" s="1345"/>
      <c r="ET328" s="1321"/>
      <c r="EU328" s="1321"/>
      <c r="EV328" s="1321"/>
      <c r="EW328" s="1321"/>
      <c r="EX328" s="1321"/>
      <c r="EY328" s="1321"/>
      <c r="EZ328" s="1345"/>
      <c r="FA328" s="1345"/>
      <c r="FB328" s="1345"/>
      <c r="FC328" s="1321"/>
      <c r="FD328" s="1321"/>
      <c r="FE328" s="1321"/>
      <c r="FF328" s="1321"/>
      <c r="FG328" s="1321"/>
      <c r="FH328" s="1321"/>
      <c r="FI328" s="1345"/>
      <c r="FJ328" s="1345"/>
      <c r="FK328" s="1345"/>
      <c r="FL328" s="1345"/>
      <c r="FM328" s="1321"/>
      <c r="FN328" s="1321"/>
      <c r="FO328" s="1321"/>
      <c r="FP328" s="1321"/>
      <c r="FQ328" s="1321"/>
      <c r="FR328" s="1321"/>
      <c r="FS328" s="1345"/>
      <c r="FT328" s="1345"/>
      <c r="FU328" s="1345"/>
      <c r="FV328" s="1345"/>
      <c r="FW328" s="1321"/>
      <c r="FX328" s="1321"/>
      <c r="FY328" s="1321"/>
      <c r="FZ328" s="1321"/>
      <c r="GA328" s="1345"/>
      <c r="GB328" s="1321"/>
      <c r="GC328" s="1321"/>
      <c r="GD328" s="1321"/>
      <c r="GE328" s="1321"/>
      <c r="GF328" s="1321"/>
      <c r="GG328" s="1321" t="s">
        <v>1349</v>
      </c>
      <c r="GH328" s="1321" t="s">
        <v>1349</v>
      </c>
      <c r="GI328" s="1321" t="s">
        <v>1349</v>
      </c>
      <c r="GJ328" s="1321" t="s">
        <v>1349</v>
      </c>
      <c r="GK328" s="1321" t="s">
        <v>1349</v>
      </c>
      <c r="GL328" s="1321" t="s">
        <v>1349</v>
      </c>
      <c r="GM328" s="1321" t="s">
        <v>1349</v>
      </c>
      <c r="GN328" s="1321" t="s">
        <v>1349</v>
      </c>
      <c r="GO328" s="1321" t="s">
        <v>1349</v>
      </c>
      <c r="GP328" s="1321" t="s">
        <v>1349</v>
      </c>
      <c r="GQ328" s="1321" t="s">
        <v>1349</v>
      </c>
      <c r="GR328" s="1321" t="s">
        <v>1349</v>
      </c>
      <c r="GS328" s="1321" t="s">
        <v>1349</v>
      </c>
      <c r="GT328" s="1321" t="s">
        <v>1349</v>
      </c>
      <c r="GU328" s="1321" t="s">
        <v>1349</v>
      </c>
      <c r="GV328" s="1321" t="s">
        <v>1349</v>
      </c>
      <c r="GW328" s="1321"/>
      <c r="GX328" s="1321"/>
      <c r="GY328" s="1321"/>
      <c r="GZ328" s="1321"/>
      <c r="HA328" s="1321"/>
      <c r="HB328" s="1321"/>
      <c r="HC328" s="1321"/>
      <c r="HD328" s="1321"/>
      <c r="HE328" s="1321"/>
      <c r="HF328" s="1321"/>
      <c r="HG328" s="1321"/>
      <c r="HH328" s="1321"/>
      <c r="HI328" s="1321"/>
      <c r="HJ328" s="1321"/>
      <c r="HK328" s="1321"/>
      <c r="HL328" s="1321"/>
      <c r="HM328" s="1321"/>
      <c r="HN328" s="1321"/>
      <c r="HO328" s="1321"/>
      <c r="HP328" s="1321"/>
      <c r="HQ328" s="1321"/>
      <c r="HR328" s="1321"/>
      <c r="HS328" s="1321"/>
      <c r="HT328" s="1321"/>
      <c r="HU328" s="1321"/>
      <c r="HV328" s="1321"/>
      <c r="HW328" s="1321"/>
      <c r="HX328" s="1321"/>
      <c r="HY328" s="1321"/>
      <c r="HZ328" s="1321"/>
      <c r="IA328" s="1321"/>
      <c r="IB328" s="1321"/>
      <c r="IC328" s="1321"/>
      <c r="ID328" s="1321"/>
      <c r="IE328" s="1321"/>
      <c r="IF328" s="1321"/>
      <c r="IG328" s="1321"/>
      <c r="IH328" s="1321"/>
      <c r="II328" s="1321"/>
      <c r="IJ328" s="1321"/>
      <c r="IK328" s="1321"/>
      <c r="IL328" s="1321"/>
      <c r="IM328" s="1321"/>
      <c r="IN328" s="1368"/>
    </row>
    <row r="329" spans="1:248" ht="12.75" customHeight="1" x14ac:dyDescent="0.2">
      <c r="A329" s="1319"/>
      <c r="B329" s="1321"/>
      <c r="C329" s="1321"/>
      <c r="D329" s="1321"/>
      <c r="E329" s="1321"/>
      <c r="F329" s="1321"/>
      <c r="G329" s="1321"/>
      <c r="H329" s="1321"/>
      <c r="I329" s="1321"/>
      <c r="J329" s="1321"/>
      <c r="K329" s="1321"/>
      <c r="L329" s="1321"/>
      <c r="M329" s="1321"/>
      <c r="N329" s="1321"/>
      <c r="O329" s="1321"/>
      <c r="P329" s="1321"/>
      <c r="Q329" s="1321"/>
      <c r="R329" s="1321"/>
      <c r="S329" s="1321"/>
      <c r="T329" s="1321"/>
      <c r="U329" s="1321"/>
      <c r="V329" s="1321"/>
      <c r="W329" s="1321"/>
      <c r="X329" s="1321"/>
      <c r="Y329" s="1321"/>
      <c r="Z329" s="1321"/>
      <c r="AA329" s="1321"/>
      <c r="AB329" s="1321"/>
      <c r="AC329" s="1321"/>
      <c r="AD329" s="1321"/>
      <c r="AE329" s="1321"/>
      <c r="AF329" s="1321"/>
      <c r="AG329" s="1321"/>
      <c r="AH329" s="1321"/>
      <c r="AI329" s="1321"/>
      <c r="AJ329" s="1321"/>
      <c r="AK329" s="1321"/>
      <c r="AL329" s="1321"/>
      <c r="AM329" s="1321"/>
      <c r="AN329" s="1321"/>
      <c r="AO329" s="1321"/>
      <c r="AP329" s="1321"/>
      <c r="AQ329" s="1321"/>
      <c r="AR329" s="1321"/>
      <c r="AS329" s="1321"/>
      <c r="AT329" s="1321"/>
      <c r="AU329" s="1321"/>
      <c r="AV329" s="1321"/>
      <c r="AW329" s="1321"/>
      <c r="AX329" s="1321"/>
      <c r="AY329" s="1321"/>
      <c r="AZ329" s="1321"/>
      <c r="BA329" s="1321"/>
      <c r="BB329" s="1321"/>
      <c r="BC329" s="1321"/>
      <c r="BD329" s="1321"/>
      <c r="BE329" s="1321"/>
      <c r="BF329" s="1321"/>
      <c r="BG329" s="1321"/>
      <c r="BH329" s="1321"/>
      <c r="BI329" s="1321"/>
      <c r="BJ329" s="1321"/>
      <c r="BK329" s="1345"/>
      <c r="BL329" s="1345"/>
      <c r="BM329" s="1346"/>
      <c r="BN329" s="1321"/>
      <c r="BO329" s="1321"/>
      <c r="BP329" s="1321"/>
      <c r="BQ329" s="1321"/>
      <c r="BR329" s="1321"/>
      <c r="BS329" s="1321"/>
      <c r="BT329" s="1321"/>
      <c r="BU329" s="1321"/>
      <c r="BV329" s="1345"/>
      <c r="BW329" s="1345"/>
      <c r="BX329" s="1321"/>
      <c r="BY329" s="1321"/>
      <c r="BZ329" s="1321"/>
      <c r="CA329" s="1321"/>
      <c r="CB329" s="1321"/>
      <c r="CC329" s="1321"/>
      <c r="CD329" s="1345"/>
      <c r="CE329" s="1345"/>
      <c r="CF329" s="1345"/>
      <c r="CG329" s="1345"/>
      <c r="CH329" s="1345"/>
      <c r="CI329" s="1321"/>
      <c r="CJ329" s="1321"/>
      <c r="CK329" s="1321"/>
      <c r="CL329" s="1321"/>
      <c r="CM329" s="1321"/>
      <c r="CN329" s="1321"/>
      <c r="CO329" s="1321"/>
      <c r="CP329" s="1321"/>
      <c r="CQ329" s="1321"/>
      <c r="CR329" s="1321"/>
      <c r="CS329" s="1321"/>
      <c r="CT329" s="1321"/>
      <c r="CU329" s="1321"/>
      <c r="CV329" s="1321"/>
      <c r="CW329" s="1321"/>
      <c r="CX329" s="1321"/>
      <c r="CY329" s="1321"/>
      <c r="CZ329" s="1321"/>
      <c r="DA329" s="1321"/>
      <c r="DB329" s="1321"/>
      <c r="DC329" s="1321"/>
      <c r="DD329" s="1321"/>
      <c r="DE329" s="1321"/>
      <c r="DF329" s="1321"/>
      <c r="DG329" s="1321"/>
      <c r="DH329" s="1321"/>
      <c r="DI329" s="1321"/>
      <c r="DJ329" s="1321"/>
      <c r="DK329" s="1321"/>
      <c r="DL329" s="1321"/>
      <c r="DM329" s="1321"/>
      <c r="DN329" s="1076">
        <f t="shared" si="80"/>
        <v>0</v>
      </c>
      <c r="DO329" s="1267"/>
      <c r="DP329" s="1267"/>
      <c r="DQ329" s="1267"/>
      <c r="DR329" s="1321"/>
      <c r="DS329" s="1321"/>
      <c r="DT329" s="1346"/>
      <c r="DU329" s="1346"/>
      <c r="DV329" s="1321"/>
      <c r="DW329" s="1321"/>
      <c r="DX329" s="1321"/>
      <c r="DY329" s="1321"/>
      <c r="DZ329" s="1321"/>
      <c r="EA329" s="1321"/>
      <c r="EB329" s="1321"/>
      <c r="EC329" s="1321"/>
      <c r="ED329" s="1345"/>
      <c r="EE329" s="1345"/>
      <c r="EF329" s="1321"/>
      <c r="EG329" s="1321"/>
      <c r="EH329" s="1321"/>
      <c r="EI329" s="1321"/>
      <c r="EJ329" s="1321"/>
      <c r="EK329" s="1345"/>
      <c r="EL329" s="1345"/>
      <c r="EM329" s="1321"/>
      <c r="EN329" s="1321"/>
      <c r="EO329" s="1321"/>
      <c r="EP329" s="1321"/>
      <c r="EQ329" s="1321"/>
      <c r="ER329" s="1345"/>
      <c r="ES329" s="1345"/>
      <c r="ET329" s="1321"/>
      <c r="EU329" s="1321"/>
      <c r="EV329" s="1321"/>
      <c r="EW329" s="1321"/>
      <c r="EX329" s="1321"/>
      <c r="EY329" s="1321"/>
      <c r="EZ329" s="1345"/>
      <c r="FA329" s="1345"/>
      <c r="FB329" s="1345"/>
      <c r="FC329" s="1321"/>
      <c r="FD329" s="1321"/>
      <c r="FE329" s="1321"/>
      <c r="FF329" s="1321"/>
      <c r="FG329" s="1321"/>
      <c r="FH329" s="1321"/>
      <c r="FI329" s="1345"/>
      <c r="FJ329" s="1345"/>
      <c r="FK329" s="1345"/>
      <c r="FL329" s="1345"/>
      <c r="FM329" s="1321"/>
      <c r="FN329" s="1321"/>
      <c r="FO329" s="1321"/>
      <c r="FP329" s="1321"/>
      <c r="FQ329" s="1321"/>
      <c r="FR329" s="1321"/>
      <c r="FS329" s="1345"/>
      <c r="FT329" s="1345"/>
      <c r="FU329" s="1345"/>
      <c r="FV329" s="1345"/>
      <c r="FW329" s="1321"/>
      <c r="FX329" s="1321"/>
      <c r="FY329" s="1321"/>
      <c r="FZ329" s="1321"/>
      <c r="GA329" s="1345"/>
      <c r="GB329" s="1321"/>
      <c r="GC329" s="1321"/>
      <c r="GD329" s="1321"/>
      <c r="GE329" s="1321"/>
      <c r="GF329" s="1321"/>
      <c r="GG329" s="1321" t="s">
        <v>1349</v>
      </c>
      <c r="GH329" s="1321" t="s">
        <v>1349</v>
      </c>
      <c r="GI329" s="1321" t="s">
        <v>1349</v>
      </c>
      <c r="GJ329" s="1321" t="s">
        <v>1349</v>
      </c>
      <c r="GK329" s="1321" t="s">
        <v>1349</v>
      </c>
      <c r="GL329" s="1321" t="s">
        <v>1349</v>
      </c>
      <c r="GM329" s="1321" t="s">
        <v>1349</v>
      </c>
      <c r="GN329" s="1321" t="s">
        <v>1349</v>
      </c>
      <c r="GO329" s="1321" t="s">
        <v>1349</v>
      </c>
      <c r="GP329" s="1321" t="s">
        <v>1349</v>
      </c>
      <c r="GQ329" s="1321" t="s">
        <v>1349</v>
      </c>
      <c r="GR329" s="1321" t="s">
        <v>1349</v>
      </c>
      <c r="GS329" s="1321" t="s">
        <v>1349</v>
      </c>
      <c r="GT329" s="1321" t="s">
        <v>1349</v>
      </c>
      <c r="GU329" s="1321" t="s">
        <v>1349</v>
      </c>
      <c r="GV329" s="1321" t="s">
        <v>1349</v>
      </c>
      <c r="GW329" s="1321"/>
      <c r="GX329" s="1321"/>
      <c r="GY329" s="1321"/>
      <c r="GZ329" s="1321"/>
      <c r="HA329" s="1321"/>
      <c r="HB329" s="1321"/>
      <c r="HC329" s="1321"/>
      <c r="HD329" s="1321"/>
      <c r="HE329" s="1321"/>
      <c r="HF329" s="1321"/>
      <c r="HG329" s="1321"/>
      <c r="HH329" s="1321"/>
      <c r="HI329" s="1321"/>
      <c r="HJ329" s="1321"/>
      <c r="HK329" s="1321"/>
      <c r="HL329" s="1321"/>
      <c r="HM329" s="1321"/>
      <c r="HN329" s="1321"/>
      <c r="HO329" s="1321"/>
      <c r="HP329" s="1321"/>
      <c r="HQ329" s="1321"/>
      <c r="HR329" s="1321"/>
      <c r="HS329" s="1321"/>
      <c r="HT329" s="1321"/>
      <c r="HU329" s="1321"/>
      <c r="HV329" s="1321"/>
      <c r="HW329" s="1321"/>
      <c r="HX329" s="1321"/>
      <c r="HY329" s="1321"/>
      <c r="HZ329" s="1321"/>
      <c r="IA329" s="1321"/>
      <c r="IB329" s="1321"/>
      <c r="IC329" s="1321"/>
      <c r="ID329" s="1321"/>
      <c r="IE329" s="1321"/>
      <c r="IF329" s="1321"/>
      <c r="IG329" s="1321"/>
      <c r="IH329" s="1321"/>
      <c r="II329" s="1321"/>
      <c r="IJ329" s="1321"/>
      <c r="IK329" s="1321"/>
      <c r="IL329" s="1321"/>
      <c r="IM329" s="1321"/>
      <c r="IN329" s="1368"/>
    </row>
    <row r="330" spans="1:248" ht="12.75" customHeight="1" x14ac:dyDescent="0.2">
      <c r="A330" s="1319"/>
      <c r="B330" s="1321"/>
      <c r="C330" s="1321"/>
      <c r="D330" s="1321"/>
      <c r="E330" s="1321"/>
      <c r="F330" s="1321"/>
      <c r="G330" s="1321"/>
      <c r="H330" s="1321"/>
      <c r="I330" s="1321"/>
      <c r="J330" s="1321"/>
      <c r="K330" s="1321"/>
      <c r="L330" s="1321"/>
      <c r="M330" s="1321"/>
      <c r="N330" s="1321"/>
      <c r="O330" s="1321"/>
      <c r="P330" s="1321"/>
      <c r="Q330" s="1321"/>
      <c r="R330" s="1321"/>
      <c r="S330" s="1321"/>
      <c r="T330" s="1321"/>
      <c r="U330" s="1321"/>
      <c r="V330" s="1321"/>
      <c r="W330" s="1321"/>
      <c r="X330" s="1321"/>
      <c r="Y330" s="1321"/>
      <c r="Z330" s="1321"/>
      <c r="AA330" s="1321"/>
      <c r="AB330" s="1321"/>
      <c r="AC330" s="1321"/>
      <c r="AD330" s="1321"/>
      <c r="AE330" s="1321"/>
      <c r="AF330" s="1321"/>
      <c r="AG330" s="1321"/>
      <c r="AH330" s="1321"/>
      <c r="AI330" s="1321"/>
      <c r="AJ330" s="1321"/>
      <c r="AK330" s="1321"/>
      <c r="AL330" s="1321"/>
      <c r="AM330" s="1321"/>
      <c r="AN330" s="1321"/>
      <c r="AO330" s="1321"/>
      <c r="AP330" s="1321"/>
      <c r="AQ330" s="1321"/>
      <c r="AR330" s="1321"/>
      <c r="AS330" s="1321"/>
      <c r="AT330" s="1321"/>
      <c r="AU330" s="1321"/>
      <c r="AV330" s="1321"/>
      <c r="AW330" s="1321"/>
      <c r="AX330" s="1321"/>
      <c r="AY330" s="1321"/>
      <c r="AZ330" s="1321"/>
      <c r="BA330" s="1321"/>
      <c r="BB330" s="1339" t="s">
        <v>1478</v>
      </c>
      <c r="BC330" s="1340"/>
      <c r="BD330" s="1336"/>
      <c r="BE330" s="1321"/>
      <c r="BF330" s="1321"/>
      <c r="BG330" s="1339" t="s">
        <v>1479</v>
      </c>
      <c r="BH330" s="1340"/>
      <c r="BI330" s="1321"/>
      <c r="BJ330" s="1321"/>
      <c r="BK330" s="1345"/>
      <c r="BL330" s="1345"/>
      <c r="BM330" s="1346"/>
      <c r="BN330" s="1321"/>
      <c r="BO330" s="1321"/>
      <c r="BP330" s="1321"/>
      <c r="BQ330" s="1321"/>
      <c r="BR330" s="1321"/>
      <c r="BS330" s="1321"/>
      <c r="BT330" s="1321"/>
      <c r="BU330" s="1321"/>
      <c r="BV330" s="1345"/>
      <c r="BW330" s="1345"/>
      <c r="BX330" s="1321"/>
      <c r="BY330" s="1321"/>
      <c r="BZ330" s="1321"/>
      <c r="CA330" s="1321"/>
      <c r="CB330" s="1321"/>
      <c r="CC330" s="1321"/>
      <c r="CD330" s="1345"/>
      <c r="CE330" s="1345"/>
      <c r="CF330" s="1345"/>
      <c r="CG330" s="1345"/>
      <c r="CH330" s="1345"/>
      <c r="CI330" s="1321"/>
      <c r="CJ330" s="1321"/>
      <c r="CK330" s="1321"/>
      <c r="CL330" s="1321"/>
      <c r="CM330" s="1321"/>
      <c r="CN330" s="1321"/>
      <c r="CO330" s="1321"/>
      <c r="CP330" s="1321"/>
      <c r="CQ330" s="1321"/>
      <c r="CR330" s="1321"/>
      <c r="CS330" s="1321"/>
      <c r="CT330" s="1321"/>
      <c r="CU330" s="1321"/>
      <c r="CV330" s="1321"/>
      <c r="CW330" s="1321"/>
      <c r="CX330" s="1321"/>
      <c r="CY330" s="1321"/>
      <c r="CZ330" s="1321"/>
      <c r="DA330" s="1321"/>
      <c r="DB330" s="1321"/>
      <c r="DC330" s="1321"/>
      <c r="DD330" s="1321"/>
      <c r="DE330" s="1321"/>
      <c r="DF330" s="1321"/>
      <c r="DG330" s="1321"/>
      <c r="DH330" s="1321"/>
      <c r="DI330" s="1321"/>
      <c r="DJ330" s="1321"/>
      <c r="DK330" s="1321"/>
      <c r="DL330" s="1321"/>
      <c r="DM330" s="1321"/>
      <c r="DN330" s="1075">
        <f t="shared" si="80"/>
        <v>0</v>
      </c>
      <c r="DO330" s="1269"/>
      <c r="DP330" s="1269"/>
      <c r="DQ330" s="1269"/>
      <c r="DR330" s="1321"/>
      <c r="DS330" s="1321"/>
      <c r="DT330" s="1346"/>
      <c r="DU330" s="1346"/>
      <c r="DV330" s="1321"/>
      <c r="DW330" s="1321"/>
      <c r="DX330" s="1321"/>
      <c r="DY330" s="1321"/>
      <c r="DZ330" s="1321"/>
      <c r="EA330" s="1321"/>
      <c r="EB330" s="1321"/>
      <c r="EC330" s="1321"/>
      <c r="ED330" s="1345"/>
      <c r="EE330" s="1345"/>
      <c r="EF330" s="1321"/>
      <c r="EG330" s="1321"/>
      <c r="EH330" s="1321"/>
      <c r="EI330" s="1321"/>
      <c r="EJ330" s="1321"/>
      <c r="EK330" s="1345"/>
      <c r="EL330" s="1345"/>
      <c r="EM330" s="1321"/>
      <c r="EN330" s="1321"/>
      <c r="EO330" s="1321"/>
      <c r="EP330" s="1321"/>
      <c r="EQ330" s="1321"/>
      <c r="ER330" s="1345"/>
      <c r="ES330" s="1345"/>
      <c r="ET330" s="1321"/>
      <c r="EU330" s="1321"/>
      <c r="EV330" s="1321"/>
      <c r="EW330" s="1321"/>
      <c r="EX330" s="1321"/>
      <c r="EY330" s="1321"/>
      <c r="EZ330" s="1345"/>
      <c r="FA330" s="1345"/>
      <c r="FB330" s="1345"/>
      <c r="FC330" s="1321"/>
      <c r="FD330" s="1321"/>
      <c r="FE330" s="1321"/>
      <c r="FF330" s="1321"/>
      <c r="FG330" s="1321"/>
      <c r="FH330" s="1321"/>
      <c r="FI330" s="1345"/>
      <c r="FJ330" s="1345"/>
      <c r="FK330" s="1345"/>
      <c r="FL330" s="1345"/>
      <c r="FM330" s="1321"/>
      <c r="FN330" s="1321"/>
      <c r="FO330" s="1321"/>
      <c r="FP330" s="1321"/>
      <c r="FQ330" s="1321"/>
      <c r="FR330" s="1321"/>
      <c r="FS330" s="1345"/>
      <c r="FT330" s="1345"/>
      <c r="FU330" s="1345"/>
      <c r="FV330" s="1345"/>
      <c r="FW330" s="1321"/>
      <c r="FX330" s="1321"/>
      <c r="FY330" s="1321"/>
      <c r="FZ330" s="1321"/>
      <c r="GA330" s="1345"/>
      <c r="GB330" s="1321"/>
      <c r="GC330" s="1321"/>
      <c r="GD330" s="1321"/>
      <c r="GE330" s="1321"/>
      <c r="GF330" s="1321"/>
      <c r="GG330" s="1321" t="s">
        <v>1349</v>
      </c>
      <c r="GH330" s="1321" t="s">
        <v>1349</v>
      </c>
      <c r="GI330" s="1321" t="s">
        <v>1349</v>
      </c>
      <c r="GJ330" s="1321" t="s">
        <v>1349</v>
      </c>
      <c r="GK330" s="1321" t="s">
        <v>1349</v>
      </c>
      <c r="GL330" s="1321" t="s">
        <v>1349</v>
      </c>
      <c r="GM330" s="1321" t="s">
        <v>1349</v>
      </c>
      <c r="GN330" s="1321" t="s">
        <v>1349</v>
      </c>
      <c r="GO330" s="1321" t="s">
        <v>1349</v>
      </c>
      <c r="GP330" s="1321" t="s">
        <v>1349</v>
      </c>
      <c r="GQ330" s="1321" t="s">
        <v>1349</v>
      </c>
      <c r="GR330" s="1321" t="s">
        <v>1349</v>
      </c>
      <c r="GS330" s="1321" t="s">
        <v>1349</v>
      </c>
      <c r="GT330" s="1321" t="s">
        <v>1349</v>
      </c>
      <c r="GU330" s="1321" t="s">
        <v>1349</v>
      </c>
      <c r="GV330" s="1321" t="s">
        <v>1349</v>
      </c>
      <c r="GW330" s="1321"/>
      <c r="GX330" s="1321"/>
      <c r="GY330" s="1321"/>
      <c r="GZ330" s="1321"/>
      <c r="HA330" s="1321"/>
      <c r="HB330" s="1321"/>
      <c r="HC330" s="1321"/>
      <c r="HD330" s="1321"/>
      <c r="HE330" s="1321"/>
      <c r="HF330" s="1321"/>
      <c r="HG330" s="1321"/>
      <c r="HH330" s="1321"/>
      <c r="HI330" s="1321"/>
      <c r="HJ330" s="1321"/>
      <c r="HK330" s="1321"/>
      <c r="HL330" s="1321"/>
      <c r="HM330" s="1321"/>
      <c r="HN330" s="1321"/>
      <c r="HO330" s="1321"/>
      <c r="HP330" s="1321"/>
      <c r="HQ330" s="1321"/>
      <c r="HR330" s="1321"/>
      <c r="HS330" s="1321"/>
      <c r="HT330" s="1321"/>
      <c r="HU330" s="1321"/>
      <c r="HV330" s="1321"/>
      <c r="HW330" s="1321"/>
      <c r="HX330" s="1321"/>
      <c r="HY330" s="1321"/>
      <c r="HZ330" s="1321"/>
      <c r="IA330" s="1321"/>
      <c r="IB330" s="1321"/>
      <c r="IC330" s="1321"/>
      <c r="ID330" s="1321"/>
      <c r="IE330" s="1321"/>
      <c r="IF330" s="1321"/>
      <c r="IG330" s="1321"/>
      <c r="IH330" s="1321"/>
      <c r="II330" s="1321"/>
      <c r="IJ330" s="1321"/>
      <c r="IK330" s="1321"/>
      <c r="IL330" s="1321"/>
      <c r="IM330" s="1321"/>
      <c r="IN330" s="1368"/>
    </row>
    <row r="331" spans="1:248" ht="12.75" customHeight="1" x14ac:dyDescent="0.2">
      <c r="A331" s="1319"/>
      <c r="B331" s="1321"/>
      <c r="C331" s="1321"/>
      <c r="D331" s="1321"/>
      <c r="E331" s="1321"/>
      <c r="F331" s="1321"/>
      <c r="G331" s="1321"/>
      <c r="H331" s="1321"/>
      <c r="I331" s="1321"/>
      <c r="J331" s="1321"/>
      <c r="K331" s="1321"/>
      <c r="L331" s="1321"/>
      <c r="M331" s="1321"/>
      <c r="N331" s="1321"/>
      <c r="O331" s="1321"/>
      <c r="P331" s="1321"/>
      <c r="Q331" s="1321"/>
      <c r="R331" s="1321"/>
      <c r="S331" s="1321"/>
      <c r="T331" s="1321"/>
      <c r="U331" s="1321"/>
      <c r="V331" s="1321"/>
      <c r="W331" s="1321"/>
      <c r="X331" s="1321"/>
      <c r="Y331" s="1321"/>
      <c r="Z331" s="1321"/>
      <c r="AA331" s="1321"/>
      <c r="AB331" s="1321"/>
      <c r="AC331" s="1321"/>
      <c r="AD331" s="1321"/>
      <c r="AE331" s="1321"/>
      <c r="AF331" s="1321"/>
      <c r="AG331" s="1321"/>
      <c r="AH331" s="1321"/>
      <c r="AI331" s="1321"/>
      <c r="AJ331" s="1321"/>
      <c r="AK331" s="1321"/>
      <c r="AL331" s="1321"/>
      <c r="AM331" s="1321"/>
      <c r="AN331" s="1321"/>
      <c r="AO331" s="1321"/>
      <c r="AP331" s="1321"/>
      <c r="AQ331" s="1321"/>
      <c r="AR331" s="1321"/>
      <c r="AS331" s="1321"/>
      <c r="AT331" s="1321"/>
      <c r="AU331" s="1321"/>
      <c r="AV331" s="1321"/>
      <c r="AW331" s="1321"/>
      <c r="AX331" s="1321"/>
      <c r="AY331" s="1321"/>
      <c r="AZ331" s="1321"/>
      <c r="BA331" s="1321"/>
      <c r="BB331" s="795" t="s">
        <v>1366</v>
      </c>
      <c r="BC331" s="801" t="s">
        <v>1370</v>
      </c>
      <c r="BD331" s="791" t="s">
        <v>1371</v>
      </c>
      <c r="BE331" s="1321"/>
      <c r="BF331" s="1321"/>
      <c r="BG331" s="795" t="s">
        <v>1366</v>
      </c>
      <c r="BH331" s="796" t="s">
        <v>1367</v>
      </c>
      <c r="BI331" s="1321"/>
      <c r="BJ331" s="1321"/>
      <c r="BK331" s="1345"/>
      <c r="BL331" s="1345"/>
      <c r="BM331" s="1346"/>
      <c r="BN331" s="1321"/>
      <c r="BO331" s="1321"/>
      <c r="BP331" s="1321"/>
      <c r="BQ331" s="1321"/>
      <c r="BR331" s="1321"/>
      <c r="BS331" s="1321"/>
      <c r="BT331" s="1321"/>
      <c r="BU331" s="1321"/>
      <c r="BV331" s="1345"/>
      <c r="BW331" s="1345"/>
      <c r="BX331" s="1321"/>
      <c r="BY331" s="1321"/>
      <c r="BZ331" s="1321"/>
      <c r="CA331" s="1321"/>
      <c r="CB331" s="1321"/>
      <c r="CC331" s="1321"/>
      <c r="CD331" s="1345"/>
      <c r="CE331" s="1345"/>
      <c r="CF331" s="1345"/>
      <c r="CG331" s="1345"/>
      <c r="CH331" s="1345"/>
      <c r="CI331" s="1321"/>
      <c r="CJ331" s="1321"/>
      <c r="CK331" s="1321"/>
      <c r="CL331" s="1321"/>
      <c r="CM331" s="1321"/>
      <c r="CN331" s="1321"/>
      <c r="CO331" s="1321"/>
      <c r="CP331" s="1321"/>
      <c r="CQ331" s="1321"/>
      <c r="CR331" s="1321"/>
      <c r="CS331" s="1321"/>
      <c r="CT331" s="1321"/>
      <c r="CU331" s="1321"/>
      <c r="CV331" s="1321"/>
      <c r="CW331" s="1321"/>
      <c r="CX331" s="1321"/>
      <c r="CY331" s="1321"/>
      <c r="CZ331" s="1321"/>
      <c r="DA331" s="1321"/>
      <c r="DB331" s="1321"/>
      <c r="DC331" s="1321"/>
      <c r="DD331" s="1321"/>
      <c r="DE331" s="1321"/>
      <c r="DF331" s="1321"/>
      <c r="DG331" s="1321"/>
      <c r="DH331" s="1321"/>
      <c r="DI331" s="1321"/>
      <c r="DJ331" s="1321"/>
      <c r="DK331" s="1321"/>
      <c r="DL331" s="1321"/>
      <c r="DM331" s="1321"/>
      <c r="DN331" s="1076">
        <f t="shared" si="80"/>
        <v>0</v>
      </c>
      <c r="DO331" s="1267"/>
      <c r="DP331" s="1267"/>
      <c r="DQ331" s="1267"/>
      <c r="DR331" s="1321"/>
      <c r="DS331" s="1321"/>
      <c r="DT331" s="1346"/>
      <c r="DU331" s="1346"/>
      <c r="DV331" s="1321"/>
      <c r="DW331" s="1321"/>
      <c r="DX331" s="1321"/>
      <c r="DY331" s="1321"/>
      <c r="DZ331" s="1321"/>
      <c r="EA331" s="1321"/>
      <c r="EB331" s="1321"/>
      <c r="EC331" s="1321"/>
      <c r="ED331" s="1345"/>
      <c r="EE331" s="1345"/>
      <c r="EF331" s="1321"/>
      <c r="EG331" s="1321"/>
      <c r="EH331" s="1321"/>
      <c r="EI331" s="1321"/>
      <c r="EJ331" s="1321"/>
      <c r="EK331" s="1345"/>
      <c r="EL331" s="1345"/>
      <c r="EM331" s="1321"/>
      <c r="EN331" s="1321"/>
      <c r="EO331" s="1321"/>
      <c r="EP331" s="1321"/>
      <c r="EQ331" s="1321"/>
      <c r="ER331" s="1345"/>
      <c r="ES331" s="1345"/>
      <c r="ET331" s="1321"/>
      <c r="EU331" s="1321"/>
      <c r="EV331" s="1321"/>
      <c r="EW331" s="1321"/>
      <c r="EX331" s="1321"/>
      <c r="EY331" s="1321"/>
      <c r="EZ331" s="1345"/>
      <c r="FA331" s="1345"/>
      <c r="FB331" s="1345"/>
      <c r="FC331" s="1321"/>
      <c r="FD331" s="1321"/>
      <c r="FE331" s="1321"/>
      <c r="FF331" s="1321"/>
      <c r="FG331" s="1321"/>
      <c r="FH331" s="1321"/>
      <c r="FI331" s="1345"/>
      <c r="FJ331" s="1345"/>
      <c r="FK331" s="1345"/>
      <c r="FL331" s="1345"/>
      <c r="FM331" s="1321"/>
      <c r="FN331" s="1321"/>
      <c r="FO331" s="1321"/>
      <c r="FP331" s="1321"/>
      <c r="FQ331" s="1321"/>
      <c r="FR331" s="1321"/>
      <c r="FS331" s="1345"/>
      <c r="FT331" s="1345"/>
      <c r="FU331" s="1345"/>
      <c r="FV331" s="1345"/>
      <c r="FW331" s="1321"/>
      <c r="FX331" s="1321"/>
      <c r="FY331" s="1321"/>
      <c r="FZ331" s="1321"/>
      <c r="GA331" s="1345"/>
      <c r="GB331" s="1321"/>
      <c r="GC331" s="1321"/>
      <c r="GD331" s="1321"/>
      <c r="GE331" s="1321"/>
      <c r="GF331" s="1321"/>
      <c r="GG331" s="1321" t="s">
        <v>1349</v>
      </c>
      <c r="GH331" s="1321" t="s">
        <v>1349</v>
      </c>
      <c r="GI331" s="1321" t="s">
        <v>1349</v>
      </c>
      <c r="GJ331" s="1321" t="s">
        <v>1349</v>
      </c>
      <c r="GK331" s="1321" t="s">
        <v>1349</v>
      </c>
      <c r="GL331" s="1321" t="s">
        <v>1349</v>
      </c>
      <c r="GM331" s="1321" t="s">
        <v>1349</v>
      </c>
      <c r="GN331" s="1321" t="s">
        <v>1349</v>
      </c>
      <c r="GO331" s="1321" t="s">
        <v>1349</v>
      </c>
      <c r="GP331" s="1321" t="s">
        <v>1349</v>
      </c>
      <c r="GQ331" s="1321" t="s">
        <v>1349</v>
      </c>
      <c r="GR331" s="1321" t="s">
        <v>1349</v>
      </c>
      <c r="GS331" s="1321" t="s">
        <v>1349</v>
      </c>
      <c r="GT331" s="1321" t="s">
        <v>1349</v>
      </c>
      <c r="GU331" s="1321" t="s">
        <v>1349</v>
      </c>
      <c r="GV331" s="1321" t="s">
        <v>1349</v>
      </c>
      <c r="GW331" s="1321"/>
      <c r="GX331" s="1321"/>
      <c r="GY331" s="1321"/>
      <c r="GZ331" s="1321"/>
      <c r="HA331" s="1321"/>
      <c r="HB331" s="1321"/>
      <c r="HC331" s="1321"/>
      <c r="HD331" s="1321"/>
      <c r="HE331" s="1321"/>
      <c r="HF331" s="1321"/>
      <c r="HG331" s="1321"/>
      <c r="HH331" s="1321"/>
      <c r="HI331" s="1321"/>
      <c r="HJ331" s="1321"/>
      <c r="HK331" s="1321"/>
      <c r="HL331" s="1321"/>
      <c r="HM331" s="1321"/>
      <c r="HN331" s="1321"/>
      <c r="HO331" s="1321"/>
      <c r="HP331" s="1321"/>
      <c r="HQ331" s="1321"/>
      <c r="HR331" s="1321"/>
      <c r="HS331" s="1321"/>
      <c r="HT331" s="1321"/>
      <c r="HU331" s="1321"/>
      <c r="HV331" s="1321"/>
      <c r="HW331" s="1321"/>
      <c r="HX331" s="1321"/>
      <c r="HY331" s="1321"/>
      <c r="HZ331" s="1321"/>
      <c r="IA331" s="1321"/>
      <c r="IB331" s="1321"/>
      <c r="IC331" s="1321"/>
      <c r="ID331" s="1321"/>
      <c r="IE331" s="1321"/>
      <c r="IF331" s="1321"/>
      <c r="IG331" s="1321"/>
      <c r="IH331" s="1321"/>
      <c r="II331" s="1321"/>
      <c r="IJ331" s="1321"/>
      <c r="IK331" s="1321"/>
      <c r="IL331" s="1321"/>
      <c r="IM331" s="1321"/>
      <c r="IN331" s="1368"/>
    </row>
    <row r="332" spans="1:248" ht="12.75" customHeight="1" x14ac:dyDescent="0.2">
      <c r="A332" s="1319"/>
      <c r="B332" s="1321"/>
      <c r="C332" s="1321"/>
      <c r="D332" s="1321"/>
      <c r="E332" s="1321"/>
      <c r="F332" s="1321"/>
      <c r="G332" s="1321"/>
      <c r="H332" s="1321"/>
      <c r="I332" s="1321"/>
      <c r="J332" s="1321"/>
      <c r="K332" s="1321"/>
      <c r="L332" s="1321"/>
      <c r="M332" s="1321"/>
      <c r="N332" s="1321"/>
      <c r="O332" s="1321"/>
      <c r="P332" s="1321"/>
      <c r="Q332" s="1321"/>
      <c r="R332" s="1321"/>
      <c r="S332" s="1321"/>
      <c r="T332" s="1321"/>
      <c r="U332" s="1321"/>
      <c r="V332" s="1321"/>
      <c r="W332" s="1321"/>
      <c r="X332" s="1321"/>
      <c r="Y332" s="1321"/>
      <c r="Z332" s="1321"/>
      <c r="AA332" s="1321"/>
      <c r="AB332" s="1321"/>
      <c r="AC332" s="1321"/>
      <c r="AD332" s="1321"/>
      <c r="AE332" s="1321"/>
      <c r="AF332" s="1321"/>
      <c r="AG332" s="1321"/>
      <c r="AH332" s="1321"/>
      <c r="AI332" s="1321"/>
      <c r="AJ332" s="1321"/>
      <c r="AK332" s="1321"/>
      <c r="AL332" s="1321"/>
      <c r="AM332" s="1321"/>
      <c r="AN332" s="1321"/>
      <c r="AO332" s="1321"/>
      <c r="AP332" s="1321"/>
      <c r="AQ332" s="1321"/>
      <c r="AR332" s="1321"/>
      <c r="AS332" s="1321"/>
      <c r="AT332" s="1321"/>
      <c r="AU332" s="1321"/>
      <c r="AV332" s="1321"/>
      <c r="AW332" s="1321"/>
      <c r="AX332" s="1321"/>
      <c r="AY332" s="1321"/>
      <c r="AZ332" s="1321"/>
      <c r="BA332" s="1321"/>
      <c r="BB332" s="797" t="s">
        <v>735</v>
      </c>
      <c r="BC332" s="802">
        <f>BD30*TotalTaureaux*SUM(NbreJoursNourrirBovins)</f>
        <v>0</v>
      </c>
      <c r="BD332" s="803">
        <f>BD30*TotalTaureauxRacesLaitières*SUM(NbreJoursNourrirBovins)</f>
        <v>0</v>
      </c>
      <c r="BE332" s="1321"/>
      <c r="BF332" s="1321"/>
      <c r="BG332" s="797" t="s">
        <v>735</v>
      </c>
      <c r="BH332" s="798">
        <f>BG30*TotalTaureaux*SUM(NbreJoursNourrirBovins)</f>
        <v>0</v>
      </c>
      <c r="BI332" s="1321"/>
      <c r="BJ332" s="1321"/>
      <c r="BK332" s="1345"/>
      <c r="BL332" s="1345"/>
      <c r="BM332" s="1346"/>
      <c r="BN332" s="1321"/>
      <c r="BO332" s="1321"/>
      <c r="BP332" s="1321"/>
      <c r="BQ332" s="1321"/>
      <c r="BR332" s="1321"/>
      <c r="BS332" s="1321"/>
      <c r="BT332" s="1321"/>
      <c r="BU332" s="1321"/>
      <c r="BV332" s="1345"/>
      <c r="BW332" s="1345"/>
      <c r="BX332" s="1321"/>
      <c r="BY332" s="1321"/>
      <c r="BZ332" s="1321"/>
      <c r="CA332" s="1321"/>
      <c r="CB332" s="1321"/>
      <c r="CC332" s="1321"/>
      <c r="CD332" s="1345"/>
      <c r="CE332" s="1345"/>
      <c r="CF332" s="1345"/>
      <c r="CG332" s="1345"/>
      <c r="CH332" s="1345"/>
      <c r="CI332" s="1321"/>
      <c r="CJ332" s="1321"/>
      <c r="CK332" s="1321"/>
      <c r="CL332" s="1321"/>
      <c r="CM332" s="1321"/>
      <c r="CN332" s="1321"/>
      <c r="CO332" s="1321"/>
      <c r="CP332" s="1321"/>
      <c r="CQ332" s="1321"/>
      <c r="CR332" s="1321"/>
      <c r="CS332" s="1321"/>
      <c r="CT332" s="1321"/>
      <c r="CU332" s="1321"/>
      <c r="CV332" s="1321"/>
      <c r="CW332" s="1321"/>
      <c r="CX332" s="1321"/>
      <c r="CY332" s="1321"/>
      <c r="CZ332" s="1321"/>
      <c r="DA332" s="1321"/>
      <c r="DB332" s="1321"/>
      <c r="DC332" s="1321"/>
      <c r="DD332" s="1321"/>
      <c r="DE332" s="1321"/>
      <c r="DF332" s="1321"/>
      <c r="DG332" s="1321"/>
      <c r="DH332" s="1321"/>
      <c r="DI332" s="1321"/>
      <c r="DJ332" s="1321"/>
      <c r="DK332" s="1321"/>
      <c r="DL332" s="1321"/>
      <c r="DM332" s="1321"/>
      <c r="DN332" s="1321"/>
      <c r="DO332" s="1321"/>
      <c r="DP332" s="1321"/>
      <c r="DQ332" s="1321"/>
      <c r="DR332" s="1321"/>
      <c r="DS332" s="1321"/>
      <c r="DT332" s="1346"/>
      <c r="DU332" s="1346"/>
      <c r="DV332" s="1321"/>
      <c r="DW332" s="1321"/>
      <c r="DX332" s="1321"/>
      <c r="DY332" s="1321"/>
      <c r="DZ332" s="1321"/>
      <c r="EA332" s="1321"/>
      <c r="EB332" s="1321"/>
      <c r="EC332" s="1321"/>
      <c r="ED332" s="1345"/>
      <c r="EE332" s="1345"/>
      <c r="EF332" s="1321"/>
      <c r="EG332" s="1321"/>
      <c r="EH332" s="1321"/>
      <c r="EI332" s="1321"/>
      <c r="EJ332" s="1321"/>
      <c r="EK332" s="1345"/>
      <c r="EL332" s="1345"/>
      <c r="EM332" s="1321"/>
      <c r="EN332" s="1321"/>
      <c r="EO332" s="1321"/>
      <c r="EP332" s="1321"/>
      <c r="EQ332" s="1321"/>
      <c r="ER332" s="1345"/>
      <c r="ES332" s="1345"/>
      <c r="ET332" s="1321"/>
      <c r="EU332" s="1321"/>
      <c r="EV332" s="1321"/>
      <c r="EW332" s="1321"/>
      <c r="EX332" s="1321"/>
      <c r="EY332" s="1321"/>
      <c r="EZ332" s="1345"/>
      <c r="FA332" s="1345"/>
      <c r="FB332" s="1345"/>
      <c r="FC332" s="1321"/>
      <c r="FD332" s="1321"/>
      <c r="FE332" s="1321"/>
      <c r="FF332" s="1321"/>
      <c r="FG332" s="1321"/>
      <c r="FH332" s="1321"/>
      <c r="FI332" s="1345"/>
      <c r="FJ332" s="1345"/>
      <c r="FK332" s="1345"/>
      <c r="FL332" s="1345"/>
      <c r="FM332" s="1321"/>
      <c r="FN332" s="1321"/>
      <c r="FO332" s="1321"/>
      <c r="FP332" s="1321"/>
      <c r="FQ332" s="1321"/>
      <c r="FR332" s="1321"/>
      <c r="FS332" s="1345"/>
      <c r="FT332" s="1345"/>
      <c r="FU332" s="1345"/>
      <c r="FV332" s="1345"/>
      <c r="FW332" s="1321"/>
      <c r="FX332" s="1321"/>
      <c r="FY332" s="1321"/>
      <c r="FZ332" s="1321"/>
      <c r="GA332" s="1345"/>
      <c r="GB332" s="1321"/>
      <c r="GC332" s="1321"/>
      <c r="GD332" s="1321"/>
      <c r="GE332" s="1321"/>
      <c r="GF332" s="1321"/>
      <c r="GG332" s="1321" t="s">
        <v>1349</v>
      </c>
      <c r="GH332" s="1321" t="s">
        <v>1349</v>
      </c>
      <c r="GI332" s="1321" t="s">
        <v>1349</v>
      </c>
      <c r="GJ332" s="1321" t="s">
        <v>1349</v>
      </c>
      <c r="GK332" s="1321" t="s">
        <v>1349</v>
      </c>
      <c r="GL332" s="1321" t="s">
        <v>1349</v>
      </c>
      <c r="GM332" s="1321" t="s">
        <v>1349</v>
      </c>
      <c r="GN332" s="1321" t="s">
        <v>1349</v>
      </c>
      <c r="GO332" s="1321" t="s">
        <v>1349</v>
      </c>
      <c r="GP332" s="1321" t="s">
        <v>1349</v>
      </c>
      <c r="GQ332" s="1321" t="s">
        <v>1349</v>
      </c>
      <c r="GR332" s="1321" t="s">
        <v>1349</v>
      </c>
      <c r="GS332" s="1321" t="s">
        <v>1349</v>
      </c>
      <c r="GT332" s="1321" t="s">
        <v>1349</v>
      </c>
      <c r="GU332" s="1321" t="s">
        <v>1349</v>
      </c>
      <c r="GV332" s="1321" t="s">
        <v>1349</v>
      </c>
      <c r="GW332" s="1321"/>
      <c r="GX332" s="1321"/>
      <c r="GY332" s="1321"/>
      <c r="GZ332" s="1321"/>
      <c r="HA332" s="1321"/>
      <c r="HB332" s="1321"/>
      <c r="HC332" s="1321"/>
      <c r="HD332" s="1321"/>
      <c r="HE332" s="1321"/>
      <c r="HF332" s="1321"/>
      <c r="HG332" s="1321"/>
      <c r="HH332" s="1321"/>
      <c r="HI332" s="1321"/>
      <c r="HJ332" s="1321"/>
      <c r="HK332" s="1321"/>
      <c r="HL332" s="1321"/>
      <c r="HM332" s="1321"/>
      <c r="HN332" s="1321"/>
      <c r="HO332" s="1321"/>
      <c r="HP332" s="1321"/>
      <c r="HQ332" s="1321"/>
      <c r="HR332" s="1321"/>
      <c r="HS332" s="1321"/>
      <c r="HT332" s="1321"/>
      <c r="HU332" s="1321"/>
      <c r="HV332" s="1321"/>
      <c r="HW332" s="1321"/>
      <c r="HX332" s="1321"/>
      <c r="HY332" s="1321"/>
      <c r="HZ332" s="1321"/>
      <c r="IA332" s="1321"/>
      <c r="IB332" s="1321"/>
      <c r="IC332" s="1321"/>
      <c r="ID332" s="1321"/>
      <c r="IE332" s="1321"/>
      <c r="IF332" s="1321"/>
      <c r="IG332" s="1321"/>
      <c r="IH332" s="1321"/>
      <c r="II332" s="1321"/>
      <c r="IJ332" s="1321"/>
      <c r="IK332" s="1321"/>
      <c r="IL332" s="1321"/>
      <c r="IM332" s="1321"/>
      <c r="IN332" s="1368"/>
    </row>
    <row r="333" spans="1:248" ht="12.75" customHeight="1" x14ac:dyDescent="0.2">
      <c r="A333" s="1319"/>
      <c r="B333" s="1321"/>
      <c r="C333" s="1321"/>
      <c r="D333" s="1321"/>
      <c r="E333" s="1321"/>
      <c r="F333" s="1321"/>
      <c r="G333" s="1321"/>
      <c r="H333" s="1321"/>
      <c r="I333" s="1321"/>
      <c r="J333" s="1321"/>
      <c r="K333" s="1321"/>
      <c r="L333" s="1321"/>
      <c r="M333" s="1321"/>
      <c r="N333" s="1321"/>
      <c r="O333" s="1321"/>
      <c r="P333" s="1321"/>
      <c r="Q333" s="1321"/>
      <c r="R333" s="1321"/>
      <c r="S333" s="1321"/>
      <c r="T333" s="1321"/>
      <c r="U333" s="1321"/>
      <c r="V333" s="1321"/>
      <c r="W333" s="1321"/>
      <c r="X333" s="1321"/>
      <c r="Y333" s="1321"/>
      <c r="Z333" s="1321"/>
      <c r="AA333" s="1321"/>
      <c r="AB333" s="1321"/>
      <c r="AC333" s="1321"/>
      <c r="AD333" s="1321"/>
      <c r="AE333" s="1321"/>
      <c r="AF333" s="1321"/>
      <c r="AG333" s="1321"/>
      <c r="AH333" s="1321"/>
      <c r="AI333" s="1321"/>
      <c r="AJ333" s="1321"/>
      <c r="AK333" s="1321"/>
      <c r="AL333" s="1321"/>
      <c r="AM333" s="1321"/>
      <c r="AN333" s="1321"/>
      <c r="AO333" s="1321"/>
      <c r="AP333" s="1321"/>
      <c r="AQ333" s="1321"/>
      <c r="AR333" s="1321"/>
      <c r="AS333" s="1321"/>
      <c r="AT333" s="1321"/>
      <c r="AU333" s="1321"/>
      <c r="AV333" s="1321"/>
      <c r="AW333" s="1321"/>
      <c r="AX333" s="1321"/>
      <c r="AY333" s="1321"/>
      <c r="AZ333" s="1321"/>
      <c r="BA333" s="1321"/>
      <c r="BB333" s="797" t="s">
        <v>736</v>
      </c>
      <c r="BC333" s="802">
        <f>BD31*TotalVaches*SUM(NbreJoursNourrirBovins)</f>
        <v>0</v>
      </c>
      <c r="BD333" s="803">
        <f>BD31*TotalVachesRacesLaitières*SUM(NbreJoursNourrirBovins)</f>
        <v>0</v>
      </c>
      <c r="BE333" s="1321"/>
      <c r="BF333" s="1321"/>
      <c r="BG333" s="797" t="s">
        <v>736</v>
      </c>
      <c r="BH333" s="798">
        <f>BG31*TotalVaches*SUM(NbreJoursNourrirBovins)</f>
        <v>0</v>
      </c>
      <c r="BI333" s="1321"/>
      <c r="BJ333" s="1321"/>
      <c r="BK333" s="1345"/>
      <c r="BL333" s="1345"/>
      <c r="BM333" s="1346"/>
      <c r="BN333" s="1321"/>
      <c r="BO333" s="1321"/>
      <c r="BP333" s="1321"/>
      <c r="BQ333" s="1321"/>
      <c r="BR333" s="1321"/>
      <c r="BS333" s="1321"/>
      <c r="BT333" s="1321"/>
      <c r="BU333" s="1321"/>
      <c r="BV333" s="1345"/>
      <c r="BW333" s="1345"/>
      <c r="BX333" s="1321"/>
      <c r="BY333" s="1321"/>
      <c r="BZ333" s="1321"/>
      <c r="CA333" s="1321"/>
      <c r="CB333" s="1321"/>
      <c r="CC333" s="1321"/>
      <c r="CD333" s="1345"/>
      <c r="CE333" s="1345"/>
      <c r="CF333" s="1345"/>
      <c r="CG333" s="1345"/>
      <c r="CH333" s="1345"/>
      <c r="CI333" s="1321"/>
      <c r="CJ333" s="1321"/>
      <c r="CK333" s="1321"/>
      <c r="CL333" s="1321"/>
      <c r="CM333" s="1321"/>
      <c r="CN333" s="1321"/>
      <c r="CO333" s="1321"/>
      <c r="CP333" s="1321"/>
      <c r="CQ333" s="1321"/>
      <c r="CR333" s="1321"/>
      <c r="CS333" s="1321"/>
      <c r="CT333" s="1321"/>
      <c r="CU333" s="1321"/>
      <c r="CV333" s="1321"/>
      <c r="CW333" s="1321"/>
      <c r="CX333" s="1321"/>
      <c r="CY333" s="1321"/>
      <c r="CZ333" s="1321"/>
      <c r="DA333" s="1321"/>
      <c r="DB333" s="1321"/>
      <c r="DC333" s="1321"/>
      <c r="DD333" s="1321"/>
      <c r="DE333" s="1321"/>
      <c r="DF333" s="1321"/>
      <c r="DG333" s="1321"/>
      <c r="DH333" s="1321"/>
      <c r="DI333" s="1321"/>
      <c r="DJ333" s="1321"/>
      <c r="DK333" s="1321"/>
      <c r="DL333" s="1321"/>
      <c r="DM333" s="1321"/>
      <c r="DN333" s="1321"/>
      <c r="DO333" s="1321"/>
      <c r="DP333" s="1321"/>
      <c r="DQ333" s="1321"/>
      <c r="DR333" s="1321"/>
      <c r="DS333" s="1321"/>
      <c r="DT333" s="1346"/>
      <c r="DU333" s="1346"/>
      <c r="DV333" s="1321"/>
      <c r="DW333" s="1321"/>
      <c r="DX333" s="1321"/>
      <c r="DY333" s="1321"/>
      <c r="DZ333" s="1321"/>
      <c r="EA333" s="1321"/>
      <c r="EB333" s="1321"/>
      <c r="EC333" s="1321"/>
      <c r="ED333" s="1345"/>
      <c r="EE333" s="1345"/>
      <c r="EF333" s="1321"/>
      <c r="EG333" s="1321"/>
      <c r="EH333" s="1321"/>
      <c r="EI333" s="1321"/>
      <c r="EJ333" s="1321"/>
      <c r="EK333" s="1345"/>
      <c r="EL333" s="1345"/>
      <c r="EM333" s="1321"/>
      <c r="EN333" s="1321"/>
      <c r="EO333" s="1321"/>
      <c r="EP333" s="1321"/>
      <c r="EQ333" s="1321"/>
      <c r="ER333" s="1345"/>
      <c r="ES333" s="1345"/>
      <c r="ET333" s="1321"/>
      <c r="EU333" s="1321"/>
      <c r="EV333" s="1321"/>
      <c r="EW333" s="1321"/>
      <c r="EX333" s="1321"/>
      <c r="EY333" s="1321"/>
      <c r="EZ333" s="1345"/>
      <c r="FA333" s="1345"/>
      <c r="FB333" s="1345"/>
      <c r="FC333" s="1321"/>
      <c r="FD333" s="1321"/>
      <c r="FE333" s="1321"/>
      <c r="FF333" s="1321"/>
      <c r="FG333" s="1321"/>
      <c r="FH333" s="1321"/>
      <c r="FI333" s="1345"/>
      <c r="FJ333" s="1345"/>
      <c r="FK333" s="1345"/>
      <c r="FL333" s="1345"/>
      <c r="FM333" s="1321"/>
      <c r="FN333" s="1321"/>
      <c r="FO333" s="1321"/>
      <c r="FP333" s="1321"/>
      <c r="FQ333" s="1321"/>
      <c r="FR333" s="1321"/>
      <c r="FS333" s="1345"/>
      <c r="FT333" s="1345"/>
      <c r="FU333" s="1345"/>
      <c r="FV333" s="1345"/>
      <c r="FW333" s="1321"/>
      <c r="FX333" s="1321"/>
      <c r="FY333" s="1321"/>
      <c r="FZ333" s="1321"/>
      <c r="GA333" s="1345"/>
      <c r="GB333" s="1321"/>
      <c r="GC333" s="1321"/>
      <c r="GD333" s="1321"/>
      <c r="GE333" s="1321"/>
      <c r="GF333" s="1321"/>
      <c r="GG333" s="1321" t="s">
        <v>1349</v>
      </c>
      <c r="GH333" s="1321" t="s">
        <v>1349</v>
      </c>
      <c r="GI333" s="1321" t="s">
        <v>1349</v>
      </c>
      <c r="GJ333" s="1321" t="s">
        <v>1349</v>
      </c>
      <c r="GK333" s="1321" t="s">
        <v>1349</v>
      </c>
      <c r="GL333" s="1321" t="s">
        <v>1349</v>
      </c>
      <c r="GM333" s="1321" t="s">
        <v>1349</v>
      </c>
      <c r="GN333" s="1321" t="s">
        <v>1349</v>
      </c>
      <c r="GO333" s="1321" t="s">
        <v>1349</v>
      </c>
      <c r="GP333" s="1321" t="s">
        <v>1349</v>
      </c>
      <c r="GQ333" s="1321" t="s">
        <v>1349</v>
      </c>
      <c r="GR333" s="1321" t="s">
        <v>1349</v>
      </c>
      <c r="GS333" s="1321" t="s">
        <v>1349</v>
      </c>
      <c r="GT333" s="1321" t="s">
        <v>1349</v>
      </c>
      <c r="GU333" s="1321" t="s">
        <v>1349</v>
      </c>
      <c r="GV333" s="1321" t="s">
        <v>1349</v>
      </c>
      <c r="GW333" s="1321"/>
      <c r="GX333" s="1321"/>
      <c r="GY333" s="1321"/>
      <c r="GZ333" s="1321"/>
      <c r="HA333" s="1321"/>
      <c r="HB333" s="1321"/>
      <c r="HC333" s="1321"/>
      <c r="HD333" s="1321"/>
      <c r="HE333" s="1321"/>
      <c r="HF333" s="1321"/>
      <c r="HG333" s="1321"/>
      <c r="HH333" s="1321"/>
      <c r="HI333" s="1321"/>
      <c r="HJ333" s="1321"/>
      <c r="HK333" s="1321"/>
      <c r="HL333" s="1321"/>
      <c r="HM333" s="1321"/>
      <c r="HN333" s="1321"/>
      <c r="HO333" s="1321"/>
      <c r="HP333" s="1321"/>
      <c r="HQ333" s="1321"/>
      <c r="HR333" s="1321"/>
      <c r="HS333" s="1321"/>
      <c r="HT333" s="1321"/>
      <c r="HU333" s="1321"/>
      <c r="HV333" s="1321"/>
      <c r="HW333" s="1321"/>
      <c r="HX333" s="1321"/>
      <c r="HY333" s="1321"/>
      <c r="HZ333" s="1321"/>
      <c r="IA333" s="1321"/>
      <c r="IB333" s="1321"/>
      <c r="IC333" s="1321"/>
      <c r="ID333" s="1321"/>
      <c r="IE333" s="1321"/>
      <c r="IF333" s="1321"/>
      <c r="IG333" s="1321"/>
      <c r="IH333" s="1321"/>
      <c r="II333" s="1321"/>
      <c r="IJ333" s="1321"/>
      <c r="IK333" s="1321"/>
      <c r="IL333" s="1321"/>
      <c r="IM333" s="1321"/>
      <c r="IN333" s="1368"/>
    </row>
    <row r="334" spans="1:248" ht="12.75" customHeight="1" x14ac:dyDescent="0.2">
      <c r="A334" s="1319"/>
      <c r="B334" s="1321"/>
      <c r="C334" s="1321"/>
      <c r="D334" s="1321"/>
      <c r="E334" s="1321"/>
      <c r="F334" s="1321"/>
      <c r="G334" s="1321"/>
      <c r="H334" s="1321"/>
      <c r="I334" s="1321"/>
      <c r="J334" s="1321"/>
      <c r="K334" s="1321"/>
      <c r="L334" s="1321"/>
      <c r="M334" s="1321"/>
      <c r="N334" s="1321"/>
      <c r="O334" s="1321"/>
      <c r="P334" s="1321"/>
      <c r="Q334" s="1321"/>
      <c r="R334" s="1321"/>
      <c r="S334" s="1321"/>
      <c r="T334" s="1321"/>
      <c r="U334" s="1321"/>
      <c r="V334" s="1321"/>
      <c r="W334" s="1321"/>
      <c r="X334" s="1321"/>
      <c r="Y334" s="1321"/>
      <c r="Z334" s="1321"/>
      <c r="AA334" s="1321"/>
      <c r="AB334" s="1321"/>
      <c r="AC334" s="1321"/>
      <c r="AD334" s="1321"/>
      <c r="AE334" s="1321"/>
      <c r="AF334" s="1321"/>
      <c r="AG334" s="1321"/>
      <c r="AH334" s="1321"/>
      <c r="AI334" s="1321"/>
      <c r="AJ334" s="1321"/>
      <c r="AK334" s="1321"/>
      <c r="AL334" s="1321"/>
      <c r="AM334" s="1321"/>
      <c r="AN334" s="1321"/>
      <c r="AO334" s="1321"/>
      <c r="AP334" s="1321"/>
      <c r="AQ334" s="1321"/>
      <c r="AR334" s="1321"/>
      <c r="AS334" s="1321"/>
      <c r="AT334" s="1321"/>
      <c r="AU334" s="1321"/>
      <c r="AV334" s="1321"/>
      <c r="AW334" s="1321"/>
      <c r="AX334" s="1321"/>
      <c r="AY334" s="1321"/>
      <c r="AZ334" s="1321"/>
      <c r="BA334" s="1321"/>
      <c r="BB334" s="797" t="s">
        <v>737</v>
      </c>
      <c r="BC334" s="802">
        <f>BD32*SUM(TotalJeuneBovin)*SUM(NbreJoursNourrirBovins)</f>
        <v>0</v>
      </c>
      <c r="BD334" s="803">
        <f>BD32*SUM(TotalJeunesBovinsRacesLaitières)*SUM(NbreJoursNourrirBovins)</f>
        <v>0</v>
      </c>
      <c r="BE334" s="1321"/>
      <c r="BF334" s="1321"/>
      <c r="BG334" s="797" t="s">
        <v>737</v>
      </c>
      <c r="BH334" s="798">
        <f>BG32*SUM(TotalJeuneBovin)*SUM(NbreJoursNourrirBovins)</f>
        <v>0</v>
      </c>
      <c r="BI334" s="1321"/>
      <c r="BJ334" s="1321"/>
      <c r="BK334" s="1345"/>
      <c r="BL334" s="1345"/>
      <c r="BM334" s="1346"/>
      <c r="BN334" s="1321"/>
      <c r="BO334" s="1321"/>
      <c r="BP334" s="1321"/>
      <c r="BQ334" s="1321"/>
      <c r="BR334" s="1321"/>
      <c r="BS334" s="1321"/>
      <c r="BT334" s="1321"/>
      <c r="BU334" s="1321"/>
      <c r="BV334" s="1345"/>
      <c r="BW334" s="1345"/>
      <c r="BX334" s="1321"/>
      <c r="BY334" s="1321"/>
      <c r="BZ334" s="1321"/>
      <c r="CA334" s="1321"/>
      <c r="CB334" s="1321"/>
      <c r="CC334" s="1321"/>
      <c r="CD334" s="1345"/>
      <c r="CE334" s="1345"/>
      <c r="CF334" s="1345"/>
      <c r="CG334" s="1345"/>
      <c r="CH334" s="1345"/>
      <c r="CI334" s="1321"/>
      <c r="CJ334" s="1321"/>
      <c r="CK334" s="1321"/>
      <c r="CL334" s="1321"/>
      <c r="CM334" s="1321"/>
      <c r="CN334" s="1321"/>
      <c r="CO334" s="1321"/>
      <c r="CP334" s="1321"/>
      <c r="CQ334" s="1321"/>
      <c r="CR334" s="1321"/>
      <c r="CS334" s="1321"/>
      <c r="CT334" s="1321"/>
      <c r="CU334" s="1321"/>
      <c r="CV334" s="1321"/>
      <c r="CW334" s="1321"/>
      <c r="CX334" s="1321"/>
      <c r="CY334" s="1321"/>
      <c r="CZ334" s="1321"/>
      <c r="DA334" s="1321"/>
      <c r="DB334" s="1321"/>
      <c r="DC334" s="1321"/>
      <c r="DD334" s="1321"/>
      <c r="DE334" s="1321"/>
      <c r="DF334" s="1321"/>
      <c r="DG334" s="1321"/>
      <c r="DH334" s="1321"/>
      <c r="DI334" s="1321"/>
      <c r="DJ334" s="1321"/>
      <c r="DK334" s="1321"/>
      <c r="DL334" s="1321"/>
      <c r="DM334" s="1321"/>
      <c r="DN334" s="1321"/>
      <c r="DO334" s="1321"/>
      <c r="DP334" s="1321"/>
      <c r="DQ334" s="1321"/>
      <c r="DR334" s="1321"/>
      <c r="DS334" s="1321"/>
      <c r="DT334" s="1346"/>
      <c r="DU334" s="1346"/>
      <c r="DV334" s="1321"/>
      <c r="DW334" s="1321"/>
      <c r="DX334" s="1321"/>
      <c r="DY334" s="1321"/>
      <c r="DZ334" s="1321"/>
      <c r="EA334" s="1321"/>
      <c r="EB334" s="1321"/>
      <c r="EC334" s="1321"/>
      <c r="ED334" s="1345"/>
      <c r="EE334" s="1345"/>
      <c r="EF334" s="1321"/>
      <c r="EG334" s="1321"/>
      <c r="EH334" s="1321"/>
      <c r="EI334" s="1321"/>
      <c r="EJ334" s="1321"/>
      <c r="EK334" s="1345"/>
      <c r="EL334" s="1345"/>
      <c r="EM334" s="1321"/>
      <c r="EN334" s="1321"/>
      <c r="EO334" s="1321"/>
      <c r="EP334" s="1321"/>
      <c r="EQ334" s="1321"/>
      <c r="ER334" s="1345"/>
      <c r="ES334" s="1345"/>
      <c r="ET334" s="1321"/>
      <c r="EU334" s="1321"/>
      <c r="EV334" s="1321"/>
      <c r="EW334" s="1321"/>
      <c r="EX334" s="1321"/>
      <c r="EY334" s="1321"/>
      <c r="EZ334" s="1345"/>
      <c r="FA334" s="1345"/>
      <c r="FB334" s="1345"/>
      <c r="FC334" s="1321"/>
      <c r="FD334" s="1321"/>
      <c r="FE334" s="1321"/>
      <c r="FF334" s="1321"/>
      <c r="FG334" s="1321"/>
      <c r="FH334" s="1321"/>
      <c r="FI334" s="1345"/>
      <c r="FJ334" s="1345"/>
      <c r="FK334" s="1345"/>
      <c r="FL334" s="1345"/>
      <c r="FM334" s="1321"/>
      <c r="FN334" s="1321"/>
      <c r="FO334" s="1321"/>
      <c r="FP334" s="1321"/>
      <c r="FQ334" s="1321"/>
      <c r="FR334" s="1321"/>
      <c r="FS334" s="1345"/>
      <c r="FT334" s="1345"/>
      <c r="FU334" s="1345"/>
      <c r="FV334" s="1345"/>
      <c r="FW334" s="1321"/>
      <c r="FX334" s="1321"/>
      <c r="FY334" s="1321"/>
      <c r="FZ334" s="1321"/>
      <c r="GA334" s="1345"/>
      <c r="GB334" s="1321"/>
      <c r="GC334" s="1321"/>
      <c r="GD334" s="1321"/>
      <c r="GE334" s="1321"/>
      <c r="GF334" s="1321"/>
      <c r="GG334" s="1321" t="s">
        <v>1349</v>
      </c>
      <c r="GH334" s="1321" t="s">
        <v>1349</v>
      </c>
      <c r="GI334" s="1321" t="s">
        <v>1349</v>
      </c>
      <c r="GJ334" s="1321" t="s">
        <v>1349</v>
      </c>
      <c r="GK334" s="1321" t="s">
        <v>1349</v>
      </c>
      <c r="GL334" s="1321" t="s">
        <v>1349</v>
      </c>
      <c r="GM334" s="1321" t="s">
        <v>1349</v>
      </c>
      <c r="GN334" s="1321" t="s">
        <v>1349</v>
      </c>
      <c r="GO334" s="1321" t="s">
        <v>1349</v>
      </c>
      <c r="GP334" s="1321" t="s">
        <v>1349</v>
      </c>
      <c r="GQ334" s="1321" t="s">
        <v>1349</v>
      </c>
      <c r="GR334" s="1321" t="s">
        <v>1349</v>
      </c>
      <c r="GS334" s="1321" t="s">
        <v>1349</v>
      </c>
      <c r="GT334" s="1321" t="s">
        <v>1349</v>
      </c>
      <c r="GU334" s="1321" t="s">
        <v>1349</v>
      </c>
      <c r="GV334" s="1321" t="s">
        <v>1349</v>
      </c>
      <c r="GW334" s="1321"/>
      <c r="GX334" s="1321"/>
      <c r="GY334" s="1321"/>
      <c r="GZ334" s="1321"/>
      <c r="HA334" s="1321"/>
      <c r="HB334" s="1321"/>
      <c r="HC334" s="1321"/>
      <c r="HD334" s="1321"/>
      <c r="HE334" s="1321"/>
      <c r="HF334" s="1321"/>
      <c r="HG334" s="1321"/>
      <c r="HH334" s="1321"/>
      <c r="HI334" s="1321"/>
      <c r="HJ334" s="1321"/>
      <c r="HK334" s="1321"/>
      <c r="HL334" s="1321"/>
      <c r="HM334" s="1321"/>
      <c r="HN334" s="1321"/>
      <c r="HO334" s="1321"/>
      <c r="HP334" s="1321"/>
      <c r="HQ334" s="1321"/>
      <c r="HR334" s="1321"/>
      <c r="HS334" s="1321"/>
      <c r="HT334" s="1321"/>
      <c r="HU334" s="1321"/>
      <c r="HV334" s="1321"/>
      <c r="HW334" s="1321"/>
      <c r="HX334" s="1321"/>
      <c r="HY334" s="1321"/>
      <c r="HZ334" s="1321"/>
      <c r="IA334" s="1321"/>
      <c r="IB334" s="1321"/>
      <c r="IC334" s="1321"/>
      <c r="ID334" s="1321"/>
      <c r="IE334" s="1321"/>
      <c r="IF334" s="1321"/>
      <c r="IG334" s="1321"/>
      <c r="IH334" s="1321"/>
      <c r="II334" s="1321"/>
      <c r="IJ334" s="1321"/>
      <c r="IK334" s="1321"/>
      <c r="IL334" s="1321"/>
      <c r="IM334" s="1321"/>
      <c r="IN334" s="1368"/>
    </row>
    <row r="335" spans="1:248" ht="12.75" customHeight="1" x14ac:dyDescent="0.2">
      <c r="A335" s="1319"/>
      <c r="B335" s="1321"/>
      <c r="C335" s="1321"/>
      <c r="D335" s="1321"/>
      <c r="E335" s="1321"/>
      <c r="F335" s="1321"/>
      <c r="G335" s="1321"/>
      <c r="H335" s="1321"/>
      <c r="I335" s="1321"/>
      <c r="J335" s="1321"/>
      <c r="K335" s="1321"/>
      <c r="L335" s="1321"/>
      <c r="M335" s="1321"/>
      <c r="N335" s="1321"/>
      <c r="O335" s="1321"/>
      <c r="P335" s="1321"/>
      <c r="Q335" s="1321"/>
      <c r="R335" s="1321"/>
      <c r="S335" s="1321"/>
      <c r="T335" s="1321"/>
      <c r="U335" s="1321"/>
      <c r="V335" s="1321"/>
      <c r="W335" s="1321"/>
      <c r="X335" s="1321"/>
      <c r="Y335" s="1321"/>
      <c r="Z335" s="1321"/>
      <c r="AA335" s="1321"/>
      <c r="AB335" s="1321"/>
      <c r="AC335" s="1321"/>
      <c r="AD335" s="1321"/>
      <c r="AE335" s="1321"/>
      <c r="AF335" s="1321"/>
      <c r="AG335" s="1321"/>
      <c r="AH335" s="1321"/>
      <c r="AI335" s="1321"/>
      <c r="AJ335" s="1321"/>
      <c r="AK335" s="1321"/>
      <c r="AL335" s="1321"/>
      <c r="AM335" s="1321"/>
      <c r="AN335" s="1321"/>
      <c r="AO335" s="1321"/>
      <c r="AP335" s="1321"/>
      <c r="AQ335" s="1321"/>
      <c r="AR335" s="1321"/>
      <c r="AS335" s="1321"/>
      <c r="AT335" s="1321"/>
      <c r="AU335" s="1321"/>
      <c r="AV335" s="1321"/>
      <c r="AW335" s="1321"/>
      <c r="AX335" s="1321"/>
      <c r="AY335" s="1321"/>
      <c r="AZ335" s="1321"/>
      <c r="BA335" s="1321"/>
      <c r="BB335" s="797" t="s">
        <v>738</v>
      </c>
      <c r="BC335" s="802"/>
      <c r="BD335" s="803"/>
      <c r="BE335" s="1321"/>
      <c r="BF335" s="1321"/>
      <c r="BG335" s="797" t="s">
        <v>738</v>
      </c>
      <c r="BH335" s="798"/>
      <c r="BI335" s="1321"/>
      <c r="BJ335" s="1321"/>
      <c r="BK335" s="1345"/>
      <c r="BL335" s="1345"/>
      <c r="BM335" s="1346"/>
      <c r="BN335" s="1321"/>
      <c r="BO335" s="1321"/>
      <c r="BP335" s="1321"/>
      <c r="BQ335" s="1321"/>
      <c r="BR335" s="1321"/>
      <c r="BS335" s="1321"/>
      <c r="BT335" s="1321"/>
      <c r="BU335" s="1321"/>
      <c r="BV335" s="1345"/>
      <c r="BW335" s="1345"/>
      <c r="BX335" s="1321"/>
      <c r="BY335" s="1321"/>
      <c r="BZ335" s="1321"/>
      <c r="CA335" s="1321"/>
      <c r="CB335" s="1321"/>
      <c r="CC335" s="1321"/>
      <c r="CD335" s="1345"/>
      <c r="CE335" s="1345"/>
      <c r="CF335" s="1345"/>
      <c r="CG335" s="1345"/>
      <c r="CH335" s="1345"/>
      <c r="CI335" s="1321"/>
      <c r="CJ335" s="1321"/>
      <c r="CK335" s="1321"/>
      <c r="CL335" s="1321"/>
      <c r="CM335" s="1321"/>
      <c r="CN335" s="1321"/>
      <c r="CO335" s="1321"/>
      <c r="CP335" s="1321"/>
      <c r="CQ335" s="1321"/>
      <c r="CR335" s="1321"/>
      <c r="CS335" s="1321"/>
      <c r="CT335" s="1321"/>
      <c r="CU335" s="1321"/>
      <c r="CV335" s="1321"/>
      <c r="CW335" s="1321"/>
      <c r="CX335" s="1321"/>
      <c r="CY335" s="1321"/>
      <c r="CZ335" s="1321"/>
      <c r="DA335" s="1321"/>
      <c r="DB335" s="1321"/>
      <c r="DC335" s="1321"/>
      <c r="DD335" s="1321"/>
      <c r="DE335" s="1321"/>
      <c r="DF335" s="1321"/>
      <c r="DG335" s="1321"/>
      <c r="DH335" s="1321"/>
      <c r="DI335" s="1321"/>
      <c r="DJ335" s="1321"/>
      <c r="DK335" s="1321"/>
      <c r="DL335" s="1321"/>
      <c r="DM335" s="1321"/>
      <c r="DN335" s="1321"/>
      <c r="DO335" s="1321"/>
      <c r="DP335" s="1321"/>
      <c r="DQ335" s="1321"/>
      <c r="DR335" s="1321"/>
      <c r="DS335" s="1321"/>
      <c r="DT335" s="1346"/>
      <c r="DU335" s="1346"/>
      <c r="DV335" s="1321"/>
      <c r="DW335" s="1321"/>
      <c r="DX335" s="1321"/>
      <c r="DY335" s="1321"/>
      <c r="DZ335" s="1321"/>
      <c r="EA335" s="1321"/>
      <c r="EB335" s="1321"/>
      <c r="EC335" s="1321"/>
      <c r="ED335" s="1345"/>
      <c r="EE335" s="1345"/>
      <c r="EF335" s="1321"/>
      <c r="EG335" s="1321"/>
      <c r="EH335" s="1321"/>
      <c r="EI335" s="1321"/>
      <c r="EJ335" s="1321"/>
      <c r="EK335" s="1345"/>
      <c r="EL335" s="1345"/>
      <c r="EM335" s="1321"/>
      <c r="EN335" s="1321"/>
      <c r="EO335" s="1321"/>
      <c r="EP335" s="1321"/>
      <c r="EQ335" s="1321"/>
      <c r="ER335" s="1345"/>
      <c r="ES335" s="1345"/>
      <c r="ET335" s="1321"/>
      <c r="EU335" s="1321"/>
      <c r="EV335" s="1321"/>
      <c r="EW335" s="1321"/>
      <c r="EX335" s="1321"/>
      <c r="EY335" s="1321"/>
      <c r="EZ335" s="1345"/>
      <c r="FA335" s="1345"/>
      <c r="FB335" s="1345"/>
      <c r="FC335" s="1321"/>
      <c r="FD335" s="1321"/>
      <c r="FE335" s="1321"/>
      <c r="FF335" s="1321"/>
      <c r="FG335" s="1321"/>
      <c r="FH335" s="1321"/>
      <c r="FI335" s="1345"/>
      <c r="FJ335" s="1345"/>
      <c r="FK335" s="1345"/>
      <c r="FL335" s="1345"/>
      <c r="FM335" s="1321"/>
      <c r="FN335" s="1321"/>
      <c r="FO335" s="1321"/>
      <c r="FP335" s="1321"/>
      <c r="FQ335" s="1321"/>
      <c r="FR335" s="1321"/>
      <c r="FS335" s="1345"/>
      <c r="FT335" s="1345"/>
      <c r="FU335" s="1345"/>
      <c r="FV335" s="1345"/>
      <c r="FW335" s="1321"/>
      <c r="FX335" s="1321"/>
      <c r="FY335" s="1321"/>
      <c r="FZ335" s="1321"/>
      <c r="GA335" s="1345"/>
      <c r="GB335" s="1321"/>
      <c r="GC335" s="1321"/>
      <c r="GD335" s="1321"/>
      <c r="GE335" s="1321"/>
      <c r="GF335" s="1321"/>
      <c r="GG335" s="1321" t="s">
        <v>1349</v>
      </c>
      <c r="GH335" s="1321" t="s">
        <v>1349</v>
      </c>
      <c r="GI335" s="1321" t="s">
        <v>1349</v>
      </c>
      <c r="GJ335" s="1321" t="s">
        <v>1349</v>
      </c>
      <c r="GK335" s="1321" t="s">
        <v>1349</v>
      </c>
      <c r="GL335" s="1321" t="s">
        <v>1349</v>
      </c>
      <c r="GM335" s="1321" t="s">
        <v>1349</v>
      </c>
      <c r="GN335" s="1321" t="s">
        <v>1349</v>
      </c>
      <c r="GO335" s="1321" t="s">
        <v>1349</v>
      </c>
      <c r="GP335" s="1321" t="s">
        <v>1349</v>
      </c>
      <c r="GQ335" s="1321" t="s">
        <v>1349</v>
      </c>
      <c r="GR335" s="1321" t="s">
        <v>1349</v>
      </c>
      <c r="GS335" s="1321" t="s">
        <v>1349</v>
      </c>
      <c r="GT335" s="1321" t="s">
        <v>1349</v>
      </c>
      <c r="GU335" s="1321" t="s">
        <v>1349</v>
      </c>
      <c r="GV335" s="1321" t="s">
        <v>1349</v>
      </c>
      <c r="GW335" s="1321"/>
      <c r="GX335" s="1321"/>
      <c r="GY335" s="1321"/>
      <c r="GZ335" s="1321"/>
      <c r="HA335" s="1321"/>
      <c r="HB335" s="1321"/>
      <c r="HC335" s="1321"/>
      <c r="HD335" s="1321"/>
      <c r="HE335" s="1321"/>
      <c r="HF335" s="1321"/>
      <c r="HG335" s="1321"/>
      <c r="HH335" s="1321"/>
      <c r="HI335" s="1321"/>
      <c r="HJ335" s="1321"/>
      <c r="HK335" s="1321"/>
      <c r="HL335" s="1321"/>
      <c r="HM335" s="1321"/>
      <c r="HN335" s="1321"/>
      <c r="HO335" s="1321"/>
      <c r="HP335" s="1321"/>
      <c r="HQ335" s="1321"/>
      <c r="HR335" s="1321"/>
      <c r="HS335" s="1321"/>
      <c r="HT335" s="1321"/>
      <c r="HU335" s="1321"/>
      <c r="HV335" s="1321"/>
      <c r="HW335" s="1321"/>
      <c r="HX335" s="1321"/>
      <c r="HY335" s="1321"/>
      <c r="HZ335" s="1321"/>
      <c r="IA335" s="1321"/>
      <c r="IB335" s="1321"/>
      <c r="IC335" s="1321"/>
      <c r="ID335" s="1321"/>
      <c r="IE335" s="1321"/>
      <c r="IF335" s="1321"/>
      <c r="IG335" s="1321"/>
      <c r="IH335" s="1321"/>
      <c r="II335" s="1321"/>
      <c r="IJ335" s="1321"/>
      <c r="IK335" s="1321"/>
      <c r="IL335" s="1321"/>
      <c r="IM335" s="1321"/>
      <c r="IN335" s="1368"/>
    </row>
    <row r="336" spans="1:248" ht="12.75" customHeight="1" x14ac:dyDescent="0.2">
      <c r="A336" s="1319"/>
      <c r="B336" s="1321"/>
      <c r="C336" s="1321"/>
      <c r="D336" s="1321"/>
      <c r="E336" s="1321"/>
      <c r="F336" s="1321"/>
      <c r="G336" s="1321"/>
      <c r="H336" s="1321"/>
      <c r="I336" s="1321"/>
      <c r="J336" s="1321"/>
      <c r="K336" s="1321"/>
      <c r="L336" s="1321"/>
      <c r="M336" s="1321"/>
      <c r="N336" s="1321"/>
      <c r="O336" s="1321"/>
      <c r="P336" s="1321"/>
      <c r="Q336" s="1321"/>
      <c r="R336" s="1321"/>
      <c r="S336" s="1321"/>
      <c r="T336" s="1321"/>
      <c r="U336" s="1321"/>
      <c r="V336" s="1321"/>
      <c r="W336" s="1321"/>
      <c r="X336" s="1321"/>
      <c r="Y336" s="1321"/>
      <c r="Z336" s="1321"/>
      <c r="AA336" s="1321"/>
      <c r="AB336" s="1321"/>
      <c r="AC336" s="1321"/>
      <c r="AD336" s="1321"/>
      <c r="AE336" s="1321"/>
      <c r="AF336" s="1321"/>
      <c r="AG336" s="1321"/>
      <c r="AH336" s="1321"/>
      <c r="AI336" s="1321"/>
      <c r="AJ336" s="1321"/>
      <c r="AK336" s="1321"/>
      <c r="AL336" s="1321"/>
      <c r="AM336" s="1321"/>
      <c r="AN336" s="1321"/>
      <c r="AO336" s="1321"/>
      <c r="AP336" s="1321"/>
      <c r="AQ336" s="1321"/>
      <c r="AR336" s="1321"/>
      <c r="AS336" s="1321"/>
      <c r="AT336" s="1321"/>
      <c r="AU336" s="1321"/>
      <c r="AV336" s="1321"/>
      <c r="AW336" s="1321"/>
      <c r="AX336" s="1321"/>
      <c r="AY336" s="1321"/>
      <c r="AZ336" s="1321"/>
      <c r="BA336" s="1321"/>
      <c r="BB336" s="797" t="s">
        <v>739</v>
      </c>
      <c r="BC336" s="802">
        <f>BD34*SUM(TotalVeaux)*SUM(NbreJoursNourrirBovins)</f>
        <v>0</v>
      </c>
      <c r="BD336" s="803">
        <f>BD34*SUM(TotalVeauxRacesLaitières)*SUM(NbreJoursNourrirBovins)</f>
        <v>0</v>
      </c>
      <c r="BE336" s="1321"/>
      <c r="BF336" s="1321"/>
      <c r="BG336" s="797" t="s">
        <v>739</v>
      </c>
      <c r="BH336" s="798">
        <f>BG34*SUM(TotalVeaux)*SUM(NbreJoursNourrirBovins)</f>
        <v>0</v>
      </c>
      <c r="BI336" s="1321"/>
      <c r="BJ336" s="1321"/>
      <c r="BK336" s="1345"/>
      <c r="BL336" s="1345"/>
      <c r="BM336" s="1346"/>
      <c r="BN336" s="1321"/>
      <c r="BO336" s="1321"/>
      <c r="BP336" s="1321"/>
      <c r="BQ336" s="1321"/>
      <c r="BR336" s="1321"/>
      <c r="BS336" s="1321"/>
      <c r="BT336" s="1321"/>
      <c r="BU336" s="1321"/>
      <c r="BV336" s="1345"/>
      <c r="BW336" s="1345"/>
      <c r="BX336" s="1321"/>
      <c r="BY336" s="1321"/>
      <c r="BZ336" s="1321"/>
      <c r="CA336" s="1321"/>
      <c r="CB336" s="1321"/>
      <c r="CC336" s="1321"/>
      <c r="CD336" s="1345"/>
      <c r="CE336" s="1345"/>
      <c r="CF336" s="1345"/>
      <c r="CG336" s="1345"/>
      <c r="CH336" s="1345"/>
      <c r="CI336" s="1321"/>
      <c r="CJ336" s="1321"/>
      <c r="CK336" s="1321"/>
      <c r="CL336" s="1321"/>
      <c r="CM336" s="1321"/>
      <c r="CN336" s="1321"/>
      <c r="CO336" s="1321"/>
      <c r="CP336" s="1321"/>
      <c r="CQ336" s="1321"/>
      <c r="CR336" s="1321"/>
      <c r="CS336" s="1321"/>
      <c r="CT336" s="1321"/>
      <c r="CU336" s="1321"/>
      <c r="CV336" s="1321"/>
      <c r="CW336" s="1321"/>
      <c r="CX336" s="1321"/>
      <c r="CY336" s="1321"/>
      <c r="CZ336" s="1321"/>
      <c r="DA336" s="1321"/>
      <c r="DB336" s="1321"/>
      <c r="DC336" s="1321"/>
      <c r="DD336" s="1321"/>
      <c r="DE336" s="1321"/>
      <c r="DF336" s="1321"/>
      <c r="DG336" s="1321"/>
      <c r="DH336" s="1321"/>
      <c r="DI336" s="1321"/>
      <c r="DJ336" s="1321"/>
      <c r="DK336" s="1321"/>
      <c r="DL336" s="1321"/>
      <c r="DM336" s="1321"/>
      <c r="DN336" s="1321"/>
      <c r="DO336" s="1321"/>
      <c r="DP336" s="1321"/>
      <c r="DQ336" s="1321"/>
      <c r="DR336" s="1321"/>
      <c r="DS336" s="1321"/>
      <c r="DT336" s="1346"/>
      <c r="DU336" s="1346"/>
      <c r="DV336" s="1321"/>
      <c r="DW336" s="1321"/>
      <c r="DX336" s="1321"/>
      <c r="DY336" s="1321"/>
      <c r="DZ336" s="1321"/>
      <c r="EA336" s="1321"/>
      <c r="EB336" s="1321"/>
      <c r="EC336" s="1321"/>
      <c r="ED336" s="1345"/>
      <c r="EE336" s="1345"/>
      <c r="EF336" s="1321"/>
      <c r="EG336" s="1321"/>
      <c r="EH336" s="1321"/>
      <c r="EI336" s="1321"/>
      <c r="EJ336" s="1321"/>
      <c r="EK336" s="1345"/>
      <c r="EL336" s="1345"/>
      <c r="EM336" s="1321"/>
      <c r="EN336" s="1321"/>
      <c r="EO336" s="1321"/>
      <c r="EP336" s="1321"/>
      <c r="EQ336" s="1321"/>
      <c r="ER336" s="1345"/>
      <c r="ES336" s="1345"/>
      <c r="ET336" s="1321"/>
      <c r="EU336" s="1321"/>
      <c r="EV336" s="1321"/>
      <c r="EW336" s="1321"/>
      <c r="EX336" s="1321"/>
      <c r="EY336" s="1321"/>
      <c r="EZ336" s="1345"/>
      <c r="FA336" s="1345"/>
      <c r="FB336" s="1345"/>
      <c r="FC336" s="1321"/>
      <c r="FD336" s="1321"/>
      <c r="FE336" s="1321"/>
      <c r="FF336" s="1321"/>
      <c r="FG336" s="1321"/>
      <c r="FH336" s="1321"/>
      <c r="FI336" s="1345"/>
      <c r="FJ336" s="1345"/>
      <c r="FK336" s="1345"/>
      <c r="FL336" s="1345"/>
      <c r="FM336" s="1321"/>
      <c r="FN336" s="1321"/>
      <c r="FO336" s="1321"/>
      <c r="FP336" s="1321"/>
      <c r="FQ336" s="1321"/>
      <c r="FR336" s="1321"/>
      <c r="FS336" s="1345"/>
      <c r="FT336" s="1345"/>
      <c r="FU336" s="1345"/>
      <c r="FV336" s="1345"/>
      <c r="FW336" s="1321"/>
      <c r="FX336" s="1321"/>
      <c r="FY336" s="1321"/>
      <c r="FZ336" s="1321"/>
      <c r="GA336" s="1345"/>
      <c r="GB336" s="1321"/>
      <c r="GC336" s="1321"/>
      <c r="GD336" s="1321"/>
      <c r="GE336" s="1321"/>
      <c r="GF336" s="1321"/>
      <c r="GG336" s="1321" t="s">
        <v>1349</v>
      </c>
      <c r="GH336" s="1321" t="s">
        <v>1349</v>
      </c>
      <c r="GI336" s="1321" t="s">
        <v>1349</v>
      </c>
      <c r="GJ336" s="1321" t="s">
        <v>1349</v>
      </c>
      <c r="GK336" s="1321" t="s">
        <v>1349</v>
      </c>
      <c r="GL336" s="1321" t="s">
        <v>1349</v>
      </c>
      <c r="GM336" s="1321" t="s">
        <v>1349</v>
      </c>
      <c r="GN336" s="1321" t="s">
        <v>1349</v>
      </c>
      <c r="GO336" s="1321" t="s">
        <v>1349</v>
      </c>
      <c r="GP336" s="1321" t="s">
        <v>1349</v>
      </c>
      <c r="GQ336" s="1321" t="s">
        <v>1349</v>
      </c>
      <c r="GR336" s="1321" t="s">
        <v>1349</v>
      </c>
      <c r="GS336" s="1321" t="s">
        <v>1349</v>
      </c>
      <c r="GT336" s="1321" t="s">
        <v>1349</v>
      </c>
      <c r="GU336" s="1321" t="s">
        <v>1349</v>
      </c>
      <c r="GV336" s="1321" t="s">
        <v>1349</v>
      </c>
      <c r="GW336" s="1321"/>
      <c r="GX336" s="1321"/>
      <c r="GY336" s="1321"/>
      <c r="GZ336" s="1321"/>
      <c r="HA336" s="1321"/>
      <c r="HB336" s="1321"/>
      <c r="HC336" s="1321"/>
      <c r="HD336" s="1321"/>
      <c r="HE336" s="1321"/>
      <c r="HF336" s="1321"/>
      <c r="HG336" s="1321"/>
      <c r="HH336" s="1321"/>
      <c r="HI336" s="1321"/>
      <c r="HJ336" s="1321"/>
      <c r="HK336" s="1321"/>
      <c r="HL336" s="1321"/>
      <c r="HM336" s="1321"/>
      <c r="HN336" s="1321"/>
      <c r="HO336" s="1321"/>
      <c r="HP336" s="1321"/>
      <c r="HQ336" s="1321"/>
      <c r="HR336" s="1321"/>
      <c r="HS336" s="1321"/>
      <c r="HT336" s="1321"/>
      <c r="HU336" s="1321"/>
      <c r="HV336" s="1321"/>
      <c r="HW336" s="1321"/>
      <c r="HX336" s="1321"/>
      <c r="HY336" s="1321"/>
      <c r="HZ336" s="1321"/>
      <c r="IA336" s="1321"/>
      <c r="IB336" s="1321"/>
      <c r="IC336" s="1321"/>
      <c r="ID336" s="1321"/>
      <c r="IE336" s="1321"/>
      <c r="IF336" s="1321"/>
      <c r="IG336" s="1321"/>
      <c r="IH336" s="1321"/>
      <c r="II336" s="1321"/>
      <c r="IJ336" s="1321"/>
      <c r="IK336" s="1321"/>
      <c r="IL336" s="1321"/>
      <c r="IM336" s="1321"/>
      <c r="IN336" s="1368"/>
    </row>
    <row r="337" spans="1:248" ht="12.75" customHeight="1" x14ac:dyDescent="0.2">
      <c r="A337" s="1319"/>
      <c r="B337" s="1321"/>
      <c r="C337" s="1321"/>
      <c r="D337" s="1321"/>
      <c r="E337" s="1321"/>
      <c r="F337" s="1321"/>
      <c r="G337" s="1321"/>
      <c r="H337" s="1321"/>
      <c r="I337" s="1321"/>
      <c r="J337" s="1321"/>
      <c r="K337" s="1321"/>
      <c r="L337" s="1321"/>
      <c r="M337" s="1321"/>
      <c r="N337" s="1321"/>
      <c r="O337" s="1321"/>
      <c r="P337" s="1321"/>
      <c r="Q337" s="1321"/>
      <c r="R337" s="1321"/>
      <c r="S337" s="1321"/>
      <c r="T337" s="1321"/>
      <c r="U337" s="1321"/>
      <c r="V337" s="1321"/>
      <c r="W337" s="1321"/>
      <c r="X337" s="1321"/>
      <c r="Y337" s="1321"/>
      <c r="Z337" s="1321"/>
      <c r="AA337" s="1321"/>
      <c r="AB337" s="1321"/>
      <c r="AC337" s="1321"/>
      <c r="AD337" s="1321"/>
      <c r="AE337" s="1321"/>
      <c r="AF337" s="1321"/>
      <c r="AG337" s="1321"/>
      <c r="AH337" s="1321"/>
      <c r="AI337" s="1321"/>
      <c r="AJ337" s="1321"/>
      <c r="AK337" s="1321"/>
      <c r="AL337" s="1321"/>
      <c r="AM337" s="1321"/>
      <c r="AN337" s="1321"/>
      <c r="AO337" s="1321"/>
      <c r="AP337" s="1321"/>
      <c r="AQ337" s="1321"/>
      <c r="AR337" s="1321"/>
      <c r="AS337" s="1321"/>
      <c r="AT337" s="1321"/>
      <c r="AU337" s="1321"/>
      <c r="AV337" s="1321"/>
      <c r="AW337" s="1321"/>
      <c r="AX337" s="1321"/>
      <c r="AY337" s="1321"/>
      <c r="AZ337" s="1321"/>
      <c r="BA337" s="1321"/>
      <c r="BB337" s="799" t="s">
        <v>1369</v>
      </c>
      <c r="BC337" s="804">
        <f>IF(AND(ChoixPaillageBovins=OUI,OR(ChoixBovinsPréHiver=NON,ChoixBovinsPréHiver="")),SUBTOTAL(109,LitièreBovins[Litière tout bovins]),0)</f>
        <v>0</v>
      </c>
      <c r="BD337" s="800">
        <f>IF(AND(ChoixPaillageBovins=OUI,ChoixBovinsPréHiver=OUI),SUBTOTAL(109,LitièreBovins[litière races laitières]),0)</f>
        <v>0</v>
      </c>
      <c r="BE337" s="1321"/>
      <c r="BF337" s="1321"/>
      <c r="BG337" s="799" t="s">
        <v>1369</v>
      </c>
      <c r="BH337" s="800">
        <f>SUBTOTAL(109,LisierBovins[Lisier])</f>
        <v>0</v>
      </c>
      <c r="BI337" s="1321"/>
      <c r="BJ337" s="1321"/>
      <c r="BK337" s="1345"/>
      <c r="BL337" s="1345"/>
      <c r="BM337" s="1346"/>
      <c r="BN337" s="1321"/>
      <c r="BO337" s="1321"/>
      <c r="BP337" s="1321"/>
      <c r="BQ337" s="1321"/>
      <c r="BR337" s="1321"/>
      <c r="BS337" s="1321"/>
      <c r="BT337" s="1321"/>
      <c r="BU337" s="1321"/>
      <c r="BV337" s="1345"/>
      <c r="BW337" s="1345"/>
      <c r="BX337" s="1321"/>
      <c r="BY337" s="1321"/>
      <c r="BZ337" s="1321"/>
      <c r="CA337" s="1321"/>
      <c r="CB337" s="1321"/>
      <c r="CC337" s="1321"/>
      <c r="CD337" s="1345"/>
      <c r="CE337" s="1345"/>
      <c r="CF337" s="1345"/>
      <c r="CG337" s="1345"/>
      <c r="CH337" s="1345"/>
      <c r="CI337" s="1321"/>
      <c r="CJ337" s="1321"/>
      <c r="CK337" s="1321"/>
      <c r="CL337" s="1321"/>
      <c r="CM337" s="1321"/>
      <c r="CN337" s="1321"/>
      <c r="CO337" s="1321"/>
      <c r="CP337" s="1321"/>
      <c r="CQ337" s="1321"/>
      <c r="CR337" s="1321"/>
      <c r="CS337" s="1321"/>
      <c r="CT337" s="1321"/>
      <c r="CU337" s="1321"/>
      <c r="CV337" s="1321"/>
      <c r="CW337" s="1321"/>
      <c r="CX337" s="1321"/>
      <c r="CY337" s="1321"/>
      <c r="CZ337" s="1321"/>
      <c r="DA337" s="1321"/>
      <c r="DB337" s="1321"/>
      <c r="DC337" s="1321"/>
      <c r="DD337" s="1321"/>
      <c r="DE337" s="1321"/>
      <c r="DF337" s="1321"/>
      <c r="DG337" s="1321"/>
      <c r="DH337" s="1321"/>
      <c r="DI337" s="1321"/>
      <c r="DJ337" s="1321"/>
      <c r="DK337" s="1321"/>
      <c r="DL337" s="1321"/>
      <c r="DM337" s="1321"/>
      <c r="DN337" s="1321"/>
      <c r="DO337" s="1321"/>
      <c r="DP337" s="1321"/>
      <c r="DQ337" s="1321"/>
      <c r="DR337" s="1321"/>
      <c r="DS337" s="1321"/>
      <c r="DT337" s="1346"/>
      <c r="DU337" s="1346"/>
      <c r="DV337" s="1321"/>
      <c r="DW337" s="1321"/>
      <c r="DX337" s="1321"/>
      <c r="DY337" s="1321"/>
      <c r="DZ337" s="1321"/>
      <c r="EA337" s="1321"/>
      <c r="EB337" s="1321"/>
      <c r="EC337" s="1321"/>
      <c r="ED337" s="1345"/>
      <c r="EE337" s="1345"/>
      <c r="EF337" s="1321"/>
      <c r="EG337" s="1321"/>
      <c r="EH337" s="1321"/>
      <c r="EI337" s="1321"/>
      <c r="EJ337" s="1321"/>
      <c r="EK337" s="1345"/>
      <c r="EL337" s="1345"/>
      <c r="EM337" s="1321"/>
      <c r="EN337" s="1321"/>
      <c r="EO337" s="1321"/>
      <c r="EP337" s="1321"/>
      <c r="EQ337" s="1321"/>
      <c r="ER337" s="1345"/>
      <c r="ES337" s="1345"/>
      <c r="ET337" s="1321"/>
      <c r="EU337" s="1321"/>
      <c r="EV337" s="1321"/>
      <c r="EW337" s="1321"/>
      <c r="EX337" s="1321"/>
      <c r="EY337" s="1321"/>
      <c r="EZ337" s="1345"/>
      <c r="FA337" s="1345"/>
      <c r="FB337" s="1345"/>
      <c r="FC337" s="1321"/>
      <c r="FD337" s="1321"/>
      <c r="FE337" s="1321"/>
      <c r="FF337" s="1321"/>
      <c r="FG337" s="1321"/>
      <c r="FH337" s="1321"/>
      <c r="FI337" s="1345"/>
      <c r="FJ337" s="1345"/>
      <c r="FK337" s="1345"/>
      <c r="FL337" s="1345"/>
      <c r="FM337" s="1321"/>
      <c r="FN337" s="1321"/>
      <c r="FO337" s="1321"/>
      <c r="FP337" s="1321"/>
      <c r="FQ337" s="1321"/>
      <c r="FR337" s="1321"/>
      <c r="FS337" s="1345"/>
      <c r="FT337" s="1345"/>
      <c r="FU337" s="1345"/>
      <c r="FV337" s="1345"/>
      <c r="FW337" s="1321"/>
      <c r="FX337" s="1321"/>
      <c r="FY337" s="1321"/>
      <c r="FZ337" s="1321"/>
      <c r="GA337" s="1345"/>
      <c r="GB337" s="1321"/>
      <c r="GC337" s="1321"/>
      <c r="GD337" s="1321"/>
      <c r="GE337" s="1321"/>
      <c r="GF337" s="1321"/>
      <c r="GG337" s="1321" t="s">
        <v>1349</v>
      </c>
      <c r="GH337" s="1321" t="s">
        <v>1349</v>
      </c>
      <c r="GI337" s="1321" t="s">
        <v>1349</v>
      </c>
      <c r="GJ337" s="1321" t="s">
        <v>1349</v>
      </c>
      <c r="GK337" s="1321" t="s">
        <v>1349</v>
      </c>
      <c r="GL337" s="1321" t="s">
        <v>1349</v>
      </c>
      <c r="GM337" s="1321" t="s">
        <v>1349</v>
      </c>
      <c r="GN337" s="1321" t="s">
        <v>1349</v>
      </c>
      <c r="GO337" s="1321" t="s">
        <v>1349</v>
      </c>
      <c r="GP337" s="1321" t="s">
        <v>1349</v>
      </c>
      <c r="GQ337" s="1321" t="s">
        <v>1349</v>
      </c>
      <c r="GR337" s="1321" t="s">
        <v>1349</v>
      </c>
      <c r="GS337" s="1321" t="s">
        <v>1349</v>
      </c>
      <c r="GT337" s="1321" t="s">
        <v>1349</v>
      </c>
      <c r="GU337" s="1321" t="s">
        <v>1349</v>
      </c>
      <c r="GV337" s="1321" t="s">
        <v>1349</v>
      </c>
      <c r="GW337" s="1321"/>
      <c r="GX337" s="1321"/>
      <c r="GY337" s="1321"/>
      <c r="GZ337" s="1321"/>
      <c r="HA337" s="1321"/>
      <c r="HB337" s="1321"/>
      <c r="HC337" s="1321"/>
      <c r="HD337" s="1321"/>
      <c r="HE337" s="1321"/>
      <c r="HF337" s="1321"/>
      <c r="HG337" s="1321"/>
      <c r="HH337" s="1321"/>
      <c r="HI337" s="1321"/>
      <c r="HJ337" s="1321"/>
      <c r="HK337" s="1321"/>
      <c r="HL337" s="1321"/>
      <c r="HM337" s="1321"/>
      <c r="HN337" s="1321"/>
      <c r="HO337" s="1321"/>
      <c r="HP337" s="1321"/>
      <c r="HQ337" s="1321"/>
      <c r="HR337" s="1321"/>
      <c r="HS337" s="1321"/>
      <c r="HT337" s="1321"/>
      <c r="HU337" s="1321"/>
      <c r="HV337" s="1321"/>
      <c r="HW337" s="1321"/>
      <c r="HX337" s="1321"/>
      <c r="HY337" s="1321"/>
      <c r="HZ337" s="1321"/>
      <c r="IA337" s="1321"/>
      <c r="IB337" s="1321"/>
      <c r="IC337" s="1321"/>
      <c r="ID337" s="1321"/>
      <c r="IE337" s="1321"/>
      <c r="IF337" s="1321"/>
      <c r="IG337" s="1321"/>
      <c r="IH337" s="1321"/>
      <c r="II337" s="1321"/>
      <c r="IJ337" s="1321"/>
      <c r="IK337" s="1321"/>
      <c r="IL337" s="1321"/>
      <c r="IM337" s="1321"/>
      <c r="IN337" s="1368"/>
    </row>
    <row r="338" spans="1:248" ht="12.75" customHeight="1" x14ac:dyDescent="0.2">
      <c r="A338" s="1319"/>
      <c r="B338" s="1321"/>
      <c r="C338" s="1321"/>
      <c r="D338" s="1321"/>
      <c r="E338" s="1321"/>
      <c r="F338" s="1321"/>
      <c r="G338" s="1321"/>
      <c r="H338" s="1321"/>
      <c r="I338" s="1321"/>
      <c r="J338" s="1321"/>
      <c r="K338" s="1321"/>
      <c r="L338" s="1321"/>
      <c r="M338" s="1321"/>
      <c r="N338" s="1321"/>
      <c r="O338" s="1321"/>
      <c r="P338" s="1321"/>
      <c r="Q338" s="1321"/>
      <c r="R338" s="1321"/>
      <c r="S338" s="1321"/>
      <c r="T338" s="1321"/>
      <c r="U338" s="1321"/>
      <c r="V338" s="1321"/>
      <c r="W338" s="1321"/>
      <c r="X338" s="1321"/>
      <c r="Y338" s="1321"/>
      <c r="Z338" s="1321"/>
      <c r="AA338" s="1321"/>
      <c r="AB338" s="1321"/>
      <c r="AC338" s="1321"/>
      <c r="AD338" s="1321"/>
      <c r="AE338" s="1321"/>
      <c r="AF338" s="1321"/>
      <c r="AG338" s="1321"/>
      <c r="AH338" s="1321"/>
      <c r="AI338" s="1321"/>
      <c r="AJ338" s="1321"/>
      <c r="AK338" s="1321"/>
      <c r="AL338" s="1321"/>
      <c r="AM338" s="1321"/>
      <c r="AN338" s="1321"/>
      <c r="AO338" s="1321"/>
      <c r="AP338" s="1321"/>
      <c r="AQ338" s="1321"/>
      <c r="AR338" s="1321"/>
      <c r="AS338" s="1321"/>
      <c r="AT338" s="1321"/>
      <c r="AU338" s="1321"/>
      <c r="AV338" s="1321"/>
      <c r="AW338" s="1321"/>
      <c r="AX338" s="1321"/>
      <c r="AY338" s="1321"/>
      <c r="AZ338" s="1321"/>
      <c r="BA338" s="1321"/>
      <c r="BB338" s="1321"/>
      <c r="BC338" s="1321"/>
      <c r="BD338" s="1321"/>
      <c r="BE338" s="1321"/>
      <c r="BF338" s="1321"/>
      <c r="BG338" s="1321"/>
      <c r="BH338" s="1321"/>
      <c r="BI338" s="1321"/>
      <c r="BJ338" s="1321"/>
      <c r="BK338" s="1345"/>
      <c r="BL338" s="1345"/>
      <c r="BM338" s="1346"/>
      <c r="BN338" s="1321"/>
      <c r="BO338" s="1321"/>
      <c r="BP338" s="1321"/>
      <c r="BQ338" s="1321"/>
      <c r="BR338" s="1321"/>
      <c r="BS338" s="1321"/>
      <c r="BT338" s="1321"/>
      <c r="BU338" s="1321"/>
      <c r="BV338" s="1345"/>
      <c r="BW338" s="1345"/>
      <c r="BX338" s="1321"/>
      <c r="BY338" s="1321"/>
      <c r="BZ338" s="1321"/>
      <c r="CA338" s="1321"/>
      <c r="CB338" s="1321"/>
      <c r="CC338" s="1321"/>
      <c r="CD338" s="1345"/>
      <c r="CE338" s="1345"/>
      <c r="CF338" s="1345"/>
      <c r="CG338" s="1345"/>
      <c r="CH338" s="1345"/>
      <c r="CI338" s="1321"/>
      <c r="CJ338" s="1321"/>
      <c r="CK338" s="1321"/>
      <c r="CL338" s="1321"/>
      <c r="CM338" s="1321"/>
      <c r="CN338" s="1321"/>
      <c r="CO338" s="1321"/>
      <c r="CP338" s="1321"/>
      <c r="CQ338" s="1321"/>
      <c r="CR338" s="1321"/>
      <c r="CS338" s="1321"/>
      <c r="CT338" s="1321"/>
      <c r="CU338" s="1321"/>
      <c r="CV338" s="1321"/>
      <c r="CW338" s="1321"/>
      <c r="CX338" s="1321"/>
      <c r="CY338" s="1321"/>
      <c r="CZ338" s="1321"/>
      <c r="DA338" s="1321"/>
      <c r="DB338" s="1321"/>
      <c r="DC338" s="1321"/>
      <c r="DD338" s="1321"/>
      <c r="DE338" s="1321"/>
      <c r="DF338" s="1321"/>
      <c r="DG338" s="1321"/>
      <c r="DH338" s="1321"/>
      <c r="DI338" s="1321"/>
      <c r="DJ338" s="1321"/>
      <c r="DK338" s="1321"/>
      <c r="DL338" s="1321"/>
      <c r="DM338" s="1321"/>
      <c r="DN338" s="1321"/>
      <c r="DO338" s="1321"/>
      <c r="DP338" s="1321"/>
      <c r="DQ338" s="1321"/>
      <c r="DR338" s="1321"/>
      <c r="DS338" s="1321"/>
      <c r="DT338" s="1346"/>
      <c r="DU338" s="1346"/>
      <c r="DV338" s="1321"/>
      <c r="DW338" s="1321"/>
      <c r="DX338" s="1321"/>
      <c r="DY338" s="1321"/>
      <c r="DZ338" s="1321"/>
      <c r="EA338" s="1321"/>
      <c r="EB338" s="1321"/>
      <c r="EC338" s="1321"/>
      <c r="ED338" s="1345"/>
      <c r="EE338" s="1345"/>
      <c r="EF338" s="1321"/>
      <c r="EG338" s="1321"/>
      <c r="EH338" s="1321"/>
      <c r="EI338" s="1321"/>
      <c r="EJ338" s="1321"/>
      <c r="EK338" s="1345"/>
      <c r="EL338" s="1345"/>
      <c r="EM338" s="1321"/>
      <c r="EN338" s="1321"/>
      <c r="EO338" s="1321"/>
      <c r="EP338" s="1321"/>
      <c r="EQ338" s="1321"/>
      <c r="ER338" s="1345"/>
      <c r="ES338" s="1345"/>
      <c r="ET338" s="1321"/>
      <c r="EU338" s="1321"/>
      <c r="EV338" s="1321"/>
      <c r="EW338" s="1321"/>
      <c r="EX338" s="1321"/>
      <c r="EY338" s="1321"/>
      <c r="EZ338" s="1345"/>
      <c r="FA338" s="1345"/>
      <c r="FB338" s="1345"/>
      <c r="FC338" s="1321"/>
      <c r="FD338" s="1321"/>
      <c r="FE338" s="1321"/>
      <c r="FF338" s="1321"/>
      <c r="FG338" s="1321"/>
      <c r="FH338" s="1321"/>
      <c r="FI338" s="1345"/>
      <c r="FJ338" s="1345"/>
      <c r="FK338" s="1345"/>
      <c r="FL338" s="1345"/>
      <c r="FM338" s="1321"/>
      <c r="FN338" s="1321"/>
      <c r="FO338" s="1321"/>
      <c r="FP338" s="1321"/>
      <c r="FQ338" s="1321"/>
      <c r="FR338" s="1321"/>
      <c r="FS338" s="1345"/>
      <c r="FT338" s="1345"/>
      <c r="FU338" s="1345"/>
      <c r="FV338" s="1345"/>
      <c r="FW338" s="1321"/>
      <c r="FX338" s="1321"/>
      <c r="FY338" s="1321"/>
      <c r="FZ338" s="1321"/>
      <c r="GA338" s="1345"/>
      <c r="GB338" s="1321"/>
      <c r="GC338" s="1321"/>
      <c r="GD338" s="1321"/>
      <c r="GE338" s="1321"/>
      <c r="GF338" s="1321"/>
      <c r="GG338" s="1321" t="s">
        <v>1349</v>
      </c>
      <c r="GH338" s="1321" t="s">
        <v>1349</v>
      </c>
      <c r="GI338" s="1321" t="s">
        <v>1349</v>
      </c>
      <c r="GJ338" s="1321" t="s">
        <v>1349</v>
      </c>
      <c r="GK338" s="1321" t="s">
        <v>1349</v>
      </c>
      <c r="GL338" s="1321" t="s">
        <v>1349</v>
      </c>
      <c r="GM338" s="1321" t="s">
        <v>1349</v>
      </c>
      <c r="GN338" s="1321" t="s">
        <v>1349</v>
      </c>
      <c r="GO338" s="1321" t="s">
        <v>1349</v>
      </c>
      <c r="GP338" s="1321" t="s">
        <v>1349</v>
      </c>
      <c r="GQ338" s="1321" t="s">
        <v>1349</v>
      </c>
      <c r="GR338" s="1321" t="s">
        <v>1349</v>
      </c>
      <c r="GS338" s="1321" t="s">
        <v>1349</v>
      </c>
      <c r="GT338" s="1321" t="s">
        <v>1349</v>
      </c>
      <c r="GU338" s="1321" t="s">
        <v>1349</v>
      </c>
      <c r="GV338" s="1321" t="s">
        <v>1349</v>
      </c>
      <c r="GW338" s="1321"/>
      <c r="GX338" s="1321"/>
      <c r="GY338" s="1321"/>
      <c r="GZ338" s="1321"/>
      <c r="HA338" s="1321"/>
      <c r="HB338" s="1321"/>
      <c r="HC338" s="1321"/>
      <c r="HD338" s="1321"/>
      <c r="HE338" s="1321"/>
      <c r="HF338" s="1321"/>
      <c r="HG338" s="1321"/>
      <c r="HH338" s="1321"/>
      <c r="HI338" s="1321"/>
      <c r="HJ338" s="1321"/>
      <c r="HK338" s="1321"/>
      <c r="HL338" s="1321"/>
      <c r="HM338" s="1321"/>
      <c r="HN338" s="1321"/>
      <c r="HO338" s="1321"/>
      <c r="HP338" s="1321"/>
      <c r="HQ338" s="1321"/>
      <c r="HR338" s="1321"/>
      <c r="HS338" s="1321"/>
      <c r="HT338" s="1321"/>
      <c r="HU338" s="1321"/>
      <c r="HV338" s="1321"/>
      <c r="HW338" s="1321"/>
      <c r="HX338" s="1321"/>
      <c r="HY338" s="1321"/>
      <c r="HZ338" s="1321"/>
      <c r="IA338" s="1321"/>
      <c r="IB338" s="1321"/>
      <c r="IC338" s="1321"/>
      <c r="ID338" s="1321"/>
      <c r="IE338" s="1321"/>
      <c r="IF338" s="1321"/>
      <c r="IG338" s="1321"/>
      <c r="IH338" s="1321"/>
      <c r="II338" s="1321"/>
      <c r="IJ338" s="1321"/>
      <c r="IK338" s="1321"/>
      <c r="IL338" s="1321"/>
      <c r="IM338" s="1321"/>
      <c r="IN338" s="1368"/>
    </row>
    <row r="339" spans="1:248" ht="12.75" customHeight="1" x14ac:dyDescent="0.2">
      <c r="A339" s="1319"/>
      <c r="B339" s="1321"/>
      <c r="C339" s="1321"/>
      <c r="D339" s="1321"/>
      <c r="E339" s="1321"/>
      <c r="F339" s="1321"/>
      <c r="G339" s="1321"/>
      <c r="H339" s="1321"/>
      <c r="I339" s="1321"/>
      <c r="J339" s="1321"/>
      <c r="K339" s="1321"/>
      <c r="L339" s="1321"/>
      <c r="M339" s="1321"/>
      <c r="N339" s="1321"/>
      <c r="O339" s="1321"/>
      <c r="P339" s="1321"/>
      <c r="Q339" s="1321"/>
      <c r="R339" s="1321"/>
      <c r="S339" s="1321"/>
      <c r="T339" s="1321"/>
      <c r="U339" s="1321"/>
      <c r="V339" s="1321"/>
      <c r="W339" s="1321"/>
      <c r="X339" s="1321"/>
      <c r="Y339" s="1321"/>
      <c r="Z339" s="1321"/>
      <c r="AA339" s="1321"/>
      <c r="AB339" s="1321"/>
      <c r="AC339" s="1321"/>
      <c r="AD339" s="1321"/>
      <c r="AE339" s="1321"/>
      <c r="AF339" s="1321"/>
      <c r="AG339" s="1321"/>
      <c r="AH339" s="1321"/>
      <c r="AI339" s="1321"/>
      <c r="AJ339" s="1321"/>
      <c r="AK339" s="1321"/>
      <c r="AL339" s="1321"/>
      <c r="AM339" s="1321"/>
      <c r="AN339" s="1321"/>
      <c r="AO339" s="1321"/>
      <c r="AP339" s="1321"/>
      <c r="AQ339" s="1321"/>
      <c r="AR339" s="1321"/>
      <c r="AS339" s="1321"/>
      <c r="AT339" s="1321"/>
      <c r="AU339" s="1321"/>
      <c r="AV339" s="1321"/>
      <c r="AW339" s="1321"/>
      <c r="AX339" s="1321"/>
      <c r="AY339" s="1321"/>
      <c r="AZ339" s="1321"/>
      <c r="BA339" s="1321"/>
      <c r="BB339" s="1321"/>
      <c r="BC339" s="1321"/>
      <c r="BD339" s="1321"/>
      <c r="BE339" s="1321"/>
      <c r="BF339" s="1321"/>
      <c r="BG339" s="1321"/>
      <c r="BH339" s="1321"/>
      <c r="BI339" s="1321"/>
      <c r="BJ339" s="1321"/>
      <c r="BK339" s="1345"/>
      <c r="BL339" s="1345"/>
      <c r="BM339" s="1346"/>
      <c r="BN339" s="1321"/>
      <c r="BO339" s="1321"/>
      <c r="BP339" s="1321"/>
      <c r="BQ339" s="1321"/>
      <c r="BR339" s="1321"/>
      <c r="BS339" s="1321"/>
      <c r="BT339" s="1321"/>
      <c r="BU339" s="1321"/>
      <c r="BV339" s="1345"/>
      <c r="BW339" s="1345"/>
      <c r="BX339" s="1321"/>
      <c r="BY339" s="1321"/>
      <c r="BZ339" s="1321"/>
      <c r="CA339" s="1321"/>
      <c r="CB339" s="1321"/>
      <c r="CC339" s="1321"/>
      <c r="CD339" s="1345"/>
      <c r="CE339" s="1345"/>
      <c r="CF339" s="1345"/>
      <c r="CG339" s="1345"/>
      <c r="CH339" s="1345"/>
      <c r="CI339" s="1321"/>
      <c r="CJ339" s="1321"/>
      <c r="CK339" s="1321"/>
      <c r="CL339" s="1321"/>
      <c r="CM339" s="1321"/>
      <c r="CN339" s="1321"/>
      <c r="CO339" s="1321"/>
      <c r="CP339" s="1321"/>
      <c r="CQ339" s="1321"/>
      <c r="CR339" s="1321"/>
      <c r="CS339" s="1321"/>
      <c r="CT339" s="1321"/>
      <c r="CU339" s="1321"/>
      <c r="CV339" s="1321"/>
      <c r="CW339" s="1321"/>
      <c r="CX339" s="1321"/>
      <c r="CY339" s="1321"/>
      <c r="CZ339" s="1321"/>
      <c r="DA339" s="1321"/>
      <c r="DB339" s="1321"/>
      <c r="DC339" s="1321"/>
      <c r="DD339" s="1321"/>
      <c r="DE339" s="1321"/>
      <c r="DF339" s="1321"/>
      <c r="DG339" s="1321"/>
      <c r="DH339" s="1321"/>
      <c r="DI339" s="1321"/>
      <c r="DJ339" s="1321"/>
      <c r="DK339" s="1321"/>
      <c r="DL339" s="1321"/>
      <c r="DM339" s="1321"/>
      <c r="DN339" s="1321"/>
      <c r="DO339" s="1321"/>
      <c r="DP339" s="1321"/>
      <c r="DQ339" s="1321"/>
      <c r="DR339" s="1321"/>
      <c r="DS339" s="1321"/>
      <c r="DT339" s="1346"/>
      <c r="DU339" s="1346"/>
      <c r="DV339" s="1321"/>
      <c r="DW339" s="1321"/>
      <c r="DX339" s="1321"/>
      <c r="DY339" s="1321"/>
      <c r="DZ339" s="1321"/>
      <c r="EA339" s="1321"/>
      <c r="EB339" s="1321"/>
      <c r="EC339" s="1321"/>
      <c r="ED339" s="1345"/>
      <c r="EE339" s="1345"/>
      <c r="EF339" s="1321"/>
      <c r="EG339" s="1321"/>
      <c r="EH339" s="1321"/>
      <c r="EI339" s="1321"/>
      <c r="EJ339" s="1321"/>
      <c r="EK339" s="1345"/>
      <c r="EL339" s="1345"/>
      <c r="EM339" s="1321"/>
      <c r="EN339" s="1321"/>
      <c r="EO339" s="1321"/>
      <c r="EP339" s="1321"/>
      <c r="EQ339" s="1321"/>
      <c r="ER339" s="1345"/>
      <c r="ES339" s="1345"/>
      <c r="ET339" s="1321"/>
      <c r="EU339" s="1321"/>
      <c r="EV339" s="1321"/>
      <c r="EW339" s="1321"/>
      <c r="EX339" s="1321"/>
      <c r="EY339" s="1321"/>
      <c r="EZ339" s="1345"/>
      <c r="FA339" s="1345"/>
      <c r="FB339" s="1345"/>
      <c r="FC339" s="1321"/>
      <c r="FD339" s="1321"/>
      <c r="FE339" s="1321"/>
      <c r="FF339" s="1321"/>
      <c r="FG339" s="1321"/>
      <c r="FH339" s="1321"/>
      <c r="FI339" s="1345"/>
      <c r="FJ339" s="1345"/>
      <c r="FK339" s="1345"/>
      <c r="FL339" s="1345"/>
      <c r="FM339" s="1321"/>
      <c r="FN339" s="1321"/>
      <c r="FO339" s="1321"/>
      <c r="FP339" s="1321"/>
      <c r="FQ339" s="1321"/>
      <c r="FR339" s="1321"/>
      <c r="FS339" s="1345"/>
      <c r="FT339" s="1345"/>
      <c r="FU339" s="1345"/>
      <c r="FV339" s="1345"/>
      <c r="FW339" s="1321"/>
      <c r="FX339" s="1321"/>
      <c r="FY339" s="1321"/>
      <c r="FZ339" s="1321"/>
      <c r="GA339" s="1345"/>
      <c r="GB339" s="1321"/>
      <c r="GC339" s="1321"/>
      <c r="GD339" s="1321"/>
      <c r="GE339" s="1321"/>
      <c r="GF339" s="1321"/>
      <c r="GG339" s="1321" t="s">
        <v>1349</v>
      </c>
      <c r="GH339" s="1321" t="s">
        <v>1349</v>
      </c>
      <c r="GI339" s="1321" t="s">
        <v>1349</v>
      </c>
      <c r="GJ339" s="1321" t="s">
        <v>1349</v>
      </c>
      <c r="GK339" s="1321" t="s">
        <v>1349</v>
      </c>
      <c r="GL339" s="1321" t="s">
        <v>1349</v>
      </c>
      <c r="GM339" s="1321" t="s">
        <v>1349</v>
      </c>
      <c r="GN339" s="1321" t="s">
        <v>1349</v>
      </c>
      <c r="GO339" s="1321" t="s">
        <v>1349</v>
      </c>
      <c r="GP339" s="1321" t="s">
        <v>1349</v>
      </c>
      <c r="GQ339" s="1321" t="s">
        <v>1349</v>
      </c>
      <c r="GR339" s="1321" t="s">
        <v>1349</v>
      </c>
      <c r="GS339" s="1321" t="s">
        <v>1349</v>
      </c>
      <c r="GT339" s="1321" t="s">
        <v>1349</v>
      </c>
      <c r="GU339" s="1321" t="s">
        <v>1349</v>
      </c>
      <c r="GV339" s="1321" t="s">
        <v>1349</v>
      </c>
      <c r="GW339" s="1321"/>
      <c r="GX339" s="1321"/>
      <c r="GY339" s="1321"/>
      <c r="GZ339" s="1321"/>
      <c r="HA339" s="1321"/>
      <c r="HB339" s="1321"/>
      <c r="HC339" s="1321"/>
      <c r="HD339" s="1321"/>
      <c r="HE339" s="1321"/>
      <c r="HF339" s="1321"/>
      <c r="HG339" s="1321"/>
      <c r="HH339" s="1321"/>
      <c r="HI339" s="1321"/>
      <c r="HJ339" s="1321"/>
      <c r="HK339" s="1321"/>
      <c r="HL339" s="1321"/>
      <c r="HM339" s="1321"/>
      <c r="HN339" s="1321"/>
      <c r="HO339" s="1321"/>
      <c r="HP339" s="1321"/>
      <c r="HQ339" s="1321"/>
      <c r="HR339" s="1321"/>
      <c r="HS339" s="1321"/>
      <c r="HT339" s="1321"/>
      <c r="HU339" s="1321"/>
      <c r="HV339" s="1321"/>
      <c r="HW339" s="1321"/>
      <c r="HX339" s="1321"/>
      <c r="HY339" s="1321"/>
      <c r="HZ339" s="1321"/>
      <c r="IA339" s="1321"/>
      <c r="IB339" s="1321"/>
      <c r="IC339" s="1321"/>
      <c r="ID339" s="1321"/>
      <c r="IE339" s="1321"/>
      <c r="IF339" s="1321"/>
      <c r="IG339" s="1321"/>
      <c r="IH339" s="1321"/>
      <c r="II339" s="1321"/>
      <c r="IJ339" s="1321"/>
      <c r="IK339" s="1321"/>
      <c r="IL339" s="1321"/>
      <c r="IM339" s="1321"/>
      <c r="IN339" s="1368"/>
    </row>
    <row r="340" spans="1:248" ht="12.75" customHeight="1" x14ac:dyDescent="0.2">
      <c r="A340" s="1319"/>
      <c r="B340" s="1321"/>
      <c r="C340" s="1321"/>
      <c r="D340" s="1321"/>
      <c r="E340" s="1321"/>
      <c r="F340" s="1321"/>
      <c r="G340" s="1321"/>
      <c r="H340" s="1321"/>
      <c r="I340" s="1321"/>
      <c r="J340" s="1321"/>
      <c r="K340" s="1321"/>
      <c r="L340" s="1321"/>
      <c r="M340" s="1321"/>
      <c r="N340" s="1321"/>
      <c r="O340" s="1321"/>
      <c r="P340" s="1321"/>
      <c r="Q340" s="1321"/>
      <c r="R340" s="1321"/>
      <c r="S340" s="1321"/>
      <c r="T340" s="1321"/>
      <c r="U340" s="1321"/>
      <c r="V340" s="1321"/>
      <c r="W340" s="1321"/>
      <c r="X340" s="1321"/>
      <c r="Y340" s="1321"/>
      <c r="Z340" s="1321"/>
      <c r="AA340" s="1321"/>
      <c r="AB340" s="1321"/>
      <c r="AC340" s="1321"/>
      <c r="AD340" s="1321"/>
      <c r="AE340" s="1321"/>
      <c r="AF340" s="1321"/>
      <c r="AG340" s="1321"/>
      <c r="AH340" s="1321"/>
      <c r="AI340" s="1321"/>
      <c r="AJ340" s="1321"/>
      <c r="AK340" s="1321"/>
      <c r="AL340" s="1321"/>
      <c r="AM340" s="1321"/>
      <c r="AN340" s="1321"/>
      <c r="AO340" s="1321"/>
      <c r="AP340" s="1321"/>
      <c r="AQ340" s="1321"/>
      <c r="AR340" s="1321"/>
      <c r="AS340" s="1321"/>
      <c r="AT340" s="1321"/>
      <c r="AU340" s="1321"/>
      <c r="AV340" s="1321"/>
      <c r="AW340" s="1321"/>
      <c r="AX340" s="1321"/>
      <c r="AY340" s="1321"/>
      <c r="AZ340" s="1321"/>
      <c r="BA340" s="1321"/>
      <c r="BB340" s="1336" t="s">
        <v>1749</v>
      </c>
      <c r="BC340" s="1336"/>
      <c r="BD340" s="1336"/>
      <c r="BE340" s="1336"/>
      <c r="BF340" s="1321"/>
      <c r="BG340" s="1321"/>
      <c r="BH340" s="1321"/>
      <c r="BI340" s="1321"/>
      <c r="BJ340" s="1321"/>
      <c r="BK340" s="1345"/>
      <c r="BL340" s="1345"/>
      <c r="BM340" s="1346"/>
      <c r="BN340" s="1321"/>
      <c r="BO340" s="1321"/>
      <c r="BP340" s="1321"/>
      <c r="BQ340" s="1321"/>
      <c r="BR340" s="1321"/>
      <c r="BS340" s="1321"/>
      <c r="BT340" s="1321"/>
      <c r="BU340" s="1321"/>
      <c r="BV340" s="1345"/>
      <c r="BW340" s="1345"/>
      <c r="BX340" s="1321"/>
      <c r="BY340" s="1321"/>
      <c r="BZ340" s="1321"/>
      <c r="CA340" s="1321"/>
      <c r="CB340" s="1321"/>
      <c r="CC340" s="1321"/>
      <c r="CD340" s="1345"/>
      <c r="CE340" s="1345"/>
      <c r="CF340" s="1345"/>
      <c r="CG340" s="1345"/>
      <c r="CH340" s="1345"/>
      <c r="CI340" s="1321"/>
      <c r="CJ340" s="1321"/>
      <c r="CK340" s="1321"/>
      <c r="CL340" s="1321"/>
      <c r="CM340" s="1321"/>
      <c r="CN340" s="1321"/>
      <c r="CO340" s="1321"/>
      <c r="CP340" s="1321"/>
      <c r="CQ340" s="1321"/>
      <c r="CR340" s="1321"/>
      <c r="CS340" s="1321"/>
      <c r="CT340" s="1321"/>
      <c r="CU340" s="1321"/>
      <c r="CV340" s="1321"/>
      <c r="CW340" s="1321"/>
      <c r="CX340" s="1321"/>
      <c r="CY340" s="1321"/>
      <c r="CZ340" s="1321"/>
      <c r="DA340" s="1321"/>
      <c r="DB340" s="1321"/>
      <c r="DC340" s="1321"/>
      <c r="DD340" s="1321"/>
      <c r="DE340" s="1321"/>
      <c r="DF340" s="1321"/>
      <c r="DG340" s="1321"/>
      <c r="DH340" s="1321"/>
      <c r="DI340" s="1321"/>
      <c r="DJ340" s="1321"/>
      <c r="DK340" s="1321"/>
      <c r="DL340" s="1321"/>
      <c r="DM340" s="1321"/>
      <c r="DN340" s="1321"/>
      <c r="DO340" s="1321"/>
      <c r="DP340" s="1321"/>
      <c r="DQ340" s="1321"/>
      <c r="DR340" s="1321"/>
      <c r="DS340" s="1321"/>
      <c r="DT340" s="1346"/>
      <c r="DU340" s="1346"/>
      <c r="DV340" s="1321"/>
      <c r="DW340" s="1321"/>
      <c r="DX340" s="1321"/>
      <c r="DY340" s="1321"/>
      <c r="DZ340" s="1321"/>
      <c r="EA340" s="1321"/>
      <c r="EB340" s="1321"/>
      <c r="EC340" s="1321"/>
      <c r="ED340" s="1345"/>
      <c r="EE340" s="1345"/>
      <c r="EF340" s="1321"/>
      <c r="EG340" s="1321"/>
      <c r="EH340" s="1321"/>
      <c r="EI340" s="1321"/>
      <c r="EJ340" s="1321"/>
      <c r="EK340" s="1345"/>
      <c r="EL340" s="1345"/>
      <c r="EM340" s="1321"/>
      <c r="EN340" s="1321"/>
      <c r="EO340" s="1321"/>
      <c r="EP340" s="1321"/>
      <c r="EQ340" s="1321"/>
      <c r="ER340" s="1345"/>
      <c r="ES340" s="1345"/>
      <c r="ET340" s="1321"/>
      <c r="EU340" s="1321"/>
      <c r="EV340" s="1321"/>
      <c r="EW340" s="1321"/>
      <c r="EX340" s="1321"/>
      <c r="EY340" s="1321"/>
      <c r="EZ340" s="1345"/>
      <c r="FA340" s="1345"/>
      <c r="FB340" s="1345"/>
      <c r="FC340" s="1321"/>
      <c r="FD340" s="1321"/>
      <c r="FE340" s="1321"/>
      <c r="FF340" s="1321"/>
      <c r="FG340" s="1321"/>
      <c r="FH340" s="1321"/>
      <c r="FI340" s="1345"/>
      <c r="FJ340" s="1345"/>
      <c r="FK340" s="1345"/>
      <c r="FL340" s="1345"/>
      <c r="FM340" s="1321"/>
      <c r="FN340" s="1321"/>
      <c r="FO340" s="1321"/>
      <c r="FP340" s="1321"/>
      <c r="FQ340" s="1321"/>
      <c r="FR340" s="1321"/>
      <c r="FS340" s="1345"/>
      <c r="FT340" s="1345"/>
      <c r="FU340" s="1345"/>
      <c r="FV340" s="1345"/>
      <c r="FW340" s="1321"/>
      <c r="FX340" s="1321"/>
      <c r="FY340" s="1321"/>
      <c r="FZ340" s="1321"/>
      <c r="GA340" s="1345"/>
      <c r="GB340" s="1321"/>
      <c r="GC340" s="1321"/>
      <c r="GD340" s="1321"/>
      <c r="GE340" s="1321"/>
      <c r="GF340" s="1321"/>
      <c r="GG340" s="1321" t="s">
        <v>1349</v>
      </c>
      <c r="GH340" s="1321" t="s">
        <v>1349</v>
      </c>
      <c r="GI340" s="1321" t="s">
        <v>1349</v>
      </c>
      <c r="GJ340" s="1321" t="s">
        <v>1349</v>
      </c>
      <c r="GK340" s="1321" t="s">
        <v>1349</v>
      </c>
      <c r="GL340" s="1321" t="s">
        <v>1349</v>
      </c>
      <c r="GM340" s="1321" t="s">
        <v>1349</v>
      </c>
      <c r="GN340" s="1321" t="s">
        <v>1349</v>
      </c>
      <c r="GO340" s="1321" t="s">
        <v>1349</v>
      </c>
      <c r="GP340" s="1321" t="s">
        <v>1349</v>
      </c>
      <c r="GQ340" s="1321" t="s">
        <v>1349</v>
      </c>
      <c r="GR340" s="1321" t="s">
        <v>1349</v>
      </c>
      <c r="GS340" s="1321" t="s">
        <v>1349</v>
      </c>
      <c r="GT340" s="1321" t="s">
        <v>1349</v>
      </c>
      <c r="GU340" s="1321" t="s">
        <v>1349</v>
      </c>
      <c r="GV340" s="1321" t="s">
        <v>1349</v>
      </c>
      <c r="GW340" s="1321"/>
      <c r="GX340" s="1321"/>
      <c r="GY340" s="1321"/>
      <c r="GZ340" s="1321"/>
      <c r="HA340" s="1321"/>
      <c r="HB340" s="1321"/>
      <c r="HC340" s="1321"/>
      <c r="HD340" s="1321"/>
      <c r="HE340" s="1321"/>
      <c r="HF340" s="1321"/>
      <c r="HG340" s="1321"/>
      <c r="HH340" s="1321"/>
      <c r="HI340" s="1321"/>
      <c r="HJ340" s="1321"/>
      <c r="HK340" s="1321"/>
      <c r="HL340" s="1321"/>
      <c r="HM340" s="1321"/>
      <c r="HN340" s="1321"/>
      <c r="HO340" s="1321"/>
      <c r="HP340" s="1321"/>
      <c r="HQ340" s="1321"/>
      <c r="HR340" s="1321"/>
      <c r="HS340" s="1321"/>
      <c r="HT340" s="1321"/>
      <c r="HU340" s="1321"/>
      <c r="HV340" s="1321"/>
      <c r="HW340" s="1321"/>
      <c r="HX340" s="1321"/>
      <c r="HY340" s="1321"/>
      <c r="HZ340" s="1321"/>
      <c r="IA340" s="1321"/>
      <c r="IB340" s="1321"/>
      <c r="IC340" s="1321"/>
      <c r="ID340" s="1321"/>
      <c r="IE340" s="1321"/>
      <c r="IF340" s="1321"/>
      <c r="IG340" s="1321"/>
      <c r="IH340" s="1321"/>
      <c r="II340" s="1321"/>
      <c r="IJ340" s="1321"/>
      <c r="IK340" s="1321"/>
      <c r="IL340" s="1321"/>
      <c r="IM340" s="1321"/>
      <c r="IN340" s="1368"/>
    </row>
    <row r="341" spans="1:248" ht="12.75" customHeight="1" x14ac:dyDescent="0.2">
      <c r="A341" s="1319"/>
      <c r="B341" s="1321"/>
      <c r="C341" s="1321"/>
      <c r="D341" s="1321"/>
      <c r="E341" s="1321"/>
      <c r="F341" s="1321"/>
      <c r="G341" s="1321"/>
      <c r="H341" s="1321"/>
      <c r="I341" s="1321"/>
      <c r="J341" s="1321"/>
      <c r="K341" s="1321"/>
      <c r="L341" s="1321"/>
      <c r="M341" s="1321"/>
      <c r="N341" s="1321"/>
      <c r="O341" s="1321"/>
      <c r="P341" s="1321"/>
      <c r="Q341" s="1321"/>
      <c r="R341" s="1321"/>
      <c r="S341" s="1321"/>
      <c r="T341" s="1321"/>
      <c r="U341" s="1321"/>
      <c r="V341" s="1321"/>
      <c r="W341" s="1321"/>
      <c r="X341" s="1321"/>
      <c r="Y341" s="1321"/>
      <c r="Z341" s="1321"/>
      <c r="AA341" s="1321"/>
      <c r="AB341" s="1321"/>
      <c r="AC341" s="1321"/>
      <c r="AD341" s="1321"/>
      <c r="AE341" s="1321"/>
      <c r="AF341" s="1321"/>
      <c r="AG341" s="1321"/>
      <c r="AH341" s="1321"/>
      <c r="AI341" s="1321"/>
      <c r="AJ341" s="1321"/>
      <c r="AK341" s="1321"/>
      <c r="AL341" s="1321"/>
      <c r="AM341" s="1321"/>
      <c r="AN341" s="1321"/>
      <c r="AO341" s="1321"/>
      <c r="AP341" s="1321"/>
      <c r="AQ341" s="1321"/>
      <c r="AR341" s="1321"/>
      <c r="AS341" s="1321"/>
      <c r="AT341" s="1321"/>
      <c r="AU341" s="1321"/>
      <c r="AV341" s="1321"/>
      <c r="AW341" s="1321"/>
      <c r="AX341" s="1321"/>
      <c r="AY341" s="1321"/>
      <c r="AZ341" s="1321"/>
      <c r="BA341" s="1321"/>
      <c r="BB341" s="1079" t="s">
        <v>1276</v>
      </c>
      <c r="BC341" s="1271" t="s">
        <v>1746</v>
      </c>
      <c r="BD341" s="1271" t="s">
        <v>1747</v>
      </c>
      <c r="BE341" s="1271" t="s">
        <v>1748</v>
      </c>
      <c r="BF341" s="1321"/>
      <c r="BG341" s="1321"/>
      <c r="BH341" s="1321"/>
      <c r="BI341" s="1321"/>
      <c r="BJ341" s="1321"/>
      <c r="BK341" s="1345"/>
      <c r="BL341" s="1345"/>
      <c r="BM341" s="1346"/>
      <c r="BN341" s="1321"/>
      <c r="BO341" s="1321"/>
      <c r="BP341" s="1321"/>
      <c r="BQ341" s="1321"/>
      <c r="BR341" s="1321"/>
      <c r="BS341" s="1321"/>
      <c r="BT341" s="1321"/>
      <c r="BU341" s="1321"/>
      <c r="BV341" s="1345"/>
      <c r="BW341" s="1345"/>
      <c r="BX341" s="1321"/>
      <c r="BY341" s="1321"/>
      <c r="BZ341" s="1321"/>
      <c r="CA341" s="1321"/>
      <c r="CB341" s="1321"/>
      <c r="CC341" s="1321"/>
      <c r="CD341" s="1345"/>
      <c r="CE341" s="1345"/>
      <c r="CF341" s="1345"/>
      <c r="CG341" s="1345"/>
      <c r="CH341" s="1345"/>
      <c r="CI341" s="1321"/>
      <c r="CJ341" s="1321"/>
      <c r="CK341" s="1321"/>
      <c r="CL341" s="1321"/>
      <c r="CM341" s="1321"/>
      <c r="CN341" s="1321"/>
      <c r="CO341" s="1321"/>
      <c r="CP341" s="1321"/>
      <c r="CQ341" s="1321"/>
      <c r="CR341" s="1321"/>
      <c r="CS341" s="1321"/>
      <c r="CT341" s="1321"/>
      <c r="CU341" s="1321"/>
      <c r="CV341" s="1321"/>
      <c r="CW341" s="1321"/>
      <c r="CX341" s="1321"/>
      <c r="CY341" s="1321"/>
      <c r="CZ341" s="1321"/>
      <c r="DA341" s="1321"/>
      <c r="DB341" s="1321"/>
      <c r="DC341" s="1321"/>
      <c r="DD341" s="1321"/>
      <c r="DE341" s="1321"/>
      <c r="DF341" s="1321"/>
      <c r="DG341" s="1321"/>
      <c r="DH341" s="1321"/>
      <c r="DI341" s="1321"/>
      <c r="DJ341" s="1321"/>
      <c r="DK341" s="1321"/>
      <c r="DL341" s="1321"/>
      <c r="DM341" s="1321"/>
      <c r="DN341" s="1321"/>
      <c r="DO341" s="1321"/>
      <c r="DP341" s="1321"/>
      <c r="DQ341" s="1321"/>
      <c r="DR341" s="1321"/>
      <c r="DS341" s="1321"/>
      <c r="DT341" s="1346"/>
      <c r="DU341" s="1346"/>
      <c r="DV341" s="1321"/>
      <c r="DW341" s="1321"/>
      <c r="DX341" s="1321"/>
      <c r="DY341" s="1321"/>
      <c r="DZ341" s="1321"/>
      <c r="EA341" s="1321"/>
      <c r="EB341" s="1321"/>
      <c r="EC341" s="1321"/>
      <c r="ED341" s="1345"/>
      <c r="EE341" s="1345"/>
      <c r="EF341" s="1321"/>
      <c r="EG341" s="1321"/>
      <c r="EH341" s="1321"/>
      <c r="EI341" s="1321"/>
      <c r="EJ341" s="1321"/>
      <c r="EK341" s="1345"/>
      <c r="EL341" s="1345"/>
      <c r="EM341" s="1321"/>
      <c r="EN341" s="1321"/>
      <c r="EO341" s="1321"/>
      <c r="EP341" s="1321"/>
      <c r="EQ341" s="1321"/>
      <c r="ER341" s="1345"/>
      <c r="ES341" s="1345"/>
      <c r="ET341" s="1321"/>
      <c r="EU341" s="1321"/>
      <c r="EV341" s="1321"/>
      <c r="EW341" s="1321"/>
      <c r="EX341" s="1321"/>
      <c r="EY341" s="1321"/>
      <c r="EZ341" s="1345"/>
      <c r="FA341" s="1345"/>
      <c r="FB341" s="1345"/>
      <c r="FC341" s="1321"/>
      <c r="FD341" s="1321"/>
      <c r="FE341" s="1321"/>
      <c r="FF341" s="1321"/>
      <c r="FG341" s="1321"/>
      <c r="FH341" s="1321"/>
      <c r="FI341" s="1345"/>
      <c r="FJ341" s="1345"/>
      <c r="FK341" s="1345"/>
      <c r="FL341" s="1345"/>
      <c r="FM341" s="1321"/>
      <c r="FN341" s="1321"/>
      <c r="FO341" s="1321"/>
      <c r="FP341" s="1321"/>
      <c r="FQ341" s="1321"/>
      <c r="FR341" s="1321"/>
      <c r="FS341" s="1345"/>
      <c r="FT341" s="1345"/>
      <c r="FU341" s="1345"/>
      <c r="FV341" s="1345"/>
      <c r="FW341" s="1321"/>
      <c r="FX341" s="1321"/>
      <c r="FY341" s="1321"/>
      <c r="FZ341" s="1321"/>
      <c r="GA341" s="1345"/>
      <c r="GB341" s="1321"/>
      <c r="GC341" s="1321"/>
      <c r="GD341" s="1321"/>
      <c r="GE341" s="1321"/>
      <c r="GF341" s="1321"/>
      <c r="GG341" s="1321" t="s">
        <v>1349</v>
      </c>
      <c r="GH341" s="1321" t="s">
        <v>1349</v>
      </c>
      <c r="GI341" s="1321" t="s">
        <v>1349</v>
      </c>
      <c r="GJ341" s="1321" t="s">
        <v>1349</v>
      </c>
      <c r="GK341" s="1321" t="s">
        <v>1349</v>
      </c>
      <c r="GL341" s="1321" t="s">
        <v>1349</v>
      </c>
      <c r="GM341" s="1321" t="s">
        <v>1349</v>
      </c>
      <c r="GN341" s="1321" t="s">
        <v>1349</v>
      </c>
      <c r="GO341" s="1321" t="s">
        <v>1349</v>
      </c>
      <c r="GP341" s="1321" t="s">
        <v>1349</v>
      </c>
      <c r="GQ341" s="1321" t="s">
        <v>1349</v>
      </c>
      <c r="GR341" s="1321" t="s">
        <v>1349</v>
      </c>
      <c r="GS341" s="1321" t="s">
        <v>1349</v>
      </c>
      <c r="GT341" s="1321" t="s">
        <v>1349</v>
      </c>
      <c r="GU341" s="1321" t="s">
        <v>1349</v>
      </c>
      <c r="GV341" s="1321" t="s">
        <v>1349</v>
      </c>
      <c r="GW341" s="1321"/>
      <c r="GX341" s="1321"/>
      <c r="GY341" s="1321"/>
      <c r="GZ341" s="1321"/>
      <c r="HA341" s="1321"/>
      <c r="HB341" s="1321"/>
      <c r="HC341" s="1321"/>
      <c r="HD341" s="1321"/>
      <c r="HE341" s="1321"/>
      <c r="HF341" s="1321"/>
      <c r="HG341" s="1321"/>
      <c r="HH341" s="1321"/>
      <c r="HI341" s="1321"/>
      <c r="HJ341" s="1321"/>
      <c r="HK341" s="1321"/>
      <c r="HL341" s="1321"/>
      <c r="HM341" s="1321"/>
      <c r="HN341" s="1321"/>
      <c r="HO341" s="1321"/>
      <c r="HP341" s="1321"/>
      <c r="HQ341" s="1321"/>
      <c r="HR341" s="1321"/>
      <c r="HS341" s="1321"/>
      <c r="HT341" s="1321"/>
      <c r="HU341" s="1321"/>
      <c r="HV341" s="1321"/>
      <c r="HW341" s="1321"/>
      <c r="HX341" s="1321"/>
      <c r="HY341" s="1321"/>
      <c r="HZ341" s="1321"/>
      <c r="IA341" s="1321"/>
      <c r="IB341" s="1321"/>
      <c r="IC341" s="1321"/>
      <c r="ID341" s="1321"/>
      <c r="IE341" s="1321"/>
      <c r="IF341" s="1321"/>
      <c r="IG341" s="1321"/>
      <c r="IH341" s="1321"/>
      <c r="II341" s="1321"/>
      <c r="IJ341" s="1321"/>
      <c r="IK341" s="1321"/>
      <c r="IL341" s="1321"/>
      <c r="IM341" s="1321"/>
      <c r="IN341" s="1368"/>
    </row>
    <row r="342" spans="1:248" ht="12.75" customHeight="1" x14ac:dyDescent="0.2">
      <c r="A342" s="1319"/>
      <c r="B342" s="1321"/>
      <c r="C342" s="1321"/>
      <c r="D342" s="1321"/>
      <c r="E342" s="1321"/>
      <c r="F342" s="1321"/>
      <c r="G342" s="1321"/>
      <c r="H342" s="1321"/>
      <c r="I342" s="1321"/>
      <c r="J342" s="1321"/>
      <c r="K342" s="1321"/>
      <c r="L342" s="1321"/>
      <c r="M342" s="1321"/>
      <c r="N342" s="1321"/>
      <c r="O342" s="1321"/>
      <c r="P342" s="1321"/>
      <c r="Q342" s="1321"/>
      <c r="R342" s="1321"/>
      <c r="S342" s="1321"/>
      <c r="T342" s="1321"/>
      <c r="U342" s="1321"/>
      <c r="V342" s="1321"/>
      <c r="W342" s="1321"/>
      <c r="X342" s="1321"/>
      <c r="Y342" s="1321"/>
      <c r="Z342" s="1321"/>
      <c r="AA342" s="1321"/>
      <c r="AB342" s="1321"/>
      <c r="AC342" s="1321"/>
      <c r="AD342" s="1321"/>
      <c r="AE342" s="1321"/>
      <c r="AF342" s="1321"/>
      <c r="AG342" s="1321"/>
      <c r="AH342" s="1321"/>
      <c r="AI342" s="1321"/>
      <c r="AJ342" s="1321"/>
      <c r="AK342" s="1321"/>
      <c r="AL342" s="1321"/>
      <c r="AM342" s="1321"/>
      <c r="AN342" s="1321"/>
      <c r="AO342" s="1321"/>
      <c r="AP342" s="1321"/>
      <c r="AQ342" s="1321"/>
      <c r="AR342" s="1321"/>
      <c r="AS342" s="1321"/>
      <c r="AT342" s="1321"/>
      <c r="AU342" s="1321"/>
      <c r="AV342" s="1321"/>
      <c r="AW342" s="1321"/>
      <c r="AX342" s="1321"/>
      <c r="AY342" s="1321"/>
      <c r="AZ342" s="1321"/>
      <c r="BA342" s="1321"/>
      <c r="BB342" s="1076" t="str">
        <f>BB194</f>
        <v>Avoine</v>
      </c>
      <c r="BC342" s="1267">
        <f t="array" ref="BC342">SUM((IF(QualitéAlimentsVeauxMâles_0_3_mois=BONNE,VLOOKUP("Avoine",AlimentsRationBovinsMâles,8,FALSE),0)+(IF(QualitéAlimentsVeauxFemelles_0_3_mois=BONNE,VLOOKUP("Avoine",AlimentsRationBovinsFemelles,8,FALSE),0)+(IF(QualitéAlimentsVeauxMâles_3_6_mois=BONNE,VLOOKUP("Avoine",AlimentsRationBovinsMâles,7,FALSE),0)+(IF(QualitéAlimentsVeauxFemelles_3_6_mois=BONNE,VLOOKUP("Avoine",AlimentsRationBovinsFemelles,7,FALSE),0)+(IF(QualitéAlimentsVeauxMâles_6_12_mois=BONNE,VLOOKUP("Avoine",AlimentsRationBovinsMâles,6,FALSE),0)+(IF(QualitéAlimentsVeauxFemelles_6_12_mois=BONNE,VLOOKUP("Avoine",AlimentsRationBovinsFemelles,6,FALSE),0)+(IF(QualitéAlimentsTaurillons_12_18_mois=BONNE,VLOOKUP("Avoine",AlimentsRationBovinsMâles,5,FALSE),0)+(IF(QualitéAlimentsGénisses_12_18_mois=BONNE,VLOOKUP("Avoine",AlimentsRationBovinsFemelles,5,FALSE),0)+(IF(QualitéAlimentsTaurillons_18_24_mois=BONNE,VLOOKUP("Avoine",AlimentsRationBovinsMâles,4,FALSE),0)+(IF(QualitéAlimentsGénisses_18_24_mois=BONNE,VLOOKUP("Avoine",AlimentsRationBovinsFemelles,4,FALSE),0)+(IF(QualitéAlimentsTaurillons_24_36_mois=BONNE,VLOOKUP("Avoine",AlimentsRationBovinsMâles,3,FALSE),0)+(IF(QualitéAlimentsGénisses_24_36_mois=BONNE,VLOOKUP("Avoine",AlimentsRationBovinsFemelles,3,FALSE),0)+(IF(QualitéAlimentsTaureaux=BONNE,VLOOKUP("Avoine",AlimentsRationBovinsMâles,2,FALSE),0)+(IF(QualitéAlimentsVaches=BONNE,VLOOKUP("Avoine",AlimentsRationBovinsFemelles,2,FALSE),0))))))))))))))))</f>
        <v>0</v>
      </c>
      <c r="BD342" s="1267">
        <f t="array" ref="BD342">SUM((IF(QualitéAlimentsVeauxMâles_0_3_mois=MOYENNE,VLOOKUP("Avoine",AlimentsRationBovinsMâles,8,FALSE),0)+(IF(QualitéAlimentsVeauxFemelles_0_3_mois=MOYENNE,VLOOKUP("Avoine",AlimentsRationBovinsFemelles,8,FALSE),0)+(IF(QualitéAlimentsVeauxMâles_3_6_mois=MOYENNE,VLOOKUP("Avoine",AlimentsRationBovinsMâles,7,FALSE),0)+(IF(QualitéAlimentsVeauxFemelles_3_6_mois=MOYENNE,VLOOKUP("Avoine",AlimentsRationBovinsFemelles,7,FALSE),0)+(IF(QualitéAlimentsVeauxMâles_6_12_mois=MOYENNE,VLOOKUP("Avoine",AlimentsRationBovinsMâles,6,FALSE),0)+(IF(QualitéAlimentsVeauxFemelles_6_12_mois=MOYENNE,VLOOKUP("Avoine",AlimentsRationBovinsFemelles,6,FALSE),0)+(IF(QualitéAlimentsTaurillons_12_18_mois=MOYENNE,VLOOKUP("Avoine",AlimentsRationBovinsMâles,5,FALSE),0)+(IF(QualitéAlimentsGénisses_12_18_mois=MOYENNE,VLOOKUP("Avoine",AlimentsRationBovinsFemelles,5,FALSE),0)+(IF(QualitéAlimentsTaurillons_18_24_mois=MOYENNE,VLOOKUP("Avoine",AlimentsRationBovinsMâles,4,FALSE),0)+(IF(QualitéAlimentsGénisses_18_24_mois=MOYENNE,VLOOKUP("Avoine",AlimentsRationBovinsFemelles,4,FALSE),0)+(IF(QualitéAlimentsTaurillons_24_36_mois=MOYENNE,VLOOKUP("Avoine",AlimentsRationBovinsMâles,3,FALSE),0)+(IF(QualitéAlimentsGénisses_24_36_mois=MOYENNE,VLOOKUP("Avoine",AlimentsRationBovinsFemelles,3,FALSE),0)+(IF(QualitéAlimentsTaureaux=MOYENNE,VLOOKUP("Avoine",AlimentsRationBovinsMâles,2,FALSE),0)+(IF(QualitéAlimentsVaches=MOYENNE,VLOOKUP("Avoine",AlimentsRationBovinsFemelles,2,FALSE),0))))))))))))))))</f>
        <v>0</v>
      </c>
      <c r="BE342" s="1267">
        <f t="array" ref="BE342">SUM((IF(QualitéAlimentsVeauxMâles_0_3_mois=MAUVAISE,VLOOKUP("Avoine",AlimentsRationBovinsMâles,8,FALSE),0)+(IF(QualitéAlimentsVeauxFemelles_0_3_mois=MAUVAISE,VLOOKUP("Avoine",AlimentsRationBovinsFemelles,8,FALSE),0)+(IF(QualitéAlimentsVeauxMâles_3_6_mois=MAUVAISE,VLOOKUP("Avoine",AlimentsRationBovinsMâles,7,FALSE),0)+(IF(QualitéAlimentsVeauxFemelles_3_6_mois=MAUVAISE,VLOOKUP("Avoine",AlimentsRationBovinsFemelles,7,FALSE),0)+(IF(QualitéAlimentsVeauxMâles_6_12_mois=MAUVAISE,VLOOKUP("Avoine",AlimentsRationBovinsMâles,6,FALSE),0)+(IF(QualitéAlimentsVeauxFemelles_6_12_mois=MAUVAISE,VLOOKUP("Avoine",AlimentsRationBovinsFemelles,6,FALSE),0)+(IF(QualitéAlimentsTaurillons_12_18_mois=MAUVAISE,VLOOKUP("Avoine",AlimentsRationBovinsMâles,5,FALSE),0)+(IF(QualitéAlimentsGénisses_12_18_mois=MAUVAISE,VLOOKUP("Avoine",AlimentsRationBovinsFemelles,5,FALSE),0)+(IF(QualitéAlimentsTaurillons_18_24_mois=MAUVAISE,VLOOKUP("Avoine",AlimentsRationBovinsMâles,4,FALSE),0)+(IF(QualitéAlimentsGénisses_18_24_mois=MAUVAISE,VLOOKUP("Avoine",AlimentsRationBovinsFemelles,4,FALSE),0)+(IF(QualitéAlimentsTaurillons_24_36_mois=MAUVAISE,VLOOKUP("Avoine",AlimentsRationBovinsMâles,3,FALSE),0)+(IF(QualitéAlimentsGénisses_24_36_mois=MAUVAISE,VLOOKUP("Avoine",AlimentsRationBovinsFemelles,3,FALSE),0)+(IF(QualitéAlimentsTaureaux=MAUVAISE,VLOOKUP("Avoine",AlimentsRationBovinsMâles,2,FALSE),0)+(IF(QualitéAlimentsVaches=MAUVAISE,VLOOKUP("Avoine",AlimentsRationBovinsFemelles,2,FALSE),0))))))))))))))))</f>
        <v>0</v>
      </c>
      <c r="BF342" s="1321"/>
      <c r="BG342" s="1321"/>
      <c r="BH342" s="1321"/>
      <c r="BI342" s="1321"/>
      <c r="BJ342" s="1321"/>
      <c r="BK342" s="1345"/>
      <c r="BL342" s="1345"/>
      <c r="BM342" s="1346"/>
      <c r="BN342" s="1321"/>
      <c r="BO342" s="1321"/>
      <c r="BP342" s="1321"/>
      <c r="BQ342" s="1321"/>
      <c r="BR342" s="1321"/>
      <c r="BS342" s="1321"/>
      <c r="BT342" s="1321"/>
      <c r="BU342" s="1321"/>
      <c r="BV342" s="1345"/>
      <c r="BW342" s="1345"/>
      <c r="BX342" s="1321"/>
      <c r="BY342" s="1321"/>
      <c r="BZ342" s="1321"/>
      <c r="CA342" s="1321"/>
      <c r="CB342" s="1321"/>
      <c r="CC342" s="1321"/>
      <c r="CD342" s="1345"/>
      <c r="CE342" s="1345"/>
      <c r="CF342" s="1345"/>
      <c r="CG342" s="1345"/>
      <c r="CH342" s="1345"/>
      <c r="CI342" s="1321"/>
      <c r="CJ342" s="1321"/>
      <c r="CK342" s="1321"/>
      <c r="CL342" s="1321"/>
      <c r="CM342" s="1321"/>
      <c r="CN342" s="1321"/>
      <c r="CO342" s="1321"/>
      <c r="CP342" s="1321"/>
      <c r="CQ342" s="1321"/>
      <c r="CR342" s="1321"/>
      <c r="CS342" s="1321"/>
      <c r="CT342" s="1321"/>
      <c r="CU342" s="1321"/>
      <c r="CV342" s="1321"/>
      <c r="CW342" s="1321"/>
      <c r="CX342" s="1321"/>
      <c r="CY342" s="1321"/>
      <c r="CZ342" s="1321"/>
      <c r="DA342" s="1321"/>
      <c r="DB342" s="1321"/>
      <c r="DC342" s="1321"/>
      <c r="DD342" s="1321"/>
      <c r="DE342" s="1321"/>
      <c r="DF342" s="1321"/>
      <c r="DG342" s="1321"/>
      <c r="DH342" s="1321"/>
      <c r="DI342" s="1321"/>
      <c r="DJ342" s="1321"/>
      <c r="DK342" s="1321"/>
      <c r="DL342" s="1321"/>
      <c r="DM342" s="1321"/>
      <c r="DN342" s="1321"/>
      <c r="DO342" s="1321"/>
      <c r="DP342" s="1321"/>
      <c r="DQ342" s="1321"/>
      <c r="DR342" s="1321"/>
      <c r="DS342" s="1321"/>
      <c r="DT342" s="1346"/>
      <c r="DU342" s="1346"/>
      <c r="DV342" s="1321"/>
      <c r="DW342" s="1321"/>
      <c r="DX342" s="1321"/>
      <c r="DY342" s="1321"/>
      <c r="DZ342" s="1321"/>
      <c r="EA342" s="1321"/>
      <c r="EB342" s="1321"/>
      <c r="EC342" s="1321"/>
      <c r="ED342" s="1345"/>
      <c r="EE342" s="1345"/>
      <c r="EF342" s="1321"/>
      <c r="EG342" s="1321"/>
      <c r="EH342" s="1321"/>
      <c r="EI342" s="1321"/>
      <c r="EJ342" s="1321"/>
      <c r="EK342" s="1345"/>
      <c r="EL342" s="1345"/>
      <c r="EM342" s="1321"/>
      <c r="EN342" s="1321"/>
      <c r="EO342" s="1321"/>
      <c r="EP342" s="1321"/>
      <c r="EQ342" s="1321"/>
      <c r="ER342" s="1345"/>
      <c r="ES342" s="1345"/>
      <c r="ET342" s="1321"/>
      <c r="EU342" s="1321"/>
      <c r="EV342" s="1321"/>
      <c r="EW342" s="1321"/>
      <c r="EX342" s="1321"/>
      <c r="EY342" s="1321"/>
      <c r="EZ342" s="1345"/>
      <c r="FA342" s="1345"/>
      <c r="FB342" s="1345"/>
      <c r="FC342" s="1321"/>
      <c r="FD342" s="1321"/>
      <c r="FE342" s="1321"/>
      <c r="FF342" s="1321"/>
      <c r="FG342" s="1321"/>
      <c r="FH342" s="1321"/>
      <c r="FI342" s="1345"/>
      <c r="FJ342" s="1345"/>
      <c r="FK342" s="1345"/>
      <c r="FL342" s="1345"/>
      <c r="FM342" s="1321"/>
      <c r="FN342" s="1321"/>
      <c r="FO342" s="1321"/>
      <c r="FP342" s="1321"/>
      <c r="FQ342" s="1321"/>
      <c r="FR342" s="1321"/>
      <c r="FS342" s="1345"/>
      <c r="FT342" s="1345"/>
      <c r="FU342" s="1345"/>
      <c r="FV342" s="1345"/>
      <c r="FW342" s="1321"/>
      <c r="FX342" s="1321"/>
      <c r="FY342" s="1321"/>
      <c r="FZ342" s="1321"/>
      <c r="GA342" s="1345"/>
      <c r="GB342" s="1321"/>
      <c r="GC342" s="1321"/>
      <c r="GD342" s="1321"/>
      <c r="GE342" s="1321"/>
      <c r="GF342" s="1321"/>
      <c r="GG342" s="1321" t="s">
        <v>1349</v>
      </c>
      <c r="GH342" s="1321" t="s">
        <v>1349</v>
      </c>
      <c r="GI342" s="1321" t="s">
        <v>1349</v>
      </c>
      <c r="GJ342" s="1321" t="s">
        <v>1349</v>
      </c>
      <c r="GK342" s="1321" t="s">
        <v>1349</v>
      </c>
      <c r="GL342" s="1321" t="s">
        <v>1349</v>
      </c>
      <c r="GM342" s="1321" t="s">
        <v>1349</v>
      </c>
      <c r="GN342" s="1321" t="s">
        <v>1349</v>
      </c>
      <c r="GO342" s="1321" t="s">
        <v>1349</v>
      </c>
      <c r="GP342" s="1321" t="s">
        <v>1349</v>
      </c>
      <c r="GQ342" s="1321" t="s">
        <v>1349</v>
      </c>
      <c r="GR342" s="1321" t="s">
        <v>1349</v>
      </c>
      <c r="GS342" s="1321" t="s">
        <v>1349</v>
      </c>
      <c r="GT342" s="1321" t="s">
        <v>1349</v>
      </c>
      <c r="GU342" s="1321" t="s">
        <v>1349</v>
      </c>
      <c r="GV342" s="1321" t="s">
        <v>1349</v>
      </c>
      <c r="GW342" s="1321"/>
      <c r="GX342" s="1321"/>
      <c r="GY342" s="1321"/>
      <c r="GZ342" s="1321"/>
      <c r="HA342" s="1321"/>
      <c r="HB342" s="1321"/>
      <c r="HC342" s="1321"/>
      <c r="HD342" s="1321"/>
      <c r="HE342" s="1321"/>
      <c r="HF342" s="1321"/>
      <c r="HG342" s="1321"/>
      <c r="HH342" s="1321"/>
      <c r="HI342" s="1321"/>
      <c r="HJ342" s="1321"/>
      <c r="HK342" s="1321"/>
      <c r="HL342" s="1321"/>
      <c r="HM342" s="1321"/>
      <c r="HN342" s="1321"/>
      <c r="HO342" s="1321"/>
      <c r="HP342" s="1321"/>
      <c r="HQ342" s="1321"/>
      <c r="HR342" s="1321"/>
      <c r="HS342" s="1321"/>
      <c r="HT342" s="1321"/>
      <c r="HU342" s="1321"/>
      <c r="HV342" s="1321"/>
      <c r="HW342" s="1321"/>
      <c r="HX342" s="1321"/>
      <c r="HY342" s="1321"/>
      <c r="HZ342" s="1321"/>
      <c r="IA342" s="1321"/>
      <c r="IB342" s="1321"/>
      <c r="IC342" s="1321"/>
      <c r="ID342" s="1321"/>
      <c r="IE342" s="1321"/>
      <c r="IF342" s="1321"/>
      <c r="IG342" s="1321"/>
      <c r="IH342" s="1321"/>
      <c r="II342" s="1321"/>
      <c r="IJ342" s="1321"/>
      <c r="IK342" s="1321"/>
      <c r="IL342" s="1321"/>
      <c r="IM342" s="1321"/>
      <c r="IN342" s="1368"/>
    </row>
    <row r="343" spans="1:248" ht="12.75" customHeight="1" x14ac:dyDescent="0.2">
      <c r="A343" s="1319"/>
      <c r="B343" s="1321"/>
      <c r="C343" s="1321"/>
      <c r="D343" s="1321"/>
      <c r="E343" s="1321"/>
      <c r="F343" s="1321"/>
      <c r="G343" s="1321"/>
      <c r="H343" s="1321"/>
      <c r="I343" s="1321"/>
      <c r="J343" s="1321"/>
      <c r="K343" s="1321"/>
      <c r="L343" s="1321"/>
      <c r="M343" s="1321"/>
      <c r="N343" s="1321"/>
      <c r="O343" s="1321"/>
      <c r="P343" s="1321"/>
      <c r="Q343" s="1321"/>
      <c r="R343" s="1321"/>
      <c r="S343" s="1321"/>
      <c r="T343" s="1321"/>
      <c r="U343" s="1321"/>
      <c r="V343" s="1321"/>
      <c r="W343" s="1321"/>
      <c r="X343" s="1321"/>
      <c r="Y343" s="1321"/>
      <c r="Z343" s="1321"/>
      <c r="AA343" s="1321"/>
      <c r="AB343" s="1321"/>
      <c r="AC343" s="1321"/>
      <c r="AD343" s="1321"/>
      <c r="AE343" s="1321"/>
      <c r="AF343" s="1321"/>
      <c r="AG343" s="1321"/>
      <c r="AH343" s="1321"/>
      <c r="AI343" s="1321"/>
      <c r="AJ343" s="1321"/>
      <c r="AK343" s="1321"/>
      <c r="AL343" s="1321"/>
      <c r="AM343" s="1321"/>
      <c r="AN343" s="1321"/>
      <c r="AO343" s="1321"/>
      <c r="AP343" s="1321"/>
      <c r="AQ343" s="1321"/>
      <c r="AR343" s="1321"/>
      <c r="AS343" s="1321"/>
      <c r="AT343" s="1321"/>
      <c r="AU343" s="1321"/>
      <c r="AV343" s="1321"/>
      <c r="AW343" s="1321"/>
      <c r="AX343" s="1321"/>
      <c r="AY343" s="1321"/>
      <c r="AZ343" s="1321"/>
      <c r="BA343" s="1321"/>
      <c r="BB343" s="1075" t="str">
        <f t="shared" ref="BB343:BB380" si="81">BB195</f>
        <v>Betterave</v>
      </c>
      <c r="BC343" s="1269">
        <f t="array" ref="BC343">SUM((IF(QualitéAlimentsVeauxMâles_0_3_mois=BONNE,VLOOKUP("Betterave",AlimentsRationBovinsMâles,8,FALSE),0)+(IF(QualitéAlimentsVeauxFemelles_0_3_mois=BONNE,VLOOKUP("Betterave",AlimentsRationBovinsFemelles,8,FALSE),0)+(IF(QualitéAlimentsVeauxMâles_3_6_mois=BONNE,VLOOKUP("Betterave",AlimentsRationBovinsMâles,7,FALSE),0)+(IF(QualitéAlimentsVeauxFemelles_3_6_mois=BONNE,VLOOKUP("Betterave",AlimentsRationBovinsFemelles,7,FALSE),0)+(IF(QualitéAlimentsVeauxMâles_6_12_mois=BONNE,VLOOKUP("Betterave",AlimentsRationBovinsMâles,6,FALSE),0)+(IF(QualitéAlimentsVeauxFemelles_6_12_mois=BONNE,VLOOKUP("Betterave",AlimentsRationBovinsFemelles,6,FALSE),0)+(IF(QualitéAlimentsTaurillons_12_18_mois=BONNE,VLOOKUP("Betterave",AlimentsRationBovinsMâles,5,FALSE),0)+(IF(QualitéAlimentsGénisses_12_18_mois=BONNE,VLOOKUP("Betterave",AlimentsRationBovinsFemelles,5,FALSE),0)+(IF(QualitéAlimentsTaurillons_18_24_mois=BONNE,VLOOKUP("Betterave",AlimentsRationBovinsMâles,4,FALSE),0)+(IF(QualitéAlimentsGénisses_18_24_mois=BONNE,VLOOKUP("Betterave",AlimentsRationBovinsFemelles,4,FALSE),0)+(IF(QualitéAlimentsTaurillons_24_36_mois=BONNE,VLOOKUP("Betterave",AlimentsRationBovinsMâles,3,FALSE),0)+(IF(QualitéAlimentsGénisses_24_36_mois=BONNE,VLOOKUP("Betterave",AlimentsRationBovinsFemelles,3,FALSE),0)+(IF(QualitéAlimentsTaureaux=BONNE,VLOOKUP("Betterave",AlimentsRationBovinsMâles,2,FALSE),0)+(IF(QualitéAlimentsVaches=BONNE,VLOOKUP("Betterave",AlimentsRationBovinsFemelles,2,FALSE),0))))))))))))))))</f>
        <v>0</v>
      </c>
      <c r="BD343" s="1269">
        <f t="array" ref="BD343">SUM((IF(QualitéAlimentsVeauxMâles_0_3_mois=MOYENNE,VLOOKUP("Betterave",AlimentsRationBovinsMâles,8,FALSE),0)+(IF(QualitéAlimentsVeauxFemelles_0_3_mois=MOYENNE,VLOOKUP("Betterave",AlimentsRationBovinsFemelles,8,FALSE),0)+(IF(QualitéAlimentsVeauxMâles_3_6_mois=MOYENNE,VLOOKUP("Betterave",AlimentsRationBovinsMâles,7,FALSE),0)+(IF(QualitéAlimentsVeauxFemelles_3_6_mois=MOYENNE,VLOOKUP("Betterave",AlimentsRationBovinsFemelles,7,FALSE),0)+(IF(QualitéAlimentsVeauxMâles_6_12_mois=MOYENNE,VLOOKUP("Betterave",AlimentsRationBovinsMâles,6,FALSE),0)+(IF(QualitéAlimentsVeauxFemelles_6_12_mois=MOYENNE,VLOOKUP("Betterave",AlimentsRationBovinsFemelles,6,FALSE),0)+(IF(QualitéAlimentsTaurillons_12_18_mois=MOYENNE,VLOOKUP("Betterave",AlimentsRationBovinsMâles,5,FALSE),0)+(IF(QualitéAlimentsGénisses_12_18_mois=MOYENNE,VLOOKUP("Betterave",AlimentsRationBovinsFemelles,5,FALSE),0)+(IF(QualitéAlimentsTaurillons_18_24_mois=MOYENNE,VLOOKUP("Betterave",AlimentsRationBovinsMâles,4,FALSE),0)+(IF(QualitéAlimentsGénisses_18_24_mois=MOYENNE,VLOOKUP("Betterave",AlimentsRationBovinsFemelles,4,FALSE),0)+(IF(QualitéAlimentsTaurillons_24_36_mois=MOYENNE,VLOOKUP("Betterave",AlimentsRationBovinsMâles,3,FALSE),0)+(IF(QualitéAlimentsGénisses_24_36_mois=MOYENNE,VLOOKUP("Betterave",AlimentsRationBovinsFemelles,3,FALSE),0)+(IF(QualitéAlimentsTaureaux=MOYENNE,VLOOKUP("Betterave",AlimentsRationBovinsMâles,2,FALSE),0)+(IF(QualitéAlimentsVaches=MOYENNE,VLOOKUP("Betterave",AlimentsRationBovinsFemelles,2,FALSE),0))))))))))))))))</f>
        <v>0</v>
      </c>
      <c r="BE343" s="1269">
        <f t="array" ref="BE343">SUM((IF(QualitéAlimentsVeauxMâles_0_3_mois=MAUVAISE,VLOOKUP("Betterave",AlimentsRationBovinsMâles,8,FALSE),0)+(IF(QualitéAlimentsVeauxFemelles_0_3_mois=MAUVAISE,VLOOKUP("Betterave",AlimentsRationBovinsFemelles,8,FALSE),0)+(IF(QualitéAlimentsVeauxMâles_3_6_mois=MAUVAISE,VLOOKUP("Betterave",AlimentsRationBovinsMâles,7,FALSE),0)+(IF(QualitéAlimentsVeauxFemelles_3_6_mois=MAUVAISE,VLOOKUP("Betterave",AlimentsRationBovinsFemelles,7,FALSE),0)+(IF(QualitéAlimentsVeauxMâles_6_12_mois=MAUVAISE,VLOOKUP("Betterave",AlimentsRationBovinsMâles,6,FALSE),0)+(IF(QualitéAlimentsVeauxFemelles_6_12_mois=MAUVAISE,VLOOKUP("Betterave",AlimentsRationBovinsFemelles,6,FALSE),0)+(IF(QualitéAlimentsTaurillons_12_18_mois=MAUVAISE,VLOOKUP("Betterave",AlimentsRationBovinsMâles,5,FALSE),0)+(IF(QualitéAlimentsGénisses_12_18_mois=MAUVAISE,VLOOKUP("Betterave",AlimentsRationBovinsFemelles,5,FALSE),0)+(IF(QualitéAlimentsTaurillons_18_24_mois=MAUVAISE,VLOOKUP("Betterave",AlimentsRationBovinsMâles,4,FALSE),0)+(IF(QualitéAlimentsGénisses_18_24_mois=MAUVAISE,VLOOKUP("Betterave",AlimentsRationBovinsFemelles,4,FALSE),0)+(IF(QualitéAlimentsTaurillons_24_36_mois=MAUVAISE,VLOOKUP("Betterave",AlimentsRationBovinsMâles,3,FALSE),0)+(IF(QualitéAlimentsGénisses_24_36_mois=MAUVAISE,VLOOKUP("Betterave",AlimentsRationBovinsFemelles,3,FALSE),0)+(IF(QualitéAlimentsTaureaux=MAUVAISE,VLOOKUP("Betterave",AlimentsRationBovinsMâles,2,FALSE),0)+(IF(QualitéAlimentsVaches=MAUVAISE,VLOOKUP("Betterave",AlimentsRationBovinsFemelles,2,FALSE),0))))))))))))))))</f>
        <v>0</v>
      </c>
      <c r="BF343" s="1321"/>
      <c r="BG343" s="1321"/>
      <c r="BH343" s="1321"/>
      <c r="BI343" s="1321"/>
      <c r="BJ343" s="1321"/>
      <c r="BK343" s="1345"/>
      <c r="BL343" s="1345"/>
      <c r="BM343" s="1346"/>
      <c r="BN343" s="1321"/>
      <c r="BO343" s="1321"/>
      <c r="BP343" s="1321"/>
      <c r="BQ343" s="1321"/>
      <c r="BR343" s="1321"/>
      <c r="BS343" s="1321"/>
      <c r="BT343" s="1321"/>
      <c r="BU343" s="1321"/>
      <c r="BV343" s="1345"/>
      <c r="BW343" s="1345"/>
      <c r="BX343" s="1321"/>
      <c r="BY343" s="1321"/>
      <c r="BZ343" s="1321"/>
      <c r="CA343" s="1321"/>
      <c r="CB343" s="1321"/>
      <c r="CC343" s="1321"/>
      <c r="CD343" s="1345"/>
      <c r="CE343" s="1345"/>
      <c r="CF343" s="1345"/>
      <c r="CG343" s="1345"/>
      <c r="CH343" s="1345"/>
      <c r="CI343" s="1321"/>
      <c r="CJ343" s="1321"/>
      <c r="CK343" s="1321"/>
      <c r="CL343" s="1321"/>
      <c r="CM343" s="1321"/>
      <c r="CN343" s="1321"/>
      <c r="CO343" s="1321"/>
      <c r="CP343" s="1321"/>
      <c r="CQ343" s="1321"/>
      <c r="CR343" s="1321"/>
      <c r="CS343" s="1321"/>
      <c r="CT343" s="1321"/>
      <c r="CU343" s="1321"/>
      <c r="CV343" s="1321"/>
      <c r="CW343" s="1321"/>
      <c r="CX343" s="1321"/>
      <c r="CY343" s="1321"/>
      <c r="CZ343" s="1321"/>
      <c r="DA343" s="1321"/>
      <c r="DB343" s="1321"/>
      <c r="DC343" s="1321"/>
      <c r="DD343" s="1321"/>
      <c r="DE343" s="1321"/>
      <c r="DF343" s="1321"/>
      <c r="DG343" s="1321"/>
      <c r="DH343" s="1321"/>
      <c r="DI343" s="1321"/>
      <c r="DJ343" s="1321"/>
      <c r="DK343" s="1321"/>
      <c r="DL343" s="1321"/>
      <c r="DM343" s="1321"/>
      <c r="DN343" s="1321"/>
      <c r="DO343" s="1321"/>
      <c r="DP343" s="1321"/>
      <c r="DQ343" s="1321"/>
      <c r="DR343" s="1321"/>
      <c r="DS343" s="1321"/>
      <c r="DT343" s="1346"/>
      <c r="DU343" s="1346"/>
      <c r="DV343" s="1321"/>
      <c r="DW343" s="1321"/>
      <c r="DX343" s="1321"/>
      <c r="DY343" s="1321"/>
      <c r="DZ343" s="1321"/>
      <c r="EA343" s="1321"/>
      <c r="EB343" s="1321"/>
      <c r="EC343" s="1321"/>
      <c r="ED343" s="1345"/>
      <c r="EE343" s="1345"/>
      <c r="EF343" s="1321"/>
      <c r="EG343" s="1321"/>
      <c r="EH343" s="1321"/>
      <c r="EI343" s="1321"/>
      <c r="EJ343" s="1321"/>
      <c r="EK343" s="1345"/>
      <c r="EL343" s="1345"/>
      <c r="EM343" s="1321"/>
      <c r="EN343" s="1321"/>
      <c r="EO343" s="1321"/>
      <c r="EP343" s="1321"/>
      <c r="EQ343" s="1321"/>
      <c r="ER343" s="1345"/>
      <c r="ES343" s="1345"/>
      <c r="ET343" s="1321"/>
      <c r="EU343" s="1321"/>
      <c r="EV343" s="1321"/>
      <c r="EW343" s="1321"/>
      <c r="EX343" s="1321"/>
      <c r="EY343" s="1321"/>
      <c r="EZ343" s="1345"/>
      <c r="FA343" s="1345"/>
      <c r="FB343" s="1345"/>
      <c r="FC343" s="1321"/>
      <c r="FD343" s="1321"/>
      <c r="FE343" s="1321"/>
      <c r="FF343" s="1321"/>
      <c r="FG343" s="1321"/>
      <c r="FH343" s="1321"/>
      <c r="FI343" s="1345"/>
      <c r="FJ343" s="1345"/>
      <c r="FK343" s="1345"/>
      <c r="FL343" s="1345"/>
      <c r="FM343" s="1321"/>
      <c r="FN343" s="1321"/>
      <c r="FO343" s="1321"/>
      <c r="FP343" s="1321"/>
      <c r="FQ343" s="1321"/>
      <c r="FR343" s="1321"/>
      <c r="FS343" s="1345"/>
      <c r="FT343" s="1345"/>
      <c r="FU343" s="1345"/>
      <c r="FV343" s="1345"/>
      <c r="FW343" s="1321"/>
      <c r="FX343" s="1321"/>
      <c r="FY343" s="1321"/>
      <c r="FZ343" s="1321"/>
      <c r="GA343" s="1345"/>
      <c r="GB343" s="1321"/>
      <c r="GC343" s="1321"/>
      <c r="GD343" s="1321"/>
      <c r="GE343" s="1321"/>
      <c r="GF343" s="1321"/>
      <c r="GG343" s="1321" t="s">
        <v>1349</v>
      </c>
      <c r="GH343" s="1321" t="s">
        <v>1349</v>
      </c>
      <c r="GI343" s="1321" t="s">
        <v>1349</v>
      </c>
      <c r="GJ343" s="1321" t="s">
        <v>1349</v>
      </c>
      <c r="GK343" s="1321" t="s">
        <v>1349</v>
      </c>
      <c r="GL343" s="1321" t="s">
        <v>1349</v>
      </c>
      <c r="GM343" s="1321" t="s">
        <v>1349</v>
      </c>
      <c r="GN343" s="1321" t="s">
        <v>1349</v>
      </c>
      <c r="GO343" s="1321" t="s">
        <v>1349</v>
      </c>
      <c r="GP343" s="1321" t="s">
        <v>1349</v>
      </c>
      <c r="GQ343" s="1321" t="s">
        <v>1349</v>
      </c>
      <c r="GR343" s="1321" t="s">
        <v>1349</v>
      </c>
      <c r="GS343" s="1321" t="s">
        <v>1349</v>
      </c>
      <c r="GT343" s="1321" t="s">
        <v>1349</v>
      </c>
      <c r="GU343" s="1321" t="s">
        <v>1349</v>
      </c>
      <c r="GV343" s="1321" t="s">
        <v>1349</v>
      </c>
      <c r="GW343" s="1321"/>
      <c r="GX343" s="1321"/>
      <c r="GY343" s="1321"/>
      <c r="GZ343" s="1321"/>
      <c r="HA343" s="1321"/>
      <c r="HB343" s="1321"/>
      <c r="HC343" s="1321"/>
      <c r="HD343" s="1321"/>
      <c r="HE343" s="1321"/>
      <c r="HF343" s="1321"/>
      <c r="HG343" s="1321"/>
      <c r="HH343" s="1321"/>
      <c r="HI343" s="1321"/>
      <c r="HJ343" s="1321"/>
      <c r="HK343" s="1321"/>
      <c r="HL343" s="1321"/>
      <c r="HM343" s="1321"/>
      <c r="HN343" s="1321"/>
      <c r="HO343" s="1321"/>
      <c r="HP343" s="1321"/>
      <c r="HQ343" s="1321"/>
      <c r="HR343" s="1321"/>
      <c r="HS343" s="1321"/>
      <c r="HT343" s="1321"/>
      <c r="HU343" s="1321"/>
      <c r="HV343" s="1321"/>
      <c r="HW343" s="1321"/>
      <c r="HX343" s="1321"/>
      <c r="HY343" s="1321"/>
      <c r="HZ343" s="1321"/>
      <c r="IA343" s="1321"/>
      <c r="IB343" s="1321"/>
      <c r="IC343" s="1321"/>
      <c r="ID343" s="1321"/>
      <c r="IE343" s="1321"/>
      <c r="IF343" s="1321"/>
      <c r="IG343" s="1321"/>
      <c r="IH343" s="1321"/>
      <c r="II343" s="1321"/>
      <c r="IJ343" s="1321"/>
      <c r="IK343" s="1321"/>
      <c r="IL343" s="1321"/>
      <c r="IM343" s="1321"/>
      <c r="IN343" s="1368"/>
    </row>
    <row r="344" spans="1:248" ht="12.75" customHeight="1" x14ac:dyDescent="0.2">
      <c r="A344" s="1319"/>
      <c r="B344" s="1321"/>
      <c r="C344" s="1321"/>
      <c r="D344" s="1321"/>
      <c r="E344" s="1321"/>
      <c r="F344" s="1321"/>
      <c r="G344" s="1321"/>
      <c r="H344" s="1321"/>
      <c r="I344" s="1321"/>
      <c r="J344" s="1321"/>
      <c r="K344" s="1321"/>
      <c r="L344" s="1321"/>
      <c r="M344" s="1321"/>
      <c r="N344" s="1321"/>
      <c r="O344" s="1321"/>
      <c r="P344" s="1321"/>
      <c r="Q344" s="1321"/>
      <c r="R344" s="1321"/>
      <c r="S344" s="1321"/>
      <c r="T344" s="1321"/>
      <c r="U344" s="1321"/>
      <c r="V344" s="1321"/>
      <c r="W344" s="1321"/>
      <c r="X344" s="1321"/>
      <c r="Y344" s="1321"/>
      <c r="Z344" s="1321"/>
      <c r="AA344" s="1321"/>
      <c r="AB344" s="1321"/>
      <c r="AC344" s="1321"/>
      <c r="AD344" s="1321"/>
      <c r="AE344" s="1321"/>
      <c r="AF344" s="1321"/>
      <c r="AG344" s="1321"/>
      <c r="AH344" s="1321"/>
      <c r="AI344" s="1321"/>
      <c r="AJ344" s="1321"/>
      <c r="AK344" s="1321"/>
      <c r="AL344" s="1321"/>
      <c r="AM344" s="1321"/>
      <c r="AN344" s="1321"/>
      <c r="AO344" s="1321"/>
      <c r="AP344" s="1321"/>
      <c r="AQ344" s="1321"/>
      <c r="AR344" s="1321"/>
      <c r="AS344" s="1321"/>
      <c r="AT344" s="1321"/>
      <c r="AU344" s="1321"/>
      <c r="AV344" s="1321"/>
      <c r="AW344" s="1321"/>
      <c r="AX344" s="1321"/>
      <c r="AY344" s="1321"/>
      <c r="AZ344" s="1321"/>
      <c r="BA344" s="1321"/>
      <c r="BB344" s="1076" t="str">
        <f t="shared" si="81"/>
        <v>Blé</v>
      </c>
      <c r="BC344" s="1267">
        <f t="array" ref="BC344">SUM((IF(QualitéAlimentsVeauxMâles_0_3_mois=BONNE,VLOOKUP("Blé",AlimentsRationBovinsMâles,8,FALSE),0)+(IF(QualitéAlimentsVeauxFemelles_0_3_mois=BONNE,VLOOKUP("Blé",AlimentsRationBovinsFemelles,8,FALSE),0)+(IF(QualitéAlimentsVeauxMâles_3_6_mois=BONNE,VLOOKUP("Blé",AlimentsRationBovinsMâles,7,FALSE),0)+(IF(QualitéAlimentsVeauxFemelles_3_6_mois=BONNE,VLOOKUP("Blé",AlimentsRationBovinsFemelles,7,FALSE),0)+(IF(QualitéAlimentsVeauxMâles_6_12_mois=BONNE,VLOOKUP("Blé",AlimentsRationBovinsMâles,6,FALSE),0)+(IF(QualitéAlimentsVeauxFemelles_6_12_mois=BONNE,VLOOKUP("Blé",AlimentsRationBovinsFemelles,6,FALSE),0)+(IF(QualitéAlimentsTaurillons_12_18_mois=BONNE,VLOOKUP("Blé",AlimentsRationBovinsMâles,5,FALSE),0)+(IF(QualitéAlimentsGénisses_12_18_mois=BONNE,VLOOKUP("Blé",AlimentsRationBovinsFemelles,5,FALSE),0)+(IF(QualitéAlimentsTaurillons_18_24_mois=BONNE,VLOOKUP("Blé",AlimentsRationBovinsMâles,4,FALSE),0)+(IF(QualitéAlimentsGénisses_18_24_mois=BONNE,VLOOKUP("Blé",AlimentsRationBovinsFemelles,4,FALSE),0)+(IF(QualitéAlimentsTaurillons_24_36_mois=BONNE,VLOOKUP("Blé",AlimentsRationBovinsMâles,3,FALSE),0)+(IF(QualitéAlimentsGénisses_24_36_mois=BONNE,VLOOKUP("Blé",AlimentsRationBovinsFemelles,3,FALSE),0)+(IF(QualitéAlimentsTaureaux=BONNE,VLOOKUP("Blé",AlimentsRationBovinsMâles,2,FALSE),0)+(IF(QualitéAlimentsVaches=BONNE,VLOOKUP("Blé",AlimentsRationBovinsFemelles,2,FALSE),0))))))))))))))))</f>
        <v>0</v>
      </c>
      <c r="BD344" s="1267">
        <f t="array" ref="BD344">SUM((IF(QualitéAlimentsVeauxMâles_0_3_mois=MOYENNE,VLOOKUP("Blé",AlimentsRationBovinsMâles,8,FALSE),0)+(IF(QualitéAlimentsVeauxFemelles_0_3_mois=MOYENNE,VLOOKUP("Blé",AlimentsRationBovinsFemelles,8,FALSE),0)+(IF(QualitéAlimentsVeauxMâles_3_6_mois=MOYENNE,VLOOKUP("Blé",AlimentsRationBovinsMâles,7,FALSE),0)+(IF(QualitéAlimentsVeauxFemelles_3_6_mois=MOYENNE,VLOOKUP("Blé",AlimentsRationBovinsFemelles,7,FALSE),0)+(IF(QualitéAlimentsVeauxMâles_6_12_mois=MOYENNE,VLOOKUP("Blé",AlimentsRationBovinsMâles,6,FALSE),0)+(IF(QualitéAlimentsVeauxFemelles_6_12_mois=MOYENNE,VLOOKUP("Blé",AlimentsRationBovinsFemelles,6,FALSE),0)+(IF(QualitéAlimentsTaurillons_12_18_mois=MOYENNE,VLOOKUP("Blé",AlimentsRationBovinsMâles,5,FALSE),0)+(IF(QualitéAlimentsGénisses_12_18_mois=MOYENNE,VLOOKUP("Blé",AlimentsRationBovinsFemelles,5,FALSE),0)+(IF(QualitéAlimentsTaurillons_18_24_mois=MOYENNE,VLOOKUP("Blé",AlimentsRationBovinsMâles,4,FALSE),0)+(IF(QualitéAlimentsGénisses_18_24_mois=MOYENNE,VLOOKUP("Blé",AlimentsRationBovinsFemelles,4,FALSE),0)+(IF(QualitéAlimentsTaurillons_24_36_mois=MOYENNE,VLOOKUP("Blé",AlimentsRationBovinsMâles,3,FALSE),0)+(IF(QualitéAlimentsGénisses_24_36_mois=MOYENNE,VLOOKUP("Blé",AlimentsRationBovinsFemelles,3,FALSE),0)+(IF(QualitéAlimentsTaureaux=MOYENNE,VLOOKUP("Blé",AlimentsRationBovinsMâles,2,FALSE),0)+(IF(QualitéAlimentsVaches=MOYENNE,VLOOKUP("Blé",AlimentsRationBovinsFemelles,2,FALSE),0))))))))))))))))</f>
        <v>0</v>
      </c>
      <c r="BE344" s="1267">
        <f t="array" ref="BE344">SUM((IF(QualitéAlimentsVeauxMâles_0_3_mois=MAUVAISE,VLOOKUP("Blé",AlimentsRationBovinsMâles,8,FALSE),0)+(IF(QualitéAlimentsVeauxFemelles_0_3_mois=MAUVAISE,VLOOKUP("Blé",AlimentsRationBovinsFemelles,8,FALSE),0)+(IF(QualitéAlimentsVeauxMâles_3_6_mois=MAUVAISE,VLOOKUP("Blé",AlimentsRationBovinsMâles,7,FALSE),0)+(IF(QualitéAlimentsVeauxFemelles_3_6_mois=MAUVAISE,VLOOKUP("Blé",AlimentsRationBovinsFemelles,7,FALSE),0)+(IF(QualitéAlimentsVeauxMâles_6_12_mois=MAUVAISE,VLOOKUP("Blé",AlimentsRationBovinsMâles,6,FALSE),0)+(IF(QualitéAlimentsVeauxFemelles_6_12_mois=MAUVAISE,VLOOKUP("Blé",AlimentsRationBovinsFemelles,6,FALSE),0)+(IF(QualitéAlimentsTaurillons_12_18_mois=MAUVAISE,VLOOKUP("Blé",AlimentsRationBovinsMâles,5,FALSE),0)+(IF(QualitéAlimentsGénisses_12_18_mois=MAUVAISE,VLOOKUP("Blé",AlimentsRationBovinsFemelles,5,FALSE),0)+(IF(QualitéAlimentsTaurillons_18_24_mois=MAUVAISE,VLOOKUP("Blé",AlimentsRationBovinsMâles,4,FALSE),0)+(IF(QualitéAlimentsGénisses_18_24_mois=MAUVAISE,VLOOKUP("Blé",AlimentsRationBovinsFemelles,4,FALSE),0)+(IF(QualitéAlimentsTaurillons_24_36_mois=MAUVAISE,VLOOKUP("Blé",AlimentsRationBovinsMâles,3,FALSE),0)+(IF(QualitéAlimentsGénisses_24_36_mois=MAUVAISE,VLOOKUP("Blé",AlimentsRationBovinsFemelles,3,FALSE),0)+(IF(QualitéAlimentsTaureaux=MAUVAISE,VLOOKUP("Blé",AlimentsRationBovinsMâles,2,FALSE),0)+(IF(QualitéAlimentsVaches=MAUVAISE,VLOOKUP("Blé",AlimentsRationBovinsFemelles,2,FALSE),0))))))))))))))))</f>
        <v>0</v>
      </c>
      <c r="BF344" s="1321"/>
      <c r="BG344" s="1321"/>
      <c r="BH344" s="1321"/>
      <c r="BI344" s="1321"/>
      <c r="BJ344" s="1321"/>
      <c r="BK344" s="1345"/>
      <c r="BL344" s="1345"/>
      <c r="BM344" s="1346"/>
      <c r="BN344" s="1321"/>
      <c r="BO344" s="1321"/>
      <c r="BP344" s="1321"/>
      <c r="BQ344" s="1321"/>
      <c r="BR344" s="1321"/>
      <c r="BS344" s="1321"/>
      <c r="BT344" s="1321"/>
      <c r="BU344" s="1321"/>
      <c r="BV344" s="1345"/>
      <c r="BW344" s="1345"/>
      <c r="BX344" s="1321"/>
      <c r="BY344" s="1321"/>
      <c r="BZ344" s="1321"/>
      <c r="CA344" s="1321"/>
      <c r="CB344" s="1321"/>
      <c r="CC344" s="1321"/>
      <c r="CD344" s="1345"/>
      <c r="CE344" s="1345"/>
      <c r="CF344" s="1345"/>
      <c r="CG344" s="1345"/>
      <c r="CH344" s="1345"/>
      <c r="CI344" s="1321"/>
      <c r="CJ344" s="1321"/>
      <c r="CK344" s="1321"/>
      <c r="CL344" s="1321"/>
      <c r="CM344" s="1321"/>
      <c r="CN344" s="1321"/>
      <c r="CO344" s="1321"/>
      <c r="CP344" s="1321"/>
      <c r="CQ344" s="1321"/>
      <c r="CR344" s="1321"/>
      <c r="CS344" s="1321"/>
      <c r="CT344" s="1321"/>
      <c r="CU344" s="1321"/>
      <c r="CV344" s="1321"/>
      <c r="CW344" s="1321"/>
      <c r="CX344" s="1321"/>
      <c r="CY344" s="1321"/>
      <c r="CZ344" s="1321"/>
      <c r="DA344" s="1321"/>
      <c r="DB344" s="1321"/>
      <c r="DC344" s="1321"/>
      <c r="DD344" s="1321"/>
      <c r="DE344" s="1321"/>
      <c r="DF344" s="1321"/>
      <c r="DG344" s="1321"/>
      <c r="DH344" s="1321"/>
      <c r="DI344" s="1321"/>
      <c r="DJ344" s="1321"/>
      <c r="DK344" s="1321"/>
      <c r="DL344" s="1321"/>
      <c r="DM344" s="1321"/>
      <c r="DN344" s="1321"/>
      <c r="DO344" s="1321"/>
      <c r="DP344" s="1321"/>
      <c r="DQ344" s="1321"/>
      <c r="DR344" s="1321"/>
      <c r="DS344" s="1321"/>
      <c r="DT344" s="1346"/>
      <c r="DU344" s="1346"/>
      <c r="DV344" s="1321"/>
      <c r="DW344" s="1321"/>
      <c r="DX344" s="1321"/>
      <c r="DY344" s="1321"/>
      <c r="DZ344" s="1321"/>
      <c r="EA344" s="1321"/>
      <c r="EB344" s="1321"/>
      <c r="EC344" s="1321"/>
      <c r="ED344" s="1345"/>
      <c r="EE344" s="1345"/>
      <c r="EF344" s="1321"/>
      <c r="EG344" s="1321"/>
      <c r="EH344" s="1321"/>
      <c r="EI344" s="1321"/>
      <c r="EJ344" s="1321"/>
      <c r="EK344" s="1345"/>
      <c r="EL344" s="1345"/>
      <c r="EM344" s="1321"/>
      <c r="EN344" s="1321"/>
      <c r="EO344" s="1321"/>
      <c r="EP344" s="1321"/>
      <c r="EQ344" s="1321"/>
      <c r="ER344" s="1345"/>
      <c r="ES344" s="1345"/>
      <c r="ET344" s="1321"/>
      <c r="EU344" s="1321"/>
      <c r="EV344" s="1321"/>
      <c r="EW344" s="1321"/>
      <c r="EX344" s="1321"/>
      <c r="EY344" s="1321"/>
      <c r="EZ344" s="1345"/>
      <c r="FA344" s="1345"/>
      <c r="FB344" s="1345"/>
      <c r="FC344" s="1321"/>
      <c r="FD344" s="1321"/>
      <c r="FE344" s="1321"/>
      <c r="FF344" s="1321"/>
      <c r="FG344" s="1321"/>
      <c r="FH344" s="1321"/>
      <c r="FI344" s="1345"/>
      <c r="FJ344" s="1345"/>
      <c r="FK344" s="1345"/>
      <c r="FL344" s="1345"/>
      <c r="FM344" s="1321"/>
      <c r="FN344" s="1321"/>
      <c r="FO344" s="1321"/>
      <c r="FP344" s="1321"/>
      <c r="FQ344" s="1321"/>
      <c r="FR344" s="1321"/>
      <c r="FS344" s="1345"/>
      <c r="FT344" s="1345"/>
      <c r="FU344" s="1345"/>
      <c r="FV344" s="1345"/>
      <c r="FW344" s="1321"/>
      <c r="FX344" s="1321"/>
      <c r="FY344" s="1321"/>
      <c r="FZ344" s="1321"/>
      <c r="GA344" s="1345"/>
      <c r="GB344" s="1321"/>
      <c r="GC344" s="1321"/>
      <c r="GD344" s="1321"/>
      <c r="GE344" s="1321"/>
      <c r="GF344" s="1321"/>
      <c r="GG344" s="1321" t="s">
        <v>1349</v>
      </c>
      <c r="GH344" s="1321" t="s">
        <v>1349</v>
      </c>
      <c r="GI344" s="1321" t="s">
        <v>1349</v>
      </c>
      <c r="GJ344" s="1321" t="s">
        <v>1349</v>
      </c>
      <c r="GK344" s="1321" t="s">
        <v>1349</v>
      </c>
      <c r="GL344" s="1321" t="s">
        <v>1349</v>
      </c>
      <c r="GM344" s="1321" t="s">
        <v>1349</v>
      </c>
      <c r="GN344" s="1321" t="s">
        <v>1349</v>
      </c>
      <c r="GO344" s="1321" t="s">
        <v>1349</v>
      </c>
      <c r="GP344" s="1321" t="s">
        <v>1349</v>
      </c>
      <c r="GQ344" s="1321" t="s">
        <v>1349</v>
      </c>
      <c r="GR344" s="1321" t="s">
        <v>1349</v>
      </c>
      <c r="GS344" s="1321" t="s">
        <v>1349</v>
      </c>
      <c r="GT344" s="1321" t="s">
        <v>1349</v>
      </c>
      <c r="GU344" s="1321" t="s">
        <v>1349</v>
      </c>
      <c r="GV344" s="1321" t="s">
        <v>1349</v>
      </c>
      <c r="GW344" s="1321"/>
      <c r="GX344" s="1321"/>
      <c r="GY344" s="1321"/>
      <c r="GZ344" s="1321"/>
      <c r="HA344" s="1321"/>
      <c r="HB344" s="1321"/>
      <c r="HC344" s="1321"/>
      <c r="HD344" s="1321"/>
      <c r="HE344" s="1321"/>
      <c r="HF344" s="1321"/>
      <c r="HG344" s="1321"/>
      <c r="HH344" s="1321"/>
      <c r="HI344" s="1321"/>
      <c r="HJ344" s="1321"/>
      <c r="HK344" s="1321"/>
      <c r="HL344" s="1321"/>
      <c r="HM344" s="1321"/>
      <c r="HN344" s="1321"/>
      <c r="HO344" s="1321"/>
      <c r="HP344" s="1321"/>
      <c r="HQ344" s="1321"/>
      <c r="HR344" s="1321"/>
      <c r="HS344" s="1321"/>
      <c r="HT344" s="1321"/>
      <c r="HU344" s="1321"/>
      <c r="HV344" s="1321"/>
      <c r="HW344" s="1321"/>
      <c r="HX344" s="1321"/>
      <c r="HY344" s="1321"/>
      <c r="HZ344" s="1321"/>
      <c r="IA344" s="1321"/>
      <c r="IB344" s="1321"/>
      <c r="IC344" s="1321"/>
      <c r="ID344" s="1321"/>
      <c r="IE344" s="1321"/>
      <c r="IF344" s="1321"/>
      <c r="IG344" s="1321"/>
      <c r="IH344" s="1321"/>
      <c r="II344" s="1321"/>
      <c r="IJ344" s="1321"/>
      <c r="IK344" s="1321"/>
      <c r="IL344" s="1321"/>
      <c r="IM344" s="1321"/>
      <c r="IN344" s="1368"/>
    </row>
    <row r="345" spans="1:248" ht="12.75" customHeight="1" x14ac:dyDescent="0.2">
      <c r="A345" s="1319"/>
      <c r="B345" s="1321"/>
      <c r="C345" s="1321"/>
      <c r="D345" s="1321"/>
      <c r="E345" s="1321"/>
      <c r="F345" s="1321"/>
      <c r="G345" s="1321"/>
      <c r="H345" s="1321"/>
      <c r="I345" s="1321"/>
      <c r="J345" s="1321"/>
      <c r="K345" s="1321"/>
      <c r="L345" s="1321"/>
      <c r="M345" s="1321"/>
      <c r="N345" s="1321"/>
      <c r="O345" s="1321"/>
      <c r="P345" s="1321"/>
      <c r="Q345" s="1321"/>
      <c r="R345" s="1321"/>
      <c r="S345" s="1321"/>
      <c r="T345" s="1321"/>
      <c r="U345" s="1321"/>
      <c r="V345" s="1321"/>
      <c r="W345" s="1321"/>
      <c r="X345" s="1321"/>
      <c r="Y345" s="1321"/>
      <c r="Z345" s="1321"/>
      <c r="AA345" s="1321"/>
      <c r="AB345" s="1321"/>
      <c r="AC345" s="1321"/>
      <c r="AD345" s="1321"/>
      <c r="AE345" s="1321"/>
      <c r="AF345" s="1321"/>
      <c r="AG345" s="1321"/>
      <c r="AH345" s="1321"/>
      <c r="AI345" s="1321"/>
      <c r="AJ345" s="1321"/>
      <c r="AK345" s="1321"/>
      <c r="AL345" s="1321"/>
      <c r="AM345" s="1321"/>
      <c r="AN345" s="1321"/>
      <c r="AO345" s="1321"/>
      <c r="AP345" s="1321"/>
      <c r="AQ345" s="1321"/>
      <c r="AR345" s="1321"/>
      <c r="AS345" s="1321"/>
      <c r="AT345" s="1321"/>
      <c r="AU345" s="1321"/>
      <c r="AV345" s="1321"/>
      <c r="AW345" s="1321"/>
      <c r="AX345" s="1321"/>
      <c r="AY345" s="1321"/>
      <c r="AZ345" s="1321"/>
      <c r="BA345" s="1321"/>
      <c r="BB345" s="1075" t="str">
        <f t="shared" si="81"/>
        <v>Bouchons luzerne</v>
      </c>
      <c r="BC345" s="1269">
        <f t="array" ref="BC345">SUM((IF(QualitéAlimentsVeauxMâles_0_3_mois=BONNE,VLOOKUP("Bouchons luzerne",AlimentsRationBovinsMâles,8,FALSE),0)+(IF(QualitéAlimentsVeauxFemelles_0_3_mois=BONNE,VLOOKUP("Bouchons luzerne",AlimentsRationBovinsFemelles,8,FALSE),0)+(IF(QualitéAlimentsVeauxMâles_3_6_mois=BONNE,VLOOKUP("Bouchons luzerne",AlimentsRationBovinsMâles,7,FALSE),0)+(IF(QualitéAlimentsVeauxFemelles_3_6_mois=BONNE,VLOOKUP("Bouchons luzerne",AlimentsRationBovinsFemelles,7,FALSE),0)+(IF(QualitéAlimentsVeauxMâles_6_12_mois=BONNE,VLOOKUP("Bouchons luzerne",AlimentsRationBovinsMâles,6,FALSE),0)+(IF(QualitéAlimentsVeauxFemelles_6_12_mois=BONNE,VLOOKUP("Bouchons luzerne",AlimentsRationBovinsFemelles,6,FALSE),0)+(IF(QualitéAlimentsTaurillons_12_18_mois=BONNE,VLOOKUP("Bouchons luzerne",AlimentsRationBovinsMâles,5,FALSE),0)+(IF(QualitéAlimentsGénisses_12_18_mois=BONNE,VLOOKUP("Bouchons luzerne",AlimentsRationBovinsFemelles,5,FALSE),0)+(IF(QualitéAlimentsTaurillons_18_24_mois=BONNE,VLOOKUP("Bouchons luzerne",AlimentsRationBovinsMâles,4,FALSE),0)+(IF(QualitéAlimentsGénisses_18_24_mois=BONNE,VLOOKUP("Bouchons luzerne",AlimentsRationBovinsFemelles,4,FALSE),0)+(IF(QualitéAlimentsTaurillons_24_36_mois=BONNE,VLOOKUP("Bouchons luzerne",AlimentsRationBovinsMâles,3,FALSE),0)+(IF(QualitéAlimentsGénisses_24_36_mois=BONNE,VLOOKUP("Bouchons luzerne",AlimentsRationBovinsFemelles,3,FALSE),0)+(IF(QualitéAlimentsTaureaux=BONNE,VLOOKUP("Bouchons luzerne",AlimentsRationBovinsMâles,2,FALSE),0)+(IF(QualitéAlimentsVaches=BONNE,VLOOKUP("Bouchons luzerne",AlimentsRationBovinsFemelles,2,FALSE),0))))))))))))))))</f>
        <v>0</v>
      </c>
      <c r="BD345" s="1269">
        <f t="array" ref="BD345">SUM((IF(QualitéAlimentsVeauxMâles_0_3_mois=MOYENNE,VLOOKUP("Bouchons luzerne",AlimentsRationBovinsMâles,8,FALSE),0)+(IF(QualitéAlimentsVeauxFemelles_0_3_mois=MOYENNE,VLOOKUP("Bouchons luzerne",AlimentsRationBovinsFemelles,8,FALSE),0)+(IF(QualitéAlimentsVeauxMâles_3_6_mois=MOYENNE,VLOOKUP("Bouchons luzerne",AlimentsRationBovinsMâles,7,FALSE),0)+(IF(QualitéAlimentsVeauxFemelles_3_6_mois=MOYENNE,VLOOKUP("Bouchons luzerne",AlimentsRationBovinsFemelles,7,FALSE),0)+(IF(QualitéAlimentsVeauxMâles_6_12_mois=MOYENNE,VLOOKUP("Bouchons luzerne",AlimentsRationBovinsMâles,6,FALSE),0)+(IF(QualitéAlimentsVeauxFemelles_6_12_mois=MOYENNE,VLOOKUP("Bouchons luzerne",AlimentsRationBovinsFemelles,6,FALSE),0)+(IF(QualitéAlimentsTaurillons_12_18_mois=MOYENNE,VLOOKUP("Bouchons luzerne",AlimentsRationBovinsMâles,5,FALSE),0)+(IF(QualitéAlimentsGénisses_12_18_mois=MOYENNE,VLOOKUP("Bouchons luzerne",AlimentsRationBovinsFemelles,5,FALSE),0)+(IF(QualitéAlimentsTaurillons_18_24_mois=MOYENNE,VLOOKUP("Bouchons luzerne",AlimentsRationBovinsMâles,4,FALSE),0)+(IF(QualitéAlimentsGénisses_18_24_mois=MOYENNE,VLOOKUP("Bouchons luzerne",AlimentsRationBovinsFemelles,4,FALSE),0)+(IF(QualitéAlimentsTaurillons_24_36_mois=MOYENNE,VLOOKUP("Bouchons luzerne",AlimentsRationBovinsMâles,3,FALSE),0)+(IF(QualitéAlimentsGénisses_24_36_mois=MOYENNE,VLOOKUP("Bouchons luzerne",AlimentsRationBovinsFemelles,3,FALSE),0)+(IF(QualitéAlimentsTaureaux=MOYENNE,VLOOKUP("Bouchons luzerne",AlimentsRationBovinsMâles,2,FALSE),0)+(IF(QualitéAlimentsVaches=MOYENNE,VLOOKUP("Bouchons luzerne",AlimentsRationBovinsFemelles,2,FALSE),0))))))))))))))))</f>
        <v>0</v>
      </c>
      <c r="BE345" s="1269">
        <f t="array" ref="BE345">SUM((IF(QualitéAlimentsVeauxMâles_0_3_mois=MAUVAISE,VLOOKUP("Bouchons luzerne",AlimentsRationBovinsMâles,8,FALSE),0)+(IF(QualitéAlimentsVeauxFemelles_0_3_mois=MAUVAISE,VLOOKUP("Bouchons luzerne",AlimentsRationBovinsFemelles,8,FALSE),0)+(IF(QualitéAlimentsVeauxMâles_3_6_mois=MAUVAISE,VLOOKUP("Bouchons luzerne",AlimentsRationBovinsMâles,7,FALSE),0)+(IF(QualitéAlimentsVeauxFemelles_3_6_mois=MAUVAISE,VLOOKUP("Bouchons luzerne",AlimentsRationBovinsFemelles,7,FALSE),0)+(IF(QualitéAlimentsVeauxMâles_6_12_mois=MAUVAISE,VLOOKUP("Bouchons luzerne",AlimentsRationBovinsMâles,6,FALSE),0)+(IF(QualitéAlimentsVeauxFemelles_6_12_mois=MAUVAISE,VLOOKUP("Bouchons luzerne",AlimentsRationBovinsFemelles,6,FALSE),0)+(IF(QualitéAlimentsTaurillons_12_18_mois=MAUVAISE,VLOOKUP("Bouchons luzerne",AlimentsRationBovinsMâles,5,FALSE),0)+(IF(QualitéAlimentsGénisses_12_18_mois=MAUVAISE,VLOOKUP("Bouchons luzerne",AlimentsRationBovinsFemelles,5,FALSE),0)+(IF(QualitéAlimentsTaurillons_18_24_mois=MAUVAISE,VLOOKUP("Bouchons luzerne",AlimentsRationBovinsMâles,4,FALSE),0)+(IF(QualitéAlimentsGénisses_18_24_mois=MAUVAISE,VLOOKUP("Bouchons luzerne",AlimentsRationBovinsFemelles,4,FALSE),0)+(IF(QualitéAlimentsTaurillons_24_36_mois=MAUVAISE,VLOOKUP("Bouchons luzerne",AlimentsRationBovinsMâles,3,FALSE),0)+(IF(QualitéAlimentsGénisses_24_36_mois=MAUVAISE,VLOOKUP("Bouchons luzerne",AlimentsRationBovinsFemelles,3,FALSE),0)+(IF(QualitéAlimentsTaureaux=MAUVAISE,VLOOKUP("Bouchons luzerne",AlimentsRationBovinsMâles,2,FALSE),0)+(IF(QualitéAlimentsVaches=MAUVAISE,VLOOKUP("Bouchons luzerne",AlimentsRationBovinsFemelles,2,FALSE),0))))))))))))))))</f>
        <v>0</v>
      </c>
      <c r="BF345" s="1321"/>
      <c r="BG345" s="1321"/>
      <c r="BH345" s="1321"/>
      <c r="BI345" s="1321"/>
      <c r="BJ345" s="1321"/>
      <c r="BK345" s="1345"/>
      <c r="BL345" s="1345"/>
      <c r="BM345" s="1346"/>
      <c r="BN345" s="1321"/>
      <c r="BO345" s="1321"/>
      <c r="BP345" s="1321"/>
      <c r="BQ345" s="1321"/>
      <c r="BR345" s="1321"/>
      <c r="BS345" s="1321"/>
      <c r="BT345" s="1321"/>
      <c r="BU345" s="1321"/>
      <c r="BV345" s="1345"/>
      <c r="BW345" s="1345"/>
      <c r="BX345" s="1321"/>
      <c r="BY345" s="1321"/>
      <c r="BZ345" s="1321"/>
      <c r="CA345" s="1321"/>
      <c r="CB345" s="1321"/>
      <c r="CC345" s="1321"/>
      <c r="CD345" s="1345"/>
      <c r="CE345" s="1345"/>
      <c r="CF345" s="1345"/>
      <c r="CG345" s="1345"/>
      <c r="CH345" s="1345"/>
      <c r="CI345" s="1321"/>
      <c r="CJ345" s="1321"/>
      <c r="CK345" s="1321"/>
      <c r="CL345" s="1321"/>
      <c r="CM345" s="1321"/>
      <c r="CN345" s="1321"/>
      <c r="CO345" s="1321"/>
      <c r="CP345" s="1321"/>
      <c r="CQ345" s="1321"/>
      <c r="CR345" s="1321"/>
      <c r="CS345" s="1321"/>
      <c r="CT345" s="1321"/>
      <c r="CU345" s="1321"/>
      <c r="CV345" s="1321"/>
      <c r="CW345" s="1321"/>
      <c r="CX345" s="1321"/>
      <c r="CY345" s="1321"/>
      <c r="CZ345" s="1321"/>
      <c r="DA345" s="1321"/>
      <c r="DB345" s="1321"/>
      <c r="DC345" s="1321"/>
      <c r="DD345" s="1321"/>
      <c r="DE345" s="1321"/>
      <c r="DF345" s="1321"/>
      <c r="DG345" s="1321"/>
      <c r="DH345" s="1321"/>
      <c r="DI345" s="1321"/>
      <c r="DJ345" s="1321"/>
      <c r="DK345" s="1321"/>
      <c r="DL345" s="1321"/>
      <c r="DM345" s="1321"/>
      <c r="DN345" s="1321"/>
      <c r="DO345" s="1321"/>
      <c r="DP345" s="1321"/>
      <c r="DQ345" s="1321"/>
      <c r="DR345" s="1321"/>
      <c r="DS345" s="1321"/>
      <c r="DT345" s="1346"/>
      <c r="DU345" s="1346"/>
      <c r="DV345" s="1321"/>
      <c r="DW345" s="1321"/>
      <c r="DX345" s="1321"/>
      <c r="DY345" s="1321"/>
      <c r="DZ345" s="1321"/>
      <c r="EA345" s="1321"/>
      <c r="EB345" s="1321"/>
      <c r="EC345" s="1321"/>
      <c r="ED345" s="1345"/>
      <c r="EE345" s="1345"/>
      <c r="EF345" s="1321"/>
      <c r="EG345" s="1321"/>
      <c r="EH345" s="1321"/>
      <c r="EI345" s="1321"/>
      <c r="EJ345" s="1321"/>
      <c r="EK345" s="1345"/>
      <c r="EL345" s="1345"/>
      <c r="EM345" s="1321"/>
      <c r="EN345" s="1321"/>
      <c r="EO345" s="1321"/>
      <c r="EP345" s="1321"/>
      <c r="EQ345" s="1321"/>
      <c r="ER345" s="1345"/>
      <c r="ES345" s="1345"/>
      <c r="ET345" s="1321"/>
      <c r="EU345" s="1321"/>
      <c r="EV345" s="1321"/>
      <c r="EW345" s="1321"/>
      <c r="EX345" s="1321"/>
      <c r="EY345" s="1321"/>
      <c r="EZ345" s="1345"/>
      <c r="FA345" s="1345"/>
      <c r="FB345" s="1345"/>
      <c r="FC345" s="1321"/>
      <c r="FD345" s="1321"/>
      <c r="FE345" s="1321"/>
      <c r="FF345" s="1321"/>
      <c r="FG345" s="1321"/>
      <c r="FH345" s="1321"/>
      <c r="FI345" s="1345"/>
      <c r="FJ345" s="1345"/>
      <c r="FK345" s="1345"/>
      <c r="FL345" s="1345"/>
      <c r="FM345" s="1321"/>
      <c r="FN345" s="1321"/>
      <c r="FO345" s="1321"/>
      <c r="FP345" s="1321"/>
      <c r="FQ345" s="1321"/>
      <c r="FR345" s="1321"/>
      <c r="FS345" s="1345"/>
      <c r="FT345" s="1345"/>
      <c r="FU345" s="1345"/>
      <c r="FV345" s="1345"/>
      <c r="FW345" s="1321"/>
      <c r="FX345" s="1321"/>
      <c r="FY345" s="1321"/>
      <c r="FZ345" s="1321"/>
      <c r="GA345" s="1345"/>
      <c r="GB345" s="1321"/>
      <c r="GC345" s="1321"/>
      <c r="GD345" s="1321"/>
      <c r="GE345" s="1321"/>
      <c r="GF345" s="1321"/>
      <c r="GG345" s="1321" t="s">
        <v>1349</v>
      </c>
      <c r="GH345" s="1321" t="s">
        <v>1349</v>
      </c>
      <c r="GI345" s="1321" t="s">
        <v>1349</v>
      </c>
      <c r="GJ345" s="1321" t="s">
        <v>1349</v>
      </c>
      <c r="GK345" s="1321" t="s">
        <v>1349</v>
      </c>
      <c r="GL345" s="1321" t="s">
        <v>1349</v>
      </c>
      <c r="GM345" s="1321" t="s">
        <v>1349</v>
      </c>
      <c r="GN345" s="1321" t="s">
        <v>1349</v>
      </c>
      <c r="GO345" s="1321" t="s">
        <v>1349</v>
      </c>
      <c r="GP345" s="1321" t="s">
        <v>1349</v>
      </c>
      <c r="GQ345" s="1321" t="s">
        <v>1349</v>
      </c>
      <c r="GR345" s="1321" t="s">
        <v>1349</v>
      </c>
      <c r="GS345" s="1321" t="s">
        <v>1349</v>
      </c>
      <c r="GT345" s="1321" t="s">
        <v>1349</v>
      </c>
      <c r="GU345" s="1321" t="s">
        <v>1349</v>
      </c>
      <c r="GV345" s="1321" t="s">
        <v>1349</v>
      </c>
      <c r="GW345" s="1321"/>
      <c r="GX345" s="1321"/>
      <c r="GY345" s="1321"/>
      <c r="GZ345" s="1321"/>
      <c r="HA345" s="1321"/>
      <c r="HB345" s="1321"/>
      <c r="HC345" s="1321"/>
      <c r="HD345" s="1321"/>
      <c r="HE345" s="1321"/>
      <c r="HF345" s="1321"/>
      <c r="HG345" s="1321"/>
      <c r="HH345" s="1321"/>
      <c r="HI345" s="1321"/>
      <c r="HJ345" s="1321"/>
      <c r="HK345" s="1321"/>
      <c r="HL345" s="1321"/>
      <c r="HM345" s="1321"/>
      <c r="HN345" s="1321"/>
      <c r="HO345" s="1321"/>
      <c r="HP345" s="1321"/>
      <c r="HQ345" s="1321"/>
      <c r="HR345" s="1321"/>
      <c r="HS345" s="1321"/>
      <c r="HT345" s="1321"/>
      <c r="HU345" s="1321"/>
      <c r="HV345" s="1321"/>
      <c r="HW345" s="1321"/>
      <c r="HX345" s="1321"/>
      <c r="HY345" s="1321"/>
      <c r="HZ345" s="1321"/>
      <c r="IA345" s="1321"/>
      <c r="IB345" s="1321"/>
      <c r="IC345" s="1321"/>
      <c r="ID345" s="1321"/>
      <c r="IE345" s="1321"/>
      <c r="IF345" s="1321"/>
      <c r="IG345" s="1321"/>
      <c r="IH345" s="1321"/>
      <c r="II345" s="1321"/>
      <c r="IJ345" s="1321"/>
      <c r="IK345" s="1321"/>
      <c r="IL345" s="1321"/>
      <c r="IM345" s="1321"/>
      <c r="IN345" s="1368"/>
    </row>
    <row r="346" spans="1:248" ht="12.75" customHeight="1" x14ac:dyDescent="0.2">
      <c r="A346" s="1319"/>
      <c r="B346" s="1321"/>
      <c r="C346" s="1321"/>
      <c r="D346" s="1321"/>
      <c r="E346" s="1321"/>
      <c r="F346" s="1321"/>
      <c r="G346" s="1321"/>
      <c r="H346" s="1321"/>
      <c r="I346" s="1321"/>
      <c r="J346" s="1321"/>
      <c r="K346" s="1321"/>
      <c r="L346" s="1321"/>
      <c r="M346" s="1321"/>
      <c r="N346" s="1321"/>
      <c r="O346" s="1321"/>
      <c r="P346" s="1321"/>
      <c r="Q346" s="1321"/>
      <c r="R346" s="1321"/>
      <c r="S346" s="1321"/>
      <c r="T346" s="1321"/>
      <c r="U346" s="1321"/>
      <c r="V346" s="1321"/>
      <c r="W346" s="1321"/>
      <c r="X346" s="1321"/>
      <c r="Y346" s="1321"/>
      <c r="Z346" s="1321"/>
      <c r="AA346" s="1321"/>
      <c r="AB346" s="1321"/>
      <c r="AC346" s="1321"/>
      <c r="AD346" s="1321"/>
      <c r="AE346" s="1321"/>
      <c r="AF346" s="1321"/>
      <c r="AG346" s="1321"/>
      <c r="AH346" s="1321"/>
      <c r="AI346" s="1321"/>
      <c r="AJ346" s="1321"/>
      <c r="AK346" s="1321"/>
      <c r="AL346" s="1321"/>
      <c r="AM346" s="1321"/>
      <c r="AN346" s="1321"/>
      <c r="AO346" s="1321"/>
      <c r="AP346" s="1321"/>
      <c r="AQ346" s="1321"/>
      <c r="AR346" s="1321"/>
      <c r="AS346" s="1321"/>
      <c r="AT346" s="1321"/>
      <c r="AU346" s="1321"/>
      <c r="AV346" s="1321"/>
      <c r="AW346" s="1321"/>
      <c r="AX346" s="1321"/>
      <c r="AY346" s="1321"/>
      <c r="AZ346" s="1321"/>
      <c r="BA346" s="1321"/>
      <c r="BB346" s="1076" t="str">
        <f t="shared" si="81"/>
        <v>Chanvre</v>
      </c>
      <c r="BC346" s="1267">
        <f t="array" ref="BC346">SUM((IF(QualitéAlimentsVeauxMâles_0_3_mois=BONNE,VLOOKUP("Chanvre",AlimentsRationBovinsMâles,8,FALSE),0)+(IF(QualitéAlimentsVeauxFemelles_0_3_mois=BONNE,VLOOKUP("Chanvre",AlimentsRationBovinsFemelles,8,FALSE),0)+(IF(QualitéAlimentsVeauxMâles_3_6_mois=BONNE,VLOOKUP("Chanvre",AlimentsRationBovinsMâles,7,FALSE),0)+(IF(QualitéAlimentsVeauxFemelles_3_6_mois=BONNE,VLOOKUP("Chanvre",AlimentsRationBovinsFemelles,7,FALSE),0)+(IF(QualitéAlimentsVeauxMâles_6_12_mois=BONNE,VLOOKUP("Chanvre",AlimentsRationBovinsMâles,6,FALSE),0)+(IF(QualitéAlimentsVeauxFemelles_6_12_mois=BONNE,VLOOKUP("Chanvre",AlimentsRationBovinsFemelles,6,FALSE),0)+(IF(QualitéAlimentsTaurillons_12_18_mois=BONNE,VLOOKUP("Chanvre",AlimentsRationBovinsMâles,5,FALSE),0)+(IF(QualitéAlimentsGénisses_12_18_mois=BONNE,VLOOKUP("Chanvre",AlimentsRationBovinsFemelles,5,FALSE),0)+(IF(QualitéAlimentsTaurillons_18_24_mois=BONNE,VLOOKUP("Chanvre",AlimentsRationBovinsMâles,4,FALSE),0)+(IF(QualitéAlimentsGénisses_18_24_mois=BONNE,VLOOKUP("Chanvre",AlimentsRationBovinsFemelles,4,FALSE),0)+(IF(QualitéAlimentsTaurillons_24_36_mois=BONNE,VLOOKUP("Chanvre",AlimentsRationBovinsMâles,3,FALSE),0)+(IF(QualitéAlimentsGénisses_24_36_mois=BONNE,VLOOKUP("Chanvre",AlimentsRationBovinsFemelles,3,FALSE),0)+(IF(QualitéAlimentsTaureaux=BONNE,VLOOKUP("Chanvre",AlimentsRationBovinsMâles,2,FALSE),0)+(IF(QualitéAlimentsVaches=BONNE,VLOOKUP("Chanvre",AlimentsRationBovinsFemelles,2,FALSE),0))))))))))))))))</f>
        <v>0</v>
      </c>
      <c r="BD346" s="1267">
        <f t="array" ref="BD346">SUM((IF(QualitéAlimentsVeauxMâles_0_3_mois=MOYENNE,VLOOKUP("Chanvre",AlimentsRationBovinsMâles,8,FALSE),0)+(IF(QualitéAlimentsVeauxFemelles_0_3_mois=MOYENNE,VLOOKUP("Chanvre",AlimentsRationBovinsFemelles,8,FALSE),0)+(IF(QualitéAlimentsVeauxMâles_3_6_mois=MOYENNE,VLOOKUP("Chanvre",AlimentsRationBovinsMâles,7,FALSE),0)+(IF(QualitéAlimentsVeauxFemelles_3_6_mois=MOYENNE,VLOOKUP("Chanvre",AlimentsRationBovinsFemelles,7,FALSE),0)+(IF(QualitéAlimentsVeauxMâles_6_12_mois=MOYENNE,VLOOKUP("Chanvre",AlimentsRationBovinsMâles,6,FALSE),0)+(IF(QualitéAlimentsVeauxFemelles_6_12_mois=MOYENNE,VLOOKUP("Chanvre",AlimentsRationBovinsFemelles,6,FALSE),0)+(IF(QualitéAlimentsTaurillons_12_18_mois=MOYENNE,VLOOKUP("Chanvre",AlimentsRationBovinsMâles,5,FALSE),0)+(IF(QualitéAlimentsGénisses_12_18_mois=MOYENNE,VLOOKUP("Chanvre",AlimentsRationBovinsFemelles,5,FALSE),0)+(IF(QualitéAlimentsTaurillons_18_24_mois=MOYENNE,VLOOKUP("Chanvre",AlimentsRationBovinsMâles,4,FALSE),0)+(IF(QualitéAlimentsGénisses_18_24_mois=MOYENNE,VLOOKUP("Chanvre",AlimentsRationBovinsFemelles,4,FALSE),0)+(IF(QualitéAlimentsTaurillons_24_36_mois=MOYENNE,VLOOKUP("Chanvre",AlimentsRationBovinsMâles,3,FALSE),0)+(IF(QualitéAlimentsGénisses_24_36_mois=MOYENNE,VLOOKUP("Chanvre",AlimentsRationBovinsFemelles,3,FALSE),0)+(IF(QualitéAlimentsTaureaux=MOYENNE,VLOOKUP("Chanvre",AlimentsRationBovinsMâles,2,FALSE),0)+(IF(QualitéAlimentsVaches=MOYENNE,VLOOKUP("Chanvre",AlimentsRationBovinsFemelles,2,FALSE),0))))))))))))))))</f>
        <v>0</v>
      </c>
      <c r="BE346" s="1267">
        <f t="array" ref="BE346">SUM((IF(QualitéAlimentsVeauxMâles_0_3_mois=MAUVAISE,VLOOKUP("Chanvre",AlimentsRationBovinsMâles,8,FALSE),0)+(IF(QualitéAlimentsVeauxFemelles_0_3_mois=MAUVAISE,VLOOKUP("Chanvre",AlimentsRationBovinsFemelles,8,FALSE),0)+(IF(QualitéAlimentsVeauxMâles_3_6_mois=MAUVAISE,VLOOKUP("Chanvre",AlimentsRationBovinsMâles,7,FALSE),0)+(IF(QualitéAlimentsVeauxFemelles_3_6_mois=MAUVAISE,VLOOKUP("Chanvre",AlimentsRationBovinsFemelles,7,FALSE),0)+(IF(QualitéAlimentsVeauxMâles_6_12_mois=MAUVAISE,VLOOKUP("Chanvre",AlimentsRationBovinsMâles,6,FALSE),0)+(IF(QualitéAlimentsVeauxFemelles_6_12_mois=MAUVAISE,VLOOKUP("Chanvre",AlimentsRationBovinsFemelles,6,FALSE),0)+(IF(QualitéAlimentsTaurillons_12_18_mois=MAUVAISE,VLOOKUP("Chanvre",AlimentsRationBovinsMâles,5,FALSE),0)+(IF(QualitéAlimentsGénisses_12_18_mois=MAUVAISE,VLOOKUP("Chanvre",AlimentsRationBovinsFemelles,5,FALSE),0)+(IF(QualitéAlimentsTaurillons_18_24_mois=MAUVAISE,VLOOKUP("Chanvre",AlimentsRationBovinsMâles,4,FALSE),0)+(IF(QualitéAlimentsGénisses_18_24_mois=MAUVAISE,VLOOKUP("Chanvre",AlimentsRationBovinsFemelles,4,FALSE),0)+(IF(QualitéAlimentsTaurillons_24_36_mois=MAUVAISE,VLOOKUP("Chanvre",AlimentsRationBovinsMâles,3,FALSE),0)+(IF(QualitéAlimentsGénisses_24_36_mois=MAUVAISE,VLOOKUP("Chanvre",AlimentsRationBovinsFemelles,3,FALSE),0)+(IF(QualitéAlimentsTaureaux=MAUVAISE,VLOOKUP("Chanvre",AlimentsRationBovinsMâles,2,FALSE),0)+(IF(QualitéAlimentsVaches=MAUVAISE,VLOOKUP("Chanvre",AlimentsRationBovinsFemelles,2,FALSE),0))))))))))))))))</f>
        <v>0</v>
      </c>
      <c r="BF346" s="1321"/>
      <c r="BG346" s="1321"/>
      <c r="BH346" s="1321"/>
      <c r="BI346" s="1321"/>
      <c r="BJ346" s="1321"/>
      <c r="BK346" s="1345"/>
      <c r="BL346" s="1345"/>
      <c r="BM346" s="1346"/>
      <c r="BN346" s="1321"/>
      <c r="BO346" s="1321"/>
      <c r="BP346" s="1321"/>
      <c r="BQ346" s="1321"/>
      <c r="BR346" s="1321"/>
      <c r="BS346" s="1321"/>
      <c r="BT346" s="1321"/>
      <c r="BU346" s="1321"/>
      <c r="BV346" s="1345"/>
      <c r="BW346" s="1345"/>
      <c r="BX346" s="1321"/>
      <c r="BY346" s="1321"/>
      <c r="BZ346" s="1321"/>
      <c r="CA346" s="1321"/>
      <c r="CB346" s="1321"/>
      <c r="CC346" s="1321"/>
      <c r="CD346" s="1345"/>
      <c r="CE346" s="1345"/>
      <c r="CF346" s="1345"/>
      <c r="CG346" s="1345"/>
      <c r="CH346" s="1345"/>
      <c r="CI346" s="1321"/>
      <c r="CJ346" s="1321"/>
      <c r="CK346" s="1321"/>
      <c r="CL346" s="1321"/>
      <c r="CM346" s="1321"/>
      <c r="CN346" s="1321"/>
      <c r="CO346" s="1321"/>
      <c r="CP346" s="1321"/>
      <c r="CQ346" s="1321"/>
      <c r="CR346" s="1321"/>
      <c r="CS346" s="1321"/>
      <c r="CT346" s="1321"/>
      <c r="CU346" s="1321"/>
      <c r="CV346" s="1321"/>
      <c r="CW346" s="1321"/>
      <c r="CX346" s="1321"/>
      <c r="CY346" s="1321"/>
      <c r="CZ346" s="1321"/>
      <c r="DA346" s="1321"/>
      <c r="DB346" s="1321"/>
      <c r="DC346" s="1321"/>
      <c r="DD346" s="1321"/>
      <c r="DE346" s="1321"/>
      <c r="DF346" s="1321"/>
      <c r="DG346" s="1321"/>
      <c r="DH346" s="1321"/>
      <c r="DI346" s="1321"/>
      <c r="DJ346" s="1321"/>
      <c r="DK346" s="1321"/>
      <c r="DL346" s="1321"/>
      <c r="DM346" s="1321"/>
      <c r="DN346" s="1321"/>
      <c r="DO346" s="1321"/>
      <c r="DP346" s="1321"/>
      <c r="DQ346" s="1321"/>
      <c r="DR346" s="1321"/>
      <c r="DS346" s="1321"/>
      <c r="DT346" s="1346"/>
      <c r="DU346" s="1346"/>
      <c r="DV346" s="1321"/>
      <c r="DW346" s="1321"/>
      <c r="DX346" s="1321"/>
      <c r="DY346" s="1321"/>
      <c r="DZ346" s="1321"/>
      <c r="EA346" s="1321"/>
      <c r="EB346" s="1321"/>
      <c r="EC346" s="1321"/>
      <c r="ED346" s="1345"/>
      <c r="EE346" s="1345"/>
      <c r="EF346" s="1321"/>
      <c r="EG346" s="1321"/>
      <c r="EH346" s="1321"/>
      <c r="EI346" s="1321"/>
      <c r="EJ346" s="1321"/>
      <c r="EK346" s="1345"/>
      <c r="EL346" s="1345"/>
      <c r="EM346" s="1321"/>
      <c r="EN346" s="1321"/>
      <c r="EO346" s="1321"/>
      <c r="EP346" s="1321"/>
      <c r="EQ346" s="1321"/>
      <c r="ER346" s="1345"/>
      <c r="ES346" s="1345"/>
      <c r="ET346" s="1321"/>
      <c r="EU346" s="1321"/>
      <c r="EV346" s="1321"/>
      <c r="EW346" s="1321"/>
      <c r="EX346" s="1321"/>
      <c r="EY346" s="1321"/>
      <c r="EZ346" s="1345"/>
      <c r="FA346" s="1345"/>
      <c r="FB346" s="1345"/>
      <c r="FC346" s="1321"/>
      <c r="FD346" s="1321"/>
      <c r="FE346" s="1321"/>
      <c r="FF346" s="1321"/>
      <c r="FG346" s="1321"/>
      <c r="FH346" s="1321"/>
      <c r="FI346" s="1345"/>
      <c r="FJ346" s="1345"/>
      <c r="FK346" s="1345"/>
      <c r="FL346" s="1345"/>
      <c r="FM346" s="1321"/>
      <c r="FN346" s="1321"/>
      <c r="FO346" s="1321"/>
      <c r="FP346" s="1321"/>
      <c r="FQ346" s="1321"/>
      <c r="FR346" s="1321"/>
      <c r="FS346" s="1345"/>
      <c r="FT346" s="1345"/>
      <c r="FU346" s="1345"/>
      <c r="FV346" s="1345"/>
      <c r="FW346" s="1321"/>
      <c r="FX346" s="1321"/>
      <c r="FY346" s="1321"/>
      <c r="FZ346" s="1321"/>
      <c r="GA346" s="1345"/>
      <c r="GB346" s="1321"/>
      <c r="GC346" s="1321"/>
      <c r="GD346" s="1321"/>
      <c r="GE346" s="1321"/>
      <c r="GF346" s="1321"/>
      <c r="GG346" s="1321" t="s">
        <v>1349</v>
      </c>
      <c r="GH346" s="1321" t="s">
        <v>1349</v>
      </c>
      <c r="GI346" s="1321" t="s">
        <v>1349</v>
      </c>
      <c r="GJ346" s="1321" t="s">
        <v>1349</v>
      </c>
      <c r="GK346" s="1321" t="s">
        <v>1349</v>
      </c>
      <c r="GL346" s="1321" t="s">
        <v>1349</v>
      </c>
      <c r="GM346" s="1321" t="s">
        <v>1349</v>
      </c>
      <c r="GN346" s="1321" t="s">
        <v>1349</v>
      </c>
      <c r="GO346" s="1321" t="s">
        <v>1349</v>
      </c>
      <c r="GP346" s="1321" t="s">
        <v>1349</v>
      </c>
      <c r="GQ346" s="1321" t="s">
        <v>1349</v>
      </c>
      <c r="GR346" s="1321" t="s">
        <v>1349</v>
      </c>
      <c r="GS346" s="1321" t="s">
        <v>1349</v>
      </c>
      <c r="GT346" s="1321" t="s">
        <v>1349</v>
      </c>
      <c r="GU346" s="1321" t="s">
        <v>1349</v>
      </c>
      <c r="GV346" s="1321" t="s">
        <v>1349</v>
      </c>
      <c r="GW346" s="1321"/>
      <c r="GX346" s="1321"/>
      <c r="GY346" s="1321"/>
      <c r="GZ346" s="1321"/>
      <c r="HA346" s="1321"/>
      <c r="HB346" s="1321"/>
      <c r="HC346" s="1321"/>
      <c r="HD346" s="1321"/>
      <c r="HE346" s="1321"/>
      <c r="HF346" s="1321"/>
      <c r="HG346" s="1321"/>
      <c r="HH346" s="1321"/>
      <c r="HI346" s="1321"/>
      <c r="HJ346" s="1321"/>
      <c r="HK346" s="1321"/>
      <c r="HL346" s="1321"/>
      <c r="HM346" s="1321"/>
      <c r="HN346" s="1321"/>
      <c r="HO346" s="1321"/>
      <c r="HP346" s="1321"/>
      <c r="HQ346" s="1321"/>
      <c r="HR346" s="1321"/>
      <c r="HS346" s="1321"/>
      <c r="HT346" s="1321"/>
      <c r="HU346" s="1321"/>
      <c r="HV346" s="1321"/>
      <c r="HW346" s="1321"/>
      <c r="HX346" s="1321"/>
      <c r="HY346" s="1321"/>
      <c r="HZ346" s="1321"/>
      <c r="IA346" s="1321"/>
      <c r="IB346" s="1321"/>
      <c r="IC346" s="1321"/>
      <c r="ID346" s="1321"/>
      <c r="IE346" s="1321"/>
      <c r="IF346" s="1321"/>
      <c r="IG346" s="1321"/>
      <c r="IH346" s="1321"/>
      <c r="II346" s="1321"/>
      <c r="IJ346" s="1321"/>
      <c r="IK346" s="1321"/>
      <c r="IL346" s="1321"/>
      <c r="IM346" s="1321"/>
      <c r="IN346" s="1368"/>
    </row>
    <row r="347" spans="1:248" ht="12.75" customHeight="1" x14ac:dyDescent="0.2">
      <c r="A347" s="1319"/>
      <c r="B347" s="1321"/>
      <c r="C347" s="1321"/>
      <c r="D347" s="1321"/>
      <c r="E347" s="1321"/>
      <c r="F347" s="1321"/>
      <c r="G347" s="1321"/>
      <c r="H347" s="1321"/>
      <c r="I347" s="1321"/>
      <c r="J347" s="1321"/>
      <c r="K347" s="1321"/>
      <c r="L347" s="1321"/>
      <c r="M347" s="1321"/>
      <c r="N347" s="1321"/>
      <c r="O347" s="1321"/>
      <c r="P347" s="1321"/>
      <c r="Q347" s="1321"/>
      <c r="R347" s="1321"/>
      <c r="S347" s="1321"/>
      <c r="T347" s="1321"/>
      <c r="U347" s="1321"/>
      <c r="V347" s="1321"/>
      <c r="W347" s="1321"/>
      <c r="X347" s="1321"/>
      <c r="Y347" s="1321"/>
      <c r="Z347" s="1321"/>
      <c r="AA347" s="1321"/>
      <c r="AB347" s="1321"/>
      <c r="AC347" s="1321"/>
      <c r="AD347" s="1321"/>
      <c r="AE347" s="1321"/>
      <c r="AF347" s="1321"/>
      <c r="AG347" s="1321"/>
      <c r="AH347" s="1321"/>
      <c r="AI347" s="1321"/>
      <c r="AJ347" s="1321"/>
      <c r="AK347" s="1321"/>
      <c r="AL347" s="1321"/>
      <c r="AM347" s="1321"/>
      <c r="AN347" s="1321"/>
      <c r="AO347" s="1321"/>
      <c r="AP347" s="1321"/>
      <c r="AQ347" s="1321"/>
      <c r="AR347" s="1321"/>
      <c r="AS347" s="1321"/>
      <c r="AT347" s="1321"/>
      <c r="AU347" s="1321"/>
      <c r="AV347" s="1321"/>
      <c r="AW347" s="1321"/>
      <c r="AX347" s="1321"/>
      <c r="AY347" s="1321"/>
      <c r="AZ347" s="1321"/>
      <c r="BA347" s="1321"/>
      <c r="BB347" s="1075" t="str">
        <f t="shared" si="81"/>
        <v>Canola</v>
      </c>
      <c r="BC347" s="1269">
        <f t="array" ref="BC347">SUM((IF(QualitéAlimentsVeauxMâles_0_3_mois=BONNE,VLOOKUP("Canola",AlimentsRationBovinsMâles,8,FALSE),0)+(IF(QualitéAlimentsVeauxFemelles_0_3_mois=BONNE,VLOOKUP("Canola",AlimentsRationBovinsFemelles,8,FALSE),0)+(IF(QualitéAlimentsVeauxMâles_3_6_mois=BONNE,VLOOKUP("Canola",AlimentsRationBovinsMâles,7,FALSE),0)+(IF(QualitéAlimentsVeauxFemelles_3_6_mois=BONNE,VLOOKUP("Canola",AlimentsRationBovinsFemelles,7,FALSE),0)+(IF(QualitéAlimentsVeauxMâles_6_12_mois=BONNE,VLOOKUP("Canola",AlimentsRationBovinsMâles,6,FALSE),0)+(IF(QualitéAlimentsVeauxFemelles_6_12_mois=BONNE,VLOOKUP("Canola",AlimentsRationBovinsFemelles,6,FALSE),0)+(IF(QualitéAlimentsTaurillons_12_18_mois=BONNE,VLOOKUP("Canola",AlimentsRationBovinsMâles,5,FALSE),0)+(IF(QualitéAlimentsGénisses_12_18_mois=BONNE,VLOOKUP("Canola",AlimentsRationBovinsFemelles,5,FALSE),0)+(IF(QualitéAlimentsTaurillons_18_24_mois=BONNE,VLOOKUP("Canola",AlimentsRationBovinsMâles,4,FALSE),0)+(IF(QualitéAlimentsGénisses_18_24_mois=BONNE,VLOOKUP("Canola",AlimentsRationBovinsFemelles,4,FALSE),0)+(IF(QualitéAlimentsTaurillons_24_36_mois=BONNE,VLOOKUP("Canola",AlimentsRationBovinsMâles,3,FALSE),0)+(IF(QualitéAlimentsGénisses_24_36_mois=BONNE,VLOOKUP("Canola",AlimentsRationBovinsFemelles,3,FALSE),0)+(IF(QualitéAlimentsTaureaux=BONNE,VLOOKUP("Canola",AlimentsRationBovinsMâles,2,FALSE),0)+(IF(QualitéAlimentsVaches=BONNE,VLOOKUP("Canola",AlimentsRationBovinsFemelles,2,FALSE),0))))))))))))))))</f>
        <v>0</v>
      </c>
      <c r="BD347" s="1269">
        <f t="array" ref="BD347">SUM((IF(QualitéAlimentsVeauxMâles_0_3_mois=MOYENNE,VLOOKUP("Canola",AlimentsRationBovinsMâles,8,FALSE),0)+(IF(QualitéAlimentsVeauxFemelles_0_3_mois=MOYENNE,VLOOKUP("Canola",AlimentsRationBovinsFemelles,8,FALSE),0)+(IF(QualitéAlimentsVeauxMâles_3_6_mois=MOYENNE,VLOOKUP("Canola",AlimentsRationBovinsMâles,7,FALSE),0)+(IF(QualitéAlimentsVeauxFemelles_3_6_mois=MOYENNE,VLOOKUP("Canola",AlimentsRationBovinsFemelles,7,FALSE),0)+(IF(QualitéAlimentsVeauxMâles_6_12_mois=MOYENNE,VLOOKUP("Canola",AlimentsRationBovinsMâles,6,FALSE),0)+(IF(QualitéAlimentsVeauxFemelles_6_12_mois=MOYENNE,VLOOKUP("Canola",AlimentsRationBovinsFemelles,6,FALSE),0)+(IF(QualitéAlimentsTaurillons_12_18_mois=MOYENNE,VLOOKUP("Canola",AlimentsRationBovinsMâles,5,FALSE),0)+(IF(QualitéAlimentsGénisses_12_18_mois=MOYENNE,VLOOKUP("Canola",AlimentsRationBovinsFemelles,5,FALSE),0)+(IF(QualitéAlimentsTaurillons_18_24_mois=MOYENNE,VLOOKUP("Canola",AlimentsRationBovinsMâles,4,FALSE),0)+(IF(QualitéAlimentsGénisses_18_24_mois=MOYENNE,VLOOKUP("Canola",AlimentsRationBovinsFemelles,4,FALSE),0)+(IF(QualitéAlimentsTaurillons_24_36_mois=MOYENNE,VLOOKUP("Canola",AlimentsRationBovinsMâles,3,FALSE),0)+(IF(QualitéAlimentsGénisses_24_36_mois=MOYENNE,VLOOKUP("Canola",AlimentsRationBovinsFemelles,3,FALSE),0)+(IF(QualitéAlimentsTaureaux=MOYENNE,VLOOKUP("Canola",AlimentsRationBovinsMâles,2,FALSE),0)+(IF(QualitéAlimentsVaches=MOYENNE,VLOOKUP("Canola",AlimentsRationBovinsFemelles,2,FALSE),0))))))))))))))))</f>
        <v>0</v>
      </c>
      <c r="BE347" s="1269">
        <f t="array" ref="BE347">SUM((IF(QualitéAlimentsVeauxMâles_0_3_mois=MAUVAISE,VLOOKUP("Canola",AlimentsRationBovinsMâles,8,FALSE),0)+(IF(QualitéAlimentsVeauxFemelles_0_3_mois=MAUVAISE,VLOOKUP("Canola",AlimentsRationBovinsFemelles,8,FALSE),0)+(IF(QualitéAlimentsVeauxMâles_3_6_mois=MAUVAISE,VLOOKUP("Canola",AlimentsRationBovinsMâles,7,FALSE),0)+(IF(QualitéAlimentsVeauxFemelles_3_6_mois=MAUVAISE,VLOOKUP("Canola",AlimentsRationBovinsFemelles,7,FALSE),0)+(IF(QualitéAlimentsVeauxMâles_6_12_mois=MAUVAISE,VLOOKUP("Canola",AlimentsRationBovinsMâles,6,FALSE),0)+(IF(QualitéAlimentsVeauxFemelles_6_12_mois=MAUVAISE,VLOOKUP("Canola",AlimentsRationBovinsFemelles,6,FALSE),0)+(IF(QualitéAlimentsTaurillons_12_18_mois=MAUVAISE,VLOOKUP("Canola",AlimentsRationBovinsMâles,5,FALSE),0)+(IF(QualitéAlimentsGénisses_12_18_mois=MAUVAISE,VLOOKUP("Canola",AlimentsRationBovinsFemelles,5,FALSE),0)+(IF(QualitéAlimentsTaurillons_18_24_mois=MAUVAISE,VLOOKUP("Canola",AlimentsRationBovinsMâles,4,FALSE),0)+(IF(QualitéAlimentsGénisses_18_24_mois=MAUVAISE,VLOOKUP("Canola",AlimentsRationBovinsFemelles,4,FALSE),0)+(IF(QualitéAlimentsTaurillons_24_36_mois=MAUVAISE,VLOOKUP("Canola",AlimentsRationBovinsMâles,3,FALSE),0)+(IF(QualitéAlimentsGénisses_24_36_mois=MAUVAISE,VLOOKUP("Canola",AlimentsRationBovinsFemelles,3,FALSE),0)+(IF(QualitéAlimentsTaureaux=MAUVAISE,VLOOKUP("Canola",AlimentsRationBovinsMâles,2,FALSE),0)+(IF(QualitéAlimentsVaches=MAUVAISE,VLOOKUP("Canola",AlimentsRationBovinsFemelles,2,FALSE),0))))))))))))))))</f>
        <v>0</v>
      </c>
      <c r="BF347" s="1321"/>
      <c r="BG347" s="1321"/>
      <c r="BH347" s="1321"/>
      <c r="BI347" s="1321"/>
      <c r="BJ347" s="1321"/>
      <c r="BK347" s="1345"/>
      <c r="BL347" s="1345"/>
      <c r="BM347" s="1346"/>
      <c r="BN347" s="1321"/>
      <c r="BO347" s="1321"/>
      <c r="BP347" s="1321"/>
      <c r="BQ347" s="1321"/>
      <c r="BR347" s="1321"/>
      <c r="BS347" s="1321"/>
      <c r="BT347" s="1321"/>
      <c r="BU347" s="1321"/>
      <c r="BV347" s="1345"/>
      <c r="BW347" s="1345"/>
      <c r="BX347" s="1321"/>
      <c r="BY347" s="1321"/>
      <c r="BZ347" s="1321"/>
      <c r="CA347" s="1321"/>
      <c r="CB347" s="1321"/>
      <c r="CC347" s="1321"/>
      <c r="CD347" s="1345"/>
      <c r="CE347" s="1345"/>
      <c r="CF347" s="1345"/>
      <c r="CG347" s="1345"/>
      <c r="CH347" s="1345"/>
      <c r="CI347" s="1321"/>
      <c r="CJ347" s="1321"/>
      <c r="CK347" s="1321"/>
      <c r="CL347" s="1321"/>
      <c r="CM347" s="1321"/>
      <c r="CN347" s="1321"/>
      <c r="CO347" s="1321"/>
      <c r="CP347" s="1321"/>
      <c r="CQ347" s="1321"/>
      <c r="CR347" s="1321"/>
      <c r="CS347" s="1321"/>
      <c r="CT347" s="1321"/>
      <c r="CU347" s="1321"/>
      <c r="CV347" s="1321"/>
      <c r="CW347" s="1321"/>
      <c r="CX347" s="1321"/>
      <c r="CY347" s="1321"/>
      <c r="CZ347" s="1321"/>
      <c r="DA347" s="1321"/>
      <c r="DB347" s="1321"/>
      <c r="DC347" s="1321"/>
      <c r="DD347" s="1321"/>
      <c r="DE347" s="1321"/>
      <c r="DF347" s="1321"/>
      <c r="DG347" s="1321"/>
      <c r="DH347" s="1321"/>
      <c r="DI347" s="1321"/>
      <c r="DJ347" s="1321"/>
      <c r="DK347" s="1321"/>
      <c r="DL347" s="1321"/>
      <c r="DM347" s="1321"/>
      <c r="DN347" s="1321"/>
      <c r="DO347" s="1321"/>
      <c r="DP347" s="1321"/>
      <c r="DQ347" s="1321"/>
      <c r="DR347" s="1321"/>
      <c r="DS347" s="1321"/>
      <c r="DT347" s="1346"/>
      <c r="DU347" s="1346"/>
      <c r="DV347" s="1321"/>
      <c r="DW347" s="1321"/>
      <c r="DX347" s="1321"/>
      <c r="DY347" s="1321"/>
      <c r="DZ347" s="1321"/>
      <c r="EA347" s="1321"/>
      <c r="EB347" s="1321"/>
      <c r="EC347" s="1321"/>
      <c r="ED347" s="1345"/>
      <c r="EE347" s="1345"/>
      <c r="EF347" s="1321"/>
      <c r="EG347" s="1321"/>
      <c r="EH347" s="1321"/>
      <c r="EI347" s="1321"/>
      <c r="EJ347" s="1321"/>
      <c r="EK347" s="1345"/>
      <c r="EL347" s="1345"/>
      <c r="EM347" s="1321"/>
      <c r="EN347" s="1321"/>
      <c r="EO347" s="1321"/>
      <c r="EP347" s="1321"/>
      <c r="EQ347" s="1321"/>
      <c r="ER347" s="1345"/>
      <c r="ES347" s="1345"/>
      <c r="ET347" s="1321"/>
      <c r="EU347" s="1321"/>
      <c r="EV347" s="1321"/>
      <c r="EW347" s="1321"/>
      <c r="EX347" s="1321"/>
      <c r="EY347" s="1321"/>
      <c r="EZ347" s="1345"/>
      <c r="FA347" s="1345"/>
      <c r="FB347" s="1345"/>
      <c r="FC347" s="1321"/>
      <c r="FD347" s="1321"/>
      <c r="FE347" s="1321"/>
      <c r="FF347" s="1321"/>
      <c r="FG347" s="1321"/>
      <c r="FH347" s="1321"/>
      <c r="FI347" s="1345"/>
      <c r="FJ347" s="1345"/>
      <c r="FK347" s="1345"/>
      <c r="FL347" s="1345"/>
      <c r="FM347" s="1321"/>
      <c r="FN347" s="1321"/>
      <c r="FO347" s="1321"/>
      <c r="FP347" s="1321"/>
      <c r="FQ347" s="1321"/>
      <c r="FR347" s="1321"/>
      <c r="FS347" s="1345"/>
      <c r="FT347" s="1345"/>
      <c r="FU347" s="1345"/>
      <c r="FV347" s="1345"/>
      <c r="FW347" s="1321"/>
      <c r="FX347" s="1321"/>
      <c r="FY347" s="1321"/>
      <c r="FZ347" s="1321"/>
      <c r="GA347" s="1345"/>
      <c r="GB347" s="1321"/>
      <c r="GC347" s="1321"/>
      <c r="GD347" s="1321"/>
      <c r="GE347" s="1321"/>
      <c r="GF347" s="1321"/>
      <c r="GG347" s="1321" t="s">
        <v>1349</v>
      </c>
      <c r="GH347" s="1321" t="s">
        <v>1349</v>
      </c>
      <c r="GI347" s="1321" t="s">
        <v>1349</v>
      </c>
      <c r="GJ347" s="1321" t="s">
        <v>1349</v>
      </c>
      <c r="GK347" s="1321" t="s">
        <v>1349</v>
      </c>
      <c r="GL347" s="1321" t="s">
        <v>1349</v>
      </c>
      <c r="GM347" s="1321" t="s">
        <v>1349</v>
      </c>
      <c r="GN347" s="1321" t="s">
        <v>1349</v>
      </c>
      <c r="GO347" s="1321" t="s">
        <v>1349</v>
      </c>
      <c r="GP347" s="1321" t="s">
        <v>1349</v>
      </c>
      <c r="GQ347" s="1321" t="s">
        <v>1349</v>
      </c>
      <c r="GR347" s="1321" t="s">
        <v>1349</v>
      </c>
      <c r="GS347" s="1321" t="s">
        <v>1349</v>
      </c>
      <c r="GT347" s="1321" t="s">
        <v>1349</v>
      </c>
      <c r="GU347" s="1321" t="s">
        <v>1349</v>
      </c>
      <c r="GV347" s="1321" t="s">
        <v>1349</v>
      </c>
      <c r="GW347" s="1321"/>
      <c r="GX347" s="1321"/>
      <c r="GY347" s="1321"/>
      <c r="GZ347" s="1321"/>
      <c r="HA347" s="1321"/>
      <c r="HB347" s="1321"/>
      <c r="HC347" s="1321"/>
      <c r="HD347" s="1321"/>
      <c r="HE347" s="1321"/>
      <c r="HF347" s="1321"/>
      <c r="HG347" s="1321"/>
      <c r="HH347" s="1321"/>
      <c r="HI347" s="1321"/>
      <c r="HJ347" s="1321"/>
      <c r="HK347" s="1321"/>
      <c r="HL347" s="1321"/>
      <c r="HM347" s="1321"/>
      <c r="HN347" s="1321"/>
      <c r="HO347" s="1321"/>
      <c r="HP347" s="1321"/>
      <c r="HQ347" s="1321"/>
      <c r="HR347" s="1321"/>
      <c r="HS347" s="1321"/>
      <c r="HT347" s="1321"/>
      <c r="HU347" s="1321"/>
      <c r="HV347" s="1321"/>
      <c r="HW347" s="1321"/>
      <c r="HX347" s="1321"/>
      <c r="HY347" s="1321"/>
      <c r="HZ347" s="1321"/>
      <c r="IA347" s="1321"/>
      <c r="IB347" s="1321"/>
      <c r="IC347" s="1321"/>
      <c r="ID347" s="1321"/>
      <c r="IE347" s="1321"/>
      <c r="IF347" s="1321"/>
      <c r="IG347" s="1321"/>
      <c r="IH347" s="1321"/>
      <c r="II347" s="1321"/>
      <c r="IJ347" s="1321"/>
      <c r="IK347" s="1321"/>
      <c r="IL347" s="1321"/>
      <c r="IM347" s="1321"/>
      <c r="IN347" s="1368"/>
    </row>
    <row r="348" spans="1:248" ht="12.75" customHeight="1" x14ac:dyDescent="0.2">
      <c r="A348" s="1319"/>
      <c r="B348" s="1321"/>
      <c r="C348" s="1321"/>
      <c r="D348" s="1321"/>
      <c r="E348" s="1321"/>
      <c r="F348" s="1321"/>
      <c r="G348" s="1321"/>
      <c r="H348" s="1321"/>
      <c r="I348" s="1321"/>
      <c r="J348" s="1321"/>
      <c r="K348" s="1321"/>
      <c r="L348" s="1321"/>
      <c r="M348" s="1321"/>
      <c r="N348" s="1321"/>
      <c r="O348" s="1321"/>
      <c r="P348" s="1321"/>
      <c r="Q348" s="1321"/>
      <c r="R348" s="1321"/>
      <c r="S348" s="1321"/>
      <c r="T348" s="1321"/>
      <c r="U348" s="1321"/>
      <c r="V348" s="1321"/>
      <c r="W348" s="1321"/>
      <c r="X348" s="1321"/>
      <c r="Y348" s="1321"/>
      <c r="Z348" s="1321"/>
      <c r="AA348" s="1321"/>
      <c r="AB348" s="1321"/>
      <c r="AC348" s="1321"/>
      <c r="AD348" s="1321"/>
      <c r="AE348" s="1321"/>
      <c r="AF348" s="1321"/>
      <c r="AG348" s="1321"/>
      <c r="AH348" s="1321"/>
      <c r="AI348" s="1321"/>
      <c r="AJ348" s="1321"/>
      <c r="AK348" s="1321"/>
      <c r="AL348" s="1321"/>
      <c r="AM348" s="1321"/>
      <c r="AN348" s="1321"/>
      <c r="AO348" s="1321"/>
      <c r="AP348" s="1321"/>
      <c r="AQ348" s="1321"/>
      <c r="AR348" s="1321"/>
      <c r="AS348" s="1321"/>
      <c r="AT348" s="1321"/>
      <c r="AU348" s="1321"/>
      <c r="AV348" s="1321"/>
      <c r="AW348" s="1321"/>
      <c r="AX348" s="1321"/>
      <c r="AY348" s="1321"/>
      <c r="AZ348" s="1321"/>
      <c r="BA348" s="1321"/>
      <c r="BB348" s="1076" t="str">
        <f t="shared" si="81"/>
        <v>Colza</v>
      </c>
      <c r="BC348" s="1267">
        <f t="array" ref="BC348">SUM((IF(QualitéAlimentsVeauxMâles_0_3_mois=BONNE,VLOOKUP("Colza",AlimentsRationBovinsMâles,8,FALSE),0)+(IF(QualitéAlimentsVeauxFemelles_0_3_mois=BONNE,VLOOKUP("Colza",AlimentsRationBovinsFemelles,8,FALSE),0)+(IF(QualitéAlimentsVeauxMâles_3_6_mois=BONNE,VLOOKUP("Colza",AlimentsRationBovinsMâles,7,FALSE),0)+(IF(QualitéAlimentsVeauxFemelles_3_6_mois=BONNE,VLOOKUP("Colza",AlimentsRationBovinsFemelles,7,FALSE),0)+(IF(QualitéAlimentsVeauxMâles_6_12_mois=BONNE,VLOOKUP("Colza",AlimentsRationBovinsMâles,6,FALSE),0)+(IF(QualitéAlimentsVeauxFemelles_6_12_mois=BONNE,VLOOKUP("Colza",AlimentsRationBovinsFemelles,6,FALSE),0)+(IF(QualitéAlimentsTaurillons_12_18_mois=BONNE,VLOOKUP("Colza",AlimentsRationBovinsMâles,5,FALSE),0)+(IF(QualitéAlimentsGénisses_12_18_mois=BONNE,VLOOKUP("Colza",AlimentsRationBovinsFemelles,5,FALSE),0)+(IF(QualitéAlimentsTaurillons_18_24_mois=BONNE,VLOOKUP("Colza",AlimentsRationBovinsMâles,4,FALSE),0)+(IF(QualitéAlimentsGénisses_18_24_mois=BONNE,VLOOKUP("Colza",AlimentsRationBovinsFemelles,4,FALSE),0)+(IF(QualitéAlimentsTaurillons_24_36_mois=BONNE,VLOOKUP("Colza",AlimentsRationBovinsMâles,3,FALSE),0)+(IF(QualitéAlimentsGénisses_24_36_mois=BONNE,VLOOKUP("Colza",AlimentsRationBovinsFemelles,3,FALSE),0)+(IF(QualitéAlimentsTaureaux=BONNE,VLOOKUP("Colza",AlimentsRationBovinsMâles,2,FALSE),0)+(IF(QualitéAlimentsVaches=BONNE,VLOOKUP("Colza",AlimentsRationBovinsFemelles,2,FALSE),0))))))))))))))))</f>
        <v>0</v>
      </c>
      <c r="BD348" s="1267">
        <f t="array" ref="BD348">SUM((IF(QualitéAlimentsVeauxMâles_0_3_mois=MOYENNE,VLOOKUP("Colza",AlimentsRationBovinsMâles,8,FALSE),0)+(IF(QualitéAlimentsVeauxFemelles_0_3_mois=MOYENNE,VLOOKUP("Colza",AlimentsRationBovinsFemelles,8,FALSE),0)+(IF(QualitéAlimentsVeauxMâles_3_6_mois=MOYENNE,VLOOKUP("Colza",AlimentsRationBovinsMâles,7,FALSE),0)+(IF(QualitéAlimentsVeauxFemelles_3_6_mois=MOYENNE,VLOOKUP("Colza",AlimentsRationBovinsFemelles,7,FALSE),0)+(IF(QualitéAlimentsVeauxMâles_6_12_mois=MOYENNE,VLOOKUP("Colza",AlimentsRationBovinsMâles,6,FALSE),0)+(IF(QualitéAlimentsVeauxFemelles_6_12_mois=MOYENNE,VLOOKUP("Colza",AlimentsRationBovinsFemelles,6,FALSE),0)+(IF(QualitéAlimentsTaurillons_12_18_mois=MOYENNE,VLOOKUP("Colza",AlimentsRationBovinsMâles,5,FALSE),0)+(IF(QualitéAlimentsGénisses_12_18_mois=MOYENNE,VLOOKUP("Colza",AlimentsRationBovinsFemelles,5,FALSE),0)+(IF(QualitéAlimentsTaurillons_18_24_mois=MOYENNE,VLOOKUP("Colza",AlimentsRationBovinsMâles,4,FALSE),0)+(IF(QualitéAlimentsGénisses_18_24_mois=MOYENNE,VLOOKUP("Colza",AlimentsRationBovinsFemelles,4,FALSE),0)+(IF(QualitéAlimentsTaurillons_24_36_mois=MOYENNE,VLOOKUP("Colza",AlimentsRationBovinsMâles,3,FALSE),0)+(IF(QualitéAlimentsGénisses_24_36_mois=MOYENNE,VLOOKUP("Colza",AlimentsRationBovinsFemelles,3,FALSE),0)+(IF(QualitéAlimentsTaureaux=MOYENNE,VLOOKUP("Colza",AlimentsRationBovinsMâles,2,FALSE),0)+(IF(QualitéAlimentsVaches=MOYENNE,VLOOKUP("Colza",AlimentsRationBovinsFemelles,2,FALSE),0))))))))))))))))</f>
        <v>0</v>
      </c>
      <c r="BE348" s="1267">
        <f t="array" ref="BE348">SUM((IF(QualitéAlimentsVeauxMâles_0_3_mois=MAUVAISE,VLOOKUP("Colza",AlimentsRationBovinsMâles,8,FALSE),0)+(IF(QualitéAlimentsVeauxFemelles_0_3_mois=MAUVAISE,VLOOKUP("Colza",AlimentsRationBovinsFemelles,8,FALSE),0)+(IF(QualitéAlimentsVeauxMâles_3_6_mois=MAUVAISE,VLOOKUP("Colza",AlimentsRationBovinsMâles,7,FALSE),0)+(IF(QualitéAlimentsVeauxFemelles_3_6_mois=MAUVAISE,VLOOKUP("Colza",AlimentsRationBovinsFemelles,7,FALSE),0)+(IF(QualitéAlimentsVeauxMâles_6_12_mois=MAUVAISE,VLOOKUP("Colza",AlimentsRationBovinsMâles,6,FALSE),0)+(IF(QualitéAlimentsVeauxFemelles_6_12_mois=MAUVAISE,VLOOKUP("Colza",AlimentsRationBovinsFemelles,6,FALSE),0)+(IF(QualitéAlimentsTaurillons_12_18_mois=MAUVAISE,VLOOKUP("Colza",AlimentsRationBovinsMâles,5,FALSE),0)+(IF(QualitéAlimentsGénisses_12_18_mois=MAUVAISE,VLOOKUP("Colza",AlimentsRationBovinsFemelles,5,FALSE),0)+(IF(QualitéAlimentsTaurillons_18_24_mois=MAUVAISE,VLOOKUP("Colza",AlimentsRationBovinsMâles,4,FALSE),0)+(IF(QualitéAlimentsGénisses_18_24_mois=MAUVAISE,VLOOKUP("Colza",AlimentsRationBovinsFemelles,4,FALSE),0)+(IF(QualitéAlimentsTaurillons_24_36_mois=MAUVAISE,VLOOKUP("Colza",AlimentsRationBovinsMâles,3,FALSE),0)+(IF(QualitéAlimentsGénisses_24_36_mois=MAUVAISE,VLOOKUP("Colza",AlimentsRationBovinsFemelles,3,FALSE),0)+(IF(QualitéAlimentsTaureaux=MAUVAISE,VLOOKUP("Colza",AlimentsRationBovinsMâles,2,FALSE),0)+(IF(QualitéAlimentsVaches=MAUVAISE,VLOOKUP("Colza",AlimentsRationBovinsFemelles,2,FALSE),0))))))))))))))))</f>
        <v>0</v>
      </c>
      <c r="BF348" s="1321"/>
      <c r="BG348" s="1321"/>
      <c r="BH348" s="1321"/>
      <c r="BI348" s="1321"/>
      <c r="BJ348" s="1321"/>
      <c r="BK348" s="1345"/>
      <c r="BL348" s="1345"/>
      <c r="BM348" s="1346"/>
      <c r="BN348" s="1321"/>
      <c r="BO348" s="1321"/>
      <c r="BP348" s="1321"/>
      <c r="BQ348" s="1321"/>
      <c r="BR348" s="1321"/>
      <c r="BS348" s="1321"/>
      <c r="BT348" s="1321"/>
      <c r="BU348" s="1321"/>
      <c r="BV348" s="1345"/>
      <c r="BW348" s="1345"/>
      <c r="BX348" s="1321"/>
      <c r="BY348" s="1321"/>
      <c r="BZ348" s="1321"/>
      <c r="CA348" s="1321"/>
      <c r="CB348" s="1321"/>
      <c r="CC348" s="1321"/>
      <c r="CD348" s="1345"/>
      <c r="CE348" s="1345"/>
      <c r="CF348" s="1345"/>
      <c r="CG348" s="1345"/>
      <c r="CH348" s="1345"/>
      <c r="CI348" s="1321"/>
      <c r="CJ348" s="1321"/>
      <c r="CK348" s="1321"/>
      <c r="CL348" s="1321"/>
      <c r="CM348" s="1321"/>
      <c r="CN348" s="1321"/>
      <c r="CO348" s="1321"/>
      <c r="CP348" s="1321"/>
      <c r="CQ348" s="1321"/>
      <c r="CR348" s="1321"/>
      <c r="CS348" s="1321"/>
      <c r="CT348" s="1321"/>
      <c r="CU348" s="1321"/>
      <c r="CV348" s="1321"/>
      <c r="CW348" s="1321"/>
      <c r="CX348" s="1321"/>
      <c r="CY348" s="1321"/>
      <c r="CZ348" s="1321"/>
      <c r="DA348" s="1321"/>
      <c r="DB348" s="1321"/>
      <c r="DC348" s="1321"/>
      <c r="DD348" s="1321"/>
      <c r="DE348" s="1321"/>
      <c r="DF348" s="1321"/>
      <c r="DG348" s="1321"/>
      <c r="DH348" s="1321"/>
      <c r="DI348" s="1321"/>
      <c r="DJ348" s="1321"/>
      <c r="DK348" s="1321"/>
      <c r="DL348" s="1321"/>
      <c r="DM348" s="1321"/>
      <c r="DN348" s="1321"/>
      <c r="DO348" s="1321"/>
      <c r="DP348" s="1321"/>
      <c r="DQ348" s="1321"/>
      <c r="DR348" s="1321"/>
      <c r="DS348" s="1321"/>
      <c r="DT348" s="1346"/>
      <c r="DU348" s="1346"/>
      <c r="DV348" s="1321"/>
      <c r="DW348" s="1321"/>
      <c r="DX348" s="1321"/>
      <c r="DY348" s="1321"/>
      <c r="DZ348" s="1321"/>
      <c r="EA348" s="1321"/>
      <c r="EB348" s="1321"/>
      <c r="EC348" s="1321"/>
      <c r="ED348" s="1345"/>
      <c r="EE348" s="1345"/>
      <c r="EF348" s="1321"/>
      <c r="EG348" s="1321"/>
      <c r="EH348" s="1321"/>
      <c r="EI348" s="1321"/>
      <c r="EJ348" s="1321"/>
      <c r="EK348" s="1345"/>
      <c r="EL348" s="1345"/>
      <c r="EM348" s="1321"/>
      <c r="EN348" s="1321"/>
      <c r="EO348" s="1321"/>
      <c r="EP348" s="1321"/>
      <c r="EQ348" s="1321"/>
      <c r="ER348" s="1345"/>
      <c r="ES348" s="1345"/>
      <c r="ET348" s="1321"/>
      <c r="EU348" s="1321"/>
      <c r="EV348" s="1321"/>
      <c r="EW348" s="1321"/>
      <c r="EX348" s="1321"/>
      <c r="EY348" s="1321"/>
      <c r="EZ348" s="1345"/>
      <c r="FA348" s="1345"/>
      <c r="FB348" s="1345"/>
      <c r="FC348" s="1321"/>
      <c r="FD348" s="1321"/>
      <c r="FE348" s="1321"/>
      <c r="FF348" s="1321"/>
      <c r="FG348" s="1321"/>
      <c r="FH348" s="1321"/>
      <c r="FI348" s="1345"/>
      <c r="FJ348" s="1345"/>
      <c r="FK348" s="1345"/>
      <c r="FL348" s="1345"/>
      <c r="FM348" s="1321"/>
      <c r="FN348" s="1321"/>
      <c r="FO348" s="1321"/>
      <c r="FP348" s="1321"/>
      <c r="FQ348" s="1321"/>
      <c r="FR348" s="1321"/>
      <c r="FS348" s="1345"/>
      <c r="FT348" s="1345"/>
      <c r="FU348" s="1345"/>
      <c r="FV348" s="1345"/>
      <c r="FW348" s="1321"/>
      <c r="FX348" s="1321"/>
      <c r="FY348" s="1321"/>
      <c r="FZ348" s="1321"/>
      <c r="GA348" s="1345"/>
      <c r="GB348" s="1321"/>
      <c r="GC348" s="1321"/>
      <c r="GD348" s="1321"/>
      <c r="GE348" s="1321"/>
      <c r="GF348" s="1321"/>
      <c r="GG348" s="1321" t="s">
        <v>1349</v>
      </c>
      <c r="GH348" s="1321" t="s">
        <v>1349</v>
      </c>
      <c r="GI348" s="1321" t="s">
        <v>1349</v>
      </c>
      <c r="GJ348" s="1321" t="s">
        <v>1349</v>
      </c>
      <c r="GK348" s="1321" t="s">
        <v>1349</v>
      </c>
      <c r="GL348" s="1321" t="s">
        <v>1349</v>
      </c>
      <c r="GM348" s="1321" t="s">
        <v>1349</v>
      </c>
      <c r="GN348" s="1321" t="s">
        <v>1349</v>
      </c>
      <c r="GO348" s="1321" t="s">
        <v>1349</v>
      </c>
      <c r="GP348" s="1321" t="s">
        <v>1349</v>
      </c>
      <c r="GQ348" s="1321" t="s">
        <v>1349</v>
      </c>
      <c r="GR348" s="1321" t="s">
        <v>1349</v>
      </c>
      <c r="GS348" s="1321" t="s">
        <v>1349</v>
      </c>
      <c r="GT348" s="1321" t="s">
        <v>1349</v>
      </c>
      <c r="GU348" s="1321" t="s">
        <v>1349</v>
      </c>
      <c r="GV348" s="1321" t="s">
        <v>1349</v>
      </c>
      <c r="GW348" s="1321"/>
      <c r="GX348" s="1321"/>
      <c r="GY348" s="1321"/>
      <c r="GZ348" s="1321"/>
      <c r="HA348" s="1321"/>
      <c r="HB348" s="1321"/>
      <c r="HC348" s="1321"/>
      <c r="HD348" s="1321"/>
      <c r="HE348" s="1321"/>
      <c r="HF348" s="1321"/>
      <c r="HG348" s="1321"/>
      <c r="HH348" s="1321"/>
      <c r="HI348" s="1321"/>
      <c r="HJ348" s="1321"/>
      <c r="HK348" s="1321"/>
      <c r="HL348" s="1321"/>
      <c r="HM348" s="1321"/>
      <c r="HN348" s="1321"/>
      <c r="HO348" s="1321"/>
      <c r="HP348" s="1321"/>
      <c r="HQ348" s="1321"/>
      <c r="HR348" s="1321"/>
      <c r="HS348" s="1321"/>
      <c r="HT348" s="1321"/>
      <c r="HU348" s="1321"/>
      <c r="HV348" s="1321"/>
      <c r="HW348" s="1321"/>
      <c r="HX348" s="1321"/>
      <c r="HY348" s="1321"/>
      <c r="HZ348" s="1321"/>
      <c r="IA348" s="1321"/>
      <c r="IB348" s="1321"/>
      <c r="IC348" s="1321"/>
      <c r="ID348" s="1321"/>
      <c r="IE348" s="1321"/>
      <c r="IF348" s="1321"/>
      <c r="IG348" s="1321"/>
      <c r="IH348" s="1321"/>
      <c r="II348" s="1321"/>
      <c r="IJ348" s="1321"/>
      <c r="IK348" s="1321"/>
      <c r="IL348" s="1321"/>
      <c r="IM348" s="1321"/>
      <c r="IN348" s="1368"/>
    </row>
    <row r="349" spans="1:248" ht="12.75" customHeight="1" x14ac:dyDescent="0.2">
      <c r="A349" s="1319"/>
      <c r="B349" s="1321"/>
      <c r="C349" s="1321"/>
      <c r="D349" s="1321"/>
      <c r="E349" s="1321"/>
      <c r="F349" s="1321"/>
      <c r="G349" s="1321"/>
      <c r="H349" s="1321"/>
      <c r="I349" s="1321"/>
      <c r="J349" s="1321"/>
      <c r="K349" s="1321"/>
      <c r="L349" s="1321"/>
      <c r="M349" s="1321"/>
      <c r="N349" s="1321"/>
      <c r="O349" s="1321"/>
      <c r="P349" s="1321"/>
      <c r="Q349" s="1321"/>
      <c r="R349" s="1321"/>
      <c r="S349" s="1321"/>
      <c r="T349" s="1321"/>
      <c r="U349" s="1321"/>
      <c r="V349" s="1321"/>
      <c r="W349" s="1321"/>
      <c r="X349" s="1321"/>
      <c r="Y349" s="1321"/>
      <c r="Z349" s="1321"/>
      <c r="AA349" s="1321"/>
      <c r="AB349" s="1321"/>
      <c r="AC349" s="1321"/>
      <c r="AD349" s="1321"/>
      <c r="AE349" s="1321"/>
      <c r="AF349" s="1321"/>
      <c r="AG349" s="1321"/>
      <c r="AH349" s="1321"/>
      <c r="AI349" s="1321"/>
      <c r="AJ349" s="1321"/>
      <c r="AK349" s="1321"/>
      <c r="AL349" s="1321"/>
      <c r="AM349" s="1321"/>
      <c r="AN349" s="1321"/>
      <c r="AO349" s="1321"/>
      <c r="AP349" s="1321"/>
      <c r="AQ349" s="1321"/>
      <c r="AR349" s="1321"/>
      <c r="AS349" s="1321"/>
      <c r="AT349" s="1321"/>
      <c r="AU349" s="1321"/>
      <c r="AV349" s="1321"/>
      <c r="AW349" s="1321"/>
      <c r="AX349" s="1321"/>
      <c r="AY349" s="1321"/>
      <c r="AZ349" s="1321"/>
      <c r="BA349" s="1321"/>
      <c r="BB349" s="1075" t="str">
        <f t="shared" si="81"/>
        <v>concentré jeunes bovins</v>
      </c>
      <c r="BC349" s="1269">
        <f t="array" ref="BC349">SUM((IF(QualitéAlimentsVeauxMâles_0_3_mois=BONNE,VLOOKUP("concentré jeunes bovins",AlimentsRationBovinsMâles,8,FALSE),0)+(IF(QualitéAlimentsVeauxFemelles_0_3_mois=BONNE,VLOOKUP("concentré jeunes bovins",AlimentsRationBovinsFemelles,8,FALSE),0)+(IF(QualitéAlimentsVeauxMâles_3_6_mois=BONNE,VLOOKUP("concentré jeunes bovins",AlimentsRationBovinsMâles,7,FALSE),0)+(IF(QualitéAlimentsVeauxFemelles_3_6_mois=BONNE,VLOOKUP("concentré jeunes bovins",AlimentsRationBovinsFemelles,7,FALSE),0)+(IF(QualitéAlimentsVeauxMâles_6_12_mois=BONNE,VLOOKUP("concentré jeunes bovins",AlimentsRationBovinsMâles,6,FALSE),0)+(IF(QualitéAlimentsVeauxFemelles_6_12_mois=BONNE,VLOOKUP("concentré jeunes bovins",AlimentsRationBovinsFemelles,6,FALSE),0)+(IF(QualitéAlimentsTaurillons_12_18_mois=BONNE,VLOOKUP("concentré jeunes bovins",AlimentsRationBovinsMâles,5,FALSE),0)+(IF(QualitéAlimentsGénisses_12_18_mois=BONNE,VLOOKUP("concentré jeunes bovins",AlimentsRationBovinsFemelles,5,FALSE),0)+(IF(QualitéAlimentsTaurillons_18_24_mois=BONNE,VLOOKUP("concentré jeunes bovins",AlimentsRationBovinsMâles,4,FALSE),0)+(IF(QualitéAlimentsGénisses_18_24_mois=BONNE,VLOOKUP("concentré jeunes bovins",AlimentsRationBovinsFemelles,4,FALSE),0)+(IF(QualitéAlimentsTaurillons_24_36_mois=BONNE,VLOOKUP("concentré jeunes bovins",AlimentsRationBovinsMâles,3,FALSE),0)+(IF(QualitéAlimentsGénisses_24_36_mois=BONNE,VLOOKUP("concentré jeunes bovins",AlimentsRationBovinsFemelles,3,FALSE),0)+(IF(QualitéAlimentsTaureaux=BONNE,VLOOKUP("concentré jeunes bovins",AlimentsRationBovinsMâles,2,FALSE),0)+(IF(QualitéAlimentsVaches=BONNE,VLOOKUP("concentré jeunes bovins",AlimentsRationBovinsFemelles,2,FALSE),0))))))))))))))))</f>
        <v>0</v>
      </c>
      <c r="BD349" s="1269">
        <f t="array" ref="BD349">SUM((IF(QualitéAlimentsVeauxMâles_0_3_mois=MOYENNE,VLOOKUP("concentré jeunes bovins",AlimentsRationBovinsMâles,8,FALSE),0)+(IF(QualitéAlimentsVeauxFemelles_0_3_mois=MOYENNE,VLOOKUP("concentré jeunes bovins",AlimentsRationBovinsFemelles,8,FALSE),0)+(IF(QualitéAlimentsVeauxMâles_3_6_mois=MOYENNE,VLOOKUP("concentré jeunes bovins",AlimentsRationBovinsMâles,7,FALSE),0)+(IF(QualitéAlimentsVeauxFemelles_3_6_mois=MOYENNE,VLOOKUP("concentré jeunes bovins",AlimentsRationBovinsFemelles,7,FALSE),0)+(IF(QualitéAlimentsVeauxMâles_6_12_mois=MOYENNE,VLOOKUP("concentré jeunes bovins",AlimentsRationBovinsMâles,6,FALSE),0)+(IF(QualitéAlimentsVeauxFemelles_6_12_mois=MOYENNE,VLOOKUP("concentré jeunes bovins",AlimentsRationBovinsFemelles,6,FALSE),0)+(IF(QualitéAlimentsTaurillons_12_18_mois=MOYENNE,VLOOKUP("concentré jeunes bovins",AlimentsRationBovinsMâles,5,FALSE),0)+(IF(QualitéAlimentsGénisses_12_18_mois=MOYENNE,VLOOKUP("concentré jeunes bovins",AlimentsRationBovinsFemelles,5,FALSE),0)+(IF(QualitéAlimentsTaurillons_18_24_mois=MOYENNE,VLOOKUP("concentré jeunes bovins",AlimentsRationBovinsMâles,4,FALSE),0)+(IF(QualitéAlimentsGénisses_18_24_mois=MOYENNE,VLOOKUP("concentré jeunes bovins",AlimentsRationBovinsFemelles,4,FALSE),0)+(IF(QualitéAlimentsTaurillons_24_36_mois=MOYENNE,VLOOKUP("concentré jeunes bovins",AlimentsRationBovinsMâles,3,FALSE),0)+(IF(QualitéAlimentsGénisses_24_36_mois=MOYENNE,VLOOKUP("concentré jeunes bovins",AlimentsRationBovinsFemelles,3,FALSE),0)+(IF(QualitéAlimentsTaureaux=MOYENNE,VLOOKUP("concentré jeunes bovins",AlimentsRationBovinsMâles,2,FALSE),0)+(IF(QualitéAlimentsVaches=MOYENNE,VLOOKUP("concentré jeunes bovins",AlimentsRationBovinsFemelles,2,FALSE),0))))))))))))))))</f>
        <v>0</v>
      </c>
      <c r="BE349" s="1269">
        <f t="array" ref="BE349">SUM((IF(QualitéAlimentsVeauxMâles_0_3_mois=MAUVAISE,VLOOKUP("concentré jeunes bovins",AlimentsRationBovinsMâles,8,FALSE),0)+(IF(QualitéAlimentsVeauxFemelles_0_3_mois=MAUVAISE,VLOOKUP("concentré jeunes bovins",AlimentsRationBovinsFemelles,8,FALSE),0)+(IF(QualitéAlimentsVeauxMâles_3_6_mois=MAUVAISE,VLOOKUP("concentré jeunes bovins",AlimentsRationBovinsMâles,7,FALSE),0)+(IF(QualitéAlimentsVeauxFemelles_3_6_mois=MAUVAISE,VLOOKUP("concentré jeunes bovins",AlimentsRationBovinsFemelles,7,FALSE),0)+(IF(QualitéAlimentsVeauxMâles_6_12_mois=MAUVAISE,VLOOKUP("concentré jeunes bovins",AlimentsRationBovinsMâles,6,FALSE),0)+(IF(QualitéAlimentsVeauxFemelles_6_12_mois=MAUVAISE,VLOOKUP("concentré jeunes bovins",AlimentsRationBovinsFemelles,6,FALSE),0)+(IF(QualitéAlimentsTaurillons_12_18_mois=MAUVAISE,VLOOKUP("concentré jeunes bovins",AlimentsRationBovinsMâles,5,FALSE),0)+(IF(QualitéAlimentsGénisses_12_18_mois=MAUVAISE,VLOOKUP("concentré jeunes bovins",AlimentsRationBovinsFemelles,5,FALSE),0)+(IF(QualitéAlimentsTaurillons_18_24_mois=MAUVAISE,VLOOKUP("concentré jeunes bovins",AlimentsRationBovinsMâles,4,FALSE),0)+(IF(QualitéAlimentsGénisses_18_24_mois=MAUVAISE,VLOOKUP("concentré jeunes bovins",AlimentsRationBovinsFemelles,4,FALSE),0)+(IF(QualitéAlimentsTaurillons_24_36_mois=MAUVAISE,VLOOKUP("concentré jeunes bovins",AlimentsRationBovinsMâles,3,FALSE),0)+(IF(QualitéAlimentsGénisses_24_36_mois=MAUVAISE,VLOOKUP("concentré jeunes bovins",AlimentsRationBovinsFemelles,3,FALSE),0)+(IF(QualitéAlimentsTaureaux=MAUVAISE,VLOOKUP("concentré jeunes bovins",AlimentsRationBovinsMâles,2,FALSE),0)+(IF(QualitéAlimentsVaches=MAUVAISE,VLOOKUP("concentré jeunes bovins",AlimentsRationBovinsFemelles,2,FALSE),0))))))))))))))))</f>
        <v>0</v>
      </c>
      <c r="BF349" s="1321"/>
      <c r="BG349" s="1321"/>
      <c r="BH349" s="1321"/>
      <c r="BI349" s="1321"/>
      <c r="BJ349" s="1321"/>
      <c r="BK349" s="1345"/>
      <c r="BL349" s="1345"/>
      <c r="BM349" s="1346"/>
      <c r="BN349" s="1321"/>
      <c r="BO349" s="1321"/>
      <c r="BP349" s="1321"/>
      <c r="BQ349" s="1321"/>
      <c r="BR349" s="1321"/>
      <c r="BS349" s="1321"/>
      <c r="BT349" s="1321"/>
      <c r="BU349" s="1321"/>
      <c r="BV349" s="1345"/>
      <c r="BW349" s="1345"/>
      <c r="BX349" s="1321"/>
      <c r="BY349" s="1321"/>
      <c r="BZ349" s="1321"/>
      <c r="CA349" s="1321"/>
      <c r="CB349" s="1321"/>
      <c r="CC349" s="1321"/>
      <c r="CD349" s="1345"/>
      <c r="CE349" s="1345"/>
      <c r="CF349" s="1345"/>
      <c r="CG349" s="1345"/>
      <c r="CH349" s="1345"/>
      <c r="CI349" s="1321"/>
      <c r="CJ349" s="1321"/>
      <c r="CK349" s="1321"/>
      <c r="CL349" s="1321"/>
      <c r="CM349" s="1321"/>
      <c r="CN349" s="1321"/>
      <c r="CO349" s="1321"/>
      <c r="CP349" s="1321"/>
      <c r="CQ349" s="1321"/>
      <c r="CR349" s="1321"/>
      <c r="CS349" s="1321"/>
      <c r="CT349" s="1321"/>
      <c r="CU349" s="1321"/>
      <c r="CV349" s="1321"/>
      <c r="CW349" s="1321"/>
      <c r="CX349" s="1321"/>
      <c r="CY349" s="1321"/>
      <c r="CZ349" s="1321"/>
      <c r="DA349" s="1321"/>
      <c r="DB349" s="1321"/>
      <c r="DC349" s="1321"/>
      <c r="DD349" s="1321"/>
      <c r="DE349" s="1321"/>
      <c r="DF349" s="1321"/>
      <c r="DG349" s="1321"/>
      <c r="DH349" s="1321"/>
      <c r="DI349" s="1321"/>
      <c r="DJ349" s="1321"/>
      <c r="DK349" s="1321"/>
      <c r="DL349" s="1321"/>
      <c r="DM349" s="1321"/>
      <c r="DN349" s="1321"/>
      <c r="DO349" s="1321"/>
      <c r="DP349" s="1321"/>
      <c r="DQ349" s="1321"/>
      <c r="DR349" s="1321"/>
      <c r="DS349" s="1321"/>
      <c r="DT349" s="1346"/>
      <c r="DU349" s="1346"/>
      <c r="DV349" s="1321"/>
      <c r="DW349" s="1321"/>
      <c r="DX349" s="1321"/>
      <c r="DY349" s="1321"/>
      <c r="DZ349" s="1321"/>
      <c r="EA349" s="1321"/>
      <c r="EB349" s="1321"/>
      <c r="EC349" s="1321"/>
      <c r="ED349" s="1345"/>
      <c r="EE349" s="1345"/>
      <c r="EF349" s="1321"/>
      <c r="EG349" s="1321"/>
      <c r="EH349" s="1321"/>
      <c r="EI349" s="1321"/>
      <c r="EJ349" s="1321"/>
      <c r="EK349" s="1345"/>
      <c r="EL349" s="1345"/>
      <c r="EM349" s="1321"/>
      <c r="EN349" s="1321"/>
      <c r="EO349" s="1321"/>
      <c r="EP349" s="1321"/>
      <c r="EQ349" s="1321"/>
      <c r="ER349" s="1345"/>
      <c r="ES349" s="1345"/>
      <c r="ET349" s="1321"/>
      <c r="EU349" s="1321"/>
      <c r="EV349" s="1321"/>
      <c r="EW349" s="1321"/>
      <c r="EX349" s="1321"/>
      <c r="EY349" s="1321"/>
      <c r="EZ349" s="1345"/>
      <c r="FA349" s="1345"/>
      <c r="FB349" s="1345"/>
      <c r="FC349" s="1321"/>
      <c r="FD349" s="1321"/>
      <c r="FE349" s="1321"/>
      <c r="FF349" s="1321"/>
      <c r="FG349" s="1321"/>
      <c r="FH349" s="1321"/>
      <c r="FI349" s="1345"/>
      <c r="FJ349" s="1345"/>
      <c r="FK349" s="1345"/>
      <c r="FL349" s="1345"/>
      <c r="FM349" s="1321"/>
      <c r="FN349" s="1321"/>
      <c r="FO349" s="1321"/>
      <c r="FP349" s="1321"/>
      <c r="FQ349" s="1321"/>
      <c r="FR349" s="1321"/>
      <c r="FS349" s="1345"/>
      <c r="FT349" s="1345"/>
      <c r="FU349" s="1345"/>
      <c r="FV349" s="1345"/>
      <c r="FW349" s="1321"/>
      <c r="FX349" s="1321"/>
      <c r="FY349" s="1321"/>
      <c r="FZ349" s="1321"/>
      <c r="GA349" s="1345"/>
      <c r="GB349" s="1321"/>
      <c r="GC349" s="1321"/>
      <c r="GD349" s="1321"/>
      <c r="GE349" s="1321"/>
      <c r="GF349" s="1321"/>
      <c r="GG349" s="1321" t="s">
        <v>1349</v>
      </c>
      <c r="GH349" s="1321" t="s">
        <v>1349</v>
      </c>
      <c r="GI349" s="1321" t="s">
        <v>1349</v>
      </c>
      <c r="GJ349" s="1321" t="s">
        <v>1349</v>
      </c>
      <c r="GK349" s="1321" t="s">
        <v>1349</v>
      </c>
      <c r="GL349" s="1321" t="s">
        <v>1349</v>
      </c>
      <c r="GM349" s="1321" t="s">
        <v>1349</v>
      </c>
      <c r="GN349" s="1321" t="s">
        <v>1349</v>
      </c>
      <c r="GO349" s="1321" t="s">
        <v>1349</v>
      </c>
      <c r="GP349" s="1321" t="s">
        <v>1349</v>
      </c>
      <c r="GQ349" s="1321" t="s">
        <v>1349</v>
      </c>
      <c r="GR349" s="1321" t="s">
        <v>1349</v>
      </c>
      <c r="GS349" s="1321" t="s">
        <v>1349</v>
      </c>
      <c r="GT349" s="1321" t="s">
        <v>1349</v>
      </c>
      <c r="GU349" s="1321" t="s">
        <v>1349</v>
      </c>
      <c r="GV349" s="1321" t="s">
        <v>1349</v>
      </c>
      <c r="GW349" s="1321"/>
      <c r="GX349" s="1321"/>
      <c r="GY349" s="1321"/>
      <c r="GZ349" s="1321"/>
      <c r="HA349" s="1321"/>
      <c r="HB349" s="1321"/>
      <c r="HC349" s="1321"/>
      <c r="HD349" s="1321"/>
      <c r="HE349" s="1321"/>
      <c r="HF349" s="1321"/>
      <c r="HG349" s="1321"/>
      <c r="HH349" s="1321"/>
      <c r="HI349" s="1321"/>
      <c r="HJ349" s="1321"/>
      <c r="HK349" s="1321"/>
      <c r="HL349" s="1321"/>
      <c r="HM349" s="1321"/>
      <c r="HN349" s="1321"/>
      <c r="HO349" s="1321"/>
      <c r="HP349" s="1321"/>
      <c r="HQ349" s="1321"/>
      <c r="HR349" s="1321"/>
      <c r="HS349" s="1321"/>
      <c r="HT349" s="1321"/>
      <c r="HU349" s="1321"/>
      <c r="HV349" s="1321"/>
      <c r="HW349" s="1321"/>
      <c r="HX349" s="1321"/>
      <c r="HY349" s="1321"/>
      <c r="HZ349" s="1321"/>
      <c r="IA349" s="1321"/>
      <c r="IB349" s="1321"/>
      <c r="IC349" s="1321"/>
      <c r="ID349" s="1321"/>
      <c r="IE349" s="1321"/>
      <c r="IF349" s="1321"/>
      <c r="IG349" s="1321"/>
      <c r="IH349" s="1321"/>
      <c r="II349" s="1321"/>
      <c r="IJ349" s="1321"/>
      <c r="IK349" s="1321"/>
      <c r="IL349" s="1321"/>
      <c r="IM349" s="1321"/>
      <c r="IN349" s="1368"/>
    </row>
    <row r="350" spans="1:248" ht="12.75" customHeight="1" x14ac:dyDescent="0.2">
      <c r="A350" s="1319"/>
      <c r="B350" s="1321"/>
      <c r="C350" s="1321"/>
      <c r="D350" s="1321"/>
      <c r="E350" s="1321"/>
      <c r="F350" s="1321"/>
      <c r="G350" s="1321"/>
      <c r="H350" s="1321"/>
      <c r="I350" s="1321"/>
      <c r="J350" s="1321"/>
      <c r="K350" s="1321"/>
      <c r="L350" s="1321"/>
      <c r="M350" s="1321"/>
      <c r="N350" s="1321"/>
      <c r="O350" s="1321"/>
      <c r="P350" s="1321"/>
      <c r="Q350" s="1321"/>
      <c r="R350" s="1321"/>
      <c r="S350" s="1321"/>
      <c r="T350" s="1321"/>
      <c r="U350" s="1321"/>
      <c r="V350" s="1321"/>
      <c r="W350" s="1321"/>
      <c r="X350" s="1321"/>
      <c r="Y350" s="1321"/>
      <c r="Z350" s="1321"/>
      <c r="AA350" s="1321"/>
      <c r="AB350" s="1321"/>
      <c r="AC350" s="1321"/>
      <c r="AD350" s="1321"/>
      <c r="AE350" s="1321"/>
      <c r="AF350" s="1321"/>
      <c r="AG350" s="1321"/>
      <c r="AH350" s="1321"/>
      <c r="AI350" s="1321"/>
      <c r="AJ350" s="1321"/>
      <c r="AK350" s="1321"/>
      <c r="AL350" s="1321"/>
      <c r="AM350" s="1321"/>
      <c r="AN350" s="1321"/>
      <c r="AO350" s="1321"/>
      <c r="AP350" s="1321"/>
      <c r="AQ350" s="1321"/>
      <c r="AR350" s="1321"/>
      <c r="AS350" s="1321"/>
      <c r="AT350" s="1321"/>
      <c r="AU350" s="1321"/>
      <c r="AV350" s="1321"/>
      <c r="AW350" s="1321"/>
      <c r="AX350" s="1321"/>
      <c r="AY350" s="1321"/>
      <c r="AZ350" s="1321"/>
      <c r="BA350" s="1321"/>
      <c r="BB350" s="1076" t="str">
        <f t="shared" si="81"/>
        <v>concentré jeunes lapins</v>
      </c>
      <c r="BC350" s="1267">
        <f t="array" ref="BC350">SUM((IF(QualitéAlimentsVeauxMâles_0_3_mois=BONNE,VLOOKUP("concentré jeunes lapins",AlimentsRationBovinsMâles,8,FALSE),0)+(IF(QualitéAlimentsVeauxFemelles_0_3_mois=BONNE,VLOOKUP("concentré jeunes lapins",AlimentsRationBovinsFemelles,8,FALSE),0)+(IF(QualitéAlimentsVeauxMâles_3_6_mois=BONNE,VLOOKUP("concentré jeunes lapins",AlimentsRationBovinsMâles,7,FALSE),0)+(IF(QualitéAlimentsVeauxFemelles_3_6_mois=BONNE,VLOOKUP("concentré jeunes lapins",AlimentsRationBovinsFemelles,7,FALSE),0)+(IF(QualitéAlimentsVeauxMâles_6_12_mois=BONNE,VLOOKUP("concentré jeunes lapins",AlimentsRationBovinsMâles,6,FALSE),0)+(IF(QualitéAlimentsVeauxFemelles_6_12_mois=BONNE,VLOOKUP("concentré jeunes lapins",AlimentsRationBovinsFemelles,6,FALSE),0)+(IF(QualitéAlimentsTaurillons_12_18_mois=BONNE,VLOOKUP("concentré jeunes lapins",AlimentsRationBovinsMâles,5,FALSE),0)+(IF(QualitéAlimentsGénisses_12_18_mois=BONNE,VLOOKUP("concentré jeunes lapins",AlimentsRationBovinsFemelles,5,FALSE),0)+(IF(QualitéAlimentsTaurillons_18_24_mois=BONNE,VLOOKUP("concentré jeunes lapins",AlimentsRationBovinsMâles,4,FALSE),0)+(IF(QualitéAlimentsGénisses_18_24_mois=BONNE,VLOOKUP("concentré jeunes lapins",AlimentsRationBovinsFemelles,4,FALSE),0)+(IF(QualitéAlimentsTaurillons_24_36_mois=BONNE,VLOOKUP("concentré jeunes lapins",AlimentsRationBovinsMâles,3,FALSE),0)+(IF(QualitéAlimentsGénisses_24_36_mois=BONNE,VLOOKUP("concentré jeunes lapins",AlimentsRationBovinsFemelles,3,FALSE),0)+(IF(QualitéAlimentsTaureaux=BONNE,VLOOKUP("concentré jeunes lapins",AlimentsRationBovinsMâles,2,FALSE),0)+(IF(QualitéAlimentsVaches=BONNE,VLOOKUP("concentré jeunes lapins",AlimentsRationBovinsFemelles,2,FALSE),0))))))))))))))))</f>
        <v>0</v>
      </c>
      <c r="BD350" s="1267">
        <f t="array" ref="BD350">SUM((IF(QualitéAlimentsVeauxMâles_0_3_mois=MOYENNE,VLOOKUP("concentré jeunes lapins",AlimentsRationBovinsMâles,8,FALSE),0)+(IF(QualitéAlimentsVeauxFemelles_0_3_mois=MOYENNE,VLOOKUP("concentré jeunes lapins",AlimentsRationBovinsFemelles,8,FALSE),0)+(IF(QualitéAlimentsVeauxMâles_3_6_mois=MOYENNE,VLOOKUP("concentré jeunes lapins",AlimentsRationBovinsMâles,7,FALSE),0)+(IF(QualitéAlimentsVeauxFemelles_3_6_mois=MOYENNE,VLOOKUP("concentré jeunes lapins",AlimentsRationBovinsFemelles,7,FALSE),0)+(IF(QualitéAlimentsVeauxMâles_6_12_mois=MOYENNE,VLOOKUP("concentré jeunes lapins",AlimentsRationBovinsMâles,6,FALSE),0)+(IF(QualitéAlimentsVeauxFemelles_6_12_mois=MOYENNE,VLOOKUP("concentré jeunes lapins",AlimentsRationBovinsFemelles,6,FALSE),0)+(IF(QualitéAlimentsTaurillons_12_18_mois=MOYENNE,VLOOKUP("concentré jeunes lapins",AlimentsRationBovinsMâles,5,FALSE),0)+(IF(QualitéAlimentsGénisses_12_18_mois=MOYENNE,VLOOKUP("concentré jeunes lapins",AlimentsRationBovinsFemelles,5,FALSE),0)+(IF(QualitéAlimentsTaurillons_18_24_mois=MOYENNE,VLOOKUP("concentré jeunes lapins",AlimentsRationBovinsMâles,4,FALSE),0)+(IF(QualitéAlimentsGénisses_18_24_mois=MOYENNE,VLOOKUP("concentré jeunes lapins",AlimentsRationBovinsFemelles,4,FALSE),0)+(IF(QualitéAlimentsTaurillons_24_36_mois=MOYENNE,VLOOKUP("concentré jeunes lapins",AlimentsRationBovinsMâles,3,FALSE),0)+(IF(QualitéAlimentsGénisses_24_36_mois=MOYENNE,VLOOKUP("concentré jeunes lapins",AlimentsRationBovinsFemelles,3,FALSE),0)+(IF(QualitéAlimentsTaureaux=MOYENNE,VLOOKUP("concentré jeunes lapins",AlimentsRationBovinsMâles,2,FALSE),0)+(IF(QualitéAlimentsVaches=MOYENNE,VLOOKUP("concentré jeunes lapins",AlimentsRationBovinsFemelles,2,FALSE),0))))))))))))))))</f>
        <v>0</v>
      </c>
      <c r="BE350" s="1267">
        <f t="array" ref="BE350">SUM((IF(QualitéAlimentsVeauxMâles_0_3_mois=MAUVAISE,VLOOKUP("concentré jeunes lapins",AlimentsRationBovinsMâles,8,FALSE),0)+(IF(QualitéAlimentsVeauxFemelles_0_3_mois=MAUVAISE,VLOOKUP("concentré jeunes lapins",AlimentsRationBovinsFemelles,8,FALSE),0)+(IF(QualitéAlimentsVeauxMâles_3_6_mois=MAUVAISE,VLOOKUP("concentré jeunes lapins",AlimentsRationBovinsMâles,7,FALSE),0)+(IF(QualitéAlimentsVeauxFemelles_3_6_mois=MAUVAISE,VLOOKUP("concentré jeunes lapins",AlimentsRationBovinsFemelles,7,FALSE),0)+(IF(QualitéAlimentsVeauxMâles_6_12_mois=MAUVAISE,VLOOKUP("concentré jeunes lapins",AlimentsRationBovinsMâles,6,FALSE),0)+(IF(QualitéAlimentsVeauxFemelles_6_12_mois=MAUVAISE,VLOOKUP("concentré jeunes lapins",AlimentsRationBovinsFemelles,6,FALSE),0)+(IF(QualitéAlimentsTaurillons_12_18_mois=MAUVAISE,VLOOKUP("concentré jeunes lapins",AlimentsRationBovinsMâles,5,FALSE),0)+(IF(QualitéAlimentsGénisses_12_18_mois=MAUVAISE,VLOOKUP("concentré jeunes lapins",AlimentsRationBovinsFemelles,5,FALSE),0)+(IF(QualitéAlimentsTaurillons_18_24_mois=MAUVAISE,VLOOKUP("concentré jeunes lapins",AlimentsRationBovinsMâles,4,FALSE),0)+(IF(QualitéAlimentsGénisses_18_24_mois=MAUVAISE,VLOOKUP("concentré jeunes lapins",AlimentsRationBovinsFemelles,4,FALSE),0)+(IF(QualitéAlimentsTaurillons_24_36_mois=MAUVAISE,VLOOKUP("concentré jeunes lapins",AlimentsRationBovinsMâles,3,FALSE),0)+(IF(QualitéAlimentsGénisses_24_36_mois=MAUVAISE,VLOOKUP("concentré jeunes lapins",AlimentsRationBovinsFemelles,3,FALSE),0)+(IF(QualitéAlimentsTaureaux=MAUVAISE,VLOOKUP("concentré jeunes lapins",AlimentsRationBovinsMâles,2,FALSE),0)+(IF(QualitéAlimentsVaches=MAUVAISE,VLOOKUP("concentré jeunes lapins",AlimentsRationBovinsFemelles,2,FALSE),0))))))))))))))))</f>
        <v>0</v>
      </c>
      <c r="BF350" s="1321"/>
      <c r="BG350" s="1321"/>
      <c r="BH350" s="1321"/>
      <c r="BI350" s="1321"/>
      <c r="BJ350" s="1321"/>
      <c r="BK350" s="1345"/>
      <c r="BL350" s="1345"/>
      <c r="BM350" s="1346"/>
      <c r="BN350" s="1321"/>
      <c r="BO350" s="1321"/>
      <c r="BP350" s="1321"/>
      <c r="BQ350" s="1321"/>
      <c r="BR350" s="1321"/>
      <c r="BS350" s="1321"/>
      <c r="BT350" s="1321"/>
      <c r="BU350" s="1321"/>
      <c r="BV350" s="1345"/>
      <c r="BW350" s="1345"/>
      <c r="BX350" s="1321"/>
      <c r="BY350" s="1321"/>
      <c r="BZ350" s="1321"/>
      <c r="CA350" s="1321"/>
      <c r="CB350" s="1321"/>
      <c r="CC350" s="1321"/>
      <c r="CD350" s="1345"/>
      <c r="CE350" s="1345"/>
      <c r="CF350" s="1345"/>
      <c r="CG350" s="1345"/>
      <c r="CH350" s="1345"/>
      <c r="CI350" s="1321"/>
      <c r="CJ350" s="1321"/>
      <c r="CK350" s="1321"/>
      <c r="CL350" s="1321"/>
      <c r="CM350" s="1321"/>
      <c r="CN350" s="1321"/>
      <c r="CO350" s="1321"/>
      <c r="CP350" s="1321"/>
      <c r="CQ350" s="1321"/>
      <c r="CR350" s="1321"/>
      <c r="CS350" s="1321"/>
      <c r="CT350" s="1321"/>
      <c r="CU350" s="1321"/>
      <c r="CV350" s="1321"/>
      <c r="CW350" s="1321"/>
      <c r="CX350" s="1321"/>
      <c r="CY350" s="1321"/>
      <c r="CZ350" s="1321"/>
      <c r="DA350" s="1321"/>
      <c r="DB350" s="1321"/>
      <c r="DC350" s="1321"/>
      <c r="DD350" s="1321"/>
      <c r="DE350" s="1321"/>
      <c r="DF350" s="1321"/>
      <c r="DG350" s="1321"/>
      <c r="DH350" s="1321"/>
      <c r="DI350" s="1321"/>
      <c r="DJ350" s="1321"/>
      <c r="DK350" s="1321"/>
      <c r="DL350" s="1321"/>
      <c r="DM350" s="1321"/>
      <c r="DN350" s="1321"/>
      <c r="DO350" s="1321"/>
      <c r="DP350" s="1321"/>
      <c r="DQ350" s="1321"/>
      <c r="DR350" s="1321"/>
      <c r="DS350" s="1321"/>
      <c r="DT350" s="1346"/>
      <c r="DU350" s="1346"/>
      <c r="DV350" s="1321"/>
      <c r="DW350" s="1321"/>
      <c r="DX350" s="1321"/>
      <c r="DY350" s="1321"/>
      <c r="DZ350" s="1321"/>
      <c r="EA350" s="1321"/>
      <c r="EB350" s="1321"/>
      <c r="EC350" s="1321"/>
      <c r="ED350" s="1345"/>
      <c r="EE350" s="1345"/>
      <c r="EF350" s="1321"/>
      <c r="EG350" s="1321"/>
      <c r="EH350" s="1321"/>
      <c r="EI350" s="1321"/>
      <c r="EJ350" s="1321"/>
      <c r="EK350" s="1345"/>
      <c r="EL350" s="1345"/>
      <c r="EM350" s="1321"/>
      <c r="EN350" s="1321"/>
      <c r="EO350" s="1321"/>
      <c r="EP350" s="1321"/>
      <c r="EQ350" s="1321"/>
      <c r="ER350" s="1345"/>
      <c r="ES350" s="1345"/>
      <c r="ET350" s="1321"/>
      <c r="EU350" s="1321"/>
      <c r="EV350" s="1321"/>
      <c r="EW350" s="1321"/>
      <c r="EX350" s="1321"/>
      <c r="EY350" s="1321"/>
      <c r="EZ350" s="1345"/>
      <c r="FA350" s="1345"/>
      <c r="FB350" s="1345"/>
      <c r="FC350" s="1321"/>
      <c r="FD350" s="1321"/>
      <c r="FE350" s="1321"/>
      <c r="FF350" s="1321"/>
      <c r="FG350" s="1321"/>
      <c r="FH350" s="1321"/>
      <c r="FI350" s="1345"/>
      <c r="FJ350" s="1345"/>
      <c r="FK350" s="1345"/>
      <c r="FL350" s="1345"/>
      <c r="FM350" s="1321"/>
      <c r="FN350" s="1321"/>
      <c r="FO350" s="1321"/>
      <c r="FP350" s="1321"/>
      <c r="FQ350" s="1321"/>
      <c r="FR350" s="1321"/>
      <c r="FS350" s="1345"/>
      <c r="FT350" s="1345"/>
      <c r="FU350" s="1345"/>
      <c r="FV350" s="1345"/>
      <c r="FW350" s="1321"/>
      <c r="FX350" s="1321"/>
      <c r="FY350" s="1321"/>
      <c r="FZ350" s="1321"/>
      <c r="GA350" s="1345"/>
      <c r="GB350" s="1321"/>
      <c r="GC350" s="1321"/>
      <c r="GD350" s="1321"/>
      <c r="GE350" s="1321"/>
      <c r="GF350" s="1321"/>
      <c r="GG350" s="1321" t="s">
        <v>1349</v>
      </c>
      <c r="GH350" s="1321" t="s">
        <v>1349</v>
      </c>
      <c r="GI350" s="1321" t="s">
        <v>1349</v>
      </c>
      <c r="GJ350" s="1321" t="s">
        <v>1349</v>
      </c>
      <c r="GK350" s="1321" t="s">
        <v>1349</v>
      </c>
      <c r="GL350" s="1321" t="s">
        <v>1349</v>
      </c>
      <c r="GM350" s="1321" t="s">
        <v>1349</v>
      </c>
      <c r="GN350" s="1321" t="s">
        <v>1349</v>
      </c>
      <c r="GO350" s="1321" t="s">
        <v>1349</v>
      </c>
      <c r="GP350" s="1321" t="s">
        <v>1349</v>
      </c>
      <c r="GQ350" s="1321" t="s">
        <v>1349</v>
      </c>
      <c r="GR350" s="1321" t="s">
        <v>1349</v>
      </c>
      <c r="GS350" s="1321" t="s">
        <v>1349</v>
      </c>
      <c r="GT350" s="1321" t="s">
        <v>1349</v>
      </c>
      <c r="GU350" s="1321" t="s">
        <v>1349</v>
      </c>
      <c r="GV350" s="1321" t="s">
        <v>1349</v>
      </c>
      <c r="GW350" s="1321"/>
      <c r="GX350" s="1321"/>
      <c r="GY350" s="1321"/>
      <c r="GZ350" s="1321"/>
      <c r="HA350" s="1321"/>
      <c r="HB350" s="1321"/>
      <c r="HC350" s="1321"/>
      <c r="HD350" s="1321"/>
      <c r="HE350" s="1321"/>
      <c r="HF350" s="1321"/>
      <c r="HG350" s="1321"/>
      <c r="HH350" s="1321"/>
      <c r="HI350" s="1321"/>
      <c r="HJ350" s="1321"/>
      <c r="HK350" s="1321"/>
      <c r="HL350" s="1321"/>
      <c r="HM350" s="1321"/>
      <c r="HN350" s="1321"/>
      <c r="HO350" s="1321"/>
      <c r="HP350" s="1321"/>
      <c r="HQ350" s="1321"/>
      <c r="HR350" s="1321"/>
      <c r="HS350" s="1321"/>
      <c r="HT350" s="1321"/>
      <c r="HU350" s="1321"/>
      <c r="HV350" s="1321"/>
      <c r="HW350" s="1321"/>
      <c r="HX350" s="1321"/>
      <c r="HY350" s="1321"/>
      <c r="HZ350" s="1321"/>
      <c r="IA350" s="1321"/>
      <c r="IB350" s="1321"/>
      <c r="IC350" s="1321"/>
      <c r="ID350" s="1321"/>
      <c r="IE350" s="1321"/>
      <c r="IF350" s="1321"/>
      <c r="IG350" s="1321"/>
      <c r="IH350" s="1321"/>
      <c r="II350" s="1321"/>
      <c r="IJ350" s="1321"/>
      <c r="IK350" s="1321"/>
      <c r="IL350" s="1321"/>
      <c r="IM350" s="1321"/>
      <c r="IN350" s="1368"/>
    </row>
    <row r="351" spans="1:248" ht="12.75" customHeight="1" x14ac:dyDescent="0.2">
      <c r="A351" s="1319"/>
      <c r="B351" s="1321"/>
      <c r="C351" s="1321"/>
      <c r="D351" s="1321"/>
      <c r="E351" s="1321"/>
      <c r="F351" s="1321"/>
      <c r="G351" s="1321"/>
      <c r="H351" s="1321"/>
      <c r="I351" s="1321"/>
      <c r="J351" s="1321"/>
      <c r="K351" s="1321"/>
      <c r="L351" s="1321"/>
      <c r="M351" s="1321"/>
      <c r="N351" s="1321"/>
      <c r="O351" s="1321"/>
      <c r="P351" s="1321"/>
      <c r="Q351" s="1321"/>
      <c r="R351" s="1321"/>
      <c r="S351" s="1321"/>
      <c r="T351" s="1321"/>
      <c r="U351" s="1321"/>
      <c r="V351" s="1321"/>
      <c r="W351" s="1321"/>
      <c r="X351" s="1321"/>
      <c r="Y351" s="1321"/>
      <c r="Z351" s="1321"/>
      <c r="AA351" s="1321"/>
      <c r="AB351" s="1321"/>
      <c r="AC351" s="1321"/>
      <c r="AD351" s="1321"/>
      <c r="AE351" s="1321"/>
      <c r="AF351" s="1321"/>
      <c r="AG351" s="1321"/>
      <c r="AH351" s="1321"/>
      <c r="AI351" s="1321"/>
      <c r="AJ351" s="1321"/>
      <c r="AK351" s="1321"/>
      <c r="AL351" s="1321"/>
      <c r="AM351" s="1321"/>
      <c r="AN351" s="1321"/>
      <c r="AO351" s="1321"/>
      <c r="AP351" s="1321"/>
      <c r="AQ351" s="1321"/>
      <c r="AR351" s="1321"/>
      <c r="AS351" s="1321"/>
      <c r="AT351" s="1321"/>
      <c r="AU351" s="1321"/>
      <c r="AV351" s="1321"/>
      <c r="AW351" s="1321"/>
      <c r="AX351" s="1321"/>
      <c r="AY351" s="1321"/>
      <c r="AZ351" s="1321"/>
      <c r="BA351" s="1321"/>
      <c r="BB351" s="1075" t="str">
        <f t="shared" si="81"/>
        <v>concentré jeunes porcins</v>
      </c>
      <c r="BC351" s="1269">
        <f t="array" ref="BC351">SUM((IF(QualitéAlimentsVeauxMâles_0_3_mois=BONNE,VLOOKUP("concentré jeunes porcins",AlimentsRationBovinsMâles,8,FALSE),0)+(IF(QualitéAlimentsVeauxFemelles_0_3_mois=BONNE,VLOOKUP("concentré jeunes porcins",AlimentsRationBovinsFemelles,8,FALSE),0)+(IF(QualitéAlimentsVeauxMâles_3_6_mois=BONNE,VLOOKUP("concentré jeunes porcins",AlimentsRationBovinsMâles,7,FALSE),0)+(IF(QualitéAlimentsVeauxFemelles_3_6_mois=BONNE,VLOOKUP("concentré jeunes porcins",AlimentsRationBovinsFemelles,7,FALSE),0)+(IF(QualitéAlimentsVeauxMâles_6_12_mois=BONNE,VLOOKUP("concentré jeunes porcins",AlimentsRationBovinsMâles,6,FALSE),0)+(IF(QualitéAlimentsVeauxFemelles_6_12_mois=BONNE,VLOOKUP("concentré jeunes porcins",AlimentsRationBovinsFemelles,6,FALSE),0)+(IF(QualitéAlimentsTaurillons_12_18_mois=BONNE,VLOOKUP("concentré jeunes porcins",AlimentsRationBovinsMâles,5,FALSE),0)+(IF(QualitéAlimentsGénisses_12_18_mois=BONNE,VLOOKUP("concentré jeunes porcins",AlimentsRationBovinsFemelles,5,FALSE),0)+(IF(QualitéAlimentsTaurillons_18_24_mois=BONNE,VLOOKUP("concentré jeunes porcins",AlimentsRationBovinsMâles,4,FALSE),0)+(IF(QualitéAlimentsGénisses_18_24_mois=BONNE,VLOOKUP("concentré jeunes porcins",AlimentsRationBovinsFemelles,4,FALSE),0)+(IF(QualitéAlimentsTaurillons_24_36_mois=BONNE,VLOOKUP("concentré jeunes porcins",AlimentsRationBovinsMâles,3,FALSE),0)+(IF(QualitéAlimentsGénisses_24_36_mois=BONNE,VLOOKUP("concentré jeunes porcins",AlimentsRationBovinsFemelles,3,FALSE),0)+(IF(QualitéAlimentsTaureaux=BONNE,VLOOKUP("concentré jeunes porcins",AlimentsRationBovinsMâles,2,FALSE),0)+(IF(QualitéAlimentsVaches=BONNE,VLOOKUP("concentré jeunes porcins",AlimentsRationBovinsFemelles,2,FALSE),0))))))))))))))))</f>
        <v>0</v>
      </c>
      <c r="BD351" s="1269">
        <f t="array" ref="BD351">SUM((IF(QualitéAlimentsVeauxMâles_0_3_mois=MOYENNE,VLOOKUP("concentré jeunes porcins",AlimentsRationBovinsMâles,8,FALSE),0)+(IF(QualitéAlimentsVeauxFemelles_0_3_mois=MOYENNE,VLOOKUP("concentré jeunes porcins",AlimentsRationBovinsFemelles,8,FALSE),0)+(IF(QualitéAlimentsVeauxMâles_3_6_mois=MOYENNE,VLOOKUP("concentré jeunes porcins",AlimentsRationBovinsMâles,7,FALSE),0)+(IF(QualitéAlimentsVeauxFemelles_3_6_mois=MOYENNE,VLOOKUP("concentré jeunes porcins",AlimentsRationBovinsFemelles,7,FALSE),0)+(IF(QualitéAlimentsVeauxMâles_6_12_mois=MOYENNE,VLOOKUP("concentré jeunes porcins",AlimentsRationBovinsMâles,6,FALSE),0)+(IF(QualitéAlimentsVeauxFemelles_6_12_mois=MOYENNE,VLOOKUP("concentré jeunes porcins",AlimentsRationBovinsFemelles,6,FALSE),0)+(IF(QualitéAlimentsTaurillons_12_18_mois=MOYENNE,VLOOKUP("concentré jeunes porcins",AlimentsRationBovinsMâles,5,FALSE),0)+(IF(QualitéAlimentsGénisses_12_18_mois=MOYENNE,VLOOKUP("concentré jeunes porcins",AlimentsRationBovinsFemelles,5,FALSE),0)+(IF(QualitéAlimentsTaurillons_18_24_mois=MOYENNE,VLOOKUP("concentré jeunes porcins",AlimentsRationBovinsMâles,4,FALSE),0)+(IF(QualitéAlimentsGénisses_18_24_mois=MOYENNE,VLOOKUP("concentré jeunes porcins",AlimentsRationBovinsFemelles,4,FALSE),0)+(IF(QualitéAlimentsTaurillons_24_36_mois=MOYENNE,VLOOKUP("concentré jeunes porcins",AlimentsRationBovinsMâles,3,FALSE),0)+(IF(QualitéAlimentsGénisses_24_36_mois=MOYENNE,VLOOKUP("concentré jeunes porcins",AlimentsRationBovinsFemelles,3,FALSE),0)+(IF(QualitéAlimentsTaureaux=MOYENNE,VLOOKUP("concentré jeunes porcins",AlimentsRationBovinsMâles,2,FALSE),0)+(IF(QualitéAlimentsVaches=MOYENNE,VLOOKUP("concentré jeunes porcins",AlimentsRationBovinsFemelles,2,FALSE),0))))))))))))))))</f>
        <v>0</v>
      </c>
      <c r="BE351" s="1269">
        <f t="array" ref="BE351">SUM((IF(QualitéAlimentsVeauxMâles_0_3_mois=MAUVAISE,VLOOKUP("concentré jeunes porcins",AlimentsRationBovinsMâles,8,FALSE),0)+(IF(QualitéAlimentsVeauxFemelles_0_3_mois=MAUVAISE,VLOOKUP("concentré jeunes porcins",AlimentsRationBovinsFemelles,8,FALSE),0)+(IF(QualitéAlimentsVeauxMâles_3_6_mois=MAUVAISE,VLOOKUP("concentré jeunes porcins",AlimentsRationBovinsMâles,7,FALSE),0)+(IF(QualitéAlimentsVeauxFemelles_3_6_mois=MAUVAISE,VLOOKUP("concentré jeunes porcins",AlimentsRationBovinsFemelles,7,FALSE),0)+(IF(QualitéAlimentsVeauxMâles_6_12_mois=MAUVAISE,VLOOKUP("concentré jeunes porcins",AlimentsRationBovinsMâles,6,FALSE),0)+(IF(QualitéAlimentsVeauxFemelles_6_12_mois=MAUVAISE,VLOOKUP("concentré jeunes porcins",AlimentsRationBovinsFemelles,6,FALSE),0)+(IF(QualitéAlimentsTaurillons_12_18_mois=MAUVAISE,VLOOKUP("concentré jeunes porcins",AlimentsRationBovinsMâles,5,FALSE),0)+(IF(QualitéAlimentsGénisses_12_18_mois=MAUVAISE,VLOOKUP("concentré jeunes porcins",AlimentsRationBovinsFemelles,5,FALSE),0)+(IF(QualitéAlimentsTaurillons_18_24_mois=MAUVAISE,VLOOKUP("concentré jeunes porcins",AlimentsRationBovinsMâles,4,FALSE),0)+(IF(QualitéAlimentsGénisses_18_24_mois=MAUVAISE,VLOOKUP("concentré jeunes porcins",AlimentsRationBovinsFemelles,4,FALSE),0)+(IF(QualitéAlimentsTaurillons_24_36_mois=MAUVAISE,VLOOKUP("concentré jeunes porcins",AlimentsRationBovinsMâles,3,FALSE),0)+(IF(QualitéAlimentsGénisses_24_36_mois=MAUVAISE,VLOOKUP("concentré jeunes porcins",AlimentsRationBovinsFemelles,3,FALSE),0)+(IF(QualitéAlimentsTaureaux=MAUVAISE,VLOOKUP("concentré jeunes porcins",AlimentsRationBovinsMâles,2,FALSE),0)+(IF(QualitéAlimentsVaches=MAUVAISE,VLOOKUP("concentré jeunes porcins",AlimentsRationBovinsFemelles,2,FALSE),0))))))))))))))))</f>
        <v>0</v>
      </c>
      <c r="BF351" s="1321"/>
      <c r="BG351" s="1321"/>
      <c r="BH351" s="1321"/>
      <c r="BI351" s="1321"/>
      <c r="BJ351" s="1321"/>
      <c r="BK351" s="1345"/>
      <c r="BL351" s="1345"/>
      <c r="BM351" s="1346"/>
      <c r="BN351" s="1321"/>
      <c r="BO351" s="1321"/>
      <c r="BP351" s="1321"/>
      <c r="BQ351" s="1321"/>
      <c r="BR351" s="1321"/>
      <c r="BS351" s="1321"/>
      <c r="BT351" s="1321"/>
      <c r="BU351" s="1321"/>
      <c r="BV351" s="1345"/>
      <c r="BW351" s="1345"/>
      <c r="BX351" s="1321"/>
      <c r="BY351" s="1321"/>
      <c r="BZ351" s="1321"/>
      <c r="CA351" s="1321"/>
      <c r="CB351" s="1321"/>
      <c r="CC351" s="1321"/>
      <c r="CD351" s="1345"/>
      <c r="CE351" s="1345"/>
      <c r="CF351" s="1345"/>
      <c r="CG351" s="1345"/>
      <c r="CH351" s="1345"/>
      <c r="CI351" s="1321"/>
      <c r="CJ351" s="1321"/>
      <c r="CK351" s="1321"/>
      <c r="CL351" s="1321"/>
      <c r="CM351" s="1321"/>
      <c r="CN351" s="1321"/>
      <c r="CO351" s="1321"/>
      <c r="CP351" s="1321"/>
      <c r="CQ351" s="1321"/>
      <c r="CR351" s="1321"/>
      <c r="CS351" s="1321"/>
      <c r="CT351" s="1321"/>
      <c r="CU351" s="1321"/>
      <c r="CV351" s="1321"/>
      <c r="CW351" s="1321"/>
      <c r="CX351" s="1321"/>
      <c r="CY351" s="1321"/>
      <c r="CZ351" s="1321"/>
      <c r="DA351" s="1321"/>
      <c r="DB351" s="1321"/>
      <c r="DC351" s="1321"/>
      <c r="DD351" s="1321"/>
      <c r="DE351" s="1321"/>
      <c r="DF351" s="1321"/>
      <c r="DG351" s="1321"/>
      <c r="DH351" s="1321"/>
      <c r="DI351" s="1321"/>
      <c r="DJ351" s="1321"/>
      <c r="DK351" s="1321"/>
      <c r="DL351" s="1321"/>
      <c r="DM351" s="1321"/>
      <c r="DN351" s="1321"/>
      <c r="DO351" s="1321"/>
      <c r="DP351" s="1321"/>
      <c r="DQ351" s="1321"/>
      <c r="DR351" s="1321"/>
      <c r="DS351" s="1321"/>
      <c r="DT351" s="1346"/>
      <c r="DU351" s="1346"/>
      <c r="DV351" s="1321"/>
      <c r="DW351" s="1321"/>
      <c r="DX351" s="1321"/>
      <c r="DY351" s="1321"/>
      <c r="DZ351" s="1321"/>
      <c r="EA351" s="1321"/>
      <c r="EB351" s="1321"/>
      <c r="EC351" s="1321"/>
      <c r="ED351" s="1345"/>
      <c r="EE351" s="1345"/>
      <c r="EF351" s="1321"/>
      <c r="EG351" s="1321"/>
      <c r="EH351" s="1321"/>
      <c r="EI351" s="1321"/>
      <c r="EJ351" s="1321"/>
      <c r="EK351" s="1345"/>
      <c r="EL351" s="1345"/>
      <c r="EM351" s="1321"/>
      <c r="EN351" s="1321"/>
      <c r="EO351" s="1321"/>
      <c r="EP351" s="1321"/>
      <c r="EQ351" s="1321"/>
      <c r="ER351" s="1345"/>
      <c r="ES351" s="1345"/>
      <c r="ET351" s="1321"/>
      <c r="EU351" s="1321"/>
      <c r="EV351" s="1321"/>
      <c r="EW351" s="1321"/>
      <c r="EX351" s="1321"/>
      <c r="EY351" s="1321"/>
      <c r="EZ351" s="1345"/>
      <c r="FA351" s="1345"/>
      <c r="FB351" s="1345"/>
      <c r="FC351" s="1321"/>
      <c r="FD351" s="1321"/>
      <c r="FE351" s="1321"/>
      <c r="FF351" s="1321"/>
      <c r="FG351" s="1321"/>
      <c r="FH351" s="1321"/>
      <c r="FI351" s="1345"/>
      <c r="FJ351" s="1345"/>
      <c r="FK351" s="1345"/>
      <c r="FL351" s="1345"/>
      <c r="FM351" s="1321"/>
      <c r="FN351" s="1321"/>
      <c r="FO351" s="1321"/>
      <c r="FP351" s="1321"/>
      <c r="FQ351" s="1321"/>
      <c r="FR351" s="1321"/>
      <c r="FS351" s="1345"/>
      <c r="FT351" s="1345"/>
      <c r="FU351" s="1345"/>
      <c r="FV351" s="1345"/>
      <c r="FW351" s="1321"/>
      <c r="FX351" s="1321"/>
      <c r="FY351" s="1321"/>
      <c r="FZ351" s="1321"/>
      <c r="GA351" s="1345"/>
      <c r="GB351" s="1321"/>
      <c r="GC351" s="1321"/>
      <c r="GD351" s="1321"/>
      <c r="GE351" s="1321"/>
      <c r="GF351" s="1321"/>
      <c r="GG351" s="1321" t="s">
        <v>1349</v>
      </c>
      <c r="GH351" s="1321" t="s">
        <v>1349</v>
      </c>
      <c r="GI351" s="1321" t="s">
        <v>1349</v>
      </c>
      <c r="GJ351" s="1321" t="s">
        <v>1349</v>
      </c>
      <c r="GK351" s="1321" t="s">
        <v>1349</v>
      </c>
      <c r="GL351" s="1321" t="s">
        <v>1349</v>
      </c>
      <c r="GM351" s="1321" t="s">
        <v>1349</v>
      </c>
      <c r="GN351" s="1321" t="s">
        <v>1349</v>
      </c>
      <c r="GO351" s="1321" t="s">
        <v>1349</v>
      </c>
      <c r="GP351" s="1321" t="s">
        <v>1349</v>
      </c>
      <c r="GQ351" s="1321" t="s">
        <v>1349</v>
      </c>
      <c r="GR351" s="1321" t="s">
        <v>1349</v>
      </c>
      <c r="GS351" s="1321" t="s">
        <v>1349</v>
      </c>
      <c r="GT351" s="1321" t="s">
        <v>1349</v>
      </c>
      <c r="GU351" s="1321" t="s">
        <v>1349</v>
      </c>
      <c r="GV351" s="1321" t="s">
        <v>1349</v>
      </c>
      <c r="GW351" s="1321"/>
      <c r="GX351" s="1321"/>
      <c r="GY351" s="1321"/>
      <c r="GZ351" s="1321"/>
      <c r="HA351" s="1321"/>
      <c r="HB351" s="1321"/>
      <c r="HC351" s="1321"/>
      <c r="HD351" s="1321"/>
      <c r="HE351" s="1321"/>
      <c r="HF351" s="1321"/>
      <c r="HG351" s="1321"/>
      <c r="HH351" s="1321"/>
      <c r="HI351" s="1321"/>
      <c r="HJ351" s="1321"/>
      <c r="HK351" s="1321"/>
      <c r="HL351" s="1321"/>
      <c r="HM351" s="1321"/>
      <c r="HN351" s="1321"/>
      <c r="HO351" s="1321"/>
      <c r="HP351" s="1321"/>
      <c r="HQ351" s="1321"/>
      <c r="HR351" s="1321"/>
      <c r="HS351" s="1321"/>
      <c r="HT351" s="1321"/>
      <c r="HU351" s="1321"/>
      <c r="HV351" s="1321"/>
      <c r="HW351" s="1321"/>
      <c r="HX351" s="1321"/>
      <c r="HY351" s="1321"/>
      <c r="HZ351" s="1321"/>
      <c r="IA351" s="1321"/>
      <c r="IB351" s="1321"/>
      <c r="IC351" s="1321"/>
      <c r="ID351" s="1321"/>
      <c r="IE351" s="1321"/>
      <c r="IF351" s="1321"/>
      <c r="IG351" s="1321"/>
      <c r="IH351" s="1321"/>
      <c r="II351" s="1321"/>
      <c r="IJ351" s="1321"/>
      <c r="IK351" s="1321"/>
      <c r="IL351" s="1321"/>
      <c r="IM351" s="1321"/>
      <c r="IN351" s="1368"/>
    </row>
    <row r="352" spans="1:248" ht="12.75" customHeight="1" x14ac:dyDescent="0.2">
      <c r="A352" s="1319"/>
      <c r="B352" s="1321"/>
      <c r="C352" s="1321"/>
      <c r="D352" s="1321"/>
      <c r="E352" s="1321"/>
      <c r="F352" s="1321"/>
      <c r="G352" s="1321"/>
      <c r="H352" s="1321"/>
      <c r="I352" s="1321"/>
      <c r="J352" s="1321"/>
      <c r="K352" s="1321"/>
      <c r="L352" s="1321"/>
      <c r="M352" s="1321"/>
      <c r="N352" s="1321"/>
      <c r="O352" s="1321"/>
      <c r="P352" s="1321"/>
      <c r="Q352" s="1321"/>
      <c r="R352" s="1321"/>
      <c r="S352" s="1321"/>
      <c r="T352" s="1321"/>
      <c r="U352" s="1321"/>
      <c r="V352" s="1321"/>
      <c r="W352" s="1321"/>
      <c r="X352" s="1321"/>
      <c r="Y352" s="1321"/>
      <c r="Z352" s="1321"/>
      <c r="AA352" s="1321"/>
      <c r="AB352" s="1321"/>
      <c r="AC352" s="1321"/>
      <c r="AD352" s="1321"/>
      <c r="AE352" s="1321"/>
      <c r="AF352" s="1321"/>
      <c r="AG352" s="1321"/>
      <c r="AH352" s="1321"/>
      <c r="AI352" s="1321"/>
      <c r="AJ352" s="1321"/>
      <c r="AK352" s="1321"/>
      <c r="AL352" s="1321"/>
      <c r="AM352" s="1321"/>
      <c r="AN352" s="1321"/>
      <c r="AO352" s="1321"/>
      <c r="AP352" s="1321"/>
      <c r="AQ352" s="1321"/>
      <c r="AR352" s="1321"/>
      <c r="AS352" s="1321"/>
      <c r="AT352" s="1321"/>
      <c r="AU352" s="1321"/>
      <c r="AV352" s="1321"/>
      <c r="AW352" s="1321"/>
      <c r="AX352" s="1321"/>
      <c r="AY352" s="1321"/>
      <c r="AZ352" s="1321"/>
      <c r="BA352" s="1321"/>
      <c r="BB352" s="1076" t="str">
        <f t="shared" si="81"/>
        <v>Ensilage d'herbe</v>
      </c>
      <c r="BC352" s="1267">
        <f t="array" ref="BC352">SUM((IF(QualitéAlimentsVeauxMâles_0_3_mois=BONNE,VLOOKUP("Ensilage d'herbe",AlimentsRationBovinsMâles,8,FALSE),0)+(IF(QualitéAlimentsVeauxFemelles_0_3_mois=BONNE,VLOOKUP("Ensilage d'herbe",AlimentsRationBovinsFemelles,8,FALSE),0)+(IF(QualitéAlimentsVeauxMâles_3_6_mois=BONNE,VLOOKUP("Ensilage d'herbe",AlimentsRationBovinsMâles,7,FALSE),0)+(IF(QualitéAlimentsVeauxFemelles_3_6_mois=BONNE,VLOOKUP("Ensilage d'herbe",AlimentsRationBovinsFemelles,7,FALSE),0)+(IF(QualitéAlimentsVeauxMâles_6_12_mois=BONNE,VLOOKUP("Ensilage d'herbe",AlimentsRationBovinsMâles,6,FALSE),0)+(IF(QualitéAlimentsVeauxFemelles_6_12_mois=BONNE,VLOOKUP("Ensilage d'herbe",AlimentsRationBovinsFemelles,6,FALSE),0)+(IF(QualitéAlimentsTaurillons_12_18_mois=BONNE,VLOOKUP("Ensilage d'herbe",AlimentsRationBovinsMâles,5,FALSE),0)+(IF(QualitéAlimentsGénisses_12_18_mois=BONNE,VLOOKUP("Ensilage d'herbe",AlimentsRationBovinsFemelles,5,FALSE),0)+(IF(QualitéAlimentsTaurillons_18_24_mois=BONNE,VLOOKUP("Ensilage d'herbe",AlimentsRationBovinsMâles,4,FALSE),0)+(IF(QualitéAlimentsGénisses_18_24_mois=BONNE,VLOOKUP("Ensilage d'herbe",AlimentsRationBovinsFemelles,4,FALSE),0)+(IF(QualitéAlimentsTaurillons_24_36_mois=BONNE,VLOOKUP("Ensilage d'herbe",AlimentsRationBovinsMâles,3,FALSE),0)+(IF(QualitéAlimentsGénisses_24_36_mois=BONNE,VLOOKUP("Ensilage d'herbe",AlimentsRationBovinsFemelles,3,FALSE),0)+(IF(QualitéAlimentsTaureaux=BONNE,VLOOKUP("Ensilage d'herbe",AlimentsRationBovinsMâles,2,FALSE),0)+(IF(QualitéAlimentsVaches=BONNE,VLOOKUP("Ensilage d'herbe",AlimentsRationBovinsFemelles,2,FALSE),0))))))))))))))))</f>
        <v>0</v>
      </c>
      <c r="BD352" s="1267">
        <f t="array" ref="BD352">SUM((IF(QualitéAlimentsVeauxMâles_0_3_mois=MOYENNE,VLOOKUP("Ensilage d'herbe",AlimentsRationBovinsMâles,8,FALSE),0)+(IF(QualitéAlimentsVeauxFemelles_0_3_mois=MOYENNE,VLOOKUP("Ensilage d'herbe",AlimentsRationBovinsFemelles,8,FALSE),0)+(IF(QualitéAlimentsVeauxMâles_3_6_mois=MOYENNE,VLOOKUP("Ensilage d'herbe",AlimentsRationBovinsMâles,7,FALSE),0)+(IF(QualitéAlimentsVeauxFemelles_3_6_mois=MOYENNE,VLOOKUP("Ensilage d'herbe",AlimentsRationBovinsFemelles,7,FALSE),0)+(IF(QualitéAlimentsVeauxMâles_6_12_mois=MOYENNE,VLOOKUP("Ensilage d'herbe",AlimentsRationBovinsMâles,6,FALSE),0)+(IF(QualitéAlimentsVeauxFemelles_6_12_mois=MOYENNE,VLOOKUP("Ensilage d'herbe",AlimentsRationBovinsFemelles,6,FALSE),0)+(IF(QualitéAlimentsTaurillons_12_18_mois=MOYENNE,VLOOKUP("Ensilage d'herbe",AlimentsRationBovinsMâles,5,FALSE),0)+(IF(QualitéAlimentsGénisses_12_18_mois=MOYENNE,VLOOKUP("Ensilage d'herbe",AlimentsRationBovinsFemelles,5,FALSE),0)+(IF(QualitéAlimentsTaurillons_18_24_mois=MOYENNE,VLOOKUP("Ensilage d'herbe",AlimentsRationBovinsMâles,4,FALSE),0)+(IF(QualitéAlimentsGénisses_18_24_mois=MOYENNE,VLOOKUP("Ensilage d'herbe",AlimentsRationBovinsFemelles,4,FALSE),0)+(IF(QualitéAlimentsTaurillons_24_36_mois=MOYENNE,VLOOKUP("Ensilage d'herbe",AlimentsRationBovinsMâles,3,FALSE),0)+(IF(QualitéAlimentsGénisses_24_36_mois=MOYENNE,VLOOKUP("Ensilage d'herbe",AlimentsRationBovinsFemelles,3,FALSE),0)+(IF(QualitéAlimentsTaureaux=MOYENNE,VLOOKUP("Ensilage d'herbe",AlimentsRationBovinsMâles,2,FALSE),0)+(IF(QualitéAlimentsVaches=MOYENNE,VLOOKUP("Ensilage d'herbe",AlimentsRationBovinsFemelles,2,FALSE),0))))))))))))))))</f>
        <v>0</v>
      </c>
      <c r="BE352" s="1267">
        <f t="array" ref="BE352">SUM((IF(QualitéAlimentsVeauxMâles_0_3_mois=MAUVAISE,VLOOKUP("Ensilage d'herbe",AlimentsRationBovinsMâles,8,FALSE),0)+(IF(QualitéAlimentsVeauxFemelles_0_3_mois=MAUVAISE,VLOOKUP("Ensilage d'herbe",AlimentsRationBovinsFemelles,8,FALSE),0)+(IF(QualitéAlimentsVeauxMâles_3_6_mois=MAUVAISE,VLOOKUP("Ensilage d'herbe",AlimentsRationBovinsMâles,7,FALSE),0)+(IF(QualitéAlimentsVeauxFemelles_3_6_mois=MAUVAISE,VLOOKUP("Ensilage d'herbe",AlimentsRationBovinsFemelles,7,FALSE),0)+(IF(QualitéAlimentsVeauxMâles_6_12_mois=MAUVAISE,VLOOKUP("Ensilage d'herbe",AlimentsRationBovinsMâles,6,FALSE),0)+(IF(QualitéAlimentsVeauxFemelles_6_12_mois=MAUVAISE,VLOOKUP("Ensilage d'herbe",AlimentsRationBovinsFemelles,6,FALSE),0)+(IF(QualitéAlimentsTaurillons_12_18_mois=MAUVAISE,VLOOKUP("Ensilage d'herbe",AlimentsRationBovinsMâles,5,FALSE),0)+(IF(QualitéAlimentsGénisses_12_18_mois=MAUVAISE,VLOOKUP("Ensilage d'herbe",AlimentsRationBovinsFemelles,5,FALSE),0)+(IF(QualitéAlimentsTaurillons_18_24_mois=MAUVAISE,VLOOKUP("Ensilage d'herbe",AlimentsRationBovinsMâles,4,FALSE),0)+(IF(QualitéAlimentsGénisses_18_24_mois=MAUVAISE,VLOOKUP("Ensilage d'herbe",AlimentsRationBovinsFemelles,4,FALSE),0)+(IF(QualitéAlimentsTaurillons_24_36_mois=MAUVAISE,VLOOKUP("Ensilage d'herbe",AlimentsRationBovinsMâles,3,FALSE),0)+(IF(QualitéAlimentsGénisses_24_36_mois=MAUVAISE,VLOOKUP("Ensilage d'herbe",AlimentsRationBovinsFemelles,3,FALSE),0)+(IF(QualitéAlimentsTaureaux=MAUVAISE,VLOOKUP("Ensilage d'herbe",AlimentsRationBovinsMâles,2,FALSE),0)+(IF(QualitéAlimentsVaches=MAUVAISE,VLOOKUP("Ensilage d'herbe",AlimentsRationBovinsFemelles,2,FALSE),0))))))))))))))))</f>
        <v>0</v>
      </c>
      <c r="BF352" s="1321"/>
      <c r="BG352" s="1321"/>
      <c r="BH352" s="1321"/>
      <c r="BI352" s="1321"/>
      <c r="BJ352" s="1321"/>
      <c r="BK352" s="1345"/>
      <c r="BL352" s="1345"/>
      <c r="BM352" s="1346"/>
      <c r="BN352" s="1321"/>
      <c r="BO352" s="1321"/>
      <c r="BP352" s="1321"/>
      <c r="BQ352" s="1321"/>
      <c r="BR352" s="1321"/>
      <c r="BS352" s="1321"/>
      <c r="BT352" s="1321"/>
      <c r="BU352" s="1321"/>
      <c r="BV352" s="1345"/>
      <c r="BW352" s="1345"/>
      <c r="BX352" s="1321"/>
      <c r="BY352" s="1321"/>
      <c r="BZ352" s="1321"/>
      <c r="CA352" s="1321"/>
      <c r="CB352" s="1321"/>
      <c r="CC352" s="1321"/>
      <c r="CD352" s="1345"/>
      <c r="CE352" s="1345"/>
      <c r="CF352" s="1345"/>
      <c r="CG352" s="1345"/>
      <c r="CH352" s="1345"/>
      <c r="CI352" s="1321"/>
      <c r="CJ352" s="1321"/>
      <c r="CK352" s="1321"/>
      <c r="CL352" s="1321"/>
      <c r="CM352" s="1321"/>
      <c r="CN352" s="1321"/>
      <c r="CO352" s="1321"/>
      <c r="CP352" s="1321"/>
      <c r="CQ352" s="1321"/>
      <c r="CR352" s="1321"/>
      <c r="CS352" s="1321"/>
      <c r="CT352" s="1321"/>
      <c r="CU352" s="1321"/>
      <c r="CV352" s="1321"/>
      <c r="CW352" s="1321"/>
      <c r="CX352" s="1321"/>
      <c r="CY352" s="1321"/>
      <c r="CZ352" s="1321"/>
      <c r="DA352" s="1321"/>
      <c r="DB352" s="1321"/>
      <c r="DC352" s="1321"/>
      <c r="DD352" s="1321"/>
      <c r="DE352" s="1321"/>
      <c r="DF352" s="1321"/>
      <c r="DG352" s="1321"/>
      <c r="DH352" s="1321"/>
      <c r="DI352" s="1321"/>
      <c r="DJ352" s="1321"/>
      <c r="DK352" s="1321"/>
      <c r="DL352" s="1321"/>
      <c r="DM352" s="1321"/>
      <c r="DN352" s="1321"/>
      <c r="DO352" s="1321"/>
      <c r="DP352" s="1321"/>
      <c r="DQ352" s="1321"/>
      <c r="DR352" s="1321"/>
      <c r="DS352" s="1321"/>
      <c r="DT352" s="1346"/>
      <c r="DU352" s="1346"/>
      <c r="DV352" s="1321"/>
      <c r="DW352" s="1321"/>
      <c r="DX352" s="1321"/>
      <c r="DY352" s="1321"/>
      <c r="DZ352" s="1321"/>
      <c r="EA352" s="1321"/>
      <c r="EB352" s="1321"/>
      <c r="EC352" s="1321"/>
      <c r="ED352" s="1345"/>
      <c r="EE352" s="1345"/>
      <c r="EF352" s="1321"/>
      <c r="EG352" s="1321"/>
      <c r="EH352" s="1321"/>
      <c r="EI352" s="1321"/>
      <c r="EJ352" s="1321"/>
      <c r="EK352" s="1345"/>
      <c r="EL352" s="1345"/>
      <c r="EM352" s="1321"/>
      <c r="EN352" s="1321"/>
      <c r="EO352" s="1321"/>
      <c r="EP352" s="1321"/>
      <c r="EQ352" s="1321"/>
      <c r="ER352" s="1345"/>
      <c r="ES352" s="1345"/>
      <c r="ET352" s="1321"/>
      <c r="EU352" s="1321"/>
      <c r="EV352" s="1321"/>
      <c r="EW352" s="1321"/>
      <c r="EX352" s="1321"/>
      <c r="EY352" s="1321"/>
      <c r="EZ352" s="1345"/>
      <c r="FA352" s="1345"/>
      <c r="FB352" s="1345"/>
      <c r="FC352" s="1321"/>
      <c r="FD352" s="1321"/>
      <c r="FE352" s="1321"/>
      <c r="FF352" s="1321"/>
      <c r="FG352" s="1321"/>
      <c r="FH352" s="1321"/>
      <c r="FI352" s="1345"/>
      <c r="FJ352" s="1345"/>
      <c r="FK352" s="1345"/>
      <c r="FL352" s="1345"/>
      <c r="FM352" s="1321"/>
      <c r="FN352" s="1321"/>
      <c r="FO352" s="1321"/>
      <c r="FP352" s="1321"/>
      <c r="FQ352" s="1321"/>
      <c r="FR352" s="1321"/>
      <c r="FS352" s="1345"/>
      <c r="FT352" s="1345"/>
      <c r="FU352" s="1345"/>
      <c r="FV352" s="1345"/>
      <c r="FW352" s="1321"/>
      <c r="FX352" s="1321"/>
      <c r="FY352" s="1321"/>
      <c r="FZ352" s="1321"/>
      <c r="GA352" s="1345"/>
      <c r="GB352" s="1321"/>
      <c r="GC352" s="1321"/>
      <c r="GD352" s="1321"/>
      <c r="GE352" s="1321"/>
      <c r="GF352" s="1321"/>
      <c r="GG352" s="1321" t="s">
        <v>1349</v>
      </c>
      <c r="GH352" s="1321" t="s">
        <v>1349</v>
      </c>
      <c r="GI352" s="1321" t="s">
        <v>1349</v>
      </c>
      <c r="GJ352" s="1321" t="s">
        <v>1349</v>
      </c>
      <c r="GK352" s="1321" t="s">
        <v>1349</v>
      </c>
      <c r="GL352" s="1321" t="s">
        <v>1349</v>
      </c>
      <c r="GM352" s="1321" t="s">
        <v>1349</v>
      </c>
      <c r="GN352" s="1321" t="s">
        <v>1349</v>
      </c>
      <c r="GO352" s="1321" t="s">
        <v>1349</v>
      </c>
      <c r="GP352" s="1321" t="s">
        <v>1349</v>
      </c>
      <c r="GQ352" s="1321" t="s">
        <v>1349</v>
      </c>
      <c r="GR352" s="1321" t="s">
        <v>1349</v>
      </c>
      <c r="GS352" s="1321" t="s">
        <v>1349</v>
      </c>
      <c r="GT352" s="1321" t="s">
        <v>1349</v>
      </c>
      <c r="GU352" s="1321" t="s">
        <v>1349</v>
      </c>
      <c r="GV352" s="1321" t="s">
        <v>1349</v>
      </c>
      <c r="GW352" s="1321"/>
      <c r="GX352" s="1321"/>
      <c r="GY352" s="1321"/>
      <c r="GZ352" s="1321"/>
      <c r="HA352" s="1321"/>
      <c r="HB352" s="1321"/>
      <c r="HC352" s="1321"/>
      <c r="HD352" s="1321"/>
      <c r="HE352" s="1321"/>
      <c r="HF352" s="1321"/>
      <c r="HG352" s="1321"/>
      <c r="HH352" s="1321"/>
      <c r="HI352" s="1321"/>
      <c r="HJ352" s="1321"/>
      <c r="HK352" s="1321"/>
      <c r="HL352" s="1321"/>
      <c r="HM352" s="1321"/>
      <c r="HN352" s="1321"/>
      <c r="HO352" s="1321"/>
      <c r="HP352" s="1321"/>
      <c r="HQ352" s="1321"/>
      <c r="HR352" s="1321"/>
      <c r="HS352" s="1321"/>
      <c r="HT352" s="1321"/>
      <c r="HU352" s="1321"/>
      <c r="HV352" s="1321"/>
      <c r="HW352" s="1321"/>
      <c r="HX352" s="1321"/>
      <c r="HY352" s="1321"/>
      <c r="HZ352" s="1321"/>
      <c r="IA352" s="1321"/>
      <c r="IB352" s="1321"/>
      <c r="IC352" s="1321"/>
      <c r="ID352" s="1321"/>
      <c r="IE352" s="1321"/>
      <c r="IF352" s="1321"/>
      <c r="IG352" s="1321"/>
      <c r="IH352" s="1321"/>
      <c r="II352" s="1321"/>
      <c r="IJ352" s="1321"/>
      <c r="IK352" s="1321"/>
      <c r="IL352" s="1321"/>
      <c r="IM352" s="1321"/>
      <c r="IN352" s="1368"/>
    </row>
    <row r="353" spans="1:248" ht="12.75" customHeight="1" x14ac:dyDescent="0.2">
      <c r="A353" s="1319"/>
      <c r="B353" s="1321"/>
      <c r="C353" s="1321"/>
      <c r="D353" s="1321"/>
      <c r="E353" s="1321"/>
      <c r="F353" s="1321"/>
      <c r="G353" s="1321"/>
      <c r="H353" s="1321"/>
      <c r="I353" s="1321"/>
      <c r="J353" s="1321"/>
      <c r="K353" s="1321"/>
      <c r="L353" s="1321"/>
      <c r="M353" s="1321"/>
      <c r="N353" s="1321"/>
      <c r="O353" s="1321"/>
      <c r="P353" s="1321"/>
      <c r="Q353" s="1321"/>
      <c r="R353" s="1321"/>
      <c r="S353" s="1321"/>
      <c r="T353" s="1321"/>
      <c r="U353" s="1321"/>
      <c r="V353" s="1321"/>
      <c r="W353" s="1321"/>
      <c r="X353" s="1321"/>
      <c r="Y353" s="1321"/>
      <c r="Z353" s="1321"/>
      <c r="AA353" s="1321"/>
      <c r="AB353" s="1321"/>
      <c r="AC353" s="1321"/>
      <c r="AD353" s="1321"/>
      <c r="AE353" s="1321"/>
      <c r="AF353" s="1321"/>
      <c r="AG353" s="1321"/>
      <c r="AH353" s="1321"/>
      <c r="AI353" s="1321"/>
      <c r="AJ353" s="1321"/>
      <c r="AK353" s="1321"/>
      <c r="AL353" s="1321"/>
      <c r="AM353" s="1321"/>
      <c r="AN353" s="1321"/>
      <c r="AO353" s="1321"/>
      <c r="AP353" s="1321"/>
      <c r="AQ353" s="1321"/>
      <c r="AR353" s="1321"/>
      <c r="AS353" s="1321"/>
      <c r="AT353" s="1321"/>
      <c r="AU353" s="1321"/>
      <c r="AV353" s="1321"/>
      <c r="AW353" s="1321"/>
      <c r="AX353" s="1321"/>
      <c r="AY353" s="1321"/>
      <c r="AZ353" s="1321"/>
      <c r="BA353" s="1321"/>
      <c r="BB353" s="1075" t="str">
        <f t="shared" si="81"/>
        <v>Eau</v>
      </c>
      <c r="BC353" s="1269">
        <f t="array" ref="BC353">SUM((IF(QualitéAlimentsVeauxMâles_0_3_mois=BONNE,VLOOKUP("Eau",AlimentsRationBovinsMâles,8,FALSE),0)+(IF(QualitéAlimentsVeauxFemelles_0_3_mois=BONNE,VLOOKUP("Eau",AlimentsRationBovinsFemelles,8,FALSE),0)+(IF(QualitéAlimentsVeauxMâles_3_6_mois=BONNE,VLOOKUP("Eau",AlimentsRationBovinsMâles,7,FALSE),0)+(IF(QualitéAlimentsVeauxFemelles_3_6_mois=BONNE,VLOOKUP("Eau",AlimentsRationBovinsFemelles,7,FALSE),0)+(IF(QualitéAlimentsVeauxMâles_6_12_mois=BONNE,VLOOKUP("Eau",AlimentsRationBovinsMâles,6,FALSE),0)+(IF(QualitéAlimentsVeauxFemelles_6_12_mois=BONNE,VLOOKUP("Eau",AlimentsRationBovinsFemelles,6,FALSE),0)+(IF(QualitéAlimentsTaurillons_12_18_mois=BONNE,VLOOKUP("Eau",AlimentsRationBovinsMâles,5,FALSE),0)+(IF(QualitéAlimentsGénisses_12_18_mois=BONNE,VLOOKUP("Eau",AlimentsRationBovinsFemelles,5,FALSE),0)+(IF(QualitéAlimentsTaurillons_18_24_mois=BONNE,VLOOKUP("Eau",AlimentsRationBovinsMâles,4,FALSE),0)+(IF(QualitéAlimentsGénisses_18_24_mois=BONNE,VLOOKUP("Eau",AlimentsRationBovinsFemelles,4,FALSE),0)+(IF(QualitéAlimentsTaurillons_24_36_mois=BONNE,VLOOKUP("Eau",AlimentsRationBovinsMâles,3,FALSE),0)+(IF(QualitéAlimentsGénisses_24_36_mois=BONNE,VLOOKUP("Eau",AlimentsRationBovinsFemelles,3,FALSE),0)+(IF(QualitéAlimentsTaureaux=BONNE,VLOOKUP("Eau",AlimentsRationBovinsMâles,2,FALSE),0)+(IF(QualitéAlimentsVaches=BONNE,VLOOKUP("Eau",AlimentsRationBovinsFemelles,2,FALSE),0))))))))))))))))</f>
        <v>0</v>
      </c>
      <c r="BD353" s="1269">
        <f t="array" ref="BD353">SUM((IF(QualitéAlimentsVeauxMâles_0_3_mois=MOYENNE,VLOOKUP("Eau",AlimentsRationBovinsMâles,8,FALSE),0)+(IF(QualitéAlimentsVeauxFemelles_0_3_mois=MOYENNE,VLOOKUP("Eau",AlimentsRationBovinsFemelles,8,FALSE),0)+(IF(QualitéAlimentsVeauxMâles_3_6_mois=MOYENNE,VLOOKUP("Eau",AlimentsRationBovinsMâles,7,FALSE),0)+(IF(QualitéAlimentsVeauxFemelles_3_6_mois=MOYENNE,VLOOKUP("Eau",AlimentsRationBovinsFemelles,7,FALSE),0)+(IF(QualitéAlimentsVeauxMâles_6_12_mois=MOYENNE,VLOOKUP("Eau",AlimentsRationBovinsMâles,6,FALSE),0)+(IF(QualitéAlimentsVeauxFemelles_6_12_mois=MOYENNE,VLOOKUP("Eau",AlimentsRationBovinsFemelles,6,FALSE),0)+(IF(QualitéAlimentsTaurillons_12_18_mois=MOYENNE,VLOOKUP("Eau",AlimentsRationBovinsMâles,5,FALSE),0)+(IF(QualitéAlimentsGénisses_12_18_mois=MOYENNE,VLOOKUP("Eau",AlimentsRationBovinsFemelles,5,FALSE),0)+(IF(QualitéAlimentsTaurillons_18_24_mois=MOYENNE,VLOOKUP("Eau",AlimentsRationBovinsMâles,4,FALSE),0)+(IF(QualitéAlimentsGénisses_18_24_mois=MOYENNE,VLOOKUP("Eau",AlimentsRationBovinsFemelles,4,FALSE),0)+(IF(QualitéAlimentsTaurillons_24_36_mois=MOYENNE,VLOOKUP("Eau",AlimentsRationBovinsMâles,3,FALSE),0)+(IF(QualitéAlimentsGénisses_24_36_mois=MOYENNE,VLOOKUP("Eau",AlimentsRationBovinsFemelles,3,FALSE),0)+(IF(QualitéAlimentsTaureaux=MOYENNE,VLOOKUP("Eau",AlimentsRationBovinsMâles,2,FALSE),0)+(IF(QualitéAlimentsVaches=MOYENNE,VLOOKUP("Eau",AlimentsRationBovinsFemelles,2,FALSE),0))))))))))))))))</f>
        <v>0</v>
      </c>
      <c r="BE353" s="1269">
        <f t="array" ref="BE353">SUM((IF(QualitéAlimentsVeauxMâles_0_3_mois=MAUVAISE,VLOOKUP("Eau",AlimentsRationBovinsMâles,8,FALSE),0)+(IF(QualitéAlimentsVeauxFemelles_0_3_mois=MAUVAISE,VLOOKUP("Eau",AlimentsRationBovinsFemelles,8,FALSE),0)+(IF(QualitéAlimentsVeauxMâles_3_6_mois=MAUVAISE,VLOOKUP("Eau",AlimentsRationBovinsMâles,7,FALSE),0)+(IF(QualitéAlimentsVeauxFemelles_3_6_mois=MAUVAISE,VLOOKUP("Eau",AlimentsRationBovinsFemelles,7,FALSE),0)+(IF(QualitéAlimentsVeauxMâles_6_12_mois=MAUVAISE,VLOOKUP("Eau",AlimentsRationBovinsMâles,6,FALSE),0)+(IF(QualitéAlimentsVeauxFemelles_6_12_mois=MAUVAISE,VLOOKUP("Eau",AlimentsRationBovinsFemelles,6,FALSE),0)+(IF(QualitéAlimentsTaurillons_12_18_mois=MAUVAISE,VLOOKUP("Eau",AlimentsRationBovinsMâles,5,FALSE),0)+(IF(QualitéAlimentsGénisses_12_18_mois=MAUVAISE,VLOOKUP("Eau",AlimentsRationBovinsFemelles,5,FALSE),0)+(IF(QualitéAlimentsTaurillons_18_24_mois=MAUVAISE,VLOOKUP("Eau",AlimentsRationBovinsMâles,4,FALSE),0)+(IF(QualitéAlimentsGénisses_18_24_mois=MAUVAISE,VLOOKUP("Eau",AlimentsRationBovinsFemelles,4,FALSE),0)+(IF(QualitéAlimentsTaurillons_24_36_mois=MAUVAISE,VLOOKUP("Eau",AlimentsRationBovinsMâles,3,FALSE),0)+(IF(QualitéAlimentsGénisses_24_36_mois=MAUVAISE,VLOOKUP("Eau",AlimentsRationBovinsFemelles,3,FALSE),0)+(IF(QualitéAlimentsTaureaux=MAUVAISE,VLOOKUP("Eau",AlimentsRationBovinsMâles,2,FALSE),0)+(IF(QualitéAlimentsVaches=MAUVAISE,VLOOKUP("Eau",AlimentsRationBovinsFemelles,2,FALSE),0))))))))))))))))</f>
        <v>0</v>
      </c>
      <c r="BF353" s="1321"/>
      <c r="BG353" s="1321"/>
      <c r="BH353" s="1321"/>
      <c r="BI353" s="1321"/>
      <c r="BJ353" s="1321"/>
      <c r="BK353" s="1345"/>
      <c r="BL353" s="1345"/>
      <c r="BM353" s="1346"/>
      <c r="BN353" s="1321"/>
      <c r="BO353" s="1321"/>
      <c r="BP353" s="1321"/>
      <c r="BQ353" s="1321"/>
      <c r="BR353" s="1321"/>
      <c r="BS353" s="1321"/>
      <c r="BT353" s="1321"/>
      <c r="BU353" s="1321"/>
      <c r="BV353" s="1345"/>
      <c r="BW353" s="1345"/>
      <c r="BX353" s="1321"/>
      <c r="BY353" s="1321"/>
      <c r="BZ353" s="1321"/>
      <c r="CA353" s="1321"/>
      <c r="CB353" s="1321"/>
      <c r="CC353" s="1321"/>
      <c r="CD353" s="1345"/>
      <c r="CE353" s="1345"/>
      <c r="CF353" s="1345"/>
      <c r="CG353" s="1345"/>
      <c r="CH353" s="1345"/>
      <c r="CI353" s="1321"/>
      <c r="CJ353" s="1321"/>
      <c r="CK353" s="1321"/>
      <c r="CL353" s="1321"/>
      <c r="CM353" s="1321"/>
      <c r="CN353" s="1321"/>
      <c r="CO353" s="1321"/>
      <c r="CP353" s="1321"/>
      <c r="CQ353" s="1321"/>
      <c r="CR353" s="1321"/>
      <c r="CS353" s="1321"/>
      <c r="CT353" s="1321"/>
      <c r="CU353" s="1321"/>
      <c r="CV353" s="1321"/>
      <c r="CW353" s="1321"/>
      <c r="CX353" s="1321"/>
      <c r="CY353" s="1321"/>
      <c r="CZ353" s="1321"/>
      <c r="DA353" s="1321"/>
      <c r="DB353" s="1321"/>
      <c r="DC353" s="1321"/>
      <c r="DD353" s="1321"/>
      <c r="DE353" s="1321"/>
      <c r="DF353" s="1321"/>
      <c r="DG353" s="1321"/>
      <c r="DH353" s="1321"/>
      <c r="DI353" s="1321"/>
      <c r="DJ353" s="1321"/>
      <c r="DK353" s="1321"/>
      <c r="DL353" s="1321"/>
      <c r="DM353" s="1321"/>
      <c r="DN353" s="1321"/>
      <c r="DO353" s="1321"/>
      <c r="DP353" s="1321"/>
      <c r="DQ353" s="1321"/>
      <c r="DR353" s="1321"/>
      <c r="DS353" s="1321"/>
      <c r="DT353" s="1346"/>
      <c r="DU353" s="1346"/>
      <c r="DV353" s="1321"/>
      <c r="DW353" s="1321"/>
      <c r="DX353" s="1321"/>
      <c r="DY353" s="1321"/>
      <c r="DZ353" s="1321"/>
      <c r="EA353" s="1321"/>
      <c r="EB353" s="1321"/>
      <c r="EC353" s="1321"/>
      <c r="ED353" s="1345"/>
      <c r="EE353" s="1345"/>
      <c r="EF353" s="1321"/>
      <c r="EG353" s="1321"/>
      <c r="EH353" s="1321"/>
      <c r="EI353" s="1321"/>
      <c r="EJ353" s="1321"/>
      <c r="EK353" s="1345"/>
      <c r="EL353" s="1345"/>
      <c r="EM353" s="1321"/>
      <c r="EN353" s="1321"/>
      <c r="EO353" s="1321"/>
      <c r="EP353" s="1321"/>
      <c r="EQ353" s="1321"/>
      <c r="ER353" s="1345"/>
      <c r="ES353" s="1345"/>
      <c r="ET353" s="1321"/>
      <c r="EU353" s="1321"/>
      <c r="EV353" s="1321"/>
      <c r="EW353" s="1321"/>
      <c r="EX353" s="1321"/>
      <c r="EY353" s="1321"/>
      <c r="EZ353" s="1345"/>
      <c r="FA353" s="1345"/>
      <c r="FB353" s="1345"/>
      <c r="FC353" s="1321"/>
      <c r="FD353" s="1321"/>
      <c r="FE353" s="1321"/>
      <c r="FF353" s="1321"/>
      <c r="FG353" s="1321"/>
      <c r="FH353" s="1321"/>
      <c r="FI353" s="1345"/>
      <c r="FJ353" s="1345"/>
      <c r="FK353" s="1345"/>
      <c r="FL353" s="1345"/>
      <c r="FM353" s="1321"/>
      <c r="FN353" s="1321"/>
      <c r="FO353" s="1321"/>
      <c r="FP353" s="1321"/>
      <c r="FQ353" s="1321"/>
      <c r="FR353" s="1321"/>
      <c r="FS353" s="1345"/>
      <c r="FT353" s="1345"/>
      <c r="FU353" s="1345"/>
      <c r="FV353" s="1345"/>
      <c r="FW353" s="1321"/>
      <c r="FX353" s="1321"/>
      <c r="FY353" s="1321"/>
      <c r="FZ353" s="1321"/>
      <c r="GA353" s="1345"/>
      <c r="GB353" s="1321"/>
      <c r="GC353" s="1321"/>
      <c r="GD353" s="1321"/>
      <c r="GE353" s="1321"/>
      <c r="GF353" s="1321"/>
      <c r="GG353" s="1321" t="s">
        <v>1349</v>
      </c>
      <c r="GH353" s="1321" t="s">
        <v>1349</v>
      </c>
      <c r="GI353" s="1321" t="s">
        <v>1349</v>
      </c>
      <c r="GJ353" s="1321" t="s">
        <v>1349</v>
      </c>
      <c r="GK353" s="1321" t="s">
        <v>1349</v>
      </c>
      <c r="GL353" s="1321" t="s">
        <v>1349</v>
      </c>
      <c r="GM353" s="1321" t="s">
        <v>1349</v>
      </c>
      <c r="GN353" s="1321" t="s">
        <v>1349</v>
      </c>
      <c r="GO353" s="1321" t="s">
        <v>1349</v>
      </c>
      <c r="GP353" s="1321" t="s">
        <v>1349</v>
      </c>
      <c r="GQ353" s="1321" t="s">
        <v>1349</v>
      </c>
      <c r="GR353" s="1321" t="s">
        <v>1349</v>
      </c>
      <c r="GS353" s="1321" t="s">
        <v>1349</v>
      </c>
      <c r="GT353" s="1321" t="s">
        <v>1349</v>
      </c>
      <c r="GU353" s="1321" t="s">
        <v>1349</v>
      </c>
      <c r="GV353" s="1321" t="s">
        <v>1349</v>
      </c>
      <c r="GW353" s="1321"/>
      <c r="GX353" s="1321"/>
      <c r="GY353" s="1321"/>
      <c r="GZ353" s="1321"/>
      <c r="HA353" s="1321"/>
      <c r="HB353" s="1321"/>
      <c r="HC353" s="1321"/>
      <c r="HD353" s="1321"/>
      <c r="HE353" s="1321"/>
      <c r="HF353" s="1321"/>
      <c r="HG353" s="1321"/>
      <c r="HH353" s="1321"/>
      <c r="HI353" s="1321"/>
      <c r="HJ353" s="1321"/>
      <c r="HK353" s="1321"/>
      <c r="HL353" s="1321"/>
      <c r="HM353" s="1321"/>
      <c r="HN353" s="1321"/>
      <c r="HO353" s="1321"/>
      <c r="HP353" s="1321"/>
      <c r="HQ353" s="1321"/>
      <c r="HR353" s="1321"/>
      <c r="HS353" s="1321"/>
      <c r="HT353" s="1321"/>
      <c r="HU353" s="1321"/>
      <c r="HV353" s="1321"/>
      <c r="HW353" s="1321"/>
      <c r="HX353" s="1321"/>
      <c r="HY353" s="1321"/>
      <c r="HZ353" s="1321"/>
      <c r="IA353" s="1321"/>
      <c r="IB353" s="1321"/>
      <c r="IC353" s="1321"/>
      <c r="ID353" s="1321"/>
      <c r="IE353" s="1321"/>
      <c r="IF353" s="1321"/>
      <c r="IG353" s="1321"/>
      <c r="IH353" s="1321"/>
      <c r="II353" s="1321"/>
      <c r="IJ353" s="1321"/>
      <c r="IK353" s="1321"/>
      <c r="IL353" s="1321"/>
      <c r="IM353" s="1321"/>
      <c r="IN353" s="1368"/>
    </row>
    <row r="354" spans="1:248" ht="12.75" customHeight="1" x14ac:dyDescent="0.2">
      <c r="A354" s="1319"/>
      <c r="B354" s="1321"/>
      <c r="C354" s="1321"/>
      <c r="D354" s="1321"/>
      <c r="E354" s="1321"/>
      <c r="F354" s="1321"/>
      <c r="G354" s="1321"/>
      <c r="H354" s="1321"/>
      <c r="I354" s="1321"/>
      <c r="J354" s="1321"/>
      <c r="K354" s="1321"/>
      <c r="L354" s="1321"/>
      <c r="M354" s="1321"/>
      <c r="N354" s="1321"/>
      <c r="O354" s="1321"/>
      <c r="P354" s="1321"/>
      <c r="Q354" s="1321"/>
      <c r="R354" s="1321"/>
      <c r="S354" s="1321"/>
      <c r="T354" s="1321"/>
      <c r="U354" s="1321"/>
      <c r="V354" s="1321"/>
      <c r="W354" s="1321"/>
      <c r="X354" s="1321"/>
      <c r="Y354" s="1321"/>
      <c r="Z354" s="1321"/>
      <c r="AA354" s="1321"/>
      <c r="AB354" s="1321"/>
      <c r="AC354" s="1321"/>
      <c r="AD354" s="1321"/>
      <c r="AE354" s="1321"/>
      <c r="AF354" s="1321"/>
      <c r="AG354" s="1321"/>
      <c r="AH354" s="1321"/>
      <c r="AI354" s="1321"/>
      <c r="AJ354" s="1321"/>
      <c r="AK354" s="1321"/>
      <c r="AL354" s="1321"/>
      <c r="AM354" s="1321"/>
      <c r="AN354" s="1321"/>
      <c r="AO354" s="1321"/>
      <c r="AP354" s="1321"/>
      <c r="AQ354" s="1321"/>
      <c r="AR354" s="1321"/>
      <c r="AS354" s="1321"/>
      <c r="AT354" s="1321"/>
      <c r="AU354" s="1321"/>
      <c r="AV354" s="1321"/>
      <c r="AW354" s="1321"/>
      <c r="AX354" s="1321"/>
      <c r="AY354" s="1321"/>
      <c r="AZ354" s="1321"/>
      <c r="BA354" s="1321"/>
      <c r="BB354" s="1076" t="str">
        <f t="shared" si="81"/>
        <v>Epinard</v>
      </c>
      <c r="BC354" s="1267">
        <f t="array" ref="BC354">SUM((IF(QualitéAlimentsVeauxMâles_0_3_mois=BONNE,VLOOKUP("Epinard",AlimentsRationBovinsMâles,8,FALSE),0)+(IF(QualitéAlimentsVeauxFemelles_0_3_mois=BONNE,VLOOKUP("Epinard",AlimentsRationBovinsFemelles,8,FALSE),0)+(IF(QualitéAlimentsVeauxMâles_3_6_mois=BONNE,VLOOKUP("Epinard",AlimentsRationBovinsMâles,7,FALSE),0)+(IF(QualitéAlimentsVeauxFemelles_3_6_mois=BONNE,VLOOKUP("Epinard",AlimentsRationBovinsFemelles,7,FALSE),0)+(IF(QualitéAlimentsVeauxMâles_6_12_mois=BONNE,VLOOKUP("Epinard",AlimentsRationBovinsMâles,6,FALSE),0)+(IF(QualitéAlimentsVeauxFemelles_6_12_mois=BONNE,VLOOKUP("Epinard",AlimentsRationBovinsFemelles,6,FALSE),0)+(IF(QualitéAlimentsTaurillons_12_18_mois=BONNE,VLOOKUP("Epinard",AlimentsRationBovinsMâles,5,FALSE),0)+(IF(QualitéAlimentsGénisses_12_18_mois=BONNE,VLOOKUP("Epinard",AlimentsRationBovinsFemelles,5,FALSE),0)+(IF(QualitéAlimentsTaurillons_18_24_mois=BONNE,VLOOKUP("Epinard",AlimentsRationBovinsMâles,4,FALSE),0)+(IF(QualitéAlimentsGénisses_18_24_mois=BONNE,VLOOKUP("Epinard",AlimentsRationBovinsFemelles,4,FALSE),0)+(IF(QualitéAlimentsTaurillons_24_36_mois=BONNE,VLOOKUP("Epinard",AlimentsRationBovinsMâles,3,FALSE),0)+(IF(QualitéAlimentsGénisses_24_36_mois=BONNE,VLOOKUP("Epinard",AlimentsRationBovinsFemelles,3,FALSE),0)+(IF(QualitéAlimentsTaureaux=BONNE,VLOOKUP("Epinard",AlimentsRationBovinsMâles,2,FALSE),0)+(IF(QualitéAlimentsVaches=BONNE,VLOOKUP("Epinard",AlimentsRationBovinsFemelles,2,FALSE),0))))))))))))))))</f>
        <v>0</v>
      </c>
      <c r="BD354" s="1267">
        <f t="array" ref="BD354">SUM((IF(QualitéAlimentsVeauxMâles_0_3_mois=MOYENNE,VLOOKUP("Epinard",AlimentsRationBovinsMâles,8,FALSE),0)+(IF(QualitéAlimentsVeauxFemelles_0_3_mois=MOYENNE,VLOOKUP("Epinard",AlimentsRationBovinsFemelles,8,FALSE),0)+(IF(QualitéAlimentsVeauxMâles_3_6_mois=MOYENNE,VLOOKUP("Epinard",AlimentsRationBovinsMâles,7,FALSE),0)+(IF(QualitéAlimentsVeauxFemelles_3_6_mois=MOYENNE,VLOOKUP("Epinard",AlimentsRationBovinsFemelles,7,FALSE),0)+(IF(QualitéAlimentsVeauxMâles_6_12_mois=MOYENNE,VLOOKUP("Epinard",AlimentsRationBovinsMâles,6,FALSE),0)+(IF(QualitéAlimentsVeauxFemelles_6_12_mois=MOYENNE,VLOOKUP("Epinard",AlimentsRationBovinsFemelles,6,FALSE),0)+(IF(QualitéAlimentsTaurillons_12_18_mois=MOYENNE,VLOOKUP("Epinard",AlimentsRationBovinsMâles,5,FALSE),0)+(IF(QualitéAlimentsGénisses_12_18_mois=MOYENNE,VLOOKUP("Epinard",AlimentsRationBovinsFemelles,5,FALSE),0)+(IF(QualitéAlimentsTaurillons_18_24_mois=MOYENNE,VLOOKUP("Epinard",AlimentsRationBovinsMâles,4,FALSE),0)+(IF(QualitéAlimentsGénisses_18_24_mois=MOYENNE,VLOOKUP("Epinard",AlimentsRationBovinsFemelles,4,FALSE),0)+(IF(QualitéAlimentsTaurillons_24_36_mois=MOYENNE,VLOOKUP("Epinard",AlimentsRationBovinsMâles,3,FALSE),0)+(IF(QualitéAlimentsGénisses_24_36_mois=MOYENNE,VLOOKUP("Epinard",AlimentsRationBovinsFemelles,3,FALSE),0)+(IF(QualitéAlimentsTaureaux=MOYENNE,VLOOKUP("Epinard",AlimentsRationBovinsMâles,2,FALSE),0)+(IF(QualitéAlimentsVaches=MOYENNE,VLOOKUP("Epinard",AlimentsRationBovinsFemelles,2,FALSE),0))))))))))))))))</f>
        <v>0</v>
      </c>
      <c r="BE354" s="1267">
        <f t="array" ref="BE354">SUM((IF(QualitéAlimentsVeauxMâles_0_3_mois=MAUVAISE,VLOOKUP("Epinard",AlimentsRationBovinsMâles,8,FALSE),0)+(IF(QualitéAlimentsVeauxFemelles_0_3_mois=MAUVAISE,VLOOKUP("Epinard",AlimentsRationBovinsFemelles,8,FALSE),0)+(IF(QualitéAlimentsVeauxMâles_3_6_mois=MAUVAISE,VLOOKUP("Epinard",AlimentsRationBovinsMâles,7,FALSE),0)+(IF(QualitéAlimentsVeauxFemelles_3_6_mois=MAUVAISE,VLOOKUP("Epinard",AlimentsRationBovinsFemelles,7,FALSE),0)+(IF(QualitéAlimentsVeauxMâles_6_12_mois=MAUVAISE,VLOOKUP("Epinard",AlimentsRationBovinsMâles,6,FALSE),0)+(IF(QualitéAlimentsVeauxFemelles_6_12_mois=MAUVAISE,VLOOKUP("Epinard",AlimentsRationBovinsFemelles,6,FALSE),0)+(IF(QualitéAlimentsTaurillons_12_18_mois=MAUVAISE,VLOOKUP("Epinard",AlimentsRationBovinsMâles,5,FALSE),0)+(IF(QualitéAlimentsGénisses_12_18_mois=MAUVAISE,VLOOKUP("Epinard",AlimentsRationBovinsFemelles,5,FALSE),0)+(IF(QualitéAlimentsTaurillons_18_24_mois=MAUVAISE,VLOOKUP("Epinard",AlimentsRationBovinsMâles,4,FALSE),0)+(IF(QualitéAlimentsGénisses_18_24_mois=MAUVAISE,VLOOKUP("Epinard",AlimentsRationBovinsFemelles,4,FALSE),0)+(IF(QualitéAlimentsTaurillons_24_36_mois=MAUVAISE,VLOOKUP("Epinard",AlimentsRationBovinsMâles,3,FALSE),0)+(IF(QualitéAlimentsGénisses_24_36_mois=MAUVAISE,VLOOKUP("Epinard",AlimentsRationBovinsFemelles,3,FALSE),0)+(IF(QualitéAlimentsTaureaux=MAUVAISE,VLOOKUP("Epinard",AlimentsRationBovinsMâles,2,FALSE),0)+(IF(QualitéAlimentsVaches=MAUVAISE,VLOOKUP("Epinard",AlimentsRationBovinsFemelles,2,FALSE),0))))))))))))))))</f>
        <v>0</v>
      </c>
      <c r="BF354" s="1321"/>
      <c r="BG354" s="1321"/>
      <c r="BH354" s="1321"/>
      <c r="BI354" s="1321"/>
      <c r="BJ354" s="1321"/>
      <c r="BK354" s="1345"/>
      <c r="BL354" s="1345"/>
      <c r="BM354" s="1346"/>
      <c r="BN354" s="1321"/>
      <c r="BO354" s="1321"/>
      <c r="BP354" s="1321"/>
      <c r="BQ354" s="1321"/>
      <c r="BR354" s="1321"/>
      <c r="BS354" s="1321"/>
      <c r="BT354" s="1321"/>
      <c r="BU354" s="1321"/>
      <c r="BV354" s="1345"/>
      <c r="BW354" s="1345"/>
      <c r="BX354" s="1321"/>
      <c r="BY354" s="1321"/>
      <c r="BZ354" s="1321"/>
      <c r="CA354" s="1321"/>
      <c r="CB354" s="1321"/>
      <c r="CC354" s="1321"/>
      <c r="CD354" s="1345"/>
      <c r="CE354" s="1345"/>
      <c r="CF354" s="1345"/>
      <c r="CG354" s="1345"/>
      <c r="CH354" s="1345"/>
      <c r="CI354" s="1321"/>
      <c r="CJ354" s="1321"/>
      <c r="CK354" s="1321"/>
      <c r="CL354" s="1321"/>
      <c r="CM354" s="1321"/>
      <c r="CN354" s="1321"/>
      <c r="CO354" s="1321"/>
      <c r="CP354" s="1321"/>
      <c r="CQ354" s="1321"/>
      <c r="CR354" s="1321"/>
      <c r="CS354" s="1321"/>
      <c r="CT354" s="1321"/>
      <c r="CU354" s="1321"/>
      <c r="CV354" s="1321"/>
      <c r="CW354" s="1321"/>
      <c r="CX354" s="1321"/>
      <c r="CY354" s="1321"/>
      <c r="CZ354" s="1321"/>
      <c r="DA354" s="1321"/>
      <c r="DB354" s="1321"/>
      <c r="DC354" s="1321"/>
      <c r="DD354" s="1321"/>
      <c r="DE354" s="1321"/>
      <c r="DF354" s="1321"/>
      <c r="DG354" s="1321"/>
      <c r="DH354" s="1321"/>
      <c r="DI354" s="1321"/>
      <c r="DJ354" s="1321"/>
      <c r="DK354" s="1321"/>
      <c r="DL354" s="1321"/>
      <c r="DM354" s="1321"/>
      <c r="DN354" s="1321"/>
      <c r="DO354" s="1321"/>
      <c r="DP354" s="1321"/>
      <c r="DQ354" s="1321"/>
      <c r="DR354" s="1321"/>
      <c r="DS354" s="1321"/>
      <c r="DT354" s="1346"/>
      <c r="DU354" s="1346"/>
      <c r="DV354" s="1321"/>
      <c r="DW354" s="1321"/>
      <c r="DX354" s="1321"/>
      <c r="DY354" s="1321"/>
      <c r="DZ354" s="1321"/>
      <c r="EA354" s="1321"/>
      <c r="EB354" s="1321"/>
      <c r="EC354" s="1321"/>
      <c r="ED354" s="1345"/>
      <c r="EE354" s="1345"/>
      <c r="EF354" s="1321"/>
      <c r="EG354" s="1321"/>
      <c r="EH354" s="1321"/>
      <c r="EI354" s="1321"/>
      <c r="EJ354" s="1321"/>
      <c r="EK354" s="1345"/>
      <c r="EL354" s="1345"/>
      <c r="EM354" s="1321"/>
      <c r="EN354" s="1321"/>
      <c r="EO354" s="1321"/>
      <c r="EP354" s="1321"/>
      <c r="EQ354" s="1321"/>
      <c r="ER354" s="1345"/>
      <c r="ES354" s="1345"/>
      <c r="ET354" s="1321"/>
      <c r="EU354" s="1321"/>
      <c r="EV354" s="1321"/>
      <c r="EW354" s="1321"/>
      <c r="EX354" s="1321"/>
      <c r="EY354" s="1321"/>
      <c r="EZ354" s="1345"/>
      <c r="FA354" s="1345"/>
      <c r="FB354" s="1345"/>
      <c r="FC354" s="1321"/>
      <c r="FD354" s="1321"/>
      <c r="FE354" s="1321"/>
      <c r="FF354" s="1321"/>
      <c r="FG354" s="1321"/>
      <c r="FH354" s="1321"/>
      <c r="FI354" s="1345"/>
      <c r="FJ354" s="1345"/>
      <c r="FK354" s="1345"/>
      <c r="FL354" s="1345"/>
      <c r="FM354" s="1321"/>
      <c r="FN354" s="1321"/>
      <c r="FO354" s="1321"/>
      <c r="FP354" s="1321"/>
      <c r="FQ354" s="1321"/>
      <c r="FR354" s="1321"/>
      <c r="FS354" s="1345"/>
      <c r="FT354" s="1345"/>
      <c r="FU354" s="1345"/>
      <c r="FV354" s="1345"/>
      <c r="FW354" s="1321"/>
      <c r="FX354" s="1321"/>
      <c r="FY354" s="1321"/>
      <c r="FZ354" s="1321"/>
      <c r="GA354" s="1345"/>
      <c r="GB354" s="1321"/>
      <c r="GC354" s="1321"/>
      <c r="GD354" s="1321"/>
      <c r="GE354" s="1321"/>
      <c r="GF354" s="1321"/>
      <c r="GG354" s="1321" t="s">
        <v>1349</v>
      </c>
      <c r="GH354" s="1321" t="s">
        <v>1349</v>
      </c>
      <c r="GI354" s="1321" t="s">
        <v>1349</v>
      </c>
      <c r="GJ354" s="1321" t="s">
        <v>1349</v>
      </c>
      <c r="GK354" s="1321" t="s">
        <v>1349</v>
      </c>
      <c r="GL354" s="1321" t="s">
        <v>1349</v>
      </c>
      <c r="GM354" s="1321" t="s">
        <v>1349</v>
      </c>
      <c r="GN354" s="1321" t="s">
        <v>1349</v>
      </c>
      <c r="GO354" s="1321" t="s">
        <v>1349</v>
      </c>
      <c r="GP354" s="1321" t="s">
        <v>1349</v>
      </c>
      <c r="GQ354" s="1321" t="s">
        <v>1349</v>
      </c>
      <c r="GR354" s="1321" t="s">
        <v>1349</v>
      </c>
      <c r="GS354" s="1321" t="s">
        <v>1349</v>
      </c>
      <c r="GT354" s="1321" t="s">
        <v>1349</v>
      </c>
      <c r="GU354" s="1321" t="s">
        <v>1349</v>
      </c>
      <c r="GV354" s="1321" t="s">
        <v>1349</v>
      </c>
      <c r="GW354" s="1321"/>
      <c r="GX354" s="1321"/>
      <c r="GY354" s="1321"/>
      <c r="GZ354" s="1321"/>
      <c r="HA354" s="1321"/>
      <c r="HB354" s="1321"/>
      <c r="HC354" s="1321"/>
      <c r="HD354" s="1321"/>
      <c r="HE354" s="1321"/>
      <c r="HF354" s="1321"/>
      <c r="HG354" s="1321"/>
      <c r="HH354" s="1321"/>
      <c r="HI354" s="1321"/>
      <c r="HJ354" s="1321"/>
      <c r="HK354" s="1321"/>
      <c r="HL354" s="1321"/>
      <c r="HM354" s="1321"/>
      <c r="HN354" s="1321"/>
      <c r="HO354" s="1321"/>
      <c r="HP354" s="1321"/>
      <c r="HQ354" s="1321"/>
      <c r="HR354" s="1321"/>
      <c r="HS354" s="1321"/>
      <c r="HT354" s="1321"/>
      <c r="HU354" s="1321"/>
      <c r="HV354" s="1321"/>
      <c r="HW354" s="1321"/>
      <c r="HX354" s="1321"/>
      <c r="HY354" s="1321"/>
      <c r="HZ354" s="1321"/>
      <c r="IA354" s="1321"/>
      <c r="IB354" s="1321"/>
      <c r="IC354" s="1321"/>
      <c r="ID354" s="1321"/>
      <c r="IE354" s="1321"/>
      <c r="IF354" s="1321"/>
      <c r="IG354" s="1321"/>
      <c r="IH354" s="1321"/>
      <c r="II354" s="1321"/>
      <c r="IJ354" s="1321"/>
      <c r="IK354" s="1321"/>
      <c r="IL354" s="1321"/>
      <c r="IM354" s="1321"/>
      <c r="IN354" s="1368"/>
    </row>
    <row r="355" spans="1:248" ht="12.75" customHeight="1" x14ac:dyDescent="0.2">
      <c r="A355" s="1319"/>
      <c r="B355" s="1321"/>
      <c r="C355" s="1321"/>
      <c r="D355" s="1321"/>
      <c r="E355" s="1321"/>
      <c r="F355" s="1321"/>
      <c r="G355" s="1321"/>
      <c r="H355" s="1321"/>
      <c r="I355" s="1321"/>
      <c r="J355" s="1321"/>
      <c r="K355" s="1321"/>
      <c r="L355" s="1321"/>
      <c r="M355" s="1321"/>
      <c r="N355" s="1321"/>
      <c r="O355" s="1321"/>
      <c r="P355" s="1321"/>
      <c r="Q355" s="1321"/>
      <c r="R355" s="1321"/>
      <c r="S355" s="1321"/>
      <c r="T355" s="1321"/>
      <c r="U355" s="1321"/>
      <c r="V355" s="1321"/>
      <c r="W355" s="1321"/>
      <c r="X355" s="1321"/>
      <c r="Y355" s="1321"/>
      <c r="Z355" s="1321"/>
      <c r="AA355" s="1321"/>
      <c r="AB355" s="1321"/>
      <c r="AC355" s="1321"/>
      <c r="AD355" s="1321"/>
      <c r="AE355" s="1321"/>
      <c r="AF355" s="1321"/>
      <c r="AG355" s="1321"/>
      <c r="AH355" s="1321"/>
      <c r="AI355" s="1321"/>
      <c r="AJ355" s="1321"/>
      <c r="AK355" s="1321"/>
      <c r="AL355" s="1321"/>
      <c r="AM355" s="1321"/>
      <c r="AN355" s="1321"/>
      <c r="AO355" s="1321"/>
      <c r="AP355" s="1321"/>
      <c r="AQ355" s="1321"/>
      <c r="AR355" s="1321"/>
      <c r="AS355" s="1321"/>
      <c r="AT355" s="1321"/>
      <c r="AU355" s="1321"/>
      <c r="AV355" s="1321"/>
      <c r="AW355" s="1321"/>
      <c r="AX355" s="1321"/>
      <c r="AY355" s="1321"/>
      <c r="AZ355" s="1321"/>
      <c r="BA355" s="1321"/>
      <c r="BB355" s="1075" t="str">
        <f t="shared" si="81"/>
        <v>Féverole</v>
      </c>
      <c r="BC355" s="1269">
        <f t="array" ref="BC355">SUM((IF(QualitéAlimentsVeauxMâles_0_3_mois=BONNE,VLOOKUP("Féverole",AlimentsRationBovinsMâles,8,FALSE),0)+(IF(QualitéAlimentsVeauxFemelles_0_3_mois=BONNE,VLOOKUP("Féverole",AlimentsRationBovinsFemelles,8,FALSE),0)+(IF(QualitéAlimentsVeauxMâles_3_6_mois=BONNE,VLOOKUP("Féverole",AlimentsRationBovinsMâles,7,FALSE),0)+(IF(QualitéAlimentsVeauxFemelles_3_6_mois=BONNE,VLOOKUP("Féverole",AlimentsRationBovinsFemelles,7,FALSE),0)+(IF(QualitéAlimentsVeauxMâles_6_12_mois=BONNE,VLOOKUP("Féverole",AlimentsRationBovinsMâles,6,FALSE),0)+(IF(QualitéAlimentsVeauxFemelles_6_12_mois=BONNE,VLOOKUP("Féverole",AlimentsRationBovinsFemelles,6,FALSE),0)+(IF(QualitéAlimentsTaurillons_12_18_mois=BONNE,VLOOKUP("Féverole",AlimentsRationBovinsMâles,5,FALSE),0)+(IF(QualitéAlimentsGénisses_12_18_mois=BONNE,VLOOKUP("Féverole",AlimentsRationBovinsFemelles,5,FALSE),0)+(IF(QualitéAlimentsTaurillons_18_24_mois=BONNE,VLOOKUP("Féverole",AlimentsRationBovinsMâles,4,FALSE),0)+(IF(QualitéAlimentsGénisses_18_24_mois=BONNE,VLOOKUP("Féverole",AlimentsRationBovinsFemelles,4,FALSE),0)+(IF(QualitéAlimentsTaurillons_24_36_mois=BONNE,VLOOKUP("Féverole",AlimentsRationBovinsMâles,3,FALSE),0)+(IF(QualitéAlimentsGénisses_24_36_mois=BONNE,VLOOKUP("Féverole",AlimentsRationBovinsFemelles,3,FALSE),0)+(IF(QualitéAlimentsTaureaux=BONNE,VLOOKUP("Féverole",AlimentsRationBovinsMâles,2,FALSE),0)+(IF(QualitéAlimentsVaches=BONNE,VLOOKUP("Féverole",AlimentsRationBovinsFemelles,2,FALSE),0))))))))))))))))</f>
        <v>0</v>
      </c>
      <c r="BD355" s="1269">
        <f t="array" ref="BD355">SUM((IF(QualitéAlimentsVeauxMâles_0_3_mois=MOYENNE,VLOOKUP("Féverole",AlimentsRationBovinsMâles,8,FALSE),0)+(IF(QualitéAlimentsVeauxFemelles_0_3_mois=MOYENNE,VLOOKUP("Féverole",AlimentsRationBovinsFemelles,8,FALSE),0)+(IF(QualitéAlimentsVeauxMâles_3_6_mois=MOYENNE,VLOOKUP("Féverole",AlimentsRationBovinsMâles,7,FALSE),0)+(IF(QualitéAlimentsVeauxFemelles_3_6_mois=MOYENNE,VLOOKUP("Féverole",AlimentsRationBovinsFemelles,7,FALSE),0)+(IF(QualitéAlimentsVeauxMâles_6_12_mois=MOYENNE,VLOOKUP("Féverole",AlimentsRationBovinsMâles,6,FALSE),0)+(IF(QualitéAlimentsVeauxFemelles_6_12_mois=MOYENNE,VLOOKUP("Féverole",AlimentsRationBovinsFemelles,6,FALSE),0)+(IF(QualitéAlimentsTaurillons_12_18_mois=MOYENNE,VLOOKUP("Féverole",AlimentsRationBovinsMâles,5,FALSE),0)+(IF(QualitéAlimentsGénisses_12_18_mois=MOYENNE,VLOOKUP("Féverole",AlimentsRationBovinsFemelles,5,FALSE),0)+(IF(QualitéAlimentsTaurillons_18_24_mois=MOYENNE,VLOOKUP("Féverole",AlimentsRationBovinsMâles,4,FALSE),0)+(IF(QualitéAlimentsGénisses_18_24_mois=MOYENNE,VLOOKUP("Féverole",AlimentsRationBovinsFemelles,4,FALSE),0)+(IF(QualitéAlimentsTaurillons_24_36_mois=MOYENNE,VLOOKUP("Féverole",AlimentsRationBovinsMâles,3,FALSE),0)+(IF(QualitéAlimentsGénisses_24_36_mois=MOYENNE,VLOOKUP("Féverole",AlimentsRationBovinsFemelles,3,FALSE),0)+(IF(QualitéAlimentsTaureaux=MOYENNE,VLOOKUP("Féverole",AlimentsRationBovinsMâles,2,FALSE),0)+(IF(QualitéAlimentsVaches=MOYENNE,VLOOKUP("Féverole",AlimentsRationBovinsFemelles,2,FALSE),0))))))))))))))))</f>
        <v>0</v>
      </c>
      <c r="BE355" s="1269">
        <f t="array" ref="BE355">SUM((IF(QualitéAlimentsVeauxMâles_0_3_mois=MAUVAISE,VLOOKUP("Féverole",AlimentsRationBovinsMâles,8,FALSE),0)+(IF(QualitéAlimentsVeauxFemelles_0_3_mois=MAUVAISE,VLOOKUP("Féverole",AlimentsRationBovinsFemelles,8,FALSE),0)+(IF(QualitéAlimentsVeauxMâles_3_6_mois=MAUVAISE,VLOOKUP("Féverole",AlimentsRationBovinsMâles,7,FALSE),0)+(IF(QualitéAlimentsVeauxFemelles_3_6_mois=MAUVAISE,VLOOKUP("Féverole",AlimentsRationBovinsFemelles,7,FALSE),0)+(IF(QualitéAlimentsVeauxMâles_6_12_mois=MAUVAISE,VLOOKUP("Féverole",AlimentsRationBovinsMâles,6,FALSE),0)+(IF(QualitéAlimentsVeauxFemelles_6_12_mois=MAUVAISE,VLOOKUP("Féverole",AlimentsRationBovinsFemelles,6,FALSE),0)+(IF(QualitéAlimentsTaurillons_12_18_mois=MAUVAISE,VLOOKUP("Féverole",AlimentsRationBovinsMâles,5,FALSE),0)+(IF(QualitéAlimentsGénisses_12_18_mois=MAUVAISE,VLOOKUP("Féverole",AlimentsRationBovinsFemelles,5,FALSE),0)+(IF(QualitéAlimentsTaurillons_18_24_mois=MAUVAISE,VLOOKUP("Féverole",AlimentsRationBovinsMâles,4,FALSE),0)+(IF(QualitéAlimentsGénisses_18_24_mois=MAUVAISE,VLOOKUP("Féverole",AlimentsRationBovinsFemelles,4,FALSE),0)+(IF(QualitéAlimentsTaurillons_24_36_mois=MAUVAISE,VLOOKUP("Féverole",AlimentsRationBovinsMâles,3,FALSE),0)+(IF(QualitéAlimentsGénisses_24_36_mois=MAUVAISE,VLOOKUP("Féverole",AlimentsRationBovinsFemelles,3,FALSE),0)+(IF(QualitéAlimentsTaureaux=MAUVAISE,VLOOKUP("Féverole",AlimentsRationBovinsMâles,2,FALSE),0)+(IF(QualitéAlimentsVaches=MAUVAISE,VLOOKUP("Féverole",AlimentsRationBovinsFemelles,2,FALSE),0))))))))))))))))</f>
        <v>0</v>
      </c>
      <c r="BF355" s="1321"/>
      <c r="BG355" s="1321"/>
      <c r="BH355" s="1321"/>
      <c r="BI355" s="1321"/>
      <c r="BJ355" s="1321"/>
      <c r="BK355" s="1345"/>
      <c r="BL355" s="1345"/>
      <c r="BM355" s="1346"/>
      <c r="BN355" s="1321"/>
      <c r="BO355" s="1321"/>
      <c r="BP355" s="1321"/>
      <c r="BQ355" s="1321"/>
      <c r="BR355" s="1321"/>
      <c r="BS355" s="1321"/>
      <c r="BT355" s="1321"/>
      <c r="BU355" s="1321"/>
      <c r="BV355" s="1345"/>
      <c r="BW355" s="1345"/>
      <c r="BX355" s="1321"/>
      <c r="BY355" s="1321"/>
      <c r="BZ355" s="1321"/>
      <c r="CA355" s="1321"/>
      <c r="CB355" s="1321"/>
      <c r="CC355" s="1345"/>
      <c r="CD355" s="1345"/>
      <c r="CE355" s="1345"/>
      <c r="CF355" s="1345"/>
      <c r="CG355" s="1345"/>
      <c r="CH355" s="1321"/>
      <c r="CI355" s="1321"/>
      <c r="CJ355" s="1321"/>
      <c r="CK355" s="1321"/>
      <c r="CL355" s="1321"/>
      <c r="CM355" s="1321"/>
      <c r="CN355" s="1321"/>
      <c r="CO355" s="1321"/>
      <c r="CP355" s="1321"/>
      <c r="CQ355" s="1321"/>
      <c r="CR355" s="1321"/>
      <c r="CS355" s="1321"/>
      <c r="CT355" s="1321"/>
      <c r="CU355" s="1321"/>
      <c r="CV355" s="1321"/>
      <c r="CW355" s="1321"/>
      <c r="CX355" s="1321"/>
      <c r="CY355" s="1321"/>
      <c r="CZ355" s="1321"/>
      <c r="DA355" s="1321"/>
      <c r="DB355" s="1321"/>
      <c r="DC355" s="1321"/>
      <c r="DD355" s="1321"/>
      <c r="DE355" s="1321"/>
      <c r="DF355" s="1321"/>
      <c r="DG355" s="1321"/>
      <c r="DH355" s="1321"/>
      <c r="DI355" s="1321"/>
      <c r="DJ355" s="1321"/>
      <c r="DK355" s="1321"/>
      <c r="DL355" s="1321"/>
      <c r="DM355" s="1321"/>
      <c r="DN355" s="1321"/>
      <c r="DO355" s="1321"/>
      <c r="DP355" s="1321"/>
      <c r="DQ355" s="1321"/>
      <c r="DR355" s="1321"/>
      <c r="DS355" s="1321"/>
      <c r="DT355" s="1346"/>
      <c r="DU355" s="1321"/>
      <c r="DV355" s="1321"/>
      <c r="DW355" s="1321"/>
      <c r="DX355" s="1321"/>
      <c r="DY355" s="1321"/>
      <c r="DZ355" s="1321"/>
      <c r="EA355" s="1321"/>
      <c r="EB355" s="1321"/>
      <c r="EC355" s="1345"/>
      <c r="ED355" s="1345"/>
      <c r="EE355" s="1321"/>
      <c r="EF355" s="1321"/>
      <c r="EG355" s="1321"/>
      <c r="EH355" s="1321"/>
      <c r="EI355" s="1321"/>
      <c r="EJ355" s="1321"/>
      <c r="EK355" s="1345"/>
      <c r="EL355" s="1321"/>
      <c r="EM355" s="1321"/>
      <c r="EN355" s="1321"/>
      <c r="EO355" s="1321"/>
      <c r="EP355" s="1321"/>
      <c r="EQ355" s="1321"/>
      <c r="ER355" s="1345"/>
      <c r="ES355" s="1321"/>
      <c r="ET355" s="1321"/>
      <c r="EU355" s="1321"/>
      <c r="EV355" s="1321"/>
      <c r="EW355" s="1321"/>
      <c r="EX355" s="1321"/>
      <c r="EY355" s="1321"/>
      <c r="EZ355" s="1345"/>
      <c r="FA355" s="1345"/>
      <c r="FB355" s="1321"/>
      <c r="FC355" s="1321"/>
      <c r="FD355" s="1321"/>
      <c r="FE355" s="1321"/>
      <c r="FF355" s="1321"/>
      <c r="FG355" s="1321"/>
      <c r="FH355" s="1321"/>
      <c r="FI355" s="1345"/>
      <c r="FJ355" s="1345"/>
      <c r="FK355" s="1345"/>
      <c r="FL355" s="1321"/>
      <c r="FM355" s="1321"/>
      <c r="FN355" s="1321"/>
      <c r="FO355" s="1321"/>
      <c r="FP355" s="1321"/>
      <c r="FQ355" s="1321"/>
      <c r="FR355" s="1321"/>
      <c r="FS355" s="1345"/>
      <c r="FT355" s="1345"/>
      <c r="FU355" s="1345"/>
      <c r="FV355" s="1321"/>
      <c r="FW355" s="1321"/>
      <c r="FX355" s="1321"/>
      <c r="FY355" s="1321"/>
      <c r="FZ355" s="1345"/>
      <c r="GA355" s="1321"/>
      <c r="GB355" s="1321"/>
      <c r="GC355" s="1321"/>
      <c r="GD355" s="1321"/>
      <c r="GE355" s="1321"/>
      <c r="GF355" s="1321" t="s">
        <v>1349</v>
      </c>
      <c r="GG355" s="1321" t="s">
        <v>1349</v>
      </c>
      <c r="GH355" s="1321" t="s">
        <v>1349</v>
      </c>
      <c r="GI355" s="1321" t="s">
        <v>1349</v>
      </c>
      <c r="GJ355" s="1321" t="s">
        <v>1349</v>
      </c>
      <c r="GK355" s="1321" t="s">
        <v>1349</v>
      </c>
      <c r="GL355" s="1321" t="s">
        <v>1349</v>
      </c>
      <c r="GM355" s="1321" t="s">
        <v>1349</v>
      </c>
      <c r="GN355" s="1321" t="s">
        <v>1349</v>
      </c>
      <c r="GO355" s="1321" t="s">
        <v>1349</v>
      </c>
      <c r="GP355" s="1321" t="s">
        <v>1349</v>
      </c>
      <c r="GQ355" s="1321" t="s">
        <v>1349</v>
      </c>
      <c r="GR355" s="1321" t="s">
        <v>1349</v>
      </c>
      <c r="GS355" s="1321" t="s">
        <v>1349</v>
      </c>
      <c r="GT355" s="1321" t="s">
        <v>1349</v>
      </c>
      <c r="GU355" s="1321" t="s">
        <v>1349</v>
      </c>
      <c r="GV355" s="1321"/>
      <c r="GW355" s="1321"/>
      <c r="GX355" s="1321"/>
      <c r="GY355" s="1321"/>
      <c r="GZ355" s="1321"/>
      <c r="HA355" s="1321"/>
      <c r="HB355" s="1321"/>
      <c r="HC355" s="1321"/>
      <c r="HD355" s="1321"/>
      <c r="HE355" s="1321"/>
      <c r="HF355" s="1321"/>
      <c r="HG355" s="1321"/>
      <c r="HH355" s="1321"/>
      <c r="HI355" s="1321"/>
      <c r="HJ355" s="1321"/>
      <c r="HK355" s="1321"/>
      <c r="HL355" s="1321"/>
      <c r="HM355" s="1321"/>
      <c r="HN355" s="1321"/>
      <c r="HO355" s="1321"/>
      <c r="HP355" s="1321"/>
      <c r="HQ355" s="1321"/>
      <c r="HR355" s="1321"/>
      <c r="HS355" s="1321"/>
      <c r="HT355" s="1321"/>
      <c r="HU355" s="1321"/>
      <c r="HV355" s="1321"/>
      <c r="HW355" s="1321"/>
      <c r="HX355" s="1321"/>
      <c r="HY355" s="1321"/>
      <c r="HZ355" s="1321"/>
      <c r="IA355" s="1321"/>
      <c r="IB355" s="1321"/>
      <c r="IC355" s="1321"/>
      <c r="ID355" s="1321"/>
      <c r="IE355" s="1321"/>
      <c r="IF355" s="1321"/>
      <c r="IG355" s="1321"/>
      <c r="IH355" s="1321"/>
      <c r="II355" s="1321"/>
      <c r="IJ355" s="1321"/>
      <c r="IK355" s="1321"/>
      <c r="IL355" s="1321"/>
      <c r="IM355" s="1321"/>
      <c r="IN355" s="1368"/>
    </row>
    <row r="356" spans="1:248" ht="12.75" customHeight="1" x14ac:dyDescent="0.2">
      <c r="A356" s="1319"/>
      <c r="B356" s="1321"/>
      <c r="C356" s="1321"/>
      <c r="D356" s="1321"/>
      <c r="E356" s="1321"/>
      <c r="F356" s="1321"/>
      <c r="G356" s="1321"/>
      <c r="H356" s="1321"/>
      <c r="I356" s="1321"/>
      <c r="J356" s="1321"/>
      <c r="K356" s="1321"/>
      <c r="L356" s="1321"/>
      <c r="M356" s="1321"/>
      <c r="N356" s="1321"/>
      <c r="O356" s="1321"/>
      <c r="P356" s="1321"/>
      <c r="Q356" s="1321"/>
      <c r="R356" s="1321"/>
      <c r="S356" s="1321"/>
      <c r="T356" s="1321"/>
      <c r="U356" s="1321"/>
      <c r="V356" s="1321"/>
      <c r="W356" s="1321"/>
      <c r="X356" s="1321"/>
      <c r="Y356" s="1321"/>
      <c r="Z356" s="1321"/>
      <c r="AA356" s="1321"/>
      <c r="AB356" s="1321"/>
      <c r="AC356" s="1321"/>
      <c r="AD356" s="1321"/>
      <c r="AE356" s="1321"/>
      <c r="AF356" s="1321"/>
      <c r="AG356" s="1321"/>
      <c r="AH356" s="1321"/>
      <c r="AI356" s="1321"/>
      <c r="AJ356" s="1321"/>
      <c r="AK356" s="1321"/>
      <c r="AL356" s="1321"/>
      <c r="AM356" s="1321"/>
      <c r="AN356" s="1321"/>
      <c r="AO356" s="1321"/>
      <c r="AP356" s="1321"/>
      <c r="AQ356" s="1321"/>
      <c r="AR356" s="1321"/>
      <c r="AS356" s="1321"/>
      <c r="AT356" s="1321"/>
      <c r="AU356" s="1321"/>
      <c r="AV356" s="1321"/>
      <c r="AW356" s="1321"/>
      <c r="AX356" s="1321"/>
      <c r="AY356" s="1321"/>
      <c r="AZ356" s="1321"/>
      <c r="BA356" s="1321"/>
      <c r="BB356" s="1076" t="str">
        <f t="shared" si="81"/>
        <v>Foin</v>
      </c>
      <c r="BC356" s="1267">
        <f t="array" ref="BC356">SUM((IF(QualitéAlimentsVeauxMâles_0_3_mois=BONNE,VLOOKUP("Foin",AlimentsRationBovinsMâles,8,FALSE),0)+(IF(QualitéAlimentsVeauxFemelles_0_3_mois=BONNE,VLOOKUP("Foin",AlimentsRationBovinsFemelles,8,FALSE),0)+(IF(QualitéAlimentsVeauxMâles_3_6_mois=BONNE,VLOOKUP("Foin",AlimentsRationBovinsMâles,7,FALSE),0)+(IF(QualitéAlimentsVeauxFemelles_3_6_mois=BONNE,VLOOKUP("Foin",AlimentsRationBovinsFemelles,7,FALSE),0)+(IF(QualitéAlimentsVeauxMâles_6_12_mois=BONNE,VLOOKUP("Foin",AlimentsRationBovinsMâles,6,FALSE),0)+(IF(QualitéAlimentsVeauxFemelles_6_12_mois=BONNE,VLOOKUP("Foin",AlimentsRationBovinsFemelles,6,FALSE),0)+(IF(QualitéAlimentsTaurillons_12_18_mois=BONNE,VLOOKUP("Foin",AlimentsRationBovinsMâles,5,FALSE),0)+(IF(QualitéAlimentsGénisses_12_18_mois=BONNE,VLOOKUP("Foin",AlimentsRationBovinsFemelles,5,FALSE),0)+(IF(QualitéAlimentsTaurillons_18_24_mois=BONNE,VLOOKUP("Foin",AlimentsRationBovinsMâles,4,FALSE),0)+(IF(QualitéAlimentsGénisses_18_24_mois=BONNE,VLOOKUP("Foin",AlimentsRationBovinsFemelles,4,FALSE),0)+(IF(QualitéAlimentsTaurillons_24_36_mois=BONNE,VLOOKUP("Foin",AlimentsRationBovinsMâles,3,FALSE),0)+(IF(QualitéAlimentsGénisses_24_36_mois=BONNE,VLOOKUP("Foin",AlimentsRationBovinsFemelles,3,FALSE),0)+(IF(QualitéAlimentsTaureaux=BONNE,VLOOKUP("Foin",AlimentsRationBovinsMâles,2,FALSE),0)+(IF(QualitéAlimentsVaches=BONNE,VLOOKUP("Foin",AlimentsRationBovinsFemelles,2,FALSE),0))))))))))))))))</f>
        <v>0</v>
      </c>
      <c r="BD356" s="1267">
        <f t="array" ref="BD356">SUM((IF(QualitéAlimentsVeauxMâles_0_3_mois=MOYENNE,VLOOKUP("Foin",AlimentsRationBovinsMâles,8,FALSE),0)+(IF(QualitéAlimentsVeauxFemelles_0_3_mois=MOYENNE,VLOOKUP("Foin",AlimentsRationBovinsFemelles,8,FALSE),0)+(IF(QualitéAlimentsVeauxMâles_3_6_mois=MOYENNE,VLOOKUP("Foin",AlimentsRationBovinsMâles,7,FALSE),0)+(IF(QualitéAlimentsVeauxFemelles_3_6_mois=MOYENNE,VLOOKUP("Foin",AlimentsRationBovinsFemelles,7,FALSE),0)+(IF(QualitéAlimentsVeauxMâles_6_12_mois=MOYENNE,VLOOKUP("Foin",AlimentsRationBovinsMâles,6,FALSE),0)+(IF(QualitéAlimentsVeauxFemelles_6_12_mois=MOYENNE,VLOOKUP("Foin",AlimentsRationBovinsFemelles,6,FALSE),0)+(IF(QualitéAlimentsTaurillons_12_18_mois=MOYENNE,VLOOKUP("Foin",AlimentsRationBovinsMâles,5,FALSE),0)+(IF(QualitéAlimentsGénisses_12_18_mois=MOYENNE,VLOOKUP("Foin",AlimentsRationBovinsFemelles,5,FALSE),0)+(IF(QualitéAlimentsTaurillons_18_24_mois=MOYENNE,VLOOKUP("Foin",AlimentsRationBovinsMâles,4,FALSE),0)+(IF(QualitéAlimentsGénisses_18_24_mois=MOYENNE,VLOOKUP("Foin",AlimentsRationBovinsFemelles,4,FALSE),0)+(IF(QualitéAlimentsTaurillons_24_36_mois=MOYENNE,VLOOKUP("Foin",AlimentsRationBovinsMâles,3,FALSE),0)+(IF(QualitéAlimentsGénisses_24_36_mois=MOYENNE,VLOOKUP("Foin",AlimentsRationBovinsFemelles,3,FALSE),0)+(IF(QualitéAlimentsTaureaux=MOYENNE,VLOOKUP("Foin",AlimentsRationBovinsMâles,2,FALSE),0)+(IF(QualitéAlimentsVaches=MOYENNE,VLOOKUP("Foin",AlimentsRationBovinsFemelles,2,FALSE),0))))))))))))))))</f>
        <v>0</v>
      </c>
      <c r="BE356" s="1267">
        <f t="array" ref="BE356">SUM((IF(QualitéAlimentsVeauxMâles_0_3_mois=MAUVAISE,VLOOKUP("Foin",AlimentsRationBovinsMâles,8,FALSE),0)+(IF(QualitéAlimentsVeauxFemelles_0_3_mois=MAUVAISE,VLOOKUP("Foin",AlimentsRationBovinsFemelles,8,FALSE),0)+(IF(QualitéAlimentsVeauxMâles_3_6_mois=MAUVAISE,VLOOKUP("Foin",AlimentsRationBovinsMâles,7,FALSE),0)+(IF(QualitéAlimentsVeauxFemelles_3_6_mois=MAUVAISE,VLOOKUP("Foin",AlimentsRationBovinsFemelles,7,FALSE),0)+(IF(QualitéAlimentsVeauxMâles_6_12_mois=MAUVAISE,VLOOKUP("Foin",AlimentsRationBovinsMâles,6,FALSE),0)+(IF(QualitéAlimentsVeauxFemelles_6_12_mois=MAUVAISE,VLOOKUP("Foin",AlimentsRationBovinsFemelles,6,FALSE),0)+(IF(QualitéAlimentsTaurillons_12_18_mois=MAUVAISE,VLOOKUP("Foin",AlimentsRationBovinsMâles,5,FALSE),0)+(IF(QualitéAlimentsGénisses_12_18_mois=MAUVAISE,VLOOKUP("Foin",AlimentsRationBovinsFemelles,5,FALSE),0)+(IF(QualitéAlimentsTaurillons_18_24_mois=MAUVAISE,VLOOKUP("Foin",AlimentsRationBovinsMâles,4,FALSE),0)+(IF(QualitéAlimentsGénisses_18_24_mois=MAUVAISE,VLOOKUP("Foin",AlimentsRationBovinsFemelles,4,FALSE),0)+(IF(QualitéAlimentsTaurillons_24_36_mois=MAUVAISE,VLOOKUP("Foin",AlimentsRationBovinsMâles,3,FALSE),0)+(IF(QualitéAlimentsGénisses_24_36_mois=MAUVAISE,VLOOKUP("Foin",AlimentsRationBovinsFemelles,3,FALSE),0)+(IF(QualitéAlimentsTaureaux=MAUVAISE,VLOOKUP("Foin",AlimentsRationBovinsMâles,2,FALSE),0)+(IF(QualitéAlimentsVaches=MAUVAISE,VLOOKUP("Foin",AlimentsRationBovinsFemelles,2,FALSE),0))))))))))))))))</f>
        <v>0</v>
      </c>
      <c r="BF356" s="1321"/>
      <c r="BG356" s="1321"/>
      <c r="BH356" s="1321"/>
      <c r="BI356" s="1321"/>
      <c r="BJ356" s="1321"/>
      <c r="BK356" s="1345"/>
      <c r="BL356" s="1345"/>
      <c r="BM356" s="1346"/>
      <c r="BN356" s="1321"/>
      <c r="BO356" s="1321"/>
      <c r="BP356" s="1321"/>
      <c r="BQ356" s="1321"/>
      <c r="BR356" s="1321"/>
      <c r="BS356" s="1321"/>
      <c r="BT356" s="1321"/>
      <c r="BU356" s="1321"/>
      <c r="BV356" s="1345"/>
      <c r="BW356" s="1345"/>
      <c r="BX356" s="1321"/>
      <c r="BY356" s="1321"/>
      <c r="BZ356" s="1321"/>
      <c r="CA356" s="1321"/>
      <c r="CB356" s="1321"/>
      <c r="CC356" s="1345"/>
      <c r="CD356" s="1345"/>
      <c r="CE356" s="1345"/>
      <c r="CF356" s="1345"/>
      <c r="CG356" s="1345"/>
      <c r="CH356" s="1321"/>
      <c r="CI356" s="1321"/>
      <c r="CJ356" s="1321"/>
      <c r="CK356" s="1321"/>
      <c r="CL356" s="1321"/>
      <c r="CM356" s="1321"/>
      <c r="CN356" s="1321"/>
      <c r="CO356" s="1321"/>
      <c r="CP356" s="1321"/>
      <c r="CQ356" s="1321"/>
      <c r="CR356" s="1321"/>
      <c r="CS356" s="1321"/>
      <c r="CT356" s="1321"/>
      <c r="CU356" s="1321"/>
      <c r="CV356" s="1321"/>
      <c r="CW356" s="1321"/>
      <c r="CX356" s="1321"/>
      <c r="CY356" s="1321"/>
      <c r="CZ356" s="1321"/>
      <c r="DA356" s="1321"/>
      <c r="DB356" s="1321"/>
      <c r="DC356" s="1321"/>
      <c r="DD356" s="1321"/>
      <c r="DE356" s="1321"/>
      <c r="DF356" s="1321"/>
      <c r="DG356" s="1321"/>
      <c r="DH356" s="1321"/>
      <c r="DI356" s="1321"/>
      <c r="DJ356" s="1321"/>
      <c r="DK356" s="1321"/>
      <c r="DL356" s="1321"/>
      <c r="DM356" s="1321"/>
      <c r="DN356" s="1321"/>
      <c r="DO356" s="1321"/>
      <c r="DP356" s="1321"/>
      <c r="DQ356" s="1321"/>
      <c r="DR356" s="1321"/>
      <c r="DS356" s="1321"/>
      <c r="DT356" s="1346"/>
      <c r="DU356" s="1321"/>
      <c r="DV356" s="1321"/>
      <c r="DW356" s="1321"/>
      <c r="DX356" s="1321"/>
      <c r="DY356" s="1321"/>
      <c r="DZ356" s="1321"/>
      <c r="EA356" s="1321"/>
      <c r="EB356" s="1321"/>
      <c r="EC356" s="1345"/>
      <c r="ED356" s="1345"/>
      <c r="EE356" s="1321"/>
      <c r="EF356" s="1321"/>
      <c r="EG356" s="1321"/>
      <c r="EH356" s="1321"/>
      <c r="EI356" s="1321"/>
      <c r="EJ356" s="1321"/>
      <c r="EK356" s="1345"/>
      <c r="EL356" s="1321"/>
      <c r="EM356" s="1321"/>
      <c r="EN356" s="1321"/>
      <c r="EO356" s="1321"/>
      <c r="EP356" s="1321"/>
      <c r="EQ356" s="1321"/>
      <c r="ER356" s="1345"/>
      <c r="ES356" s="1321"/>
      <c r="ET356" s="1321"/>
      <c r="EU356" s="1321"/>
      <c r="EV356" s="1321"/>
      <c r="EW356" s="1321"/>
      <c r="EX356" s="1321"/>
      <c r="EY356" s="1321"/>
      <c r="EZ356" s="1345"/>
      <c r="FA356" s="1345"/>
      <c r="FB356" s="1321"/>
      <c r="FC356" s="1321"/>
      <c r="FD356" s="1321"/>
      <c r="FE356" s="1321"/>
      <c r="FF356" s="1321"/>
      <c r="FG356" s="1321"/>
      <c r="FH356" s="1321"/>
      <c r="FI356" s="1345"/>
      <c r="FJ356" s="1345"/>
      <c r="FK356" s="1345"/>
      <c r="FL356" s="1321"/>
      <c r="FM356" s="1321"/>
      <c r="FN356" s="1321"/>
      <c r="FO356" s="1321"/>
      <c r="FP356" s="1321"/>
      <c r="FQ356" s="1321"/>
      <c r="FR356" s="1321"/>
      <c r="FS356" s="1345"/>
      <c r="FT356" s="1345"/>
      <c r="FU356" s="1345"/>
      <c r="FV356" s="1321"/>
      <c r="FW356" s="1321"/>
      <c r="FX356" s="1321"/>
      <c r="FY356" s="1321"/>
      <c r="FZ356" s="1345"/>
      <c r="GA356" s="1321"/>
      <c r="GB356" s="1321"/>
      <c r="GC356" s="1321"/>
      <c r="GD356" s="1321"/>
      <c r="GE356" s="1321"/>
      <c r="GF356" s="1321" t="s">
        <v>1349</v>
      </c>
      <c r="GG356" s="1321" t="s">
        <v>1349</v>
      </c>
      <c r="GH356" s="1321" t="s">
        <v>1349</v>
      </c>
      <c r="GI356" s="1321" t="s">
        <v>1349</v>
      </c>
      <c r="GJ356" s="1321" t="s">
        <v>1349</v>
      </c>
      <c r="GK356" s="1321" t="s">
        <v>1349</v>
      </c>
      <c r="GL356" s="1321" t="s">
        <v>1349</v>
      </c>
      <c r="GM356" s="1321" t="s">
        <v>1349</v>
      </c>
      <c r="GN356" s="1321" t="s">
        <v>1349</v>
      </c>
      <c r="GO356" s="1321" t="s">
        <v>1349</v>
      </c>
      <c r="GP356" s="1321" t="s">
        <v>1349</v>
      </c>
      <c r="GQ356" s="1321" t="s">
        <v>1349</v>
      </c>
      <c r="GR356" s="1321" t="s">
        <v>1349</v>
      </c>
      <c r="GS356" s="1321" t="s">
        <v>1349</v>
      </c>
      <c r="GT356" s="1321" t="s">
        <v>1349</v>
      </c>
      <c r="GU356" s="1321" t="s">
        <v>1349</v>
      </c>
      <c r="GV356" s="1321"/>
      <c r="GW356" s="1321"/>
      <c r="GX356" s="1321"/>
      <c r="GY356" s="1321"/>
      <c r="GZ356" s="1321"/>
      <c r="HA356" s="1321"/>
      <c r="HB356" s="1321"/>
      <c r="HC356" s="1321"/>
      <c r="HD356" s="1321"/>
      <c r="HE356" s="1321"/>
      <c r="HF356" s="1321"/>
      <c r="HG356" s="1321"/>
      <c r="HH356" s="1321"/>
      <c r="HI356" s="1321"/>
      <c r="HJ356" s="1321"/>
      <c r="HK356" s="1321"/>
      <c r="HL356" s="1321"/>
      <c r="HM356" s="1321"/>
      <c r="HN356" s="1321"/>
      <c r="HO356" s="1321"/>
      <c r="HP356" s="1321"/>
      <c r="HQ356" s="1321"/>
      <c r="HR356" s="1321"/>
      <c r="HS356" s="1321"/>
      <c r="HT356" s="1321"/>
      <c r="HU356" s="1321"/>
      <c r="HV356" s="1321"/>
      <c r="HW356" s="1321"/>
      <c r="HX356" s="1321"/>
      <c r="HY356" s="1321"/>
      <c r="HZ356" s="1321"/>
      <c r="IA356" s="1321"/>
      <c r="IB356" s="1321"/>
      <c r="IC356" s="1321"/>
      <c r="ID356" s="1321"/>
      <c r="IE356" s="1321"/>
      <c r="IF356" s="1321"/>
      <c r="IG356" s="1321"/>
      <c r="IH356" s="1321"/>
      <c r="II356" s="1321"/>
      <c r="IJ356" s="1321"/>
      <c r="IK356" s="1321"/>
      <c r="IL356" s="1321"/>
      <c r="IM356" s="1321"/>
      <c r="IN356" s="1368"/>
    </row>
    <row r="357" spans="1:248" ht="12.75" customHeight="1" x14ac:dyDescent="0.2">
      <c r="A357" s="1319"/>
      <c r="B357" s="1321"/>
      <c r="C357" s="1321"/>
      <c r="D357" s="1321"/>
      <c r="E357" s="1321"/>
      <c r="F357" s="1321"/>
      <c r="G357" s="1321"/>
      <c r="H357" s="1321"/>
      <c r="I357" s="1321"/>
      <c r="J357" s="1321"/>
      <c r="K357" s="1321"/>
      <c r="L357" s="1321"/>
      <c r="M357" s="1321"/>
      <c r="N357" s="1321"/>
      <c r="O357" s="1321"/>
      <c r="P357" s="1321"/>
      <c r="Q357" s="1321"/>
      <c r="R357" s="1321"/>
      <c r="S357" s="1321"/>
      <c r="T357" s="1321"/>
      <c r="U357" s="1321"/>
      <c r="V357" s="1321"/>
      <c r="W357" s="1321"/>
      <c r="X357" s="1321"/>
      <c r="Y357" s="1321"/>
      <c r="Z357" s="1321"/>
      <c r="AA357" s="1321"/>
      <c r="AB357" s="1321"/>
      <c r="AC357" s="1321"/>
      <c r="AD357" s="1321"/>
      <c r="AE357" s="1321"/>
      <c r="AF357" s="1321"/>
      <c r="AG357" s="1321"/>
      <c r="AH357" s="1321"/>
      <c r="AI357" s="1321"/>
      <c r="AJ357" s="1321"/>
      <c r="AK357" s="1321"/>
      <c r="AL357" s="1321"/>
      <c r="AM357" s="1321"/>
      <c r="AN357" s="1321"/>
      <c r="AO357" s="1321"/>
      <c r="AP357" s="1321"/>
      <c r="AQ357" s="1321"/>
      <c r="AR357" s="1321"/>
      <c r="AS357" s="1321"/>
      <c r="AT357" s="1321"/>
      <c r="AU357" s="1321"/>
      <c r="AV357" s="1321"/>
      <c r="AW357" s="1321"/>
      <c r="AX357" s="1321"/>
      <c r="AY357" s="1321"/>
      <c r="AZ357" s="1321"/>
      <c r="BA357" s="1321"/>
      <c r="BB357" s="1075" t="str">
        <f t="shared" si="81"/>
        <v>Haricot vert</v>
      </c>
      <c r="BC357" s="1269">
        <f t="array" ref="BC357">SUM((IF(QualitéAlimentsVeauxMâles_0_3_mois=BONNE,VLOOKUP("Haricot vert",AlimentsRationBovinsMâles,8,FALSE),0)+(IF(QualitéAlimentsVeauxFemelles_0_3_mois=BONNE,VLOOKUP("Haricot vert",AlimentsRationBovinsFemelles,8,FALSE),0)+(IF(QualitéAlimentsVeauxMâles_3_6_mois=BONNE,VLOOKUP("Haricot vert",AlimentsRationBovinsMâles,7,FALSE),0)+(IF(QualitéAlimentsVeauxFemelles_3_6_mois=BONNE,VLOOKUP("Haricot vert",AlimentsRationBovinsFemelles,7,FALSE),0)+(IF(QualitéAlimentsVeauxMâles_6_12_mois=BONNE,VLOOKUP("Haricot vert",AlimentsRationBovinsMâles,6,FALSE),0)+(IF(QualitéAlimentsVeauxFemelles_6_12_mois=BONNE,VLOOKUP("Haricot vert",AlimentsRationBovinsFemelles,6,FALSE),0)+(IF(QualitéAlimentsTaurillons_12_18_mois=BONNE,VLOOKUP("Haricot vert",AlimentsRationBovinsMâles,5,FALSE),0)+(IF(QualitéAlimentsGénisses_12_18_mois=BONNE,VLOOKUP("Haricot vert",AlimentsRationBovinsFemelles,5,FALSE),0)+(IF(QualitéAlimentsTaurillons_18_24_mois=BONNE,VLOOKUP("Haricot vert",AlimentsRationBovinsMâles,4,FALSE),0)+(IF(QualitéAlimentsGénisses_18_24_mois=BONNE,VLOOKUP("Haricot vert",AlimentsRationBovinsFemelles,4,FALSE),0)+(IF(QualitéAlimentsTaurillons_24_36_mois=BONNE,VLOOKUP("Haricot vert",AlimentsRationBovinsMâles,3,FALSE),0)+(IF(QualitéAlimentsGénisses_24_36_mois=BONNE,VLOOKUP("Haricot vert",AlimentsRationBovinsFemelles,3,FALSE),0)+(IF(QualitéAlimentsTaureaux=BONNE,VLOOKUP("Haricot vert",AlimentsRationBovinsMâles,2,FALSE),0)+(IF(QualitéAlimentsVaches=BONNE,VLOOKUP("Haricot vert",AlimentsRationBovinsFemelles,2,FALSE),0))))))))))))))))</f>
        <v>0</v>
      </c>
      <c r="BD357" s="1269">
        <f t="array" ref="BD357">SUM((IF(QualitéAlimentsVeauxMâles_0_3_mois=MOYENNE,VLOOKUP("Haricot vert",AlimentsRationBovinsMâles,8,FALSE),0)+(IF(QualitéAlimentsVeauxFemelles_0_3_mois=MOYENNE,VLOOKUP("Haricot vert",AlimentsRationBovinsFemelles,8,FALSE),0)+(IF(QualitéAlimentsVeauxMâles_3_6_mois=MOYENNE,VLOOKUP("Haricot vert",AlimentsRationBovinsMâles,7,FALSE),0)+(IF(QualitéAlimentsVeauxFemelles_3_6_mois=MOYENNE,VLOOKUP("Haricot vert",AlimentsRationBovinsFemelles,7,FALSE),0)+(IF(QualitéAlimentsVeauxMâles_6_12_mois=MOYENNE,VLOOKUP("Haricot vert",AlimentsRationBovinsMâles,6,FALSE),0)+(IF(QualitéAlimentsVeauxFemelles_6_12_mois=MOYENNE,VLOOKUP("Haricot vert",AlimentsRationBovinsFemelles,6,FALSE),0)+(IF(QualitéAlimentsTaurillons_12_18_mois=MOYENNE,VLOOKUP("Haricot vert",AlimentsRationBovinsMâles,5,FALSE),0)+(IF(QualitéAlimentsGénisses_12_18_mois=MOYENNE,VLOOKUP("Haricot vert",AlimentsRationBovinsFemelles,5,FALSE),0)+(IF(QualitéAlimentsTaurillons_18_24_mois=MOYENNE,VLOOKUP("Haricot vert",AlimentsRationBovinsMâles,4,FALSE),0)+(IF(QualitéAlimentsGénisses_18_24_mois=MOYENNE,VLOOKUP("Haricot vert",AlimentsRationBovinsFemelles,4,FALSE),0)+(IF(QualitéAlimentsTaurillons_24_36_mois=MOYENNE,VLOOKUP("Haricot vert",AlimentsRationBovinsMâles,3,FALSE),0)+(IF(QualitéAlimentsGénisses_24_36_mois=MOYENNE,VLOOKUP("Haricot vert",AlimentsRationBovinsFemelles,3,FALSE),0)+(IF(QualitéAlimentsTaureaux=MOYENNE,VLOOKUP("Haricot vert",AlimentsRationBovinsMâles,2,FALSE),0)+(IF(QualitéAlimentsVaches=MOYENNE,VLOOKUP("Haricot vert",AlimentsRationBovinsFemelles,2,FALSE),0))))))))))))))))</f>
        <v>0</v>
      </c>
      <c r="BE357" s="1269">
        <f t="array" ref="BE357">SUM((IF(QualitéAlimentsVeauxMâles_0_3_mois=MAUVAISE,VLOOKUP("Haricot vert",AlimentsRationBovinsMâles,8,FALSE),0)+(IF(QualitéAlimentsVeauxFemelles_0_3_mois=MAUVAISE,VLOOKUP("Haricot vert",AlimentsRationBovinsFemelles,8,FALSE),0)+(IF(QualitéAlimentsVeauxMâles_3_6_mois=MAUVAISE,VLOOKUP("Haricot vert",AlimentsRationBovinsMâles,7,FALSE),0)+(IF(QualitéAlimentsVeauxFemelles_3_6_mois=MAUVAISE,VLOOKUP("Haricot vert",AlimentsRationBovinsFemelles,7,FALSE),0)+(IF(QualitéAlimentsVeauxMâles_6_12_mois=MAUVAISE,VLOOKUP("Haricot vert",AlimentsRationBovinsMâles,6,FALSE),0)+(IF(QualitéAlimentsVeauxFemelles_6_12_mois=MAUVAISE,VLOOKUP("Haricot vert",AlimentsRationBovinsFemelles,6,FALSE),0)+(IF(QualitéAlimentsTaurillons_12_18_mois=MAUVAISE,VLOOKUP("Haricot vert",AlimentsRationBovinsMâles,5,FALSE),0)+(IF(QualitéAlimentsGénisses_12_18_mois=MAUVAISE,VLOOKUP("Haricot vert",AlimentsRationBovinsFemelles,5,FALSE),0)+(IF(QualitéAlimentsTaurillons_18_24_mois=MAUVAISE,VLOOKUP("Haricot vert",AlimentsRationBovinsMâles,4,FALSE),0)+(IF(QualitéAlimentsGénisses_18_24_mois=MAUVAISE,VLOOKUP("Haricot vert",AlimentsRationBovinsFemelles,4,FALSE),0)+(IF(QualitéAlimentsTaurillons_24_36_mois=MAUVAISE,VLOOKUP("Haricot vert",AlimentsRationBovinsMâles,3,FALSE),0)+(IF(QualitéAlimentsGénisses_24_36_mois=MAUVAISE,VLOOKUP("Haricot vert",AlimentsRationBovinsFemelles,3,FALSE),0)+(IF(QualitéAlimentsTaureaux=MAUVAISE,VLOOKUP("Haricot vert",AlimentsRationBovinsMâles,2,FALSE),0)+(IF(QualitéAlimentsVaches=MAUVAISE,VLOOKUP("Haricot vert",AlimentsRationBovinsFemelles,2,FALSE),0))))))))))))))))</f>
        <v>0</v>
      </c>
      <c r="BF357" s="1321"/>
      <c r="BG357" s="1321"/>
      <c r="BH357" s="1321"/>
      <c r="BI357" s="1321"/>
      <c r="BJ357" s="1321"/>
      <c r="BK357" s="1345"/>
      <c r="BL357" s="1345"/>
      <c r="BM357" s="1346"/>
      <c r="BN357" s="1321"/>
      <c r="BO357" s="1321"/>
      <c r="BP357" s="1321"/>
      <c r="BQ357" s="1321"/>
      <c r="BR357" s="1321"/>
      <c r="BS357" s="1321"/>
      <c r="BT357" s="1321"/>
      <c r="BU357" s="1321"/>
      <c r="BV357" s="1345"/>
      <c r="BW357" s="1345"/>
      <c r="BX357" s="1321"/>
      <c r="BY357" s="1321"/>
      <c r="BZ357" s="1321"/>
      <c r="CA357" s="1321"/>
      <c r="CB357" s="1321"/>
      <c r="CC357" s="1345"/>
      <c r="CD357" s="1345"/>
      <c r="CE357" s="1345"/>
      <c r="CF357" s="1345"/>
      <c r="CG357" s="1345"/>
      <c r="CH357" s="1321"/>
      <c r="CI357" s="1321"/>
      <c r="CJ357" s="1321"/>
      <c r="CK357" s="1321"/>
      <c r="CL357" s="1321"/>
      <c r="CM357" s="1321"/>
      <c r="CN357" s="1321"/>
      <c r="CO357" s="1321"/>
      <c r="CP357" s="1321"/>
      <c r="CQ357" s="1321"/>
      <c r="CR357" s="1321"/>
      <c r="CS357" s="1321"/>
      <c r="CT357" s="1321"/>
      <c r="CU357" s="1321"/>
      <c r="CV357" s="1321"/>
      <c r="CW357" s="1321"/>
      <c r="CX357" s="1321"/>
      <c r="CY357" s="1321"/>
      <c r="CZ357" s="1321"/>
      <c r="DA357" s="1321"/>
      <c r="DB357" s="1321"/>
      <c r="DC357" s="1321"/>
      <c r="DD357" s="1321"/>
      <c r="DE357" s="1321"/>
      <c r="DF357" s="1321"/>
      <c r="DG357" s="1321"/>
      <c r="DH357" s="1321"/>
      <c r="DI357" s="1321"/>
      <c r="DJ357" s="1321"/>
      <c r="DK357" s="1321"/>
      <c r="DL357" s="1321"/>
      <c r="DM357" s="1321"/>
      <c r="DN357" s="1321"/>
      <c r="DO357" s="1321"/>
      <c r="DP357" s="1321"/>
      <c r="DQ357" s="1321"/>
      <c r="DR357" s="1321"/>
      <c r="DS357" s="1321"/>
      <c r="DT357" s="1346"/>
      <c r="DU357" s="1321"/>
      <c r="DV357" s="1321"/>
      <c r="DW357" s="1321"/>
      <c r="DX357" s="1321"/>
      <c r="DY357" s="1321"/>
      <c r="DZ357" s="1321"/>
      <c r="EA357" s="1321"/>
      <c r="EB357" s="1321"/>
      <c r="EC357" s="1345"/>
      <c r="ED357" s="1345"/>
      <c r="EE357" s="1321"/>
      <c r="EF357" s="1321"/>
      <c r="EG357" s="1321"/>
      <c r="EH357" s="1321"/>
      <c r="EI357" s="1321"/>
      <c r="EJ357" s="1321"/>
      <c r="EK357" s="1345"/>
      <c r="EL357" s="1321"/>
      <c r="EM357" s="1321"/>
      <c r="EN357" s="1321"/>
      <c r="EO357" s="1321"/>
      <c r="EP357" s="1321"/>
      <c r="EQ357" s="1321"/>
      <c r="ER357" s="1345"/>
      <c r="ES357" s="1321"/>
      <c r="ET357" s="1321"/>
      <c r="EU357" s="1321"/>
      <c r="EV357" s="1321"/>
      <c r="EW357" s="1321"/>
      <c r="EX357" s="1321"/>
      <c r="EY357" s="1321"/>
      <c r="EZ357" s="1345"/>
      <c r="FA357" s="1345"/>
      <c r="FB357" s="1321"/>
      <c r="FC357" s="1321"/>
      <c r="FD357" s="1321"/>
      <c r="FE357" s="1321"/>
      <c r="FF357" s="1321"/>
      <c r="FG357" s="1321"/>
      <c r="FH357" s="1321"/>
      <c r="FI357" s="1345"/>
      <c r="FJ357" s="1345"/>
      <c r="FK357" s="1345"/>
      <c r="FL357" s="1321"/>
      <c r="FM357" s="1321"/>
      <c r="FN357" s="1321"/>
      <c r="FO357" s="1321"/>
      <c r="FP357" s="1321"/>
      <c r="FQ357" s="1321"/>
      <c r="FR357" s="1321"/>
      <c r="FS357" s="1345"/>
      <c r="FT357" s="1345"/>
      <c r="FU357" s="1345"/>
      <c r="FV357" s="1321"/>
      <c r="FW357" s="1321"/>
      <c r="FX357" s="1321"/>
      <c r="FY357" s="1321"/>
      <c r="FZ357" s="1345"/>
      <c r="GA357" s="1321"/>
      <c r="GB357" s="1321"/>
      <c r="GC357" s="1321"/>
      <c r="GD357" s="1321"/>
      <c r="GE357" s="1321"/>
      <c r="GF357" s="1321" t="s">
        <v>1349</v>
      </c>
      <c r="GG357" s="1321" t="s">
        <v>1349</v>
      </c>
      <c r="GH357" s="1321" t="s">
        <v>1349</v>
      </c>
      <c r="GI357" s="1321" t="s">
        <v>1349</v>
      </c>
      <c r="GJ357" s="1321" t="s">
        <v>1349</v>
      </c>
      <c r="GK357" s="1321" t="s">
        <v>1349</v>
      </c>
      <c r="GL357" s="1321" t="s">
        <v>1349</v>
      </c>
      <c r="GM357" s="1321" t="s">
        <v>1349</v>
      </c>
      <c r="GN357" s="1321" t="s">
        <v>1349</v>
      </c>
      <c r="GO357" s="1321" t="s">
        <v>1349</v>
      </c>
      <c r="GP357" s="1321" t="s">
        <v>1349</v>
      </c>
      <c r="GQ357" s="1321" t="s">
        <v>1349</v>
      </c>
      <c r="GR357" s="1321" t="s">
        <v>1349</v>
      </c>
      <c r="GS357" s="1321" t="s">
        <v>1349</v>
      </c>
      <c r="GT357" s="1321" t="s">
        <v>1349</v>
      </c>
      <c r="GU357" s="1321" t="s">
        <v>1349</v>
      </c>
      <c r="GV357" s="1321"/>
      <c r="GW357" s="1321"/>
      <c r="GX357" s="1321"/>
      <c r="GY357" s="1321"/>
      <c r="GZ357" s="1321"/>
      <c r="HA357" s="1321"/>
      <c r="HB357" s="1321"/>
      <c r="HC357" s="1321"/>
      <c r="HD357" s="1321"/>
      <c r="HE357" s="1321"/>
      <c r="HF357" s="1321"/>
      <c r="HG357" s="1321"/>
      <c r="HH357" s="1321"/>
      <c r="HI357" s="1321"/>
      <c r="HJ357" s="1321"/>
      <c r="HK357" s="1321"/>
      <c r="HL357" s="1321"/>
      <c r="HM357" s="1321"/>
      <c r="HN357" s="1321"/>
      <c r="HO357" s="1321"/>
      <c r="HP357" s="1321"/>
      <c r="HQ357" s="1321"/>
      <c r="HR357" s="1321"/>
      <c r="HS357" s="1321"/>
      <c r="HT357" s="1321"/>
      <c r="HU357" s="1321"/>
      <c r="HV357" s="1321"/>
      <c r="HW357" s="1321"/>
      <c r="HX357" s="1321"/>
      <c r="HY357" s="1321"/>
      <c r="HZ357" s="1321"/>
      <c r="IA357" s="1321"/>
      <c r="IB357" s="1321"/>
      <c r="IC357" s="1321"/>
      <c r="ID357" s="1321"/>
      <c r="IE357" s="1321"/>
      <c r="IF357" s="1321"/>
      <c r="IG357" s="1321"/>
      <c r="IH357" s="1321"/>
      <c r="II357" s="1321"/>
      <c r="IJ357" s="1321"/>
      <c r="IK357" s="1321"/>
      <c r="IL357" s="1321"/>
      <c r="IM357" s="1321"/>
      <c r="IN357" s="1368"/>
    </row>
    <row r="358" spans="1:248" ht="12.75" customHeight="1" x14ac:dyDescent="0.2">
      <c r="A358" s="1319"/>
      <c r="B358" s="1321"/>
      <c r="C358" s="1321"/>
      <c r="D358" s="1321"/>
      <c r="E358" s="1321"/>
      <c r="F358" s="1321"/>
      <c r="G358" s="1321"/>
      <c r="H358" s="1321"/>
      <c r="I358" s="1321"/>
      <c r="J358" s="1321"/>
      <c r="K358" s="1321"/>
      <c r="L358" s="1321"/>
      <c r="M358" s="1321"/>
      <c r="N358" s="1321"/>
      <c r="O358" s="1321"/>
      <c r="P358" s="1321"/>
      <c r="Q358" s="1321"/>
      <c r="R358" s="1321"/>
      <c r="S358" s="1321"/>
      <c r="T358" s="1321"/>
      <c r="U358" s="1321"/>
      <c r="V358" s="1321"/>
      <c r="W358" s="1321"/>
      <c r="X358" s="1321"/>
      <c r="Y358" s="1321"/>
      <c r="Z358" s="1321"/>
      <c r="AA358" s="1321"/>
      <c r="AB358" s="1321"/>
      <c r="AC358" s="1321"/>
      <c r="AD358" s="1321"/>
      <c r="AE358" s="1321"/>
      <c r="AF358" s="1321"/>
      <c r="AG358" s="1321"/>
      <c r="AH358" s="1321"/>
      <c r="AI358" s="1321"/>
      <c r="AJ358" s="1321"/>
      <c r="AK358" s="1321"/>
      <c r="AL358" s="1321"/>
      <c r="AM358" s="1321"/>
      <c r="AN358" s="1321"/>
      <c r="AO358" s="1321"/>
      <c r="AP358" s="1321"/>
      <c r="AQ358" s="1321"/>
      <c r="AR358" s="1321"/>
      <c r="AS358" s="1321"/>
      <c r="AT358" s="1321"/>
      <c r="AU358" s="1321"/>
      <c r="AV358" s="1321"/>
      <c r="AW358" s="1321"/>
      <c r="AX358" s="1321"/>
      <c r="AY358" s="1321"/>
      <c r="AZ358" s="1321"/>
      <c r="BA358" s="1321"/>
      <c r="BB358" s="1076" t="str">
        <f t="shared" si="81"/>
        <v>Lentille</v>
      </c>
      <c r="BC358" s="1267">
        <f t="array" ref="BC358">SUM((IF(QualitéAlimentsVeauxMâles_0_3_mois=BONNE,VLOOKUP("Lentille",AlimentsRationBovinsMâles,8,FALSE),0)+(IF(QualitéAlimentsVeauxFemelles_0_3_mois=BONNE,VLOOKUP("Lentille",AlimentsRationBovinsFemelles,8,FALSE),0)+(IF(QualitéAlimentsVeauxMâles_3_6_mois=BONNE,VLOOKUP("Lentille",AlimentsRationBovinsMâles,7,FALSE),0)+(IF(QualitéAlimentsVeauxFemelles_3_6_mois=BONNE,VLOOKUP("Lentille",AlimentsRationBovinsFemelles,7,FALSE),0)+(IF(QualitéAlimentsVeauxMâles_6_12_mois=BONNE,VLOOKUP("Lentille",AlimentsRationBovinsMâles,6,FALSE),0)+(IF(QualitéAlimentsVeauxFemelles_6_12_mois=BONNE,VLOOKUP("Lentille",AlimentsRationBovinsFemelles,6,FALSE),0)+(IF(QualitéAlimentsTaurillons_12_18_mois=BONNE,VLOOKUP("Lentille",AlimentsRationBovinsMâles,5,FALSE),0)+(IF(QualitéAlimentsGénisses_12_18_mois=BONNE,VLOOKUP("Lentille",AlimentsRationBovinsFemelles,5,FALSE),0)+(IF(QualitéAlimentsTaurillons_18_24_mois=BONNE,VLOOKUP("Lentille",AlimentsRationBovinsMâles,4,FALSE),0)+(IF(QualitéAlimentsGénisses_18_24_mois=BONNE,VLOOKUP("Lentille",AlimentsRationBovinsFemelles,4,FALSE),0)+(IF(QualitéAlimentsTaurillons_24_36_mois=BONNE,VLOOKUP("Lentille",AlimentsRationBovinsMâles,3,FALSE),0)+(IF(QualitéAlimentsGénisses_24_36_mois=BONNE,VLOOKUP("Lentille",AlimentsRationBovinsFemelles,3,FALSE),0)+(IF(QualitéAlimentsTaureaux=BONNE,VLOOKUP("Lentille",AlimentsRationBovinsMâles,2,FALSE),0)+(IF(QualitéAlimentsVaches=BONNE,VLOOKUP("Lentille",AlimentsRationBovinsFemelles,2,FALSE),0))))))))))))))))</f>
        <v>0</v>
      </c>
      <c r="BD358" s="1267">
        <f t="array" ref="BD358">SUM((IF(QualitéAlimentsVeauxMâles_0_3_mois=MOYENNE,VLOOKUP("Lentille",AlimentsRationBovinsMâles,8,FALSE),0)+(IF(QualitéAlimentsVeauxFemelles_0_3_mois=MOYENNE,VLOOKUP("Lentille",AlimentsRationBovinsFemelles,8,FALSE),0)+(IF(QualitéAlimentsVeauxMâles_3_6_mois=MOYENNE,VLOOKUP("Lentille",AlimentsRationBovinsMâles,7,FALSE),0)+(IF(QualitéAlimentsVeauxFemelles_3_6_mois=MOYENNE,VLOOKUP("Lentille",AlimentsRationBovinsFemelles,7,FALSE),0)+(IF(QualitéAlimentsVeauxMâles_6_12_mois=MOYENNE,VLOOKUP("Lentille",AlimentsRationBovinsMâles,6,FALSE),0)+(IF(QualitéAlimentsVeauxFemelles_6_12_mois=MOYENNE,VLOOKUP("Lentille",AlimentsRationBovinsFemelles,6,FALSE),0)+(IF(QualitéAlimentsTaurillons_12_18_mois=MOYENNE,VLOOKUP("Lentille",AlimentsRationBovinsMâles,5,FALSE),0)+(IF(QualitéAlimentsGénisses_12_18_mois=MOYENNE,VLOOKUP("Lentille",AlimentsRationBovinsFemelles,5,FALSE),0)+(IF(QualitéAlimentsTaurillons_18_24_mois=MOYENNE,VLOOKUP("Lentille",AlimentsRationBovinsMâles,4,FALSE),0)+(IF(QualitéAlimentsGénisses_18_24_mois=MOYENNE,VLOOKUP("Lentille",AlimentsRationBovinsFemelles,4,FALSE),0)+(IF(QualitéAlimentsTaurillons_24_36_mois=MOYENNE,VLOOKUP("Lentille",AlimentsRationBovinsMâles,3,FALSE),0)+(IF(QualitéAlimentsGénisses_24_36_mois=MOYENNE,VLOOKUP("Lentille",AlimentsRationBovinsFemelles,3,FALSE),0)+(IF(QualitéAlimentsTaureaux=MOYENNE,VLOOKUP("Lentille",AlimentsRationBovinsMâles,2,FALSE),0)+(IF(QualitéAlimentsVaches=MOYENNE,VLOOKUP("Lentille",AlimentsRationBovinsFemelles,2,FALSE),0))))))))))))))))</f>
        <v>0</v>
      </c>
      <c r="BE358" s="1267">
        <f t="array" ref="BE358">SUM((IF(QualitéAlimentsVeauxMâles_0_3_mois=MAUVAISE,VLOOKUP("Lentille",AlimentsRationBovinsMâles,8,FALSE),0)+(IF(QualitéAlimentsVeauxFemelles_0_3_mois=MAUVAISE,VLOOKUP("Lentille",AlimentsRationBovinsFemelles,8,FALSE),0)+(IF(QualitéAlimentsVeauxMâles_3_6_mois=MAUVAISE,VLOOKUP("Lentille",AlimentsRationBovinsMâles,7,FALSE),0)+(IF(QualitéAlimentsVeauxFemelles_3_6_mois=MAUVAISE,VLOOKUP("Lentille",AlimentsRationBovinsFemelles,7,FALSE),0)+(IF(QualitéAlimentsVeauxMâles_6_12_mois=MAUVAISE,VLOOKUP("Lentille",AlimentsRationBovinsMâles,6,FALSE),0)+(IF(QualitéAlimentsVeauxFemelles_6_12_mois=MAUVAISE,VLOOKUP("Lentille",AlimentsRationBovinsFemelles,6,FALSE),0)+(IF(QualitéAlimentsTaurillons_12_18_mois=MAUVAISE,VLOOKUP("Lentille",AlimentsRationBovinsMâles,5,FALSE),0)+(IF(QualitéAlimentsGénisses_12_18_mois=MAUVAISE,VLOOKUP("Lentille",AlimentsRationBovinsFemelles,5,FALSE),0)+(IF(QualitéAlimentsTaurillons_18_24_mois=MAUVAISE,VLOOKUP("Lentille",AlimentsRationBovinsMâles,4,FALSE),0)+(IF(QualitéAlimentsGénisses_18_24_mois=MAUVAISE,VLOOKUP("Lentille",AlimentsRationBovinsFemelles,4,FALSE),0)+(IF(QualitéAlimentsTaurillons_24_36_mois=MAUVAISE,VLOOKUP("Lentille",AlimentsRationBovinsMâles,3,FALSE),0)+(IF(QualitéAlimentsGénisses_24_36_mois=MAUVAISE,VLOOKUP("Lentille",AlimentsRationBovinsFemelles,3,FALSE),0)+(IF(QualitéAlimentsTaureaux=MAUVAISE,VLOOKUP("Lentille",AlimentsRationBovinsMâles,2,FALSE),0)+(IF(QualitéAlimentsVaches=MAUVAISE,VLOOKUP("Lentille",AlimentsRationBovinsFemelles,2,FALSE),0))))))))))))))))</f>
        <v>0</v>
      </c>
      <c r="BF358" s="1321"/>
      <c r="BG358" s="1321"/>
      <c r="BH358" s="1321"/>
      <c r="BI358" s="1321"/>
      <c r="BJ358" s="1321"/>
      <c r="BK358" s="1345"/>
      <c r="BL358" s="1345"/>
      <c r="BM358" s="1346"/>
      <c r="BN358" s="1321"/>
      <c r="BO358" s="1321"/>
      <c r="BP358" s="1321"/>
      <c r="BQ358" s="1321"/>
      <c r="BR358" s="1321"/>
      <c r="BS358" s="1321"/>
      <c r="BT358" s="1321"/>
      <c r="BU358" s="1321"/>
      <c r="BV358" s="1345"/>
      <c r="BW358" s="1345"/>
      <c r="BX358" s="1321"/>
      <c r="BY358" s="1321"/>
      <c r="BZ358" s="1321"/>
      <c r="CA358" s="1321"/>
      <c r="CB358" s="1321"/>
      <c r="CC358" s="1345"/>
      <c r="CD358" s="1345"/>
      <c r="CE358" s="1345"/>
      <c r="CF358" s="1345"/>
      <c r="CG358" s="1321"/>
      <c r="CH358" s="1321"/>
      <c r="CI358" s="1321"/>
      <c r="CJ358" s="1321"/>
      <c r="CK358" s="1321"/>
      <c r="CL358" s="1321"/>
      <c r="CM358" s="1321"/>
      <c r="CN358" s="1321"/>
      <c r="CO358" s="1321"/>
      <c r="CP358" s="1321"/>
      <c r="CQ358" s="1321"/>
      <c r="CR358" s="1321"/>
      <c r="CS358" s="1321"/>
      <c r="CT358" s="1321"/>
      <c r="CU358" s="1321"/>
      <c r="CV358" s="1321"/>
      <c r="CW358" s="1321"/>
      <c r="CX358" s="1321"/>
      <c r="CY358" s="1321"/>
      <c r="CZ358" s="1321"/>
      <c r="DA358" s="1321"/>
      <c r="DB358" s="1321"/>
      <c r="DC358" s="1321"/>
      <c r="DD358" s="1321"/>
      <c r="DE358" s="1321"/>
      <c r="DF358" s="1321"/>
      <c r="DG358" s="1321"/>
      <c r="DH358" s="1321"/>
      <c r="DI358" s="1321"/>
      <c r="DJ358" s="1321"/>
      <c r="DK358" s="1321"/>
      <c r="DL358" s="1321"/>
      <c r="DM358" s="1321"/>
      <c r="DN358" s="1321"/>
      <c r="DO358" s="1321"/>
      <c r="DP358" s="1321"/>
      <c r="DQ358" s="1321"/>
      <c r="DR358" s="1321"/>
      <c r="DS358" s="1321"/>
      <c r="DT358" s="1321"/>
      <c r="DU358" s="1321"/>
      <c r="DV358" s="1321"/>
      <c r="DW358" s="1321"/>
      <c r="DX358" s="1321"/>
      <c r="DY358" s="1321"/>
      <c r="DZ358" s="1321"/>
      <c r="EA358" s="1321"/>
      <c r="EB358" s="1345"/>
      <c r="EC358" s="1345"/>
      <c r="ED358" s="1321"/>
      <c r="EE358" s="1321"/>
      <c r="EF358" s="1321"/>
      <c r="EG358" s="1321"/>
      <c r="EH358" s="1321"/>
      <c r="EI358" s="1321"/>
      <c r="EJ358" s="1321"/>
      <c r="EK358" s="1345"/>
      <c r="EL358" s="1321"/>
      <c r="EM358" s="1321"/>
      <c r="EN358" s="1321"/>
      <c r="EO358" s="1321"/>
      <c r="EP358" s="1321"/>
      <c r="EQ358" s="1321"/>
      <c r="ER358" s="1345"/>
      <c r="ES358" s="1321"/>
      <c r="ET358" s="1321"/>
      <c r="EU358" s="1321"/>
      <c r="EV358" s="1321"/>
      <c r="EW358" s="1321"/>
      <c r="EX358" s="1321"/>
      <c r="EY358" s="1321"/>
      <c r="EZ358" s="1345"/>
      <c r="FA358" s="1321"/>
      <c r="FB358" s="1321"/>
      <c r="FC358" s="1321"/>
      <c r="FD358" s="1321"/>
      <c r="FE358" s="1321"/>
      <c r="FF358" s="1321"/>
      <c r="FG358" s="1321"/>
      <c r="FH358" s="1321"/>
      <c r="FI358" s="1345"/>
      <c r="FJ358" s="1345"/>
      <c r="FK358" s="1321"/>
      <c r="FL358" s="1321"/>
      <c r="FM358" s="1321"/>
      <c r="FN358" s="1321"/>
      <c r="FO358" s="1321"/>
      <c r="FP358" s="1321"/>
      <c r="FQ358" s="1321"/>
      <c r="FR358" s="1321"/>
      <c r="FS358" s="1345"/>
      <c r="FT358" s="1345"/>
      <c r="FU358" s="1321"/>
      <c r="FV358" s="1321"/>
      <c r="FW358" s="1321"/>
      <c r="FX358" s="1321"/>
      <c r="FY358" s="1345"/>
      <c r="FZ358" s="1321"/>
      <c r="GA358" s="1321"/>
      <c r="GB358" s="1321"/>
      <c r="GC358" s="1321"/>
      <c r="GD358" s="1321"/>
      <c r="GE358" s="1321" t="s">
        <v>1349</v>
      </c>
      <c r="GF358" s="1321" t="s">
        <v>1349</v>
      </c>
      <c r="GG358" s="1321" t="s">
        <v>1349</v>
      </c>
      <c r="GH358" s="1321" t="s">
        <v>1349</v>
      </c>
      <c r="GI358" s="1321" t="s">
        <v>1349</v>
      </c>
      <c r="GJ358" s="1321" t="s">
        <v>1349</v>
      </c>
      <c r="GK358" s="1321" t="s">
        <v>1349</v>
      </c>
      <c r="GL358" s="1321" t="s">
        <v>1349</v>
      </c>
      <c r="GM358" s="1321" t="s">
        <v>1349</v>
      </c>
      <c r="GN358" s="1321" t="s">
        <v>1349</v>
      </c>
      <c r="GO358" s="1321" t="s">
        <v>1349</v>
      </c>
      <c r="GP358" s="1321" t="s">
        <v>1349</v>
      </c>
      <c r="GQ358" s="1321" t="s">
        <v>1349</v>
      </c>
      <c r="GR358" s="1321" t="s">
        <v>1349</v>
      </c>
      <c r="GS358" s="1321" t="s">
        <v>1349</v>
      </c>
      <c r="GT358" s="1321" t="s">
        <v>1349</v>
      </c>
      <c r="GU358" s="1321"/>
      <c r="GV358" s="1321"/>
      <c r="GW358" s="1321"/>
      <c r="GX358" s="1321"/>
      <c r="GY358" s="1321"/>
      <c r="GZ358" s="1321"/>
      <c r="HA358" s="1321"/>
      <c r="HB358" s="1321"/>
      <c r="HC358" s="1321"/>
      <c r="HD358" s="1321"/>
      <c r="HE358" s="1321"/>
      <c r="HF358" s="1321"/>
      <c r="HG358" s="1321"/>
      <c r="HH358" s="1321"/>
      <c r="HI358" s="1321"/>
      <c r="HJ358" s="1321"/>
      <c r="HK358" s="1321"/>
      <c r="HL358" s="1321"/>
      <c r="HM358" s="1321"/>
      <c r="HN358" s="1321"/>
      <c r="HO358" s="1321"/>
      <c r="HP358" s="1321"/>
      <c r="HQ358" s="1321"/>
      <c r="HR358" s="1321"/>
      <c r="HS358" s="1321"/>
      <c r="HT358" s="1321"/>
      <c r="HU358" s="1321"/>
      <c r="HV358" s="1321"/>
      <c r="HW358" s="1321"/>
      <c r="HX358" s="1321"/>
      <c r="HY358" s="1321"/>
      <c r="HZ358" s="1321"/>
      <c r="IA358" s="1321"/>
      <c r="IB358" s="1321"/>
      <c r="IC358" s="1321"/>
      <c r="ID358" s="1321"/>
      <c r="IE358" s="1321"/>
      <c r="IF358" s="1321"/>
      <c r="IG358" s="1321"/>
      <c r="IH358" s="1321"/>
      <c r="II358" s="1321"/>
      <c r="IJ358" s="1321"/>
      <c r="IK358" s="1321"/>
      <c r="IL358" s="1321"/>
      <c r="IM358" s="1321"/>
      <c r="IN358" s="1368"/>
    </row>
    <row r="359" spans="1:248" ht="12.75" customHeight="1" x14ac:dyDescent="0.2">
      <c r="A359" s="1319"/>
      <c r="B359" s="1321"/>
      <c r="C359" s="1321"/>
      <c r="D359" s="1321"/>
      <c r="E359" s="1321"/>
      <c r="F359" s="1321"/>
      <c r="G359" s="1321"/>
      <c r="H359" s="1321"/>
      <c r="I359" s="1321"/>
      <c r="J359" s="1321"/>
      <c r="K359" s="1321"/>
      <c r="L359" s="1321"/>
      <c r="M359" s="1321"/>
      <c r="N359" s="1321"/>
      <c r="O359" s="1321"/>
      <c r="P359" s="1321"/>
      <c r="Q359" s="1321"/>
      <c r="R359" s="1321"/>
      <c r="S359" s="1321"/>
      <c r="T359" s="1321"/>
      <c r="U359" s="1321"/>
      <c r="V359" s="1321"/>
      <c r="W359" s="1321"/>
      <c r="X359" s="1321"/>
      <c r="Y359" s="1321"/>
      <c r="Z359" s="1321"/>
      <c r="AA359" s="1321"/>
      <c r="AB359" s="1321"/>
      <c r="AC359" s="1321"/>
      <c r="AD359" s="1321"/>
      <c r="AE359" s="1321"/>
      <c r="AF359" s="1321"/>
      <c r="AG359" s="1321"/>
      <c r="AH359" s="1321"/>
      <c r="AI359" s="1321"/>
      <c r="AJ359" s="1321"/>
      <c r="AK359" s="1321"/>
      <c r="AL359" s="1321"/>
      <c r="AM359" s="1321"/>
      <c r="AN359" s="1321"/>
      <c r="AO359" s="1321"/>
      <c r="AP359" s="1321"/>
      <c r="AQ359" s="1321"/>
      <c r="AR359" s="1321"/>
      <c r="AS359" s="1321"/>
      <c r="AT359" s="1321"/>
      <c r="AU359" s="1321"/>
      <c r="AV359" s="1321"/>
      <c r="AW359" s="1321"/>
      <c r="AX359" s="1321"/>
      <c r="AY359" s="1321"/>
      <c r="AZ359" s="1321"/>
      <c r="BA359" s="1321"/>
      <c r="BB359" s="1075" t="str">
        <f t="shared" si="81"/>
        <v>Maïs ensilé</v>
      </c>
      <c r="BC359" s="1269">
        <f t="array" ref="BC359">SUM((IF(QualitéAlimentsVeauxMâles_0_3_mois=BONNE,VLOOKUP("Maïs ensilé",AlimentsRationBovinsMâles,8,FALSE),0)+(IF(QualitéAlimentsVeauxFemelles_0_3_mois=BONNE,VLOOKUP("Maïs ensilé",AlimentsRationBovinsFemelles,8,FALSE),0)+(IF(QualitéAlimentsVeauxMâles_3_6_mois=BONNE,VLOOKUP("Maïs ensilé",AlimentsRationBovinsMâles,7,FALSE),0)+(IF(QualitéAlimentsVeauxFemelles_3_6_mois=BONNE,VLOOKUP("Maïs ensilé",AlimentsRationBovinsFemelles,7,FALSE),0)+(IF(QualitéAlimentsVeauxMâles_6_12_mois=BONNE,VLOOKUP("Maïs ensilé",AlimentsRationBovinsMâles,6,FALSE),0)+(IF(QualitéAlimentsVeauxFemelles_6_12_mois=BONNE,VLOOKUP("Maïs ensilé",AlimentsRationBovinsFemelles,6,FALSE),0)+(IF(QualitéAlimentsTaurillons_12_18_mois=BONNE,VLOOKUP("Maïs ensilé",AlimentsRationBovinsMâles,5,FALSE),0)+(IF(QualitéAlimentsGénisses_12_18_mois=BONNE,VLOOKUP("Maïs ensilé",AlimentsRationBovinsFemelles,5,FALSE),0)+(IF(QualitéAlimentsTaurillons_18_24_mois=BONNE,VLOOKUP("Maïs ensilé",AlimentsRationBovinsMâles,4,FALSE),0)+(IF(QualitéAlimentsGénisses_18_24_mois=BONNE,VLOOKUP("Maïs ensilé",AlimentsRationBovinsFemelles,4,FALSE),0)+(IF(QualitéAlimentsTaurillons_24_36_mois=BONNE,VLOOKUP("Maïs ensilé",AlimentsRationBovinsMâles,3,FALSE),0)+(IF(QualitéAlimentsGénisses_24_36_mois=BONNE,VLOOKUP("Maïs ensilé",AlimentsRationBovinsFemelles,3,FALSE),0)+(IF(QualitéAlimentsTaureaux=BONNE,VLOOKUP("Maïs ensilé",AlimentsRationBovinsMâles,2,FALSE),0)+(IF(QualitéAlimentsVaches=BONNE,VLOOKUP("Maïs ensilé",AlimentsRationBovinsFemelles,2,FALSE),0))))))))))))))))</f>
        <v>0</v>
      </c>
      <c r="BD359" s="1269">
        <f t="array" ref="BD359">SUM((IF(QualitéAlimentsVeauxMâles_0_3_mois=MOYENNE,VLOOKUP("Maïs ensilé",AlimentsRationBovinsMâles,8,FALSE),0)+(IF(QualitéAlimentsVeauxFemelles_0_3_mois=MOYENNE,VLOOKUP("Maïs ensilé",AlimentsRationBovinsFemelles,8,FALSE),0)+(IF(QualitéAlimentsVeauxMâles_3_6_mois=MOYENNE,VLOOKUP("Maïs ensilé",AlimentsRationBovinsMâles,7,FALSE),0)+(IF(QualitéAlimentsVeauxFemelles_3_6_mois=MOYENNE,VLOOKUP("Maïs ensilé",AlimentsRationBovinsFemelles,7,FALSE),0)+(IF(QualitéAlimentsVeauxMâles_6_12_mois=MOYENNE,VLOOKUP("Maïs ensilé",AlimentsRationBovinsMâles,6,FALSE),0)+(IF(QualitéAlimentsVeauxFemelles_6_12_mois=MOYENNE,VLOOKUP("Maïs ensilé",AlimentsRationBovinsFemelles,6,FALSE),0)+(IF(QualitéAlimentsTaurillons_12_18_mois=MOYENNE,VLOOKUP("Maïs ensilé",AlimentsRationBovinsMâles,5,FALSE),0)+(IF(QualitéAlimentsGénisses_12_18_mois=MOYENNE,VLOOKUP("Maïs ensilé",AlimentsRationBovinsFemelles,5,FALSE),0)+(IF(QualitéAlimentsTaurillons_18_24_mois=MOYENNE,VLOOKUP("Maïs ensilé",AlimentsRationBovinsMâles,4,FALSE),0)+(IF(QualitéAlimentsGénisses_18_24_mois=MOYENNE,VLOOKUP("Maïs ensilé",AlimentsRationBovinsFemelles,4,FALSE),0)+(IF(QualitéAlimentsTaurillons_24_36_mois=MOYENNE,VLOOKUP("Maïs ensilé",AlimentsRationBovinsMâles,3,FALSE),0)+(IF(QualitéAlimentsGénisses_24_36_mois=MOYENNE,VLOOKUP("Maïs ensilé",AlimentsRationBovinsFemelles,3,FALSE),0)+(IF(QualitéAlimentsTaureaux=MOYENNE,VLOOKUP("Maïs ensilé",AlimentsRationBovinsMâles,2,FALSE),0)+(IF(QualitéAlimentsVaches=MOYENNE,VLOOKUP("Maïs ensilé",AlimentsRationBovinsFemelles,2,FALSE),0))))))))))))))))</f>
        <v>0</v>
      </c>
      <c r="BE359" s="1269">
        <f t="array" ref="BE359">SUM((IF(QualitéAlimentsVeauxMâles_0_3_mois=MAUVAISE,VLOOKUP("Maïs ensilé",AlimentsRationBovinsMâles,8,FALSE),0)+(IF(QualitéAlimentsVeauxFemelles_0_3_mois=MAUVAISE,VLOOKUP("Maïs ensilé",AlimentsRationBovinsFemelles,8,FALSE),0)+(IF(QualitéAlimentsVeauxMâles_3_6_mois=MAUVAISE,VLOOKUP("Maïs ensilé",AlimentsRationBovinsMâles,7,FALSE),0)+(IF(QualitéAlimentsVeauxFemelles_3_6_mois=MAUVAISE,VLOOKUP("Maïs ensilé",AlimentsRationBovinsFemelles,7,FALSE),0)+(IF(QualitéAlimentsVeauxMâles_6_12_mois=MAUVAISE,VLOOKUP("Maïs ensilé",AlimentsRationBovinsMâles,6,FALSE),0)+(IF(QualitéAlimentsVeauxFemelles_6_12_mois=MAUVAISE,VLOOKUP("Maïs ensilé",AlimentsRationBovinsFemelles,6,FALSE),0)+(IF(QualitéAlimentsTaurillons_12_18_mois=MAUVAISE,VLOOKUP("Maïs ensilé",AlimentsRationBovinsMâles,5,FALSE),0)+(IF(QualitéAlimentsGénisses_12_18_mois=MAUVAISE,VLOOKUP("Maïs ensilé",AlimentsRationBovinsFemelles,5,FALSE),0)+(IF(QualitéAlimentsTaurillons_18_24_mois=MAUVAISE,VLOOKUP("Maïs ensilé",AlimentsRationBovinsMâles,4,FALSE),0)+(IF(QualitéAlimentsGénisses_18_24_mois=MAUVAISE,VLOOKUP("Maïs ensilé",AlimentsRationBovinsFemelles,4,FALSE),0)+(IF(QualitéAlimentsTaurillons_24_36_mois=MAUVAISE,VLOOKUP("Maïs ensilé",AlimentsRationBovinsMâles,3,FALSE),0)+(IF(QualitéAlimentsGénisses_24_36_mois=MAUVAISE,VLOOKUP("Maïs ensilé",AlimentsRationBovinsFemelles,3,FALSE),0)+(IF(QualitéAlimentsTaureaux=MAUVAISE,VLOOKUP("Maïs ensilé",AlimentsRationBovinsMâles,2,FALSE),0)+(IF(QualitéAlimentsVaches=MAUVAISE,VLOOKUP("Maïs ensilé",AlimentsRationBovinsFemelles,2,FALSE),0))))))))))))))))</f>
        <v>0</v>
      </c>
      <c r="BF359" s="1321"/>
      <c r="BG359" s="1321"/>
      <c r="BH359" s="1321"/>
      <c r="BI359" s="1321"/>
      <c r="BJ359" s="1321"/>
      <c r="BK359" s="1345"/>
      <c r="BL359" s="1345"/>
      <c r="BM359" s="1346"/>
      <c r="BN359" s="1321"/>
      <c r="BO359" s="1321"/>
      <c r="BP359" s="1321"/>
      <c r="BQ359" s="1321"/>
      <c r="BR359" s="1321"/>
      <c r="BS359" s="1321"/>
      <c r="BT359" s="1321"/>
      <c r="BU359" s="1321"/>
      <c r="BV359" s="1345"/>
      <c r="BW359" s="1345"/>
      <c r="BX359" s="1321"/>
      <c r="BY359" s="1321"/>
      <c r="BZ359" s="1321"/>
      <c r="CA359" s="1321"/>
      <c r="CB359" s="1321"/>
      <c r="CC359" s="1321"/>
      <c r="CD359" s="1345"/>
      <c r="CE359" s="1345"/>
      <c r="CF359" s="1321"/>
      <c r="CG359" s="1321"/>
      <c r="CH359" s="1321"/>
      <c r="CI359" s="1321"/>
      <c r="CJ359" s="1321"/>
      <c r="CK359" s="1321"/>
      <c r="CL359" s="1321"/>
      <c r="CM359" s="1321"/>
      <c r="CN359" s="1321"/>
      <c r="CO359" s="1321"/>
      <c r="CP359" s="1321"/>
      <c r="CQ359" s="1321"/>
      <c r="CR359" s="1321"/>
      <c r="CS359" s="1321"/>
      <c r="CT359" s="1321"/>
      <c r="CU359" s="1321"/>
      <c r="CV359" s="1321"/>
      <c r="CW359" s="1321"/>
      <c r="CX359" s="1321"/>
      <c r="CY359" s="1321"/>
      <c r="CZ359" s="1321"/>
      <c r="DA359" s="1321"/>
      <c r="DB359" s="1321"/>
      <c r="DC359" s="1321"/>
      <c r="DD359" s="1321"/>
      <c r="DE359" s="1321"/>
      <c r="DF359" s="1321"/>
      <c r="DG359" s="1321"/>
      <c r="DH359" s="1321"/>
      <c r="DI359" s="1321"/>
      <c r="DJ359" s="1321"/>
      <c r="DK359" s="1321"/>
      <c r="DL359" s="1321"/>
      <c r="DM359" s="1321"/>
      <c r="DN359" s="1321"/>
      <c r="DO359" s="1321"/>
      <c r="DP359" s="1321"/>
      <c r="DQ359" s="1321"/>
      <c r="DR359" s="1321"/>
      <c r="DS359" s="1321"/>
      <c r="DT359" s="1321"/>
      <c r="DU359" s="1321"/>
      <c r="DV359" s="1321"/>
      <c r="DW359" s="1321"/>
      <c r="DX359" s="1321"/>
      <c r="DY359" s="1321"/>
      <c r="DZ359" s="1345"/>
      <c r="EA359" s="1345"/>
      <c r="EB359" s="1321"/>
      <c r="EC359" s="1321"/>
      <c r="ED359" s="1321"/>
      <c r="EE359" s="1321"/>
      <c r="EF359" s="1321"/>
      <c r="EG359" s="1321"/>
      <c r="EH359" s="1321"/>
      <c r="EI359" s="1321"/>
      <c r="EJ359" s="1321"/>
      <c r="EK359" s="1345"/>
      <c r="EL359" s="1321"/>
      <c r="EM359" s="1321"/>
      <c r="EN359" s="1321"/>
      <c r="EO359" s="1321"/>
      <c r="EP359" s="1321"/>
      <c r="EQ359" s="1321"/>
      <c r="ER359" s="1345"/>
      <c r="ES359" s="1321"/>
      <c r="ET359" s="1321"/>
      <c r="EU359" s="1321"/>
      <c r="EV359" s="1321"/>
      <c r="EW359" s="1321"/>
      <c r="EX359" s="1321"/>
      <c r="EY359" s="1321"/>
      <c r="EZ359" s="1345"/>
      <c r="FA359" s="1321"/>
      <c r="FB359" s="1321"/>
      <c r="FC359" s="1321"/>
      <c r="FD359" s="1321"/>
      <c r="FE359" s="1321"/>
      <c r="FF359" s="1321"/>
      <c r="FG359" s="1321"/>
      <c r="FH359" s="1321"/>
      <c r="FI359" s="1345"/>
      <c r="FJ359" s="1321"/>
      <c r="FK359" s="1321"/>
      <c r="FL359" s="1321"/>
      <c r="FM359" s="1321"/>
      <c r="FN359" s="1321"/>
      <c r="FO359" s="1321"/>
      <c r="FP359" s="1321"/>
      <c r="FQ359" s="1321"/>
      <c r="FR359" s="1321"/>
      <c r="FS359" s="1345"/>
      <c r="FT359" s="1321"/>
      <c r="FU359" s="1321"/>
      <c r="FV359" s="1321"/>
      <c r="FW359" s="1345"/>
      <c r="FX359" s="1321"/>
      <c r="FY359" s="1321"/>
      <c r="FZ359" s="1321"/>
      <c r="GA359" s="1321"/>
      <c r="GB359" s="1321"/>
      <c r="GC359" s="1321" t="s">
        <v>1349</v>
      </c>
      <c r="GD359" s="1321" t="s">
        <v>1349</v>
      </c>
      <c r="GE359" s="1321" t="s">
        <v>1349</v>
      </c>
      <c r="GF359" s="1321" t="s">
        <v>1349</v>
      </c>
      <c r="GG359" s="1321" t="s">
        <v>1349</v>
      </c>
      <c r="GH359" s="1321" t="s">
        <v>1349</v>
      </c>
      <c r="GI359" s="1321" t="s">
        <v>1349</v>
      </c>
      <c r="GJ359" s="1321" t="s">
        <v>1349</v>
      </c>
      <c r="GK359" s="1321" t="s">
        <v>1349</v>
      </c>
      <c r="GL359" s="1321" t="s">
        <v>1349</v>
      </c>
      <c r="GM359" s="1321" t="s">
        <v>1349</v>
      </c>
      <c r="GN359" s="1321" t="s">
        <v>1349</v>
      </c>
      <c r="GO359" s="1321" t="s">
        <v>1349</v>
      </c>
      <c r="GP359" s="1321" t="s">
        <v>1349</v>
      </c>
      <c r="GQ359" s="1321" t="s">
        <v>1349</v>
      </c>
      <c r="GR359" s="1321" t="s">
        <v>1349</v>
      </c>
      <c r="GS359" s="1321"/>
      <c r="GT359" s="1321"/>
      <c r="GU359" s="1321"/>
      <c r="GV359" s="1321"/>
      <c r="GW359" s="1321"/>
      <c r="GX359" s="1321"/>
      <c r="GY359" s="1321"/>
      <c r="GZ359" s="1321"/>
      <c r="HA359" s="1321"/>
      <c r="HB359" s="1321"/>
      <c r="HC359" s="1321"/>
      <c r="HD359" s="1321"/>
      <c r="HE359" s="1321"/>
      <c r="HF359" s="1321"/>
      <c r="HG359" s="1321"/>
      <c r="HH359" s="1321"/>
      <c r="HI359" s="1321"/>
      <c r="HJ359" s="1321"/>
      <c r="HK359" s="1321"/>
      <c r="HL359" s="1321"/>
      <c r="HM359" s="1321"/>
      <c r="HN359" s="1321"/>
      <c r="HO359" s="1321"/>
      <c r="HP359" s="1321"/>
      <c r="HQ359" s="1321"/>
      <c r="HR359" s="1321"/>
      <c r="HS359" s="1321"/>
      <c r="HT359" s="1321"/>
      <c r="HU359" s="1321"/>
      <c r="HV359" s="1321"/>
      <c r="HW359" s="1321"/>
      <c r="HX359" s="1321"/>
      <c r="HY359" s="1321"/>
      <c r="HZ359" s="1321"/>
      <c r="IA359" s="1321"/>
      <c r="IB359" s="1321"/>
      <c r="IC359" s="1321"/>
      <c r="ID359" s="1321"/>
      <c r="IE359" s="1321"/>
      <c r="IF359" s="1321"/>
      <c r="IG359" s="1321"/>
      <c r="IH359" s="1321"/>
      <c r="II359" s="1321"/>
      <c r="IJ359" s="1321"/>
      <c r="IK359" s="1321"/>
      <c r="IL359" s="1321"/>
      <c r="IM359" s="1321"/>
      <c r="IN359" s="1368"/>
    </row>
    <row r="360" spans="1:248" ht="12.75" customHeight="1" x14ac:dyDescent="0.2">
      <c r="A360" s="1319"/>
      <c r="B360" s="1321"/>
      <c r="C360" s="1321"/>
      <c r="D360" s="1321"/>
      <c r="E360" s="1321"/>
      <c r="F360" s="1321"/>
      <c r="G360" s="1321"/>
      <c r="H360" s="1321"/>
      <c r="I360" s="1321"/>
      <c r="J360" s="1321"/>
      <c r="K360" s="1321"/>
      <c r="L360" s="1321"/>
      <c r="M360" s="1321"/>
      <c r="N360" s="1321"/>
      <c r="O360" s="1321"/>
      <c r="P360" s="1321"/>
      <c r="Q360" s="1321"/>
      <c r="R360" s="1321"/>
      <c r="S360" s="1321"/>
      <c r="T360" s="1321"/>
      <c r="U360" s="1321"/>
      <c r="V360" s="1321"/>
      <c r="W360" s="1321"/>
      <c r="X360" s="1321"/>
      <c r="Y360" s="1321"/>
      <c r="Z360" s="1321"/>
      <c r="AA360" s="1321"/>
      <c r="AB360" s="1321"/>
      <c r="AC360" s="1321"/>
      <c r="AD360" s="1321"/>
      <c r="AE360" s="1321"/>
      <c r="AF360" s="1321"/>
      <c r="AG360" s="1321"/>
      <c r="AH360" s="1321"/>
      <c r="AI360" s="1321"/>
      <c r="AJ360" s="1321"/>
      <c r="AK360" s="1321"/>
      <c r="AL360" s="1321"/>
      <c r="AM360" s="1321"/>
      <c r="AN360" s="1321"/>
      <c r="AO360" s="1321"/>
      <c r="AP360" s="1321"/>
      <c r="AQ360" s="1321"/>
      <c r="AR360" s="1321"/>
      <c r="AS360" s="1321"/>
      <c r="AT360" s="1321"/>
      <c r="AU360" s="1321"/>
      <c r="AV360" s="1321"/>
      <c r="AW360" s="1321"/>
      <c r="AX360" s="1321"/>
      <c r="AY360" s="1321"/>
      <c r="AZ360" s="1321"/>
      <c r="BA360" s="1321"/>
      <c r="BB360" s="1076" t="str">
        <f t="shared" si="81"/>
        <v>Maïs grain</v>
      </c>
      <c r="BC360" s="1267">
        <f t="array" ref="BC360">SUM((IF(QualitéAlimentsVeauxMâles_0_3_mois=BONNE,VLOOKUP("Maïs grain",AlimentsRationBovinsMâles,8,FALSE),0)+(IF(QualitéAlimentsVeauxFemelles_0_3_mois=BONNE,VLOOKUP("Maïs grain",AlimentsRationBovinsFemelles,8,FALSE),0)+(IF(QualitéAlimentsVeauxMâles_3_6_mois=BONNE,VLOOKUP("Maïs grain",AlimentsRationBovinsMâles,7,FALSE),0)+(IF(QualitéAlimentsVeauxFemelles_3_6_mois=BONNE,VLOOKUP("Maïs grain",AlimentsRationBovinsFemelles,7,FALSE),0)+(IF(QualitéAlimentsVeauxMâles_6_12_mois=BONNE,VLOOKUP("Maïs grain",AlimentsRationBovinsMâles,6,FALSE),0)+(IF(QualitéAlimentsVeauxFemelles_6_12_mois=BONNE,VLOOKUP("Maïs grain",AlimentsRationBovinsFemelles,6,FALSE),0)+(IF(QualitéAlimentsTaurillons_12_18_mois=BONNE,VLOOKUP("Maïs grain",AlimentsRationBovinsMâles,5,FALSE),0)+(IF(QualitéAlimentsGénisses_12_18_mois=BONNE,VLOOKUP("Maïs grain",AlimentsRationBovinsFemelles,5,FALSE),0)+(IF(QualitéAlimentsTaurillons_18_24_mois=BONNE,VLOOKUP("Maïs grain",AlimentsRationBovinsMâles,4,FALSE),0)+(IF(QualitéAlimentsGénisses_18_24_mois=BONNE,VLOOKUP("Maïs grain",AlimentsRationBovinsFemelles,4,FALSE),0)+(IF(QualitéAlimentsTaurillons_24_36_mois=BONNE,VLOOKUP("Maïs grain",AlimentsRationBovinsMâles,3,FALSE),0)+(IF(QualitéAlimentsGénisses_24_36_mois=BONNE,VLOOKUP("Maïs grain",AlimentsRationBovinsFemelles,3,FALSE),0)+(IF(QualitéAlimentsTaureaux=BONNE,VLOOKUP("Maïs grain",AlimentsRationBovinsMâles,2,FALSE),0)+(IF(QualitéAlimentsVaches=BONNE,VLOOKUP("Maïs grain",AlimentsRationBovinsFemelles,2,FALSE),0))))))))))))))))</f>
        <v>0</v>
      </c>
      <c r="BD360" s="1267">
        <f t="array" ref="BD360">SUM((IF(QualitéAlimentsVeauxMâles_0_3_mois=MOYENNE,VLOOKUP("Maïs grain",AlimentsRationBovinsMâles,8,FALSE),0)+(IF(QualitéAlimentsVeauxFemelles_0_3_mois=MOYENNE,VLOOKUP("Maïs grain",AlimentsRationBovinsFemelles,8,FALSE),0)+(IF(QualitéAlimentsVeauxMâles_3_6_mois=MOYENNE,VLOOKUP("Maïs grain",AlimentsRationBovinsMâles,7,FALSE),0)+(IF(QualitéAlimentsVeauxFemelles_3_6_mois=MOYENNE,VLOOKUP("Maïs grain",AlimentsRationBovinsFemelles,7,FALSE),0)+(IF(QualitéAlimentsVeauxMâles_6_12_mois=MOYENNE,VLOOKUP("Maïs grain",AlimentsRationBovinsMâles,6,FALSE),0)+(IF(QualitéAlimentsVeauxFemelles_6_12_mois=MOYENNE,VLOOKUP("Maïs grain",AlimentsRationBovinsFemelles,6,FALSE),0)+(IF(QualitéAlimentsTaurillons_12_18_mois=MOYENNE,VLOOKUP("Maïs grain",AlimentsRationBovinsMâles,5,FALSE),0)+(IF(QualitéAlimentsGénisses_12_18_mois=MOYENNE,VLOOKUP("Maïs grain",AlimentsRationBovinsFemelles,5,FALSE),0)+(IF(QualitéAlimentsTaurillons_18_24_mois=MOYENNE,VLOOKUP("Maïs grain",AlimentsRationBovinsMâles,4,FALSE),0)+(IF(QualitéAlimentsGénisses_18_24_mois=MOYENNE,VLOOKUP("Maïs grain",AlimentsRationBovinsFemelles,4,FALSE),0)+(IF(QualitéAlimentsTaurillons_24_36_mois=MOYENNE,VLOOKUP("Maïs grain",AlimentsRationBovinsMâles,3,FALSE),0)+(IF(QualitéAlimentsGénisses_24_36_mois=MOYENNE,VLOOKUP("Maïs grain",AlimentsRationBovinsFemelles,3,FALSE),0)+(IF(QualitéAlimentsTaureaux=MOYENNE,VLOOKUP("Maïs grain",AlimentsRationBovinsMâles,2,FALSE),0)+(IF(QualitéAlimentsVaches=MOYENNE,VLOOKUP("Maïs grain",AlimentsRationBovinsFemelles,2,FALSE),0))))))))))))))))</f>
        <v>0</v>
      </c>
      <c r="BE360" s="1267">
        <f t="array" ref="BE360">SUM((IF(QualitéAlimentsVeauxMâles_0_3_mois=MAUVAISE,VLOOKUP("Maïs grain",AlimentsRationBovinsMâles,8,FALSE),0)+(IF(QualitéAlimentsVeauxFemelles_0_3_mois=MAUVAISE,VLOOKUP("Maïs grain",AlimentsRationBovinsFemelles,8,FALSE),0)+(IF(QualitéAlimentsVeauxMâles_3_6_mois=MAUVAISE,VLOOKUP("Maïs grain",AlimentsRationBovinsMâles,7,FALSE),0)+(IF(QualitéAlimentsVeauxFemelles_3_6_mois=MAUVAISE,VLOOKUP("Maïs grain",AlimentsRationBovinsFemelles,7,FALSE),0)+(IF(QualitéAlimentsVeauxMâles_6_12_mois=MAUVAISE,VLOOKUP("Maïs grain",AlimentsRationBovinsMâles,6,FALSE),0)+(IF(QualitéAlimentsVeauxFemelles_6_12_mois=MAUVAISE,VLOOKUP("Maïs grain",AlimentsRationBovinsFemelles,6,FALSE),0)+(IF(QualitéAlimentsTaurillons_12_18_mois=MAUVAISE,VLOOKUP("Maïs grain",AlimentsRationBovinsMâles,5,FALSE),0)+(IF(QualitéAlimentsGénisses_12_18_mois=MAUVAISE,VLOOKUP("Maïs grain",AlimentsRationBovinsFemelles,5,FALSE),0)+(IF(QualitéAlimentsTaurillons_18_24_mois=MAUVAISE,VLOOKUP("Maïs grain",AlimentsRationBovinsMâles,4,FALSE),0)+(IF(QualitéAlimentsGénisses_18_24_mois=MAUVAISE,VLOOKUP("Maïs grain",AlimentsRationBovinsFemelles,4,FALSE),0)+(IF(QualitéAlimentsTaurillons_24_36_mois=MAUVAISE,VLOOKUP("Maïs grain",AlimentsRationBovinsMâles,3,FALSE),0)+(IF(QualitéAlimentsGénisses_24_36_mois=MAUVAISE,VLOOKUP("Maïs grain",AlimentsRationBovinsFemelles,3,FALSE),0)+(IF(QualitéAlimentsTaureaux=MAUVAISE,VLOOKUP("Maïs grain",AlimentsRationBovinsMâles,2,FALSE),0)+(IF(QualitéAlimentsVaches=MAUVAISE,VLOOKUP("Maïs grain",AlimentsRationBovinsFemelles,2,FALSE),0))))))))))))))))</f>
        <v>0</v>
      </c>
      <c r="BF360" s="1321"/>
      <c r="BG360" s="1321"/>
      <c r="BH360" s="1321"/>
      <c r="BI360" s="1321"/>
      <c r="BJ360" s="1321"/>
      <c r="BK360" s="1345"/>
      <c r="BL360" s="1345"/>
      <c r="BM360" s="1346"/>
      <c r="BN360" s="1321"/>
      <c r="BO360" s="1321"/>
      <c r="BP360" s="1321"/>
      <c r="BQ360" s="1321"/>
      <c r="BR360" s="1321"/>
      <c r="BS360" s="1321"/>
      <c r="BT360" s="1321"/>
      <c r="BU360" s="1321"/>
      <c r="BV360" s="1345"/>
      <c r="BW360" s="1345"/>
      <c r="BX360" s="1321"/>
      <c r="BY360" s="1321"/>
      <c r="BZ360" s="1321"/>
      <c r="CA360" s="1321"/>
      <c r="CB360" s="1321"/>
      <c r="CC360" s="1321"/>
      <c r="CD360" s="1345"/>
      <c r="CE360" s="1345"/>
      <c r="CF360" s="1321"/>
      <c r="CG360" s="1321"/>
      <c r="CH360" s="1321"/>
      <c r="CI360" s="1321"/>
      <c r="CJ360" s="1321"/>
      <c r="CK360" s="1321"/>
      <c r="CL360" s="1321"/>
      <c r="CM360" s="1321"/>
      <c r="CN360" s="1321"/>
      <c r="CO360" s="1321"/>
      <c r="CP360" s="1321"/>
      <c r="CQ360" s="1321"/>
      <c r="CR360" s="1321"/>
      <c r="CS360" s="1321"/>
      <c r="CT360" s="1321"/>
      <c r="CU360" s="1321"/>
      <c r="CV360" s="1321"/>
      <c r="CW360" s="1321"/>
      <c r="CX360" s="1321"/>
      <c r="CY360" s="1321"/>
      <c r="CZ360" s="1321"/>
      <c r="DA360" s="1321"/>
      <c r="DB360" s="1321"/>
      <c r="DC360" s="1321"/>
      <c r="DD360" s="1321"/>
      <c r="DE360" s="1321"/>
      <c r="DF360" s="1321"/>
      <c r="DG360" s="1321"/>
      <c r="DH360" s="1321"/>
      <c r="DI360" s="1321"/>
      <c r="DJ360" s="1321"/>
      <c r="DK360" s="1321"/>
      <c r="DL360" s="1321"/>
      <c r="DM360" s="1321"/>
      <c r="DN360" s="1321"/>
      <c r="DO360" s="1321"/>
      <c r="DP360" s="1321"/>
      <c r="DQ360" s="1321"/>
      <c r="DR360" s="1321"/>
      <c r="DS360" s="1321"/>
      <c r="DT360" s="1321"/>
      <c r="DU360" s="1321"/>
      <c r="DV360" s="1321"/>
      <c r="DW360" s="1321"/>
      <c r="DX360" s="1321"/>
      <c r="DY360" s="1321"/>
      <c r="DZ360" s="1345"/>
      <c r="EA360" s="1345"/>
      <c r="EB360" s="1321"/>
      <c r="EC360" s="1321"/>
      <c r="ED360" s="1321"/>
      <c r="EE360" s="1321"/>
      <c r="EF360" s="1321"/>
      <c r="EG360" s="1321"/>
      <c r="EH360" s="1321"/>
      <c r="EI360" s="1321"/>
      <c r="EJ360" s="1321"/>
      <c r="EK360" s="1345"/>
      <c r="EL360" s="1321"/>
      <c r="EM360" s="1321"/>
      <c r="EN360" s="1321"/>
      <c r="EO360" s="1321"/>
      <c r="EP360" s="1321"/>
      <c r="EQ360" s="1321"/>
      <c r="ER360" s="1345"/>
      <c r="ES360" s="1321"/>
      <c r="ET360" s="1321"/>
      <c r="EU360" s="1321"/>
      <c r="EV360" s="1321"/>
      <c r="EW360" s="1321"/>
      <c r="EX360" s="1321"/>
      <c r="EY360" s="1321"/>
      <c r="EZ360" s="1345"/>
      <c r="FA360" s="1321"/>
      <c r="FB360" s="1321"/>
      <c r="FC360" s="1321"/>
      <c r="FD360" s="1321"/>
      <c r="FE360" s="1321"/>
      <c r="FF360" s="1321"/>
      <c r="FG360" s="1321"/>
      <c r="FH360" s="1321"/>
      <c r="FI360" s="1345"/>
      <c r="FJ360" s="1321"/>
      <c r="FK360" s="1321"/>
      <c r="FL360" s="1321"/>
      <c r="FM360" s="1321"/>
      <c r="FN360" s="1321"/>
      <c r="FO360" s="1321"/>
      <c r="FP360" s="1321"/>
      <c r="FQ360" s="1321"/>
      <c r="FR360" s="1321"/>
      <c r="FS360" s="1345"/>
      <c r="FT360" s="1321"/>
      <c r="FU360" s="1321"/>
      <c r="FV360" s="1321"/>
      <c r="FW360" s="1345"/>
      <c r="FX360" s="1321"/>
      <c r="FY360" s="1321"/>
      <c r="FZ360" s="1321"/>
      <c r="GA360" s="1321"/>
      <c r="GB360" s="1321"/>
      <c r="GC360" s="1321" t="s">
        <v>1349</v>
      </c>
      <c r="GD360" s="1321" t="s">
        <v>1349</v>
      </c>
      <c r="GE360" s="1321" t="s">
        <v>1349</v>
      </c>
      <c r="GF360" s="1321" t="s">
        <v>1349</v>
      </c>
      <c r="GG360" s="1321" t="s">
        <v>1349</v>
      </c>
      <c r="GH360" s="1321" t="s">
        <v>1349</v>
      </c>
      <c r="GI360" s="1321" t="s">
        <v>1349</v>
      </c>
      <c r="GJ360" s="1321" t="s">
        <v>1349</v>
      </c>
      <c r="GK360" s="1321" t="s">
        <v>1349</v>
      </c>
      <c r="GL360" s="1321" t="s">
        <v>1349</v>
      </c>
      <c r="GM360" s="1321" t="s">
        <v>1349</v>
      </c>
      <c r="GN360" s="1321" t="s">
        <v>1349</v>
      </c>
      <c r="GO360" s="1321" t="s">
        <v>1349</v>
      </c>
      <c r="GP360" s="1321" t="s">
        <v>1349</v>
      </c>
      <c r="GQ360" s="1321" t="s">
        <v>1349</v>
      </c>
      <c r="GR360" s="1321" t="s">
        <v>1349</v>
      </c>
      <c r="GS360" s="1321"/>
      <c r="GT360" s="1321"/>
      <c r="GU360" s="1321"/>
      <c r="GV360" s="1321"/>
      <c r="GW360" s="1321"/>
      <c r="GX360" s="1321"/>
      <c r="GY360" s="1321"/>
      <c r="GZ360" s="1321"/>
      <c r="HA360" s="1321"/>
      <c r="HB360" s="1321"/>
      <c r="HC360" s="1321"/>
      <c r="HD360" s="1321"/>
      <c r="HE360" s="1321"/>
      <c r="HF360" s="1321"/>
      <c r="HG360" s="1321"/>
      <c r="HH360" s="1321"/>
      <c r="HI360" s="1321"/>
      <c r="HJ360" s="1321"/>
      <c r="HK360" s="1321"/>
      <c r="HL360" s="1321"/>
      <c r="HM360" s="1321"/>
      <c r="HN360" s="1321"/>
      <c r="HO360" s="1321"/>
      <c r="HP360" s="1321"/>
      <c r="HQ360" s="1321"/>
      <c r="HR360" s="1321"/>
      <c r="HS360" s="1321"/>
      <c r="HT360" s="1321"/>
      <c r="HU360" s="1321"/>
      <c r="HV360" s="1321"/>
      <c r="HW360" s="1321"/>
      <c r="HX360" s="1321"/>
      <c r="HY360" s="1321"/>
      <c r="HZ360" s="1321"/>
      <c r="IA360" s="1321"/>
      <c r="IB360" s="1321"/>
      <c r="IC360" s="1321"/>
      <c r="ID360" s="1321"/>
      <c r="IE360" s="1321"/>
      <c r="IF360" s="1321"/>
      <c r="IG360" s="1321"/>
      <c r="IH360" s="1321"/>
      <c r="II360" s="1321"/>
      <c r="IJ360" s="1321"/>
      <c r="IK360" s="1321"/>
      <c r="IL360" s="1321"/>
      <c r="IM360" s="1321"/>
      <c r="IN360" s="1368"/>
    </row>
    <row r="361" spans="1:248" ht="12.75" customHeight="1" x14ac:dyDescent="0.2">
      <c r="A361" s="1319"/>
      <c r="B361" s="1321"/>
      <c r="C361" s="1321"/>
      <c r="D361" s="1321"/>
      <c r="E361" s="1321"/>
      <c r="F361" s="1321"/>
      <c r="G361" s="1321"/>
      <c r="H361" s="1321"/>
      <c r="I361" s="1321"/>
      <c r="J361" s="1321"/>
      <c r="K361" s="1321"/>
      <c r="L361" s="1321"/>
      <c r="M361" s="1321"/>
      <c r="N361" s="1321"/>
      <c r="O361" s="1321"/>
      <c r="P361" s="1321"/>
      <c r="Q361" s="1321"/>
      <c r="R361" s="1321"/>
      <c r="S361" s="1321"/>
      <c r="T361" s="1321"/>
      <c r="U361" s="1321"/>
      <c r="V361" s="1321"/>
      <c r="W361" s="1321"/>
      <c r="X361" s="1321"/>
      <c r="Y361" s="1321"/>
      <c r="Z361" s="1321"/>
      <c r="AA361" s="1321"/>
      <c r="AB361" s="1321"/>
      <c r="AC361" s="1321"/>
      <c r="AD361" s="1321"/>
      <c r="AE361" s="1321"/>
      <c r="AF361" s="1321"/>
      <c r="AG361" s="1321"/>
      <c r="AH361" s="1321"/>
      <c r="AI361" s="1321"/>
      <c r="AJ361" s="1321"/>
      <c r="AK361" s="1321"/>
      <c r="AL361" s="1321"/>
      <c r="AM361" s="1321"/>
      <c r="AN361" s="1321"/>
      <c r="AO361" s="1321"/>
      <c r="AP361" s="1321"/>
      <c r="AQ361" s="1321"/>
      <c r="AR361" s="1321"/>
      <c r="AS361" s="1321"/>
      <c r="AT361" s="1321"/>
      <c r="AU361" s="1321"/>
      <c r="AV361" s="1321"/>
      <c r="AW361" s="1321"/>
      <c r="AX361" s="1321"/>
      <c r="AY361" s="1321"/>
      <c r="AZ361" s="1321"/>
      <c r="BA361" s="1321"/>
      <c r="BB361" s="1075" t="str">
        <f t="shared" si="81"/>
        <v>Minéraux + vitamines</v>
      </c>
      <c r="BC361" s="1269">
        <f t="array" ref="BC361">SUM((IF(QualitéAlimentsVeauxMâles_0_3_mois=BONNE,VLOOKUP("Minéraux + vitamines",AlimentsRationBovinsMâles,8,FALSE),0)+(IF(QualitéAlimentsVeauxFemelles_0_3_mois=BONNE,VLOOKUP("Minéraux + vitamines",AlimentsRationBovinsFemelles,8,FALSE),0)+(IF(QualitéAlimentsVeauxMâles_3_6_mois=BONNE,VLOOKUP("Minéraux + vitamines",AlimentsRationBovinsMâles,7,FALSE),0)+(IF(QualitéAlimentsVeauxFemelles_3_6_mois=BONNE,VLOOKUP("Minéraux + vitamines",AlimentsRationBovinsFemelles,7,FALSE),0)+(IF(QualitéAlimentsVeauxMâles_6_12_mois=BONNE,VLOOKUP("Minéraux + vitamines",AlimentsRationBovinsMâles,6,FALSE),0)+(IF(QualitéAlimentsVeauxFemelles_6_12_mois=BONNE,VLOOKUP("Minéraux + vitamines",AlimentsRationBovinsFemelles,6,FALSE),0)+(IF(QualitéAlimentsTaurillons_12_18_mois=BONNE,VLOOKUP("Minéraux + vitamines",AlimentsRationBovinsMâles,5,FALSE),0)+(IF(QualitéAlimentsGénisses_12_18_mois=BONNE,VLOOKUP("Minéraux + vitamines",AlimentsRationBovinsFemelles,5,FALSE),0)+(IF(QualitéAlimentsTaurillons_18_24_mois=BONNE,VLOOKUP("Minéraux + vitamines",AlimentsRationBovinsMâles,4,FALSE),0)+(IF(QualitéAlimentsGénisses_18_24_mois=BONNE,VLOOKUP("Minéraux + vitamines",AlimentsRationBovinsFemelles,4,FALSE),0)+(IF(QualitéAlimentsTaurillons_24_36_mois=BONNE,VLOOKUP("Minéraux + vitamines",AlimentsRationBovinsMâles,3,FALSE),0)+(IF(QualitéAlimentsGénisses_24_36_mois=BONNE,VLOOKUP("Minéraux + vitamines",AlimentsRationBovinsFemelles,3,FALSE),0)+(IF(QualitéAlimentsTaureaux=BONNE,VLOOKUP("Minéraux + vitamines",AlimentsRationBovinsMâles,2,FALSE),0)+(IF(QualitéAlimentsVaches=BONNE,VLOOKUP("Minéraux + vitamines",AlimentsRationBovinsFemelles,2,FALSE),0))))))))))))))))</f>
        <v>0</v>
      </c>
      <c r="BD361" s="1269">
        <f t="array" ref="BD361">SUM((IF(QualitéAlimentsVeauxMâles_0_3_mois=MOYENNE,VLOOKUP("Minéraux + vitamines",AlimentsRationBovinsMâles,8,FALSE),0)+(IF(QualitéAlimentsVeauxFemelles_0_3_mois=MOYENNE,VLOOKUP("Minéraux + vitamines",AlimentsRationBovinsFemelles,8,FALSE),0)+(IF(QualitéAlimentsVeauxMâles_3_6_mois=MOYENNE,VLOOKUP("Minéraux + vitamines",AlimentsRationBovinsMâles,7,FALSE),0)+(IF(QualitéAlimentsVeauxFemelles_3_6_mois=MOYENNE,VLOOKUP("Minéraux + vitamines",AlimentsRationBovinsFemelles,7,FALSE),0)+(IF(QualitéAlimentsVeauxMâles_6_12_mois=MOYENNE,VLOOKUP("Minéraux + vitamines",AlimentsRationBovinsMâles,6,FALSE),0)+(IF(QualitéAlimentsVeauxFemelles_6_12_mois=MOYENNE,VLOOKUP("Minéraux + vitamines",AlimentsRationBovinsFemelles,6,FALSE),0)+(IF(QualitéAlimentsTaurillons_12_18_mois=MOYENNE,VLOOKUP("Minéraux + vitamines",AlimentsRationBovinsMâles,5,FALSE),0)+(IF(QualitéAlimentsGénisses_12_18_mois=MOYENNE,VLOOKUP("Minéraux + vitamines",AlimentsRationBovinsFemelles,5,FALSE),0)+(IF(QualitéAlimentsTaurillons_18_24_mois=MOYENNE,VLOOKUP("Minéraux + vitamines",AlimentsRationBovinsMâles,4,FALSE),0)+(IF(QualitéAlimentsGénisses_18_24_mois=MOYENNE,VLOOKUP("Minéraux + vitamines",AlimentsRationBovinsFemelles,4,FALSE),0)+(IF(QualitéAlimentsTaurillons_24_36_mois=MOYENNE,VLOOKUP("Minéraux + vitamines",AlimentsRationBovinsMâles,3,FALSE),0)+(IF(QualitéAlimentsGénisses_24_36_mois=MOYENNE,VLOOKUP("Minéraux + vitamines",AlimentsRationBovinsFemelles,3,FALSE),0)+(IF(QualitéAlimentsTaureaux=MOYENNE,VLOOKUP("Minéraux + vitamines",AlimentsRationBovinsMâles,2,FALSE),0)+(IF(QualitéAlimentsVaches=MOYENNE,VLOOKUP("Minéraux + vitamines",AlimentsRationBovinsFemelles,2,FALSE),0))))))))))))))))</f>
        <v>0</v>
      </c>
      <c r="BE361" s="1269">
        <f t="array" ref="BE361">SUM((IF(QualitéAlimentsVeauxMâles_0_3_mois=MAUVAISE,VLOOKUP("Minéraux + vitamines",AlimentsRationBovinsMâles,8,FALSE),0)+(IF(QualitéAlimentsVeauxFemelles_0_3_mois=MAUVAISE,VLOOKUP("Minéraux + vitamines",AlimentsRationBovinsFemelles,8,FALSE),0)+(IF(QualitéAlimentsVeauxMâles_3_6_mois=MAUVAISE,VLOOKUP("Minéraux + vitamines",AlimentsRationBovinsMâles,7,FALSE),0)+(IF(QualitéAlimentsVeauxFemelles_3_6_mois=MAUVAISE,VLOOKUP("Minéraux + vitamines",AlimentsRationBovinsFemelles,7,FALSE),0)+(IF(QualitéAlimentsVeauxMâles_6_12_mois=MAUVAISE,VLOOKUP("Minéraux + vitamines",AlimentsRationBovinsMâles,6,FALSE),0)+(IF(QualitéAlimentsVeauxFemelles_6_12_mois=MAUVAISE,VLOOKUP("Minéraux + vitamines",AlimentsRationBovinsFemelles,6,FALSE),0)+(IF(QualitéAlimentsTaurillons_12_18_mois=MAUVAISE,VLOOKUP("Minéraux + vitamines",AlimentsRationBovinsMâles,5,FALSE),0)+(IF(QualitéAlimentsGénisses_12_18_mois=MAUVAISE,VLOOKUP("Minéraux + vitamines",AlimentsRationBovinsFemelles,5,FALSE),0)+(IF(QualitéAlimentsTaurillons_18_24_mois=MAUVAISE,VLOOKUP("Minéraux + vitamines",AlimentsRationBovinsMâles,4,FALSE),0)+(IF(QualitéAlimentsGénisses_18_24_mois=MAUVAISE,VLOOKUP("Minéraux + vitamines",AlimentsRationBovinsFemelles,4,FALSE),0)+(IF(QualitéAlimentsTaurillons_24_36_mois=MAUVAISE,VLOOKUP("Minéraux + vitamines",AlimentsRationBovinsMâles,3,FALSE),0)+(IF(QualitéAlimentsGénisses_24_36_mois=MAUVAISE,VLOOKUP("Minéraux + vitamines",AlimentsRationBovinsFemelles,3,FALSE),0)+(IF(QualitéAlimentsTaureaux=MAUVAISE,VLOOKUP("Minéraux + vitamines",AlimentsRationBovinsMâles,2,FALSE),0)+(IF(QualitéAlimentsVaches=MAUVAISE,VLOOKUP("Minéraux + vitamines",AlimentsRationBovinsFemelles,2,FALSE),0))))))))))))))))</f>
        <v>0</v>
      </c>
      <c r="BF361" s="1321"/>
      <c r="BG361" s="1321"/>
      <c r="BH361" s="1321"/>
      <c r="BI361" s="1321"/>
      <c r="BJ361" s="1321"/>
      <c r="BK361" s="1345"/>
      <c r="BL361" s="1345"/>
      <c r="BM361" s="1346"/>
      <c r="BN361" s="1321"/>
      <c r="BO361" s="1321"/>
      <c r="BP361" s="1321"/>
      <c r="BQ361" s="1321"/>
      <c r="BR361" s="1321"/>
      <c r="BS361" s="1321"/>
      <c r="BT361" s="1321"/>
      <c r="BU361" s="1321"/>
      <c r="BV361" s="1345"/>
      <c r="BW361" s="1345"/>
      <c r="BX361" s="1321"/>
      <c r="BY361" s="1321"/>
      <c r="BZ361" s="1321"/>
      <c r="CA361" s="1321"/>
      <c r="CB361" s="1321"/>
      <c r="CC361" s="1321"/>
      <c r="CD361" s="1345"/>
      <c r="CE361" s="1345"/>
      <c r="CF361" s="1321"/>
      <c r="CG361" s="1321"/>
      <c r="CH361" s="1321"/>
      <c r="CI361" s="1321"/>
      <c r="CJ361" s="1321"/>
      <c r="CK361" s="1321"/>
      <c r="CL361" s="1321"/>
      <c r="CM361" s="1321"/>
      <c r="CN361" s="1321"/>
      <c r="CO361" s="1321"/>
      <c r="CP361" s="1321"/>
      <c r="CQ361" s="1321"/>
      <c r="CR361" s="1321"/>
      <c r="CS361" s="1321"/>
      <c r="CT361" s="1321"/>
      <c r="CU361" s="1321"/>
      <c r="CV361" s="1321"/>
      <c r="CW361" s="1321"/>
      <c r="CX361" s="1321"/>
      <c r="CY361" s="1321"/>
      <c r="CZ361" s="1321"/>
      <c r="DA361" s="1321"/>
      <c r="DB361" s="1321"/>
      <c r="DC361" s="1321"/>
      <c r="DD361" s="1321"/>
      <c r="DE361" s="1321"/>
      <c r="DF361" s="1321"/>
      <c r="DG361" s="1321"/>
      <c r="DH361" s="1321"/>
      <c r="DI361" s="1321"/>
      <c r="DJ361" s="1321"/>
      <c r="DK361" s="1321"/>
      <c r="DL361" s="1321"/>
      <c r="DM361" s="1321"/>
      <c r="DN361" s="1321"/>
      <c r="DO361" s="1321"/>
      <c r="DP361" s="1321"/>
      <c r="DQ361" s="1321"/>
      <c r="DR361" s="1321"/>
      <c r="DS361" s="1321"/>
      <c r="DT361" s="1321"/>
      <c r="DU361" s="1321"/>
      <c r="DV361" s="1321"/>
      <c r="DW361" s="1321"/>
      <c r="DX361" s="1321"/>
      <c r="DY361" s="1321"/>
      <c r="DZ361" s="1345"/>
      <c r="EA361" s="1345"/>
      <c r="EB361" s="1321"/>
      <c r="EC361" s="1321"/>
      <c r="ED361" s="1321"/>
      <c r="EE361" s="1321"/>
      <c r="EF361" s="1321"/>
      <c r="EG361" s="1321"/>
      <c r="EH361" s="1321"/>
      <c r="EI361" s="1321"/>
      <c r="EJ361" s="1321"/>
      <c r="EK361" s="1345"/>
      <c r="EL361" s="1321"/>
      <c r="EM361" s="1321"/>
      <c r="EN361" s="1321"/>
      <c r="EO361" s="1321"/>
      <c r="EP361" s="1321"/>
      <c r="EQ361" s="1321"/>
      <c r="ER361" s="1345"/>
      <c r="ES361" s="1321"/>
      <c r="ET361" s="1321"/>
      <c r="EU361" s="1321"/>
      <c r="EV361" s="1321"/>
      <c r="EW361" s="1321"/>
      <c r="EX361" s="1321"/>
      <c r="EY361" s="1321"/>
      <c r="EZ361" s="1345"/>
      <c r="FA361" s="1321"/>
      <c r="FB361" s="1321"/>
      <c r="FC361" s="1321"/>
      <c r="FD361" s="1321"/>
      <c r="FE361" s="1321"/>
      <c r="FF361" s="1321"/>
      <c r="FG361" s="1321"/>
      <c r="FH361" s="1321"/>
      <c r="FI361" s="1345"/>
      <c r="FJ361" s="1321"/>
      <c r="FK361" s="1321"/>
      <c r="FL361" s="1321"/>
      <c r="FM361" s="1321"/>
      <c r="FN361" s="1321"/>
      <c r="FO361" s="1321"/>
      <c r="FP361" s="1321"/>
      <c r="FQ361" s="1321"/>
      <c r="FR361" s="1321"/>
      <c r="FS361" s="1345"/>
      <c r="FT361" s="1321"/>
      <c r="FU361" s="1321"/>
      <c r="FV361" s="1321"/>
      <c r="FW361" s="1345"/>
      <c r="FX361" s="1321"/>
      <c r="FY361" s="1321"/>
      <c r="FZ361" s="1321"/>
      <c r="GA361" s="1321"/>
      <c r="GB361" s="1321"/>
      <c r="GC361" s="1321" t="s">
        <v>1349</v>
      </c>
      <c r="GD361" s="1321" t="s">
        <v>1349</v>
      </c>
      <c r="GE361" s="1321" t="s">
        <v>1349</v>
      </c>
      <c r="GF361" s="1321" t="s">
        <v>1349</v>
      </c>
      <c r="GG361" s="1321" t="s">
        <v>1349</v>
      </c>
      <c r="GH361" s="1321" t="s">
        <v>1349</v>
      </c>
      <c r="GI361" s="1321" t="s">
        <v>1349</v>
      </c>
      <c r="GJ361" s="1321" t="s">
        <v>1349</v>
      </c>
      <c r="GK361" s="1321" t="s">
        <v>1349</v>
      </c>
      <c r="GL361" s="1321" t="s">
        <v>1349</v>
      </c>
      <c r="GM361" s="1321" t="s">
        <v>1349</v>
      </c>
      <c r="GN361" s="1321" t="s">
        <v>1349</v>
      </c>
      <c r="GO361" s="1321" t="s">
        <v>1349</v>
      </c>
      <c r="GP361" s="1321" t="s">
        <v>1349</v>
      </c>
      <c r="GQ361" s="1321" t="s">
        <v>1349</v>
      </c>
      <c r="GR361" s="1321" t="s">
        <v>1349</v>
      </c>
      <c r="GS361" s="1321"/>
      <c r="GT361" s="1321"/>
      <c r="GU361" s="1321"/>
      <c r="GV361" s="1321"/>
      <c r="GW361" s="1321"/>
      <c r="GX361" s="1321"/>
      <c r="GY361" s="1321"/>
      <c r="GZ361" s="1321"/>
      <c r="HA361" s="1321"/>
      <c r="HB361" s="1321"/>
      <c r="HC361" s="1321"/>
      <c r="HD361" s="1321"/>
      <c r="HE361" s="1321"/>
      <c r="HF361" s="1321"/>
      <c r="HG361" s="1321"/>
      <c r="HH361" s="1321"/>
      <c r="HI361" s="1321"/>
      <c r="HJ361" s="1321"/>
      <c r="HK361" s="1321"/>
      <c r="HL361" s="1321"/>
      <c r="HM361" s="1321"/>
      <c r="HN361" s="1321"/>
      <c r="HO361" s="1321"/>
      <c r="HP361" s="1321"/>
      <c r="HQ361" s="1321"/>
      <c r="HR361" s="1321"/>
      <c r="HS361" s="1321"/>
      <c r="HT361" s="1321"/>
      <c r="HU361" s="1321"/>
      <c r="HV361" s="1321"/>
      <c r="HW361" s="1321"/>
      <c r="HX361" s="1321"/>
      <c r="HY361" s="1321"/>
      <c r="HZ361" s="1321"/>
      <c r="IA361" s="1321"/>
      <c r="IB361" s="1321"/>
      <c r="IC361" s="1321"/>
      <c r="ID361" s="1321"/>
      <c r="IE361" s="1321"/>
      <c r="IF361" s="1321"/>
      <c r="IG361" s="1321"/>
      <c r="IH361" s="1321"/>
      <c r="II361" s="1321"/>
      <c r="IJ361" s="1321"/>
      <c r="IK361" s="1321"/>
      <c r="IL361" s="1321"/>
      <c r="IM361" s="1321"/>
      <c r="IN361" s="1368"/>
    </row>
    <row r="362" spans="1:248" ht="12.75" customHeight="1" x14ac:dyDescent="0.2">
      <c r="A362" s="1319"/>
      <c r="B362" s="1321"/>
      <c r="C362" s="1321"/>
      <c r="D362" s="1321"/>
      <c r="E362" s="1321"/>
      <c r="F362" s="1321"/>
      <c r="G362" s="1321"/>
      <c r="H362" s="1321"/>
      <c r="I362" s="1321"/>
      <c r="J362" s="1321"/>
      <c r="K362" s="1321"/>
      <c r="L362" s="1321"/>
      <c r="M362" s="1321"/>
      <c r="N362" s="1321"/>
      <c r="O362" s="1321"/>
      <c r="P362" s="1321"/>
      <c r="Q362" s="1321"/>
      <c r="R362" s="1321"/>
      <c r="S362" s="1321"/>
      <c r="T362" s="1321"/>
      <c r="U362" s="1321"/>
      <c r="V362" s="1321"/>
      <c r="W362" s="1321"/>
      <c r="X362" s="1321"/>
      <c r="Y362" s="1321"/>
      <c r="Z362" s="1321"/>
      <c r="AA362" s="1321"/>
      <c r="AB362" s="1321"/>
      <c r="AC362" s="1321"/>
      <c r="AD362" s="1321"/>
      <c r="AE362" s="1321"/>
      <c r="AF362" s="1321"/>
      <c r="AG362" s="1321"/>
      <c r="AH362" s="1321"/>
      <c r="AI362" s="1321"/>
      <c r="AJ362" s="1321"/>
      <c r="AK362" s="1321"/>
      <c r="AL362" s="1321"/>
      <c r="AM362" s="1321"/>
      <c r="AN362" s="1321"/>
      <c r="AO362" s="1321"/>
      <c r="AP362" s="1321"/>
      <c r="AQ362" s="1321"/>
      <c r="AR362" s="1321"/>
      <c r="AS362" s="1321"/>
      <c r="AT362" s="1321"/>
      <c r="AU362" s="1321"/>
      <c r="AV362" s="1321"/>
      <c r="AW362" s="1321"/>
      <c r="AX362" s="1321"/>
      <c r="AY362" s="1321"/>
      <c r="AZ362" s="1321"/>
      <c r="BA362" s="1321"/>
      <c r="BB362" s="1076" t="str">
        <f t="shared" si="81"/>
        <v>Orge</v>
      </c>
      <c r="BC362" s="1267">
        <f t="array" ref="BC362">SUM((IF(QualitéAlimentsVeauxMâles_0_3_mois=BONNE,VLOOKUP("Orge",AlimentsRationBovinsMâles,8,FALSE),0)+(IF(QualitéAlimentsVeauxFemelles_0_3_mois=BONNE,VLOOKUP("Orge",AlimentsRationBovinsFemelles,8,FALSE),0)+(IF(QualitéAlimentsVeauxMâles_3_6_mois=BONNE,VLOOKUP("Orge",AlimentsRationBovinsMâles,7,FALSE),0)+(IF(QualitéAlimentsVeauxFemelles_3_6_mois=BONNE,VLOOKUP("Orge",AlimentsRationBovinsFemelles,7,FALSE),0)+(IF(QualitéAlimentsVeauxMâles_6_12_mois=BONNE,VLOOKUP("Orge",AlimentsRationBovinsMâles,6,FALSE),0)+(IF(QualitéAlimentsVeauxFemelles_6_12_mois=BONNE,VLOOKUP("Orge",AlimentsRationBovinsFemelles,6,FALSE),0)+(IF(QualitéAlimentsTaurillons_12_18_mois=BONNE,VLOOKUP("Orge",AlimentsRationBovinsMâles,5,FALSE),0)+(IF(QualitéAlimentsGénisses_12_18_mois=BONNE,VLOOKUP("Orge",AlimentsRationBovinsFemelles,5,FALSE),0)+(IF(QualitéAlimentsTaurillons_18_24_mois=BONNE,VLOOKUP("Orge",AlimentsRationBovinsMâles,4,FALSE),0)+(IF(QualitéAlimentsGénisses_18_24_mois=BONNE,VLOOKUP("Orge",AlimentsRationBovinsFemelles,4,FALSE),0)+(IF(QualitéAlimentsTaurillons_24_36_mois=BONNE,VLOOKUP("Orge",AlimentsRationBovinsMâles,3,FALSE),0)+(IF(QualitéAlimentsGénisses_24_36_mois=BONNE,VLOOKUP("Orge",AlimentsRationBovinsFemelles,3,FALSE),0)+(IF(QualitéAlimentsTaureaux=BONNE,VLOOKUP("Orge",AlimentsRationBovinsMâles,2,FALSE),0)+(IF(QualitéAlimentsVaches=BONNE,VLOOKUP("Orge",AlimentsRationBovinsFemelles,2,FALSE),0))))))))))))))))</f>
        <v>0</v>
      </c>
      <c r="BD362" s="1267">
        <f t="array" ref="BD362">SUM((IF(QualitéAlimentsVeauxMâles_0_3_mois=MOYENNE,VLOOKUP("Orge",AlimentsRationBovinsMâles,8,FALSE),0)+(IF(QualitéAlimentsVeauxFemelles_0_3_mois=MOYENNE,VLOOKUP("Orge",AlimentsRationBovinsFemelles,8,FALSE),0)+(IF(QualitéAlimentsVeauxMâles_3_6_mois=MOYENNE,VLOOKUP("Orge",AlimentsRationBovinsMâles,7,FALSE),0)+(IF(QualitéAlimentsVeauxFemelles_3_6_mois=MOYENNE,VLOOKUP("Orge",AlimentsRationBovinsFemelles,7,FALSE),0)+(IF(QualitéAlimentsVeauxMâles_6_12_mois=MOYENNE,VLOOKUP("Orge",AlimentsRationBovinsMâles,6,FALSE),0)+(IF(QualitéAlimentsVeauxFemelles_6_12_mois=MOYENNE,VLOOKUP("Orge",AlimentsRationBovinsFemelles,6,FALSE),0)+(IF(QualitéAlimentsTaurillons_12_18_mois=MOYENNE,VLOOKUP("Orge",AlimentsRationBovinsMâles,5,FALSE),0)+(IF(QualitéAlimentsGénisses_12_18_mois=MOYENNE,VLOOKUP("Orge",AlimentsRationBovinsFemelles,5,FALSE),0)+(IF(QualitéAlimentsTaurillons_18_24_mois=MOYENNE,VLOOKUP("Orge",AlimentsRationBovinsMâles,4,FALSE),0)+(IF(QualitéAlimentsGénisses_18_24_mois=MOYENNE,VLOOKUP("Orge",AlimentsRationBovinsFemelles,4,FALSE),0)+(IF(QualitéAlimentsTaurillons_24_36_mois=MOYENNE,VLOOKUP("Orge",AlimentsRationBovinsMâles,3,FALSE),0)+(IF(QualitéAlimentsGénisses_24_36_mois=MOYENNE,VLOOKUP("Orge",AlimentsRationBovinsFemelles,3,FALSE),0)+(IF(QualitéAlimentsTaureaux=MOYENNE,VLOOKUP("Orge",AlimentsRationBovinsMâles,2,FALSE),0)+(IF(QualitéAlimentsVaches=MOYENNE,VLOOKUP("Orge",AlimentsRationBovinsFemelles,2,FALSE),0))))))))))))))))</f>
        <v>0</v>
      </c>
      <c r="BE362" s="1267">
        <f t="array" ref="BE362">SUM((IF(QualitéAlimentsVeauxMâles_0_3_mois=MAUVAISE,VLOOKUP("Orge",AlimentsRationBovinsMâles,8,FALSE),0)+(IF(QualitéAlimentsVeauxFemelles_0_3_mois=MAUVAISE,VLOOKUP("Orge",AlimentsRationBovinsFemelles,8,FALSE),0)+(IF(QualitéAlimentsVeauxMâles_3_6_mois=MAUVAISE,VLOOKUP("Orge",AlimentsRationBovinsMâles,7,FALSE),0)+(IF(QualitéAlimentsVeauxFemelles_3_6_mois=MAUVAISE,VLOOKUP("Orge",AlimentsRationBovinsFemelles,7,FALSE),0)+(IF(QualitéAlimentsVeauxMâles_6_12_mois=MAUVAISE,VLOOKUP("Orge",AlimentsRationBovinsMâles,6,FALSE),0)+(IF(QualitéAlimentsVeauxFemelles_6_12_mois=MAUVAISE,VLOOKUP("Orge",AlimentsRationBovinsFemelles,6,FALSE),0)+(IF(QualitéAlimentsTaurillons_12_18_mois=MAUVAISE,VLOOKUP("Orge",AlimentsRationBovinsMâles,5,FALSE),0)+(IF(QualitéAlimentsGénisses_12_18_mois=MAUVAISE,VLOOKUP("Orge",AlimentsRationBovinsFemelles,5,FALSE),0)+(IF(QualitéAlimentsTaurillons_18_24_mois=MAUVAISE,VLOOKUP("Orge",AlimentsRationBovinsMâles,4,FALSE),0)+(IF(QualitéAlimentsGénisses_18_24_mois=MAUVAISE,VLOOKUP("Orge",AlimentsRationBovinsFemelles,4,FALSE),0)+(IF(QualitéAlimentsTaurillons_24_36_mois=MAUVAISE,VLOOKUP("Orge",AlimentsRationBovinsMâles,3,FALSE),0)+(IF(QualitéAlimentsGénisses_24_36_mois=MAUVAISE,VLOOKUP("Orge",AlimentsRationBovinsFemelles,3,FALSE),0)+(IF(QualitéAlimentsTaureaux=MAUVAISE,VLOOKUP("Orge",AlimentsRationBovinsMâles,2,FALSE),0)+(IF(QualitéAlimentsVaches=MAUVAISE,VLOOKUP("Orge",AlimentsRationBovinsFemelles,2,FALSE),0))))))))))))))))</f>
        <v>0</v>
      </c>
      <c r="BF362" s="1321"/>
      <c r="BG362" s="1321"/>
      <c r="BH362" s="1321"/>
      <c r="BI362" s="1321"/>
      <c r="BJ362" s="1321"/>
      <c r="BK362" s="1345"/>
      <c r="BL362" s="1345"/>
      <c r="BM362" s="1346"/>
      <c r="BN362" s="1321"/>
      <c r="BO362" s="1321"/>
      <c r="BP362" s="1321"/>
      <c r="BQ362" s="1321"/>
      <c r="BR362" s="1321"/>
      <c r="BS362" s="1321"/>
      <c r="BT362" s="1321"/>
      <c r="BU362" s="1321"/>
      <c r="BV362" s="1345"/>
      <c r="BW362" s="1345"/>
      <c r="BX362" s="1321"/>
      <c r="BY362" s="1321"/>
      <c r="BZ362" s="1321"/>
      <c r="CA362" s="1321"/>
      <c r="CB362" s="1321"/>
      <c r="CC362" s="1321"/>
      <c r="CD362" s="1345"/>
      <c r="CE362" s="1345"/>
      <c r="CF362" s="1321"/>
      <c r="CG362" s="1321"/>
      <c r="CH362" s="1321"/>
      <c r="CI362" s="1321"/>
      <c r="CJ362" s="1321"/>
      <c r="CK362" s="1321"/>
      <c r="CL362" s="1321"/>
      <c r="CM362" s="1321"/>
      <c r="CN362" s="1321"/>
      <c r="CO362" s="1321"/>
      <c r="CP362" s="1321"/>
      <c r="CQ362" s="1321"/>
      <c r="CR362" s="1321"/>
      <c r="CS362" s="1321"/>
      <c r="CT362" s="1321"/>
      <c r="CU362" s="1321"/>
      <c r="CV362" s="1321"/>
      <c r="CW362" s="1321"/>
      <c r="CX362" s="1321"/>
      <c r="CY362" s="1321"/>
      <c r="CZ362" s="1321"/>
      <c r="DA362" s="1321"/>
      <c r="DB362" s="1321"/>
      <c r="DC362" s="1321"/>
      <c r="DD362" s="1321"/>
      <c r="DE362" s="1321"/>
      <c r="DF362" s="1321"/>
      <c r="DG362" s="1321"/>
      <c r="DH362" s="1321"/>
      <c r="DI362" s="1321"/>
      <c r="DJ362" s="1321"/>
      <c r="DK362" s="1321"/>
      <c r="DL362" s="1321"/>
      <c r="DM362" s="1321"/>
      <c r="DN362" s="1321"/>
      <c r="DO362" s="1321"/>
      <c r="DP362" s="1321"/>
      <c r="DQ362" s="1321"/>
      <c r="DR362" s="1321"/>
      <c r="DS362" s="1321"/>
      <c r="DT362" s="1321"/>
      <c r="DU362" s="1321"/>
      <c r="DV362" s="1321"/>
      <c r="DW362" s="1321"/>
      <c r="DX362" s="1321"/>
      <c r="DY362" s="1321"/>
      <c r="DZ362" s="1345"/>
      <c r="EA362" s="1345"/>
      <c r="EB362" s="1321"/>
      <c r="EC362" s="1321"/>
      <c r="ED362" s="1321"/>
      <c r="EE362" s="1321"/>
      <c r="EF362" s="1321"/>
      <c r="EG362" s="1321"/>
      <c r="EH362" s="1321"/>
      <c r="EI362" s="1321"/>
      <c r="EJ362" s="1321"/>
      <c r="EK362" s="1345"/>
      <c r="EL362" s="1321"/>
      <c r="EM362" s="1321"/>
      <c r="EN362" s="1321"/>
      <c r="EO362" s="1321"/>
      <c r="EP362" s="1321"/>
      <c r="EQ362" s="1321"/>
      <c r="ER362" s="1345"/>
      <c r="ES362" s="1321"/>
      <c r="ET362" s="1321"/>
      <c r="EU362" s="1321"/>
      <c r="EV362" s="1321"/>
      <c r="EW362" s="1321"/>
      <c r="EX362" s="1321"/>
      <c r="EY362" s="1321"/>
      <c r="EZ362" s="1345"/>
      <c r="FA362" s="1321"/>
      <c r="FB362" s="1321"/>
      <c r="FC362" s="1321"/>
      <c r="FD362" s="1321"/>
      <c r="FE362" s="1321"/>
      <c r="FF362" s="1321"/>
      <c r="FG362" s="1321"/>
      <c r="FH362" s="1321"/>
      <c r="FI362" s="1345"/>
      <c r="FJ362" s="1321"/>
      <c r="FK362" s="1321"/>
      <c r="FL362" s="1321"/>
      <c r="FM362" s="1321"/>
      <c r="FN362" s="1321"/>
      <c r="FO362" s="1321"/>
      <c r="FP362" s="1321"/>
      <c r="FQ362" s="1321"/>
      <c r="FR362" s="1321"/>
      <c r="FS362" s="1345"/>
      <c r="FT362" s="1321"/>
      <c r="FU362" s="1321"/>
      <c r="FV362" s="1321"/>
      <c r="FW362" s="1345"/>
      <c r="FX362" s="1321"/>
      <c r="FY362" s="1321"/>
      <c r="FZ362" s="1321"/>
      <c r="GA362" s="1321"/>
      <c r="GB362" s="1321"/>
      <c r="GC362" s="1321" t="s">
        <v>1349</v>
      </c>
      <c r="GD362" s="1321" t="s">
        <v>1349</v>
      </c>
      <c r="GE362" s="1321" t="s">
        <v>1349</v>
      </c>
      <c r="GF362" s="1321" t="s">
        <v>1349</v>
      </c>
      <c r="GG362" s="1321" t="s">
        <v>1349</v>
      </c>
      <c r="GH362" s="1321" t="s">
        <v>1349</v>
      </c>
      <c r="GI362" s="1321" t="s">
        <v>1349</v>
      </c>
      <c r="GJ362" s="1321" t="s">
        <v>1349</v>
      </c>
      <c r="GK362" s="1321" t="s">
        <v>1349</v>
      </c>
      <c r="GL362" s="1321" t="s">
        <v>1349</v>
      </c>
      <c r="GM362" s="1321" t="s">
        <v>1349</v>
      </c>
      <c r="GN362" s="1321" t="s">
        <v>1349</v>
      </c>
      <c r="GO362" s="1321" t="s">
        <v>1349</v>
      </c>
      <c r="GP362" s="1321" t="s">
        <v>1349</v>
      </c>
      <c r="GQ362" s="1321" t="s">
        <v>1349</v>
      </c>
      <c r="GR362" s="1321" t="s">
        <v>1349</v>
      </c>
      <c r="GS362" s="1321"/>
      <c r="GT362" s="1321"/>
      <c r="GU362" s="1321"/>
      <c r="GV362" s="1321"/>
      <c r="GW362" s="1321"/>
      <c r="GX362" s="1321"/>
      <c r="GY362" s="1321"/>
      <c r="GZ362" s="1321"/>
      <c r="HA362" s="1321"/>
      <c r="HB362" s="1321"/>
      <c r="HC362" s="1321"/>
      <c r="HD362" s="1321"/>
      <c r="HE362" s="1321"/>
      <c r="HF362" s="1321"/>
      <c r="HG362" s="1321"/>
      <c r="HH362" s="1321"/>
      <c r="HI362" s="1321"/>
      <c r="HJ362" s="1321"/>
      <c r="HK362" s="1321"/>
      <c r="HL362" s="1321"/>
      <c r="HM362" s="1321"/>
      <c r="HN362" s="1321"/>
      <c r="HO362" s="1321"/>
      <c r="HP362" s="1321"/>
      <c r="HQ362" s="1321"/>
      <c r="HR362" s="1321"/>
      <c r="HS362" s="1321"/>
      <c r="HT362" s="1321"/>
      <c r="HU362" s="1321"/>
      <c r="HV362" s="1321"/>
      <c r="HW362" s="1321"/>
      <c r="HX362" s="1321"/>
      <c r="HY362" s="1321"/>
      <c r="HZ362" s="1321"/>
      <c r="IA362" s="1321"/>
      <c r="IB362" s="1321"/>
      <c r="IC362" s="1321"/>
      <c r="ID362" s="1321"/>
      <c r="IE362" s="1321"/>
      <c r="IF362" s="1321"/>
      <c r="IG362" s="1321"/>
      <c r="IH362" s="1321"/>
      <c r="II362" s="1321"/>
      <c r="IJ362" s="1321"/>
      <c r="IK362" s="1321"/>
      <c r="IL362" s="1321"/>
      <c r="IM362" s="1321"/>
      <c r="IN362" s="1368"/>
    </row>
    <row r="363" spans="1:248" ht="12.75" customHeight="1" x14ac:dyDescent="0.2">
      <c r="A363" s="1319"/>
      <c r="B363" s="1321"/>
      <c r="C363" s="1321"/>
      <c r="D363" s="1321"/>
      <c r="E363" s="1321"/>
      <c r="F363" s="1321"/>
      <c r="G363" s="1321"/>
      <c r="H363" s="1321"/>
      <c r="I363" s="1321"/>
      <c r="J363" s="1321"/>
      <c r="K363" s="1321"/>
      <c r="L363" s="1321"/>
      <c r="M363" s="1321"/>
      <c r="N363" s="1321"/>
      <c r="O363" s="1321"/>
      <c r="P363" s="1321"/>
      <c r="Q363" s="1321"/>
      <c r="R363" s="1321"/>
      <c r="S363" s="1321"/>
      <c r="T363" s="1321"/>
      <c r="U363" s="1321"/>
      <c r="V363" s="1321"/>
      <c r="W363" s="1321"/>
      <c r="X363" s="1321"/>
      <c r="Y363" s="1321"/>
      <c r="Z363" s="1321"/>
      <c r="AA363" s="1321"/>
      <c r="AB363" s="1321"/>
      <c r="AC363" s="1321"/>
      <c r="AD363" s="1321"/>
      <c r="AE363" s="1321"/>
      <c r="AF363" s="1321"/>
      <c r="AG363" s="1321"/>
      <c r="AH363" s="1321"/>
      <c r="AI363" s="1321"/>
      <c r="AJ363" s="1321"/>
      <c r="AK363" s="1321"/>
      <c r="AL363" s="1321"/>
      <c r="AM363" s="1321"/>
      <c r="AN363" s="1321"/>
      <c r="AO363" s="1321"/>
      <c r="AP363" s="1321"/>
      <c r="AQ363" s="1321"/>
      <c r="AR363" s="1321"/>
      <c r="AS363" s="1321"/>
      <c r="AT363" s="1321"/>
      <c r="AU363" s="1321"/>
      <c r="AV363" s="1321"/>
      <c r="AW363" s="1321"/>
      <c r="AX363" s="1321"/>
      <c r="AY363" s="1321"/>
      <c r="AZ363" s="1321"/>
      <c r="BA363" s="1321"/>
      <c r="BB363" s="1075" t="str">
        <f t="shared" si="81"/>
        <v>Paille</v>
      </c>
      <c r="BC363" s="1269">
        <f t="array" ref="BC363">SUM((IF(QualitéAlimentsVeauxMâles_0_3_mois=BONNE,VLOOKUP("Paille",AlimentsRationBovinsMâles,8,FALSE),0)+(IF(QualitéAlimentsVeauxFemelles_0_3_mois=BONNE,VLOOKUP("Paille",AlimentsRationBovinsFemelles,8,FALSE),0)+(IF(QualitéAlimentsVeauxMâles_3_6_mois=BONNE,VLOOKUP("Paille",AlimentsRationBovinsMâles,7,FALSE),0)+(IF(QualitéAlimentsVeauxFemelles_3_6_mois=BONNE,VLOOKUP("Paille",AlimentsRationBovinsFemelles,7,FALSE),0)+(IF(QualitéAlimentsVeauxMâles_6_12_mois=BONNE,VLOOKUP("Paille",AlimentsRationBovinsMâles,6,FALSE),0)+(IF(QualitéAlimentsVeauxFemelles_6_12_mois=BONNE,VLOOKUP("Paille",AlimentsRationBovinsFemelles,6,FALSE),0)+(IF(QualitéAlimentsTaurillons_12_18_mois=BONNE,VLOOKUP("Paille",AlimentsRationBovinsMâles,5,FALSE),0)+(IF(QualitéAlimentsGénisses_12_18_mois=BONNE,VLOOKUP("Paille",AlimentsRationBovinsFemelles,5,FALSE),0)+(IF(QualitéAlimentsTaurillons_18_24_mois=BONNE,VLOOKUP("Paille",AlimentsRationBovinsMâles,4,FALSE),0)+(IF(QualitéAlimentsGénisses_18_24_mois=BONNE,VLOOKUP("Paille",AlimentsRationBovinsFemelles,4,FALSE),0)+(IF(QualitéAlimentsTaurillons_24_36_mois=BONNE,VLOOKUP("Paille",AlimentsRationBovinsMâles,3,FALSE),0)+(IF(QualitéAlimentsGénisses_24_36_mois=BONNE,VLOOKUP("Paille",AlimentsRationBovinsFemelles,3,FALSE),0)+(IF(QualitéAlimentsTaureaux=BONNE,VLOOKUP("Paille",AlimentsRationBovinsMâles,2,FALSE),0)+(IF(QualitéAlimentsVaches=BONNE,VLOOKUP("Paille",AlimentsRationBovinsFemelles,2,FALSE),0))))))))))))))))</f>
        <v>0</v>
      </c>
      <c r="BD363" s="1269">
        <f t="array" ref="BD363">SUM((IF(QualitéAlimentsVeauxMâles_0_3_mois=MOYENNE,VLOOKUP("Paille",AlimentsRationBovinsMâles,8,FALSE),0)+(IF(QualitéAlimentsVeauxFemelles_0_3_mois=MOYENNE,VLOOKUP("Paille",AlimentsRationBovinsFemelles,8,FALSE),0)+(IF(QualitéAlimentsVeauxMâles_3_6_mois=MOYENNE,VLOOKUP("Paille",AlimentsRationBovinsMâles,7,FALSE),0)+(IF(QualitéAlimentsVeauxFemelles_3_6_mois=MOYENNE,VLOOKUP("Paille",AlimentsRationBovinsFemelles,7,FALSE),0)+(IF(QualitéAlimentsVeauxMâles_6_12_mois=MOYENNE,VLOOKUP("Paille",AlimentsRationBovinsMâles,6,FALSE),0)+(IF(QualitéAlimentsVeauxFemelles_6_12_mois=MOYENNE,VLOOKUP("Paille",AlimentsRationBovinsFemelles,6,FALSE),0)+(IF(QualitéAlimentsTaurillons_12_18_mois=MOYENNE,VLOOKUP("Paille",AlimentsRationBovinsMâles,5,FALSE),0)+(IF(QualitéAlimentsGénisses_12_18_mois=MOYENNE,VLOOKUP("Paille",AlimentsRationBovinsFemelles,5,FALSE),0)+(IF(QualitéAlimentsTaurillons_18_24_mois=MOYENNE,VLOOKUP("Paille",AlimentsRationBovinsMâles,4,FALSE),0)+(IF(QualitéAlimentsGénisses_18_24_mois=MOYENNE,VLOOKUP("Paille",AlimentsRationBovinsFemelles,4,FALSE),0)+(IF(QualitéAlimentsTaurillons_24_36_mois=MOYENNE,VLOOKUP("Paille",AlimentsRationBovinsMâles,3,FALSE),0)+(IF(QualitéAlimentsGénisses_24_36_mois=MOYENNE,VLOOKUP("Paille",AlimentsRationBovinsFemelles,3,FALSE),0)+(IF(QualitéAlimentsTaureaux=MOYENNE,VLOOKUP("Paille",AlimentsRationBovinsMâles,2,FALSE),0)+(IF(QualitéAlimentsVaches=MOYENNE,VLOOKUP("Paille",AlimentsRationBovinsFemelles,2,FALSE),0))))))))))))))))</f>
        <v>0</v>
      </c>
      <c r="BE363" s="1269">
        <f t="array" ref="BE363">SUM((IF(QualitéAlimentsVeauxMâles_0_3_mois=MAUVAISE,VLOOKUP("Paille",AlimentsRationBovinsMâles,8,FALSE),0)+(IF(QualitéAlimentsVeauxFemelles_0_3_mois=MAUVAISE,VLOOKUP("Paille",AlimentsRationBovinsFemelles,8,FALSE),0)+(IF(QualitéAlimentsVeauxMâles_3_6_mois=MAUVAISE,VLOOKUP("Paille",AlimentsRationBovinsMâles,7,FALSE),0)+(IF(QualitéAlimentsVeauxFemelles_3_6_mois=MAUVAISE,VLOOKUP("Paille",AlimentsRationBovinsFemelles,7,FALSE),0)+(IF(QualitéAlimentsVeauxMâles_6_12_mois=MAUVAISE,VLOOKUP("Paille",AlimentsRationBovinsMâles,6,FALSE),0)+(IF(QualitéAlimentsVeauxFemelles_6_12_mois=MAUVAISE,VLOOKUP("Paille",AlimentsRationBovinsFemelles,6,FALSE),0)+(IF(QualitéAlimentsTaurillons_12_18_mois=MAUVAISE,VLOOKUP("Paille",AlimentsRationBovinsMâles,5,FALSE),0)+(IF(QualitéAlimentsGénisses_12_18_mois=MAUVAISE,VLOOKUP("Paille",AlimentsRationBovinsFemelles,5,FALSE),0)+(IF(QualitéAlimentsTaurillons_18_24_mois=MAUVAISE,VLOOKUP("Paille",AlimentsRationBovinsMâles,4,FALSE),0)+(IF(QualitéAlimentsGénisses_18_24_mois=MAUVAISE,VLOOKUP("Paille",AlimentsRationBovinsFemelles,4,FALSE),0)+(IF(QualitéAlimentsTaurillons_24_36_mois=MAUVAISE,VLOOKUP("Paille",AlimentsRationBovinsMâles,3,FALSE),0)+(IF(QualitéAlimentsGénisses_24_36_mois=MAUVAISE,VLOOKUP("Paille",AlimentsRationBovinsFemelles,3,FALSE),0)+(IF(QualitéAlimentsTaureaux=MAUVAISE,VLOOKUP("Paille",AlimentsRationBovinsMâles,2,FALSE),0)+(IF(QualitéAlimentsVaches=MAUVAISE,VLOOKUP("Paille",AlimentsRationBovinsFemelles,2,FALSE),0)+SUM(LitièreBovins[[#Totals],[Litière tout bovins]:[litière races laitières]]))))))))))))))))</f>
        <v>0</v>
      </c>
      <c r="BF363" s="1321"/>
      <c r="BG363" s="1321"/>
      <c r="BH363" s="1321"/>
      <c r="BI363" s="1321"/>
      <c r="BJ363" s="1321"/>
      <c r="BK363" s="1345"/>
      <c r="BL363" s="1345"/>
      <c r="BM363" s="1346"/>
      <c r="BN363" s="1321"/>
      <c r="BO363" s="1321"/>
      <c r="BP363" s="1321"/>
      <c r="BQ363" s="1321"/>
      <c r="BR363" s="1321"/>
      <c r="BS363" s="1321"/>
      <c r="BT363" s="1321"/>
      <c r="BU363" s="1321"/>
      <c r="BV363" s="1345"/>
      <c r="BW363" s="1345"/>
      <c r="BX363" s="1321"/>
      <c r="BY363" s="1321"/>
      <c r="BZ363" s="1321"/>
      <c r="CA363" s="1321"/>
      <c r="CB363" s="1321"/>
      <c r="CC363" s="1321"/>
      <c r="CD363" s="1345"/>
      <c r="CE363" s="1345"/>
      <c r="CF363" s="1321"/>
      <c r="CG363" s="1321"/>
      <c r="CH363" s="1321"/>
      <c r="CI363" s="1321"/>
      <c r="CJ363" s="1321"/>
      <c r="CK363" s="1321"/>
      <c r="CL363" s="1321"/>
      <c r="CM363" s="1321"/>
      <c r="CN363" s="1321"/>
      <c r="CO363" s="1321"/>
      <c r="CP363" s="1321"/>
      <c r="CQ363" s="1321"/>
      <c r="CR363" s="1321"/>
      <c r="CS363" s="1321"/>
      <c r="CT363" s="1321"/>
      <c r="CU363" s="1321"/>
      <c r="CV363" s="1321"/>
      <c r="CW363" s="1321"/>
      <c r="CX363" s="1321"/>
      <c r="CY363" s="1321"/>
      <c r="CZ363" s="1321"/>
      <c r="DA363" s="1321"/>
      <c r="DB363" s="1321"/>
      <c r="DC363" s="1321"/>
      <c r="DD363" s="1321"/>
      <c r="DE363" s="1321"/>
      <c r="DF363" s="1321"/>
      <c r="DG363" s="1321"/>
      <c r="DH363" s="1321"/>
      <c r="DI363" s="1321"/>
      <c r="DJ363" s="1321"/>
      <c r="DK363" s="1321"/>
      <c r="DL363" s="1321"/>
      <c r="DM363" s="1321"/>
      <c r="DN363" s="1321"/>
      <c r="DO363" s="1321"/>
      <c r="DP363" s="1321"/>
      <c r="DQ363" s="1321"/>
      <c r="DR363" s="1321"/>
      <c r="DS363" s="1321"/>
      <c r="DT363" s="1321"/>
      <c r="DU363" s="1321"/>
      <c r="DV363" s="1321"/>
      <c r="DW363" s="1321"/>
      <c r="DX363" s="1321"/>
      <c r="DY363" s="1321"/>
      <c r="DZ363" s="1345"/>
      <c r="EA363" s="1345"/>
      <c r="EB363" s="1321"/>
      <c r="EC363" s="1321"/>
      <c r="ED363" s="1321"/>
      <c r="EE363" s="1321"/>
      <c r="EF363" s="1321"/>
      <c r="EG363" s="1321"/>
      <c r="EH363" s="1321"/>
      <c r="EI363" s="1321"/>
      <c r="EJ363" s="1321"/>
      <c r="EK363" s="1345"/>
      <c r="EL363" s="1321"/>
      <c r="EM363" s="1321"/>
      <c r="EN363" s="1321"/>
      <c r="EO363" s="1321"/>
      <c r="EP363" s="1321"/>
      <c r="EQ363" s="1321"/>
      <c r="ER363" s="1345"/>
      <c r="ES363" s="1321"/>
      <c r="ET363" s="1321"/>
      <c r="EU363" s="1321"/>
      <c r="EV363" s="1321"/>
      <c r="EW363" s="1321"/>
      <c r="EX363" s="1321"/>
      <c r="EY363" s="1321"/>
      <c r="EZ363" s="1345"/>
      <c r="FA363" s="1321"/>
      <c r="FB363" s="1321"/>
      <c r="FC363" s="1321"/>
      <c r="FD363" s="1321"/>
      <c r="FE363" s="1321"/>
      <c r="FF363" s="1321"/>
      <c r="FG363" s="1321"/>
      <c r="FH363" s="1321"/>
      <c r="FI363" s="1345"/>
      <c r="FJ363" s="1321"/>
      <c r="FK363" s="1321"/>
      <c r="FL363" s="1321"/>
      <c r="FM363" s="1321"/>
      <c r="FN363" s="1321"/>
      <c r="FO363" s="1321"/>
      <c r="FP363" s="1321"/>
      <c r="FQ363" s="1321"/>
      <c r="FR363" s="1321"/>
      <c r="FS363" s="1345"/>
      <c r="FT363" s="1321"/>
      <c r="FU363" s="1321"/>
      <c r="FV363" s="1321"/>
      <c r="FW363" s="1345"/>
      <c r="FX363" s="1321"/>
      <c r="FY363" s="1321"/>
      <c r="FZ363" s="1321"/>
      <c r="GA363" s="1321"/>
      <c r="GB363" s="1321"/>
      <c r="GC363" s="1321" t="s">
        <v>1349</v>
      </c>
      <c r="GD363" s="1321" t="s">
        <v>1349</v>
      </c>
      <c r="GE363" s="1321" t="s">
        <v>1349</v>
      </c>
      <c r="GF363" s="1321" t="s">
        <v>1349</v>
      </c>
      <c r="GG363" s="1321" t="s">
        <v>1349</v>
      </c>
      <c r="GH363" s="1321" t="s">
        <v>1349</v>
      </c>
      <c r="GI363" s="1321" t="s">
        <v>1349</v>
      </c>
      <c r="GJ363" s="1321" t="s">
        <v>1349</v>
      </c>
      <c r="GK363" s="1321" t="s">
        <v>1349</v>
      </c>
      <c r="GL363" s="1321" t="s">
        <v>1349</v>
      </c>
      <c r="GM363" s="1321" t="s">
        <v>1349</v>
      </c>
      <c r="GN363" s="1321" t="s">
        <v>1349</v>
      </c>
      <c r="GO363" s="1321" t="s">
        <v>1349</v>
      </c>
      <c r="GP363" s="1321" t="s">
        <v>1349</v>
      </c>
      <c r="GQ363" s="1321" t="s">
        <v>1349</v>
      </c>
      <c r="GR363" s="1321" t="s">
        <v>1349</v>
      </c>
      <c r="GS363" s="1321"/>
      <c r="GT363" s="1321"/>
      <c r="GU363" s="1321"/>
      <c r="GV363" s="1321"/>
      <c r="GW363" s="1321"/>
      <c r="GX363" s="1321"/>
      <c r="GY363" s="1321"/>
      <c r="GZ363" s="1321"/>
      <c r="HA363" s="1321"/>
      <c r="HB363" s="1321"/>
      <c r="HC363" s="1321"/>
      <c r="HD363" s="1321"/>
      <c r="HE363" s="1321"/>
      <c r="HF363" s="1321"/>
      <c r="HG363" s="1321"/>
      <c r="HH363" s="1321"/>
      <c r="HI363" s="1321"/>
      <c r="HJ363" s="1321"/>
      <c r="HK363" s="1321"/>
      <c r="HL363" s="1321"/>
      <c r="HM363" s="1321"/>
      <c r="HN363" s="1321"/>
      <c r="HO363" s="1321"/>
      <c r="HP363" s="1321"/>
      <c r="HQ363" s="1321"/>
      <c r="HR363" s="1321"/>
      <c r="HS363" s="1321"/>
      <c r="HT363" s="1321"/>
      <c r="HU363" s="1321"/>
      <c r="HV363" s="1321"/>
      <c r="HW363" s="1321"/>
      <c r="HX363" s="1321"/>
      <c r="HY363" s="1321"/>
      <c r="HZ363" s="1321"/>
      <c r="IA363" s="1321"/>
      <c r="IB363" s="1321"/>
      <c r="IC363" s="1321"/>
      <c r="ID363" s="1321"/>
      <c r="IE363" s="1321"/>
      <c r="IF363" s="1321"/>
      <c r="IG363" s="1321"/>
      <c r="IH363" s="1321"/>
      <c r="II363" s="1321"/>
      <c r="IJ363" s="1321"/>
      <c r="IK363" s="1321"/>
      <c r="IL363" s="1321"/>
      <c r="IM363" s="1321"/>
      <c r="IN363" s="1368"/>
    </row>
    <row r="364" spans="1:248" ht="12.75" customHeight="1" x14ac:dyDescent="0.2">
      <c r="A364" s="1319"/>
      <c r="B364" s="1321"/>
      <c r="C364" s="1321"/>
      <c r="D364" s="1321"/>
      <c r="E364" s="1321"/>
      <c r="F364" s="1321"/>
      <c r="G364" s="1321"/>
      <c r="H364" s="1321"/>
      <c r="I364" s="1321"/>
      <c r="J364" s="1321"/>
      <c r="K364" s="1321"/>
      <c r="L364" s="1321"/>
      <c r="M364" s="1321"/>
      <c r="N364" s="1321"/>
      <c r="O364" s="1321"/>
      <c r="P364" s="1321"/>
      <c r="Q364" s="1321"/>
      <c r="R364" s="1321"/>
      <c r="S364" s="1321"/>
      <c r="T364" s="1321"/>
      <c r="U364" s="1321"/>
      <c r="V364" s="1321"/>
      <c r="W364" s="1321"/>
      <c r="X364" s="1321"/>
      <c r="Y364" s="1321"/>
      <c r="Z364" s="1321"/>
      <c r="AA364" s="1321"/>
      <c r="AB364" s="1321"/>
      <c r="AC364" s="1321"/>
      <c r="AD364" s="1321"/>
      <c r="AE364" s="1321"/>
      <c r="AF364" s="1321"/>
      <c r="AG364" s="1321"/>
      <c r="AH364" s="1321"/>
      <c r="AI364" s="1321"/>
      <c r="AJ364" s="1321"/>
      <c r="AK364" s="1321"/>
      <c r="AL364" s="1321"/>
      <c r="AM364" s="1321"/>
      <c r="AN364" s="1321"/>
      <c r="AO364" s="1321"/>
      <c r="AP364" s="1321"/>
      <c r="AQ364" s="1321"/>
      <c r="AR364" s="1321"/>
      <c r="AS364" s="1321"/>
      <c r="AT364" s="1321"/>
      <c r="AU364" s="1321"/>
      <c r="AV364" s="1321"/>
      <c r="AW364" s="1321"/>
      <c r="AX364" s="1321"/>
      <c r="AY364" s="1321"/>
      <c r="AZ364" s="1321"/>
      <c r="BA364" s="1321"/>
      <c r="BB364" s="1076" t="str">
        <f t="shared" si="81"/>
        <v>Pois</v>
      </c>
      <c r="BC364" s="1267">
        <f t="array" ref="BC364">SUM((IF(QualitéAlimentsVeauxMâles_0_3_mois=BONNE,VLOOKUP("Pois",AlimentsRationBovinsMâles,8,FALSE),0)+(IF(QualitéAlimentsVeauxFemelles_0_3_mois=BONNE,VLOOKUP("Pois",AlimentsRationBovinsFemelles,8,FALSE),0)+(IF(QualitéAlimentsVeauxMâles_3_6_mois=BONNE,VLOOKUP("Pois",AlimentsRationBovinsMâles,7,FALSE),0)+(IF(QualitéAlimentsVeauxFemelles_3_6_mois=BONNE,VLOOKUP("Pois",AlimentsRationBovinsFemelles,7,FALSE),0)+(IF(QualitéAlimentsVeauxMâles_6_12_mois=BONNE,VLOOKUP("Pois",AlimentsRationBovinsMâles,6,FALSE),0)+(IF(QualitéAlimentsVeauxFemelles_6_12_mois=BONNE,VLOOKUP("Pois",AlimentsRationBovinsFemelles,6,FALSE),0)+(IF(QualitéAlimentsTaurillons_12_18_mois=BONNE,VLOOKUP("Pois",AlimentsRationBovinsMâles,5,FALSE),0)+(IF(QualitéAlimentsGénisses_12_18_mois=BONNE,VLOOKUP("Pois",AlimentsRationBovinsFemelles,5,FALSE),0)+(IF(QualitéAlimentsTaurillons_18_24_mois=BONNE,VLOOKUP("Pois",AlimentsRationBovinsMâles,4,FALSE),0)+(IF(QualitéAlimentsGénisses_18_24_mois=BONNE,VLOOKUP("Pois",AlimentsRationBovinsFemelles,4,FALSE),0)+(IF(QualitéAlimentsTaurillons_24_36_mois=BONNE,VLOOKUP("Pois",AlimentsRationBovinsMâles,3,FALSE),0)+(IF(QualitéAlimentsGénisses_24_36_mois=BONNE,VLOOKUP("Pois",AlimentsRationBovinsFemelles,3,FALSE),0)+(IF(QualitéAlimentsTaureaux=BONNE,VLOOKUP("Pois",AlimentsRationBovinsMâles,2,FALSE),0)+(IF(QualitéAlimentsVaches=BONNE,VLOOKUP("Pois",AlimentsRationBovinsFemelles,2,FALSE),0))))))))))))))))</f>
        <v>0</v>
      </c>
      <c r="BD364" s="1267">
        <f t="array" ref="BD364">SUM((IF(QualitéAlimentsVeauxMâles_0_3_mois=MOYENNE,VLOOKUP("Pois",AlimentsRationBovinsMâles,8,FALSE),0)+(IF(QualitéAlimentsVeauxFemelles_0_3_mois=MOYENNE,VLOOKUP("Pois",AlimentsRationBovinsFemelles,8,FALSE),0)+(IF(QualitéAlimentsVeauxMâles_3_6_mois=MOYENNE,VLOOKUP("Pois",AlimentsRationBovinsMâles,7,FALSE),0)+(IF(QualitéAlimentsVeauxFemelles_3_6_mois=MOYENNE,VLOOKUP("Pois",AlimentsRationBovinsFemelles,7,FALSE),0)+(IF(QualitéAlimentsVeauxMâles_6_12_mois=MOYENNE,VLOOKUP("Pois",AlimentsRationBovinsMâles,6,FALSE),0)+(IF(QualitéAlimentsVeauxFemelles_6_12_mois=MOYENNE,VLOOKUP("Pois",AlimentsRationBovinsFemelles,6,FALSE),0)+(IF(QualitéAlimentsTaurillons_12_18_mois=MOYENNE,VLOOKUP("Pois",AlimentsRationBovinsMâles,5,FALSE),0)+(IF(QualitéAlimentsGénisses_12_18_mois=MOYENNE,VLOOKUP("Pois",AlimentsRationBovinsFemelles,5,FALSE),0)+(IF(QualitéAlimentsTaurillons_18_24_mois=MOYENNE,VLOOKUP("Pois",AlimentsRationBovinsMâles,4,FALSE),0)+(IF(QualitéAlimentsGénisses_18_24_mois=MOYENNE,VLOOKUP("Pois",AlimentsRationBovinsFemelles,4,FALSE),0)+(IF(QualitéAlimentsTaurillons_24_36_mois=MOYENNE,VLOOKUP("Pois",AlimentsRationBovinsMâles,3,FALSE),0)+(IF(QualitéAlimentsGénisses_24_36_mois=MOYENNE,VLOOKUP("Pois",AlimentsRationBovinsFemelles,3,FALSE),0)+(IF(QualitéAlimentsTaureaux=MOYENNE,VLOOKUP("Pois",AlimentsRationBovinsMâles,2,FALSE),0)+(IF(QualitéAlimentsVaches=MOYENNE,VLOOKUP("Pois",AlimentsRationBovinsFemelles,2,FALSE),0))))))))))))))))</f>
        <v>0</v>
      </c>
      <c r="BE364" s="1267">
        <f t="array" ref="BE364">SUM((IF(QualitéAlimentsVeauxMâles_0_3_mois=MAUVAISE,VLOOKUP("Pois",AlimentsRationBovinsMâles,8,FALSE),0)+(IF(QualitéAlimentsVeauxFemelles_0_3_mois=MAUVAISE,VLOOKUP("Pois",AlimentsRationBovinsFemelles,8,FALSE),0)+(IF(QualitéAlimentsVeauxMâles_3_6_mois=MAUVAISE,VLOOKUP("Pois",AlimentsRationBovinsMâles,7,FALSE),0)+(IF(QualitéAlimentsVeauxFemelles_3_6_mois=MAUVAISE,VLOOKUP("Pois",AlimentsRationBovinsFemelles,7,FALSE),0)+(IF(QualitéAlimentsVeauxMâles_6_12_mois=MAUVAISE,VLOOKUP("Pois",AlimentsRationBovinsMâles,6,FALSE),0)+(IF(QualitéAlimentsVeauxFemelles_6_12_mois=MAUVAISE,VLOOKUP("Pois",AlimentsRationBovinsFemelles,6,FALSE),0)+(IF(QualitéAlimentsTaurillons_12_18_mois=MAUVAISE,VLOOKUP("Pois",AlimentsRationBovinsMâles,5,FALSE),0)+(IF(QualitéAlimentsGénisses_12_18_mois=MAUVAISE,VLOOKUP("Pois",AlimentsRationBovinsFemelles,5,FALSE),0)+(IF(QualitéAlimentsTaurillons_18_24_mois=MAUVAISE,VLOOKUP("Pois",AlimentsRationBovinsMâles,4,FALSE),0)+(IF(QualitéAlimentsGénisses_18_24_mois=MAUVAISE,VLOOKUP("Pois",AlimentsRationBovinsFemelles,4,FALSE),0)+(IF(QualitéAlimentsTaurillons_24_36_mois=MAUVAISE,VLOOKUP("Pois",AlimentsRationBovinsMâles,3,FALSE),0)+(IF(QualitéAlimentsGénisses_24_36_mois=MAUVAISE,VLOOKUP("Pois",AlimentsRationBovinsFemelles,3,FALSE),0)+(IF(QualitéAlimentsTaureaux=MAUVAISE,VLOOKUP("Pois",AlimentsRationBovinsMâles,2,FALSE),0)+(IF(QualitéAlimentsVaches=MAUVAISE,VLOOKUP("Pois",AlimentsRationBovinsFemelles,2,FALSE),0))))))))))))))))</f>
        <v>0</v>
      </c>
      <c r="BF364" s="1321"/>
      <c r="BG364" s="1321"/>
      <c r="BH364" s="1321"/>
      <c r="BI364" s="1321"/>
      <c r="BJ364" s="1321"/>
      <c r="BK364" s="1345"/>
      <c r="BL364" s="1345"/>
      <c r="BM364" s="1346"/>
      <c r="BN364" s="1321"/>
      <c r="BO364" s="1321"/>
      <c r="BP364" s="1321"/>
      <c r="BQ364" s="1321"/>
      <c r="BR364" s="1321"/>
      <c r="BS364" s="1321"/>
      <c r="BT364" s="1321"/>
      <c r="BU364" s="1321"/>
      <c r="BV364" s="1345"/>
      <c r="BW364" s="1345"/>
      <c r="BX364" s="1321"/>
      <c r="BY364" s="1321"/>
      <c r="BZ364" s="1321"/>
      <c r="CA364" s="1321"/>
      <c r="CB364" s="1321"/>
      <c r="CC364" s="1321"/>
      <c r="CD364" s="1345"/>
      <c r="CE364" s="1345"/>
      <c r="CF364" s="1321"/>
      <c r="CG364" s="1321"/>
      <c r="CH364" s="1321"/>
      <c r="CI364" s="1321"/>
      <c r="CJ364" s="1321"/>
      <c r="CK364" s="1321"/>
      <c r="CL364" s="1321"/>
      <c r="CM364" s="1321"/>
      <c r="CN364" s="1321"/>
      <c r="CO364" s="1321"/>
      <c r="CP364" s="1321"/>
      <c r="CQ364" s="1321"/>
      <c r="CR364" s="1321"/>
      <c r="CS364" s="1321"/>
      <c r="CT364" s="1321"/>
      <c r="CU364" s="1321"/>
      <c r="CV364" s="1321"/>
      <c r="CW364" s="1321"/>
      <c r="CX364" s="1321"/>
      <c r="CY364" s="1321"/>
      <c r="CZ364" s="1321"/>
      <c r="DA364" s="1321"/>
      <c r="DB364" s="1321"/>
      <c r="DC364" s="1321"/>
      <c r="DD364" s="1321"/>
      <c r="DE364" s="1321"/>
      <c r="DF364" s="1321"/>
      <c r="DG364" s="1321"/>
      <c r="DH364" s="1321"/>
      <c r="DI364" s="1321"/>
      <c r="DJ364" s="1321"/>
      <c r="DK364" s="1321"/>
      <c r="DL364" s="1321"/>
      <c r="DM364" s="1321"/>
      <c r="DN364" s="1321"/>
      <c r="DO364" s="1321"/>
      <c r="DP364" s="1321"/>
      <c r="DQ364" s="1321"/>
      <c r="DR364" s="1321"/>
      <c r="DS364" s="1321"/>
      <c r="DT364" s="1321"/>
      <c r="DU364" s="1321"/>
      <c r="DV364" s="1321"/>
      <c r="DW364" s="1321"/>
      <c r="DX364" s="1321"/>
      <c r="DY364" s="1321"/>
      <c r="DZ364" s="1345"/>
      <c r="EA364" s="1345"/>
      <c r="EB364" s="1321"/>
      <c r="EC364" s="1321"/>
      <c r="ED364" s="1321"/>
      <c r="EE364" s="1321"/>
      <c r="EF364" s="1321"/>
      <c r="EG364" s="1321"/>
      <c r="EH364" s="1321"/>
      <c r="EI364" s="1321"/>
      <c r="EJ364" s="1321"/>
      <c r="EK364" s="1345"/>
      <c r="EL364" s="1321"/>
      <c r="EM364" s="1321"/>
      <c r="EN364" s="1321"/>
      <c r="EO364" s="1321"/>
      <c r="EP364" s="1321"/>
      <c r="EQ364" s="1321"/>
      <c r="ER364" s="1345"/>
      <c r="ES364" s="1321"/>
      <c r="ET364" s="1321"/>
      <c r="EU364" s="1321"/>
      <c r="EV364" s="1321"/>
      <c r="EW364" s="1321"/>
      <c r="EX364" s="1321"/>
      <c r="EY364" s="1321"/>
      <c r="EZ364" s="1345"/>
      <c r="FA364" s="1321"/>
      <c r="FB364" s="1321"/>
      <c r="FC364" s="1321"/>
      <c r="FD364" s="1321"/>
      <c r="FE364" s="1321"/>
      <c r="FF364" s="1321"/>
      <c r="FG364" s="1321"/>
      <c r="FH364" s="1321"/>
      <c r="FI364" s="1345"/>
      <c r="FJ364" s="1321"/>
      <c r="FK364" s="1321"/>
      <c r="FL364" s="1321"/>
      <c r="FM364" s="1321"/>
      <c r="FN364" s="1321"/>
      <c r="FO364" s="1321"/>
      <c r="FP364" s="1321"/>
      <c r="FQ364" s="1321"/>
      <c r="FR364" s="1321"/>
      <c r="FS364" s="1345"/>
      <c r="FT364" s="1321"/>
      <c r="FU364" s="1321"/>
      <c r="FV364" s="1321"/>
      <c r="FW364" s="1345"/>
      <c r="FX364" s="1321"/>
      <c r="FY364" s="1321"/>
      <c r="FZ364" s="1321"/>
      <c r="GA364" s="1321"/>
      <c r="GB364" s="1321"/>
      <c r="GC364" s="1321" t="s">
        <v>1349</v>
      </c>
      <c r="GD364" s="1321" t="s">
        <v>1349</v>
      </c>
      <c r="GE364" s="1321" t="s">
        <v>1349</v>
      </c>
      <c r="GF364" s="1321" t="s">
        <v>1349</v>
      </c>
      <c r="GG364" s="1321" t="s">
        <v>1349</v>
      </c>
      <c r="GH364" s="1321" t="s">
        <v>1349</v>
      </c>
      <c r="GI364" s="1321" t="s">
        <v>1349</v>
      </c>
      <c r="GJ364" s="1321" t="s">
        <v>1349</v>
      </c>
      <c r="GK364" s="1321" t="s">
        <v>1349</v>
      </c>
      <c r="GL364" s="1321" t="s">
        <v>1349</v>
      </c>
      <c r="GM364" s="1321" t="s">
        <v>1349</v>
      </c>
      <c r="GN364" s="1321" t="s">
        <v>1349</v>
      </c>
      <c r="GO364" s="1321" t="s">
        <v>1349</v>
      </c>
      <c r="GP364" s="1321" t="s">
        <v>1349</v>
      </c>
      <c r="GQ364" s="1321" t="s">
        <v>1349</v>
      </c>
      <c r="GR364" s="1321" t="s">
        <v>1349</v>
      </c>
      <c r="GS364" s="1321"/>
      <c r="GT364" s="1321"/>
      <c r="GU364" s="1321"/>
      <c r="GV364" s="1321"/>
      <c r="GW364" s="1321"/>
      <c r="GX364" s="1321"/>
      <c r="GY364" s="1321"/>
      <c r="GZ364" s="1321"/>
      <c r="HA364" s="1321"/>
      <c r="HB364" s="1321"/>
      <c r="HC364" s="1321"/>
      <c r="HD364" s="1321"/>
      <c r="HE364" s="1321"/>
      <c r="HF364" s="1321"/>
      <c r="HG364" s="1321"/>
      <c r="HH364" s="1321"/>
      <c r="HI364" s="1321"/>
      <c r="HJ364" s="1321"/>
      <c r="HK364" s="1321"/>
      <c r="HL364" s="1321"/>
      <c r="HM364" s="1321"/>
      <c r="HN364" s="1321"/>
      <c r="HO364" s="1321"/>
      <c r="HP364" s="1321"/>
      <c r="HQ364" s="1321"/>
      <c r="HR364" s="1321"/>
      <c r="HS364" s="1321"/>
      <c r="HT364" s="1321"/>
      <c r="HU364" s="1321"/>
      <c r="HV364" s="1321"/>
      <c r="HW364" s="1321"/>
      <c r="HX364" s="1321"/>
      <c r="HY364" s="1321"/>
      <c r="HZ364" s="1321"/>
      <c r="IA364" s="1321"/>
      <c r="IB364" s="1321"/>
      <c r="IC364" s="1321"/>
      <c r="ID364" s="1321"/>
      <c r="IE364" s="1321"/>
      <c r="IF364" s="1321"/>
      <c r="IG364" s="1321"/>
      <c r="IH364" s="1321"/>
      <c r="II364" s="1321"/>
      <c r="IJ364" s="1321"/>
      <c r="IK364" s="1321"/>
      <c r="IL364" s="1321"/>
      <c r="IM364" s="1321"/>
      <c r="IN364" s="1368"/>
    </row>
    <row r="365" spans="1:248" ht="12.75" customHeight="1" x14ac:dyDescent="0.2">
      <c r="A365" s="1319"/>
      <c r="B365" s="1321"/>
      <c r="C365" s="1321"/>
      <c r="D365" s="1321"/>
      <c r="E365" s="1321"/>
      <c r="F365" s="1321"/>
      <c r="G365" s="1321"/>
      <c r="H365" s="1321"/>
      <c r="I365" s="1321"/>
      <c r="J365" s="1321"/>
      <c r="K365" s="1321"/>
      <c r="L365" s="1321"/>
      <c r="M365" s="1321"/>
      <c r="N365" s="1321"/>
      <c r="O365" s="1321"/>
      <c r="P365" s="1321"/>
      <c r="Q365" s="1321"/>
      <c r="R365" s="1321"/>
      <c r="S365" s="1321"/>
      <c r="T365" s="1321"/>
      <c r="U365" s="1321"/>
      <c r="V365" s="1321"/>
      <c r="W365" s="1321"/>
      <c r="X365" s="1321"/>
      <c r="Y365" s="1321"/>
      <c r="Z365" s="1321"/>
      <c r="AA365" s="1321"/>
      <c r="AB365" s="1321"/>
      <c r="AC365" s="1321"/>
      <c r="AD365" s="1321"/>
      <c r="AE365" s="1321"/>
      <c r="AF365" s="1321"/>
      <c r="AG365" s="1321"/>
      <c r="AH365" s="1321"/>
      <c r="AI365" s="1321"/>
      <c r="AJ365" s="1321"/>
      <c r="AK365" s="1321"/>
      <c r="AL365" s="1321"/>
      <c r="AM365" s="1321"/>
      <c r="AN365" s="1321"/>
      <c r="AO365" s="1321"/>
      <c r="AP365" s="1321"/>
      <c r="AQ365" s="1321"/>
      <c r="AR365" s="1321"/>
      <c r="AS365" s="1321"/>
      <c r="AT365" s="1321"/>
      <c r="AU365" s="1321"/>
      <c r="AV365" s="1321"/>
      <c r="AW365" s="1321"/>
      <c r="AX365" s="1321"/>
      <c r="AY365" s="1321"/>
      <c r="AZ365" s="1321"/>
      <c r="BA365" s="1321"/>
      <c r="BB365" s="1075" t="str">
        <f t="shared" si="81"/>
        <v>Pomme de terre</v>
      </c>
      <c r="BC365" s="1269">
        <f t="array" ref="BC365">SUM((IF(QualitéAlimentsVeauxMâles_0_3_mois=BONNE,VLOOKUP("Pomme de terre",AlimentsRationBovinsMâles,8,FALSE),0)+(IF(QualitéAlimentsVeauxFemelles_0_3_mois=BONNE,VLOOKUP("Pomme de terre",AlimentsRationBovinsFemelles,8,FALSE),0)+(IF(QualitéAlimentsVeauxMâles_3_6_mois=BONNE,VLOOKUP("Pomme de terre",AlimentsRationBovinsMâles,7,FALSE),0)+(IF(QualitéAlimentsVeauxFemelles_3_6_mois=BONNE,VLOOKUP("Pomme de terre",AlimentsRationBovinsFemelles,7,FALSE),0)+(IF(QualitéAlimentsVeauxMâles_6_12_mois=BONNE,VLOOKUP("Pomme de terre",AlimentsRationBovinsMâles,6,FALSE),0)+(IF(QualitéAlimentsVeauxFemelles_6_12_mois=BONNE,VLOOKUP("Pomme de terre",AlimentsRationBovinsFemelles,6,FALSE),0)+(IF(QualitéAlimentsTaurillons_12_18_mois=BONNE,VLOOKUP("Pomme de terre",AlimentsRationBovinsMâles,5,FALSE),0)+(IF(QualitéAlimentsGénisses_12_18_mois=BONNE,VLOOKUP("Pomme de terre",AlimentsRationBovinsFemelles,5,FALSE),0)+(IF(QualitéAlimentsTaurillons_18_24_mois=BONNE,VLOOKUP("Pomme de terre",AlimentsRationBovinsMâles,4,FALSE),0)+(IF(QualitéAlimentsGénisses_18_24_mois=BONNE,VLOOKUP("Pomme de terre",AlimentsRationBovinsFemelles,4,FALSE),0)+(IF(QualitéAlimentsTaurillons_24_36_mois=BONNE,VLOOKUP("Pomme de terre",AlimentsRationBovinsMâles,3,FALSE),0)+(IF(QualitéAlimentsGénisses_24_36_mois=BONNE,VLOOKUP("Pomme de terre",AlimentsRationBovinsFemelles,3,FALSE),0)+(IF(QualitéAlimentsTaureaux=BONNE,VLOOKUP("Pomme de terre",AlimentsRationBovinsMâles,2,FALSE),0)+(IF(QualitéAlimentsVaches=BONNE,VLOOKUP("Pomme de terre",AlimentsRationBovinsFemelles,2,FALSE),0))))))))))))))))</f>
        <v>0</v>
      </c>
      <c r="BD365" s="1269">
        <f t="array" ref="BD365">SUM((IF(QualitéAlimentsVeauxMâles_0_3_mois=MOYENNE,VLOOKUP("Pomme de terre",AlimentsRationBovinsMâles,8,FALSE),0)+(IF(QualitéAlimentsVeauxFemelles_0_3_mois=MOYENNE,VLOOKUP("Pomme de terre",AlimentsRationBovinsFemelles,8,FALSE),0)+(IF(QualitéAlimentsVeauxMâles_3_6_mois=MOYENNE,VLOOKUP("Pomme de terre",AlimentsRationBovinsMâles,7,FALSE),0)+(IF(QualitéAlimentsVeauxFemelles_3_6_mois=MOYENNE,VLOOKUP("Pomme de terre",AlimentsRationBovinsFemelles,7,FALSE),0)+(IF(QualitéAlimentsVeauxMâles_6_12_mois=MOYENNE,VLOOKUP("Pomme de terre",AlimentsRationBovinsMâles,6,FALSE),0)+(IF(QualitéAlimentsVeauxFemelles_6_12_mois=MOYENNE,VLOOKUP("Pomme de terre",AlimentsRationBovinsFemelles,6,FALSE),0)+(IF(QualitéAlimentsTaurillons_12_18_mois=MOYENNE,VLOOKUP("Pomme de terre",AlimentsRationBovinsMâles,5,FALSE),0)+(IF(QualitéAlimentsGénisses_12_18_mois=MOYENNE,VLOOKUP("Pomme de terre",AlimentsRationBovinsFemelles,5,FALSE),0)+(IF(QualitéAlimentsTaurillons_18_24_mois=MOYENNE,VLOOKUP("Pomme de terre",AlimentsRationBovinsMâles,4,FALSE),0)+(IF(QualitéAlimentsGénisses_18_24_mois=MOYENNE,VLOOKUP("Pomme de terre",AlimentsRationBovinsFemelles,4,FALSE),0)+(IF(QualitéAlimentsTaurillons_24_36_mois=MOYENNE,VLOOKUP("Pomme de terre",AlimentsRationBovinsMâles,3,FALSE),0)+(IF(QualitéAlimentsGénisses_24_36_mois=MOYENNE,VLOOKUP("Pomme de terre",AlimentsRationBovinsFemelles,3,FALSE),0)+(IF(QualitéAlimentsTaureaux=MOYENNE,VLOOKUP("Pomme de terre",AlimentsRationBovinsMâles,2,FALSE),0)+(IF(QualitéAlimentsVaches=MOYENNE,VLOOKUP("Pomme de terre",AlimentsRationBovinsFemelles,2,FALSE),0))))))))))))))))</f>
        <v>0</v>
      </c>
      <c r="BE365" s="1269">
        <f t="array" ref="BE365">SUM((IF(QualitéAlimentsVeauxMâles_0_3_mois=MAUVAISE,VLOOKUP("Pomme de terre",AlimentsRationBovinsMâles,8,FALSE),0)+(IF(QualitéAlimentsVeauxFemelles_0_3_mois=MAUVAISE,VLOOKUP("Pomme de terre",AlimentsRationBovinsFemelles,8,FALSE),0)+(IF(QualitéAlimentsVeauxMâles_3_6_mois=MAUVAISE,VLOOKUP("Pomme de terre",AlimentsRationBovinsMâles,7,FALSE),0)+(IF(QualitéAlimentsVeauxFemelles_3_6_mois=MAUVAISE,VLOOKUP("Pomme de terre",AlimentsRationBovinsFemelles,7,FALSE),0)+(IF(QualitéAlimentsVeauxMâles_6_12_mois=MAUVAISE,VLOOKUP("Pomme de terre",AlimentsRationBovinsMâles,6,FALSE),0)+(IF(QualitéAlimentsVeauxFemelles_6_12_mois=MAUVAISE,VLOOKUP("Pomme de terre",AlimentsRationBovinsFemelles,6,FALSE),0)+(IF(QualitéAlimentsTaurillons_12_18_mois=MAUVAISE,VLOOKUP("Pomme de terre",AlimentsRationBovinsMâles,5,FALSE),0)+(IF(QualitéAlimentsGénisses_12_18_mois=MAUVAISE,VLOOKUP("Pomme de terre",AlimentsRationBovinsFemelles,5,FALSE),0)+(IF(QualitéAlimentsTaurillons_18_24_mois=MAUVAISE,VLOOKUP("Pomme de terre",AlimentsRationBovinsMâles,4,FALSE),0)+(IF(QualitéAlimentsGénisses_18_24_mois=MAUVAISE,VLOOKUP("Pomme de terre",AlimentsRationBovinsFemelles,4,FALSE),0)+(IF(QualitéAlimentsTaurillons_24_36_mois=MAUVAISE,VLOOKUP("Pomme de terre",AlimentsRationBovinsMâles,3,FALSE),0)+(IF(QualitéAlimentsGénisses_24_36_mois=MAUVAISE,VLOOKUP("Pomme de terre",AlimentsRationBovinsFemelles,3,FALSE),0)+(IF(QualitéAlimentsTaureaux=MAUVAISE,VLOOKUP("Pomme de terre",AlimentsRationBovinsMâles,2,FALSE),0)+(IF(QualitéAlimentsVaches=MAUVAISE,VLOOKUP("Pomme de terre",AlimentsRationBovinsFemelles,2,FALSE),0))))))))))))))))</f>
        <v>0</v>
      </c>
      <c r="BF365" s="1321"/>
      <c r="BG365" s="1321"/>
      <c r="BH365" s="1321"/>
      <c r="BI365" s="1321"/>
      <c r="BJ365" s="1321"/>
      <c r="BK365" s="1345"/>
      <c r="BL365" s="1345"/>
      <c r="BM365" s="1346"/>
      <c r="BN365" s="1321"/>
      <c r="BO365" s="1321"/>
      <c r="BP365" s="1321"/>
      <c r="BQ365" s="1321"/>
      <c r="BR365" s="1321"/>
      <c r="BS365" s="1321"/>
      <c r="BT365" s="1321"/>
      <c r="BU365" s="1321"/>
      <c r="BV365" s="1345"/>
      <c r="BW365" s="1345"/>
      <c r="BX365" s="1321"/>
      <c r="BY365" s="1321"/>
      <c r="BZ365" s="1321"/>
      <c r="CA365" s="1321"/>
      <c r="CB365" s="1321"/>
      <c r="CC365" s="1321"/>
      <c r="CD365" s="1345"/>
      <c r="CE365" s="1345"/>
      <c r="CF365" s="1321"/>
      <c r="CG365" s="1321"/>
      <c r="CH365" s="1321"/>
      <c r="CI365" s="1321"/>
      <c r="CJ365" s="1321"/>
      <c r="CK365" s="1321"/>
      <c r="CL365" s="1321"/>
      <c r="CM365" s="1321"/>
      <c r="CN365" s="1321"/>
      <c r="CO365" s="1321"/>
      <c r="CP365" s="1321"/>
      <c r="CQ365" s="1321"/>
      <c r="CR365" s="1321"/>
      <c r="CS365" s="1321"/>
      <c r="CT365" s="1321"/>
      <c r="CU365" s="1321"/>
      <c r="CV365" s="1321"/>
      <c r="CW365" s="1321"/>
      <c r="CX365" s="1321"/>
      <c r="CY365" s="1321"/>
      <c r="CZ365" s="1321"/>
      <c r="DA365" s="1321"/>
      <c r="DB365" s="1321"/>
      <c r="DC365" s="1321"/>
      <c r="DD365" s="1321"/>
      <c r="DE365" s="1321"/>
      <c r="DF365" s="1321"/>
      <c r="DG365" s="1321"/>
      <c r="DH365" s="1321"/>
      <c r="DI365" s="1321"/>
      <c r="DJ365" s="1321"/>
      <c r="DK365" s="1321"/>
      <c r="DL365" s="1321"/>
      <c r="DM365" s="1321"/>
      <c r="DN365" s="1321"/>
      <c r="DO365" s="1321"/>
      <c r="DP365" s="1321"/>
      <c r="DQ365" s="1321"/>
      <c r="DR365" s="1321"/>
      <c r="DS365" s="1321"/>
      <c r="DT365" s="1321"/>
      <c r="DU365" s="1321"/>
      <c r="DV365" s="1321"/>
      <c r="DW365" s="1321"/>
      <c r="DX365" s="1321"/>
      <c r="DY365" s="1321"/>
      <c r="DZ365" s="1345"/>
      <c r="EA365" s="1345"/>
      <c r="EB365" s="1321"/>
      <c r="EC365" s="1321"/>
      <c r="ED365" s="1321"/>
      <c r="EE365" s="1321"/>
      <c r="EF365" s="1321"/>
      <c r="EG365" s="1321"/>
      <c r="EH365" s="1321"/>
      <c r="EI365" s="1321"/>
      <c r="EJ365" s="1321"/>
      <c r="EK365" s="1345"/>
      <c r="EL365" s="1321"/>
      <c r="EM365" s="1321"/>
      <c r="EN365" s="1321"/>
      <c r="EO365" s="1321"/>
      <c r="EP365" s="1321"/>
      <c r="EQ365" s="1321"/>
      <c r="ER365" s="1345"/>
      <c r="ES365" s="1321"/>
      <c r="ET365" s="1321"/>
      <c r="EU365" s="1321"/>
      <c r="EV365" s="1321"/>
      <c r="EW365" s="1321"/>
      <c r="EX365" s="1321"/>
      <c r="EY365" s="1321"/>
      <c r="EZ365" s="1345"/>
      <c r="FA365" s="1321"/>
      <c r="FB365" s="1321"/>
      <c r="FC365" s="1321"/>
      <c r="FD365" s="1321"/>
      <c r="FE365" s="1321"/>
      <c r="FF365" s="1321"/>
      <c r="FG365" s="1321"/>
      <c r="FH365" s="1321"/>
      <c r="FI365" s="1345"/>
      <c r="FJ365" s="1321"/>
      <c r="FK365" s="1321"/>
      <c r="FL365" s="1321"/>
      <c r="FM365" s="1321"/>
      <c r="FN365" s="1321"/>
      <c r="FO365" s="1321"/>
      <c r="FP365" s="1321"/>
      <c r="FQ365" s="1321"/>
      <c r="FR365" s="1321"/>
      <c r="FS365" s="1345"/>
      <c r="FT365" s="1321"/>
      <c r="FU365" s="1321"/>
      <c r="FV365" s="1321"/>
      <c r="FW365" s="1345"/>
      <c r="FX365" s="1321"/>
      <c r="FY365" s="1321"/>
      <c r="FZ365" s="1321"/>
      <c r="GA365" s="1321"/>
      <c r="GB365" s="1321"/>
      <c r="GC365" s="1321" t="s">
        <v>1349</v>
      </c>
      <c r="GD365" s="1321" t="s">
        <v>1349</v>
      </c>
      <c r="GE365" s="1321" t="s">
        <v>1349</v>
      </c>
      <c r="GF365" s="1321" t="s">
        <v>1349</v>
      </c>
      <c r="GG365" s="1321" t="s">
        <v>1349</v>
      </c>
      <c r="GH365" s="1321" t="s">
        <v>1349</v>
      </c>
      <c r="GI365" s="1321" t="s">
        <v>1349</v>
      </c>
      <c r="GJ365" s="1321" t="s">
        <v>1349</v>
      </c>
      <c r="GK365" s="1321" t="s">
        <v>1349</v>
      </c>
      <c r="GL365" s="1321" t="s">
        <v>1349</v>
      </c>
      <c r="GM365" s="1321" t="s">
        <v>1349</v>
      </c>
      <c r="GN365" s="1321" t="s">
        <v>1349</v>
      </c>
      <c r="GO365" s="1321" t="s">
        <v>1349</v>
      </c>
      <c r="GP365" s="1321" t="s">
        <v>1349</v>
      </c>
      <c r="GQ365" s="1321" t="s">
        <v>1349</v>
      </c>
      <c r="GR365" s="1321" t="s">
        <v>1349</v>
      </c>
      <c r="GS365" s="1321"/>
      <c r="GT365" s="1321"/>
      <c r="GU365" s="1321"/>
      <c r="GV365" s="1321"/>
      <c r="GW365" s="1321"/>
      <c r="GX365" s="1321"/>
      <c r="GY365" s="1321"/>
      <c r="GZ365" s="1321"/>
      <c r="HA365" s="1321"/>
      <c r="HB365" s="1321"/>
      <c r="HC365" s="1321"/>
      <c r="HD365" s="1321"/>
      <c r="HE365" s="1321"/>
      <c r="HF365" s="1321"/>
      <c r="HG365" s="1321"/>
      <c r="HH365" s="1321"/>
      <c r="HI365" s="1321"/>
      <c r="HJ365" s="1321"/>
      <c r="HK365" s="1321"/>
      <c r="HL365" s="1321"/>
      <c r="HM365" s="1321"/>
      <c r="HN365" s="1321"/>
      <c r="HO365" s="1321"/>
      <c r="HP365" s="1321"/>
      <c r="HQ365" s="1321"/>
      <c r="HR365" s="1321"/>
      <c r="HS365" s="1321"/>
      <c r="HT365" s="1321"/>
      <c r="HU365" s="1321"/>
      <c r="HV365" s="1321"/>
      <c r="HW365" s="1321"/>
      <c r="HX365" s="1321"/>
      <c r="HY365" s="1321"/>
      <c r="HZ365" s="1321"/>
      <c r="IA365" s="1321"/>
      <c r="IB365" s="1321"/>
      <c r="IC365" s="1321"/>
      <c r="ID365" s="1321"/>
      <c r="IE365" s="1321"/>
      <c r="IF365" s="1321"/>
      <c r="IG365" s="1321"/>
      <c r="IH365" s="1321"/>
      <c r="II365" s="1321"/>
      <c r="IJ365" s="1321"/>
      <c r="IK365" s="1321"/>
      <c r="IL365" s="1321"/>
      <c r="IM365" s="1321"/>
      <c r="IN365" s="1368"/>
    </row>
    <row r="366" spans="1:248" ht="12.75" customHeight="1" x14ac:dyDescent="0.2">
      <c r="A366" s="1319"/>
      <c r="B366" s="1321"/>
      <c r="C366" s="1321"/>
      <c r="D366" s="1321"/>
      <c r="E366" s="1321"/>
      <c r="F366" s="1321"/>
      <c r="G366" s="1321"/>
      <c r="H366" s="1321"/>
      <c r="I366" s="1321"/>
      <c r="J366" s="1321"/>
      <c r="K366" s="1321"/>
      <c r="L366" s="1321"/>
      <c r="M366" s="1321"/>
      <c r="N366" s="1321"/>
      <c r="O366" s="1321"/>
      <c r="P366" s="1321"/>
      <c r="Q366" s="1321"/>
      <c r="R366" s="1321"/>
      <c r="S366" s="1321"/>
      <c r="T366" s="1321"/>
      <c r="U366" s="1321"/>
      <c r="V366" s="1321"/>
      <c r="W366" s="1321"/>
      <c r="X366" s="1321"/>
      <c r="Y366" s="1321"/>
      <c r="Z366" s="1321"/>
      <c r="AA366" s="1321"/>
      <c r="AB366" s="1321"/>
      <c r="AC366" s="1321"/>
      <c r="AD366" s="1321"/>
      <c r="AE366" s="1321"/>
      <c r="AF366" s="1321"/>
      <c r="AG366" s="1321"/>
      <c r="AH366" s="1321"/>
      <c r="AI366" s="1321"/>
      <c r="AJ366" s="1321"/>
      <c r="AK366" s="1321"/>
      <c r="AL366" s="1321"/>
      <c r="AM366" s="1321"/>
      <c r="AN366" s="1321"/>
      <c r="AO366" s="1321"/>
      <c r="AP366" s="1321"/>
      <c r="AQ366" s="1321"/>
      <c r="AR366" s="1321"/>
      <c r="AS366" s="1321"/>
      <c r="AT366" s="1321"/>
      <c r="AU366" s="1321"/>
      <c r="AV366" s="1321"/>
      <c r="AW366" s="1321"/>
      <c r="AX366" s="1321"/>
      <c r="AY366" s="1321"/>
      <c r="AZ366" s="1321"/>
      <c r="BA366" s="1321"/>
      <c r="BB366" s="1076" t="str">
        <f t="shared" si="81"/>
        <v>Pulpe déshydratée de betterave</v>
      </c>
      <c r="BC366" s="1267">
        <f t="array" ref="BC366">SUM((IF(QualitéAlimentsVeauxMâles_0_3_mois=BONNE,VLOOKUP("Pulpe déshydratée de betterave",AlimentsRationBovinsMâles,8,FALSE),0)+(IF(QualitéAlimentsVeauxFemelles_0_3_mois=BONNE,VLOOKUP("Pulpe déshydratée de betterave",AlimentsRationBovinsFemelles,8,FALSE),0)+(IF(QualitéAlimentsVeauxMâles_3_6_mois=BONNE,VLOOKUP("Pulpe déshydratée de betterave",AlimentsRationBovinsMâles,7,FALSE),0)+(IF(QualitéAlimentsVeauxFemelles_3_6_mois=BONNE,VLOOKUP("Pulpe déshydratée de betterave",AlimentsRationBovinsFemelles,7,FALSE),0)+(IF(QualitéAlimentsVeauxMâles_6_12_mois=BONNE,VLOOKUP("Pulpe déshydratée de betterave",AlimentsRationBovinsMâles,6,FALSE),0)+(IF(QualitéAlimentsVeauxFemelles_6_12_mois=BONNE,VLOOKUP("Pulpe déshydratée de betterave",AlimentsRationBovinsFemelles,6,FALSE),0)+(IF(QualitéAlimentsTaurillons_12_18_mois=BONNE,VLOOKUP("Pulpe déshydratée de betterave",AlimentsRationBovinsMâles,5,FALSE),0)+(IF(QualitéAlimentsGénisses_12_18_mois=BONNE,VLOOKUP("Pulpe déshydratée de betterave",AlimentsRationBovinsFemelles,5,FALSE),0)+(IF(QualitéAlimentsTaurillons_18_24_mois=BONNE,VLOOKUP("Pulpe déshydratée de betterave",AlimentsRationBovinsMâles,4,FALSE),0)+(IF(QualitéAlimentsGénisses_18_24_mois=BONNE,VLOOKUP("Pulpe déshydratée de betterave",AlimentsRationBovinsFemelles,4,FALSE),0)+(IF(QualitéAlimentsTaurillons_24_36_mois=BONNE,VLOOKUP("Pulpe déshydratée de betterave",AlimentsRationBovinsMâles,3,FALSE),0)+(IF(QualitéAlimentsGénisses_24_36_mois=BONNE,VLOOKUP("Pulpe déshydratée de betterave",AlimentsRationBovinsFemelles,3,FALSE),0)+(IF(QualitéAlimentsTaureaux=BONNE,VLOOKUP("Pulpe déshydratée de betterave",AlimentsRationBovinsMâles,2,FALSE),0)+(IF(QualitéAlimentsVaches=BONNE,VLOOKUP("Pulpe déshydratée de betterave",AlimentsRationBovinsFemelles,2,FALSE),0))))))))))))))))</f>
        <v>0</v>
      </c>
      <c r="BD366" s="1267">
        <f t="array" ref="BD366">SUM((IF(QualitéAlimentsVeauxMâles_0_3_mois=MOYENNE,VLOOKUP("Pulpe déshydratée de betterave",AlimentsRationBovinsMâles,8,FALSE),0)+(IF(QualitéAlimentsVeauxFemelles_0_3_mois=MOYENNE,VLOOKUP("Pulpe déshydratée de betterave",AlimentsRationBovinsFemelles,8,FALSE),0)+(IF(QualitéAlimentsVeauxMâles_3_6_mois=MOYENNE,VLOOKUP("Pulpe déshydratée de betterave",AlimentsRationBovinsMâles,7,FALSE),0)+(IF(QualitéAlimentsVeauxFemelles_3_6_mois=MOYENNE,VLOOKUP("Pulpe déshydratée de betterave",AlimentsRationBovinsFemelles,7,FALSE),0)+(IF(QualitéAlimentsVeauxMâles_6_12_mois=MOYENNE,VLOOKUP("Pulpe déshydratée de betterave",AlimentsRationBovinsMâles,6,FALSE),0)+(IF(QualitéAlimentsVeauxFemelles_6_12_mois=MOYENNE,VLOOKUP("Pulpe déshydratée de betterave",AlimentsRationBovinsFemelles,6,FALSE),0)+(IF(QualitéAlimentsTaurillons_12_18_mois=MOYENNE,VLOOKUP("Pulpe déshydratée de betterave",AlimentsRationBovinsMâles,5,FALSE),0)+(IF(QualitéAlimentsGénisses_12_18_mois=MOYENNE,VLOOKUP("Pulpe déshydratée de betterave",AlimentsRationBovinsFemelles,5,FALSE),0)+(IF(QualitéAlimentsTaurillons_18_24_mois=MOYENNE,VLOOKUP("Pulpe déshydratée de betterave",AlimentsRationBovinsMâles,4,FALSE),0)+(IF(QualitéAlimentsGénisses_18_24_mois=MOYENNE,VLOOKUP("Pulpe déshydratée de betterave",AlimentsRationBovinsFemelles,4,FALSE),0)+(IF(QualitéAlimentsTaurillons_24_36_mois=MOYENNE,VLOOKUP("Pulpe déshydratée de betterave",AlimentsRationBovinsMâles,3,FALSE),0)+(IF(QualitéAlimentsGénisses_24_36_mois=MOYENNE,VLOOKUP("Pulpe déshydratée de betterave",AlimentsRationBovinsFemelles,3,FALSE),0)+(IF(QualitéAlimentsTaureaux=MOYENNE,VLOOKUP("Pulpe déshydratée de betterave",AlimentsRationBovinsMâles,2,FALSE),0)+(IF(QualitéAlimentsVaches=MOYENNE,VLOOKUP("Pulpe déshydratée de betterave",AlimentsRationBovinsFemelles,2,FALSE),0))))))))))))))))</f>
        <v>0</v>
      </c>
      <c r="BE366" s="1267">
        <f t="array" ref="BE366">SUM((IF(QualitéAlimentsVeauxMâles_0_3_mois=MAUVAISE,VLOOKUP("Pulpe déshydratée de betterave",AlimentsRationBovinsMâles,8,FALSE),0)+(IF(QualitéAlimentsVeauxFemelles_0_3_mois=MAUVAISE,VLOOKUP("Pulpe déshydratée de betterave",AlimentsRationBovinsFemelles,8,FALSE),0)+(IF(QualitéAlimentsVeauxMâles_3_6_mois=MAUVAISE,VLOOKUP("Pulpe déshydratée de betterave",AlimentsRationBovinsMâles,7,FALSE),0)+(IF(QualitéAlimentsVeauxFemelles_3_6_mois=MAUVAISE,VLOOKUP("Pulpe déshydratée de betterave",AlimentsRationBovinsFemelles,7,FALSE),0)+(IF(QualitéAlimentsVeauxMâles_6_12_mois=MAUVAISE,VLOOKUP("Pulpe déshydratée de betterave",AlimentsRationBovinsMâles,6,FALSE),0)+(IF(QualitéAlimentsVeauxFemelles_6_12_mois=MAUVAISE,VLOOKUP("Pulpe déshydratée de betterave",AlimentsRationBovinsFemelles,6,FALSE),0)+(IF(QualitéAlimentsTaurillons_12_18_mois=MAUVAISE,VLOOKUP("Pulpe déshydratée de betterave",AlimentsRationBovinsMâles,5,FALSE),0)+(IF(QualitéAlimentsGénisses_12_18_mois=MAUVAISE,VLOOKUP("Pulpe déshydratée de betterave",AlimentsRationBovinsFemelles,5,FALSE),0)+(IF(QualitéAlimentsTaurillons_18_24_mois=MAUVAISE,VLOOKUP("Pulpe déshydratée de betterave",AlimentsRationBovinsMâles,4,FALSE),0)+(IF(QualitéAlimentsGénisses_18_24_mois=MAUVAISE,VLOOKUP("Pulpe déshydratée de betterave",AlimentsRationBovinsFemelles,4,FALSE),0)+(IF(QualitéAlimentsTaurillons_24_36_mois=MAUVAISE,VLOOKUP("Pulpe déshydratée de betterave",AlimentsRationBovinsMâles,3,FALSE),0)+(IF(QualitéAlimentsGénisses_24_36_mois=MAUVAISE,VLOOKUP("Pulpe déshydratée de betterave",AlimentsRationBovinsFemelles,3,FALSE),0)+(IF(QualitéAlimentsTaureaux=MAUVAISE,VLOOKUP("Pulpe déshydratée de betterave",AlimentsRationBovinsMâles,2,FALSE),0)+(IF(QualitéAlimentsVaches=MAUVAISE,VLOOKUP("Pulpe déshydratée de betterave",AlimentsRationBovinsFemelles,2,FALSE),0))))))))))))))))</f>
        <v>0</v>
      </c>
      <c r="BF366" s="1321"/>
      <c r="BG366" s="1321"/>
      <c r="BH366" s="1321"/>
      <c r="BI366" s="1321"/>
      <c r="BJ366" s="1321"/>
      <c r="BK366" s="1345"/>
      <c r="BL366" s="1345"/>
      <c r="BM366" s="1346"/>
      <c r="BN366" s="1321"/>
      <c r="BO366" s="1321"/>
      <c r="BP366" s="1321"/>
      <c r="BQ366" s="1321"/>
      <c r="BR366" s="1321"/>
      <c r="BS366" s="1321"/>
      <c r="BT366" s="1321"/>
      <c r="BU366" s="1321"/>
      <c r="BV366" s="1345"/>
      <c r="BW366" s="1345"/>
      <c r="BX366" s="1321"/>
      <c r="BY366" s="1321"/>
      <c r="BZ366" s="1321"/>
      <c r="CA366" s="1321"/>
      <c r="CB366" s="1321"/>
      <c r="CC366" s="1321"/>
      <c r="CD366" s="1345"/>
      <c r="CE366" s="1345"/>
      <c r="CF366" s="1321"/>
      <c r="CG366" s="1321"/>
      <c r="CH366" s="1321"/>
      <c r="CI366" s="1321"/>
      <c r="CJ366" s="1321"/>
      <c r="CK366" s="1321"/>
      <c r="CL366" s="1321"/>
      <c r="CM366" s="1321"/>
      <c r="CN366" s="1321"/>
      <c r="CO366" s="1321"/>
      <c r="CP366" s="1321"/>
      <c r="CQ366" s="1321"/>
      <c r="CR366" s="1321"/>
      <c r="CS366" s="1321"/>
      <c r="CT366" s="1321"/>
      <c r="CU366" s="1321"/>
      <c r="CV366" s="1321"/>
      <c r="CW366" s="1321"/>
      <c r="CX366" s="1321"/>
      <c r="CY366" s="1321"/>
      <c r="CZ366" s="1321"/>
      <c r="DA366" s="1321"/>
      <c r="DB366" s="1321"/>
      <c r="DC366" s="1321"/>
      <c r="DD366" s="1321"/>
      <c r="DE366" s="1321"/>
      <c r="DF366" s="1321"/>
      <c r="DG366" s="1321"/>
      <c r="DH366" s="1321"/>
      <c r="DI366" s="1321"/>
      <c r="DJ366" s="1321"/>
      <c r="DK366" s="1321"/>
      <c r="DL366" s="1321"/>
      <c r="DM366" s="1321"/>
      <c r="DN366" s="1321"/>
      <c r="DO366" s="1321"/>
      <c r="DP366" s="1321"/>
      <c r="DQ366" s="1321"/>
      <c r="DR366" s="1321"/>
      <c r="DS366" s="1321"/>
      <c r="DT366" s="1321"/>
      <c r="DU366" s="1321"/>
      <c r="DV366" s="1321"/>
      <c r="DW366" s="1321"/>
      <c r="DX366" s="1321"/>
      <c r="DY366" s="1321"/>
      <c r="DZ366" s="1345"/>
      <c r="EA366" s="1345"/>
      <c r="EB366" s="1321"/>
      <c r="EC366" s="1321"/>
      <c r="ED366" s="1321"/>
      <c r="EE366" s="1321"/>
      <c r="EF366" s="1321"/>
      <c r="EG366" s="1321"/>
      <c r="EH366" s="1321"/>
      <c r="EI366" s="1321"/>
      <c r="EJ366" s="1321"/>
      <c r="EK366" s="1345"/>
      <c r="EL366" s="1321"/>
      <c r="EM366" s="1321"/>
      <c r="EN366" s="1321"/>
      <c r="EO366" s="1321"/>
      <c r="EP366" s="1321"/>
      <c r="EQ366" s="1321"/>
      <c r="ER366" s="1345"/>
      <c r="ES366" s="1321"/>
      <c r="ET366" s="1321"/>
      <c r="EU366" s="1321"/>
      <c r="EV366" s="1321"/>
      <c r="EW366" s="1321"/>
      <c r="EX366" s="1321"/>
      <c r="EY366" s="1321"/>
      <c r="EZ366" s="1345"/>
      <c r="FA366" s="1321"/>
      <c r="FB366" s="1321"/>
      <c r="FC366" s="1321"/>
      <c r="FD366" s="1321"/>
      <c r="FE366" s="1321"/>
      <c r="FF366" s="1321"/>
      <c r="FG366" s="1321"/>
      <c r="FH366" s="1321"/>
      <c r="FI366" s="1345"/>
      <c r="FJ366" s="1321"/>
      <c r="FK366" s="1321"/>
      <c r="FL366" s="1321"/>
      <c r="FM366" s="1321"/>
      <c r="FN366" s="1321"/>
      <c r="FO366" s="1321"/>
      <c r="FP366" s="1321"/>
      <c r="FQ366" s="1321"/>
      <c r="FR366" s="1321"/>
      <c r="FS366" s="1345"/>
      <c r="FT366" s="1321"/>
      <c r="FU366" s="1321"/>
      <c r="FV366" s="1321"/>
      <c r="FW366" s="1345"/>
      <c r="FX366" s="1321"/>
      <c r="FY366" s="1321"/>
      <c r="FZ366" s="1321"/>
      <c r="GA366" s="1321"/>
      <c r="GB366" s="1321"/>
      <c r="GC366" s="1321" t="s">
        <v>1349</v>
      </c>
      <c r="GD366" s="1321" t="s">
        <v>1349</v>
      </c>
      <c r="GE366" s="1321" t="s">
        <v>1349</v>
      </c>
      <c r="GF366" s="1321" t="s">
        <v>1349</v>
      </c>
      <c r="GG366" s="1321" t="s">
        <v>1349</v>
      </c>
      <c r="GH366" s="1321" t="s">
        <v>1349</v>
      </c>
      <c r="GI366" s="1321" t="s">
        <v>1349</v>
      </c>
      <c r="GJ366" s="1321" t="s">
        <v>1349</v>
      </c>
      <c r="GK366" s="1321" t="s">
        <v>1349</v>
      </c>
      <c r="GL366" s="1321" t="s">
        <v>1349</v>
      </c>
      <c r="GM366" s="1321" t="s">
        <v>1349</v>
      </c>
      <c r="GN366" s="1321" t="s">
        <v>1349</v>
      </c>
      <c r="GO366" s="1321" t="s">
        <v>1349</v>
      </c>
      <c r="GP366" s="1321" t="s">
        <v>1349</v>
      </c>
      <c r="GQ366" s="1321" t="s">
        <v>1349</v>
      </c>
      <c r="GR366" s="1321" t="s">
        <v>1349</v>
      </c>
      <c r="GS366" s="1321"/>
      <c r="GT366" s="1321"/>
      <c r="GU366" s="1321"/>
      <c r="GV366" s="1321"/>
      <c r="GW366" s="1321"/>
      <c r="GX366" s="1321"/>
      <c r="GY366" s="1321"/>
      <c r="GZ366" s="1321"/>
      <c r="HA366" s="1321"/>
      <c r="HB366" s="1321"/>
      <c r="HC366" s="1321"/>
      <c r="HD366" s="1321"/>
      <c r="HE366" s="1321"/>
      <c r="HF366" s="1321"/>
      <c r="HG366" s="1321"/>
      <c r="HH366" s="1321"/>
      <c r="HI366" s="1321"/>
      <c r="HJ366" s="1321"/>
      <c r="HK366" s="1321"/>
      <c r="HL366" s="1321"/>
      <c r="HM366" s="1321"/>
      <c r="HN366" s="1321"/>
      <c r="HO366" s="1321"/>
      <c r="HP366" s="1321"/>
      <c r="HQ366" s="1321"/>
      <c r="HR366" s="1321"/>
      <c r="HS366" s="1321"/>
      <c r="HT366" s="1321"/>
      <c r="HU366" s="1321"/>
      <c r="HV366" s="1321"/>
      <c r="HW366" s="1321"/>
      <c r="HX366" s="1321"/>
      <c r="HY366" s="1321"/>
      <c r="HZ366" s="1321"/>
      <c r="IA366" s="1321"/>
      <c r="IB366" s="1321"/>
      <c r="IC366" s="1321"/>
      <c r="ID366" s="1321"/>
      <c r="IE366" s="1321"/>
      <c r="IF366" s="1321"/>
      <c r="IG366" s="1321"/>
      <c r="IH366" s="1321"/>
      <c r="II366" s="1321"/>
      <c r="IJ366" s="1321"/>
      <c r="IK366" s="1321"/>
      <c r="IL366" s="1321"/>
      <c r="IM366" s="1321"/>
      <c r="IN366" s="1368"/>
    </row>
    <row r="367" spans="1:248" ht="12.75" customHeight="1" x14ac:dyDescent="0.2">
      <c r="A367" s="1319"/>
      <c r="B367" s="1321"/>
      <c r="C367" s="1321"/>
      <c r="D367" s="1321"/>
      <c r="E367" s="1321"/>
      <c r="F367" s="1321"/>
      <c r="G367" s="1321"/>
      <c r="H367" s="1321"/>
      <c r="I367" s="1321"/>
      <c r="J367" s="1321"/>
      <c r="K367" s="1321"/>
      <c r="L367" s="1321"/>
      <c r="M367" s="1321"/>
      <c r="N367" s="1321"/>
      <c r="O367" s="1321"/>
      <c r="P367" s="1321"/>
      <c r="Q367" s="1321"/>
      <c r="R367" s="1321"/>
      <c r="S367" s="1321"/>
      <c r="T367" s="1321"/>
      <c r="U367" s="1321"/>
      <c r="V367" s="1321"/>
      <c r="W367" s="1321"/>
      <c r="X367" s="1321"/>
      <c r="Y367" s="1321"/>
      <c r="Z367" s="1321"/>
      <c r="AA367" s="1321"/>
      <c r="AB367" s="1321"/>
      <c r="AC367" s="1321"/>
      <c r="AD367" s="1321"/>
      <c r="AE367" s="1321"/>
      <c r="AF367" s="1321"/>
      <c r="AG367" s="1321"/>
      <c r="AH367" s="1321"/>
      <c r="AI367" s="1321"/>
      <c r="AJ367" s="1321"/>
      <c r="AK367" s="1321"/>
      <c r="AL367" s="1321"/>
      <c r="AM367" s="1321"/>
      <c r="AN367" s="1321"/>
      <c r="AO367" s="1321"/>
      <c r="AP367" s="1321"/>
      <c r="AQ367" s="1321"/>
      <c r="AR367" s="1321"/>
      <c r="AS367" s="1321"/>
      <c r="AT367" s="1321"/>
      <c r="AU367" s="1321"/>
      <c r="AV367" s="1321"/>
      <c r="AW367" s="1321"/>
      <c r="AX367" s="1321"/>
      <c r="AY367" s="1321"/>
      <c r="AZ367" s="1321"/>
      <c r="BA367" s="1321"/>
      <c r="BB367" s="1075" t="str">
        <f t="shared" si="81"/>
        <v>Ration complète</v>
      </c>
      <c r="BC367" s="1269">
        <f>IF(ChoixRationComplèteBovins&lt;&gt;OUI,0,IF(QualitéRationComplèteBovins=BONNE,Ration_hivernale_complète_bovins[somme],0))</f>
        <v>0</v>
      </c>
      <c r="BD367" s="1269">
        <f>IF(ChoixRationComplèteBovins&lt;&gt;OUI,0,IF(QualitéRationComplèteBovins=MOYENNE,Ration_hivernale_complète_bovins[somme],0))</f>
        <v>0</v>
      </c>
      <c r="BE367" s="1269">
        <f>IF(ChoixRationComplèteBovins&lt;&gt;OUI,0,IF(QualitéRationComplèteBovins=MAUVAISE,Ration_hivernale_complète_bovins[somme],0))</f>
        <v>0</v>
      </c>
      <c r="BF367" s="1321"/>
      <c r="BG367" s="1321"/>
      <c r="BH367" s="1321"/>
      <c r="BI367" s="1321"/>
      <c r="BJ367" s="1321"/>
      <c r="BK367" s="1345"/>
      <c r="BL367" s="1345"/>
      <c r="BM367" s="1346"/>
      <c r="BN367" s="1321"/>
      <c r="BO367" s="1321"/>
      <c r="BP367" s="1321"/>
      <c r="BQ367" s="1321"/>
      <c r="BR367" s="1321"/>
      <c r="BS367" s="1321"/>
      <c r="BT367" s="1321"/>
      <c r="BU367" s="1321"/>
      <c r="BV367" s="1345"/>
      <c r="BW367" s="1345"/>
      <c r="BX367" s="1321"/>
      <c r="BY367" s="1321"/>
      <c r="BZ367" s="1321"/>
      <c r="CA367" s="1321"/>
      <c r="CB367" s="1321"/>
      <c r="CC367" s="1321"/>
      <c r="CD367" s="1345"/>
      <c r="CE367" s="1345"/>
      <c r="CF367" s="1321"/>
      <c r="CG367" s="1321"/>
      <c r="CH367" s="1321"/>
      <c r="CI367" s="1321"/>
      <c r="CJ367" s="1321"/>
      <c r="CK367" s="1321"/>
      <c r="CL367" s="1321"/>
      <c r="CM367" s="1321"/>
      <c r="CN367" s="1321"/>
      <c r="CO367" s="1321"/>
      <c r="CP367" s="1321"/>
      <c r="CQ367" s="1321"/>
      <c r="CR367" s="1321"/>
      <c r="CS367" s="1321"/>
      <c r="CT367" s="1321"/>
      <c r="CU367" s="1321"/>
      <c r="CV367" s="1321"/>
      <c r="CW367" s="1321"/>
      <c r="CX367" s="1321"/>
      <c r="CY367" s="1321"/>
      <c r="CZ367" s="1321"/>
      <c r="DA367" s="1321"/>
      <c r="DB367" s="1321"/>
      <c r="DC367" s="1321"/>
      <c r="DD367" s="1321"/>
      <c r="DE367" s="1321"/>
      <c r="DF367" s="1321"/>
      <c r="DG367" s="1321"/>
      <c r="DH367" s="1321"/>
      <c r="DI367" s="1321"/>
      <c r="DJ367" s="1321"/>
      <c r="DK367" s="1321"/>
      <c r="DL367" s="1321"/>
      <c r="DM367" s="1321"/>
      <c r="DN367" s="1321"/>
      <c r="DO367" s="1321"/>
      <c r="DP367" s="1321"/>
      <c r="DQ367" s="1321"/>
      <c r="DR367" s="1321"/>
      <c r="DS367" s="1321"/>
      <c r="DT367" s="1321"/>
      <c r="DU367" s="1321"/>
      <c r="DV367" s="1321"/>
      <c r="DW367" s="1321"/>
      <c r="DX367" s="1321"/>
      <c r="DY367" s="1321"/>
      <c r="DZ367" s="1345"/>
      <c r="EA367" s="1345"/>
      <c r="EB367" s="1321"/>
      <c r="EC367" s="1321"/>
      <c r="ED367" s="1321"/>
      <c r="EE367" s="1321"/>
      <c r="EF367" s="1321"/>
      <c r="EG367" s="1321"/>
      <c r="EH367" s="1321"/>
      <c r="EI367" s="1321"/>
      <c r="EJ367" s="1321"/>
      <c r="EK367" s="1345"/>
      <c r="EL367" s="1321"/>
      <c r="EM367" s="1321"/>
      <c r="EN367" s="1321"/>
      <c r="EO367" s="1321"/>
      <c r="EP367" s="1321"/>
      <c r="EQ367" s="1321"/>
      <c r="ER367" s="1345"/>
      <c r="ES367" s="1321"/>
      <c r="ET367" s="1321"/>
      <c r="EU367" s="1321"/>
      <c r="EV367" s="1321"/>
      <c r="EW367" s="1321"/>
      <c r="EX367" s="1321"/>
      <c r="EY367" s="1321"/>
      <c r="EZ367" s="1345"/>
      <c r="FA367" s="1321"/>
      <c r="FB367" s="1321"/>
      <c r="FC367" s="1321"/>
      <c r="FD367" s="1321"/>
      <c r="FE367" s="1321"/>
      <c r="FF367" s="1321"/>
      <c r="FG367" s="1321"/>
      <c r="FH367" s="1321"/>
      <c r="FI367" s="1345"/>
      <c r="FJ367" s="1321"/>
      <c r="FK367" s="1321"/>
      <c r="FL367" s="1321"/>
      <c r="FM367" s="1321"/>
      <c r="FN367" s="1321"/>
      <c r="FO367" s="1321"/>
      <c r="FP367" s="1321"/>
      <c r="FQ367" s="1321"/>
      <c r="FR367" s="1321"/>
      <c r="FS367" s="1345"/>
      <c r="FT367" s="1321"/>
      <c r="FU367" s="1321"/>
      <c r="FV367" s="1321"/>
      <c r="FW367" s="1345"/>
      <c r="FX367" s="1321"/>
      <c r="FY367" s="1321"/>
      <c r="FZ367" s="1321"/>
      <c r="GA367" s="1321"/>
      <c r="GB367" s="1321"/>
      <c r="GC367" s="1321" t="s">
        <v>1349</v>
      </c>
      <c r="GD367" s="1321" t="s">
        <v>1349</v>
      </c>
      <c r="GE367" s="1321" t="s">
        <v>1349</v>
      </c>
      <c r="GF367" s="1321" t="s">
        <v>1349</v>
      </c>
      <c r="GG367" s="1321" t="s">
        <v>1349</v>
      </c>
      <c r="GH367" s="1321" t="s">
        <v>1349</v>
      </c>
      <c r="GI367" s="1321" t="s">
        <v>1349</v>
      </c>
      <c r="GJ367" s="1321" t="s">
        <v>1349</v>
      </c>
      <c r="GK367" s="1321" t="s">
        <v>1349</v>
      </c>
      <c r="GL367" s="1321" t="s">
        <v>1349</v>
      </c>
      <c r="GM367" s="1321" t="s">
        <v>1349</v>
      </c>
      <c r="GN367" s="1321" t="s">
        <v>1349</v>
      </c>
      <c r="GO367" s="1321" t="s">
        <v>1349</v>
      </c>
      <c r="GP367" s="1321" t="s">
        <v>1349</v>
      </c>
      <c r="GQ367" s="1321" t="s">
        <v>1349</v>
      </c>
      <c r="GR367" s="1321" t="s">
        <v>1349</v>
      </c>
      <c r="GS367" s="1321"/>
      <c r="GT367" s="1321"/>
      <c r="GU367" s="1321"/>
      <c r="GV367" s="1321"/>
      <c r="GW367" s="1321"/>
      <c r="GX367" s="1321"/>
      <c r="GY367" s="1321"/>
      <c r="GZ367" s="1321"/>
      <c r="HA367" s="1321"/>
      <c r="HB367" s="1321"/>
      <c r="HC367" s="1321"/>
      <c r="HD367" s="1321"/>
      <c r="HE367" s="1321"/>
      <c r="HF367" s="1321"/>
      <c r="HG367" s="1321"/>
      <c r="HH367" s="1321"/>
      <c r="HI367" s="1321"/>
      <c r="HJ367" s="1321"/>
      <c r="HK367" s="1321"/>
      <c r="HL367" s="1321"/>
      <c r="HM367" s="1321"/>
      <c r="HN367" s="1321"/>
      <c r="HO367" s="1321"/>
      <c r="HP367" s="1321"/>
      <c r="HQ367" s="1321"/>
      <c r="HR367" s="1321"/>
      <c r="HS367" s="1321"/>
      <c r="HT367" s="1321"/>
      <c r="HU367" s="1321"/>
      <c r="HV367" s="1321"/>
      <c r="HW367" s="1321"/>
      <c r="HX367" s="1321"/>
      <c r="HY367" s="1321"/>
      <c r="HZ367" s="1321"/>
      <c r="IA367" s="1321"/>
      <c r="IB367" s="1321"/>
      <c r="IC367" s="1321"/>
      <c r="ID367" s="1321"/>
      <c r="IE367" s="1321"/>
      <c r="IF367" s="1321"/>
      <c r="IG367" s="1321"/>
      <c r="IH367" s="1321"/>
      <c r="II367" s="1321"/>
      <c r="IJ367" s="1321"/>
      <c r="IK367" s="1321"/>
      <c r="IL367" s="1321"/>
      <c r="IM367" s="1321"/>
      <c r="IN367" s="1368"/>
    </row>
    <row r="368" spans="1:248" ht="12.75" customHeight="1" x14ac:dyDescent="0.2">
      <c r="A368" s="1319"/>
      <c r="B368" s="1321"/>
      <c r="C368" s="1321"/>
      <c r="D368" s="1321"/>
      <c r="E368" s="1321"/>
      <c r="F368" s="1321"/>
      <c r="G368" s="1321"/>
      <c r="H368" s="1321"/>
      <c r="I368" s="1321"/>
      <c r="J368" s="1321"/>
      <c r="K368" s="1321"/>
      <c r="L368" s="1321"/>
      <c r="M368" s="1321"/>
      <c r="N368" s="1321"/>
      <c r="O368" s="1321"/>
      <c r="P368" s="1321"/>
      <c r="Q368" s="1321"/>
      <c r="R368" s="1321"/>
      <c r="S368" s="1321"/>
      <c r="T368" s="1321"/>
      <c r="U368" s="1321"/>
      <c r="V368" s="1321"/>
      <c r="W368" s="1321"/>
      <c r="X368" s="1321"/>
      <c r="Y368" s="1321"/>
      <c r="Z368" s="1321"/>
      <c r="AA368" s="1321"/>
      <c r="AB368" s="1321"/>
      <c r="AC368" s="1321"/>
      <c r="AD368" s="1321"/>
      <c r="AE368" s="1321"/>
      <c r="AF368" s="1321"/>
      <c r="AG368" s="1321"/>
      <c r="AH368" s="1321"/>
      <c r="AI368" s="1321"/>
      <c r="AJ368" s="1321"/>
      <c r="AK368" s="1321"/>
      <c r="AL368" s="1321"/>
      <c r="AM368" s="1321"/>
      <c r="AN368" s="1321"/>
      <c r="AO368" s="1321"/>
      <c r="AP368" s="1321"/>
      <c r="AQ368" s="1321"/>
      <c r="AR368" s="1321"/>
      <c r="AS368" s="1321"/>
      <c r="AT368" s="1321"/>
      <c r="AU368" s="1321"/>
      <c r="AV368" s="1321"/>
      <c r="AW368" s="1321"/>
      <c r="AX368" s="1321"/>
      <c r="AY368" s="1321"/>
      <c r="AZ368" s="1321"/>
      <c r="BA368" s="1321"/>
      <c r="BB368" s="1076" t="str">
        <f t="shared" si="81"/>
        <v>Seigle</v>
      </c>
      <c r="BC368" s="1267">
        <f t="array" ref="BC368">SUM((IF(QualitéAlimentsVeauxMâles_0_3_mois=BONNE,VLOOKUP("Seigle",AlimentsRationBovinsMâles,8,FALSE),0)+(IF(QualitéAlimentsVeauxFemelles_0_3_mois=BONNE,VLOOKUP("Seigle",AlimentsRationBovinsFemelles,8,FALSE),0)+(IF(QualitéAlimentsVeauxMâles_3_6_mois=BONNE,VLOOKUP("Seigle",AlimentsRationBovinsMâles,7,FALSE),0)+(IF(QualitéAlimentsVeauxFemelles_3_6_mois=BONNE,VLOOKUP("Seigle",AlimentsRationBovinsFemelles,7,FALSE),0)+(IF(QualitéAlimentsVeauxMâles_6_12_mois=BONNE,VLOOKUP("Seigle",AlimentsRationBovinsMâles,6,FALSE),0)+(IF(QualitéAlimentsVeauxFemelles_6_12_mois=BONNE,VLOOKUP("Seigle",AlimentsRationBovinsFemelles,6,FALSE),0)+(IF(QualitéAlimentsTaurillons_12_18_mois=BONNE,VLOOKUP("Seigle",AlimentsRationBovinsMâles,5,FALSE),0)+(IF(QualitéAlimentsGénisses_12_18_mois=BONNE,VLOOKUP("Seigle",AlimentsRationBovinsFemelles,5,FALSE),0)+(IF(QualitéAlimentsTaurillons_18_24_mois=BONNE,VLOOKUP("Seigle",AlimentsRationBovinsMâles,4,FALSE),0)+(IF(QualitéAlimentsGénisses_18_24_mois=BONNE,VLOOKUP("Seigle",AlimentsRationBovinsFemelles,4,FALSE),0)+(IF(QualitéAlimentsTaurillons_24_36_mois=BONNE,VLOOKUP("Seigle",AlimentsRationBovinsMâles,3,FALSE),0)+(IF(QualitéAlimentsGénisses_24_36_mois=BONNE,VLOOKUP("Seigle",AlimentsRationBovinsFemelles,3,FALSE),0)+(IF(QualitéAlimentsTaureaux=BONNE,VLOOKUP("Seigle",AlimentsRationBovinsMâles,2,FALSE),0)+(IF(QualitéAlimentsVaches=BONNE,VLOOKUP("Seigle",AlimentsRationBovinsFemelles,2,FALSE),0))))))))))))))))</f>
        <v>0</v>
      </c>
      <c r="BD368" s="1267">
        <f t="array" ref="BD368">SUM((IF(QualitéAlimentsVeauxMâles_0_3_mois=MOYENNE,VLOOKUP("Seigle",AlimentsRationBovinsMâles,8,FALSE),0)+(IF(QualitéAlimentsVeauxFemelles_0_3_mois=MOYENNE,VLOOKUP("Seigle",AlimentsRationBovinsFemelles,8,FALSE),0)+(IF(QualitéAlimentsVeauxMâles_3_6_mois=MOYENNE,VLOOKUP("Seigle",AlimentsRationBovinsMâles,7,FALSE),0)+(IF(QualitéAlimentsVeauxFemelles_3_6_mois=MOYENNE,VLOOKUP("Seigle",AlimentsRationBovinsFemelles,7,FALSE),0)+(IF(QualitéAlimentsVeauxMâles_6_12_mois=MOYENNE,VLOOKUP("Seigle",AlimentsRationBovinsMâles,6,FALSE),0)+(IF(QualitéAlimentsVeauxFemelles_6_12_mois=MOYENNE,VLOOKUP("Seigle",AlimentsRationBovinsFemelles,6,FALSE),0)+(IF(QualitéAlimentsTaurillons_12_18_mois=MOYENNE,VLOOKUP("Seigle",AlimentsRationBovinsMâles,5,FALSE),0)+(IF(QualitéAlimentsGénisses_12_18_mois=MOYENNE,VLOOKUP("Seigle",AlimentsRationBovinsFemelles,5,FALSE),0)+(IF(QualitéAlimentsTaurillons_18_24_mois=MOYENNE,VLOOKUP("Seigle",AlimentsRationBovinsMâles,4,FALSE),0)+(IF(QualitéAlimentsGénisses_18_24_mois=MOYENNE,VLOOKUP("Seigle",AlimentsRationBovinsFemelles,4,FALSE),0)+(IF(QualitéAlimentsTaurillons_24_36_mois=MOYENNE,VLOOKUP("Seigle",AlimentsRationBovinsMâles,3,FALSE),0)+(IF(QualitéAlimentsGénisses_24_36_mois=MOYENNE,VLOOKUP("Seigle",AlimentsRationBovinsFemelles,3,FALSE),0)+(IF(QualitéAlimentsTaureaux=MOYENNE,VLOOKUP("Seigle",AlimentsRationBovinsMâles,2,FALSE),0)+(IF(QualitéAlimentsVaches=MOYENNE,VLOOKUP("Seigle",AlimentsRationBovinsFemelles,2,FALSE),0))))))))))))))))</f>
        <v>0</v>
      </c>
      <c r="BE368" s="1267">
        <f t="array" ref="BE368">SUM((IF(QualitéAlimentsVeauxMâles_0_3_mois=MAUVAISE,VLOOKUP("Seigle",AlimentsRationBovinsMâles,8,FALSE),0)+(IF(QualitéAlimentsVeauxFemelles_0_3_mois=MAUVAISE,VLOOKUP("Seigle",AlimentsRationBovinsFemelles,8,FALSE),0)+(IF(QualitéAlimentsVeauxMâles_3_6_mois=MAUVAISE,VLOOKUP("Seigle",AlimentsRationBovinsMâles,7,FALSE),0)+(IF(QualitéAlimentsVeauxFemelles_3_6_mois=MAUVAISE,VLOOKUP("Seigle",AlimentsRationBovinsFemelles,7,FALSE),0)+(IF(QualitéAlimentsVeauxMâles_6_12_mois=MAUVAISE,VLOOKUP("Seigle",AlimentsRationBovinsMâles,6,FALSE),0)+(IF(QualitéAlimentsVeauxFemelles_6_12_mois=MAUVAISE,VLOOKUP("Seigle",AlimentsRationBovinsFemelles,6,FALSE),0)+(IF(QualitéAlimentsTaurillons_12_18_mois=MAUVAISE,VLOOKUP("Seigle",AlimentsRationBovinsMâles,5,FALSE),0)+(IF(QualitéAlimentsGénisses_12_18_mois=MAUVAISE,VLOOKUP("Seigle",AlimentsRationBovinsFemelles,5,FALSE),0)+(IF(QualitéAlimentsTaurillons_18_24_mois=MAUVAISE,VLOOKUP("Seigle",AlimentsRationBovinsMâles,4,FALSE),0)+(IF(QualitéAlimentsGénisses_18_24_mois=MAUVAISE,VLOOKUP("Seigle",AlimentsRationBovinsFemelles,4,FALSE),0)+(IF(QualitéAlimentsTaurillons_24_36_mois=MAUVAISE,VLOOKUP("Seigle",AlimentsRationBovinsMâles,3,FALSE),0)+(IF(QualitéAlimentsGénisses_24_36_mois=MAUVAISE,VLOOKUP("Seigle",AlimentsRationBovinsFemelles,3,FALSE),0)+(IF(QualitéAlimentsTaureaux=MAUVAISE,VLOOKUP("Seigle",AlimentsRationBovinsMâles,2,FALSE),0)+(IF(QualitéAlimentsVaches=MAUVAISE,VLOOKUP("Seigle",AlimentsRationBovinsFemelles,2,FALSE),0))))))))))))))))</f>
        <v>0</v>
      </c>
      <c r="BF368" s="1321"/>
      <c r="BG368" s="1321"/>
      <c r="BH368" s="1321"/>
      <c r="BI368" s="1321"/>
      <c r="BJ368" s="1321"/>
      <c r="BK368" s="1345"/>
      <c r="BL368" s="1345"/>
      <c r="BM368" s="1346"/>
      <c r="BN368" s="1321"/>
      <c r="BO368" s="1321"/>
      <c r="BP368" s="1321"/>
      <c r="BQ368" s="1321"/>
      <c r="BR368" s="1321"/>
      <c r="BS368" s="1321"/>
      <c r="BT368" s="1321"/>
      <c r="BU368" s="1321"/>
      <c r="BV368" s="1345"/>
      <c r="BW368" s="1345"/>
      <c r="BX368" s="1321"/>
      <c r="BY368" s="1321"/>
      <c r="BZ368" s="1321"/>
      <c r="CA368" s="1321"/>
      <c r="CB368" s="1321"/>
      <c r="CC368" s="1321"/>
      <c r="CD368" s="1345"/>
      <c r="CE368" s="1345"/>
      <c r="CF368" s="1321"/>
      <c r="CG368" s="1321"/>
      <c r="CH368" s="1321"/>
      <c r="CI368" s="1321"/>
      <c r="CJ368" s="1321"/>
      <c r="CK368" s="1321"/>
      <c r="CL368" s="1321"/>
      <c r="CM368" s="1321"/>
      <c r="CN368" s="1321"/>
      <c r="CO368" s="1321"/>
      <c r="CP368" s="1321"/>
      <c r="CQ368" s="1321"/>
      <c r="CR368" s="1321"/>
      <c r="CS368" s="1321"/>
      <c r="CT368" s="1321"/>
      <c r="CU368" s="1321"/>
      <c r="CV368" s="1321"/>
      <c r="CW368" s="1321"/>
      <c r="CX368" s="1321"/>
      <c r="CY368" s="1321"/>
      <c r="CZ368" s="1321"/>
      <c r="DA368" s="1321"/>
      <c r="DB368" s="1321"/>
      <c r="DC368" s="1321"/>
      <c r="DD368" s="1321"/>
      <c r="DE368" s="1321"/>
      <c r="DF368" s="1321"/>
      <c r="DG368" s="1321"/>
      <c r="DH368" s="1321"/>
      <c r="DI368" s="1321"/>
      <c r="DJ368" s="1321"/>
      <c r="DK368" s="1321"/>
      <c r="DL368" s="1321"/>
      <c r="DM368" s="1321"/>
      <c r="DN368" s="1321"/>
      <c r="DO368" s="1321"/>
      <c r="DP368" s="1321"/>
      <c r="DQ368" s="1321"/>
      <c r="DR368" s="1321"/>
      <c r="DS368" s="1321"/>
      <c r="DT368" s="1321"/>
      <c r="DU368" s="1321"/>
      <c r="DV368" s="1321"/>
      <c r="DW368" s="1321"/>
      <c r="DX368" s="1321"/>
      <c r="DY368" s="1321"/>
      <c r="DZ368" s="1345"/>
      <c r="EA368" s="1345"/>
      <c r="EB368" s="1321"/>
      <c r="EC368" s="1321"/>
      <c r="ED368" s="1321"/>
      <c r="EE368" s="1321"/>
      <c r="EF368" s="1321"/>
      <c r="EG368" s="1321"/>
      <c r="EH368" s="1321"/>
      <c r="EI368" s="1321"/>
      <c r="EJ368" s="1321"/>
      <c r="EK368" s="1345"/>
      <c r="EL368" s="1321"/>
      <c r="EM368" s="1321"/>
      <c r="EN368" s="1321"/>
      <c r="EO368" s="1321"/>
      <c r="EP368" s="1321"/>
      <c r="EQ368" s="1321"/>
      <c r="ER368" s="1345"/>
      <c r="ES368" s="1321"/>
      <c r="ET368" s="1321"/>
      <c r="EU368" s="1321"/>
      <c r="EV368" s="1321"/>
      <c r="EW368" s="1321"/>
      <c r="EX368" s="1321"/>
      <c r="EY368" s="1321"/>
      <c r="EZ368" s="1345"/>
      <c r="FA368" s="1321"/>
      <c r="FB368" s="1321"/>
      <c r="FC368" s="1321"/>
      <c r="FD368" s="1321"/>
      <c r="FE368" s="1321"/>
      <c r="FF368" s="1321"/>
      <c r="FG368" s="1321"/>
      <c r="FH368" s="1321"/>
      <c r="FI368" s="1345"/>
      <c r="FJ368" s="1321"/>
      <c r="FK368" s="1321"/>
      <c r="FL368" s="1321"/>
      <c r="FM368" s="1321"/>
      <c r="FN368" s="1321"/>
      <c r="FO368" s="1321"/>
      <c r="FP368" s="1321"/>
      <c r="FQ368" s="1321"/>
      <c r="FR368" s="1321"/>
      <c r="FS368" s="1345"/>
      <c r="FT368" s="1321"/>
      <c r="FU368" s="1321"/>
      <c r="FV368" s="1321"/>
      <c r="FW368" s="1345"/>
      <c r="FX368" s="1321"/>
      <c r="FY368" s="1321"/>
      <c r="FZ368" s="1321"/>
      <c r="GA368" s="1321"/>
      <c r="GB368" s="1321"/>
      <c r="GC368" s="1321" t="s">
        <v>1349</v>
      </c>
      <c r="GD368" s="1321" t="s">
        <v>1349</v>
      </c>
      <c r="GE368" s="1321" t="s">
        <v>1349</v>
      </c>
      <c r="GF368" s="1321" t="s">
        <v>1349</v>
      </c>
      <c r="GG368" s="1321" t="s">
        <v>1349</v>
      </c>
      <c r="GH368" s="1321" t="s">
        <v>1349</v>
      </c>
      <c r="GI368" s="1321" t="s">
        <v>1349</v>
      </c>
      <c r="GJ368" s="1321" t="s">
        <v>1349</v>
      </c>
      <c r="GK368" s="1321" t="s">
        <v>1349</v>
      </c>
      <c r="GL368" s="1321" t="s">
        <v>1349</v>
      </c>
      <c r="GM368" s="1321" t="s">
        <v>1349</v>
      </c>
      <c r="GN368" s="1321" t="s">
        <v>1349</v>
      </c>
      <c r="GO368" s="1321" t="s">
        <v>1349</v>
      </c>
      <c r="GP368" s="1321" t="s">
        <v>1349</v>
      </c>
      <c r="GQ368" s="1321" t="s">
        <v>1349</v>
      </c>
      <c r="GR368" s="1321" t="s">
        <v>1349</v>
      </c>
      <c r="GS368" s="1321"/>
      <c r="GT368" s="1321"/>
      <c r="GU368" s="1321"/>
      <c r="GV368" s="1321"/>
      <c r="GW368" s="1321"/>
      <c r="GX368" s="1321"/>
      <c r="GY368" s="1321"/>
      <c r="GZ368" s="1321"/>
      <c r="HA368" s="1321"/>
      <c r="HB368" s="1321"/>
      <c r="HC368" s="1321"/>
      <c r="HD368" s="1321"/>
      <c r="HE368" s="1321"/>
      <c r="HF368" s="1321"/>
      <c r="HG368" s="1321"/>
      <c r="HH368" s="1321"/>
      <c r="HI368" s="1321"/>
      <c r="HJ368" s="1321"/>
      <c r="HK368" s="1321"/>
      <c r="HL368" s="1321"/>
      <c r="HM368" s="1321"/>
      <c r="HN368" s="1321"/>
      <c r="HO368" s="1321"/>
      <c r="HP368" s="1321"/>
      <c r="HQ368" s="1321"/>
      <c r="HR368" s="1321"/>
      <c r="HS368" s="1321"/>
      <c r="HT368" s="1321"/>
      <c r="HU368" s="1321"/>
      <c r="HV368" s="1321"/>
      <c r="HW368" s="1321"/>
      <c r="HX368" s="1321"/>
      <c r="HY368" s="1321"/>
      <c r="HZ368" s="1321"/>
      <c r="IA368" s="1321"/>
      <c r="IB368" s="1321"/>
      <c r="IC368" s="1321"/>
      <c r="ID368" s="1321"/>
      <c r="IE368" s="1321"/>
      <c r="IF368" s="1321"/>
      <c r="IG368" s="1321"/>
      <c r="IH368" s="1321"/>
      <c r="II368" s="1321"/>
      <c r="IJ368" s="1321"/>
      <c r="IK368" s="1321"/>
      <c r="IL368" s="1321"/>
      <c r="IM368" s="1321"/>
      <c r="IN368" s="1368"/>
    </row>
    <row r="369" spans="1:248" ht="12.75" customHeight="1" x14ac:dyDescent="0.2">
      <c r="A369" s="1319"/>
      <c r="B369" s="1321"/>
      <c r="C369" s="1321"/>
      <c r="D369" s="1321"/>
      <c r="E369" s="1321"/>
      <c r="F369" s="1321"/>
      <c r="G369" s="1321"/>
      <c r="H369" s="1321"/>
      <c r="I369" s="1321"/>
      <c r="J369" s="1321"/>
      <c r="K369" s="1321"/>
      <c r="L369" s="1321"/>
      <c r="M369" s="1321"/>
      <c r="N369" s="1321"/>
      <c r="O369" s="1321"/>
      <c r="P369" s="1321"/>
      <c r="Q369" s="1321"/>
      <c r="R369" s="1321"/>
      <c r="S369" s="1321"/>
      <c r="T369" s="1321"/>
      <c r="U369" s="1321"/>
      <c r="V369" s="1321"/>
      <c r="W369" s="1321"/>
      <c r="X369" s="1321"/>
      <c r="Y369" s="1321"/>
      <c r="Z369" s="1321"/>
      <c r="AA369" s="1321"/>
      <c r="AB369" s="1321"/>
      <c r="AC369" s="1321"/>
      <c r="AD369" s="1321"/>
      <c r="AE369" s="1321"/>
      <c r="AF369" s="1321"/>
      <c r="AG369" s="1321"/>
      <c r="AH369" s="1321"/>
      <c r="AI369" s="1321"/>
      <c r="AJ369" s="1321"/>
      <c r="AK369" s="1321"/>
      <c r="AL369" s="1321"/>
      <c r="AM369" s="1321"/>
      <c r="AN369" s="1321"/>
      <c r="AO369" s="1321"/>
      <c r="AP369" s="1321"/>
      <c r="AQ369" s="1321"/>
      <c r="AR369" s="1321"/>
      <c r="AS369" s="1321"/>
      <c r="AT369" s="1321"/>
      <c r="AU369" s="1321"/>
      <c r="AV369" s="1321"/>
      <c r="AW369" s="1321"/>
      <c r="AX369" s="1321"/>
      <c r="AY369" s="1321"/>
      <c r="AZ369" s="1321"/>
      <c r="BA369" s="1321"/>
      <c r="BB369" s="1075" t="str">
        <f t="shared" si="81"/>
        <v>Soja</v>
      </c>
      <c r="BC369" s="1269">
        <f t="array" ref="BC369">SUM((IF(QualitéAlimentsVeauxMâles_0_3_mois=BONNE,VLOOKUP("Soja",AlimentsRationBovinsMâles,8,FALSE),0)+(IF(QualitéAlimentsVeauxFemelles_0_3_mois=BONNE,VLOOKUP("Soja",AlimentsRationBovinsFemelles,8,FALSE),0)+(IF(QualitéAlimentsVeauxMâles_3_6_mois=BONNE,VLOOKUP("Soja",AlimentsRationBovinsMâles,7,FALSE),0)+(IF(QualitéAlimentsVeauxFemelles_3_6_mois=BONNE,VLOOKUP("Soja",AlimentsRationBovinsFemelles,7,FALSE),0)+(IF(QualitéAlimentsVeauxMâles_6_12_mois=BONNE,VLOOKUP("Soja",AlimentsRationBovinsMâles,6,FALSE),0)+(IF(QualitéAlimentsVeauxFemelles_6_12_mois=BONNE,VLOOKUP("Soja",AlimentsRationBovinsFemelles,6,FALSE),0)+(IF(QualitéAlimentsTaurillons_12_18_mois=BONNE,VLOOKUP("Soja",AlimentsRationBovinsMâles,5,FALSE),0)+(IF(QualitéAlimentsGénisses_12_18_mois=BONNE,VLOOKUP("Soja",AlimentsRationBovinsFemelles,5,FALSE),0)+(IF(QualitéAlimentsTaurillons_18_24_mois=BONNE,VLOOKUP("Soja",AlimentsRationBovinsMâles,4,FALSE),0)+(IF(QualitéAlimentsGénisses_18_24_mois=BONNE,VLOOKUP("Soja",AlimentsRationBovinsFemelles,4,FALSE),0)+(IF(QualitéAlimentsTaurillons_24_36_mois=BONNE,VLOOKUP("Soja",AlimentsRationBovinsMâles,3,FALSE),0)+(IF(QualitéAlimentsGénisses_24_36_mois=BONNE,VLOOKUP("Soja",AlimentsRationBovinsFemelles,3,FALSE),0)+(IF(QualitéAlimentsTaureaux=BONNE,VLOOKUP("Soja",AlimentsRationBovinsMâles,2,FALSE),0)+(IF(QualitéAlimentsVaches=BONNE,VLOOKUP("Soja",AlimentsRationBovinsFemelles,2,FALSE),0))))))))))))))))</f>
        <v>0</v>
      </c>
      <c r="BD369" s="1269">
        <f t="array" ref="BD369">SUM((IF(QualitéAlimentsVeauxMâles_0_3_mois=MOYENNE,VLOOKUP("Soja",AlimentsRationBovinsMâles,8,FALSE),0)+(IF(QualitéAlimentsVeauxFemelles_0_3_mois=MOYENNE,VLOOKUP("Soja",AlimentsRationBovinsFemelles,8,FALSE),0)+(IF(QualitéAlimentsVeauxMâles_3_6_mois=MOYENNE,VLOOKUP("Soja",AlimentsRationBovinsMâles,7,FALSE),0)+(IF(QualitéAlimentsVeauxFemelles_3_6_mois=MOYENNE,VLOOKUP("Soja",AlimentsRationBovinsFemelles,7,FALSE),0)+(IF(QualitéAlimentsVeauxMâles_6_12_mois=MOYENNE,VLOOKUP("Soja",AlimentsRationBovinsMâles,6,FALSE),0)+(IF(QualitéAlimentsVeauxFemelles_6_12_mois=MOYENNE,VLOOKUP("Soja",AlimentsRationBovinsFemelles,6,FALSE),0)+(IF(QualitéAlimentsTaurillons_12_18_mois=MOYENNE,VLOOKUP("Soja",AlimentsRationBovinsMâles,5,FALSE),0)+(IF(QualitéAlimentsGénisses_12_18_mois=MOYENNE,VLOOKUP("Soja",AlimentsRationBovinsFemelles,5,FALSE),0)+(IF(QualitéAlimentsTaurillons_18_24_mois=MOYENNE,VLOOKUP("Soja",AlimentsRationBovinsMâles,4,FALSE),0)+(IF(QualitéAlimentsGénisses_18_24_mois=MOYENNE,VLOOKUP("Soja",AlimentsRationBovinsFemelles,4,FALSE),0)+(IF(QualitéAlimentsTaurillons_24_36_mois=MOYENNE,VLOOKUP("Soja",AlimentsRationBovinsMâles,3,FALSE),0)+(IF(QualitéAlimentsGénisses_24_36_mois=MOYENNE,VLOOKUP("Soja",AlimentsRationBovinsFemelles,3,FALSE),0)+(IF(QualitéAlimentsTaureaux=MOYENNE,VLOOKUP("Soja",AlimentsRationBovinsMâles,2,FALSE),0)+(IF(QualitéAlimentsVaches=MOYENNE,VLOOKUP("Soja",AlimentsRationBovinsFemelles,2,FALSE),0))))))))))))))))</f>
        <v>0</v>
      </c>
      <c r="BE369" s="1269">
        <f t="array" ref="BE369">SUM((IF(QualitéAlimentsVeauxMâles_0_3_mois=MAUVAISE,VLOOKUP("Soja",AlimentsRationBovinsMâles,8,FALSE),0)+(IF(QualitéAlimentsVeauxFemelles_0_3_mois=MAUVAISE,VLOOKUP("Soja",AlimentsRationBovinsFemelles,8,FALSE),0)+(IF(QualitéAlimentsVeauxMâles_3_6_mois=MAUVAISE,VLOOKUP("Soja",AlimentsRationBovinsMâles,7,FALSE),0)+(IF(QualitéAlimentsVeauxFemelles_3_6_mois=MAUVAISE,VLOOKUP("Soja",AlimentsRationBovinsFemelles,7,FALSE),0)+(IF(QualitéAlimentsVeauxMâles_6_12_mois=MAUVAISE,VLOOKUP("Soja",AlimentsRationBovinsMâles,6,FALSE),0)+(IF(QualitéAlimentsVeauxFemelles_6_12_mois=MAUVAISE,VLOOKUP("Soja",AlimentsRationBovinsFemelles,6,FALSE),0)+(IF(QualitéAlimentsTaurillons_12_18_mois=MAUVAISE,VLOOKUP("Soja",AlimentsRationBovinsMâles,5,FALSE),0)+(IF(QualitéAlimentsGénisses_12_18_mois=MAUVAISE,VLOOKUP("Soja",AlimentsRationBovinsFemelles,5,FALSE),0)+(IF(QualitéAlimentsTaurillons_18_24_mois=MAUVAISE,VLOOKUP("Soja",AlimentsRationBovinsMâles,4,FALSE),0)+(IF(QualitéAlimentsGénisses_18_24_mois=MAUVAISE,VLOOKUP("Soja",AlimentsRationBovinsFemelles,4,FALSE),0)+(IF(QualitéAlimentsTaurillons_24_36_mois=MAUVAISE,VLOOKUP("Soja",AlimentsRationBovinsMâles,3,FALSE),0)+(IF(QualitéAlimentsGénisses_24_36_mois=MAUVAISE,VLOOKUP("Soja",AlimentsRationBovinsFemelles,3,FALSE),0)+(IF(QualitéAlimentsTaureaux=MAUVAISE,VLOOKUP("Soja",AlimentsRationBovinsMâles,2,FALSE),0)+(IF(QualitéAlimentsVaches=MAUVAISE,VLOOKUP("Soja",AlimentsRationBovinsFemelles,2,FALSE),0))))))))))))))))</f>
        <v>0</v>
      </c>
      <c r="BF369" s="1321"/>
      <c r="BG369" s="1321"/>
      <c r="BH369" s="1321"/>
      <c r="BI369" s="1321"/>
      <c r="BJ369" s="1321"/>
      <c r="BK369" s="1345"/>
      <c r="BL369" s="1345"/>
      <c r="BM369" s="1346"/>
      <c r="BN369" s="1321"/>
      <c r="BO369" s="1321"/>
      <c r="BP369" s="1321"/>
      <c r="BQ369" s="1321"/>
      <c r="BR369" s="1321"/>
      <c r="BS369" s="1321"/>
      <c r="BT369" s="1321"/>
      <c r="BU369" s="1321"/>
      <c r="BV369" s="1345"/>
      <c r="BW369" s="1345"/>
      <c r="BX369" s="1321"/>
      <c r="BY369" s="1321"/>
      <c r="BZ369" s="1321"/>
      <c r="CA369" s="1321"/>
      <c r="CB369" s="1321"/>
      <c r="CC369" s="1321"/>
      <c r="CD369" s="1345"/>
      <c r="CE369" s="1345"/>
      <c r="CF369" s="1321"/>
      <c r="CG369" s="1321"/>
      <c r="CH369" s="1321"/>
      <c r="CI369" s="1321"/>
      <c r="CJ369" s="1321"/>
      <c r="CK369" s="1321"/>
      <c r="CL369" s="1321"/>
      <c r="CM369" s="1321"/>
      <c r="CN369" s="1321"/>
      <c r="CO369" s="1321"/>
      <c r="CP369" s="1321"/>
      <c r="CQ369" s="1321"/>
      <c r="CR369" s="1321"/>
      <c r="CS369" s="1321"/>
      <c r="CT369" s="1321"/>
      <c r="CU369" s="1321"/>
      <c r="CV369" s="1321"/>
      <c r="CW369" s="1321"/>
      <c r="CX369" s="1321"/>
      <c r="CY369" s="1321"/>
      <c r="CZ369" s="1321"/>
      <c r="DA369" s="1321"/>
      <c r="DB369" s="1321"/>
      <c r="DC369" s="1321"/>
      <c r="DD369" s="1321"/>
      <c r="DE369" s="1321"/>
      <c r="DF369" s="1321"/>
      <c r="DG369" s="1321"/>
      <c r="DH369" s="1321"/>
      <c r="DI369" s="1321"/>
      <c r="DJ369" s="1321"/>
      <c r="DK369" s="1321"/>
      <c r="DL369" s="1321"/>
      <c r="DM369" s="1321"/>
      <c r="DN369" s="1321"/>
      <c r="DO369" s="1321"/>
      <c r="DP369" s="1321"/>
      <c r="DQ369" s="1321"/>
      <c r="DR369" s="1321"/>
      <c r="DS369" s="1321"/>
      <c r="DT369" s="1321"/>
      <c r="DU369" s="1321"/>
      <c r="DV369" s="1321"/>
      <c r="DW369" s="1321"/>
      <c r="DX369" s="1321"/>
      <c r="DY369" s="1321"/>
      <c r="DZ369" s="1345"/>
      <c r="EA369" s="1345"/>
      <c r="EB369" s="1321"/>
      <c r="EC369" s="1321"/>
      <c r="ED369" s="1321"/>
      <c r="EE369" s="1321"/>
      <c r="EF369" s="1321"/>
      <c r="EG369" s="1321"/>
      <c r="EH369" s="1321"/>
      <c r="EI369" s="1321"/>
      <c r="EJ369" s="1321"/>
      <c r="EK369" s="1345"/>
      <c r="EL369" s="1321"/>
      <c r="EM369" s="1321"/>
      <c r="EN369" s="1321"/>
      <c r="EO369" s="1321"/>
      <c r="EP369" s="1321"/>
      <c r="EQ369" s="1321"/>
      <c r="ER369" s="1345"/>
      <c r="ES369" s="1321"/>
      <c r="ET369" s="1321"/>
      <c r="EU369" s="1321"/>
      <c r="EV369" s="1321"/>
      <c r="EW369" s="1321"/>
      <c r="EX369" s="1321"/>
      <c r="EY369" s="1321"/>
      <c r="EZ369" s="1345"/>
      <c r="FA369" s="1321"/>
      <c r="FB369" s="1321"/>
      <c r="FC369" s="1321"/>
      <c r="FD369" s="1321"/>
      <c r="FE369" s="1321"/>
      <c r="FF369" s="1321"/>
      <c r="FG369" s="1321"/>
      <c r="FH369" s="1321"/>
      <c r="FI369" s="1345"/>
      <c r="FJ369" s="1321"/>
      <c r="FK369" s="1321"/>
      <c r="FL369" s="1321"/>
      <c r="FM369" s="1321"/>
      <c r="FN369" s="1321"/>
      <c r="FO369" s="1321"/>
      <c r="FP369" s="1321"/>
      <c r="FQ369" s="1321"/>
      <c r="FR369" s="1321"/>
      <c r="FS369" s="1345"/>
      <c r="FT369" s="1321"/>
      <c r="FU369" s="1321"/>
      <c r="FV369" s="1321"/>
      <c r="FW369" s="1345"/>
      <c r="FX369" s="1321"/>
      <c r="FY369" s="1321"/>
      <c r="FZ369" s="1321"/>
      <c r="GA369" s="1321"/>
      <c r="GB369" s="1321"/>
      <c r="GC369" s="1321" t="s">
        <v>1349</v>
      </c>
      <c r="GD369" s="1321" t="s">
        <v>1349</v>
      </c>
      <c r="GE369" s="1321" t="s">
        <v>1349</v>
      </c>
      <c r="GF369" s="1321" t="s">
        <v>1349</v>
      </c>
      <c r="GG369" s="1321" t="s">
        <v>1349</v>
      </c>
      <c r="GH369" s="1321" t="s">
        <v>1349</v>
      </c>
      <c r="GI369" s="1321" t="s">
        <v>1349</v>
      </c>
      <c r="GJ369" s="1321" t="s">
        <v>1349</v>
      </c>
      <c r="GK369" s="1321" t="s">
        <v>1349</v>
      </c>
      <c r="GL369" s="1321" t="s">
        <v>1349</v>
      </c>
      <c r="GM369" s="1321" t="s">
        <v>1349</v>
      </c>
      <c r="GN369" s="1321" t="s">
        <v>1349</v>
      </c>
      <c r="GO369" s="1321" t="s">
        <v>1349</v>
      </c>
      <c r="GP369" s="1321" t="s">
        <v>1349</v>
      </c>
      <c r="GQ369" s="1321" t="s">
        <v>1349</v>
      </c>
      <c r="GR369" s="1321" t="s">
        <v>1349</v>
      </c>
      <c r="GS369" s="1321"/>
      <c r="GT369" s="1321"/>
      <c r="GU369" s="1321"/>
      <c r="GV369" s="1321"/>
      <c r="GW369" s="1321"/>
      <c r="GX369" s="1321"/>
      <c r="GY369" s="1321"/>
      <c r="GZ369" s="1321"/>
      <c r="HA369" s="1321"/>
      <c r="HB369" s="1321"/>
      <c r="HC369" s="1321"/>
      <c r="HD369" s="1321"/>
      <c r="HE369" s="1321"/>
      <c r="HF369" s="1321"/>
      <c r="HG369" s="1321"/>
      <c r="HH369" s="1321"/>
      <c r="HI369" s="1321"/>
      <c r="HJ369" s="1321"/>
      <c r="HK369" s="1321"/>
      <c r="HL369" s="1321"/>
      <c r="HM369" s="1321"/>
      <c r="HN369" s="1321"/>
      <c r="HO369" s="1321"/>
      <c r="HP369" s="1321"/>
      <c r="HQ369" s="1321"/>
      <c r="HR369" s="1321"/>
      <c r="HS369" s="1321"/>
      <c r="HT369" s="1321"/>
      <c r="HU369" s="1321"/>
      <c r="HV369" s="1321"/>
      <c r="HW369" s="1321"/>
      <c r="HX369" s="1321"/>
      <c r="HY369" s="1321"/>
      <c r="HZ369" s="1321"/>
      <c r="IA369" s="1321"/>
      <c r="IB369" s="1321"/>
      <c r="IC369" s="1321"/>
      <c r="ID369" s="1321"/>
      <c r="IE369" s="1321"/>
      <c r="IF369" s="1321"/>
      <c r="IG369" s="1321"/>
      <c r="IH369" s="1321"/>
      <c r="II369" s="1321"/>
      <c r="IJ369" s="1321"/>
      <c r="IK369" s="1321"/>
      <c r="IL369" s="1321"/>
      <c r="IM369" s="1321"/>
      <c r="IN369" s="1368"/>
    </row>
    <row r="370" spans="1:248" ht="12.75" customHeight="1" x14ac:dyDescent="0.2">
      <c r="A370" s="1319"/>
      <c r="B370" s="1321"/>
      <c r="C370" s="1321"/>
      <c r="D370" s="1321"/>
      <c r="E370" s="1321"/>
      <c r="F370" s="1321"/>
      <c r="G370" s="1321"/>
      <c r="H370" s="1321"/>
      <c r="I370" s="1321"/>
      <c r="J370" s="1321"/>
      <c r="K370" s="1321"/>
      <c r="L370" s="1321"/>
      <c r="M370" s="1321"/>
      <c r="N370" s="1321"/>
      <c r="O370" s="1321"/>
      <c r="P370" s="1321"/>
      <c r="Q370" s="1321"/>
      <c r="R370" s="1321"/>
      <c r="S370" s="1321"/>
      <c r="T370" s="1321"/>
      <c r="U370" s="1321"/>
      <c r="V370" s="1321"/>
      <c r="W370" s="1321"/>
      <c r="X370" s="1321"/>
      <c r="Y370" s="1321"/>
      <c r="Z370" s="1321"/>
      <c r="AA370" s="1321"/>
      <c r="AB370" s="1321"/>
      <c r="AC370" s="1321"/>
      <c r="AD370" s="1321"/>
      <c r="AE370" s="1321"/>
      <c r="AF370" s="1321"/>
      <c r="AG370" s="1321"/>
      <c r="AH370" s="1321"/>
      <c r="AI370" s="1321"/>
      <c r="AJ370" s="1321"/>
      <c r="AK370" s="1321"/>
      <c r="AL370" s="1321"/>
      <c r="AM370" s="1321"/>
      <c r="AN370" s="1321"/>
      <c r="AO370" s="1321"/>
      <c r="AP370" s="1321"/>
      <c r="AQ370" s="1321"/>
      <c r="AR370" s="1321"/>
      <c r="AS370" s="1321"/>
      <c r="AT370" s="1321"/>
      <c r="AU370" s="1321"/>
      <c r="AV370" s="1321"/>
      <c r="AW370" s="1321"/>
      <c r="AX370" s="1321"/>
      <c r="AY370" s="1321"/>
      <c r="AZ370" s="1321"/>
      <c r="BA370" s="1321"/>
      <c r="BB370" s="1076" t="str">
        <f t="shared" si="81"/>
        <v>Sorgho ensilé</v>
      </c>
      <c r="BC370" s="1267">
        <f t="array" ref="BC370">SUM((IF(QualitéAlimentsVeauxMâles_0_3_mois=BONNE,VLOOKUP("Sorgho ensilé",AlimentsRationBovinsMâles,8,FALSE),0)+(IF(QualitéAlimentsVeauxFemelles_0_3_mois=BONNE,VLOOKUP("Sorgho ensilé",AlimentsRationBovinsFemelles,8,FALSE),0)+(IF(QualitéAlimentsVeauxMâles_3_6_mois=BONNE,VLOOKUP("Sorgho ensilé",AlimentsRationBovinsMâles,7,FALSE),0)+(IF(QualitéAlimentsVeauxFemelles_3_6_mois=BONNE,VLOOKUP("Sorgho ensilé",AlimentsRationBovinsFemelles,7,FALSE),0)+(IF(QualitéAlimentsVeauxMâles_6_12_mois=BONNE,VLOOKUP("Sorgho ensilé",AlimentsRationBovinsMâles,6,FALSE),0)+(IF(QualitéAlimentsVeauxFemelles_6_12_mois=BONNE,VLOOKUP("Sorgho ensilé",AlimentsRationBovinsFemelles,6,FALSE),0)+(IF(QualitéAlimentsTaurillons_12_18_mois=BONNE,VLOOKUP("Sorgho ensilé",AlimentsRationBovinsMâles,5,FALSE),0)+(IF(QualitéAlimentsGénisses_12_18_mois=BONNE,VLOOKUP("Sorgho ensilé",AlimentsRationBovinsFemelles,5,FALSE),0)+(IF(QualitéAlimentsTaurillons_18_24_mois=BONNE,VLOOKUP("Sorgho ensilé",AlimentsRationBovinsMâles,4,FALSE),0)+(IF(QualitéAlimentsGénisses_18_24_mois=BONNE,VLOOKUP("Sorgho ensilé",AlimentsRationBovinsFemelles,4,FALSE),0)+(IF(QualitéAlimentsTaurillons_24_36_mois=BONNE,VLOOKUP("Sorgho ensilé",AlimentsRationBovinsMâles,3,FALSE),0)+(IF(QualitéAlimentsGénisses_24_36_mois=BONNE,VLOOKUP("Sorgho ensilé",AlimentsRationBovinsFemelles,3,FALSE),0)+(IF(QualitéAlimentsTaureaux=BONNE,VLOOKUP("Sorgho ensilé",AlimentsRationBovinsMâles,2,FALSE),0)+(IF(QualitéAlimentsVaches=BONNE,VLOOKUP("Sorgho ensilé",AlimentsRationBovinsFemelles,2,FALSE),0))))))))))))))))</f>
        <v>0</v>
      </c>
      <c r="BD370" s="1267">
        <f t="array" ref="BD370">SUM((IF(QualitéAlimentsVeauxMâles_0_3_mois=MOYENNE,VLOOKUP("Sorgho ensilé",AlimentsRationBovinsMâles,8,FALSE),0)+(IF(QualitéAlimentsVeauxFemelles_0_3_mois=MOYENNE,VLOOKUP("Sorgho ensilé",AlimentsRationBovinsFemelles,8,FALSE),0)+(IF(QualitéAlimentsVeauxMâles_3_6_mois=MOYENNE,VLOOKUP("Sorgho ensilé",AlimentsRationBovinsMâles,7,FALSE),0)+(IF(QualitéAlimentsVeauxFemelles_3_6_mois=MOYENNE,VLOOKUP("Sorgho ensilé",AlimentsRationBovinsFemelles,7,FALSE),0)+(IF(QualitéAlimentsVeauxMâles_6_12_mois=MOYENNE,VLOOKUP("Sorgho ensilé",AlimentsRationBovinsMâles,6,FALSE),0)+(IF(QualitéAlimentsVeauxFemelles_6_12_mois=MOYENNE,VLOOKUP("Sorgho ensilé",AlimentsRationBovinsFemelles,6,FALSE),0)+(IF(QualitéAlimentsTaurillons_12_18_mois=MOYENNE,VLOOKUP("Sorgho ensilé",AlimentsRationBovinsMâles,5,FALSE),0)+(IF(QualitéAlimentsGénisses_12_18_mois=MOYENNE,VLOOKUP("Sorgho ensilé",AlimentsRationBovinsFemelles,5,FALSE),0)+(IF(QualitéAlimentsTaurillons_18_24_mois=MOYENNE,VLOOKUP("Sorgho ensilé",AlimentsRationBovinsMâles,4,FALSE),0)+(IF(QualitéAlimentsGénisses_18_24_mois=MOYENNE,VLOOKUP("Sorgho ensilé",AlimentsRationBovinsFemelles,4,FALSE),0)+(IF(QualitéAlimentsTaurillons_24_36_mois=MOYENNE,VLOOKUP("Sorgho ensilé",AlimentsRationBovinsMâles,3,FALSE),0)+(IF(QualitéAlimentsGénisses_24_36_mois=MOYENNE,VLOOKUP("Sorgho ensilé",AlimentsRationBovinsFemelles,3,FALSE),0)+(IF(QualitéAlimentsTaureaux=MOYENNE,VLOOKUP("Sorgho ensilé",AlimentsRationBovinsMâles,2,FALSE),0)+(IF(QualitéAlimentsVaches=MOYENNE,VLOOKUP("Sorgho ensilé",AlimentsRationBovinsFemelles,2,FALSE),0))))))))))))))))</f>
        <v>0</v>
      </c>
      <c r="BE370" s="1267">
        <f t="array" ref="BE370">SUM((IF(QualitéAlimentsVeauxMâles_0_3_mois=MAUVAISE,VLOOKUP("Sorgho ensilé",AlimentsRationBovinsMâles,8,FALSE),0)+(IF(QualitéAlimentsVeauxFemelles_0_3_mois=MAUVAISE,VLOOKUP("Sorgho ensilé",AlimentsRationBovinsFemelles,8,FALSE),0)+(IF(QualitéAlimentsVeauxMâles_3_6_mois=MAUVAISE,VLOOKUP("Sorgho ensilé",AlimentsRationBovinsMâles,7,FALSE),0)+(IF(QualitéAlimentsVeauxFemelles_3_6_mois=MAUVAISE,VLOOKUP("Sorgho ensilé",AlimentsRationBovinsFemelles,7,FALSE),0)+(IF(QualitéAlimentsVeauxMâles_6_12_mois=MAUVAISE,VLOOKUP("Sorgho ensilé",AlimentsRationBovinsMâles,6,FALSE),0)+(IF(QualitéAlimentsVeauxFemelles_6_12_mois=MAUVAISE,VLOOKUP("Sorgho ensilé",AlimentsRationBovinsFemelles,6,FALSE),0)+(IF(QualitéAlimentsTaurillons_12_18_mois=MAUVAISE,VLOOKUP("Sorgho ensilé",AlimentsRationBovinsMâles,5,FALSE),0)+(IF(QualitéAlimentsGénisses_12_18_mois=MAUVAISE,VLOOKUP("Sorgho ensilé",AlimentsRationBovinsFemelles,5,FALSE),0)+(IF(QualitéAlimentsTaurillons_18_24_mois=MAUVAISE,VLOOKUP("Sorgho ensilé",AlimentsRationBovinsMâles,4,FALSE),0)+(IF(QualitéAlimentsGénisses_18_24_mois=MAUVAISE,VLOOKUP("Sorgho ensilé",AlimentsRationBovinsFemelles,4,FALSE),0)+(IF(QualitéAlimentsTaurillons_24_36_mois=MAUVAISE,VLOOKUP("Sorgho ensilé",AlimentsRationBovinsMâles,3,FALSE),0)+(IF(QualitéAlimentsGénisses_24_36_mois=MAUVAISE,VLOOKUP("Sorgho ensilé",AlimentsRationBovinsFemelles,3,FALSE),0)+(IF(QualitéAlimentsTaureaux=MAUVAISE,VLOOKUP("Sorgho ensilé",AlimentsRationBovinsMâles,2,FALSE),0)+(IF(QualitéAlimentsVaches=MAUVAISE,VLOOKUP("Sorgho ensilé",AlimentsRationBovinsFemelles,2,FALSE),0))))))))))))))))</f>
        <v>0</v>
      </c>
      <c r="BF370" s="1321"/>
      <c r="BG370" s="1321"/>
      <c r="BH370" s="1321"/>
      <c r="BI370" s="1321"/>
      <c r="BJ370" s="1321"/>
      <c r="BK370" s="1345"/>
      <c r="BL370" s="1345"/>
      <c r="BM370" s="1346"/>
      <c r="BN370" s="1321"/>
      <c r="BO370" s="1321"/>
      <c r="BP370" s="1321"/>
      <c r="BQ370" s="1321"/>
      <c r="BR370" s="1321"/>
      <c r="BS370" s="1321"/>
      <c r="BT370" s="1321"/>
      <c r="BU370" s="1321"/>
      <c r="BV370" s="1345"/>
      <c r="BW370" s="1345"/>
      <c r="BX370" s="1321"/>
      <c r="BY370" s="1321"/>
      <c r="BZ370" s="1321"/>
      <c r="CA370" s="1321"/>
      <c r="CB370" s="1321"/>
      <c r="CC370" s="1321"/>
      <c r="CD370" s="1345"/>
      <c r="CE370" s="1345"/>
      <c r="CF370" s="1321"/>
      <c r="CG370" s="1321"/>
      <c r="CH370" s="1321"/>
      <c r="CI370" s="1321"/>
      <c r="CJ370" s="1321"/>
      <c r="CK370" s="1321"/>
      <c r="CL370" s="1321"/>
      <c r="CM370" s="1321"/>
      <c r="CN370" s="1321"/>
      <c r="CO370" s="1321"/>
      <c r="CP370" s="1321"/>
      <c r="CQ370" s="1321"/>
      <c r="CR370" s="1321"/>
      <c r="CS370" s="1321"/>
      <c r="CT370" s="1321"/>
      <c r="CU370" s="1321"/>
      <c r="CV370" s="1321"/>
      <c r="CW370" s="1321"/>
      <c r="CX370" s="1321"/>
      <c r="CY370" s="1321"/>
      <c r="CZ370" s="1321"/>
      <c r="DA370" s="1321"/>
      <c r="DB370" s="1321"/>
      <c r="DC370" s="1321"/>
      <c r="DD370" s="1321"/>
      <c r="DE370" s="1321"/>
      <c r="DF370" s="1321"/>
      <c r="DG370" s="1321"/>
      <c r="DH370" s="1321"/>
      <c r="DI370" s="1321"/>
      <c r="DJ370" s="1321"/>
      <c r="DK370" s="1321"/>
      <c r="DL370" s="1321"/>
      <c r="DM370" s="1321"/>
      <c r="DN370" s="1321"/>
      <c r="DO370" s="1321"/>
      <c r="DP370" s="1321"/>
      <c r="DQ370" s="1321"/>
      <c r="DR370" s="1321"/>
      <c r="DS370" s="1321"/>
      <c r="DT370" s="1321"/>
      <c r="DU370" s="1321"/>
      <c r="DV370" s="1321"/>
      <c r="DW370" s="1321"/>
      <c r="DX370" s="1321"/>
      <c r="DY370" s="1321"/>
      <c r="DZ370" s="1345"/>
      <c r="EA370" s="1345"/>
      <c r="EB370" s="1321"/>
      <c r="EC370" s="1321"/>
      <c r="ED370" s="1321"/>
      <c r="EE370" s="1321"/>
      <c r="EF370" s="1321"/>
      <c r="EG370" s="1321"/>
      <c r="EH370" s="1321"/>
      <c r="EI370" s="1321"/>
      <c r="EJ370" s="1321"/>
      <c r="EK370" s="1345"/>
      <c r="EL370" s="1321"/>
      <c r="EM370" s="1321"/>
      <c r="EN370" s="1321"/>
      <c r="EO370" s="1321"/>
      <c r="EP370" s="1321"/>
      <c r="EQ370" s="1321"/>
      <c r="ER370" s="1345"/>
      <c r="ES370" s="1321"/>
      <c r="ET370" s="1321"/>
      <c r="EU370" s="1321"/>
      <c r="EV370" s="1321"/>
      <c r="EW370" s="1321"/>
      <c r="EX370" s="1321"/>
      <c r="EY370" s="1321"/>
      <c r="EZ370" s="1345"/>
      <c r="FA370" s="1321"/>
      <c r="FB370" s="1321"/>
      <c r="FC370" s="1321"/>
      <c r="FD370" s="1321"/>
      <c r="FE370" s="1321"/>
      <c r="FF370" s="1321"/>
      <c r="FG370" s="1321"/>
      <c r="FH370" s="1321"/>
      <c r="FI370" s="1345"/>
      <c r="FJ370" s="1321"/>
      <c r="FK370" s="1321"/>
      <c r="FL370" s="1321"/>
      <c r="FM370" s="1321"/>
      <c r="FN370" s="1321"/>
      <c r="FO370" s="1321"/>
      <c r="FP370" s="1321"/>
      <c r="FQ370" s="1321"/>
      <c r="FR370" s="1321"/>
      <c r="FS370" s="1345"/>
      <c r="FT370" s="1321"/>
      <c r="FU370" s="1321"/>
      <c r="FV370" s="1321"/>
      <c r="FW370" s="1345"/>
      <c r="FX370" s="1321"/>
      <c r="FY370" s="1321"/>
      <c r="FZ370" s="1321"/>
      <c r="GA370" s="1321"/>
      <c r="GB370" s="1321"/>
      <c r="GC370" s="1321" t="s">
        <v>1349</v>
      </c>
      <c r="GD370" s="1321" t="s">
        <v>1349</v>
      </c>
      <c r="GE370" s="1321" t="s">
        <v>1349</v>
      </c>
      <c r="GF370" s="1321" t="s">
        <v>1349</v>
      </c>
      <c r="GG370" s="1321" t="s">
        <v>1349</v>
      </c>
      <c r="GH370" s="1321" t="s">
        <v>1349</v>
      </c>
      <c r="GI370" s="1321" t="s">
        <v>1349</v>
      </c>
      <c r="GJ370" s="1321" t="s">
        <v>1349</v>
      </c>
      <c r="GK370" s="1321" t="s">
        <v>1349</v>
      </c>
      <c r="GL370" s="1321" t="s">
        <v>1349</v>
      </c>
      <c r="GM370" s="1321" t="s">
        <v>1349</v>
      </c>
      <c r="GN370" s="1321" t="s">
        <v>1349</v>
      </c>
      <c r="GO370" s="1321" t="s">
        <v>1349</v>
      </c>
      <c r="GP370" s="1321" t="s">
        <v>1349</v>
      </c>
      <c r="GQ370" s="1321" t="s">
        <v>1349</v>
      </c>
      <c r="GR370" s="1321" t="s">
        <v>1349</v>
      </c>
      <c r="GS370" s="1321"/>
      <c r="GT370" s="1321"/>
      <c r="GU370" s="1321"/>
      <c r="GV370" s="1321"/>
      <c r="GW370" s="1321"/>
      <c r="GX370" s="1321"/>
      <c r="GY370" s="1321"/>
      <c r="GZ370" s="1321"/>
      <c r="HA370" s="1321"/>
      <c r="HB370" s="1321"/>
      <c r="HC370" s="1321"/>
      <c r="HD370" s="1321"/>
      <c r="HE370" s="1321"/>
      <c r="HF370" s="1321"/>
      <c r="HG370" s="1321"/>
      <c r="HH370" s="1321"/>
      <c r="HI370" s="1321"/>
      <c r="HJ370" s="1321"/>
      <c r="HK370" s="1321"/>
      <c r="HL370" s="1321"/>
      <c r="HM370" s="1321"/>
      <c r="HN370" s="1321"/>
      <c r="HO370" s="1321"/>
      <c r="HP370" s="1321"/>
      <c r="HQ370" s="1321"/>
      <c r="HR370" s="1321"/>
      <c r="HS370" s="1321"/>
      <c r="HT370" s="1321"/>
      <c r="HU370" s="1321"/>
      <c r="HV370" s="1321"/>
      <c r="HW370" s="1321"/>
      <c r="HX370" s="1321"/>
      <c r="HY370" s="1321"/>
      <c r="HZ370" s="1321"/>
      <c r="IA370" s="1321"/>
      <c r="IB370" s="1321"/>
      <c r="IC370" s="1321"/>
      <c r="ID370" s="1321"/>
      <c r="IE370" s="1321"/>
      <c r="IF370" s="1321"/>
      <c r="IG370" s="1321"/>
      <c r="IH370" s="1321"/>
      <c r="II370" s="1321"/>
      <c r="IJ370" s="1321"/>
      <c r="IK370" s="1321"/>
      <c r="IL370" s="1321"/>
      <c r="IM370" s="1321"/>
      <c r="IN370" s="1368"/>
    </row>
    <row r="371" spans="1:248" ht="12.75" customHeight="1" x14ac:dyDescent="0.2">
      <c r="A371" s="1319"/>
      <c r="B371" s="1321"/>
      <c r="C371" s="1321"/>
      <c r="D371" s="1321"/>
      <c r="E371" s="1321"/>
      <c r="F371" s="1321"/>
      <c r="G371" s="1321"/>
      <c r="H371" s="1321"/>
      <c r="I371" s="1321"/>
      <c r="J371" s="1321"/>
      <c r="K371" s="1321"/>
      <c r="L371" s="1321"/>
      <c r="M371" s="1321"/>
      <c r="N371" s="1321"/>
      <c r="O371" s="1321"/>
      <c r="P371" s="1321"/>
      <c r="Q371" s="1321"/>
      <c r="R371" s="1321"/>
      <c r="S371" s="1321"/>
      <c r="T371" s="1321"/>
      <c r="U371" s="1321"/>
      <c r="V371" s="1321"/>
      <c r="W371" s="1321"/>
      <c r="X371" s="1321"/>
      <c r="Y371" s="1321"/>
      <c r="Z371" s="1321"/>
      <c r="AA371" s="1321"/>
      <c r="AB371" s="1321"/>
      <c r="AC371" s="1321"/>
      <c r="AD371" s="1321"/>
      <c r="AE371" s="1321"/>
      <c r="AF371" s="1321"/>
      <c r="AG371" s="1321"/>
      <c r="AH371" s="1321"/>
      <c r="AI371" s="1321"/>
      <c r="AJ371" s="1321"/>
      <c r="AK371" s="1321"/>
      <c r="AL371" s="1321"/>
      <c r="AM371" s="1321"/>
      <c r="AN371" s="1321"/>
      <c r="AO371" s="1321"/>
      <c r="AP371" s="1321"/>
      <c r="AQ371" s="1321"/>
      <c r="AR371" s="1321"/>
      <c r="AS371" s="1321"/>
      <c r="AT371" s="1321"/>
      <c r="AU371" s="1321"/>
      <c r="AV371" s="1321"/>
      <c r="AW371" s="1321"/>
      <c r="AX371" s="1321"/>
      <c r="AY371" s="1321"/>
      <c r="AZ371" s="1321"/>
      <c r="BA371" s="1321"/>
      <c r="BB371" s="1075" t="str">
        <f t="shared" si="81"/>
        <v>Tournesol</v>
      </c>
      <c r="BC371" s="1269">
        <f t="array" ref="BC371">SUM((IF(QualitéAlimentsVeauxMâles_0_3_mois=BONNE,VLOOKUP("Tournesol",AlimentsRationBovinsMâles,8,FALSE),0)+(IF(QualitéAlimentsVeauxFemelles_0_3_mois=BONNE,VLOOKUP("Tournesol",AlimentsRationBovinsFemelles,8,FALSE),0)+(IF(QualitéAlimentsVeauxMâles_3_6_mois=BONNE,VLOOKUP("Tournesol",AlimentsRationBovinsMâles,7,FALSE),0)+(IF(QualitéAlimentsVeauxFemelles_3_6_mois=BONNE,VLOOKUP("Tournesol",AlimentsRationBovinsFemelles,7,FALSE),0)+(IF(QualitéAlimentsVeauxMâles_6_12_mois=BONNE,VLOOKUP("Tournesol",AlimentsRationBovinsMâles,6,FALSE),0)+(IF(QualitéAlimentsVeauxFemelles_6_12_mois=BONNE,VLOOKUP("Tournesol",AlimentsRationBovinsFemelles,6,FALSE),0)+(IF(QualitéAlimentsTaurillons_12_18_mois=BONNE,VLOOKUP("Tournesol",AlimentsRationBovinsMâles,5,FALSE),0)+(IF(QualitéAlimentsGénisses_12_18_mois=BONNE,VLOOKUP("Tournesol",AlimentsRationBovinsFemelles,5,FALSE),0)+(IF(QualitéAlimentsTaurillons_18_24_mois=BONNE,VLOOKUP("Tournesol",AlimentsRationBovinsMâles,4,FALSE),0)+(IF(QualitéAlimentsGénisses_18_24_mois=BONNE,VLOOKUP("Tournesol",AlimentsRationBovinsFemelles,4,FALSE),0)+(IF(QualitéAlimentsTaurillons_24_36_mois=BONNE,VLOOKUP("Tournesol",AlimentsRationBovinsMâles,3,FALSE),0)+(IF(QualitéAlimentsGénisses_24_36_mois=BONNE,VLOOKUP("Tournesol",AlimentsRationBovinsFemelles,3,FALSE),0)+(IF(QualitéAlimentsTaureaux=BONNE,VLOOKUP("Tournesol",AlimentsRationBovinsMâles,2,FALSE),0)+(IF(QualitéAlimentsVaches=BONNE,VLOOKUP("Tournesol",AlimentsRationBovinsFemelles,2,FALSE),0))))))))))))))))</f>
        <v>0</v>
      </c>
      <c r="BD371" s="1269">
        <f t="array" ref="BD371">SUM((IF(QualitéAlimentsVeauxMâles_0_3_mois=MOYENNE,VLOOKUP("Tournesol",AlimentsRationBovinsMâles,8,FALSE),0)+(IF(QualitéAlimentsVeauxFemelles_0_3_mois=MOYENNE,VLOOKUP("Tournesol",AlimentsRationBovinsFemelles,8,FALSE),0)+(IF(QualitéAlimentsVeauxMâles_3_6_mois=MOYENNE,VLOOKUP("Tournesol",AlimentsRationBovinsMâles,7,FALSE),0)+(IF(QualitéAlimentsVeauxFemelles_3_6_mois=MOYENNE,VLOOKUP("Tournesol",AlimentsRationBovinsFemelles,7,FALSE),0)+(IF(QualitéAlimentsVeauxMâles_6_12_mois=MOYENNE,VLOOKUP("Tournesol",AlimentsRationBovinsMâles,6,FALSE),0)+(IF(QualitéAlimentsVeauxFemelles_6_12_mois=MOYENNE,VLOOKUP("Tournesol",AlimentsRationBovinsFemelles,6,FALSE),0)+(IF(QualitéAlimentsTaurillons_12_18_mois=MOYENNE,VLOOKUP("Tournesol",AlimentsRationBovinsMâles,5,FALSE),0)+(IF(QualitéAlimentsGénisses_12_18_mois=MOYENNE,VLOOKUP("Tournesol",AlimentsRationBovinsFemelles,5,FALSE),0)+(IF(QualitéAlimentsTaurillons_18_24_mois=MOYENNE,VLOOKUP("Tournesol",AlimentsRationBovinsMâles,4,FALSE),0)+(IF(QualitéAlimentsGénisses_18_24_mois=MOYENNE,VLOOKUP("Tournesol",AlimentsRationBovinsFemelles,4,FALSE),0)+(IF(QualitéAlimentsTaurillons_24_36_mois=MOYENNE,VLOOKUP("Tournesol",AlimentsRationBovinsMâles,3,FALSE),0)+(IF(QualitéAlimentsGénisses_24_36_mois=MOYENNE,VLOOKUP("Tournesol",AlimentsRationBovinsFemelles,3,FALSE),0)+(IF(QualitéAlimentsTaureaux=MOYENNE,VLOOKUP("Tournesol",AlimentsRationBovinsMâles,2,FALSE),0)+(IF(QualitéAlimentsVaches=MOYENNE,VLOOKUP("Tournesol",AlimentsRationBovinsFemelles,2,FALSE),0))))))))))))))))</f>
        <v>0</v>
      </c>
      <c r="BE371" s="1269">
        <f t="array" ref="BE371">SUM((IF(QualitéAlimentsVeauxMâles_0_3_mois=MAUVAISE,VLOOKUP("Tournesol",AlimentsRationBovinsMâles,8,FALSE),0)+(IF(QualitéAlimentsVeauxFemelles_0_3_mois=MAUVAISE,VLOOKUP("Tournesol",AlimentsRationBovinsFemelles,8,FALSE),0)+(IF(QualitéAlimentsVeauxMâles_3_6_mois=MAUVAISE,VLOOKUP("Tournesol",AlimentsRationBovinsMâles,7,FALSE),0)+(IF(QualitéAlimentsVeauxFemelles_3_6_mois=MAUVAISE,VLOOKUP("Tournesol",AlimentsRationBovinsFemelles,7,FALSE),0)+(IF(QualitéAlimentsVeauxMâles_6_12_mois=MAUVAISE,VLOOKUP("Tournesol",AlimentsRationBovinsMâles,6,FALSE),0)+(IF(QualitéAlimentsVeauxFemelles_6_12_mois=MAUVAISE,VLOOKUP("Tournesol",AlimentsRationBovinsFemelles,6,FALSE),0)+(IF(QualitéAlimentsTaurillons_12_18_mois=MAUVAISE,VLOOKUP("Tournesol",AlimentsRationBovinsMâles,5,FALSE),0)+(IF(QualitéAlimentsGénisses_12_18_mois=MAUVAISE,VLOOKUP("Tournesol",AlimentsRationBovinsFemelles,5,FALSE),0)+(IF(QualitéAlimentsTaurillons_18_24_mois=MAUVAISE,VLOOKUP("Tournesol",AlimentsRationBovinsMâles,4,FALSE),0)+(IF(QualitéAlimentsGénisses_18_24_mois=MAUVAISE,VLOOKUP("Tournesol",AlimentsRationBovinsFemelles,4,FALSE),0)+(IF(QualitéAlimentsTaurillons_24_36_mois=MAUVAISE,VLOOKUP("Tournesol",AlimentsRationBovinsMâles,3,FALSE),0)+(IF(QualitéAlimentsGénisses_24_36_mois=MAUVAISE,VLOOKUP("Tournesol",AlimentsRationBovinsFemelles,3,FALSE),0)+(IF(QualitéAlimentsTaureaux=MAUVAISE,VLOOKUP("Tournesol",AlimentsRationBovinsMâles,2,FALSE),0)+(IF(QualitéAlimentsVaches=MAUVAISE,VLOOKUP("Tournesol",AlimentsRationBovinsFemelles,2,FALSE),0))))))))))))))))</f>
        <v>0</v>
      </c>
      <c r="BF371" s="1321"/>
      <c r="BG371" s="1321"/>
      <c r="BH371" s="1321"/>
      <c r="BI371" s="1321"/>
      <c r="BJ371" s="1321"/>
      <c r="BK371" s="1345"/>
      <c r="BL371" s="1345"/>
      <c r="BM371" s="1346"/>
      <c r="BN371" s="1321"/>
      <c r="BO371" s="1321"/>
      <c r="BP371" s="1321"/>
      <c r="BQ371" s="1321"/>
      <c r="BR371" s="1321"/>
      <c r="BS371" s="1321"/>
      <c r="BT371" s="1321"/>
      <c r="BU371" s="1321"/>
      <c r="BV371" s="1345"/>
      <c r="BW371" s="1345"/>
      <c r="BX371" s="1321"/>
      <c r="BY371" s="1321"/>
      <c r="BZ371" s="1321"/>
      <c r="CA371" s="1321"/>
      <c r="CB371" s="1321"/>
      <c r="CC371" s="1321"/>
      <c r="CD371" s="1345"/>
      <c r="CE371" s="1345"/>
      <c r="CF371" s="1321"/>
      <c r="CG371" s="1321"/>
      <c r="CH371" s="1321"/>
      <c r="CI371" s="1321"/>
      <c r="CJ371" s="1321"/>
      <c r="CK371" s="1321"/>
      <c r="CL371" s="1321"/>
      <c r="CM371" s="1321"/>
      <c r="CN371" s="1321"/>
      <c r="CO371" s="1321"/>
      <c r="CP371" s="1321"/>
      <c r="CQ371" s="1321"/>
      <c r="CR371" s="1321"/>
      <c r="CS371" s="1321"/>
      <c r="CT371" s="1321"/>
      <c r="CU371" s="1321"/>
      <c r="CV371" s="1321"/>
      <c r="CW371" s="1321"/>
      <c r="CX371" s="1321"/>
      <c r="CY371" s="1321"/>
      <c r="CZ371" s="1321"/>
      <c r="DA371" s="1321"/>
      <c r="DB371" s="1321"/>
      <c r="DC371" s="1321"/>
      <c r="DD371" s="1321"/>
      <c r="DE371" s="1321"/>
      <c r="DF371" s="1321"/>
      <c r="DG371" s="1321"/>
      <c r="DH371" s="1321"/>
      <c r="DI371" s="1321"/>
      <c r="DJ371" s="1321"/>
      <c r="DK371" s="1321"/>
      <c r="DL371" s="1321"/>
      <c r="DM371" s="1321"/>
      <c r="DN371" s="1321"/>
      <c r="DO371" s="1321"/>
      <c r="DP371" s="1321"/>
      <c r="DQ371" s="1321"/>
      <c r="DR371" s="1321"/>
      <c r="DS371" s="1321"/>
      <c r="DT371" s="1321"/>
      <c r="DU371" s="1321"/>
      <c r="DV371" s="1321"/>
      <c r="DW371" s="1321"/>
      <c r="DX371" s="1321"/>
      <c r="DY371" s="1321"/>
      <c r="DZ371" s="1345"/>
      <c r="EA371" s="1345"/>
      <c r="EB371" s="1321"/>
      <c r="EC371" s="1321"/>
      <c r="ED371" s="1321"/>
      <c r="EE371" s="1321"/>
      <c r="EF371" s="1321"/>
      <c r="EG371" s="1321"/>
      <c r="EH371" s="1321"/>
      <c r="EI371" s="1321"/>
      <c r="EJ371" s="1321"/>
      <c r="EK371" s="1345"/>
      <c r="EL371" s="1321"/>
      <c r="EM371" s="1321"/>
      <c r="EN371" s="1321"/>
      <c r="EO371" s="1321"/>
      <c r="EP371" s="1321"/>
      <c r="EQ371" s="1321"/>
      <c r="ER371" s="1345"/>
      <c r="ES371" s="1321"/>
      <c r="ET371" s="1321"/>
      <c r="EU371" s="1321"/>
      <c r="EV371" s="1321"/>
      <c r="EW371" s="1321"/>
      <c r="EX371" s="1321"/>
      <c r="EY371" s="1321"/>
      <c r="EZ371" s="1345"/>
      <c r="FA371" s="1321"/>
      <c r="FB371" s="1321"/>
      <c r="FC371" s="1321"/>
      <c r="FD371" s="1321"/>
      <c r="FE371" s="1321"/>
      <c r="FF371" s="1321"/>
      <c r="FG371" s="1321"/>
      <c r="FH371" s="1321"/>
      <c r="FI371" s="1345"/>
      <c r="FJ371" s="1321"/>
      <c r="FK371" s="1321"/>
      <c r="FL371" s="1321"/>
      <c r="FM371" s="1321"/>
      <c r="FN371" s="1321"/>
      <c r="FO371" s="1321"/>
      <c r="FP371" s="1321"/>
      <c r="FQ371" s="1321"/>
      <c r="FR371" s="1321"/>
      <c r="FS371" s="1345"/>
      <c r="FT371" s="1321"/>
      <c r="FU371" s="1321"/>
      <c r="FV371" s="1321"/>
      <c r="FW371" s="1345"/>
      <c r="FX371" s="1321"/>
      <c r="FY371" s="1321"/>
      <c r="FZ371" s="1321"/>
      <c r="GA371" s="1321"/>
      <c r="GB371" s="1321"/>
      <c r="GC371" s="1321" t="s">
        <v>1349</v>
      </c>
      <c r="GD371" s="1321" t="s">
        <v>1349</v>
      </c>
      <c r="GE371" s="1321" t="s">
        <v>1349</v>
      </c>
      <c r="GF371" s="1321" t="s">
        <v>1349</v>
      </c>
      <c r="GG371" s="1321" t="s">
        <v>1349</v>
      </c>
      <c r="GH371" s="1321" t="s">
        <v>1349</v>
      </c>
      <c r="GI371" s="1321" t="s">
        <v>1349</v>
      </c>
      <c r="GJ371" s="1321" t="s">
        <v>1349</v>
      </c>
      <c r="GK371" s="1321" t="s">
        <v>1349</v>
      </c>
      <c r="GL371" s="1321" t="s">
        <v>1349</v>
      </c>
      <c r="GM371" s="1321" t="s">
        <v>1349</v>
      </c>
      <c r="GN371" s="1321" t="s">
        <v>1349</v>
      </c>
      <c r="GO371" s="1321" t="s">
        <v>1349</v>
      </c>
      <c r="GP371" s="1321" t="s">
        <v>1349</v>
      </c>
      <c r="GQ371" s="1321" t="s">
        <v>1349</v>
      </c>
      <c r="GR371" s="1321" t="s">
        <v>1349</v>
      </c>
      <c r="GS371" s="1321"/>
      <c r="GT371" s="1321"/>
      <c r="GU371" s="1321"/>
      <c r="GV371" s="1321"/>
      <c r="GW371" s="1321"/>
      <c r="GX371" s="1321"/>
      <c r="GY371" s="1321"/>
      <c r="GZ371" s="1321"/>
      <c r="HA371" s="1321"/>
      <c r="HB371" s="1321"/>
      <c r="HC371" s="1321"/>
      <c r="HD371" s="1321"/>
      <c r="HE371" s="1321"/>
      <c r="HF371" s="1321"/>
      <c r="HG371" s="1321"/>
      <c r="HH371" s="1321"/>
      <c r="HI371" s="1321"/>
      <c r="HJ371" s="1321"/>
      <c r="HK371" s="1321"/>
      <c r="HL371" s="1321"/>
      <c r="HM371" s="1321"/>
      <c r="HN371" s="1321"/>
      <c r="HO371" s="1321"/>
      <c r="HP371" s="1321"/>
      <c r="HQ371" s="1321"/>
      <c r="HR371" s="1321"/>
      <c r="HS371" s="1321"/>
      <c r="HT371" s="1321"/>
      <c r="HU371" s="1321"/>
      <c r="HV371" s="1321"/>
      <c r="HW371" s="1321"/>
      <c r="HX371" s="1321"/>
      <c r="HY371" s="1321"/>
      <c r="HZ371" s="1321"/>
      <c r="IA371" s="1321"/>
      <c r="IB371" s="1321"/>
      <c r="IC371" s="1321"/>
      <c r="ID371" s="1321"/>
      <c r="IE371" s="1321"/>
      <c r="IF371" s="1321"/>
      <c r="IG371" s="1321"/>
      <c r="IH371" s="1321"/>
      <c r="II371" s="1321"/>
      <c r="IJ371" s="1321"/>
      <c r="IK371" s="1321"/>
      <c r="IL371" s="1321"/>
      <c r="IM371" s="1321"/>
      <c r="IN371" s="1368"/>
    </row>
    <row r="372" spans="1:248" ht="12.75" customHeight="1" x14ac:dyDescent="0.2">
      <c r="A372" s="1319"/>
      <c r="B372" s="1321"/>
      <c r="C372" s="1321"/>
      <c r="D372" s="1321"/>
      <c r="E372" s="1321"/>
      <c r="F372" s="1321"/>
      <c r="G372" s="1321"/>
      <c r="H372" s="1321"/>
      <c r="I372" s="1321"/>
      <c r="J372" s="1321"/>
      <c r="K372" s="1321"/>
      <c r="L372" s="1321"/>
      <c r="M372" s="1321"/>
      <c r="N372" s="1321"/>
      <c r="O372" s="1321"/>
      <c r="P372" s="1321"/>
      <c r="Q372" s="1321"/>
      <c r="R372" s="1321"/>
      <c r="S372" s="1321"/>
      <c r="T372" s="1321"/>
      <c r="U372" s="1321"/>
      <c r="V372" s="1321"/>
      <c r="W372" s="1321"/>
      <c r="X372" s="1321"/>
      <c r="Y372" s="1321"/>
      <c r="Z372" s="1321"/>
      <c r="AA372" s="1321"/>
      <c r="AB372" s="1321"/>
      <c r="AC372" s="1321"/>
      <c r="AD372" s="1321"/>
      <c r="AE372" s="1321"/>
      <c r="AF372" s="1321"/>
      <c r="AG372" s="1321"/>
      <c r="AH372" s="1321"/>
      <c r="AI372" s="1321"/>
      <c r="AJ372" s="1321"/>
      <c r="AK372" s="1321"/>
      <c r="AL372" s="1321"/>
      <c r="AM372" s="1321"/>
      <c r="AN372" s="1321"/>
      <c r="AO372" s="1321"/>
      <c r="AP372" s="1321"/>
      <c r="AQ372" s="1321"/>
      <c r="AR372" s="1321"/>
      <c r="AS372" s="1321"/>
      <c r="AT372" s="1321"/>
      <c r="AU372" s="1321"/>
      <c r="AV372" s="1321"/>
      <c r="AW372" s="1321"/>
      <c r="AX372" s="1321"/>
      <c r="AY372" s="1321"/>
      <c r="AZ372" s="1321"/>
      <c r="BA372" s="1321"/>
      <c r="BB372" s="1076" t="str">
        <f t="shared" si="81"/>
        <v>Tourteau de colza</v>
      </c>
      <c r="BC372" s="1267">
        <f t="array" ref="BC372">SUM((IF(QualitéAlimentsVeauxMâles_0_3_mois=BONNE,VLOOKUP("Tourteau de colza",AlimentsRationBovinsMâles,8,FALSE),0)+(IF(QualitéAlimentsVeauxFemelles_0_3_mois=BONNE,VLOOKUP("Tourteau de colza",AlimentsRationBovinsFemelles,8,FALSE),0)+(IF(QualitéAlimentsVeauxMâles_3_6_mois=BONNE,VLOOKUP("Tourteau de colza",AlimentsRationBovinsMâles,7,FALSE),0)+(IF(QualitéAlimentsVeauxFemelles_3_6_mois=BONNE,VLOOKUP("Tourteau de colza",AlimentsRationBovinsFemelles,7,FALSE),0)+(IF(QualitéAlimentsVeauxMâles_6_12_mois=BONNE,VLOOKUP("Tourteau de colza",AlimentsRationBovinsMâles,6,FALSE),0)+(IF(QualitéAlimentsVeauxFemelles_6_12_mois=BONNE,VLOOKUP("Tourteau de colza",AlimentsRationBovinsFemelles,6,FALSE),0)+(IF(QualitéAlimentsTaurillons_12_18_mois=BONNE,VLOOKUP("Tourteau de colza",AlimentsRationBovinsMâles,5,FALSE),0)+(IF(QualitéAlimentsGénisses_12_18_mois=BONNE,VLOOKUP("Tourteau de colza",AlimentsRationBovinsFemelles,5,FALSE),0)+(IF(QualitéAlimentsTaurillons_18_24_mois=BONNE,VLOOKUP("Tourteau de colza",AlimentsRationBovinsMâles,4,FALSE),0)+(IF(QualitéAlimentsGénisses_18_24_mois=BONNE,VLOOKUP("Tourteau de colza",AlimentsRationBovinsFemelles,4,FALSE),0)+(IF(QualitéAlimentsTaurillons_24_36_mois=BONNE,VLOOKUP("Tourteau de colza",AlimentsRationBovinsMâles,3,FALSE),0)+(IF(QualitéAlimentsGénisses_24_36_mois=BONNE,VLOOKUP("Tourteau de colza",AlimentsRationBovinsFemelles,3,FALSE),0)+(IF(QualitéAlimentsTaureaux=BONNE,VLOOKUP("Tourteau de colza",AlimentsRationBovinsMâles,2,FALSE),0)+(IF(QualitéAlimentsVaches=BONNE,VLOOKUP("Tourteau de colza",AlimentsRationBovinsFemelles,2,FALSE),0))))))))))))))))</f>
        <v>0</v>
      </c>
      <c r="BD372" s="1267">
        <f t="array" ref="BD372">SUM((IF(QualitéAlimentsVeauxMâles_0_3_mois=MOYENNE,VLOOKUP("Tourteau de colza",AlimentsRationBovinsMâles,8,FALSE),0)+(IF(QualitéAlimentsVeauxFemelles_0_3_mois=MOYENNE,VLOOKUP("Tourteau de colza",AlimentsRationBovinsFemelles,8,FALSE),0)+(IF(QualitéAlimentsVeauxMâles_3_6_mois=MOYENNE,VLOOKUP("Tourteau de colza",AlimentsRationBovinsMâles,7,FALSE),0)+(IF(QualitéAlimentsVeauxFemelles_3_6_mois=MOYENNE,VLOOKUP("Tourteau de colza",AlimentsRationBovinsFemelles,7,FALSE),0)+(IF(QualitéAlimentsVeauxMâles_6_12_mois=MOYENNE,VLOOKUP("Tourteau de colza",AlimentsRationBovinsMâles,6,FALSE),0)+(IF(QualitéAlimentsVeauxFemelles_6_12_mois=MOYENNE,VLOOKUP("Tourteau de colza",AlimentsRationBovinsFemelles,6,FALSE),0)+(IF(QualitéAlimentsTaurillons_12_18_mois=MOYENNE,VLOOKUP("Tourteau de colza",AlimentsRationBovinsMâles,5,FALSE),0)+(IF(QualitéAlimentsGénisses_12_18_mois=MOYENNE,VLOOKUP("Tourteau de colza",AlimentsRationBovinsFemelles,5,FALSE),0)+(IF(QualitéAlimentsTaurillons_18_24_mois=MOYENNE,VLOOKUP("Tourteau de colza",AlimentsRationBovinsMâles,4,FALSE),0)+(IF(QualitéAlimentsGénisses_18_24_mois=MOYENNE,VLOOKUP("Tourteau de colza",AlimentsRationBovinsFemelles,4,FALSE),0)+(IF(QualitéAlimentsTaurillons_24_36_mois=MOYENNE,VLOOKUP("Tourteau de colza",AlimentsRationBovinsMâles,3,FALSE),0)+(IF(QualitéAlimentsGénisses_24_36_mois=MOYENNE,VLOOKUP("Tourteau de colza",AlimentsRationBovinsFemelles,3,FALSE),0)+(IF(QualitéAlimentsTaureaux=MOYENNE,VLOOKUP("Tourteau de colza",AlimentsRationBovinsMâles,2,FALSE),0)+(IF(QualitéAlimentsVaches=MOYENNE,VLOOKUP("Tourteau de colza",AlimentsRationBovinsFemelles,2,FALSE),0))))))))))))))))</f>
        <v>0</v>
      </c>
      <c r="BE372" s="1267">
        <f t="array" ref="BE372">SUM((IF(QualitéAlimentsVeauxMâles_0_3_mois=MAUVAISE,VLOOKUP("Tourteau de colza",AlimentsRationBovinsMâles,8,FALSE),0)+(IF(QualitéAlimentsVeauxFemelles_0_3_mois=MAUVAISE,VLOOKUP("Tourteau de colza",AlimentsRationBovinsFemelles,8,FALSE),0)+(IF(QualitéAlimentsVeauxMâles_3_6_mois=MAUVAISE,VLOOKUP("Tourteau de colza",AlimentsRationBovinsMâles,7,FALSE),0)+(IF(QualitéAlimentsVeauxFemelles_3_6_mois=MAUVAISE,VLOOKUP("Tourteau de colza",AlimentsRationBovinsFemelles,7,FALSE),0)+(IF(QualitéAlimentsVeauxMâles_6_12_mois=MAUVAISE,VLOOKUP("Tourteau de colza",AlimentsRationBovinsMâles,6,FALSE),0)+(IF(QualitéAlimentsVeauxFemelles_6_12_mois=MAUVAISE,VLOOKUP("Tourteau de colza",AlimentsRationBovinsFemelles,6,FALSE),0)+(IF(QualitéAlimentsTaurillons_12_18_mois=MAUVAISE,VLOOKUP("Tourteau de colza",AlimentsRationBovinsMâles,5,FALSE),0)+(IF(QualitéAlimentsGénisses_12_18_mois=MAUVAISE,VLOOKUP("Tourteau de colza",AlimentsRationBovinsFemelles,5,FALSE),0)+(IF(QualitéAlimentsTaurillons_18_24_mois=MAUVAISE,VLOOKUP("Tourteau de colza",AlimentsRationBovinsMâles,4,FALSE),0)+(IF(QualitéAlimentsGénisses_18_24_mois=MAUVAISE,VLOOKUP("Tourteau de colza",AlimentsRationBovinsFemelles,4,FALSE),0)+(IF(QualitéAlimentsTaurillons_24_36_mois=MAUVAISE,VLOOKUP("Tourteau de colza",AlimentsRationBovinsMâles,3,FALSE),0)+(IF(QualitéAlimentsGénisses_24_36_mois=MAUVAISE,VLOOKUP("Tourteau de colza",AlimentsRationBovinsFemelles,3,FALSE),0)+(IF(QualitéAlimentsTaureaux=MAUVAISE,VLOOKUP("Tourteau de colza",AlimentsRationBovinsMâles,2,FALSE),0)+(IF(QualitéAlimentsVaches=MAUVAISE,VLOOKUP("Tourteau de colza",AlimentsRationBovinsFemelles,2,FALSE),0))))))))))))))))</f>
        <v>0</v>
      </c>
      <c r="BF372" s="1321"/>
      <c r="BG372" s="1321"/>
      <c r="BH372" s="1321"/>
      <c r="BI372" s="1321"/>
      <c r="BJ372" s="1321"/>
      <c r="BK372" s="1345"/>
      <c r="BL372" s="1345"/>
      <c r="BM372" s="1346"/>
      <c r="BN372" s="1321"/>
      <c r="BO372" s="1321"/>
      <c r="BP372" s="1321"/>
      <c r="BQ372" s="1321"/>
      <c r="BR372" s="1321"/>
      <c r="BS372" s="1321"/>
      <c r="BT372" s="1321"/>
      <c r="BU372" s="1321"/>
      <c r="BV372" s="1345"/>
      <c r="BW372" s="1345"/>
      <c r="BX372" s="1321"/>
      <c r="BY372" s="1321"/>
      <c r="BZ372" s="1321"/>
      <c r="CA372" s="1321"/>
      <c r="CB372" s="1321"/>
      <c r="CC372" s="1321"/>
      <c r="CD372" s="1345"/>
      <c r="CE372" s="1345"/>
      <c r="CF372" s="1321"/>
      <c r="CG372" s="1321"/>
      <c r="CH372" s="1321"/>
      <c r="CI372" s="1321"/>
      <c r="CJ372" s="1321"/>
      <c r="CK372" s="1321"/>
      <c r="CL372" s="1321"/>
      <c r="CM372" s="1321"/>
      <c r="CN372" s="1321"/>
      <c r="CO372" s="1321"/>
      <c r="CP372" s="1321"/>
      <c r="CQ372" s="1321"/>
      <c r="CR372" s="1321"/>
      <c r="CS372" s="1321"/>
      <c r="CT372" s="1321"/>
      <c r="CU372" s="1321"/>
      <c r="CV372" s="1321"/>
      <c r="CW372" s="1321"/>
      <c r="CX372" s="1321"/>
      <c r="CY372" s="1321"/>
      <c r="CZ372" s="1321"/>
      <c r="DA372" s="1321"/>
      <c r="DB372" s="1321"/>
      <c r="DC372" s="1321"/>
      <c r="DD372" s="1321"/>
      <c r="DE372" s="1321"/>
      <c r="DF372" s="1321"/>
      <c r="DG372" s="1321"/>
      <c r="DH372" s="1321"/>
      <c r="DI372" s="1321"/>
      <c r="DJ372" s="1321"/>
      <c r="DK372" s="1321"/>
      <c r="DL372" s="1321"/>
      <c r="DM372" s="1321"/>
      <c r="DN372" s="1321"/>
      <c r="DO372" s="1321"/>
      <c r="DP372" s="1321"/>
      <c r="DQ372" s="1321"/>
      <c r="DR372" s="1321"/>
      <c r="DS372" s="1321"/>
      <c r="DT372" s="1321"/>
      <c r="DU372" s="1321"/>
      <c r="DV372" s="1321"/>
      <c r="DW372" s="1321"/>
      <c r="DX372" s="1321"/>
      <c r="DY372" s="1321"/>
      <c r="DZ372" s="1345"/>
      <c r="EA372" s="1345"/>
      <c r="EB372" s="1321"/>
      <c r="EC372" s="1321"/>
      <c r="ED372" s="1321"/>
      <c r="EE372" s="1321"/>
      <c r="EF372" s="1321"/>
      <c r="EG372" s="1321"/>
      <c r="EH372" s="1321"/>
      <c r="EI372" s="1321"/>
      <c r="EJ372" s="1321"/>
      <c r="EK372" s="1345"/>
      <c r="EL372" s="1321"/>
      <c r="EM372" s="1321"/>
      <c r="EN372" s="1321"/>
      <c r="EO372" s="1321"/>
      <c r="EP372" s="1321"/>
      <c r="EQ372" s="1321"/>
      <c r="ER372" s="1345"/>
      <c r="ES372" s="1321"/>
      <c r="ET372" s="1321"/>
      <c r="EU372" s="1321"/>
      <c r="EV372" s="1321"/>
      <c r="EW372" s="1321"/>
      <c r="EX372" s="1321"/>
      <c r="EY372" s="1321"/>
      <c r="EZ372" s="1345"/>
      <c r="FA372" s="1321"/>
      <c r="FB372" s="1321"/>
      <c r="FC372" s="1321"/>
      <c r="FD372" s="1321"/>
      <c r="FE372" s="1321"/>
      <c r="FF372" s="1321"/>
      <c r="FG372" s="1321"/>
      <c r="FH372" s="1321"/>
      <c r="FI372" s="1345"/>
      <c r="FJ372" s="1321"/>
      <c r="FK372" s="1321"/>
      <c r="FL372" s="1321"/>
      <c r="FM372" s="1321"/>
      <c r="FN372" s="1321"/>
      <c r="FO372" s="1321"/>
      <c r="FP372" s="1321"/>
      <c r="FQ372" s="1321"/>
      <c r="FR372" s="1321"/>
      <c r="FS372" s="1345"/>
      <c r="FT372" s="1321"/>
      <c r="FU372" s="1321"/>
      <c r="FV372" s="1321"/>
      <c r="FW372" s="1345"/>
      <c r="FX372" s="1321"/>
      <c r="FY372" s="1321"/>
      <c r="FZ372" s="1321"/>
      <c r="GA372" s="1321"/>
      <c r="GB372" s="1321"/>
      <c r="GC372" s="1321" t="s">
        <v>1349</v>
      </c>
      <c r="GD372" s="1321" t="s">
        <v>1349</v>
      </c>
      <c r="GE372" s="1321" t="s">
        <v>1349</v>
      </c>
      <c r="GF372" s="1321" t="s">
        <v>1349</v>
      </c>
      <c r="GG372" s="1321" t="s">
        <v>1349</v>
      </c>
      <c r="GH372" s="1321" t="s">
        <v>1349</v>
      </c>
      <c r="GI372" s="1321" t="s">
        <v>1349</v>
      </c>
      <c r="GJ372" s="1321" t="s">
        <v>1349</v>
      </c>
      <c r="GK372" s="1321" t="s">
        <v>1349</v>
      </c>
      <c r="GL372" s="1321" t="s">
        <v>1349</v>
      </c>
      <c r="GM372" s="1321" t="s">
        <v>1349</v>
      </c>
      <c r="GN372" s="1321" t="s">
        <v>1349</v>
      </c>
      <c r="GO372" s="1321" t="s">
        <v>1349</v>
      </c>
      <c r="GP372" s="1321" t="s">
        <v>1349</v>
      </c>
      <c r="GQ372" s="1321" t="s">
        <v>1349</v>
      </c>
      <c r="GR372" s="1321" t="s">
        <v>1349</v>
      </c>
      <c r="GS372" s="1321"/>
      <c r="GT372" s="1321"/>
      <c r="GU372" s="1321"/>
      <c r="GV372" s="1321"/>
      <c r="GW372" s="1321"/>
      <c r="GX372" s="1321"/>
      <c r="GY372" s="1321"/>
      <c r="GZ372" s="1321"/>
      <c r="HA372" s="1321"/>
      <c r="HB372" s="1321"/>
      <c r="HC372" s="1321"/>
      <c r="HD372" s="1321"/>
      <c r="HE372" s="1321"/>
      <c r="HF372" s="1321"/>
      <c r="HG372" s="1321"/>
      <c r="HH372" s="1321"/>
      <c r="HI372" s="1321"/>
      <c r="HJ372" s="1321"/>
      <c r="HK372" s="1321"/>
      <c r="HL372" s="1321"/>
      <c r="HM372" s="1321"/>
      <c r="HN372" s="1321"/>
      <c r="HO372" s="1321"/>
      <c r="HP372" s="1321"/>
      <c r="HQ372" s="1321"/>
      <c r="HR372" s="1321"/>
      <c r="HS372" s="1321"/>
      <c r="HT372" s="1321"/>
      <c r="HU372" s="1321"/>
      <c r="HV372" s="1321"/>
      <c r="HW372" s="1321"/>
      <c r="HX372" s="1321"/>
      <c r="HY372" s="1321"/>
      <c r="HZ372" s="1321"/>
      <c r="IA372" s="1321"/>
      <c r="IB372" s="1321"/>
      <c r="IC372" s="1321"/>
      <c r="ID372" s="1321"/>
      <c r="IE372" s="1321"/>
      <c r="IF372" s="1321"/>
      <c r="IG372" s="1321"/>
      <c r="IH372" s="1321"/>
      <c r="II372" s="1321"/>
      <c r="IJ372" s="1321"/>
      <c r="IK372" s="1321"/>
      <c r="IL372" s="1321"/>
      <c r="IM372" s="1321"/>
      <c r="IN372" s="1368"/>
    </row>
    <row r="373" spans="1:248" ht="12.75" customHeight="1" x14ac:dyDescent="0.2">
      <c r="A373" s="1319"/>
      <c r="B373" s="1321"/>
      <c r="C373" s="1321"/>
      <c r="D373" s="1321"/>
      <c r="E373" s="1321"/>
      <c r="F373" s="1321"/>
      <c r="G373" s="1321"/>
      <c r="H373" s="1321"/>
      <c r="I373" s="1321"/>
      <c r="J373" s="1321"/>
      <c r="K373" s="1321"/>
      <c r="L373" s="1321"/>
      <c r="M373" s="1321"/>
      <c r="N373" s="1321"/>
      <c r="O373" s="1321"/>
      <c r="P373" s="1321"/>
      <c r="Q373" s="1321"/>
      <c r="R373" s="1321"/>
      <c r="S373" s="1321"/>
      <c r="T373" s="1321"/>
      <c r="U373" s="1321"/>
      <c r="V373" s="1321"/>
      <c r="W373" s="1321"/>
      <c r="X373" s="1321"/>
      <c r="Y373" s="1321"/>
      <c r="Z373" s="1321"/>
      <c r="AA373" s="1321"/>
      <c r="AB373" s="1321"/>
      <c r="AC373" s="1321"/>
      <c r="AD373" s="1321"/>
      <c r="AE373" s="1321"/>
      <c r="AF373" s="1321"/>
      <c r="AG373" s="1321"/>
      <c r="AH373" s="1321"/>
      <c r="AI373" s="1321"/>
      <c r="AJ373" s="1321"/>
      <c r="AK373" s="1321"/>
      <c r="AL373" s="1321"/>
      <c r="AM373" s="1321"/>
      <c r="AN373" s="1321"/>
      <c r="AO373" s="1321"/>
      <c r="AP373" s="1321"/>
      <c r="AQ373" s="1321"/>
      <c r="AR373" s="1321"/>
      <c r="AS373" s="1321"/>
      <c r="AT373" s="1321"/>
      <c r="AU373" s="1321"/>
      <c r="AV373" s="1321"/>
      <c r="AW373" s="1321"/>
      <c r="AX373" s="1321"/>
      <c r="AY373" s="1321"/>
      <c r="AZ373" s="1321"/>
      <c r="BA373" s="1321"/>
      <c r="BB373" s="1075" t="str">
        <f t="shared" si="81"/>
        <v>Tourteau de tournesol</v>
      </c>
      <c r="BC373" s="1269">
        <f t="array" ref="BC373">SUM((IF(QualitéAlimentsVeauxMâles_0_3_mois=BONNE,VLOOKUP("Tourteau de tournesol",AlimentsRationBovinsMâles,8,FALSE),0)+(IF(QualitéAlimentsVeauxFemelles_0_3_mois=BONNE,VLOOKUP("Tourteau de tournesol",AlimentsRationBovinsFemelles,8,FALSE),0)+(IF(QualitéAlimentsVeauxMâles_3_6_mois=BONNE,VLOOKUP("Tourteau de tournesol",AlimentsRationBovinsMâles,7,FALSE),0)+(IF(QualitéAlimentsVeauxFemelles_3_6_mois=BONNE,VLOOKUP("Tourteau de tournesol",AlimentsRationBovinsFemelles,7,FALSE),0)+(IF(QualitéAlimentsVeauxMâles_6_12_mois=BONNE,VLOOKUP("Tourteau de tournesol",AlimentsRationBovinsMâles,6,FALSE),0)+(IF(QualitéAlimentsVeauxFemelles_6_12_mois=BONNE,VLOOKUP("Tourteau de tournesol",AlimentsRationBovinsFemelles,6,FALSE),0)+(IF(QualitéAlimentsTaurillons_12_18_mois=BONNE,VLOOKUP("Tourteau de tournesol",AlimentsRationBovinsMâles,5,FALSE),0)+(IF(QualitéAlimentsGénisses_12_18_mois=BONNE,VLOOKUP("Tourteau de tournesol",AlimentsRationBovinsFemelles,5,FALSE),0)+(IF(QualitéAlimentsTaurillons_18_24_mois=BONNE,VLOOKUP("Tourteau de tournesol",AlimentsRationBovinsMâles,4,FALSE),0)+(IF(QualitéAlimentsGénisses_18_24_mois=BONNE,VLOOKUP("Tourteau de tournesol",AlimentsRationBovinsFemelles,4,FALSE),0)+(IF(QualitéAlimentsTaurillons_24_36_mois=BONNE,VLOOKUP("Tourteau de tournesol",AlimentsRationBovinsMâles,3,FALSE),0)+(IF(QualitéAlimentsGénisses_24_36_mois=BONNE,VLOOKUP("Tourteau de tournesol",AlimentsRationBovinsFemelles,3,FALSE),0)+(IF(QualitéAlimentsTaureaux=BONNE,VLOOKUP("Tourteau de tournesol",AlimentsRationBovinsMâles,2,FALSE),0)+(IF(QualitéAlimentsVaches=BONNE,VLOOKUP("Tourteau de tournesol",AlimentsRationBovinsFemelles,2,FALSE),0))))))))))))))))</f>
        <v>0</v>
      </c>
      <c r="BD373" s="1269">
        <f t="array" ref="BD373">SUM((IF(QualitéAlimentsVeauxMâles_0_3_mois=MOYENNE,VLOOKUP("Tourteau de tournesol",AlimentsRationBovinsMâles,8,FALSE),0)+(IF(QualitéAlimentsVeauxFemelles_0_3_mois=MOYENNE,VLOOKUP("Tourteau de tournesol",AlimentsRationBovinsFemelles,8,FALSE),0)+(IF(QualitéAlimentsVeauxMâles_3_6_mois=MOYENNE,VLOOKUP("Tourteau de tournesol",AlimentsRationBovinsMâles,7,FALSE),0)+(IF(QualitéAlimentsVeauxFemelles_3_6_mois=MOYENNE,VLOOKUP("Tourteau de tournesol",AlimentsRationBovinsFemelles,7,FALSE),0)+(IF(QualitéAlimentsVeauxMâles_6_12_mois=MOYENNE,VLOOKUP("Tourteau de tournesol",AlimentsRationBovinsMâles,6,FALSE),0)+(IF(QualitéAlimentsVeauxFemelles_6_12_mois=MOYENNE,VLOOKUP("Tourteau de tournesol",AlimentsRationBovinsFemelles,6,FALSE),0)+(IF(QualitéAlimentsTaurillons_12_18_mois=MOYENNE,VLOOKUP("Tourteau de tournesol",AlimentsRationBovinsMâles,5,FALSE),0)+(IF(QualitéAlimentsGénisses_12_18_mois=MOYENNE,VLOOKUP("Tourteau de tournesol",AlimentsRationBovinsFemelles,5,FALSE),0)+(IF(QualitéAlimentsTaurillons_18_24_mois=MOYENNE,VLOOKUP("Tourteau de tournesol",AlimentsRationBovinsMâles,4,FALSE),0)+(IF(QualitéAlimentsGénisses_18_24_mois=MOYENNE,VLOOKUP("Tourteau de tournesol",AlimentsRationBovinsFemelles,4,FALSE),0)+(IF(QualitéAlimentsTaurillons_24_36_mois=MOYENNE,VLOOKUP("Tourteau de tournesol",AlimentsRationBovinsMâles,3,FALSE),0)+(IF(QualitéAlimentsGénisses_24_36_mois=MOYENNE,VLOOKUP("Tourteau de tournesol",AlimentsRationBovinsFemelles,3,FALSE),0)+(IF(QualitéAlimentsTaureaux=MOYENNE,VLOOKUP("Tourteau de tournesol",AlimentsRationBovinsMâles,2,FALSE),0)+(IF(QualitéAlimentsVaches=MOYENNE,VLOOKUP("Tourteau de tournesol",AlimentsRationBovinsFemelles,2,FALSE),0))))))))))))))))</f>
        <v>0</v>
      </c>
      <c r="BE373" s="1269">
        <f t="array" ref="BE373">SUM((IF(QualitéAlimentsVeauxMâles_0_3_mois=MAUVAISE,VLOOKUP("Tourteau de tournesol",AlimentsRationBovinsMâles,8,FALSE),0)+(IF(QualitéAlimentsVeauxFemelles_0_3_mois=MAUVAISE,VLOOKUP("Tourteau de tournesol",AlimentsRationBovinsFemelles,8,FALSE),0)+(IF(QualitéAlimentsVeauxMâles_3_6_mois=MAUVAISE,VLOOKUP("Tourteau de tournesol",AlimentsRationBovinsMâles,7,FALSE),0)+(IF(QualitéAlimentsVeauxFemelles_3_6_mois=MAUVAISE,VLOOKUP("Tourteau de tournesol",AlimentsRationBovinsFemelles,7,FALSE),0)+(IF(QualitéAlimentsVeauxMâles_6_12_mois=MAUVAISE,VLOOKUP("Tourteau de tournesol",AlimentsRationBovinsMâles,6,FALSE),0)+(IF(QualitéAlimentsVeauxFemelles_6_12_mois=MAUVAISE,VLOOKUP("Tourteau de tournesol",AlimentsRationBovinsFemelles,6,FALSE),0)+(IF(QualitéAlimentsTaurillons_12_18_mois=MAUVAISE,VLOOKUP("Tourteau de tournesol",AlimentsRationBovinsMâles,5,FALSE),0)+(IF(QualitéAlimentsGénisses_12_18_mois=MAUVAISE,VLOOKUP("Tourteau de tournesol",AlimentsRationBovinsFemelles,5,FALSE),0)+(IF(QualitéAlimentsTaurillons_18_24_mois=MAUVAISE,VLOOKUP("Tourteau de tournesol",AlimentsRationBovinsMâles,4,FALSE),0)+(IF(QualitéAlimentsGénisses_18_24_mois=MAUVAISE,VLOOKUP("Tourteau de tournesol",AlimentsRationBovinsFemelles,4,FALSE),0)+(IF(QualitéAlimentsTaurillons_24_36_mois=MAUVAISE,VLOOKUP("Tourteau de tournesol",AlimentsRationBovinsMâles,3,FALSE),0)+(IF(QualitéAlimentsGénisses_24_36_mois=MAUVAISE,VLOOKUP("Tourteau de tournesol",AlimentsRationBovinsFemelles,3,FALSE),0)+(IF(QualitéAlimentsTaureaux=MAUVAISE,VLOOKUP("Tourteau de tournesol",AlimentsRationBovinsMâles,2,FALSE),0)+(IF(QualitéAlimentsVaches=MAUVAISE,VLOOKUP("Tourteau de tournesol",AlimentsRationBovinsFemelles,2,FALSE),0))))))))))))))))</f>
        <v>0</v>
      </c>
      <c r="BF373" s="1321"/>
      <c r="BG373" s="1321"/>
      <c r="BH373" s="1321"/>
      <c r="BI373" s="1321"/>
      <c r="BJ373" s="1321"/>
      <c r="BK373" s="1345"/>
      <c r="BL373" s="1345"/>
      <c r="BM373" s="1346"/>
      <c r="BN373" s="1321"/>
      <c r="BO373" s="1321"/>
      <c r="BP373" s="1321"/>
      <c r="BQ373" s="1321"/>
      <c r="BR373" s="1321"/>
      <c r="BS373" s="1321"/>
      <c r="BT373" s="1321"/>
      <c r="BU373" s="1321"/>
      <c r="BV373" s="1345"/>
      <c r="BW373" s="1345"/>
      <c r="BX373" s="1321"/>
      <c r="BY373" s="1321"/>
      <c r="BZ373" s="1321"/>
      <c r="CA373" s="1321"/>
      <c r="CB373" s="1321"/>
      <c r="CC373" s="1321"/>
      <c r="CD373" s="1345"/>
      <c r="CE373" s="1345"/>
      <c r="CF373" s="1321"/>
      <c r="CG373" s="1321"/>
      <c r="CH373" s="1321"/>
      <c r="CI373" s="1321"/>
      <c r="CJ373" s="1321"/>
      <c r="CK373" s="1321"/>
      <c r="CL373" s="1321"/>
      <c r="CM373" s="1321"/>
      <c r="CN373" s="1321"/>
      <c r="CO373" s="1321"/>
      <c r="CP373" s="1321"/>
      <c r="CQ373" s="1321"/>
      <c r="CR373" s="1321"/>
      <c r="CS373" s="1321"/>
      <c r="CT373" s="1321"/>
      <c r="CU373" s="1321"/>
      <c r="CV373" s="1321"/>
      <c r="CW373" s="1321"/>
      <c r="CX373" s="1321"/>
      <c r="CY373" s="1321"/>
      <c r="CZ373" s="1321"/>
      <c r="DA373" s="1321"/>
      <c r="DB373" s="1321"/>
      <c r="DC373" s="1321"/>
      <c r="DD373" s="1321"/>
      <c r="DE373" s="1321"/>
      <c r="DF373" s="1321"/>
      <c r="DG373" s="1321"/>
      <c r="DH373" s="1321"/>
      <c r="DI373" s="1321"/>
      <c r="DJ373" s="1321"/>
      <c r="DK373" s="1321"/>
      <c r="DL373" s="1321"/>
      <c r="DM373" s="1321"/>
      <c r="DN373" s="1321"/>
      <c r="DO373" s="1321"/>
      <c r="DP373" s="1321"/>
      <c r="DQ373" s="1321"/>
      <c r="DR373" s="1321"/>
      <c r="DS373" s="1321"/>
      <c r="DT373" s="1321"/>
      <c r="DU373" s="1321"/>
      <c r="DV373" s="1321"/>
      <c r="DW373" s="1321"/>
      <c r="DX373" s="1321"/>
      <c r="DY373" s="1321"/>
      <c r="DZ373" s="1345"/>
      <c r="EA373" s="1345"/>
      <c r="EB373" s="1321"/>
      <c r="EC373" s="1321"/>
      <c r="ED373" s="1321"/>
      <c r="EE373" s="1321"/>
      <c r="EF373" s="1321"/>
      <c r="EG373" s="1321"/>
      <c r="EH373" s="1321"/>
      <c r="EI373" s="1321"/>
      <c r="EJ373" s="1321"/>
      <c r="EK373" s="1345"/>
      <c r="EL373" s="1321"/>
      <c r="EM373" s="1321"/>
      <c r="EN373" s="1321"/>
      <c r="EO373" s="1321"/>
      <c r="EP373" s="1321"/>
      <c r="EQ373" s="1321"/>
      <c r="ER373" s="1345"/>
      <c r="ES373" s="1321"/>
      <c r="ET373" s="1321"/>
      <c r="EU373" s="1321"/>
      <c r="EV373" s="1321"/>
      <c r="EW373" s="1321"/>
      <c r="EX373" s="1321"/>
      <c r="EY373" s="1321"/>
      <c r="EZ373" s="1345"/>
      <c r="FA373" s="1321"/>
      <c r="FB373" s="1321"/>
      <c r="FC373" s="1321"/>
      <c r="FD373" s="1321"/>
      <c r="FE373" s="1321"/>
      <c r="FF373" s="1321"/>
      <c r="FG373" s="1321"/>
      <c r="FH373" s="1321"/>
      <c r="FI373" s="1345"/>
      <c r="FJ373" s="1321"/>
      <c r="FK373" s="1321"/>
      <c r="FL373" s="1321"/>
      <c r="FM373" s="1321"/>
      <c r="FN373" s="1321"/>
      <c r="FO373" s="1321"/>
      <c r="FP373" s="1321"/>
      <c r="FQ373" s="1321"/>
      <c r="FR373" s="1321"/>
      <c r="FS373" s="1345"/>
      <c r="FT373" s="1321"/>
      <c r="FU373" s="1321"/>
      <c r="FV373" s="1321"/>
      <c r="FW373" s="1345"/>
      <c r="FX373" s="1321"/>
      <c r="FY373" s="1321"/>
      <c r="FZ373" s="1321"/>
      <c r="GA373" s="1321"/>
      <c r="GB373" s="1321"/>
      <c r="GC373" s="1321" t="s">
        <v>1349</v>
      </c>
      <c r="GD373" s="1321" t="s">
        <v>1349</v>
      </c>
      <c r="GE373" s="1321" t="s">
        <v>1349</v>
      </c>
      <c r="GF373" s="1321" t="s">
        <v>1349</v>
      </c>
      <c r="GG373" s="1321" t="s">
        <v>1349</v>
      </c>
      <c r="GH373" s="1321" t="s">
        <v>1349</v>
      </c>
      <c r="GI373" s="1321" t="s">
        <v>1349</v>
      </c>
      <c r="GJ373" s="1321" t="s">
        <v>1349</v>
      </c>
      <c r="GK373" s="1321" t="s">
        <v>1349</v>
      </c>
      <c r="GL373" s="1321" t="s">
        <v>1349</v>
      </c>
      <c r="GM373" s="1321" t="s">
        <v>1349</v>
      </c>
      <c r="GN373" s="1321" t="s">
        <v>1349</v>
      </c>
      <c r="GO373" s="1321" t="s">
        <v>1349</v>
      </c>
      <c r="GP373" s="1321" t="s">
        <v>1349</v>
      </c>
      <c r="GQ373" s="1321" t="s">
        <v>1349</v>
      </c>
      <c r="GR373" s="1321" t="s">
        <v>1349</v>
      </c>
      <c r="GS373" s="1321"/>
      <c r="GT373" s="1321"/>
      <c r="GU373" s="1321"/>
      <c r="GV373" s="1321"/>
      <c r="GW373" s="1321"/>
      <c r="GX373" s="1321"/>
      <c r="GY373" s="1321"/>
      <c r="GZ373" s="1321"/>
      <c r="HA373" s="1321"/>
      <c r="HB373" s="1321"/>
      <c r="HC373" s="1321"/>
      <c r="HD373" s="1321"/>
      <c r="HE373" s="1321"/>
      <c r="HF373" s="1321"/>
      <c r="HG373" s="1321"/>
      <c r="HH373" s="1321"/>
      <c r="HI373" s="1321"/>
      <c r="HJ373" s="1321"/>
      <c r="HK373" s="1321"/>
      <c r="HL373" s="1321"/>
      <c r="HM373" s="1321"/>
      <c r="HN373" s="1321"/>
      <c r="HO373" s="1321"/>
      <c r="HP373" s="1321"/>
      <c r="HQ373" s="1321"/>
      <c r="HR373" s="1321"/>
      <c r="HS373" s="1321"/>
      <c r="HT373" s="1321"/>
      <c r="HU373" s="1321"/>
      <c r="HV373" s="1321"/>
      <c r="HW373" s="1321"/>
      <c r="HX373" s="1321"/>
      <c r="HY373" s="1321"/>
      <c r="HZ373" s="1321"/>
      <c r="IA373" s="1321"/>
      <c r="IB373" s="1321"/>
      <c r="IC373" s="1321"/>
      <c r="ID373" s="1321"/>
      <c r="IE373" s="1321"/>
      <c r="IF373" s="1321"/>
      <c r="IG373" s="1321"/>
      <c r="IH373" s="1321"/>
      <c r="II373" s="1321"/>
      <c r="IJ373" s="1321"/>
      <c r="IK373" s="1321"/>
      <c r="IL373" s="1321"/>
      <c r="IM373" s="1321"/>
      <c r="IN373" s="1368"/>
    </row>
    <row r="374" spans="1:248" ht="12.75" customHeight="1" x14ac:dyDescent="0.2">
      <c r="A374" s="1319"/>
      <c r="B374" s="1321"/>
      <c r="C374" s="1321"/>
      <c r="D374" s="1321"/>
      <c r="E374" s="1321"/>
      <c r="F374" s="1321"/>
      <c r="G374" s="1321"/>
      <c r="H374" s="1321"/>
      <c r="I374" s="1321"/>
      <c r="J374" s="1321"/>
      <c r="K374" s="1321"/>
      <c r="L374" s="1321"/>
      <c r="M374" s="1321"/>
      <c r="N374" s="1321"/>
      <c r="O374" s="1321"/>
      <c r="P374" s="1321"/>
      <c r="Q374" s="1321"/>
      <c r="R374" s="1321"/>
      <c r="S374" s="1321"/>
      <c r="T374" s="1321"/>
      <c r="U374" s="1321"/>
      <c r="V374" s="1321"/>
      <c r="W374" s="1321"/>
      <c r="X374" s="1321"/>
      <c r="Y374" s="1321"/>
      <c r="Z374" s="1321"/>
      <c r="AA374" s="1321"/>
      <c r="AB374" s="1321"/>
      <c r="AC374" s="1321"/>
      <c r="AD374" s="1321"/>
      <c r="AE374" s="1321"/>
      <c r="AF374" s="1321"/>
      <c r="AG374" s="1321"/>
      <c r="AH374" s="1321"/>
      <c r="AI374" s="1321"/>
      <c r="AJ374" s="1321"/>
      <c r="AK374" s="1321"/>
      <c r="AL374" s="1321"/>
      <c r="AM374" s="1321"/>
      <c r="AN374" s="1321"/>
      <c r="AO374" s="1321"/>
      <c r="AP374" s="1321"/>
      <c r="AQ374" s="1321"/>
      <c r="AR374" s="1321"/>
      <c r="AS374" s="1321"/>
      <c r="AT374" s="1321"/>
      <c r="AU374" s="1321"/>
      <c r="AV374" s="1321"/>
      <c r="AW374" s="1321"/>
      <c r="AX374" s="1321"/>
      <c r="AY374" s="1321"/>
      <c r="AZ374" s="1321"/>
      <c r="BA374" s="1321"/>
      <c r="BB374" s="1076" t="str">
        <f t="shared" si="81"/>
        <v>Triticale</v>
      </c>
      <c r="BC374" s="1267">
        <f t="array" ref="BC374">SUM((IF(QualitéAlimentsVeauxMâles_0_3_mois=BONNE,VLOOKUP("Triticale",AlimentsRationBovinsMâles,8,FALSE),0)+(IF(QualitéAlimentsVeauxFemelles_0_3_mois=BONNE,VLOOKUP("Triticale",AlimentsRationBovinsFemelles,8,FALSE),0)+(IF(QualitéAlimentsVeauxMâles_3_6_mois=BONNE,VLOOKUP("Triticale",AlimentsRationBovinsMâles,7,FALSE),0)+(IF(QualitéAlimentsVeauxFemelles_3_6_mois=BONNE,VLOOKUP("Triticale",AlimentsRationBovinsFemelles,7,FALSE),0)+(IF(QualitéAlimentsVeauxMâles_6_12_mois=BONNE,VLOOKUP("Triticale",AlimentsRationBovinsMâles,6,FALSE),0)+(IF(QualitéAlimentsVeauxFemelles_6_12_mois=BONNE,VLOOKUP("Triticale",AlimentsRationBovinsFemelles,6,FALSE),0)+(IF(QualitéAlimentsTaurillons_12_18_mois=BONNE,VLOOKUP("Triticale",AlimentsRationBovinsMâles,5,FALSE),0)+(IF(QualitéAlimentsGénisses_12_18_mois=BONNE,VLOOKUP("Triticale",AlimentsRationBovinsFemelles,5,FALSE),0)+(IF(QualitéAlimentsTaurillons_18_24_mois=BONNE,VLOOKUP("Triticale",AlimentsRationBovinsMâles,4,FALSE),0)+(IF(QualitéAlimentsGénisses_18_24_mois=BONNE,VLOOKUP("Triticale",AlimentsRationBovinsFemelles,4,FALSE),0)+(IF(QualitéAlimentsTaurillons_24_36_mois=BONNE,VLOOKUP("Triticale",AlimentsRationBovinsMâles,3,FALSE),0)+(IF(QualitéAlimentsGénisses_24_36_mois=BONNE,VLOOKUP("Triticale",AlimentsRationBovinsFemelles,3,FALSE),0)+(IF(QualitéAlimentsTaureaux=BONNE,VLOOKUP("Triticale",AlimentsRationBovinsMâles,2,FALSE),0)+(IF(QualitéAlimentsVaches=BONNE,VLOOKUP("Triticale",AlimentsRationBovinsFemelles,2,FALSE),0))))))))))))))))</f>
        <v>0</v>
      </c>
      <c r="BD374" s="1267">
        <f t="array" ref="BD374">SUM((IF(QualitéAlimentsVeauxMâles_0_3_mois=MOYENNE,VLOOKUP("Triticale",AlimentsRationBovinsMâles,8,FALSE),0)+(IF(QualitéAlimentsVeauxFemelles_0_3_mois=MOYENNE,VLOOKUP("Triticale",AlimentsRationBovinsFemelles,8,FALSE),0)+(IF(QualitéAlimentsVeauxMâles_3_6_mois=MOYENNE,VLOOKUP("Triticale",AlimentsRationBovinsMâles,7,FALSE),0)+(IF(QualitéAlimentsVeauxFemelles_3_6_mois=MOYENNE,VLOOKUP("Triticale",AlimentsRationBovinsFemelles,7,FALSE),0)+(IF(QualitéAlimentsVeauxMâles_6_12_mois=MOYENNE,VLOOKUP("Triticale",AlimentsRationBovinsMâles,6,FALSE),0)+(IF(QualitéAlimentsVeauxFemelles_6_12_mois=MOYENNE,VLOOKUP("Triticale",AlimentsRationBovinsFemelles,6,FALSE),0)+(IF(QualitéAlimentsTaurillons_12_18_mois=MOYENNE,VLOOKUP("Triticale",AlimentsRationBovinsMâles,5,FALSE),0)+(IF(QualitéAlimentsGénisses_12_18_mois=MOYENNE,VLOOKUP("Triticale",AlimentsRationBovinsFemelles,5,FALSE),0)+(IF(QualitéAlimentsTaurillons_18_24_mois=MOYENNE,VLOOKUP("Triticale",AlimentsRationBovinsMâles,4,FALSE),0)+(IF(QualitéAlimentsGénisses_18_24_mois=MOYENNE,VLOOKUP("Triticale",AlimentsRationBovinsFemelles,4,FALSE),0)+(IF(QualitéAlimentsTaurillons_24_36_mois=MOYENNE,VLOOKUP("Triticale",AlimentsRationBovinsMâles,3,FALSE),0)+(IF(QualitéAlimentsGénisses_24_36_mois=MOYENNE,VLOOKUP("Triticale",AlimentsRationBovinsFemelles,3,FALSE),0)+(IF(QualitéAlimentsTaureaux=MOYENNE,VLOOKUP("Triticale",AlimentsRationBovinsMâles,2,FALSE),0)+(IF(QualitéAlimentsVaches=MOYENNE,VLOOKUP("Triticale",AlimentsRationBovinsFemelles,2,FALSE),0))))))))))))))))</f>
        <v>0</v>
      </c>
      <c r="BE374" s="1267">
        <f t="array" ref="BE374">SUM((IF(QualitéAlimentsVeauxMâles_0_3_mois=MAUVAISE,VLOOKUP("Triticale",AlimentsRationBovinsMâles,8,FALSE),0)+(IF(QualitéAlimentsVeauxFemelles_0_3_mois=MAUVAISE,VLOOKUP("Triticale",AlimentsRationBovinsFemelles,8,FALSE),0)+(IF(QualitéAlimentsVeauxMâles_3_6_mois=MAUVAISE,VLOOKUP("Triticale",AlimentsRationBovinsMâles,7,FALSE),0)+(IF(QualitéAlimentsVeauxFemelles_3_6_mois=MAUVAISE,VLOOKUP("Triticale",AlimentsRationBovinsFemelles,7,FALSE),0)+(IF(QualitéAlimentsVeauxMâles_6_12_mois=MAUVAISE,VLOOKUP("Triticale",AlimentsRationBovinsMâles,6,FALSE),0)+(IF(QualitéAlimentsVeauxFemelles_6_12_mois=MAUVAISE,VLOOKUP("Triticale",AlimentsRationBovinsFemelles,6,FALSE),0)+(IF(QualitéAlimentsTaurillons_12_18_mois=MAUVAISE,VLOOKUP("Triticale",AlimentsRationBovinsMâles,5,FALSE),0)+(IF(QualitéAlimentsGénisses_12_18_mois=MAUVAISE,VLOOKUP("Triticale",AlimentsRationBovinsFemelles,5,FALSE),0)+(IF(QualitéAlimentsTaurillons_18_24_mois=MAUVAISE,VLOOKUP("Triticale",AlimentsRationBovinsMâles,4,FALSE),0)+(IF(QualitéAlimentsGénisses_18_24_mois=MAUVAISE,VLOOKUP("Triticale",AlimentsRationBovinsFemelles,4,FALSE),0)+(IF(QualitéAlimentsTaurillons_24_36_mois=MAUVAISE,VLOOKUP("Triticale",AlimentsRationBovinsMâles,3,FALSE),0)+(IF(QualitéAlimentsGénisses_24_36_mois=MAUVAISE,VLOOKUP("Triticale",AlimentsRationBovinsFemelles,3,FALSE),0)+(IF(QualitéAlimentsTaureaux=MAUVAISE,VLOOKUP("Triticale",AlimentsRationBovinsMâles,2,FALSE),0)+(IF(QualitéAlimentsVaches=MAUVAISE,VLOOKUP("Triticale",AlimentsRationBovinsFemelles,2,FALSE),0))))))))))))))))</f>
        <v>0</v>
      </c>
      <c r="BF374" s="1321"/>
      <c r="BG374" s="1321"/>
      <c r="BH374" s="1321"/>
      <c r="BI374" s="1321"/>
      <c r="BJ374" s="1321"/>
      <c r="BK374" s="1345"/>
      <c r="BL374" s="1345"/>
      <c r="BM374" s="1346"/>
      <c r="BN374" s="1321"/>
      <c r="BO374" s="1321"/>
      <c r="BP374" s="1321"/>
      <c r="BQ374" s="1321"/>
      <c r="BR374" s="1321"/>
      <c r="BS374" s="1321"/>
      <c r="BT374" s="1321"/>
      <c r="BU374" s="1321"/>
      <c r="BV374" s="1345"/>
      <c r="BW374" s="1345"/>
      <c r="BX374" s="1321"/>
      <c r="BY374" s="1321"/>
      <c r="BZ374" s="1321"/>
      <c r="CA374" s="1321"/>
      <c r="CB374" s="1321"/>
      <c r="CC374" s="1321"/>
      <c r="CD374" s="1345"/>
      <c r="CE374" s="1345"/>
      <c r="CF374" s="1321"/>
      <c r="CG374" s="1321"/>
      <c r="CH374" s="1321"/>
      <c r="CI374" s="1321"/>
      <c r="CJ374" s="1321"/>
      <c r="CK374" s="1321"/>
      <c r="CL374" s="1321"/>
      <c r="CM374" s="1321"/>
      <c r="CN374" s="1321"/>
      <c r="CO374" s="1321"/>
      <c r="CP374" s="1321"/>
      <c r="CQ374" s="1321"/>
      <c r="CR374" s="1321"/>
      <c r="CS374" s="1321"/>
      <c r="CT374" s="1321"/>
      <c r="CU374" s="1321"/>
      <c r="CV374" s="1321"/>
      <c r="CW374" s="1321"/>
      <c r="CX374" s="1321"/>
      <c r="CY374" s="1321"/>
      <c r="CZ374" s="1321"/>
      <c r="DA374" s="1321"/>
      <c r="DB374" s="1321"/>
      <c r="DC374" s="1321"/>
      <c r="DD374" s="1321"/>
      <c r="DE374" s="1321"/>
      <c r="DF374" s="1321"/>
      <c r="DG374" s="1321"/>
      <c r="DH374" s="1321"/>
      <c r="DI374" s="1321"/>
      <c r="DJ374" s="1321"/>
      <c r="DK374" s="1321"/>
      <c r="DL374" s="1321"/>
      <c r="DM374" s="1321"/>
      <c r="DN374" s="1321"/>
      <c r="DO374" s="1321"/>
      <c r="DP374" s="1321"/>
      <c r="DQ374" s="1321"/>
      <c r="DR374" s="1321"/>
      <c r="DS374" s="1321"/>
      <c r="DT374" s="1321"/>
      <c r="DU374" s="1321"/>
      <c r="DV374" s="1321"/>
      <c r="DW374" s="1321"/>
      <c r="DX374" s="1321"/>
      <c r="DY374" s="1321"/>
      <c r="DZ374" s="1345"/>
      <c r="EA374" s="1345"/>
      <c r="EB374" s="1321"/>
      <c r="EC374" s="1321"/>
      <c r="ED374" s="1321"/>
      <c r="EE374" s="1321"/>
      <c r="EF374" s="1321"/>
      <c r="EG374" s="1321"/>
      <c r="EH374" s="1321"/>
      <c r="EI374" s="1321"/>
      <c r="EJ374" s="1321"/>
      <c r="EK374" s="1345"/>
      <c r="EL374" s="1321"/>
      <c r="EM374" s="1321"/>
      <c r="EN374" s="1321"/>
      <c r="EO374" s="1321"/>
      <c r="EP374" s="1321"/>
      <c r="EQ374" s="1321"/>
      <c r="ER374" s="1345"/>
      <c r="ES374" s="1321"/>
      <c r="ET374" s="1321"/>
      <c r="EU374" s="1321"/>
      <c r="EV374" s="1321"/>
      <c r="EW374" s="1321"/>
      <c r="EX374" s="1321"/>
      <c r="EY374" s="1321"/>
      <c r="EZ374" s="1345"/>
      <c r="FA374" s="1321"/>
      <c r="FB374" s="1321"/>
      <c r="FC374" s="1321"/>
      <c r="FD374" s="1321"/>
      <c r="FE374" s="1321"/>
      <c r="FF374" s="1321"/>
      <c r="FG374" s="1321"/>
      <c r="FH374" s="1321"/>
      <c r="FI374" s="1345"/>
      <c r="FJ374" s="1321"/>
      <c r="FK374" s="1321"/>
      <c r="FL374" s="1321"/>
      <c r="FM374" s="1321"/>
      <c r="FN374" s="1321"/>
      <c r="FO374" s="1321"/>
      <c r="FP374" s="1321"/>
      <c r="FQ374" s="1321"/>
      <c r="FR374" s="1321"/>
      <c r="FS374" s="1345"/>
      <c r="FT374" s="1321"/>
      <c r="FU374" s="1321"/>
      <c r="FV374" s="1321"/>
      <c r="FW374" s="1345"/>
      <c r="FX374" s="1321"/>
      <c r="FY374" s="1321"/>
      <c r="FZ374" s="1321"/>
      <c r="GA374" s="1321"/>
      <c r="GB374" s="1321"/>
      <c r="GC374" s="1321" t="s">
        <v>1349</v>
      </c>
      <c r="GD374" s="1321" t="s">
        <v>1349</v>
      </c>
      <c r="GE374" s="1321" t="s">
        <v>1349</v>
      </c>
      <c r="GF374" s="1321" t="s">
        <v>1349</v>
      </c>
      <c r="GG374" s="1321" t="s">
        <v>1349</v>
      </c>
      <c r="GH374" s="1321" t="s">
        <v>1349</v>
      </c>
      <c r="GI374" s="1321" t="s">
        <v>1349</v>
      </c>
      <c r="GJ374" s="1321" t="s">
        <v>1349</v>
      </c>
      <c r="GK374" s="1321" t="s">
        <v>1349</v>
      </c>
      <c r="GL374" s="1321" t="s">
        <v>1349</v>
      </c>
      <c r="GM374" s="1321" t="s">
        <v>1349</v>
      </c>
      <c r="GN374" s="1321" t="s">
        <v>1349</v>
      </c>
      <c r="GO374" s="1321" t="s">
        <v>1349</v>
      </c>
      <c r="GP374" s="1321" t="s">
        <v>1349</v>
      </c>
      <c r="GQ374" s="1321" t="s">
        <v>1349</v>
      </c>
      <c r="GR374" s="1321" t="s">
        <v>1349</v>
      </c>
      <c r="GS374" s="1321"/>
      <c r="GT374" s="1321"/>
      <c r="GU374" s="1321"/>
      <c r="GV374" s="1321"/>
      <c r="GW374" s="1321"/>
      <c r="GX374" s="1321"/>
      <c r="GY374" s="1321"/>
      <c r="GZ374" s="1321"/>
      <c r="HA374" s="1321"/>
      <c r="HB374" s="1321"/>
      <c r="HC374" s="1321"/>
      <c r="HD374" s="1321"/>
      <c r="HE374" s="1321"/>
      <c r="HF374" s="1321"/>
      <c r="HG374" s="1321"/>
      <c r="HH374" s="1321"/>
      <c r="HI374" s="1321"/>
      <c r="HJ374" s="1321"/>
      <c r="HK374" s="1321"/>
      <c r="HL374" s="1321"/>
      <c r="HM374" s="1321"/>
      <c r="HN374" s="1321"/>
      <c r="HO374" s="1321"/>
      <c r="HP374" s="1321"/>
      <c r="HQ374" s="1321"/>
      <c r="HR374" s="1321"/>
      <c r="HS374" s="1321"/>
      <c r="HT374" s="1321"/>
      <c r="HU374" s="1321"/>
      <c r="HV374" s="1321"/>
      <c r="HW374" s="1321"/>
      <c r="HX374" s="1321"/>
      <c r="HY374" s="1321"/>
      <c r="HZ374" s="1321"/>
      <c r="IA374" s="1321"/>
      <c r="IB374" s="1321"/>
      <c r="IC374" s="1321"/>
      <c r="ID374" s="1321"/>
      <c r="IE374" s="1321"/>
      <c r="IF374" s="1321"/>
      <c r="IG374" s="1321"/>
      <c r="IH374" s="1321"/>
      <c r="II374" s="1321"/>
      <c r="IJ374" s="1321"/>
      <c r="IK374" s="1321"/>
      <c r="IL374" s="1321"/>
      <c r="IM374" s="1321"/>
      <c r="IN374" s="1368"/>
    </row>
    <row r="375" spans="1:248" ht="12.75" customHeight="1" x14ac:dyDescent="0.2">
      <c r="A375" s="1319"/>
      <c r="B375" s="1321"/>
      <c r="C375" s="1321"/>
      <c r="D375" s="1321"/>
      <c r="E375" s="1321"/>
      <c r="F375" s="1321"/>
      <c r="G375" s="1321"/>
      <c r="H375" s="1321"/>
      <c r="I375" s="1321"/>
      <c r="J375" s="1321"/>
      <c r="K375" s="1321"/>
      <c r="L375" s="1321"/>
      <c r="M375" s="1321"/>
      <c r="N375" s="1321"/>
      <c r="O375" s="1321"/>
      <c r="P375" s="1321"/>
      <c r="Q375" s="1321"/>
      <c r="R375" s="1321"/>
      <c r="S375" s="1321"/>
      <c r="T375" s="1321"/>
      <c r="U375" s="1321"/>
      <c r="V375" s="1321"/>
      <c r="W375" s="1321"/>
      <c r="X375" s="1321"/>
      <c r="Y375" s="1321"/>
      <c r="Z375" s="1321"/>
      <c r="AA375" s="1321"/>
      <c r="AB375" s="1321"/>
      <c r="AC375" s="1321"/>
      <c r="AD375" s="1321"/>
      <c r="AE375" s="1321"/>
      <c r="AF375" s="1321"/>
      <c r="AG375" s="1321"/>
      <c r="AH375" s="1321"/>
      <c r="AI375" s="1321"/>
      <c r="AJ375" s="1321"/>
      <c r="AK375" s="1321"/>
      <c r="AL375" s="1321"/>
      <c r="AM375" s="1321"/>
      <c r="AN375" s="1321"/>
      <c r="AO375" s="1321"/>
      <c r="AP375" s="1321"/>
      <c r="AQ375" s="1321"/>
      <c r="AR375" s="1321"/>
      <c r="AS375" s="1321"/>
      <c r="AT375" s="1321"/>
      <c r="AU375" s="1321"/>
      <c r="AV375" s="1321"/>
      <c r="AW375" s="1321"/>
      <c r="AX375" s="1321"/>
      <c r="AY375" s="1321"/>
      <c r="AZ375" s="1321"/>
      <c r="BA375" s="1321"/>
      <c r="BB375" s="1075">
        <f t="shared" si="81"/>
        <v>0</v>
      </c>
      <c r="BC375" s="1269"/>
      <c r="BD375" s="1269"/>
      <c r="BE375" s="1269"/>
      <c r="BF375" s="1321"/>
      <c r="BG375" s="1321"/>
      <c r="BH375" s="1321"/>
      <c r="BI375" s="1321"/>
      <c r="BJ375" s="1321"/>
      <c r="BK375" s="1345"/>
      <c r="BL375" s="1345"/>
      <c r="BM375" s="1346"/>
      <c r="BN375" s="1321"/>
      <c r="BO375" s="1321"/>
      <c r="BP375" s="1321"/>
      <c r="BQ375" s="1321"/>
      <c r="BR375" s="1321"/>
      <c r="BS375" s="1321"/>
      <c r="BT375" s="1321"/>
      <c r="BU375" s="1321"/>
      <c r="BV375" s="1345"/>
      <c r="BW375" s="1345"/>
      <c r="BX375" s="1321"/>
      <c r="BY375" s="1321"/>
      <c r="BZ375" s="1321"/>
      <c r="CA375" s="1321"/>
      <c r="CB375" s="1321"/>
      <c r="CC375" s="1321"/>
      <c r="CD375" s="1345"/>
      <c r="CE375" s="1345"/>
      <c r="CF375" s="1321"/>
      <c r="CG375" s="1321"/>
      <c r="CH375" s="1321"/>
      <c r="CI375" s="1321"/>
      <c r="CJ375" s="1321"/>
      <c r="CK375" s="1321"/>
      <c r="CL375" s="1321"/>
      <c r="CM375" s="1321"/>
      <c r="CN375" s="1321"/>
      <c r="CO375" s="1321"/>
      <c r="CP375" s="1321"/>
      <c r="CQ375" s="1321"/>
      <c r="CR375" s="1321"/>
      <c r="CS375" s="1321"/>
      <c r="CT375" s="1321"/>
      <c r="CU375" s="1321"/>
      <c r="CV375" s="1321"/>
      <c r="CW375" s="1321"/>
      <c r="CX375" s="1321"/>
      <c r="CY375" s="1321"/>
      <c r="CZ375" s="1321"/>
      <c r="DA375" s="1321"/>
      <c r="DB375" s="1321"/>
      <c r="DC375" s="1321"/>
      <c r="DD375" s="1321"/>
      <c r="DE375" s="1321"/>
      <c r="DF375" s="1321"/>
      <c r="DG375" s="1321"/>
      <c r="DH375" s="1321"/>
      <c r="DI375" s="1321"/>
      <c r="DJ375" s="1321"/>
      <c r="DK375" s="1321"/>
      <c r="DL375" s="1321"/>
      <c r="DM375" s="1321"/>
      <c r="DN375" s="1321"/>
      <c r="DO375" s="1321"/>
      <c r="DP375" s="1321"/>
      <c r="DQ375" s="1321"/>
      <c r="DR375" s="1321"/>
      <c r="DS375" s="1321"/>
      <c r="DT375" s="1321"/>
      <c r="DU375" s="1321"/>
      <c r="DV375" s="1321"/>
      <c r="DW375" s="1321"/>
      <c r="DX375" s="1321"/>
      <c r="DY375" s="1321"/>
      <c r="DZ375" s="1345"/>
      <c r="EA375" s="1345"/>
      <c r="EB375" s="1321"/>
      <c r="EC375" s="1321"/>
      <c r="ED375" s="1321"/>
      <c r="EE375" s="1321"/>
      <c r="EF375" s="1321"/>
      <c r="EG375" s="1321"/>
      <c r="EH375" s="1321"/>
      <c r="EI375" s="1321"/>
      <c r="EJ375" s="1321"/>
      <c r="EK375" s="1345"/>
      <c r="EL375" s="1321"/>
      <c r="EM375" s="1321"/>
      <c r="EN375" s="1321"/>
      <c r="EO375" s="1321"/>
      <c r="EP375" s="1321"/>
      <c r="EQ375" s="1321"/>
      <c r="ER375" s="1345"/>
      <c r="ES375" s="1321"/>
      <c r="ET375" s="1321"/>
      <c r="EU375" s="1321"/>
      <c r="EV375" s="1321"/>
      <c r="EW375" s="1321"/>
      <c r="EX375" s="1321"/>
      <c r="EY375" s="1321"/>
      <c r="EZ375" s="1345"/>
      <c r="FA375" s="1321"/>
      <c r="FB375" s="1321"/>
      <c r="FC375" s="1321"/>
      <c r="FD375" s="1321"/>
      <c r="FE375" s="1321"/>
      <c r="FF375" s="1321"/>
      <c r="FG375" s="1321"/>
      <c r="FH375" s="1321"/>
      <c r="FI375" s="1345"/>
      <c r="FJ375" s="1321"/>
      <c r="FK375" s="1321"/>
      <c r="FL375" s="1321"/>
      <c r="FM375" s="1321"/>
      <c r="FN375" s="1321"/>
      <c r="FO375" s="1321"/>
      <c r="FP375" s="1321"/>
      <c r="FQ375" s="1321"/>
      <c r="FR375" s="1321"/>
      <c r="FS375" s="1345"/>
      <c r="FT375" s="1321"/>
      <c r="FU375" s="1321"/>
      <c r="FV375" s="1321"/>
      <c r="FW375" s="1345"/>
      <c r="FX375" s="1321"/>
      <c r="FY375" s="1321"/>
      <c r="FZ375" s="1321"/>
      <c r="GA375" s="1321"/>
      <c r="GB375" s="1321"/>
      <c r="GC375" s="1321" t="s">
        <v>1349</v>
      </c>
      <c r="GD375" s="1321" t="s">
        <v>1349</v>
      </c>
      <c r="GE375" s="1321" t="s">
        <v>1349</v>
      </c>
      <c r="GF375" s="1321" t="s">
        <v>1349</v>
      </c>
      <c r="GG375" s="1321" t="s">
        <v>1349</v>
      </c>
      <c r="GH375" s="1321" t="s">
        <v>1349</v>
      </c>
      <c r="GI375" s="1321" t="s">
        <v>1349</v>
      </c>
      <c r="GJ375" s="1321" t="s">
        <v>1349</v>
      </c>
      <c r="GK375" s="1321" t="s">
        <v>1349</v>
      </c>
      <c r="GL375" s="1321" t="s">
        <v>1349</v>
      </c>
      <c r="GM375" s="1321" t="s">
        <v>1349</v>
      </c>
      <c r="GN375" s="1321" t="s">
        <v>1349</v>
      </c>
      <c r="GO375" s="1321" t="s">
        <v>1349</v>
      </c>
      <c r="GP375" s="1321" t="s">
        <v>1349</v>
      </c>
      <c r="GQ375" s="1321" t="s">
        <v>1349</v>
      </c>
      <c r="GR375" s="1321" t="s">
        <v>1349</v>
      </c>
      <c r="GS375" s="1321"/>
      <c r="GT375" s="1321"/>
      <c r="GU375" s="1321"/>
      <c r="GV375" s="1321"/>
      <c r="GW375" s="1321"/>
      <c r="GX375" s="1321"/>
      <c r="GY375" s="1321"/>
      <c r="GZ375" s="1321"/>
      <c r="HA375" s="1321"/>
      <c r="HB375" s="1321"/>
      <c r="HC375" s="1321"/>
      <c r="HD375" s="1321"/>
      <c r="HE375" s="1321"/>
      <c r="HF375" s="1321"/>
      <c r="HG375" s="1321"/>
      <c r="HH375" s="1321"/>
      <c r="HI375" s="1321"/>
      <c r="HJ375" s="1321"/>
      <c r="HK375" s="1321"/>
      <c r="HL375" s="1321"/>
      <c r="HM375" s="1321"/>
      <c r="HN375" s="1321"/>
      <c r="HO375" s="1321"/>
      <c r="HP375" s="1321"/>
      <c r="HQ375" s="1321"/>
      <c r="HR375" s="1321"/>
      <c r="HS375" s="1321"/>
      <c r="HT375" s="1321"/>
      <c r="HU375" s="1321"/>
      <c r="HV375" s="1321"/>
      <c r="HW375" s="1321"/>
      <c r="HX375" s="1321"/>
      <c r="HY375" s="1321"/>
      <c r="HZ375" s="1321"/>
      <c r="IA375" s="1321"/>
      <c r="IB375" s="1321"/>
      <c r="IC375" s="1321"/>
      <c r="ID375" s="1321"/>
      <c r="IE375" s="1321"/>
      <c r="IF375" s="1321"/>
      <c r="IG375" s="1321"/>
      <c r="IH375" s="1321"/>
      <c r="II375" s="1321"/>
      <c r="IJ375" s="1321"/>
      <c r="IK375" s="1321"/>
      <c r="IL375" s="1321"/>
      <c r="IM375" s="1321"/>
      <c r="IN375" s="1368"/>
    </row>
    <row r="376" spans="1:248" ht="12.75" customHeight="1" x14ac:dyDescent="0.2">
      <c r="A376" s="1319"/>
      <c r="B376" s="1321"/>
      <c r="C376" s="1321"/>
      <c r="D376" s="1321"/>
      <c r="E376" s="1321"/>
      <c r="F376" s="1321"/>
      <c r="G376" s="1321"/>
      <c r="H376" s="1321"/>
      <c r="I376" s="1321"/>
      <c r="J376" s="1321"/>
      <c r="K376" s="1321"/>
      <c r="L376" s="1321"/>
      <c r="M376" s="1321"/>
      <c r="N376" s="1321"/>
      <c r="O376" s="1321"/>
      <c r="P376" s="1321"/>
      <c r="Q376" s="1321"/>
      <c r="R376" s="1321"/>
      <c r="S376" s="1321"/>
      <c r="T376" s="1321"/>
      <c r="U376" s="1321"/>
      <c r="V376" s="1321"/>
      <c r="W376" s="1321"/>
      <c r="X376" s="1321"/>
      <c r="Y376" s="1321"/>
      <c r="Z376" s="1321"/>
      <c r="AA376" s="1321"/>
      <c r="AB376" s="1321"/>
      <c r="AC376" s="1321"/>
      <c r="AD376" s="1321"/>
      <c r="AE376" s="1321"/>
      <c r="AF376" s="1321"/>
      <c r="AG376" s="1321"/>
      <c r="AH376" s="1321"/>
      <c r="AI376" s="1321"/>
      <c r="AJ376" s="1321"/>
      <c r="AK376" s="1321"/>
      <c r="AL376" s="1321"/>
      <c r="AM376" s="1321"/>
      <c r="AN376" s="1321"/>
      <c r="AO376" s="1321"/>
      <c r="AP376" s="1321"/>
      <c r="AQ376" s="1321"/>
      <c r="AR376" s="1321"/>
      <c r="AS376" s="1321"/>
      <c r="AT376" s="1321"/>
      <c r="AU376" s="1321"/>
      <c r="AV376" s="1321"/>
      <c r="AW376" s="1321"/>
      <c r="AX376" s="1321"/>
      <c r="AY376" s="1321"/>
      <c r="AZ376" s="1321"/>
      <c r="BA376" s="1321"/>
      <c r="BB376" s="1076">
        <f t="shared" si="81"/>
        <v>0</v>
      </c>
      <c r="BC376" s="1267"/>
      <c r="BD376" s="1267"/>
      <c r="BE376" s="1267"/>
      <c r="BF376" s="1321"/>
      <c r="BG376" s="1321"/>
      <c r="BH376" s="1321"/>
      <c r="BI376" s="1321"/>
      <c r="BJ376" s="1321"/>
      <c r="BK376" s="1345"/>
      <c r="BL376" s="1345"/>
      <c r="BM376" s="1346"/>
      <c r="BN376" s="1321"/>
      <c r="BO376" s="1321"/>
      <c r="BP376" s="1321"/>
      <c r="BQ376" s="1321"/>
      <c r="BR376" s="1321"/>
      <c r="BS376" s="1321"/>
      <c r="BT376" s="1321"/>
      <c r="BU376" s="1321"/>
      <c r="BV376" s="1345"/>
      <c r="BW376" s="1345"/>
      <c r="BX376" s="1321"/>
      <c r="BY376" s="1321"/>
      <c r="BZ376" s="1321"/>
      <c r="CA376" s="1321"/>
      <c r="CB376" s="1321"/>
      <c r="CC376" s="1321"/>
      <c r="CD376" s="1345"/>
      <c r="CE376" s="1345"/>
      <c r="CF376" s="1321"/>
      <c r="CG376" s="1321"/>
      <c r="CH376" s="1321"/>
      <c r="CI376" s="1321"/>
      <c r="CJ376" s="1321"/>
      <c r="CK376" s="1321"/>
      <c r="CL376" s="1321"/>
      <c r="CM376" s="1321"/>
      <c r="CN376" s="1321"/>
      <c r="CO376" s="1321"/>
      <c r="CP376" s="1321"/>
      <c r="CQ376" s="1321"/>
      <c r="CR376" s="1321"/>
      <c r="CS376" s="1321"/>
      <c r="CT376" s="1321"/>
      <c r="CU376" s="1321"/>
      <c r="CV376" s="1321"/>
      <c r="CW376" s="1321"/>
      <c r="CX376" s="1321"/>
      <c r="CY376" s="1321"/>
      <c r="CZ376" s="1321"/>
      <c r="DA376" s="1321"/>
      <c r="DB376" s="1321"/>
      <c r="DC376" s="1321"/>
      <c r="DD376" s="1321"/>
      <c r="DE376" s="1321"/>
      <c r="DF376" s="1321"/>
      <c r="DG376" s="1321"/>
      <c r="DH376" s="1321"/>
      <c r="DI376" s="1321"/>
      <c r="DJ376" s="1321"/>
      <c r="DK376" s="1321"/>
      <c r="DL376" s="1321"/>
      <c r="DM376" s="1321"/>
      <c r="DN376" s="1321"/>
      <c r="DO376" s="1321"/>
      <c r="DP376" s="1321"/>
      <c r="DQ376" s="1321"/>
      <c r="DR376" s="1321"/>
      <c r="DS376" s="1321"/>
      <c r="DT376" s="1321"/>
      <c r="DU376" s="1321"/>
      <c r="DV376" s="1321"/>
      <c r="DW376" s="1321"/>
      <c r="DX376" s="1321"/>
      <c r="DY376" s="1321"/>
      <c r="DZ376" s="1345"/>
      <c r="EA376" s="1345"/>
      <c r="EB376" s="1321"/>
      <c r="EC376" s="1321"/>
      <c r="ED376" s="1321"/>
      <c r="EE376" s="1321"/>
      <c r="EF376" s="1321"/>
      <c r="EG376" s="1321"/>
      <c r="EH376" s="1321"/>
      <c r="EI376" s="1321"/>
      <c r="EJ376" s="1321"/>
      <c r="EK376" s="1345"/>
      <c r="EL376" s="1321"/>
      <c r="EM376" s="1321"/>
      <c r="EN376" s="1321"/>
      <c r="EO376" s="1321"/>
      <c r="EP376" s="1321"/>
      <c r="EQ376" s="1321"/>
      <c r="ER376" s="1345"/>
      <c r="ES376" s="1321"/>
      <c r="ET376" s="1321"/>
      <c r="EU376" s="1321"/>
      <c r="EV376" s="1321"/>
      <c r="EW376" s="1321"/>
      <c r="EX376" s="1321"/>
      <c r="EY376" s="1321"/>
      <c r="EZ376" s="1345"/>
      <c r="FA376" s="1321"/>
      <c r="FB376" s="1321"/>
      <c r="FC376" s="1321"/>
      <c r="FD376" s="1321"/>
      <c r="FE376" s="1321"/>
      <c r="FF376" s="1321"/>
      <c r="FG376" s="1321"/>
      <c r="FH376" s="1321"/>
      <c r="FI376" s="1345"/>
      <c r="FJ376" s="1321"/>
      <c r="FK376" s="1321"/>
      <c r="FL376" s="1321"/>
      <c r="FM376" s="1321"/>
      <c r="FN376" s="1321"/>
      <c r="FO376" s="1321"/>
      <c r="FP376" s="1321"/>
      <c r="FQ376" s="1321"/>
      <c r="FR376" s="1321"/>
      <c r="FS376" s="1345"/>
      <c r="FT376" s="1321"/>
      <c r="FU376" s="1321"/>
      <c r="FV376" s="1321"/>
      <c r="FW376" s="1345"/>
      <c r="FX376" s="1321"/>
      <c r="FY376" s="1321"/>
      <c r="FZ376" s="1321"/>
      <c r="GA376" s="1321"/>
      <c r="GB376" s="1321"/>
      <c r="GC376" s="1321" t="s">
        <v>1349</v>
      </c>
      <c r="GD376" s="1321" t="s">
        <v>1349</v>
      </c>
      <c r="GE376" s="1321" t="s">
        <v>1349</v>
      </c>
      <c r="GF376" s="1321" t="s">
        <v>1349</v>
      </c>
      <c r="GG376" s="1321" t="s">
        <v>1349</v>
      </c>
      <c r="GH376" s="1321" t="s">
        <v>1349</v>
      </c>
      <c r="GI376" s="1321" t="s">
        <v>1349</v>
      </c>
      <c r="GJ376" s="1321" t="s">
        <v>1349</v>
      </c>
      <c r="GK376" s="1321" t="s">
        <v>1349</v>
      </c>
      <c r="GL376" s="1321" t="s">
        <v>1349</v>
      </c>
      <c r="GM376" s="1321" t="s">
        <v>1349</v>
      </c>
      <c r="GN376" s="1321" t="s">
        <v>1349</v>
      </c>
      <c r="GO376" s="1321" t="s">
        <v>1349</v>
      </c>
      <c r="GP376" s="1321" t="s">
        <v>1349</v>
      </c>
      <c r="GQ376" s="1321" t="s">
        <v>1349</v>
      </c>
      <c r="GR376" s="1321" t="s">
        <v>1349</v>
      </c>
      <c r="GS376" s="1321"/>
      <c r="GT376" s="1321"/>
      <c r="GU376" s="1321"/>
      <c r="GV376" s="1321"/>
      <c r="GW376" s="1321"/>
      <c r="GX376" s="1321"/>
      <c r="GY376" s="1321"/>
      <c r="GZ376" s="1321"/>
      <c r="HA376" s="1321"/>
      <c r="HB376" s="1321"/>
      <c r="HC376" s="1321"/>
      <c r="HD376" s="1321"/>
      <c r="HE376" s="1321"/>
      <c r="HF376" s="1321"/>
      <c r="HG376" s="1321"/>
      <c r="HH376" s="1321"/>
      <c r="HI376" s="1321"/>
      <c r="HJ376" s="1321"/>
      <c r="HK376" s="1321"/>
      <c r="HL376" s="1321"/>
      <c r="HM376" s="1321"/>
      <c r="HN376" s="1321"/>
      <c r="HO376" s="1321"/>
      <c r="HP376" s="1321"/>
      <c r="HQ376" s="1321"/>
      <c r="HR376" s="1321"/>
      <c r="HS376" s="1321"/>
      <c r="HT376" s="1321"/>
      <c r="HU376" s="1321"/>
      <c r="HV376" s="1321"/>
      <c r="HW376" s="1321"/>
      <c r="HX376" s="1321"/>
      <c r="HY376" s="1321"/>
      <c r="HZ376" s="1321"/>
      <c r="IA376" s="1321"/>
      <c r="IB376" s="1321"/>
      <c r="IC376" s="1321"/>
      <c r="ID376" s="1321"/>
      <c r="IE376" s="1321"/>
      <c r="IF376" s="1321"/>
      <c r="IG376" s="1321"/>
      <c r="IH376" s="1321"/>
      <c r="II376" s="1321"/>
      <c r="IJ376" s="1321"/>
      <c r="IK376" s="1321"/>
      <c r="IL376" s="1321"/>
      <c r="IM376" s="1321"/>
      <c r="IN376" s="1368"/>
    </row>
    <row r="377" spans="1:248" ht="12.75" customHeight="1" x14ac:dyDescent="0.2">
      <c r="A377" s="1319"/>
      <c r="B377" s="1321"/>
      <c r="C377" s="1321"/>
      <c r="D377" s="1321"/>
      <c r="E377" s="1321"/>
      <c r="F377" s="1321"/>
      <c r="G377" s="1321"/>
      <c r="H377" s="1321"/>
      <c r="I377" s="1321"/>
      <c r="J377" s="1321"/>
      <c r="K377" s="1321"/>
      <c r="L377" s="1321"/>
      <c r="M377" s="1321"/>
      <c r="N377" s="1321"/>
      <c r="O377" s="1321"/>
      <c r="P377" s="1321"/>
      <c r="Q377" s="1321"/>
      <c r="R377" s="1321"/>
      <c r="S377" s="1321"/>
      <c r="T377" s="1321"/>
      <c r="U377" s="1321"/>
      <c r="V377" s="1321"/>
      <c r="W377" s="1321"/>
      <c r="X377" s="1321"/>
      <c r="Y377" s="1321"/>
      <c r="Z377" s="1321"/>
      <c r="AA377" s="1321"/>
      <c r="AB377" s="1321"/>
      <c r="AC377" s="1321"/>
      <c r="AD377" s="1321"/>
      <c r="AE377" s="1321"/>
      <c r="AF377" s="1321"/>
      <c r="AG377" s="1321"/>
      <c r="AH377" s="1321"/>
      <c r="AI377" s="1321"/>
      <c r="AJ377" s="1321"/>
      <c r="AK377" s="1321"/>
      <c r="AL377" s="1321"/>
      <c r="AM377" s="1321"/>
      <c r="AN377" s="1321"/>
      <c r="AO377" s="1321"/>
      <c r="AP377" s="1321"/>
      <c r="AQ377" s="1321"/>
      <c r="AR377" s="1321"/>
      <c r="AS377" s="1321"/>
      <c r="AT377" s="1321"/>
      <c r="AU377" s="1321"/>
      <c r="AV377" s="1321"/>
      <c r="AW377" s="1321"/>
      <c r="AX377" s="1321"/>
      <c r="AY377" s="1321"/>
      <c r="AZ377" s="1321"/>
      <c r="BA377" s="1321"/>
      <c r="BB377" s="1075">
        <f t="shared" si="81"/>
        <v>0</v>
      </c>
      <c r="BC377" s="1269"/>
      <c r="BD377" s="1269"/>
      <c r="BE377" s="1269"/>
      <c r="BF377" s="1321"/>
      <c r="BG377" s="1321"/>
      <c r="BH377" s="1321"/>
      <c r="BI377" s="1321"/>
      <c r="BJ377" s="1321"/>
      <c r="BK377" s="1345"/>
      <c r="BL377" s="1345"/>
      <c r="BM377" s="1346"/>
      <c r="BN377" s="1321"/>
      <c r="BO377" s="1321"/>
      <c r="BP377" s="1321"/>
      <c r="BQ377" s="1321"/>
      <c r="BR377" s="1321"/>
      <c r="BS377" s="1321"/>
      <c r="BT377" s="1321"/>
      <c r="BU377" s="1321"/>
      <c r="BV377" s="1345"/>
      <c r="BW377" s="1345"/>
      <c r="BX377" s="1321"/>
      <c r="BY377" s="1321"/>
      <c r="BZ377" s="1321"/>
      <c r="CA377" s="1321"/>
      <c r="CB377" s="1321"/>
      <c r="CC377" s="1321"/>
      <c r="CD377" s="1345"/>
      <c r="CE377" s="1345"/>
      <c r="CF377" s="1321"/>
      <c r="CG377" s="1321"/>
      <c r="CH377" s="1321"/>
      <c r="CI377" s="1321"/>
      <c r="CJ377" s="1321"/>
      <c r="CK377" s="1321"/>
      <c r="CL377" s="1321"/>
      <c r="CM377" s="1321"/>
      <c r="CN377" s="1321"/>
      <c r="CO377" s="1321"/>
      <c r="CP377" s="1321"/>
      <c r="CQ377" s="1321"/>
      <c r="CR377" s="1321"/>
      <c r="CS377" s="1321"/>
      <c r="CT377" s="1321"/>
      <c r="CU377" s="1321"/>
      <c r="CV377" s="1321"/>
      <c r="CW377" s="1321"/>
      <c r="CX377" s="1321"/>
      <c r="CY377" s="1321"/>
      <c r="CZ377" s="1321"/>
      <c r="DA377" s="1321"/>
      <c r="DB377" s="1321"/>
      <c r="DC377" s="1321"/>
      <c r="DD377" s="1321"/>
      <c r="DE377" s="1321"/>
      <c r="DF377" s="1321"/>
      <c r="DG377" s="1321"/>
      <c r="DH377" s="1321"/>
      <c r="DI377" s="1321"/>
      <c r="DJ377" s="1321"/>
      <c r="DK377" s="1321"/>
      <c r="DL377" s="1321"/>
      <c r="DM377" s="1321"/>
      <c r="DN377" s="1321"/>
      <c r="DO377" s="1321"/>
      <c r="DP377" s="1321"/>
      <c r="DQ377" s="1321"/>
      <c r="DR377" s="1321"/>
      <c r="DS377" s="1321"/>
      <c r="DT377" s="1321"/>
      <c r="DU377" s="1321"/>
      <c r="DV377" s="1321"/>
      <c r="DW377" s="1321"/>
      <c r="DX377" s="1321"/>
      <c r="DY377" s="1321"/>
      <c r="DZ377" s="1345"/>
      <c r="EA377" s="1345"/>
      <c r="EB377" s="1321"/>
      <c r="EC377" s="1321"/>
      <c r="ED377" s="1321"/>
      <c r="EE377" s="1321"/>
      <c r="EF377" s="1321"/>
      <c r="EG377" s="1321"/>
      <c r="EH377" s="1321"/>
      <c r="EI377" s="1321"/>
      <c r="EJ377" s="1321"/>
      <c r="EK377" s="1345"/>
      <c r="EL377" s="1321"/>
      <c r="EM377" s="1321"/>
      <c r="EN377" s="1321"/>
      <c r="EO377" s="1321"/>
      <c r="EP377" s="1321"/>
      <c r="EQ377" s="1321"/>
      <c r="ER377" s="1345"/>
      <c r="ES377" s="1321"/>
      <c r="ET377" s="1321"/>
      <c r="EU377" s="1321"/>
      <c r="EV377" s="1321"/>
      <c r="EW377" s="1321"/>
      <c r="EX377" s="1321"/>
      <c r="EY377" s="1321"/>
      <c r="EZ377" s="1345"/>
      <c r="FA377" s="1321"/>
      <c r="FB377" s="1321"/>
      <c r="FC377" s="1321"/>
      <c r="FD377" s="1321"/>
      <c r="FE377" s="1321"/>
      <c r="FF377" s="1321"/>
      <c r="FG377" s="1321"/>
      <c r="FH377" s="1321"/>
      <c r="FI377" s="1345"/>
      <c r="FJ377" s="1321"/>
      <c r="FK377" s="1321"/>
      <c r="FL377" s="1321"/>
      <c r="FM377" s="1321"/>
      <c r="FN377" s="1321"/>
      <c r="FO377" s="1321"/>
      <c r="FP377" s="1321"/>
      <c r="FQ377" s="1321"/>
      <c r="FR377" s="1321"/>
      <c r="FS377" s="1345"/>
      <c r="FT377" s="1321"/>
      <c r="FU377" s="1321"/>
      <c r="FV377" s="1321"/>
      <c r="FW377" s="1345"/>
      <c r="FX377" s="1321"/>
      <c r="FY377" s="1321"/>
      <c r="FZ377" s="1321"/>
      <c r="GA377" s="1321"/>
      <c r="GB377" s="1321"/>
      <c r="GC377" s="1321" t="s">
        <v>1349</v>
      </c>
      <c r="GD377" s="1321" t="s">
        <v>1349</v>
      </c>
      <c r="GE377" s="1321" t="s">
        <v>1349</v>
      </c>
      <c r="GF377" s="1321" t="s">
        <v>1349</v>
      </c>
      <c r="GG377" s="1321" t="s">
        <v>1349</v>
      </c>
      <c r="GH377" s="1321" t="s">
        <v>1349</v>
      </c>
      <c r="GI377" s="1321" t="s">
        <v>1349</v>
      </c>
      <c r="GJ377" s="1321" t="s">
        <v>1349</v>
      </c>
      <c r="GK377" s="1321" t="s">
        <v>1349</v>
      </c>
      <c r="GL377" s="1321" t="s">
        <v>1349</v>
      </c>
      <c r="GM377" s="1321" t="s">
        <v>1349</v>
      </c>
      <c r="GN377" s="1321" t="s">
        <v>1349</v>
      </c>
      <c r="GO377" s="1321" t="s">
        <v>1349</v>
      </c>
      <c r="GP377" s="1321" t="s">
        <v>1349</v>
      </c>
      <c r="GQ377" s="1321" t="s">
        <v>1349</v>
      </c>
      <c r="GR377" s="1321" t="s">
        <v>1349</v>
      </c>
      <c r="GS377" s="1321"/>
      <c r="GT377" s="1321"/>
      <c r="GU377" s="1321"/>
      <c r="GV377" s="1321"/>
      <c r="GW377" s="1321"/>
      <c r="GX377" s="1321"/>
      <c r="GY377" s="1321"/>
      <c r="GZ377" s="1321"/>
      <c r="HA377" s="1321"/>
      <c r="HB377" s="1321"/>
      <c r="HC377" s="1321"/>
      <c r="HD377" s="1321"/>
      <c r="HE377" s="1321"/>
      <c r="HF377" s="1321"/>
      <c r="HG377" s="1321"/>
      <c r="HH377" s="1321"/>
      <c r="HI377" s="1321"/>
      <c r="HJ377" s="1321"/>
      <c r="HK377" s="1321"/>
      <c r="HL377" s="1321"/>
      <c r="HM377" s="1321"/>
      <c r="HN377" s="1321"/>
      <c r="HO377" s="1321"/>
      <c r="HP377" s="1321"/>
      <c r="HQ377" s="1321"/>
      <c r="HR377" s="1321"/>
      <c r="HS377" s="1321"/>
      <c r="HT377" s="1321"/>
      <c r="HU377" s="1321"/>
      <c r="HV377" s="1321"/>
      <c r="HW377" s="1321"/>
      <c r="HX377" s="1321"/>
      <c r="HY377" s="1321"/>
      <c r="HZ377" s="1321"/>
      <c r="IA377" s="1321"/>
      <c r="IB377" s="1321"/>
      <c r="IC377" s="1321"/>
      <c r="ID377" s="1321"/>
      <c r="IE377" s="1321"/>
      <c r="IF377" s="1321"/>
      <c r="IG377" s="1321"/>
      <c r="IH377" s="1321"/>
      <c r="II377" s="1321"/>
      <c r="IJ377" s="1321"/>
      <c r="IK377" s="1321"/>
      <c r="IL377" s="1321"/>
      <c r="IM377" s="1321"/>
      <c r="IN377" s="1368"/>
    </row>
    <row r="378" spans="1:248" ht="12.75" customHeight="1" x14ac:dyDescent="0.2">
      <c r="A378" s="1319"/>
      <c r="B378" s="1321"/>
      <c r="C378" s="1321"/>
      <c r="D378" s="1321"/>
      <c r="E378" s="1321"/>
      <c r="F378" s="1321"/>
      <c r="G378" s="1321"/>
      <c r="H378" s="1321"/>
      <c r="I378" s="1321"/>
      <c r="J378" s="1321"/>
      <c r="K378" s="1321"/>
      <c r="L378" s="1321"/>
      <c r="M378" s="1321"/>
      <c r="N378" s="1321"/>
      <c r="O378" s="1321"/>
      <c r="P378" s="1321"/>
      <c r="Q378" s="1321"/>
      <c r="R378" s="1321"/>
      <c r="S378" s="1321"/>
      <c r="T378" s="1321"/>
      <c r="U378" s="1321"/>
      <c r="V378" s="1321"/>
      <c r="W378" s="1321"/>
      <c r="X378" s="1321"/>
      <c r="Y378" s="1321"/>
      <c r="Z378" s="1321"/>
      <c r="AA378" s="1321"/>
      <c r="AB378" s="1321"/>
      <c r="AC378" s="1321"/>
      <c r="AD378" s="1321"/>
      <c r="AE378" s="1321"/>
      <c r="AF378" s="1321"/>
      <c r="AG378" s="1321"/>
      <c r="AH378" s="1321"/>
      <c r="AI378" s="1321"/>
      <c r="AJ378" s="1321"/>
      <c r="AK378" s="1321"/>
      <c r="AL378" s="1321"/>
      <c r="AM378" s="1321"/>
      <c r="AN378" s="1321"/>
      <c r="AO378" s="1321"/>
      <c r="AP378" s="1321"/>
      <c r="AQ378" s="1321"/>
      <c r="AR378" s="1321"/>
      <c r="AS378" s="1321"/>
      <c r="AT378" s="1321"/>
      <c r="AU378" s="1321"/>
      <c r="AV378" s="1321"/>
      <c r="AW378" s="1321"/>
      <c r="AX378" s="1321"/>
      <c r="AY378" s="1321"/>
      <c r="AZ378" s="1321"/>
      <c r="BA378" s="1321"/>
      <c r="BB378" s="1076">
        <f t="shared" si="81"/>
        <v>0</v>
      </c>
      <c r="BC378" s="1267"/>
      <c r="BD378" s="1267"/>
      <c r="BE378" s="1267"/>
      <c r="BF378" s="1321"/>
      <c r="BG378" s="1321"/>
      <c r="BH378" s="1321"/>
      <c r="BI378" s="1321"/>
      <c r="BJ378" s="1321"/>
      <c r="BK378" s="1345"/>
      <c r="BL378" s="1345"/>
      <c r="BM378" s="1346"/>
      <c r="BN378" s="1321"/>
      <c r="BO378" s="1321"/>
      <c r="BP378" s="1321"/>
      <c r="BQ378" s="1321"/>
      <c r="BR378" s="1321"/>
      <c r="BS378" s="1321"/>
      <c r="BT378" s="1321"/>
      <c r="BU378" s="1321"/>
      <c r="BV378" s="1345"/>
      <c r="BW378" s="1345"/>
      <c r="BX378" s="1321"/>
      <c r="BY378" s="1321"/>
      <c r="BZ378" s="1321"/>
      <c r="CA378" s="1321"/>
      <c r="CB378" s="1321"/>
      <c r="CC378" s="1321"/>
      <c r="CD378" s="1345"/>
      <c r="CE378" s="1345"/>
      <c r="CF378" s="1321"/>
      <c r="CG378" s="1321"/>
      <c r="CH378" s="1321"/>
      <c r="CI378" s="1321"/>
      <c r="CJ378" s="1321"/>
      <c r="CK378" s="1321"/>
      <c r="CL378" s="1321"/>
      <c r="CM378" s="1321"/>
      <c r="CN378" s="1321"/>
      <c r="CO378" s="1321"/>
      <c r="CP378" s="1321"/>
      <c r="CQ378" s="1321"/>
      <c r="CR378" s="1321"/>
      <c r="CS378" s="1321"/>
      <c r="CT378" s="1321"/>
      <c r="CU378" s="1321"/>
      <c r="CV378" s="1321"/>
      <c r="CW378" s="1321"/>
      <c r="CX378" s="1321"/>
      <c r="CY378" s="1321"/>
      <c r="CZ378" s="1321"/>
      <c r="DA378" s="1321"/>
      <c r="DB378" s="1321"/>
      <c r="DC378" s="1321"/>
      <c r="DD378" s="1321"/>
      <c r="DE378" s="1321"/>
      <c r="DF378" s="1321"/>
      <c r="DG378" s="1321"/>
      <c r="DH378" s="1321"/>
      <c r="DI378" s="1321"/>
      <c r="DJ378" s="1321"/>
      <c r="DK378" s="1321"/>
      <c r="DL378" s="1321"/>
      <c r="DM378" s="1321"/>
      <c r="DN378" s="1321"/>
      <c r="DO378" s="1321"/>
      <c r="DP378" s="1321"/>
      <c r="DQ378" s="1321"/>
      <c r="DR378" s="1321"/>
      <c r="DS378" s="1321"/>
      <c r="DT378" s="1321"/>
      <c r="DU378" s="1321"/>
      <c r="DV378" s="1321"/>
      <c r="DW378" s="1321"/>
      <c r="DX378" s="1321"/>
      <c r="DY378" s="1321"/>
      <c r="DZ378" s="1345"/>
      <c r="EA378" s="1345"/>
      <c r="EB378" s="1321"/>
      <c r="EC378" s="1321"/>
      <c r="ED378" s="1321"/>
      <c r="EE378" s="1321"/>
      <c r="EF378" s="1321"/>
      <c r="EG378" s="1321"/>
      <c r="EH378" s="1321"/>
      <c r="EI378" s="1321"/>
      <c r="EJ378" s="1321"/>
      <c r="EK378" s="1345"/>
      <c r="EL378" s="1321"/>
      <c r="EM378" s="1321"/>
      <c r="EN378" s="1321"/>
      <c r="EO378" s="1321"/>
      <c r="EP378" s="1321"/>
      <c r="EQ378" s="1321"/>
      <c r="ER378" s="1345"/>
      <c r="ES378" s="1321"/>
      <c r="ET378" s="1321"/>
      <c r="EU378" s="1321"/>
      <c r="EV378" s="1321"/>
      <c r="EW378" s="1321"/>
      <c r="EX378" s="1321"/>
      <c r="EY378" s="1321"/>
      <c r="EZ378" s="1345"/>
      <c r="FA378" s="1321"/>
      <c r="FB378" s="1321"/>
      <c r="FC378" s="1321"/>
      <c r="FD378" s="1321"/>
      <c r="FE378" s="1321"/>
      <c r="FF378" s="1321"/>
      <c r="FG378" s="1321"/>
      <c r="FH378" s="1321"/>
      <c r="FI378" s="1345"/>
      <c r="FJ378" s="1321"/>
      <c r="FK378" s="1321"/>
      <c r="FL378" s="1321"/>
      <c r="FM378" s="1321"/>
      <c r="FN378" s="1321"/>
      <c r="FO378" s="1321"/>
      <c r="FP378" s="1321"/>
      <c r="FQ378" s="1321"/>
      <c r="FR378" s="1321"/>
      <c r="FS378" s="1345"/>
      <c r="FT378" s="1321"/>
      <c r="FU378" s="1321"/>
      <c r="FV378" s="1321"/>
      <c r="FW378" s="1345"/>
      <c r="FX378" s="1321"/>
      <c r="FY378" s="1321"/>
      <c r="FZ378" s="1321"/>
      <c r="GA378" s="1321"/>
      <c r="GB378" s="1321"/>
      <c r="GC378" s="1321" t="s">
        <v>1349</v>
      </c>
      <c r="GD378" s="1321" t="s">
        <v>1349</v>
      </c>
      <c r="GE378" s="1321" t="s">
        <v>1349</v>
      </c>
      <c r="GF378" s="1321" t="s">
        <v>1349</v>
      </c>
      <c r="GG378" s="1321" t="s">
        <v>1349</v>
      </c>
      <c r="GH378" s="1321" t="s">
        <v>1349</v>
      </c>
      <c r="GI378" s="1321" t="s">
        <v>1349</v>
      </c>
      <c r="GJ378" s="1321" t="s">
        <v>1349</v>
      </c>
      <c r="GK378" s="1321" t="s">
        <v>1349</v>
      </c>
      <c r="GL378" s="1321" t="s">
        <v>1349</v>
      </c>
      <c r="GM378" s="1321" t="s">
        <v>1349</v>
      </c>
      <c r="GN378" s="1321" t="s">
        <v>1349</v>
      </c>
      <c r="GO378" s="1321" t="s">
        <v>1349</v>
      </c>
      <c r="GP378" s="1321" t="s">
        <v>1349</v>
      </c>
      <c r="GQ378" s="1321" t="s">
        <v>1349</v>
      </c>
      <c r="GR378" s="1321" t="s">
        <v>1349</v>
      </c>
      <c r="GS378" s="1321"/>
      <c r="GT378" s="1321"/>
      <c r="GU378" s="1321"/>
      <c r="GV378" s="1321"/>
      <c r="GW378" s="1321"/>
      <c r="GX378" s="1321"/>
      <c r="GY378" s="1321"/>
      <c r="GZ378" s="1321"/>
      <c r="HA378" s="1321"/>
      <c r="HB378" s="1321"/>
      <c r="HC378" s="1321"/>
      <c r="HD378" s="1321"/>
      <c r="HE378" s="1321"/>
      <c r="HF378" s="1321"/>
      <c r="HG378" s="1321"/>
      <c r="HH378" s="1321"/>
      <c r="HI378" s="1321"/>
      <c r="HJ378" s="1321"/>
      <c r="HK378" s="1321"/>
      <c r="HL378" s="1321"/>
      <c r="HM378" s="1321"/>
      <c r="HN378" s="1321"/>
      <c r="HO378" s="1321"/>
      <c r="HP378" s="1321"/>
      <c r="HQ378" s="1321"/>
      <c r="HR378" s="1321"/>
      <c r="HS378" s="1321"/>
      <c r="HT378" s="1321"/>
      <c r="HU378" s="1321"/>
      <c r="HV378" s="1321"/>
      <c r="HW378" s="1321"/>
      <c r="HX378" s="1321"/>
      <c r="HY378" s="1321"/>
      <c r="HZ378" s="1321"/>
      <c r="IA378" s="1321"/>
      <c r="IB378" s="1321"/>
      <c r="IC378" s="1321"/>
      <c r="ID378" s="1321"/>
      <c r="IE378" s="1321"/>
      <c r="IF378" s="1321"/>
      <c r="IG378" s="1321"/>
      <c r="IH378" s="1321"/>
      <c r="II378" s="1321"/>
      <c r="IJ378" s="1321"/>
      <c r="IK378" s="1321"/>
      <c r="IL378" s="1321"/>
      <c r="IM378" s="1321"/>
      <c r="IN378" s="1368"/>
    </row>
    <row r="379" spans="1:248" ht="12.75" customHeight="1" x14ac:dyDescent="0.2">
      <c r="A379" s="1319"/>
      <c r="B379" s="1321"/>
      <c r="C379" s="1321"/>
      <c r="D379" s="1321"/>
      <c r="E379" s="1321"/>
      <c r="F379" s="1321"/>
      <c r="G379" s="1321"/>
      <c r="H379" s="1321"/>
      <c r="I379" s="1321"/>
      <c r="J379" s="1321"/>
      <c r="K379" s="1321"/>
      <c r="L379" s="1321"/>
      <c r="M379" s="1321"/>
      <c r="N379" s="1321"/>
      <c r="O379" s="1321"/>
      <c r="P379" s="1321"/>
      <c r="Q379" s="1321"/>
      <c r="R379" s="1321"/>
      <c r="S379" s="1321"/>
      <c r="T379" s="1321"/>
      <c r="U379" s="1321"/>
      <c r="V379" s="1321"/>
      <c r="W379" s="1321"/>
      <c r="X379" s="1321"/>
      <c r="Y379" s="1321"/>
      <c r="Z379" s="1321"/>
      <c r="AA379" s="1321"/>
      <c r="AB379" s="1321"/>
      <c r="AC379" s="1321"/>
      <c r="AD379" s="1321"/>
      <c r="AE379" s="1321"/>
      <c r="AF379" s="1321"/>
      <c r="AG379" s="1321"/>
      <c r="AH379" s="1321"/>
      <c r="AI379" s="1321"/>
      <c r="AJ379" s="1321"/>
      <c r="AK379" s="1321"/>
      <c r="AL379" s="1321"/>
      <c r="AM379" s="1321"/>
      <c r="AN379" s="1321"/>
      <c r="AO379" s="1321"/>
      <c r="AP379" s="1321"/>
      <c r="AQ379" s="1321"/>
      <c r="AR379" s="1321"/>
      <c r="AS379" s="1321"/>
      <c r="AT379" s="1321"/>
      <c r="AU379" s="1321"/>
      <c r="AV379" s="1321"/>
      <c r="AW379" s="1321"/>
      <c r="AX379" s="1321"/>
      <c r="AY379" s="1321"/>
      <c r="AZ379" s="1321"/>
      <c r="BA379" s="1321"/>
      <c r="BB379" s="1075">
        <f t="shared" si="81"/>
        <v>0</v>
      </c>
      <c r="BC379" s="1269"/>
      <c r="BD379" s="1269"/>
      <c r="BE379" s="1269"/>
      <c r="BF379" s="1321"/>
      <c r="BG379" s="1321"/>
      <c r="BH379" s="1321"/>
      <c r="BI379" s="1321"/>
      <c r="BJ379" s="1321"/>
      <c r="BK379" s="1345"/>
      <c r="BL379" s="1345"/>
      <c r="BM379" s="1346"/>
      <c r="BN379" s="1321"/>
      <c r="BO379" s="1321"/>
      <c r="BP379" s="1321"/>
      <c r="BQ379" s="1321"/>
      <c r="BR379" s="1321"/>
      <c r="BS379" s="1321"/>
      <c r="BT379" s="1321"/>
      <c r="BU379" s="1321"/>
      <c r="BV379" s="1345"/>
      <c r="BW379" s="1345"/>
      <c r="BX379" s="1321"/>
      <c r="BY379" s="1321"/>
      <c r="BZ379" s="1321"/>
      <c r="CA379" s="1321"/>
      <c r="CB379" s="1321"/>
      <c r="CC379" s="1321"/>
      <c r="CD379" s="1345"/>
      <c r="CE379" s="1345"/>
      <c r="CF379" s="1321"/>
      <c r="CG379" s="1321"/>
      <c r="CH379" s="1321"/>
      <c r="CI379" s="1321"/>
      <c r="CJ379" s="1321"/>
      <c r="CK379" s="1321"/>
      <c r="CL379" s="1321"/>
      <c r="CM379" s="1321"/>
      <c r="CN379" s="1321"/>
      <c r="CO379" s="1321"/>
      <c r="CP379" s="1321"/>
      <c r="CQ379" s="1321"/>
      <c r="CR379" s="1321"/>
      <c r="CS379" s="1321"/>
      <c r="CT379" s="1321"/>
      <c r="CU379" s="1321"/>
      <c r="CV379" s="1321"/>
      <c r="CW379" s="1321"/>
      <c r="CX379" s="1321"/>
      <c r="CY379" s="1321"/>
      <c r="CZ379" s="1321"/>
      <c r="DA379" s="1321"/>
      <c r="DB379" s="1321"/>
      <c r="DC379" s="1321"/>
      <c r="DD379" s="1321"/>
      <c r="DE379" s="1321"/>
      <c r="DF379" s="1321"/>
      <c r="DG379" s="1321"/>
      <c r="DH379" s="1321"/>
      <c r="DI379" s="1321"/>
      <c r="DJ379" s="1321"/>
      <c r="DK379" s="1321"/>
      <c r="DL379" s="1321"/>
      <c r="DM379" s="1321"/>
      <c r="DN379" s="1321"/>
      <c r="DO379" s="1321"/>
      <c r="DP379" s="1321"/>
      <c r="DQ379" s="1321"/>
      <c r="DR379" s="1321"/>
      <c r="DS379" s="1321"/>
      <c r="DT379" s="1321"/>
      <c r="DU379" s="1321"/>
      <c r="DV379" s="1321"/>
      <c r="DW379" s="1321"/>
      <c r="DX379" s="1321"/>
      <c r="DY379" s="1321"/>
      <c r="DZ379" s="1345"/>
      <c r="EA379" s="1345"/>
      <c r="EB379" s="1321"/>
      <c r="EC379" s="1321"/>
      <c r="ED379" s="1321"/>
      <c r="EE379" s="1321"/>
      <c r="EF379" s="1321"/>
      <c r="EG379" s="1321"/>
      <c r="EH379" s="1321"/>
      <c r="EI379" s="1321"/>
      <c r="EJ379" s="1321"/>
      <c r="EK379" s="1345"/>
      <c r="EL379" s="1321"/>
      <c r="EM379" s="1321"/>
      <c r="EN379" s="1321"/>
      <c r="EO379" s="1321"/>
      <c r="EP379" s="1321"/>
      <c r="EQ379" s="1321"/>
      <c r="ER379" s="1345"/>
      <c r="ES379" s="1321"/>
      <c r="ET379" s="1321"/>
      <c r="EU379" s="1321"/>
      <c r="EV379" s="1321"/>
      <c r="EW379" s="1321"/>
      <c r="EX379" s="1321"/>
      <c r="EY379" s="1321"/>
      <c r="EZ379" s="1345"/>
      <c r="FA379" s="1321"/>
      <c r="FB379" s="1321"/>
      <c r="FC379" s="1321"/>
      <c r="FD379" s="1321"/>
      <c r="FE379" s="1321"/>
      <c r="FF379" s="1321"/>
      <c r="FG379" s="1321"/>
      <c r="FH379" s="1321"/>
      <c r="FI379" s="1345"/>
      <c r="FJ379" s="1321"/>
      <c r="FK379" s="1321"/>
      <c r="FL379" s="1321"/>
      <c r="FM379" s="1321"/>
      <c r="FN379" s="1321"/>
      <c r="FO379" s="1321"/>
      <c r="FP379" s="1321"/>
      <c r="FQ379" s="1321"/>
      <c r="FR379" s="1321"/>
      <c r="FS379" s="1345"/>
      <c r="FT379" s="1321"/>
      <c r="FU379" s="1321"/>
      <c r="FV379" s="1321"/>
      <c r="FW379" s="1345"/>
      <c r="FX379" s="1321"/>
      <c r="FY379" s="1321"/>
      <c r="FZ379" s="1321"/>
      <c r="GA379" s="1321"/>
      <c r="GB379" s="1321"/>
      <c r="GC379" s="1321" t="s">
        <v>1349</v>
      </c>
      <c r="GD379" s="1321" t="s">
        <v>1349</v>
      </c>
      <c r="GE379" s="1321" t="s">
        <v>1349</v>
      </c>
      <c r="GF379" s="1321" t="s">
        <v>1349</v>
      </c>
      <c r="GG379" s="1321" t="s">
        <v>1349</v>
      </c>
      <c r="GH379" s="1321" t="s">
        <v>1349</v>
      </c>
      <c r="GI379" s="1321" t="s">
        <v>1349</v>
      </c>
      <c r="GJ379" s="1321" t="s">
        <v>1349</v>
      </c>
      <c r="GK379" s="1321" t="s">
        <v>1349</v>
      </c>
      <c r="GL379" s="1321" t="s">
        <v>1349</v>
      </c>
      <c r="GM379" s="1321" t="s">
        <v>1349</v>
      </c>
      <c r="GN379" s="1321" t="s">
        <v>1349</v>
      </c>
      <c r="GO379" s="1321" t="s">
        <v>1349</v>
      </c>
      <c r="GP379" s="1321" t="s">
        <v>1349</v>
      </c>
      <c r="GQ379" s="1321" t="s">
        <v>1349</v>
      </c>
      <c r="GR379" s="1321" t="s">
        <v>1349</v>
      </c>
      <c r="GS379" s="1321"/>
      <c r="GT379" s="1321"/>
      <c r="GU379" s="1321"/>
      <c r="GV379" s="1321"/>
      <c r="GW379" s="1321"/>
      <c r="GX379" s="1321"/>
      <c r="GY379" s="1321"/>
      <c r="GZ379" s="1321"/>
      <c r="HA379" s="1321"/>
      <c r="HB379" s="1321"/>
      <c r="HC379" s="1321"/>
      <c r="HD379" s="1321"/>
      <c r="HE379" s="1321"/>
      <c r="HF379" s="1321"/>
      <c r="HG379" s="1321"/>
      <c r="HH379" s="1321"/>
      <c r="HI379" s="1321"/>
      <c r="HJ379" s="1321"/>
      <c r="HK379" s="1321"/>
      <c r="HL379" s="1321"/>
      <c r="HM379" s="1321"/>
      <c r="HN379" s="1321"/>
      <c r="HO379" s="1321"/>
      <c r="HP379" s="1321"/>
      <c r="HQ379" s="1321"/>
      <c r="HR379" s="1321"/>
      <c r="HS379" s="1321"/>
      <c r="HT379" s="1321"/>
      <c r="HU379" s="1321"/>
      <c r="HV379" s="1321"/>
      <c r="HW379" s="1321"/>
      <c r="HX379" s="1321"/>
      <c r="HY379" s="1321"/>
      <c r="HZ379" s="1321"/>
      <c r="IA379" s="1321"/>
      <c r="IB379" s="1321"/>
      <c r="IC379" s="1321"/>
      <c r="ID379" s="1321"/>
      <c r="IE379" s="1321"/>
      <c r="IF379" s="1321"/>
      <c r="IG379" s="1321"/>
      <c r="IH379" s="1321"/>
      <c r="II379" s="1321"/>
      <c r="IJ379" s="1321"/>
      <c r="IK379" s="1321"/>
      <c r="IL379" s="1321"/>
      <c r="IM379" s="1321"/>
      <c r="IN379" s="1368"/>
    </row>
    <row r="380" spans="1:248" ht="12.75" customHeight="1" x14ac:dyDescent="0.2">
      <c r="A380" s="1319"/>
      <c r="B380" s="1321"/>
      <c r="C380" s="1321"/>
      <c r="D380" s="1321"/>
      <c r="E380" s="1321"/>
      <c r="F380" s="1321"/>
      <c r="G380" s="1321"/>
      <c r="H380" s="1321"/>
      <c r="I380" s="1321"/>
      <c r="J380" s="1321"/>
      <c r="K380" s="1321"/>
      <c r="L380" s="1321"/>
      <c r="M380" s="1321"/>
      <c r="N380" s="1321"/>
      <c r="O380" s="1321"/>
      <c r="P380" s="1321"/>
      <c r="Q380" s="1321"/>
      <c r="R380" s="1321"/>
      <c r="S380" s="1321"/>
      <c r="T380" s="1321"/>
      <c r="U380" s="1321"/>
      <c r="V380" s="1321"/>
      <c r="W380" s="1321"/>
      <c r="X380" s="1321"/>
      <c r="Y380" s="1321"/>
      <c r="Z380" s="1321"/>
      <c r="AA380" s="1321"/>
      <c r="AB380" s="1321"/>
      <c r="AC380" s="1321"/>
      <c r="AD380" s="1321"/>
      <c r="AE380" s="1321"/>
      <c r="AF380" s="1321"/>
      <c r="AG380" s="1321"/>
      <c r="AH380" s="1321"/>
      <c r="AI380" s="1321"/>
      <c r="AJ380" s="1321"/>
      <c r="AK380" s="1321"/>
      <c r="AL380" s="1321"/>
      <c r="AM380" s="1321"/>
      <c r="AN380" s="1321"/>
      <c r="AO380" s="1321"/>
      <c r="AP380" s="1321"/>
      <c r="AQ380" s="1321"/>
      <c r="AR380" s="1321"/>
      <c r="AS380" s="1321"/>
      <c r="AT380" s="1321"/>
      <c r="AU380" s="1321"/>
      <c r="AV380" s="1321"/>
      <c r="AW380" s="1321"/>
      <c r="AX380" s="1321"/>
      <c r="AY380" s="1321"/>
      <c r="AZ380" s="1321"/>
      <c r="BA380" s="1321"/>
      <c r="BB380" s="1076">
        <f t="shared" si="81"/>
        <v>0</v>
      </c>
      <c r="BC380" s="1267"/>
      <c r="BD380" s="1267"/>
      <c r="BE380" s="1267"/>
      <c r="BF380" s="1321"/>
      <c r="BG380" s="1321"/>
      <c r="BH380" s="1321"/>
      <c r="BI380" s="1321"/>
      <c r="BJ380" s="1321"/>
      <c r="BK380" s="1345"/>
      <c r="BL380" s="1345"/>
      <c r="BM380" s="1346"/>
      <c r="BN380" s="1321"/>
      <c r="BO380" s="1321"/>
      <c r="BP380" s="1321"/>
      <c r="BQ380" s="1321"/>
      <c r="BR380" s="1321"/>
      <c r="BS380" s="1321"/>
      <c r="BT380" s="1321"/>
      <c r="BU380" s="1321"/>
      <c r="BV380" s="1345"/>
      <c r="BW380" s="1345"/>
      <c r="BX380" s="1321"/>
      <c r="BY380" s="1321"/>
      <c r="BZ380" s="1321"/>
      <c r="CA380" s="1321"/>
      <c r="CB380" s="1321"/>
      <c r="CC380" s="1321"/>
      <c r="CD380" s="1345"/>
      <c r="CE380" s="1345"/>
      <c r="CF380" s="1321"/>
      <c r="CG380" s="1321"/>
      <c r="CH380" s="1321"/>
      <c r="CI380" s="1321"/>
      <c r="CJ380" s="1321"/>
      <c r="CK380" s="1321"/>
      <c r="CL380" s="1321"/>
      <c r="CM380" s="1321"/>
      <c r="CN380" s="1321"/>
      <c r="CO380" s="1321"/>
      <c r="CP380" s="1321"/>
      <c r="CQ380" s="1321"/>
      <c r="CR380" s="1321"/>
      <c r="CS380" s="1321"/>
      <c r="CT380" s="1321"/>
      <c r="CU380" s="1321"/>
      <c r="CV380" s="1321"/>
      <c r="CW380" s="1321"/>
      <c r="CX380" s="1321"/>
      <c r="CY380" s="1321"/>
      <c r="CZ380" s="1321"/>
      <c r="DA380" s="1321"/>
      <c r="DB380" s="1321"/>
      <c r="DC380" s="1321"/>
      <c r="DD380" s="1321"/>
      <c r="DE380" s="1321"/>
      <c r="DF380" s="1321"/>
      <c r="DG380" s="1321"/>
      <c r="DH380" s="1321"/>
      <c r="DI380" s="1321"/>
      <c r="DJ380" s="1321"/>
      <c r="DK380" s="1321"/>
      <c r="DL380" s="1321"/>
      <c r="DM380" s="1321"/>
      <c r="DN380" s="1321"/>
      <c r="DO380" s="1321"/>
      <c r="DP380" s="1321"/>
      <c r="DQ380" s="1321"/>
      <c r="DR380" s="1321"/>
      <c r="DS380" s="1321"/>
      <c r="DT380" s="1321"/>
      <c r="DU380" s="1321"/>
      <c r="DV380" s="1321"/>
      <c r="DW380" s="1321"/>
      <c r="DX380" s="1321"/>
      <c r="DY380" s="1321"/>
      <c r="DZ380" s="1345"/>
      <c r="EA380" s="1345"/>
      <c r="EB380" s="1321"/>
      <c r="EC380" s="1321"/>
      <c r="ED380" s="1321"/>
      <c r="EE380" s="1321"/>
      <c r="EF380" s="1321"/>
      <c r="EG380" s="1321"/>
      <c r="EH380" s="1321"/>
      <c r="EI380" s="1321"/>
      <c r="EJ380" s="1321"/>
      <c r="EK380" s="1345"/>
      <c r="EL380" s="1321"/>
      <c r="EM380" s="1321"/>
      <c r="EN380" s="1321"/>
      <c r="EO380" s="1321"/>
      <c r="EP380" s="1321"/>
      <c r="EQ380" s="1321"/>
      <c r="ER380" s="1345"/>
      <c r="ES380" s="1321"/>
      <c r="ET380" s="1321"/>
      <c r="EU380" s="1321"/>
      <c r="EV380" s="1321"/>
      <c r="EW380" s="1321"/>
      <c r="EX380" s="1321"/>
      <c r="EY380" s="1321"/>
      <c r="EZ380" s="1345"/>
      <c r="FA380" s="1321"/>
      <c r="FB380" s="1321"/>
      <c r="FC380" s="1321"/>
      <c r="FD380" s="1321"/>
      <c r="FE380" s="1321"/>
      <c r="FF380" s="1321"/>
      <c r="FG380" s="1321"/>
      <c r="FH380" s="1321"/>
      <c r="FI380" s="1345"/>
      <c r="FJ380" s="1321"/>
      <c r="FK380" s="1321"/>
      <c r="FL380" s="1321"/>
      <c r="FM380" s="1321"/>
      <c r="FN380" s="1321"/>
      <c r="FO380" s="1321"/>
      <c r="FP380" s="1321"/>
      <c r="FQ380" s="1321"/>
      <c r="FR380" s="1321"/>
      <c r="FS380" s="1345"/>
      <c r="FT380" s="1321"/>
      <c r="FU380" s="1321"/>
      <c r="FV380" s="1321"/>
      <c r="FW380" s="1345"/>
      <c r="FX380" s="1321"/>
      <c r="FY380" s="1321"/>
      <c r="FZ380" s="1321"/>
      <c r="GA380" s="1321"/>
      <c r="GB380" s="1321"/>
      <c r="GC380" s="1321" t="s">
        <v>1349</v>
      </c>
      <c r="GD380" s="1321" t="s">
        <v>1349</v>
      </c>
      <c r="GE380" s="1321" t="s">
        <v>1349</v>
      </c>
      <c r="GF380" s="1321" t="s">
        <v>1349</v>
      </c>
      <c r="GG380" s="1321" t="s">
        <v>1349</v>
      </c>
      <c r="GH380" s="1321" t="s">
        <v>1349</v>
      </c>
      <c r="GI380" s="1321" t="s">
        <v>1349</v>
      </c>
      <c r="GJ380" s="1321" t="s">
        <v>1349</v>
      </c>
      <c r="GK380" s="1321" t="s">
        <v>1349</v>
      </c>
      <c r="GL380" s="1321" t="s">
        <v>1349</v>
      </c>
      <c r="GM380" s="1321" t="s">
        <v>1349</v>
      </c>
      <c r="GN380" s="1321" t="s">
        <v>1349</v>
      </c>
      <c r="GO380" s="1321" t="s">
        <v>1349</v>
      </c>
      <c r="GP380" s="1321" t="s">
        <v>1349</v>
      </c>
      <c r="GQ380" s="1321" t="s">
        <v>1349</v>
      </c>
      <c r="GR380" s="1321" t="s">
        <v>1349</v>
      </c>
      <c r="GS380" s="1321"/>
      <c r="GT380" s="1321"/>
      <c r="GU380" s="1321"/>
      <c r="GV380" s="1321"/>
      <c r="GW380" s="1321"/>
      <c r="GX380" s="1321"/>
      <c r="GY380" s="1321"/>
      <c r="GZ380" s="1321"/>
      <c r="HA380" s="1321"/>
      <c r="HB380" s="1321"/>
      <c r="HC380" s="1321"/>
      <c r="HD380" s="1321"/>
      <c r="HE380" s="1321"/>
      <c r="HF380" s="1321"/>
      <c r="HG380" s="1321"/>
      <c r="HH380" s="1321"/>
      <c r="HI380" s="1321"/>
      <c r="HJ380" s="1321"/>
      <c r="HK380" s="1321"/>
      <c r="HL380" s="1321"/>
      <c r="HM380" s="1321"/>
      <c r="HN380" s="1321"/>
      <c r="HO380" s="1321"/>
      <c r="HP380" s="1321"/>
      <c r="HQ380" s="1321"/>
      <c r="HR380" s="1321"/>
      <c r="HS380" s="1321"/>
      <c r="HT380" s="1321"/>
      <c r="HU380" s="1321"/>
      <c r="HV380" s="1321"/>
      <c r="HW380" s="1321"/>
      <c r="HX380" s="1321"/>
      <c r="HY380" s="1321"/>
      <c r="HZ380" s="1321"/>
      <c r="IA380" s="1321"/>
      <c r="IB380" s="1321"/>
      <c r="IC380" s="1321"/>
      <c r="ID380" s="1321"/>
      <c r="IE380" s="1321"/>
      <c r="IF380" s="1321"/>
      <c r="IG380" s="1321"/>
      <c r="IH380" s="1321"/>
      <c r="II380" s="1321"/>
      <c r="IJ380" s="1321"/>
      <c r="IK380" s="1321"/>
      <c r="IL380" s="1321"/>
      <c r="IM380" s="1321"/>
      <c r="IN380" s="1368"/>
    </row>
    <row r="381" spans="1:248" ht="12.75" customHeight="1" x14ac:dyDescent="0.2">
      <c r="A381" s="1319"/>
      <c r="B381" s="1321"/>
      <c r="C381" s="1321"/>
      <c r="D381" s="1321"/>
      <c r="E381" s="1321"/>
      <c r="F381" s="1321"/>
      <c r="G381" s="1321"/>
      <c r="H381" s="1321"/>
      <c r="I381" s="1321"/>
      <c r="J381" s="1321"/>
      <c r="K381" s="1321"/>
      <c r="L381" s="1321"/>
      <c r="M381" s="1321"/>
      <c r="N381" s="1321"/>
      <c r="O381" s="1321"/>
      <c r="P381" s="1321"/>
      <c r="Q381" s="1321"/>
      <c r="R381" s="1321"/>
      <c r="S381" s="1321"/>
      <c r="T381" s="1321"/>
      <c r="U381" s="1321"/>
      <c r="V381" s="1321"/>
      <c r="W381" s="1321"/>
      <c r="X381" s="1321"/>
      <c r="Y381" s="1321"/>
      <c r="Z381" s="1321"/>
      <c r="AA381" s="1321"/>
      <c r="AB381" s="1321"/>
      <c r="AC381" s="1321"/>
      <c r="AD381" s="1321"/>
      <c r="AE381" s="1321"/>
      <c r="AF381" s="1321"/>
      <c r="AG381" s="1321"/>
      <c r="AH381" s="1321"/>
      <c r="AI381" s="1321"/>
      <c r="AJ381" s="1321"/>
      <c r="AK381" s="1321"/>
      <c r="AL381" s="1321"/>
      <c r="AM381" s="1321"/>
      <c r="AN381" s="1321"/>
      <c r="AO381" s="1321"/>
      <c r="AP381" s="1321"/>
      <c r="AQ381" s="1321"/>
      <c r="AR381" s="1321"/>
      <c r="AS381" s="1321"/>
      <c r="AT381" s="1321"/>
      <c r="AU381" s="1321"/>
      <c r="AV381" s="1321"/>
      <c r="AW381" s="1321"/>
      <c r="AX381" s="1321"/>
      <c r="AY381" s="1321"/>
      <c r="AZ381" s="1321"/>
      <c r="BA381" s="1321"/>
      <c r="BB381" s="1321"/>
      <c r="BC381" s="1327"/>
      <c r="BD381" s="1320"/>
      <c r="BE381" s="1321"/>
      <c r="BF381" s="1321"/>
      <c r="BG381" s="1321"/>
      <c r="BH381" s="1321"/>
      <c r="BI381" s="1321"/>
      <c r="BJ381" s="1321"/>
      <c r="BK381" s="1345"/>
      <c r="BL381" s="1345"/>
      <c r="BM381" s="1346"/>
      <c r="BN381" s="1321"/>
      <c r="BO381" s="1321"/>
      <c r="BP381" s="1321"/>
      <c r="BQ381" s="1321"/>
      <c r="BR381" s="1321"/>
      <c r="BS381" s="1321"/>
      <c r="BT381" s="1321"/>
      <c r="BU381" s="1321"/>
      <c r="BV381" s="1345"/>
      <c r="BW381" s="1345"/>
      <c r="BX381" s="1321"/>
      <c r="BY381" s="1321"/>
      <c r="BZ381" s="1321"/>
      <c r="CA381" s="1321"/>
      <c r="CB381" s="1321"/>
      <c r="CC381" s="1321"/>
      <c r="CD381" s="1345"/>
      <c r="CE381" s="1345"/>
      <c r="CF381" s="1321"/>
      <c r="CG381" s="1321"/>
      <c r="CH381" s="1321"/>
      <c r="CI381" s="1321"/>
      <c r="CJ381" s="1321"/>
      <c r="CK381" s="1321"/>
      <c r="CL381" s="1321"/>
      <c r="CM381" s="1321"/>
      <c r="CN381" s="1321"/>
      <c r="CO381" s="1321"/>
      <c r="CP381" s="1321"/>
      <c r="CQ381" s="1321"/>
      <c r="CR381" s="1321"/>
      <c r="CS381" s="1321"/>
      <c r="CT381" s="1321"/>
      <c r="CU381" s="1321"/>
      <c r="CV381" s="1321"/>
      <c r="CW381" s="1321"/>
      <c r="CX381" s="1321"/>
      <c r="CY381" s="1321"/>
      <c r="CZ381" s="1321"/>
      <c r="DA381" s="1321"/>
      <c r="DB381" s="1321"/>
      <c r="DC381" s="1321"/>
      <c r="DD381" s="1321"/>
      <c r="DE381" s="1321"/>
      <c r="DF381" s="1321"/>
      <c r="DG381" s="1321"/>
      <c r="DH381" s="1321"/>
      <c r="DI381" s="1321"/>
      <c r="DJ381" s="1321"/>
      <c r="DK381" s="1321"/>
      <c r="DL381" s="1321"/>
      <c r="DM381" s="1321"/>
      <c r="DN381" s="1321"/>
      <c r="DO381" s="1321"/>
      <c r="DP381" s="1321"/>
      <c r="DQ381" s="1321"/>
      <c r="DR381" s="1321"/>
      <c r="DS381" s="1321"/>
      <c r="DT381" s="1321"/>
      <c r="DU381" s="1321"/>
      <c r="DV381" s="1321"/>
      <c r="DW381" s="1321"/>
      <c r="DX381" s="1321"/>
      <c r="DY381" s="1321"/>
      <c r="DZ381" s="1345"/>
      <c r="EA381" s="1345"/>
      <c r="EB381" s="1321"/>
      <c r="EC381" s="1321"/>
      <c r="ED381" s="1321"/>
      <c r="EE381" s="1321"/>
      <c r="EF381" s="1321"/>
      <c r="EG381" s="1321"/>
      <c r="EH381" s="1321"/>
      <c r="EI381" s="1321"/>
      <c r="EJ381" s="1321"/>
      <c r="EK381" s="1345"/>
      <c r="EL381" s="1321"/>
      <c r="EM381" s="1321"/>
      <c r="EN381" s="1321"/>
      <c r="EO381" s="1321"/>
      <c r="EP381" s="1321"/>
      <c r="EQ381" s="1321"/>
      <c r="ER381" s="1345"/>
      <c r="ES381" s="1321"/>
      <c r="ET381" s="1321"/>
      <c r="EU381" s="1321"/>
      <c r="EV381" s="1321"/>
      <c r="EW381" s="1321"/>
      <c r="EX381" s="1321"/>
      <c r="EY381" s="1321"/>
      <c r="EZ381" s="1345"/>
      <c r="FA381" s="1321"/>
      <c r="FB381" s="1321"/>
      <c r="FC381" s="1321"/>
      <c r="FD381" s="1321"/>
      <c r="FE381" s="1321"/>
      <c r="FF381" s="1321"/>
      <c r="FG381" s="1321"/>
      <c r="FH381" s="1321"/>
      <c r="FI381" s="1345"/>
      <c r="FJ381" s="1321"/>
      <c r="FK381" s="1321"/>
      <c r="FL381" s="1321"/>
      <c r="FM381" s="1321"/>
      <c r="FN381" s="1321"/>
      <c r="FO381" s="1321"/>
      <c r="FP381" s="1321"/>
      <c r="FQ381" s="1321"/>
      <c r="FR381" s="1321"/>
      <c r="FS381" s="1345"/>
      <c r="FT381" s="1321"/>
      <c r="FU381" s="1321"/>
      <c r="FV381" s="1321"/>
      <c r="FW381" s="1345"/>
      <c r="FX381" s="1321"/>
      <c r="FY381" s="1321"/>
      <c r="FZ381" s="1321"/>
      <c r="GA381" s="1321"/>
      <c r="GB381" s="1321"/>
      <c r="GC381" s="1321" t="s">
        <v>1349</v>
      </c>
      <c r="GD381" s="1321" t="s">
        <v>1349</v>
      </c>
      <c r="GE381" s="1321" t="s">
        <v>1349</v>
      </c>
      <c r="GF381" s="1321" t="s">
        <v>1349</v>
      </c>
      <c r="GG381" s="1321" t="s">
        <v>1349</v>
      </c>
      <c r="GH381" s="1321" t="s">
        <v>1349</v>
      </c>
      <c r="GI381" s="1321" t="s">
        <v>1349</v>
      </c>
      <c r="GJ381" s="1321" t="s">
        <v>1349</v>
      </c>
      <c r="GK381" s="1321" t="s">
        <v>1349</v>
      </c>
      <c r="GL381" s="1321" t="s">
        <v>1349</v>
      </c>
      <c r="GM381" s="1321" t="s">
        <v>1349</v>
      </c>
      <c r="GN381" s="1321" t="s">
        <v>1349</v>
      </c>
      <c r="GO381" s="1321" t="s">
        <v>1349</v>
      </c>
      <c r="GP381" s="1321" t="s">
        <v>1349</v>
      </c>
      <c r="GQ381" s="1321" t="s">
        <v>1349</v>
      </c>
      <c r="GR381" s="1321" t="s">
        <v>1349</v>
      </c>
      <c r="GS381" s="1321"/>
      <c r="GT381" s="1321"/>
      <c r="GU381" s="1321"/>
      <c r="GV381" s="1321"/>
      <c r="GW381" s="1321"/>
      <c r="GX381" s="1321"/>
      <c r="GY381" s="1321"/>
      <c r="GZ381" s="1321"/>
      <c r="HA381" s="1321"/>
      <c r="HB381" s="1321"/>
      <c r="HC381" s="1321"/>
      <c r="HD381" s="1321"/>
      <c r="HE381" s="1321"/>
      <c r="HF381" s="1321"/>
      <c r="HG381" s="1321"/>
      <c r="HH381" s="1321"/>
      <c r="HI381" s="1321"/>
      <c r="HJ381" s="1321"/>
      <c r="HK381" s="1321"/>
      <c r="HL381" s="1321"/>
      <c r="HM381" s="1321"/>
      <c r="HN381" s="1321"/>
      <c r="HO381" s="1321"/>
      <c r="HP381" s="1321"/>
      <c r="HQ381" s="1321"/>
      <c r="HR381" s="1321"/>
      <c r="HS381" s="1321"/>
      <c r="HT381" s="1321"/>
      <c r="HU381" s="1321"/>
      <c r="HV381" s="1321"/>
      <c r="HW381" s="1321"/>
      <c r="HX381" s="1321"/>
      <c r="HY381" s="1321"/>
      <c r="HZ381" s="1321"/>
      <c r="IA381" s="1321"/>
      <c r="IB381" s="1321"/>
      <c r="IC381" s="1321"/>
      <c r="ID381" s="1321"/>
      <c r="IE381" s="1321"/>
      <c r="IF381" s="1321"/>
      <c r="IG381" s="1321"/>
      <c r="IH381" s="1321"/>
      <c r="II381" s="1321"/>
      <c r="IJ381" s="1321"/>
      <c r="IK381" s="1321"/>
      <c r="IL381" s="1321"/>
      <c r="IM381" s="1321"/>
      <c r="IN381" s="1368"/>
    </row>
    <row r="382" spans="1:248" ht="12.75" customHeight="1" thickBot="1" x14ac:dyDescent="0.25">
      <c r="A382" s="1323"/>
      <c r="B382" s="1324"/>
      <c r="C382" s="1324"/>
      <c r="D382" s="1324"/>
      <c r="E382" s="1324"/>
      <c r="F382" s="1324"/>
      <c r="G382" s="1324"/>
      <c r="H382" s="1324"/>
      <c r="I382" s="1324"/>
      <c r="J382" s="1324"/>
      <c r="K382" s="1324"/>
      <c r="L382" s="1324"/>
      <c r="M382" s="1324"/>
      <c r="N382" s="1324"/>
      <c r="O382" s="1324"/>
      <c r="P382" s="1324"/>
      <c r="Q382" s="1324"/>
      <c r="R382" s="1324"/>
      <c r="S382" s="1324"/>
      <c r="T382" s="1324"/>
      <c r="U382" s="1324"/>
      <c r="V382" s="1324"/>
      <c r="W382" s="1324"/>
      <c r="X382" s="1324"/>
      <c r="Y382" s="1324"/>
      <c r="Z382" s="1324"/>
      <c r="AA382" s="1324"/>
      <c r="AB382" s="1324"/>
      <c r="AC382" s="1324"/>
      <c r="AD382" s="1324"/>
      <c r="AE382" s="1324"/>
      <c r="AF382" s="1324"/>
      <c r="AG382" s="1324"/>
      <c r="AH382" s="1324"/>
      <c r="AI382" s="1324"/>
      <c r="AJ382" s="1324"/>
      <c r="AK382" s="1324"/>
      <c r="AL382" s="1324"/>
      <c r="AM382" s="1324"/>
      <c r="AN382" s="1324"/>
      <c r="AO382" s="1324"/>
      <c r="AP382" s="1324"/>
      <c r="AQ382" s="1324"/>
      <c r="AR382" s="1324"/>
      <c r="AS382" s="1324"/>
      <c r="AT382" s="1324"/>
      <c r="AU382" s="1324"/>
      <c r="AV382" s="1324"/>
      <c r="AW382" s="1324"/>
      <c r="AX382" s="1324"/>
      <c r="AY382" s="1324"/>
      <c r="AZ382" s="1324"/>
      <c r="BA382" s="1324"/>
      <c r="BB382" s="1324"/>
      <c r="BC382" s="1337"/>
      <c r="BD382" s="1338"/>
      <c r="BE382" s="1324"/>
      <c r="BF382" s="1324"/>
      <c r="BG382" s="1324"/>
      <c r="BH382" s="1324"/>
      <c r="BI382" s="1324"/>
      <c r="BJ382" s="1324"/>
      <c r="BK382" s="1352"/>
      <c r="BL382" s="1352"/>
      <c r="BM382" s="1353"/>
      <c r="BN382" s="1324"/>
      <c r="BO382" s="1324"/>
      <c r="BP382" s="1324"/>
      <c r="BQ382" s="1324"/>
      <c r="BR382" s="1324"/>
      <c r="BS382" s="1324"/>
      <c r="BT382" s="1324"/>
      <c r="BU382" s="1324"/>
      <c r="BV382" s="1352"/>
      <c r="BW382" s="1352"/>
      <c r="BX382" s="1324"/>
      <c r="BY382" s="1324"/>
      <c r="BZ382" s="1324"/>
      <c r="CA382" s="1324"/>
      <c r="CB382" s="1324"/>
      <c r="CC382" s="1324"/>
      <c r="CD382" s="1352"/>
      <c r="CE382" s="1352"/>
      <c r="CF382" s="1324"/>
      <c r="CG382" s="1324"/>
      <c r="CH382" s="1324"/>
      <c r="CI382" s="1324"/>
      <c r="CJ382" s="1324"/>
      <c r="CK382" s="1324"/>
      <c r="CL382" s="1324"/>
      <c r="CM382" s="1324"/>
      <c r="CN382" s="1324"/>
      <c r="CO382" s="1324"/>
      <c r="CP382" s="1324"/>
      <c r="CQ382" s="1324"/>
      <c r="CR382" s="1324"/>
      <c r="CS382" s="1324"/>
      <c r="CT382" s="1324"/>
      <c r="CU382" s="1324"/>
      <c r="CV382" s="1324"/>
      <c r="CW382" s="1324"/>
      <c r="CX382" s="1324"/>
      <c r="CY382" s="1324"/>
      <c r="CZ382" s="1324"/>
      <c r="DA382" s="1324"/>
      <c r="DB382" s="1324"/>
      <c r="DC382" s="1324"/>
      <c r="DD382" s="1324"/>
      <c r="DE382" s="1324"/>
      <c r="DF382" s="1324"/>
      <c r="DG382" s="1324"/>
      <c r="DH382" s="1324"/>
      <c r="DI382" s="1324"/>
      <c r="DJ382" s="1324"/>
      <c r="DK382" s="1324"/>
      <c r="DL382" s="1324"/>
      <c r="DM382" s="1324"/>
      <c r="DN382" s="1324"/>
      <c r="DO382" s="1324"/>
      <c r="DP382" s="1324"/>
      <c r="DQ382" s="1324"/>
      <c r="DR382" s="1324"/>
      <c r="DS382" s="1324"/>
      <c r="DT382" s="1324"/>
      <c r="DU382" s="1324"/>
      <c r="DV382" s="1324"/>
      <c r="DW382" s="1324"/>
      <c r="DX382" s="1324"/>
      <c r="DY382" s="1324"/>
      <c r="DZ382" s="1352"/>
      <c r="EA382" s="1352"/>
      <c r="EB382" s="1324"/>
      <c r="EC382" s="1324"/>
      <c r="ED382" s="1324"/>
      <c r="EE382" s="1324"/>
      <c r="EF382" s="1324"/>
      <c r="EG382" s="1324"/>
      <c r="EH382" s="1324"/>
      <c r="EI382" s="1324"/>
      <c r="EJ382" s="1324"/>
      <c r="EK382" s="1352"/>
      <c r="EL382" s="1324"/>
      <c r="EM382" s="1324"/>
      <c r="EN382" s="1324"/>
      <c r="EO382" s="1324"/>
      <c r="EP382" s="1324"/>
      <c r="EQ382" s="1324"/>
      <c r="ER382" s="1352"/>
      <c r="ES382" s="1324"/>
      <c r="ET382" s="1324"/>
      <c r="EU382" s="1324"/>
      <c r="EV382" s="1324"/>
      <c r="EW382" s="1324"/>
      <c r="EX382" s="1324"/>
      <c r="EY382" s="1324"/>
      <c r="EZ382" s="1352"/>
      <c r="FA382" s="1324"/>
      <c r="FB382" s="1324"/>
      <c r="FC382" s="1324"/>
      <c r="FD382" s="1324"/>
      <c r="FE382" s="1324"/>
      <c r="FF382" s="1324"/>
      <c r="FG382" s="1324"/>
      <c r="FH382" s="1324"/>
      <c r="FI382" s="1352"/>
      <c r="FJ382" s="1324"/>
      <c r="FK382" s="1324"/>
      <c r="FL382" s="1324"/>
      <c r="FM382" s="1324"/>
      <c r="FN382" s="1324"/>
      <c r="FO382" s="1324"/>
      <c r="FP382" s="1324"/>
      <c r="FQ382" s="1324"/>
      <c r="FR382" s="1324"/>
      <c r="FS382" s="1352"/>
      <c r="FT382" s="1324"/>
      <c r="FU382" s="1324"/>
      <c r="FV382" s="1324"/>
      <c r="FW382" s="1352"/>
      <c r="FX382" s="1324"/>
      <c r="FY382" s="1324"/>
      <c r="FZ382" s="1324"/>
      <c r="GA382" s="1324"/>
      <c r="GB382" s="1324"/>
      <c r="GC382" s="1324" t="s">
        <v>1349</v>
      </c>
      <c r="GD382" s="1324" t="s">
        <v>1349</v>
      </c>
      <c r="GE382" s="1324" t="s">
        <v>1349</v>
      </c>
      <c r="GF382" s="1324" t="s">
        <v>1349</v>
      </c>
      <c r="GG382" s="1324" t="s">
        <v>1349</v>
      </c>
      <c r="GH382" s="1324" t="s">
        <v>1349</v>
      </c>
      <c r="GI382" s="1324" t="s">
        <v>1349</v>
      </c>
      <c r="GJ382" s="1324" t="s">
        <v>1349</v>
      </c>
      <c r="GK382" s="1324" t="s">
        <v>1349</v>
      </c>
      <c r="GL382" s="1324" t="s">
        <v>1349</v>
      </c>
      <c r="GM382" s="1324" t="s">
        <v>1349</v>
      </c>
      <c r="GN382" s="1324" t="s">
        <v>1349</v>
      </c>
      <c r="GO382" s="1324" t="s">
        <v>1349</v>
      </c>
      <c r="GP382" s="1324" t="s">
        <v>1349</v>
      </c>
      <c r="GQ382" s="1324" t="s">
        <v>1349</v>
      </c>
      <c r="GR382" s="1324" t="s">
        <v>1349</v>
      </c>
      <c r="GS382" s="1324"/>
      <c r="GT382" s="1324"/>
      <c r="GU382" s="1324"/>
      <c r="GV382" s="1324"/>
      <c r="GW382" s="1324"/>
      <c r="GX382" s="1324"/>
      <c r="GY382" s="1324"/>
      <c r="GZ382" s="1324"/>
      <c r="HA382" s="1324"/>
      <c r="HB382" s="1324"/>
      <c r="HC382" s="1324"/>
      <c r="HD382" s="1324"/>
      <c r="HE382" s="1324"/>
      <c r="HF382" s="1324"/>
      <c r="HG382" s="1324"/>
      <c r="HH382" s="1324"/>
      <c r="HI382" s="1324"/>
      <c r="HJ382" s="1324"/>
      <c r="HK382" s="1324"/>
      <c r="HL382" s="1324"/>
      <c r="HM382" s="1324"/>
      <c r="HN382" s="1324"/>
      <c r="HO382" s="1324"/>
      <c r="HP382" s="1324"/>
      <c r="HQ382" s="1324"/>
      <c r="HR382" s="1324"/>
      <c r="HS382" s="1324"/>
      <c r="HT382" s="1324"/>
      <c r="HU382" s="1324"/>
      <c r="HV382" s="1324"/>
      <c r="HW382" s="1324"/>
      <c r="HX382" s="1324"/>
      <c r="HY382" s="1324"/>
      <c r="HZ382" s="1324"/>
      <c r="IA382" s="1324"/>
      <c r="IB382" s="1324"/>
      <c r="IC382" s="1324"/>
      <c r="ID382" s="1324"/>
      <c r="IE382" s="1324"/>
      <c r="IF382" s="1324"/>
      <c r="IG382" s="1324"/>
      <c r="IH382" s="1324"/>
      <c r="II382" s="1324"/>
      <c r="IJ382" s="1324"/>
      <c r="IK382" s="1324"/>
      <c r="IL382" s="1324"/>
      <c r="IM382" s="1324"/>
      <c r="IN382" s="1370"/>
    </row>
    <row r="383" spans="1:248" ht="12.75" customHeight="1" x14ac:dyDescent="0.2">
      <c r="A383" s="1138"/>
      <c r="B383" s="1138"/>
      <c r="BC383" s="1136"/>
      <c r="BD383" s="1137"/>
      <c r="CF383" s="1142"/>
      <c r="CG383" s="1138"/>
      <c r="CH383" s="1138"/>
      <c r="DS383" s="1138"/>
      <c r="DT383" s="1138"/>
      <c r="DU383" s="1138"/>
      <c r="DZ383" s="1140"/>
      <c r="EA383" s="1140"/>
      <c r="ED383" s="1138"/>
      <c r="EE383" s="1138"/>
      <c r="EL383" s="1138"/>
      <c r="ES383" s="1138"/>
      <c r="FA383" s="1138"/>
      <c r="FB383" s="1138"/>
      <c r="FJ383" s="1138"/>
      <c r="FK383" s="1138"/>
      <c r="FL383" s="1138"/>
      <c r="FT383" s="1138"/>
      <c r="FU383" s="1138"/>
      <c r="FV383" s="1138"/>
      <c r="FW383" s="1140"/>
      <c r="GA383" s="1138"/>
      <c r="GC383" s="1138" t="s">
        <v>1349</v>
      </c>
      <c r="GD383" s="1138" t="s">
        <v>1349</v>
      </c>
      <c r="GE383" s="1138" t="s">
        <v>1349</v>
      </c>
      <c r="GF383" s="1138" t="s">
        <v>1349</v>
      </c>
      <c r="GG383" s="1138" t="s">
        <v>1349</v>
      </c>
      <c r="GH383" s="1138" t="s">
        <v>1349</v>
      </c>
      <c r="GI383" s="1138" t="s">
        <v>1349</v>
      </c>
      <c r="GJ383" s="1138" t="s">
        <v>1349</v>
      </c>
      <c r="GK383" s="1138" t="s">
        <v>1349</v>
      </c>
      <c r="GL383" s="1138" t="s">
        <v>1349</v>
      </c>
      <c r="GM383" s="1138" t="s">
        <v>1349</v>
      </c>
      <c r="GN383" s="1138" t="s">
        <v>1349</v>
      </c>
      <c r="GO383" s="1138" t="s">
        <v>1349</v>
      </c>
      <c r="GP383" s="1138" t="s">
        <v>1349</v>
      </c>
      <c r="GQ383" s="1138" t="s">
        <v>1349</v>
      </c>
      <c r="GR383" s="1138" t="s">
        <v>1349</v>
      </c>
    </row>
    <row r="384" spans="1:248" ht="12.75" customHeight="1" x14ac:dyDescent="0.2">
      <c r="A384" s="1138"/>
      <c r="B384" s="1138"/>
      <c r="BC384" s="1136"/>
      <c r="BD384" s="1137"/>
      <c r="CF384" s="1142"/>
      <c r="CG384" s="1138"/>
      <c r="CH384" s="1138"/>
      <c r="DS384" s="1138"/>
      <c r="DT384" s="1138"/>
      <c r="DU384" s="1138"/>
      <c r="DZ384" s="1140"/>
      <c r="EA384" s="1140"/>
      <c r="ED384" s="1138"/>
      <c r="EE384" s="1138"/>
      <c r="EL384" s="1138"/>
      <c r="ES384" s="1138"/>
      <c r="FA384" s="1138"/>
      <c r="FB384" s="1138"/>
      <c r="FJ384" s="1138"/>
      <c r="FK384" s="1138"/>
      <c r="FL384" s="1138"/>
      <c r="FT384" s="1138"/>
      <c r="FU384" s="1138"/>
      <c r="FV384" s="1138"/>
      <c r="FW384" s="1140"/>
      <c r="GA384" s="1138"/>
      <c r="GC384" s="1138" t="s">
        <v>1349</v>
      </c>
      <c r="GD384" s="1138" t="s">
        <v>1349</v>
      </c>
      <c r="GE384" s="1138" t="s">
        <v>1349</v>
      </c>
      <c r="GF384" s="1138" t="s">
        <v>1349</v>
      </c>
      <c r="GG384" s="1138" t="s">
        <v>1349</v>
      </c>
      <c r="GH384" s="1138" t="s">
        <v>1349</v>
      </c>
      <c r="GI384" s="1138" t="s">
        <v>1349</v>
      </c>
      <c r="GJ384" s="1138" t="s">
        <v>1349</v>
      </c>
      <c r="GK384" s="1138" t="s">
        <v>1349</v>
      </c>
      <c r="GL384" s="1138" t="s">
        <v>1349</v>
      </c>
      <c r="GM384" s="1138" t="s">
        <v>1349</v>
      </c>
      <c r="GN384" s="1138" t="s">
        <v>1349</v>
      </c>
      <c r="GO384" s="1138" t="s">
        <v>1349</v>
      </c>
      <c r="GP384" s="1138" t="s">
        <v>1349</v>
      </c>
      <c r="GQ384" s="1138" t="s">
        <v>1349</v>
      </c>
      <c r="GR384" s="1138" t="s">
        <v>1349</v>
      </c>
    </row>
    <row r="385" spans="1:200" ht="12.75" customHeight="1" x14ac:dyDescent="0.2">
      <c r="A385" s="1138"/>
      <c r="B385" s="1138"/>
      <c r="BC385" s="1136"/>
      <c r="BD385" s="1137"/>
      <c r="CF385" s="1142"/>
      <c r="CG385" s="1138"/>
      <c r="CH385" s="1138"/>
      <c r="DS385" s="1138"/>
      <c r="DT385" s="1138"/>
      <c r="DU385" s="1138"/>
      <c r="DZ385" s="1140"/>
      <c r="EA385" s="1140"/>
      <c r="ED385" s="1138"/>
      <c r="EE385" s="1138"/>
      <c r="EL385" s="1138"/>
      <c r="ES385" s="1138"/>
      <c r="FA385" s="1138"/>
      <c r="FB385" s="1138"/>
      <c r="FJ385" s="1138"/>
      <c r="FK385" s="1138"/>
      <c r="FL385" s="1138"/>
      <c r="FT385" s="1138"/>
      <c r="FU385" s="1138"/>
      <c r="FV385" s="1138"/>
      <c r="FW385" s="1140"/>
      <c r="GA385" s="1138"/>
      <c r="GC385" s="1138" t="s">
        <v>1349</v>
      </c>
      <c r="GD385" s="1138" t="s">
        <v>1349</v>
      </c>
      <c r="GE385" s="1138" t="s">
        <v>1349</v>
      </c>
      <c r="GF385" s="1138" t="s">
        <v>1349</v>
      </c>
      <c r="GG385" s="1138" t="s">
        <v>1349</v>
      </c>
      <c r="GH385" s="1138" t="s">
        <v>1349</v>
      </c>
      <c r="GI385" s="1138" t="s">
        <v>1349</v>
      </c>
      <c r="GJ385" s="1138" t="s">
        <v>1349</v>
      </c>
      <c r="GK385" s="1138" t="s">
        <v>1349</v>
      </c>
      <c r="GL385" s="1138" t="s">
        <v>1349</v>
      </c>
      <c r="GM385" s="1138" t="s">
        <v>1349</v>
      </c>
      <c r="GN385" s="1138" t="s">
        <v>1349</v>
      </c>
      <c r="GO385" s="1138" t="s">
        <v>1349</v>
      </c>
      <c r="GP385" s="1138" t="s">
        <v>1349</v>
      </c>
      <c r="GQ385" s="1138" t="s">
        <v>1349</v>
      </c>
      <c r="GR385" s="1138" t="s">
        <v>1349</v>
      </c>
    </row>
    <row r="386" spans="1:200" ht="12.75" customHeight="1" x14ac:dyDescent="0.2">
      <c r="A386" s="1138"/>
      <c r="B386" s="1138"/>
      <c r="BC386" s="1136"/>
      <c r="BD386" s="1137"/>
      <c r="CF386" s="1142"/>
      <c r="CG386" s="1138"/>
      <c r="CH386" s="1138"/>
      <c r="DS386" s="1138"/>
      <c r="DT386" s="1138"/>
      <c r="DU386" s="1138"/>
      <c r="DZ386" s="1140"/>
      <c r="EA386" s="1140"/>
      <c r="ED386" s="1138"/>
      <c r="EE386" s="1138"/>
      <c r="EL386" s="1138"/>
      <c r="ES386" s="1138"/>
      <c r="FA386" s="1138"/>
      <c r="FB386" s="1138"/>
      <c r="FJ386" s="1138"/>
      <c r="FK386" s="1138"/>
      <c r="FL386" s="1138"/>
      <c r="FT386" s="1138"/>
      <c r="FU386" s="1138"/>
      <c r="FV386" s="1138"/>
      <c r="FW386" s="1140"/>
      <c r="GA386" s="1138"/>
      <c r="GC386" s="1138" t="s">
        <v>1349</v>
      </c>
      <c r="GD386" s="1138" t="s">
        <v>1349</v>
      </c>
      <c r="GE386" s="1138" t="s">
        <v>1349</v>
      </c>
      <c r="GF386" s="1138" t="s">
        <v>1349</v>
      </c>
      <c r="GG386" s="1138" t="s">
        <v>1349</v>
      </c>
      <c r="GH386" s="1138" t="s">
        <v>1349</v>
      </c>
      <c r="GI386" s="1138" t="s">
        <v>1349</v>
      </c>
      <c r="GJ386" s="1138" t="s">
        <v>1349</v>
      </c>
      <c r="GK386" s="1138" t="s">
        <v>1349</v>
      </c>
      <c r="GL386" s="1138" t="s">
        <v>1349</v>
      </c>
      <c r="GM386" s="1138" t="s">
        <v>1349</v>
      </c>
      <c r="GN386" s="1138" t="s">
        <v>1349</v>
      </c>
      <c r="GO386" s="1138" t="s">
        <v>1349</v>
      </c>
      <c r="GP386" s="1138" t="s">
        <v>1349</v>
      </c>
      <c r="GQ386" s="1138" t="s">
        <v>1349</v>
      </c>
      <c r="GR386" s="1138" t="s">
        <v>1349</v>
      </c>
    </row>
    <row r="387" spans="1:200" ht="12.75" customHeight="1" x14ac:dyDescent="0.2">
      <c r="A387" s="1138"/>
      <c r="B387" s="1138"/>
      <c r="BC387" s="1136"/>
      <c r="BD387" s="1137"/>
      <c r="CF387" s="1142"/>
      <c r="CG387" s="1138"/>
      <c r="CH387" s="1138"/>
      <c r="DS387" s="1138"/>
      <c r="DT387" s="1138"/>
      <c r="DU387" s="1138"/>
      <c r="DZ387" s="1140"/>
      <c r="EA387" s="1140"/>
      <c r="ED387" s="1138"/>
      <c r="EE387" s="1138"/>
      <c r="EL387" s="1138"/>
      <c r="ES387" s="1138"/>
      <c r="FA387" s="1138"/>
      <c r="FB387" s="1138"/>
      <c r="FJ387" s="1138"/>
      <c r="FK387" s="1138"/>
      <c r="FL387" s="1138"/>
      <c r="FT387" s="1138"/>
      <c r="FU387" s="1138"/>
      <c r="FV387" s="1138"/>
      <c r="FW387" s="1140"/>
      <c r="GA387" s="1138"/>
      <c r="GC387" s="1138" t="s">
        <v>1349</v>
      </c>
      <c r="GD387" s="1138" t="s">
        <v>1349</v>
      </c>
      <c r="GE387" s="1138" t="s">
        <v>1349</v>
      </c>
      <c r="GF387" s="1138" t="s">
        <v>1349</v>
      </c>
      <c r="GG387" s="1138" t="s">
        <v>1349</v>
      </c>
      <c r="GH387" s="1138" t="s">
        <v>1349</v>
      </c>
      <c r="GI387" s="1138" t="s">
        <v>1349</v>
      </c>
      <c r="GJ387" s="1138" t="s">
        <v>1349</v>
      </c>
      <c r="GK387" s="1138" t="s">
        <v>1349</v>
      </c>
      <c r="GL387" s="1138" t="s">
        <v>1349</v>
      </c>
      <c r="GM387" s="1138" t="s">
        <v>1349</v>
      </c>
      <c r="GN387" s="1138" t="s">
        <v>1349</v>
      </c>
      <c r="GO387" s="1138" t="s">
        <v>1349</v>
      </c>
      <c r="GP387" s="1138" t="s">
        <v>1349</v>
      </c>
      <c r="GQ387" s="1138" t="s">
        <v>1349</v>
      </c>
      <c r="GR387" s="1138" t="s">
        <v>1349</v>
      </c>
    </row>
    <row r="388" spans="1:200" ht="12.75" customHeight="1" x14ac:dyDescent="0.2">
      <c r="A388" s="1138"/>
      <c r="B388" s="1138"/>
      <c r="BC388" s="1136"/>
      <c r="BD388" s="1137"/>
      <c r="CF388" s="1142"/>
      <c r="CG388" s="1138"/>
      <c r="CH388" s="1138"/>
      <c r="DS388" s="1138"/>
      <c r="DT388" s="1138"/>
      <c r="DU388" s="1138"/>
      <c r="DZ388" s="1140"/>
      <c r="EA388" s="1140"/>
      <c r="ED388" s="1138"/>
      <c r="EE388" s="1138"/>
      <c r="EL388" s="1138"/>
      <c r="ES388" s="1138"/>
      <c r="FA388" s="1138"/>
      <c r="FB388" s="1138"/>
      <c r="FJ388" s="1138"/>
      <c r="FK388" s="1138"/>
      <c r="FL388" s="1138"/>
      <c r="FT388" s="1138"/>
      <c r="FU388" s="1138"/>
      <c r="FV388" s="1138"/>
      <c r="FW388" s="1140"/>
      <c r="GA388" s="1138"/>
      <c r="GC388" s="1138" t="s">
        <v>1349</v>
      </c>
      <c r="GD388" s="1138" t="s">
        <v>1349</v>
      </c>
      <c r="GE388" s="1138" t="s">
        <v>1349</v>
      </c>
      <c r="GF388" s="1138" t="s">
        <v>1349</v>
      </c>
      <c r="GG388" s="1138" t="s">
        <v>1349</v>
      </c>
      <c r="GH388" s="1138" t="s">
        <v>1349</v>
      </c>
      <c r="GI388" s="1138" t="s">
        <v>1349</v>
      </c>
      <c r="GJ388" s="1138" t="s">
        <v>1349</v>
      </c>
      <c r="GK388" s="1138" t="s">
        <v>1349</v>
      </c>
      <c r="GL388" s="1138" t="s">
        <v>1349</v>
      </c>
      <c r="GM388" s="1138" t="s">
        <v>1349</v>
      </c>
      <c r="GN388" s="1138" t="s">
        <v>1349</v>
      </c>
      <c r="GO388" s="1138" t="s">
        <v>1349</v>
      </c>
      <c r="GP388" s="1138" t="s">
        <v>1349</v>
      </c>
      <c r="GQ388" s="1138" t="s">
        <v>1349</v>
      </c>
      <c r="GR388" s="1138" t="s">
        <v>1349</v>
      </c>
    </row>
    <row r="389" spans="1:200" x14ac:dyDescent="0.2">
      <c r="A389" s="1138"/>
      <c r="B389" s="1138"/>
      <c r="BC389" s="1136"/>
      <c r="BD389" s="1137"/>
      <c r="CF389" s="1142"/>
      <c r="CG389" s="1138"/>
      <c r="CH389" s="1138"/>
      <c r="DS389" s="1138"/>
      <c r="DT389" s="1138"/>
      <c r="DU389" s="1138"/>
      <c r="DZ389" s="1140"/>
      <c r="EA389" s="1140"/>
      <c r="ED389" s="1138"/>
      <c r="EE389" s="1138"/>
      <c r="EL389" s="1138"/>
      <c r="ES389" s="1138"/>
      <c r="FA389" s="1138"/>
      <c r="FB389" s="1138"/>
      <c r="FJ389" s="1138"/>
      <c r="FK389" s="1138"/>
      <c r="FL389" s="1138"/>
      <c r="FT389" s="1138"/>
      <c r="FU389" s="1138"/>
      <c r="FV389" s="1138"/>
      <c r="FW389" s="1140"/>
      <c r="GA389" s="1138"/>
      <c r="GC389" s="1138" t="s">
        <v>1349</v>
      </c>
      <c r="GD389" s="1138" t="s">
        <v>1349</v>
      </c>
      <c r="GE389" s="1138" t="s">
        <v>1349</v>
      </c>
      <c r="GF389" s="1138" t="s">
        <v>1349</v>
      </c>
      <c r="GG389" s="1138" t="s">
        <v>1349</v>
      </c>
      <c r="GH389" s="1138" t="s">
        <v>1349</v>
      </c>
      <c r="GI389" s="1138" t="s">
        <v>1349</v>
      </c>
      <c r="GJ389" s="1138" t="s">
        <v>1349</v>
      </c>
      <c r="GK389" s="1138" t="s">
        <v>1349</v>
      </c>
      <c r="GL389" s="1138" t="s">
        <v>1349</v>
      </c>
      <c r="GM389" s="1138" t="s">
        <v>1349</v>
      </c>
      <c r="GN389" s="1138" t="s">
        <v>1349</v>
      </c>
      <c r="GO389" s="1138" t="s">
        <v>1349</v>
      </c>
      <c r="GP389" s="1138" t="s">
        <v>1349</v>
      </c>
      <c r="GQ389" s="1138" t="s">
        <v>1349</v>
      </c>
      <c r="GR389" s="1138" t="s">
        <v>1349</v>
      </c>
    </row>
    <row r="390" spans="1:200" x14ac:dyDescent="0.2">
      <c r="A390" s="1138"/>
      <c r="B390" s="1138"/>
      <c r="BC390" s="1136"/>
      <c r="BD390" s="1137"/>
      <c r="CF390" s="1142"/>
      <c r="CG390" s="1138"/>
      <c r="CH390" s="1138"/>
      <c r="DS390" s="1138"/>
      <c r="DT390" s="1138"/>
      <c r="DU390" s="1138"/>
      <c r="DZ390" s="1140"/>
      <c r="EA390" s="1140"/>
      <c r="ED390" s="1138"/>
      <c r="EE390" s="1138"/>
      <c r="EL390" s="1138"/>
      <c r="ES390" s="1138"/>
      <c r="FA390" s="1138"/>
      <c r="FB390" s="1138"/>
      <c r="FJ390" s="1138"/>
      <c r="FK390" s="1138"/>
      <c r="FL390" s="1138"/>
      <c r="FT390" s="1138"/>
      <c r="FU390" s="1138"/>
      <c r="FV390" s="1138"/>
      <c r="FW390" s="1140"/>
      <c r="GA390" s="1138"/>
      <c r="GC390" s="1138" t="s">
        <v>1349</v>
      </c>
      <c r="GD390" s="1138" t="s">
        <v>1349</v>
      </c>
      <c r="GE390" s="1138" t="s">
        <v>1349</v>
      </c>
      <c r="GF390" s="1138" t="s">
        <v>1349</v>
      </c>
      <c r="GG390" s="1138" t="s">
        <v>1349</v>
      </c>
      <c r="GH390" s="1138" t="s">
        <v>1349</v>
      </c>
      <c r="GI390" s="1138" t="s">
        <v>1349</v>
      </c>
      <c r="GJ390" s="1138" t="s">
        <v>1349</v>
      </c>
      <c r="GK390" s="1138" t="s">
        <v>1349</v>
      </c>
      <c r="GL390" s="1138" t="s">
        <v>1349</v>
      </c>
      <c r="GM390" s="1138" t="s">
        <v>1349</v>
      </c>
      <c r="GN390" s="1138" t="s">
        <v>1349</v>
      </c>
      <c r="GO390" s="1138" t="s">
        <v>1349</v>
      </c>
      <c r="GP390" s="1138" t="s">
        <v>1349</v>
      </c>
      <c r="GQ390" s="1138" t="s">
        <v>1349</v>
      </c>
      <c r="GR390" s="1138" t="s">
        <v>1349</v>
      </c>
    </row>
    <row r="391" spans="1:200" x14ac:dyDescent="0.2">
      <c r="A391" s="1138"/>
      <c r="B391" s="1138"/>
      <c r="BC391" s="1136"/>
      <c r="BD391" s="1137"/>
      <c r="CF391" s="1142"/>
      <c r="CG391" s="1138"/>
      <c r="CH391" s="1138"/>
      <c r="DS391" s="1138"/>
      <c r="DT391" s="1138"/>
      <c r="DU391" s="1138"/>
      <c r="DZ391" s="1140"/>
      <c r="EA391" s="1140"/>
      <c r="ED391" s="1138"/>
      <c r="EE391" s="1138"/>
      <c r="EL391" s="1138"/>
      <c r="ES391" s="1138"/>
      <c r="FA391" s="1138"/>
      <c r="FB391" s="1138"/>
      <c r="FJ391" s="1138"/>
      <c r="FK391" s="1138"/>
      <c r="FL391" s="1138"/>
      <c r="FT391" s="1138"/>
      <c r="FU391" s="1138"/>
      <c r="FV391" s="1138"/>
      <c r="FW391" s="1140"/>
      <c r="GA391" s="1138"/>
      <c r="GC391" s="1138" t="s">
        <v>1349</v>
      </c>
      <c r="GD391" s="1138" t="s">
        <v>1349</v>
      </c>
      <c r="GE391" s="1138" t="s">
        <v>1349</v>
      </c>
      <c r="GF391" s="1138" t="s">
        <v>1349</v>
      </c>
      <c r="GG391" s="1138" t="s">
        <v>1349</v>
      </c>
      <c r="GH391" s="1138" t="s">
        <v>1349</v>
      </c>
      <c r="GI391" s="1138" t="s">
        <v>1349</v>
      </c>
      <c r="GJ391" s="1138" t="s">
        <v>1349</v>
      </c>
      <c r="GK391" s="1138" t="s">
        <v>1349</v>
      </c>
      <c r="GL391" s="1138" t="s">
        <v>1349</v>
      </c>
      <c r="GM391" s="1138" t="s">
        <v>1349</v>
      </c>
      <c r="GN391" s="1138" t="s">
        <v>1349</v>
      </c>
      <c r="GO391" s="1138" t="s">
        <v>1349</v>
      </c>
      <c r="GP391" s="1138" t="s">
        <v>1349</v>
      </c>
      <c r="GQ391" s="1138" t="s">
        <v>1349</v>
      </c>
      <c r="GR391" s="1138" t="s">
        <v>1349</v>
      </c>
    </row>
    <row r="392" spans="1:200" x14ac:dyDescent="0.2">
      <c r="A392" s="1138"/>
      <c r="B392" s="1138"/>
      <c r="BC392" s="1136"/>
      <c r="BD392" s="1137"/>
      <c r="CF392" s="1142"/>
      <c r="CG392" s="1138"/>
      <c r="CH392" s="1138"/>
      <c r="DS392" s="1138"/>
      <c r="DT392" s="1138"/>
      <c r="DU392" s="1138"/>
      <c r="DZ392" s="1140"/>
      <c r="EA392" s="1140"/>
      <c r="ED392" s="1138"/>
      <c r="EE392" s="1138"/>
      <c r="EL392" s="1138"/>
      <c r="ES392" s="1138"/>
      <c r="FA392" s="1138"/>
      <c r="FB392" s="1138"/>
      <c r="FJ392" s="1138"/>
      <c r="FK392" s="1138"/>
      <c r="FL392" s="1138"/>
      <c r="FT392" s="1138"/>
      <c r="FU392" s="1138"/>
      <c r="FV392" s="1138"/>
      <c r="FW392" s="1140"/>
      <c r="GA392" s="1138"/>
      <c r="GC392" s="1138" t="s">
        <v>1349</v>
      </c>
      <c r="GD392" s="1138" t="s">
        <v>1349</v>
      </c>
      <c r="GE392" s="1138" t="s">
        <v>1349</v>
      </c>
      <c r="GF392" s="1138" t="s">
        <v>1349</v>
      </c>
      <c r="GG392" s="1138" t="s">
        <v>1349</v>
      </c>
      <c r="GH392" s="1138" t="s">
        <v>1349</v>
      </c>
      <c r="GI392" s="1138" t="s">
        <v>1349</v>
      </c>
      <c r="GJ392" s="1138" t="s">
        <v>1349</v>
      </c>
      <c r="GK392" s="1138" t="s">
        <v>1349</v>
      </c>
      <c r="GL392" s="1138" t="s">
        <v>1349</v>
      </c>
      <c r="GM392" s="1138" t="s">
        <v>1349</v>
      </c>
      <c r="GN392" s="1138" t="s">
        <v>1349</v>
      </c>
      <c r="GO392" s="1138" t="s">
        <v>1349</v>
      </c>
      <c r="GP392" s="1138" t="s">
        <v>1349</v>
      </c>
      <c r="GQ392" s="1138" t="s">
        <v>1349</v>
      </c>
      <c r="GR392" s="1138" t="s">
        <v>1349</v>
      </c>
    </row>
    <row r="393" spans="1:200" x14ac:dyDescent="0.2">
      <c r="A393" s="1138"/>
      <c r="B393" s="1138"/>
      <c r="BC393" s="1136"/>
      <c r="BD393" s="1137"/>
      <c r="CF393" s="1142"/>
      <c r="CG393" s="1138"/>
      <c r="CH393" s="1138"/>
      <c r="CJ393" s="1138"/>
      <c r="DS393" s="1138"/>
      <c r="DT393" s="1138"/>
      <c r="DU393" s="1138"/>
      <c r="DZ393" s="1140"/>
      <c r="EA393" s="1140"/>
      <c r="ED393" s="1138"/>
      <c r="EE393" s="1138"/>
      <c r="EL393" s="1138"/>
      <c r="ES393" s="1138"/>
      <c r="FA393" s="1138"/>
      <c r="FB393" s="1138"/>
      <c r="FJ393" s="1138"/>
      <c r="FK393" s="1138"/>
      <c r="FL393" s="1138"/>
      <c r="FT393" s="1138"/>
      <c r="FU393" s="1138"/>
      <c r="FV393" s="1138"/>
      <c r="FW393" s="1140"/>
      <c r="GA393" s="1138"/>
      <c r="GC393" s="1138" t="s">
        <v>1349</v>
      </c>
      <c r="GD393" s="1138" t="s">
        <v>1349</v>
      </c>
      <c r="GE393" s="1138" t="s">
        <v>1349</v>
      </c>
      <c r="GF393" s="1138" t="s">
        <v>1349</v>
      </c>
      <c r="GG393" s="1138" t="s">
        <v>1349</v>
      </c>
      <c r="GH393" s="1138" t="s">
        <v>1349</v>
      </c>
      <c r="GI393" s="1138" t="s">
        <v>1349</v>
      </c>
      <c r="GJ393" s="1138" t="s">
        <v>1349</v>
      </c>
      <c r="GK393" s="1138" t="s">
        <v>1349</v>
      </c>
      <c r="GL393" s="1138" t="s">
        <v>1349</v>
      </c>
      <c r="GM393" s="1138" t="s">
        <v>1349</v>
      </c>
      <c r="GN393" s="1138" t="s">
        <v>1349</v>
      </c>
      <c r="GO393" s="1138" t="s">
        <v>1349</v>
      </c>
      <c r="GP393" s="1138" t="s">
        <v>1349</v>
      </c>
      <c r="GQ393" s="1138" t="s">
        <v>1349</v>
      </c>
      <c r="GR393" s="1138" t="s">
        <v>1349</v>
      </c>
    </row>
    <row r="394" spans="1:200" x14ac:dyDescent="0.2">
      <c r="A394" s="1138"/>
      <c r="B394" s="1138"/>
      <c r="BC394" s="1136"/>
      <c r="BD394" s="1137"/>
      <c r="CF394" s="1142"/>
      <c r="CG394" s="1138"/>
      <c r="CH394" s="1138"/>
      <c r="CJ394" s="1138"/>
      <c r="DS394" s="1138"/>
      <c r="DT394" s="1138"/>
      <c r="DU394" s="1138"/>
      <c r="DZ394" s="1140"/>
      <c r="EA394" s="1140"/>
      <c r="ED394" s="1138"/>
      <c r="EE394" s="1138"/>
      <c r="EL394" s="1138"/>
      <c r="ES394" s="1138"/>
      <c r="FA394" s="1138"/>
      <c r="FB394" s="1138"/>
      <c r="FJ394" s="1138"/>
      <c r="FK394" s="1138"/>
      <c r="FL394" s="1138"/>
      <c r="FT394" s="1138"/>
      <c r="FU394" s="1138"/>
      <c r="FV394" s="1138"/>
      <c r="FW394" s="1140"/>
      <c r="GA394" s="1138"/>
      <c r="GC394" s="1138" t="s">
        <v>1349</v>
      </c>
      <c r="GD394" s="1138" t="s">
        <v>1349</v>
      </c>
      <c r="GE394" s="1138" t="s">
        <v>1349</v>
      </c>
      <c r="GF394" s="1138" t="s">
        <v>1349</v>
      </c>
      <c r="GG394" s="1138" t="s">
        <v>1349</v>
      </c>
      <c r="GH394" s="1138" t="s">
        <v>1349</v>
      </c>
      <c r="GI394" s="1138" t="s">
        <v>1349</v>
      </c>
      <c r="GJ394" s="1138" t="s">
        <v>1349</v>
      </c>
      <c r="GK394" s="1138" t="s">
        <v>1349</v>
      </c>
      <c r="GL394" s="1138" t="s">
        <v>1349</v>
      </c>
      <c r="GM394" s="1138" t="s">
        <v>1349</v>
      </c>
      <c r="GN394" s="1138" t="s">
        <v>1349</v>
      </c>
      <c r="GO394" s="1138" t="s">
        <v>1349</v>
      </c>
      <c r="GP394" s="1138" t="s">
        <v>1349</v>
      </c>
      <c r="GQ394" s="1138" t="s">
        <v>1349</v>
      </c>
      <c r="GR394" s="1138" t="s">
        <v>1349</v>
      </c>
    </row>
    <row r="395" spans="1:200" x14ac:dyDescent="0.2">
      <c r="A395" s="1138"/>
      <c r="B395" s="1138"/>
      <c r="BC395" s="1136"/>
      <c r="BD395" s="1137"/>
      <c r="CF395" s="1142"/>
      <c r="CG395" s="1138"/>
      <c r="CH395" s="1138"/>
      <c r="CJ395" s="1138"/>
      <c r="DS395" s="1138"/>
      <c r="DT395" s="1138"/>
      <c r="DU395" s="1138"/>
      <c r="DZ395" s="1140"/>
      <c r="EA395" s="1140"/>
      <c r="ED395" s="1138"/>
      <c r="EE395" s="1138"/>
      <c r="EL395" s="1138"/>
      <c r="ES395" s="1138"/>
      <c r="FA395" s="1138"/>
      <c r="FB395" s="1138"/>
      <c r="FJ395" s="1138"/>
      <c r="FK395" s="1138"/>
      <c r="FL395" s="1138"/>
      <c r="FT395" s="1138"/>
      <c r="FU395" s="1138"/>
      <c r="FV395" s="1138"/>
      <c r="FW395" s="1140"/>
      <c r="GA395" s="1138"/>
      <c r="GC395" s="1138" t="s">
        <v>1349</v>
      </c>
      <c r="GD395" s="1138" t="s">
        <v>1349</v>
      </c>
      <c r="GE395" s="1138" t="s">
        <v>1349</v>
      </c>
      <c r="GF395" s="1138" t="s">
        <v>1349</v>
      </c>
      <c r="GG395" s="1138" t="s">
        <v>1349</v>
      </c>
      <c r="GH395" s="1138" t="s">
        <v>1349</v>
      </c>
      <c r="GI395" s="1138" t="s">
        <v>1349</v>
      </c>
      <c r="GJ395" s="1138" t="s">
        <v>1349</v>
      </c>
      <c r="GK395" s="1138" t="s">
        <v>1349</v>
      </c>
      <c r="GL395" s="1138" t="s">
        <v>1349</v>
      </c>
      <c r="GM395" s="1138" t="s">
        <v>1349</v>
      </c>
      <c r="GN395" s="1138" t="s">
        <v>1349</v>
      </c>
      <c r="GO395" s="1138" t="s">
        <v>1349</v>
      </c>
      <c r="GP395" s="1138" t="s">
        <v>1349</v>
      </c>
      <c r="GQ395" s="1138" t="s">
        <v>1349</v>
      </c>
      <c r="GR395" s="1138" t="s">
        <v>1349</v>
      </c>
    </row>
    <row r="396" spans="1:200" x14ac:dyDescent="0.2">
      <c r="A396" s="1138"/>
      <c r="B396" s="1138"/>
      <c r="BC396" s="1136"/>
      <c r="BD396" s="1137"/>
      <c r="CF396" s="1142"/>
      <c r="CG396" s="1138"/>
      <c r="CH396" s="1138"/>
      <c r="CJ396" s="1138"/>
      <c r="DS396" s="1138"/>
      <c r="DT396" s="1138"/>
      <c r="DU396" s="1138"/>
      <c r="DZ396" s="1140"/>
      <c r="EA396" s="1140"/>
      <c r="ED396" s="1138"/>
      <c r="EE396" s="1138"/>
      <c r="EL396" s="1138"/>
      <c r="ES396" s="1138"/>
      <c r="FA396" s="1138"/>
      <c r="FB396" s="1138"/>
      <c r="FJ396" s="1138"/>
      <c r="FK396" s="1138"/>
      <c r="FL396" s="1138"/>
      <c r="FT396" s="1138"/>
      <c r="FU396" s="1138"/>
      <c r="FV396" s="1138"/>
      <c r="FW396" s="1140"/>
      <c r="GA396" s="1138"/>
      <c r="GC396" s="1138" t="s">
        <v>1349</v>
      </c>
      <c r="GD396" s="1138" t="s">
        <v>1349</v>
      </c>
      <c r="GE396" s="1138" t="s">
        <v>1349</v>
      </c>
      <c r="GF396" s="1138" t="s">
        <v>1349</v>
      </c>
      <c r="GG396" s="1138" t="s">
        <v>1349</v>
      </c>
      <c r="GH396" s="1138" t="s">
        <v>1349</v>
      </c>
      <c r="GI396" s="1138" t="s">
        <v>1349</v>
      </c>
      <c r="GJ396" s="1138" t="s">
        <v>1349</v>
      </c>
      <c r="GK396" s="1138" t="s">
        <v>1349</v>
      </c>
      <c r="GL396" s="1138" t="s">
        <v>1349</v>
      </c>
      <c r="GM396" s="1138" t="s">
        <v>1349</v>
      </c>
      <c r="GN396" s="1138" t="s">
        <v>1349</v>
      </c>
      <c r="GO396" s="1138" t="s">
        <v>1349</v>
      </c>
      <c r="GP396" s="1138" t="s">
        <v>1349</v>
      </c>
      <c r="GQ396" s="1138" t="s">
        <v>1349</v>
      </c>
      <c r="GR396" s="1138" t="s">
        <v>1349</v>
      </c>
    </row>
    <row r="397" spans="1:200" x14ac:dyDescent="0.2">
      <c r="A397" s="1138"/>
      <c r="B397" s="1138"/>
      <c r="BC397" s="1136"/>
      <c r="BD397" s="1137"/>
      <c r="CF397" s="1142"/>
      <c r="CG397" s="1138"/>
      <c r="CH397" s="1138"/>
      <c r="CJ397" s="1138"/>
      <c r="DS397" s="1141"/>
      <c r="DT397" s="1138"/>
      <c r="DU397" s="1138"/>
      <c r="DZ397" s="1140"/>
      <c r="EA397" s="1140"/>
      <c r="ED397" s="1138"/>
      <c r="EE397" s="1138"/>
      <c r="EJ397" s="1140"/>
      <c r="EL397" s="1138"/>
      <c r="EQ397" s="1140"/>
      <c r="ES397" s="1138"/>
      <c r="EY397" s="1140"/>
      <c r="FA397" s="1138"/>
      <c r="FB397" s="1138"/>
      <c r="FH397" s="1140"/>
      <c r="FJ397" s="1138"/>
      <c r="FK397" s="1138"/>
      <c r="FL397" s="1138"/>
      <c r="FR397" s="1140"/>
      <c r="FT397" s="1138"/>
      <c r="FU397" s="1138"/>
      <c r="FV397" s="1138"/>
      <c r="FW397" s="1140"/>
      <c r="GA397" s="1138"/>
      <c r="GC397" s="1138" t="s">
        <v>1349</v>
      </c>
      <c r="GD397" s="1138" t="s">
        <v>1349</v>
      </c>
      <c r="GE397" s="1138" t="s">
        <v>1349</v>
      </c>
      <c r="GF397" s="1138" t="s">
        <v>1349</v>
      </c>
      <c r="GG397" s="1138" t="s">
        <v>1349</v>
      </c>
      <c r="GH397" s="1138" t="s">
        <v>1349</v>
      </c>
      <c r="GI397" s="1138" t="s">
        <v>1349</v>
      </c>
      <c r="GJ397" s="1138" t="s">
        <v>1349</v>
      </c>
      <c r="GK397" s="1138" t="s">
        <v>1349</v>
      </c>
      <c r="GL397" s="1138" t="s">
        <v>1349</v>
      </c>
      <c r="GM397" s="1138" t="s">
        <v>1349</v>
      </c>
      <c r="GN397" s="1138" t="s">
        <v>1349</v>
      </c>
      <c r="GO397" s="1138" t="s">
        <v>1349</v>
      </c>
      <c r="GP397" s="1138" t="s">
        <v>1349</v>
      </c>
      <c r="GQ397" s="1138" t="s">
        <v>1349</v>
      </c>
      <c r="GR397" s="1138" t="s">
        <v>1349</v>
      </c>
    </row>
    <row r="398" spans="1:200" x14ac:dyDescent="0.2">
      <c r="A398" s="1138"/>
      <c r="B398" s="1138"/>
      <c r="BC398" s="1136"/>
      <c r="BD398" s="1137"/>
      <c r="CF398" s="1142"/>
      <c r="CG398" s="1138"/>
      <c r="CH398" s="1138"/>
      <c r="CJ398" s="1138"/>
      <c r="DS398" s="1141"/>
      <c r="DT398" s="1138"/>
      <c r="DU398" s="1138"/>
      <c r="DZ398" s="1140"/>
      <c r="EA398" s="1140"/>
      <c r="ED398" s="1138"/>
      <c r="EE398" s="1138"/>
      <c r="EJ398" s="1140"/>
      <c r="EL398" s="1138"/>
      <c r="EQ398" s="1140"/>
      <c r="ES398" s="1138"/>
      <c r="EY398" s="1140"/>
      <c r="FA398" s="1138"/>
      <c r="FB398" s="1138"/>
      <c r="FH398" s="1140"/>
      <c r="FJ398" s="1138"/>
      <c r="FK398" s="1138"/>
      <c r="FL398" s="1138"/>
      <c r="FR398" s="1140"/>
      <c r="FT398" s="1138"/>
      <c r="FU398" s="1138"/>
      <c r="FV398" s="1138"/>
      <c r="FW398" s="1140"/>
      <c r="GA398" s="1138"/>
      <c r="GC398" s="1138" t="s">
        <v>1349</v>
      </c>
      <c r="GD398" s="1138" t="s">
        <v>1349</v>
      </c>
      <c r="GE398" s="1138" t="s">
        <v>1349</v>
      </c>
      <c r="GF398" s="1138" t="s">
        <v>1349</v>
      </c>
      <c r="GG398" s="1138" t="s">
        <v>1349</v>
      </c>
      <c r="GH398" s="1138" t="s">
        <v>1349</v>
      </c>
      <c r="GI398" s="1138" t="s">
        <v>1349</v>
      </c>
      <c r="GJ398" s="1138" t="s">
        <v>1349</v>
      </c>
      <c r="GK398" s="1138" t="s">
        <v>1349</v>
      </c>
      <c r="GL398" s="1138" t="s">
        <v>1349</v>
      </c>
      <c r="GM398" s="1138" t="s">
        <v>1349</v>
      </c>
      <c r="GN398" s="1138" t="s">
        <v>1349</v>
      </c>
      <c r="GO398" s="1138" t="s">
        <v>1349</v>
      </c>
      <c r="GP398" s="1138" t="s">
        <v>1349</v>
      </c>
      <c r="GQ398" s="1138" t="s">
        <v>1349</v>
      </c>
      <c r="GR398" s="1138" t="s">
        <v>1349</v>
      </c>
    </row>
    <row r="399" spans="1:200" x14ac:dyDescent="0.2">
      <c r="A399" s="1138"/>
      <c r="B399" s="1138"/>
      <c r="BC399" s="1136"/>
      <c r="BD399" s="1137"/>
      <c r="CF399" s="1142"/>
      <c r="CG399" s="1138"/>
      <c r="CH399" s="1138"/>
      <c r="CJ399" s="1138"/>
      <c r="DS399" s="1141"/>
      <c r="DT399" s="1138"/>
      <c r="DU399" s="1138"/>
      <c r="DZ399" s="1140"/>
      <c r="EA399" s="1140"/>
      <c r="ED399" s="1138"/>
      <c r="EE399" s="1138"/>
      <c r="EJ399" s="1140"/>
      <c r="EL399" s="1138"/>
      <c r="EQ399" s="1140"/>
      <c r="ES399" s="1138"/>
      <c r="EY399" s="1140"/>
      <c r="FA399" s="1138"/>
      <c r="FB399" s="1138"/>
      <c r="FH399" s="1140"/>
      <c r="FJ399" s="1138"/>
      <c r="FK399" s="1138"/>
      <c r="FL399" s="1138"/>
      <c r="FR399" s="1140"/>
      <c r="FT399" s="1138"/>
      <c r="FU399" s="1138"/>
      <c r="FV399" s="1138"/>
      <c r="FW399" s="1140"/>
      <c r="GA399" s="1138"/>
      <c r="GC399" s="1138" t="s">
        <v>1349</v>
      </c>
      <c r="GD399" s="1138" t="s">
        <v>1349</v>
      </c>
      <c r="GE399" s="1138" t="s">
        <v>1349</v>
      </c>
      <c r="GF399" s="1138" t="s">
        <v>1349</v>
      </c>
      <c r="GG399" s="1138" t="s">
        <v>1349</v>
      </c>
      <c r="GH399" s="1138" t="s">
        <v>1349</v>
      </c>
      <c r="GI399" s="1138" t="s">
        <v>1349</v>
      </c>
      <c r="GJ399" s="1138" t="s">
        <v>1349</v>
      </c>
      <c r="GK399" s="1138" t="s">
        <v>1349</v>
      </c>
      <c r="GL399" s="1138" t="s">
        <v>1349</v>
      </c>
      <c r="GM399" s="1138" t="s">
        <v>1349</v>
      </c>
      <c r="GN399" s="1138" t="s">
        <v>1349</v>
      </c>
      <c r="GO399" s="1138" t="s">
        <v>1349</v>
      </c>
      <c r="GP399" s="1138" t="s">
        <v>1349</v>
      </c>
      <c r="GQ399" s="1138" t="s">
        <v>1349</v>
      </c>
      <c r="GR399" s="1138" t="s">
        <v>1349</v>
      </c>
    </row>
    <row r="400" spans="1:200" x14ac:dyDescent="0.2">
      <c r="A400" s="1138"/>
      <c r="B400" s="1138"/>
      <c r="BC400" s="1136"/>
      <c r="BD400" s="1137"/>
      <c r="CF400" s="1142"/>
      <c r="CG400" s="1138"/>
      <c r="CH400" s="1138"/>
      <c r="CJ400" s="1138"/>
      <c r="DR400" s="1141"/>
      <c r="DS400" s="1141"/>
      <c r="DT400" s="1138"/>
      <c r="DU400" s="1138"/>
      <c r="DZ400" s="1140"/>
      <c r="EA400" s="1140"/>
      <c r="ED400" s="1138"/>
      <c r="EE400" s="1138"/>
      <c r="EI400" s="1140"/>
      <c r="EJ400" s="1140"/>
      <c r="EK400" s="1138"/>
      <c r="EL400" s="1138"/>
      <c r="EP400" s="1140"/>
      <c r="EQ400" s="1140"/>
      <c r="ER400" s="1138"/>
      <c r="ES400" s="1138"/>
      <c r="EX400" s="1140"/>
      <c r="EY400" s="1140"/>
      <c r="FA400" s="1138"/>
      <c r="FB400" s="1138"/>
      <c r="FG400" s="1140"/>
      <c r="FH400" s="1140"/>
      <c r="FJ400" s="1138"/>
      <c r="FK400" s="1138"/>
      <c r="FL400" s="1138"/>
      <c r="FQ400" s="1140"/>
      <c r="FR400" s="1140"/>
      <c r="FT400" s="1138"/>
      <c r="FU400" s="1138"/>
      <c r="FV400" s="1138"/>
      <c r="FW400" s="1140"/>
      <c r="GA400" s="1138"/>
      <c r="GC400" s="1138" t="s">
        <v>1349</v>
      </c>
      <c r="GD400" s="1138" t="s">
        <v>1349</v>
      </c>
      <c r="GE400" s="1138" t="s">
        <v>1349</v>
      </c>
      <c r="GF400" s="1138" t="s">
        <v>1349</v>
      </c>
      <c r="GG400" s="1138" t="s">
        <v>1349</v>
      </c>
      <c r="GH400" s="1138" t="s">
        <v>1349</v>
      </c>
      <c r="GI400" s="1138" t="s">
        <v>1349</v>
      </c>
      <c r="GJ400" s="1138" t="s">
        <v>1349</v>
      </c>
      <c r="GK400" s="1138" t="s">
        <v>1349</v>
      </c>
      <c r="GL400" s="1138" t="s">
        <v>1349</v>
      </c>
      <c r="GM400" s="1138" t="s">
        <v>1349</v>
      </c>
      <c r="GN400" s="1138" t="s">
        <v>1349</v>
      </c>
      <c r="GO400" s="1138" t="s">
        <v>1349</v>
      </c>
      <c r="GP400" s="1138" t="s">
        <v>1349</v>
      </c>
      <c r="GQ400" s="1138" t="s">
        <v>1349</v>
      </c>
      <c r="GR400" s="1138" t="s">
        <v>1349</v>
      </c>
    </row>
    <row r="401" spans="1:200" x14ac:dyDescent="0.2">
      <c r="A401" s="1138"/>
      <c r="B401" s="1138"/>
      <c r="BC401" s="1136"/>
      <c r="BD401" s="1137"/>
      <c r="CF401" s="1142"/>
      <c r="CG401" s="1138"/>
      <c r="CH401" s="1138"/>
      <c r="CJ401" s="1138"/>
      <c r="DP401" s="1141"/>
      <c r="DQ401" s="1141"/>
      <c r="DS401" s="1138"/>
      <c r="DT401" s="1138"/>
      <c r="DU401" s="1138"/>
      <c r="DZ401" s="1140"/>
      <c r="EA401" s="1140"/>
      <c r="ED401" s="1138"/>
      <c r="EE401" s="1138"/>
      <c r="EG401" s="1140"/>
      <c r="EH401" s="1140"/>
      <c r="EK401" s="1138"/>
      <c r="EL401" s="1138"/>
      <c r="EN401" s="1140"/>
      <c r="EO401" s="1140"/>
      <c r="ER401" s="1138"/>
      <c r="ES401" s="1138"/>
      <c r="EV401" s="1140"/>
      <c r="EW401" s="1140"/>
      <c r="EX401" s="1140"/>
      <c r="EZ401" s="1138"/>
      <c r="FA401" s="1138"/>
      <c r="FB401" s="1138"/>
      <c r="FE401" s="1140"/>
      <c r="FF401" s="1140"/>
      <c r="FG401" s="1140"/>
      <c r="FH401" s="1140"/>
      <c r="FI401" s="1138"/>
      <c r="FJ401" s="1138"/>
      <c r="FK401" s="1138"/>
      <c r="FL401" s="1138"/>
      <c r="FO401" s="1140"/>
      <c r="FP401" s="1140"/>
      <c r="FQ401" s="1140"/>
      <c r="FR401" s="1140"/>
      <c r="FS401" s="1138"/>
      <c r="FT401" s="1138"/>
      <c r="FU401" s="1138"/>
      <c r="FV401" s="1138"/>
      <c r="FW401" s="1140"/>
      <c r="GA401" s="1138"/>
      <c r="GC401" s="1138" t="s">
        <v>1349</v>
      </c>
      <c r="GD401" s="1138" t="s">
        <v>1349</v>
      </c>
      <c r="GE401" s="1138" t="s">
        <v>1349</v>
      </c>
      <c r="GF401" s="1138" t="s">
        <v>1349</v>
      </c>
      <c r="GG401" s="1138" t="s">
        <v>1349</v>
      </c>
      <c r="GH401" s="1138" t="s">
        <v>1349</v>
      </c>
      <c r="GI401" s="1138" t="s">
        <v>1349</v>
      </c>
      <c r="GJ401" s="1138" t="s">
        <v>1349</v>
      </c>
      <c r="GK401" s="1138" t="s">
        <v>1349</v>
      </c>
      <c r="GL401" s="1138" t="s">
        <v>1349</v>
      </c>
      <c r="GM401" s="1138" t="s">
        <v>1349</v>
      </c>
      <c r="GN401" s="1138" t="s">
        <v>1349</v>
      </c>
      <c r="GO401" s="1138" t="s">
        <v>1349</v>
      </c>
      <c r="GP401" s="1138" t="s">
        <v>1349</v>
      </c>
      <c r="GQ401" s="1138" t="s">
        <v>1349</v>
      </c>
      <c r="GR401" s="1138" t="s">
        <v>1349</v>
      </c>
    </row>
    <row r="402" spans="1:200" x14ac:dyDescent="0.2">
      <c r="A402" s="1138"/>
      <c r="B402" s="1138"/>
      <c r="BC402" s="1136"/>
      <c r="BD402" s="1137"/>
      <c r="CF402" s="1142"/>
      <c r="CG402" s="1138"/>
      <c r="CH402" s="1138"/>
      <c r="CJ402" s="1138"/>
      <c r="DP402" s="1141"/>
      <c r="DQ402" s="1141"/>
      <c r="DS402" s="1138"/>
      <c r="DT402" s="1138"/>
      <c r="DU402" s="1138"/>
      <c r="DZ402" s="1140"/>
      <c r="EA402" s="1140"/>
      <c r="ED402" s="1138"/>
      <c r="EE402" s="1138"/>
      <c r="EG402" s="1140"/>
      <c r="EH402" s="1140"/>
      <c r="EK402" s="1138"/>
      <c r="EL402" s="1138"/>
      <c r="EN402" s="1140"/>
      <c r="EO402" s="1140"/>
      <c r="ER402" s="1138"/>
      <c r="ES402" s="1138"/>
      <c r="EV402" s="1140"/>
      <c r="EW402" s="1140"/>
      <c r="EX402" s="1140"/>
      <c r="EZ402" s="1138"/>
      <c r="FA402" s="1138"/>
      <c r="FB402" s="1138"/>
      <c r="FE402" s="1140"/>
      <c r="FF402" s="1140"/>
      <c r="FG402" s="1140"/>
      <c r="FH402" s="1140"/>
      <c r="FI402" s="1138"/>
      <c r="FJ402" s="1138"/>
      <c r="FK402" s="1138"/>
      <c r="FL402" s="1138"/>
      <c r="FO402" s="1140"/>
      <c r="FP402" s="1140"/>
      <c r="FQ402" s="1140"/>
      <c r="FR402" s="1140"/>
      <c r="FS402" s="1138"/>
      <c r="FT402" s="1138"/>
      <c r="FU402" s="1138"/>
      <c r="FV402" s="1138"/>
      <c r="FW402" s="1140"/>
      <c r="GA402" s="1138"/>
      <c r="GC402" s="1138" t="s">
        <v>1349</v>
      </c>
      <c r="GD402" s="1138" t="s">
        <v>1349</v>
      </c>
      <c r="GE402" s="1138" t="s">
        <v>1349</v>
      </c>
      <c r="GF402" s="1138" t="s">
        <v>1349</v>
      </c>
      <c r="GG402" s="1138" t="s">
        <v>1349</v>
      </c>
      <c r="GH402" s="1138" t="s">
        <v>1349</v>
      </c>
      <c r="GI402" s="1138" t="s">
        <v>1349</v>
      </c>
      <c r="GJ402" s="1138" t="s">
        <v>1349</v>
      </c>
      <c r="GK402" s="1138" t="s">
        <v>1349</v>
      </c>
      <c r="GL402" s="1138" t="s">
        <v>1349</v>
      </c>
      <c r="GM402" s="1138" t="s">
        <v>1349</v>
      </c>
      <c r="GN402" s="1138" t="s">
        <v>1349</v>
      </c>
      <c r="GO402" s="1138" t="s">
        <v>1349</v>
      </c>
      <c r="GP402" s="1138" t="s">
        <v>1349</v>
      </c>
      <c r="GQ402" s="1138" t="s">
        <v>1349</v>
      </c>
      <c r="GR402" s="1138" t="s">
        <v>1349</v>
      </c>
    </row>
    <row r="403" spans="1:200" x14ac:dyDescent="0.2">
      <c r="A403" s="1138"/>
      <c r="B403" s="1138"/>
      <c r="BC403" s="1136"/>
      <c r="BD403" s="1137"/>
      <c r="CF403" s="1142"/>
      <c r="CG403" s="1138"/>
      <c r="CH403" s="1138"/>
      <c r="CJ403" s="1138"/>
      <c r="DP403" s="1141"/>
      <c r="DQ403" s="1141"/>
      <c r="DS403" s="1138"/>
      <c r="DT403" s="1138"/>
      <c r="DU403" s="1138"/>
      <c r="DZ403" s="1140"/>
      <c r="EA403" s="1140"/>
      <c r="ED403" s="1138"/>
      <c r="EE403" s="1138"/>
      <c r="EG403" s="1140"/>
      <c r="EH403" s="1140"/>
      <c r="EK403" s="1138"/>
      <c r="EL403" s="1138"/>
      <c r="EN403" s="1140"/>
      <c r="EO403" s="1140"/>
      <c r="ER403" s="1138"/>
      <c r="ES403" s="1138"/>
      <c r="EV403" s="1140"/>
      <c r="EW403" s="1140"/>
      <c r="EX403" s="1140"/>
      <c r="EZ403" s="1138"/>
      <c r="FA403" s="1138"/>
      <c r="FB403" s="1138"/>
      <c r="FE403" s="1140"/>
      <c r="FF403" s="1140"/>
      <c r="FG403" s="1140"/>
      <c r="FH403" s="1140"/>
      <c r="FI403" s="1138"/>
      <c r="FJ403" s="1138"/>
      <c r="FK403" s="1138"/>
      <c r="FL403" s="1138"/>
      <c r="FO403" s="1140"/>
      <c r="FP403" s="1140"/>
      <c r="FQ403" s="1140"/>
      <c r="FR403" s="1140"/>
      <c r="FS403" s="1138"/>
      <c r="FT403" s="1138"/>
      <c r="FU403" s="1138"/>
      <c r="FV403" s="1138"/>
      <c r="FW403" s="1140"/>
      <c r="GA403" s="1138"/>
      <c r="GC403" s="1138" t="s">
        <v>1349</v>
      </c>
      <c r="GD403" s="1138" t="s">
        <v>1349</v>
      </c>
      <c r="GE403" s="1138" t="s">
        <v>1349</v>
      </c>
      <c r="GF403" s="1138" t="s">
        <v>1349</v>
      </c>
      <c r="GG403" s="1138" t="s">
        <v>1349</v>
      </c>
      <c r="GH403" s="1138" t="s">
        <v>1349</v>
      </c>
      <c r="GI403" s="1138" t="s">
        <v>1349</v>
      </c>
      <c r="GJ403" s="1138" t="s">
        <v>1349</v>
      </c>
      <c r="GK403" s="1138" t="s">
        <v>1349</v>
      </c>
      <c r="GL403" s="1138" t="s">
        <v>1349</v>
      </c>
      <c r="GM403" s="1138" t="s">
        <v>1349</v>
      </c>
      <c r="GN403" s="1138" t="s">
        <v>1349</v>
      </c>
      <c r="GO403" s="1138" t="s">
        <v>1349</v>
      </c>
      <c r="GP403" s="1138" t="s">
        <v>1349</v>
      </c>
      <c r="GQ403" s="1138" t="s">
        <v>1349</v>
      </c>
      <c r="GR403" s="1138" t="s">
        <v>1349</v>
      </c>
    </row>
    <row r="404" spans="1:200" x14ac:dyDescent="0.2">
      <c r="A404" s="1138"/>
      <c r="B404" s="1138"/>
      <c r="BC404" s="1136"/>
      <c r="BD404" s="1137"/>
      <c r="CF404" s="1142"/>
      <c r="CG404" s="1138"/>
      <c r="CH404" s="1138"/>
      <c r="CJ404" s="1138"/>
      <c r="DP404" s="1141"/>
      <c r="DQ404" s="1141"/>
      <c r="DS404" s="1138"/>
      <c r="DT404" s="1138"/>
      <c r="DU404" s="1138"/>
      <c r="DZ404" s="1140"/>
      <c r="EA404" s="1140"/>
      <c r="ED404" s="1138"/>
      <c r="EE404" s="1138"/>
      <c r="EG404" s="1140"/>
      <c r="EH404" s="1140"/>
      <c r="EK404" s="1138"/>
      <c r="EL404" s="1138"/>
      <c r="EN404" s="1140"/>
      <c r="EO404" s="1140"/>
      <c r="ER404" s="1138"/>
      <c r="ES404" s="1138"/>
      <c r="EV404" s="1140"/>
      <c r="EW404" s="1140"/>
      <c r="EX404" s="1140"/>
      <c r="EZ404" s="1138"/>
      <c r="FA404" s="1138"/>
      <c r="FB404" s="1138"/>
      <c r="FE404" s="1140"/>
      <c r="FF404" s="1140"/>
      <c r="FG404" s="1140"/>
      <c r="FH404" s="1140"/>
      <c r="FI404" s="1138"/>
      <c r="FJ404" s="1138"/>
      <c r="FK404" s="1138"/>
      <c r="FL404" s="1138"/>
      <c r="FO404" s="1140"/>
      <c r="FP404" s="1140"/>
      <c r="FQ404" s="1140"/>
      <c r="FR404" s="1140"/>
      <c r="FS404" s="1138"/>
      <c r="FT404" s="1138"/>
      <c r="FU404" s="1138"/>
      <c r="FV404" s="1138"/>
      <c r="FW404" s="1140"/>
      <c r="GA404" s="1138"/>
      <c r="GC404" s="1138" t="s">
        <v>1349</v>
      </c>
      <c r="GD404" s="1138" t="s">
        <v>1349</v>
      </c>
      <c r="GE404" s="1138" t="s">
        <v>1349</v>
      </c>
      <c r="GF404" s="1138" t="s">
        <v>1349</v>
      </c>
      <c r="GG404" s="1138" t="s">
        <v>1349</v>
      </c>
      <c r="GH404" s="1138" t="s">
        <v>1349</v>
      </c>
      <c r="GI404" s="1138" t="s">
        <v>1349</v>
      </c>
      <c r="GJ404" s="1138" t="s">
        <v>1349</v>
      </c>
      <c r="GK404" s="1138" t="s">
        <v>1349</v>
      </c>
      <c r="GL404" s="1138" t="s">
        <v>1349</v>
      </c>
      <c r="GM404" s="1138" t="s">
        <v>1349</v>
      </c>
      <c r="GN404" s="1138" t="s">
        <v>1349</v>
      </c>
      <c r="GO404" s="1138" t="s">
        <v>1349</v>
      </c>
      <c r="GP404" s="1138" t="s">
        <v>1349</v>
      </c>
      <c r="GQ404" s="1138" t="s">
        <v>1349</v>
      </c>
      <c r="GR404" s="1138" t="s">
        <v>1349</v>
      </c>
    </row>
    <row r="405" spans="1:200" x14ac:dyDescent="0.2">
      <c r="A405" s="1138"/>
      <c r="B405" s="1138"/>
      <c r="BC405" s="1136"/>
      <c r="BD405" s="1137"/>
      <c r="CF405" s="1142"/>
      <c r="CG405" s="1138"/>
      <c r="CH405" s="1138"/>
      <c r="CJ405" s="1138"/>
      <c r="DP405" s="1141"/>
      <c r="DQ405" s="1141"/>
      <c r="DS405" s="1138"/>
      <c r="DT405" s="1138"/>
      <c r="DU405" s="1138"/>
      <c r="DZ405" s="1140"/>
      <c r="EA405" s="1140"/>
      <c r="ED405" s="1138"/>
      <c r="EE405" s="1138"/>
      <c r="EG405" s="1140"/>
      <c r="EH405" s="1140"/>
      <c r="EK405" s="1138"/>
      <c r="EL405" s="1138"/>
      <c r="EN405" s="1140"/>
      <c r="EO405" s="1140"/>
      <c r="ER405" s="1138"/>
      <c r="ES405" s="1138"/>
      <c r="EV405" s="1140"/>
      <c r="EW405" s="1140"/>
      <c r="EX405" s="1140"/>
      <c r="EZ405" s="1138"/>
      <c r="FA405" s="1138"/>
      <c r="FB405" s="1138"/>
      <c r="FE405" s="1140"/>
      <c r="FF405" s="1140"/>
      <c r="FG405" s="1140"/>
      <c r="FH405" s="1140"/>
      <c r="FI405" s="1138"/>
      <c r="FJ405" s="1138"/>
      <c r="FK405" s="1138"/>
      <c r="FL405" s="1138"/>
      <c r="FO405" s="1140"/>
      <c r="FP405" s="1140"/>
      <c r="FQ405" s="1140"/>
      <c r="FR405" s="1140"/>
      <c r="FS405" s="1138"/>
      <c r="FT405" s="1138"/>
      <c r="FU405" s="1138"/>
      <c r="FV405" s="1138"/>
      <c r="FW405" s="1140"/>
      <c r="GA405" s="1138"/>
      <c r="GC405" s="1138" t="s">
        <v>1349</v>
      </c>
      <c r="GD405" s="1138" t="s">
        <v>1349</v>
      </c>
      <c r="GE405" s="1138" t="s">
        <v>1349</v>
      </c>
      <c r="GF405" s="1138" t="s">
        <v>1349</v>
      </c>
      <c r="GG405" s="1138" t="s">
        <v>1349</v>
      </c>
      <c r="GH405" s="1138" t="s">
        <v>1349</v>
      </c>
      <c r="GI405" s="1138" t="s">
        <v>1349</v>
      </c>
      <c r="GJ405" s="1138" t="s">
        <v>1349</v>
      </c>
      <c r="GK405" s="1138" t="s">
        <v>1349</v>
      </c>
      <c r="GL405" s="1138" t="s">
        <v>1349</v>
      </c>
      <c r="GM405" s="1138" t="s">
        <v>1349</v>
      </c>
      <c r="GN405" s="1138" t="s">
        <v>1349</v>
      </c>
      <c r="GO405" s="1138" t="s">
        <v>1349</v>
      </c>
      <c r="GP405" s="1138" t="s">
        <v>1349</v>
      </c>
      <c r="GQ405" s="1138" t="s">
        <v>1349</v>
      </c>
      <c r="GR405" s="1138" t="s">
        <v>1349</v>
      </c>
    </row>
    <row r="406" spans="1:200" x14ac:dyDescent="0.2">
      <c r="A406" s="1138"/>
      <c r="B406" s="1138"/>
      <c r="BC406" s="1136"/>
      <c r="BD406" s="1137"/>
      <c r="CF406" s="1142"/>
      <c r="CG406" s="1138"/>
      <c r="CH406" s="1138"/>
      <c r="CJ406" s="1138"/>
      <c r="DP406" s="1141"/>
      <c r="DQ406" s="1141"/>
      <c r="DS406" s="1138"/>
      <c r="DT406" s="1138"/>
      <c r="DU406" s="1138"/>
      <c r="DZ406" s="1140"/>
      <c r="EA406" s="1140"/>
      <c r="ED406" s="1138"/>
      <c r="EE406" s="1138"/>
      <c r="EG406" s="1140"/>
      <c r="EH406" s="1140"/>
      <c r="EK406" s="1138"/>
      <c r="EL406" s="1138"/>
      <c r="EN406" s="1140"/>
      <c r="EO406" s="1140"/>
      <c r="ER406" s="1138"/>
      <c r="ES406" s="1138"/>
      <c r="EV406" s="1140"/>
      <c r="EW406" s="1140"/>
      <c r="EX406" s="1140"/>
      <c r="EZ406" s="1138"/>
      <c r="FA406" s="1138"/>
      <c r="FB406" s="1138"/>
      <c r="FE406" s="1140"/>
      <c r="FF406" s="1140"/>
      <c r="FG406" s="1140"/>
      <c r="FH406" s="1140"/>
      <c r="FI406" s="1138"/>
      <c r="FJ406" s="1138"/>
      <c r="FK406" s="1138"/>
      <c r="FL406" s="1138"/>
      <c r="FO406" s="1140"/>
      <c r="FP406" s="1140"/>
      <c r="FQ406" s="1140"/>
      <c r="FR406" s="1140"/>
      <c r="FS406" s="1138"/>
      <c r="FT406" s="1138"/>
      <c r="FU406" s="1138"/>
      <c r="FV406" s="1138"/>
      <c r="FW406" s="1140"/>
      <c r="GA406" s="1138"/>
      <c r="GC406" s="1138" t="s">
        <v>1349</v>
      </c>
      <c r="GD406" s="1138" t="s">
        <v>1349</v>
      </c>
      <c r="GE406" s="1138" t="s">
        <v>1349</v>
      </c>
      <c r="GF406" s="1138" t="s">
        <v>1349</v>
      </c>
      <c r="GG406" s="1138" t="s">
        <v>1349</v>
      </c>
      <c r="GH406" s="1138" t="s">
        <v>1349</v>
      </c>
      <c r="GI406" s="1138" t="s">
        <v>1349</v>
      </c>
      <c r="GJ406" s="1138" t="s">
        <v>1349</v>
      </c>
      <c r="GK406" s="1138" t="s">
        <v>1349</v>
      </c>
      <c r="GL406" s="1138" t="s">
        <v>1349</v>
      </c>
      <c r="GM406" s="1138" t="s">
        <v>1349</v>
      </c>
      <c r="GN406" s="1138" t="s">
        <v>1349</v>
      </c>
      <c r="GO406" s="1138" t="s">
        <v>1349</v>
      </c>
      <c r="GP406" s="1138" t="s">
        <v>1349</v>
      </c>
      <c r="GQ406" s="1138" t="s">
        <v>1349</v>
      </c>
      <c r="GR406" s="1138" t="s">
        <v>1349</v>
      </c>
    </row>
    <row r="407" spans="1:200" x14ac:dyDescent="0.2">
      <c r="A407" s="1138"/>
      <c r="B407" s="1138"/>
      <c r="BC407" s="1136"/>
      <c r="BD407" s="1137"/>
      <c r="CF407" s="1142"/>
      <c r="CG407" s="1138"/>
      <c r="CH407" s="1138"/>
      <c r="CJ407" s="1138"/>
      <c r="DP407" s="1141"/>
      <c r="DQ407" s="1141"/>
      <c r="DS407" s="1138"/>
      <c r="DT407" s="1138"/>
      <c r="DU407" s="1138"/>
      <c r="DZ407" s="1140"/>
      <c r="EA407" s="1140"/>
      <c r="ED407" s="1138"/>
      <c r="EE407" s="1138"/>
      <c r="EG407" s="1140"/>
      <c r="EH407" s="1140"/>
      <c r="EK407" s="1138"/>
      <c r="EL407" s="1138"/>
      <c r="EN407" s="1140"/>
      <c r="EO407" s="1140"/>
      <c r="ER407" s="1138"/>
      <c r="ES407" s="1138"/>
      <c r="EV407" s="1140"/>
      <c r="EW407" s="1140"/>
      <c r="EX407" s="1140"/>
      <c r="EZ407" s="1138"/>
      <c r="FA407" s="1138"/>
      <c r="FB407" s="1138"/>
      <c r="FE407" s="1140"/>
      <c r="FF407" s="1140"/>
      <c r="FG407" s="1140"/>
      <c r="FH407" s="1140"/>
      <c r="FI407" s="1138"/>
      <c r="FJ407" s="1138"/>
      <c r="FK407" s="1138"/>
      <c r="FL407" s="1138"/>
      <c r="FO407" s="1140"/>
      <c r="FP407" s="1140"/>
      <c r="FQ407" s="1140"/>
      <c r="FR407" s="1140"/>
      <c r="FS407" s="1138"/>
      <c r="FT407" s="1138"/>
      <c r="FU407" s="1138"/>
      <c r="FV407" s="1138"/>
      <c r="FW407" s="1140"/>
      <c r="GA407" s="1138"/>
      <c r="GC407" s="1138" t="s">
        <v>1349</v>
      </c>
      <c r="GD407" s="1138" t="s">
        <v>1349</v>
      </c>
      <c r="GE407" s="1138" t="s">
        <v>1349</v>
      </c>
      <c r="GF407" s="1138" t="s">
        <v>1349</v>
      </c>
      <c r="GG407" s="1138" t="s">
        <v>1349</v>
      </c>
      <c r="GH407" s="1138" t="s">
        <v>1349</v>
      </c>
      <c r="GI407" s="1138" t="s">
        <v>1349</v>
      </c>
      <c r="GJ407" s="1138" t="s">
        <v>1349</v>
      </c>
      <c r="GK407" s="1138" t="s">
        <v>1349</v>
      </c>
      <c r="GL407" s="1138" t="s">
        <v>1349</v>
      </c>
      <c r="GM407" s="1138" t="s">
        <v>1349</v>
      </c>
      <c r="GN407" s="1138" t="s">
        <v>1349</v>
      </c>
      <c r="GO407" s="1138" t="s">
        <v>1349</v>
      </c>
      <c r="GP407" s="1138" t="s">
        <v>1349</v>
      </c>
      <c r="GQ407" s="1138" t="s">
        <v>1349</v>
      </c>
      <c r="GR407" s="1138" t="s">
        <v>1349</v>
      </c>
    </row>
    <row r="408" spans="1:200" x14ac:dyDescent="0.2">
      <c r="A408" s="1138"/>
      <c r="B408" s="1138"/>
      <c r="BC408" s="1136"/>
      <c r="BD408" s="1154"/>
      <c r="CF408" s="1142"/>
      <c r="CG408" s="1138"/>
      <c r="CH408" s="1138"/>
      <c r="CJ408" s="1138"/>
      <c r="DP408" s="1141"/>
      <c r="DQ408" s="1141"/>
      <c r="DS408" s="1138"/>
      <c r="DT408" s="1138"/>
      <c r="DU408" s="1138"/>
      <c r="DZ408" s="1140"/>
      <c r="EA408" s="1140"/>
      <c r="ED408" s="1138"/>
      <c r="EE408" s="1138"/>
      <c r="EG408" s="1140"/>
      <c r="EH408" s="1140"/>
      <c r="EK408" s="1138"/>
      <c r="EL408" s="1138"/>
      <c r="EN408" s="1140"/>
      <c r="EO408" s="1140"/>
      <c r="ER408" s="1138"/>
      <c r="ES408" s="1138"/>
      <c r="EV408" s="1140"/>
      <c r="EW408" s="1140"/>
      <c r="EX408" s="1140"/>
      <c r="EZ408" s="1138"/>
      <c r="FA408" s="1138"/>
      <c r="FB408" s="1138"/>
      <c r="FE408" s="1140"/>
      <c r="FF408" s="1140"/>
      <c r="FG408" s="1140"/>
      <c r="FH408" s="1140"/>
      <c r="FI408" s="1138"/>
      <c r="FJ408" s="1138"/>
      <c r="FK408" s="1138"/>
      <c r="FL408" s="1138"/>
      <c r="FO408" s="1140"/>
      <c r="FP408" s="1140"/>
      <c r="FQ408" s="1140"/>
      <c r="FR408" s="1140"/>
      <c r="FS408" s="1138"/>
      <c r="FT408" s="1138"/>
      <c r="FU408" s="1138"/>
      <c r="FV408" s="1138"/>
      <c r="FW408" s="1140"/>
      <c r="GA408" s="1138"/>
      <c r="GC408" s="1138" t="s">
        <v>1349</v>
      </c>
      <c r="GD408" s="1138" t="s">
        <v>1349</v>
      </c>
      <c r="GE408" s="1138" t="s">
        <v>1349</v>
      </c>
      <c r="GF408" s="1138" t="s">
        <v>1349</v>
      </c>
      <c r="GG408" s="1138" t="s">
        <v>1349</v>
      </c>
      <c r="GH408" s="1138" t="s">
        <v>1349</v>
      </c>
      <c r="GI408" s="1138" t="s">
        <v>1349</v>
      </c>
      <c r="GJ408" s="1138" t="s">
        <v>1349</v>
      </c>
      <c r="GK408" s="1138" t="s">
        <v>1349</v>
      </c>
      <c r="GL408" s="1138" t="s">
        <v>1349</v>
      </c>
      <c r="GM408" s="1138" t="s">
        <v>1349</v>
      </c>
      <c r="GN408" s="1138" t="s">
        <v>1349</v>
      </c>
      <c r="GO408" s="1138" t="s">
        <v>1349</v>
      </c>
      <c r="GP408" s="1138" t="s">
        <v>1349</v>
      </c>
      <c r="GQ408" s="1138" t="s">
        <v>1349</v>
      </c>
      <c r="GR408" s="1138" t="s">
        <v>1349</v>
      </c>
    </row>
    <row r="409" spans="1:200" x14ac:dyDescent="0.2">
      <c r="A409" s="1138"/>
      <c r="B409" s="1138"/>
      <c r="BC409" s="1136"/>
      <c r="BD409" s="1154"/>
      <c r="CF409" s="1142"/>
      <c r="CG409" s="1138"/>
      <c r="CH409" s="1138"/>
      <c r="CJ409" s="1138"/>
      <c r="DP409" s="1141"/>
      <c r="DQ409" s="1141"/>
      <c r="DS409" s="1138"/>
      <c r="DT409" s="1138"/>
      <c r="DU409" s="1138"/>
      <c r="DZ409" s="1140"/>
      <c r="EA409" s="1140"/>
      <c r="ED409" s="1138"/>
      <c r="EE409" s="1138"/>
      <c r="EG409" s="1140"/>
      <c r="EH409" s="1140"/>
      <c r="EK409" s="1138"/>
      <c r="EL409" s="1138"/>
      <c r="EN409" s="1140"/>
      <c r="EO409" s="1140"/>
      <c r="ER409" s="1138"/>
      <c r="ES409" s="1138"/>
      <c r="EV409" s="1140"/>
      <c r="EW409" s="1140"/>
      <c r="EX409" s="1140"/>
      <c r="EZ409" s="1138"/>
      <c r="FA409" s="1138"/>
      <c r="FB409" s="1138"/>
      <c r="FE409" s="1140"/>
      <c r="FF409" s="1140"/>
      <c r="FG409" s="1140"/>
      <c r="FH409" s="1140"/>
      <c r="FI409" s="1138"/>
      <c r="FJ409" s="1138"/>
      <c r="FK409" s="1138"/>
      <c r="FL409" s="1138"/>
      <c r="FO409" s="1140"/>
      <c r="FP409" s="1140"/>
      <c r="FQ409" s="1140"/>
      <c r="FR409" s="1140"/>
      <c r="FS409" s="1138"/>
      <c r="FT409" s="1138"/>
      <c r="FU409" s="1138"/>
      <c r="FV409" s="1138"/>
      <c r="FW409" s="1140"/>
      <c r="GA409" s="1138"/>
      <c r="GC409" s="1138" t="s">
        <v>1349</v>
      </c>
      <c r="GD409" s="1138" t="s">
        <v>1349</v>
      </c>
      <c r="GE409" s="1138" t="s">
        <v>1349</v>
      </c>
      <c r="GF409" s="1138" t="s">
        <v>1349</v>
      </c>
      <c r="GG409" s="1138" t="s">
        <v>1349</v>
      </c>
      <c r="GH409" s="1138" t="s">
        <v>1349</v>
      </c>
      <c r="GI409" s="1138" t="s">
        <v>1349</v>
      </c>
      <c r="GJ409" s="1138" t="s">
        <v>1349</v>
      </c>
      <c r="GK409" s="1138" t="s">
        <v>1349</v>
      </c>
      <c r="GL409" s="1138" t="s">
        <v>1349</v>
      </c>
      <c r="GM409" s="1138" t="s">
        <v>1349</v>
      </c>
      <c r="GN409" s="1138" t="s">
        <v>1349</v>
      </c>
      <c r="GO409" s="1138" t="s">
        <v>1349</v>
      </c>
      <c r="GP409" s="1138" t="s">
        <v>1349</v>
      </c>
      <c r="GQ409" s="1138" t="s">
        <v>1349</v>
      </c>
      <c r="GR409" s="1138" t="s">
        <v>1349</v>
      </c>
    </row>
    <row r="410" spans="1:200" x14ac:dyDescent="0.2">
      <c r="A410" s="1138"/>
      <c r="B410" s="1138"/>
      <c r="BC410" s="1136"/>
      <c r="BD410" s="1154"/>
      <c r="CF410" s="1142"/>
      <c r="CG410" s="1138"/>
      <c r="CH410" s="1138"/>
      <c r="CJ410" s="1138"/>
      <c r="DP410" s="1141"/>
      <c r="DQ410" s="1141"/>
      <c r="DS410" s="1138"/>
      <c r="DT410" s="1138"/>
      <c r="DU410" s="1138"/>
      <c r="DZ410" s="1140"/>
      <c r="EA410" s="1140"/>
      <c r="ED410" s="1138"/>
      <c r="EE410" s="1138"/>
      <c r="EG410" s="1140"/>
      <c r="EH410" s="1140"/>
      <c r="EK410" s="1138"/>
      <c r="EL410" s="1138"/>
      <c r="EN410" s="1140"/>
      <c r="EO410" s="1140"/>
      <c r="ER410" s="1138"/>
      <c r="ES410" s="1138"/>
      <c r="EV410" s="1140"/>
      <c r="EW410" s="1140"/>
      <c r="EX410" s="1140"/>
      <c r="EZ410" s="1138"/>
      <c r="FA410" s="1138"/>
      <c r="FB410" s="1138"/>
      <c r="FE410" s="1140"/>
      <c r="FF410" s="1140"/>
      <c r="FG410" s="1140"/>
      <c r="FH410" s="1140"/>
      <c r="FI410" s="1138"/>
      <c r="FJ410" s="1138"/>
      <c r="FK410" s="1138"/>
      <c r="FL410" s="1138"/>
      <c r="FO410" s="1140"/>
      <c r="FP410" s="1140"/>
      <c r="FQ410" s="1140"/>
      <c r="FR410" s="1140"/>
      <c r="FS410" s="1138"/>
      <c r="FT410" s="1138"/>
      <c r="FU410" s="1138"/>
      <c r="FV410" s="1138"/>
      <c r="FW410" s="1140"/>
      <c r="GA410" s="1138"/>
      <c r="GC410" s="1138" t="s">
        <v>1349</v>
      </c>
      <c r="GD410" s="1138" t="s">
        <v>1349</v>
      </c>
      <c r="GE410" s="1138" t="s">
        <v>1349</v>
      </c>
      <c r="GF410" s="1138" t="s">
        <v>1349</v>
      </c>
      <c r="GG410" s="1138" t="s">
        <v>1349</v>
      </c>
      <c r="GH410" s="1138" t="s">
        <v>1349</v>
      </c>
      <c r="GI410" s="1138" t="s">
        <v>1349</v>
      </c>
      <c r="GJ410" s="1138" t="s">
        <v>1349</v>
      </c>
      <c r="GK410" s="1138" t="s">
        <v>1349</v>
      </c>
      <c r="GL410" s="1138" t="s">
        <v>1349</v>
      </c>
      <c r="GM410" s="1138" t="s">
        <v>1349</v>
      </c>
      <c r="GN410" s="1138" t="s">
        <v>1349</v>
      </c>
      <c r="GO410" s="1138" t="s">
        <v>1349</v>
      </c>
      <c r="GP410" s="1138" t="s">
        <v>1349</v>
      </c>
      <c r="GQ410" s="1138" t="s">
        <v>1349</v>
      </c>
      <c r="GR410" s="1138" t="s">
        <v>1349</v>
      </c>
    </row>
    <row r="411" spans="1:200" x14ac:dyDescent="0.2">
      <c r="A411" s="1138"/>
      <c r="B411" s="1138"/>
      <c r="BC411" s="1136"/>
      <c r="BD411" s="1137"/>
      <c r="CF411" s="1142"/>
      <c r="CG411" s="1138"/>
      <c r="CH411" s="1138"/>
      <c r="CJ411" s="1138"/>
      <c r="DP411" s="1141"/>
      <c r="DQ411" s="1141"/>
      <c r="DS411" s="1138"/>
      <c r="DT411" s="1138"/>
      <c r="DU411" s="1138"/>
      <c r="DZ411" s="1140"/>
      <c r="EA411" s="1140"/>
      <c r="ED411" s="1138"/>
      <c r="EE411" s="1138"/>
      <c r="EG411" s="1140"/>
      <c r="EH411" s="1140"/>
      <c r="EK411" s="1138"/>
      <c r="EL411" s="1138"/>
      <c r="EN411" s="1140"/>
      <c r="EO411" s="1140"/>
      <c r="ER411" s="1138"/>
      <c r="ES411" s="1138"/>
      <c r="EV411" s="1140"/>
      <c r="EW411" s="1140"/>
      <c r="EX411" s="1140"/>
      <c r="EZ411" s="1138"/>
      <c r="FA411" s="1138"/>
      <c r="FB411" s="1138"/>
      <c r="FE411" s="1140"/>
      <c r="FF411" s="1140"/>
      <c r="FG411" s="1140"/>
      <c r="FH411" s="1140"/>
      <c r="FI411" s="1138"/>
      <c r="FJ411" s="1138"/>
      <c r="FK411" s="1138"/>
      <c r="FL411" s="1138"/>
      <c r="FO411" s="1140"/>
      <c r="FP411" s="1140"/>
      <c r="FQ411" s="1140"/>
      <c r="FR411" s="1140"/>
      <c r="FS411" s="1138"/>
      <c r="FT411" s="1138"/>
      <c r="FU411" s="1138"/>
      <c r="FV411" s="1138"/>
      <c r="FW411" s="1140"/>
      <c r="GA411" s="1138"/>
      <c r="GC411" s="1138" t="s">
        <v>1349</v>
      </c>
      <c r="GD411" s="1138" t="s">
        <v>1349</v>
      </c>
      <c r="GE411" s="1138" t="s">
        <v>1349</v>
      </c>
      <c r="GF411" s="1138" t="s">
        <v>1349</v>
      </c>
      <c r="GG411" s="1138" t="s">
        <v>1349</v>
      </c>
      <c r="GH411" s="1138" t="s">
        <v>1349</v>
      </c>
      <c r="GI411" s="1138" t="s">
        <v>1349</v>
      </c>
      <c r="GJ411" s="1138" t="s">
        <v>1349</v>
      </c>
      <c r="GK411" s="1138" t="s">
        <v>1349</v>
      </c>
      <c r="GL411" s="1138" t="s">
        <v>1349</v>
      </c>
      <c r="GM411" s="1138" t="s">
        <v>1349</v>
      </c>
      <c r="GN411" s="1138" t="s">
        <v>1349</v>
      </c>
      <c r="GO411" s="1138" t="s">
        <v>1349</v>
      </c>
      <c r="GP411" s="1138" t="s">
        <v>1349</v>
      </c>
      <c r="GQ411" s="1138" t="s">
        <v>1349</v>
      </c>
      <c r="GR411" s="1138" t="s">
        <v>1349</v>
      </c>
    </row>
    <row r="412" spans="1:200" x14ac:dyDescent="0.2">
      <c r="A412" s="1138"/>
      <c r="B412" s="1138"/>
      <c r="BC412" s="1136"/>
      <c r="BD412" s="1137"/>
      <c r="CF412" s="1142"/>
      <c r="CG412" s="1138"/>
      <c r="CH412" s="1138"/>
      <c r="CJ412" s="1138"/>
      <c r="DP412" s="1141"/>
      <c r="DQ412" s="1141"/>
      <c r="DS412" s="1138"/>
      <c r="DT412" s="1138"/>
      <c r="DU412" s="1138"/>
      <c r="DZ412" s="1140"/>
      <c r="EA412" s="1140"/>
      <c r="ED412" s="1138"/>
      <c r="EE412" s="1138"/>
      <c r="EG412" s="1140"/>
      <c r="EH412" s="1140"/>
      <c r="EK412" s="1138"/>
      <c r="EL412" s="1138"/>
      <c r="EN412" s="1140"/>
      <c r="EO412" s="1140"/>
      <c r="ER412" s="1138"/>
      <c r="ES412" s="1138"/>
      <c r="EV412" s="1140"/>
      <c r="EW412" s="1140"/>
      <c r="EX412" s="1140"/>
      <c r="EZ412" s="1138"/>
      <c r="FA412" s="1138"/>
      <c r="FB412" s="1138"/>
      <c r="FE412" s="1140"/>
      <c r="FF412" s="1140"/>
      <c r="FG412" s="1140"/>
      <c r="FH412" s="1140"/>
      <c r="FI412" s="1138"/>
      <c r="FJ412" s="1138"/>
      <c r="FK412" s="1138"/>
      <c r="FL412" s="1138"/>
      <c r="FO412" s="1140"/>
      <c r="FP412" s="1140"/>
      <c r="FQ412" s="1140"/>
      <c r="FR412" s="1140"/>
      <c r="FS412" s="1138"/>
      <c r="FT412" s="1138"/>
      <c r="FU412" s="1138"/>
      <c r="FV412" s="1138"/>
      <c r="FW412" s="1140"/>
      <c r="GA412" s="1138"/>
      <c r="GC412" s="1138" t="s">
        <v>1349</v>
      </c>
      <c r="GD412" s="1138" t="s">
        <v>1349</v>
      </c>
      <c r="GE412" s="1138" t="s">
        <v>1349</v>
      </c>
      <c r="GF412" s="1138" t="s">
        <v>1349</v>
      </c>
      <c r="GG412" s="1138" t="s">
        <v>1349</v>
      </c>
      <c r="GH412" s="1138" t="s">
        <v>1349</v>
      </c>
      <c r="GI412" s="1138" t="s">
        <v>1349</v>
      </c>
      <c r="GJ412" s="1138" t="s">
        <v>1349</v>
      </c>
      <c r="GK412" s="1138" t="s">
        <v>1349</v>
      </c>
      <c r="GL412" s="1138" t="s">
        <v>1349</v>
      </c>
      <c r="GM412" s="1138" t="s">
        <v>1349</v>
      </c>
      <c r="GN412" s="1138" t="s">
        <v>1349</v>
      </c>
      <c r="GO412" s="1138" t="s">
        <v>1349</v>
      </c>
      <c r="GP412" s="1138" t="s">
        <v>1349</v>
      </c>
      <c r="GQ412" s="1138" t="s">
        <v>1349</v>
      </c>
      <c r="GR412" s="1138" t="s">
        <v>1349</v>
      </c>
    </row>
    <row r="413" spans="1:200" x14ac:dyDescent="0.2">
      <c r="A413" s="1138"/>
      <c r="B413" s="1138"/>
      <c r="BC413" s="1136"/>
      <c r="BD413" s="1137"/>
      <c r="CF413" s="1142"/>
      <c r="CG413" s="1138"/>
      <c r="CH413" s="1138"/>
      <c r="CJ413" s="1138"/>
      <c r="DP413" s="1141"/>
      <c r="DQ413" s="1141"/>
      <c r="DS413" s="1138"/>
      <c r="DT413" s="1138"/>
      <c r="DU413" s="1138"/>
      <c r="DZ413" s="1140"/>
      <c r="EA413" s="1140"/>
      <c r="ED413" s="1138"/>
      <c r="EE413" s="1138"/>
      <c r="EG413" s="1140"/>
      <c r="EH413" s="1140"/>
      <c r="EK413" s="1138"/>
      <c r="EL413" s="1138"/>
      <c r="EN413" s="1140"/>
      <c r="EO413" s="1140"/>
      <c r="ER413" s="1138"/>
      <c r="ES413" s="1138"/>
      <c r="EV413" s="1140"/>
      <c r="EW413" s="1140"/>
      <c r="EX413" s="1140"/>
      <c r="EZ413" s="1138"/>
      <c r="FA413" s="1138"/>
      <c r="FB413" s="1138"/>
      <c r="FE413" s="1140"/>
      <c r="FF413" s="1140"/>
      <c r="FG413" s="1140"/>
      <c r="FH413" s="1140"/>
      <c r="FI413" s="1138"/>
      <c r="FJ413" s="1138"/>
      <c r="FK413" s="1138"/>
      <c r="FL413" s="1138"/>
      <c r="FO413" s="1140"/>
      <c r="FP413" s="1140"/>
      <c r="FQ413" s="1140"/>
      <c r="FR413" s="1140"/>
      <c r="FS413" s="1138"/>
      <c r="FT413" s="1138"/>
      <c r="FU413" s="1138"/>
      <c r="FV413" s="1138"/>
      <c r="FW413" s="1140"/>
      <c r="GA413" s="1138"/>
      <c r="GC413" s="1138" t="s">
        <v>1349</v>
      </c>
      <c r="GD413" s="1138" t="s">
        <v>1349</v>
      </c>
      <c r="GE413" s="1138" t="s">
        <v>1349</v>
      </c>
      <c r="GF413" s="1138" t="s">
        <v>1349</v>
      </c>
      <c r="GG413" s="1138" t="s">
        <v>1349</v>
      </c>
      <c r="GH413" s="1138" t="s">
        <v>1349</v>
      </c>
      <c r="GI413" s="1138" t="s">
        <v>1349</v>
      </c>
      <c r="GJ413" s="1138" t="s">
        <v>1349</v>
      </c>
      <c r="GK413" s="1138" t="s">
        <v>1349</v>
      </c>
      <c r="GL413" s="1138" t="s">
        <v>1349</v>
      </c>
      <c r="GM413" s="1138" t="s">
        <v>1349</v>
      </c>
      <c r="GN413" s="1138" t="s">
        <v>1349</v>
      </c>
      <c r="GO413" s="1138" t="s">
        <v>1349</v>
      </c>
      <c r="GP413" s="1138" t="s">
        <v>1349</v>
      </c>
      <c r="GQ413" s="1138" t="s">
        <v>1349</v>
      </c>
      <c r="GR413" s="1138" t="s">
        <v>1349</v>
      </c>
    </row>
    <row r="414" spans="1:200" x14ac:dyDescent="0.2">
      <c r="A414" s="1138"/>
      <c r="B414" s="1138"/>
      <c r="BC414" s="1136"/>
      <c r="BD414" s="1137"/>
      <c r="CF414" s="1142"/>
      <c r="CG414" s="1138"/>
      <c r="CH414" s="1138"/>
      <c r="CJ414" s="1138"/>
      <c r="DP414" s="1141"/>
      <c r="DQ414" s="1141"/>
      <c r="DS414" s="1138"/>
      <c r="DT414" s="1138"/>
      <c r="DU414" s="1138"/>
      <c r="DZ414" s="1140"/>
      <c r="EA414" s="1140"/>
      <c r="ED414" s="1138"/>
      <c r="EE414" s="1138"/>
      <c r="EG414" s="1140"/>
      <c r="EH414" s="1140"/>
      <c r="EK414" s="1138"/>
      <c r="EL414" s="1138"/>
      <c r="EN414" s="1140"/>
      <c r="EO414" s="1140"/>
      <c r="ER414" s="1138"/>
      <c r="ES414" s="1138"/>
      <c r="EV414" s="1140"/>
      <c r="EW414" s="1140"/>
      <c r="EX414" s="1140"/>
      <c r="EZ414" s="1138"/>
      <c r="FA414" s="1138"/>
      <c r="FB414" s="1138"/>
      <c r="FE414" s="1140"/>
      <c r="FF414" s="1140"/>
      <c r="FG414" s="1140"/>
      <c r="FH414" s="1140"/>
      <c r="FI414" s="1138"/>
      <c r="FJ414" s="1138"/>
      <c r="FK414" s="1138"/>
      <c r="FL414" s="1138"/>
      <c r="FO414" s="1140"/>
      <c r="FP414" s="1140"/>
      <c r="FQ414" s="1140"/>
      <c r="FR414" s="1140"/>
      <c r="FS414" s="1138"/>
      <c r="FT414" s="1138"/>
      <c r="FU414" s="1138"/>
      <c r="FV414" s="1138"/>
      <c r="FW414" s="1140"/>
      <c r="GA414" s="1138"/>
      <c r="GC414" s="1138" t="s">
        <v>1349</v>
      </c>
      <c r="GD414" s="1138" t="s">
        <v>1349</v>
      </c>
      <c r="GE414" s="1138" t="s">
        <v>1349</v>
      </c>
      <c r="GF414" s="1138" t="s">
        <v>1349</v>
      </c>
      <c r="GG414" s="1138" t="s">
        <v>1349</v>
      </c>
      <c r="GH414" s="1138" t="s">
        <v>1349</v>
      </c>
      <c r="GI414" s="1138" t="s">
        <v>1349</v>
      </c>
      <c r="GJ414" s="1138" t="s">
        <v>1349</v>
      </c>
      <c r="GK414" s="1138" t="s">
        <v>1349</v>
      </c>
      <c r="GL414" s="1138" t="s">
        <v>1349</v>
      </c>
      <c r="GM414" s="1138" t="s">
        <v>1349</v>
      </c>
      <c r="GN414" s="1138" t="s">
        <v>1349</v>
      </c>
      <c r="GO414" s="1138" t="s">
        <v>1349</v>
      </c>
      <c r="GP414" s="1138" t="s">
        <v>1349</v>
      </c>
      <c r="GQ414" s="1138" t="s">
        <v>1349</v>
      </c>
      <c r="GR414" s="1138" t="s">
        <v>1349</v>
      </c>
    </row>
    <row r="415" spans="1:200" x14ac:dyDescent="0.2">
      <c r="A415" s="1138"/>
      <c r="B415" s="1138"/>
      <c r="BC415" s="1260"/>
      <c r="BD415" s="1137"/>
      <c r="CF415" s="1142"/>
      <c r="CG415" s="1138"/>
      <c r="CH415" s="1138"/>
      <c r="CJ415" s="1138"/>
      <c r="DP415" s="1141"/>
      <c r="DQ415" s="1141"/>
      <c r="DS415" s="1138"/>
      <c r="DT415" s="1138"/>
      <c r="DU415" s="1138"/>
      <c r="DZ415" s="1140"/>
      <c r="EA415" s="1140"/>
      <c r="ED415" s="1138"/>
      <c r="EE415" s="1138"/>
      <c r="EG415" s="1140"/>
      <c r="EH415" s="1140"/>
      <c r="EK415" s="1138"/>
      <c r="EL415" s="1138"/>
      <c r="EN415" s="1140"/>
      <c r="EO415" s="1140"/>
      <c r="ER415" s="1138"/>
      <c r="ES415" s="1138"/>
      <c r="EV415" s="1140"/>
      <c r="EW415" s="1140"/>
      <c r="EX415" s="1140"/>
      <c r="EZ415" s="1138"/>
      <c r="FA415" s="1138"/>
      <c r="FB415" s="1138"/>
      <c r="FE415" s="1140"/>
      <c r="FF415" s="1140"/>
      <c r="FG415" s="1140"/>
      <c r="FH415" s="1140"/>
      <c r="FI415" s="1138"/>
      <c r="FJ415" s="1138"/>
      <c r="FK415" s="1138"/>
      <c r="FL415" s="1138"/>
      <c r="FO415" s="1140"/>
      <c r="FP415" s="1140"/>
      <c r="FQ415" s="1140"/>
      <c r="FR415" s="1140"/>
      <c r="FS415" s="1138"/>
      <c r="FT415" s="1138"/>
      <c r="FU415" s="1138"/>
      <c r="FV415" s="1138"/>
      <c r="FW415" s="1140"/>
      <c r="GA415" s="1138"/>
      <c r="GC415" s="1138" t="s">
        <v>1349</v>
      </c>
      <c r="GD415" s="1138" t="s">
        <v>1349</v>
      </c>
      <c r="GE415" s="1138" t="s">
        <v>1349</v>
      </c>
      <c r="GF415" s="1138" t="s">
        <v>1349</v>
      </c>
      <c r="GG415" s="1138" t="s">
        <v>1349</v>
      </c>
      <c r="GH415" s="1138" t="s">
        <v>1349</v>
      </c>
      <c r="GI415" s="1138" t="s">
        <v>1349</v>
      </c>
      <c r="GJ415" s="1138" t="s">
        <v>1349</v>
      </c>
      <c r="GK415" s="1138" t="s">
        <v>1349</v>
      </c>
      <c r="GL415" s="1138" t="s">
        <v>1349</v>
      </c>
      <c r="GM415" s="1138" t="s">
        <v>1349</v>
      </c>
      <c r="GN415" s="1138" t="s">
        <v>1349</v>
      </c>
      <c r="GO415" s="1138" t="s">
        <v>1349</v>
      </c>
      <c r="GP415" s="1138" t="s">
        <v>1349</v>
      </c>
      <c r="GQ415" s="1138" t="s">
        <v>1349</v>
      </c>
      <c r="GR415" s="1138" t="s">
        <v>1349</v>
      </c>
    </row>
    <row r="416" spans="1:200" x14ac:dyDescent="0.2">
      <c r="A416" s="1138"/>
      <c r="B416" s="1138"/>
      <c r="BC416" s="1260"/>
      <c r="BD416" s="1137"/>
      <c r="CF416" s="1142"/>
      <c r="CG416" s="1138"/>
      <c r="CH416" s="1138"/>
      <c r="CJ416" s="1138"/>
      <c r="DP416" s="1141"/>
      <c r="DQ416" s="1141"/>
      <c r="DS416" s="1138"/>
      <c r="DT416" s="1138"/>
      <c r="DU416" s="1138"/>
      <c r="DZ416" s="1140"/>
      <c r="EA416" s="1140"/>
      <c r="ED416" s="1138"/>
      <c r="EE416" s="1138"/>
      <c r="EG416" s="1140"/>
      <c r="EH416" s="1140"/>
      <c r="EK416" s="1138"/>
      <c r="EL416" s="1138"/>
      <c r="EN416" s="1140"/>
      <c r="EO416" s="1140"/>
      <c r="ER416" s="1138"/>
      <c r="ES416" s="1138"/>
      <c r="EV416" s="1140"/>
      <c r="EW416" s="1140"/>
      <c r="EX416" s="1140"/>
      <c r="EZ416" s="1138"/>
      <c r="FA416" s="1138"/>
      <c r="FB416" s="1138"/>
      <c r="FE416" s="1140"/>
      <c r="FF416" s="1140"/>
      <c r="FG416" s="1140"/>
      <c r="FH416" s="1140"/>
      <c r="FI416" s="1138"/>
      <c r="FJ416" s="1138"/>
      <c r="FK416" s="1138"/>
      <c r="FL416" s="1138"/>
      <c r="FO416" s="1140"/>
      <c r="FP416" s="1140"/>
      <c r="FQ416" s="1140"/>
      <c r="FR416" s="1140"/>
      <c r="FS416" s="1138"/>
      <c r="FT416" s="1138"/>
      <c r="FU416" s="1138"/>
      <c r="FV416" s="1138"/>
      <c r="FW416" s="1140"/>
      <c r="GA416" s="1138"/>
      <c r="GC416" s="1138" t="s">
        <v>1349</v>
      </c>
      <c r="GD416" s="1138" t="s">
        <v>1349</v>
      </c>
      <c r="GE416" s="1138" t="s">
        <v>1349</v>
      </c>
      <c r="GF416" s="1138" t="s">
        <v>1349</v>
      </c>
      <c r="GG416" s="1138" t="s">
        <v>1349</v>
      </c>
      <c r="GH416" s="1138" t="s">
        <v>1349</v>
      </c>
      <c r="GI416" s="1138" t="s">
        <v>1349</v>
      </c>
      <c r="GJ416" s="1138" t="s">
        <v>1349</v>
      </c>
      <c r="GK416" s="1138" t="s">
        <v>1349</v>
      </c>
      <c r="GL416" s="1138" t="s">
        <v>1349</v>
      </c>
      <c r="GM416" s="1138" t="s">
        <v>1349</v>
      </c>
      <c r="GN416" s="1138" t="s">
        <v>1349</v>
      </c>
      <c r="GO416" s="1138" t="s">
        <v>1349</v>
      </c>
      <c r="GP416" s="1138" t="s">
        <v>1349</v>
      </c>
      <c r="GQ416" s="1138" t="s">
        <v>1349</v>
      </c>
      <c r="GR416" s="1138" t="s">
        <v>1349</v>
      </c>
    </row>
    <row r="417" spans="1:200" x14ac:dyDescent="0.2">
      <c r="A417" s="1138"/>
      <c r="B417" s="1138"/>
      <c r="BC417" s="1260"/>
      <c r="BD417" s="1137"/>
      <c r="CF417" s="1142"/>
      <c r="CG417" s="1138"/>
      <c r="CH417" s="1138"/>
      <c r="CJ417" s="1138"/>
      <c r="DP417" s="1141"/>
      <c r="DQ417" s="1141"/>
      <c r="DS417" s="1138"/>
      <c r="DT417" s="1138"/>
      <c r="DU417" s="1138"/>
      <c r="DZ417" s="1140"/>
      <c r="EA417" s="1140"/>
      <c r="ED417" s="1138"/>
      <c r="EE417" s="1138"/>
      <c r="EG417" s="1140"/>
      <c r="EH417" s="1140"/>
      <c r="EK417" s="1138"/>
      <c r="EL417" s="1138"/>
      <c r="EN417" s="1140"/>
      <c r="EO417" s="1140"/>
      <c r="ER417" s="1138"/>
      <c r="ES417" s="1138"/>
      <c r="EV417" s="1140"/>
      <c r="EW417" s="1140"/>
      <c r="EX417" s="1140"/>
      <c r="EZ417" s="1138"/>
      <c r="FA417" s="1138"/>
      <c r="FB417" s="1138"/>
      <c r="FE417" s="1140"/>
      <c r="FF417" s="1140"/>
      <c r="FG417" s="1140"/>
      <c r="FH417" s="1140"/>
      <c r="FI417" s="1138"/>
      <c r="FJ417" s="1138"/>
      <c r="FK417" s="1138"/>
      <c r="FL417" s="1138"/>
      <c r="FO417" s="1140"/>
      <c r="FP417" s="1140"/>
      <c r="FQ417" s="1140"/>
      <c r="FR417" s="1140"/>
      <c r="FS417" s="1138"/>
      <c r="FT417" s="1138"/>
      <c r="FU417" s="1138"/>
      <c r="FV417" s="1138"/>
      <c r="FW417" s="1140"/>
      <c r="GA417" s="1138"/>
      <c r="GC417" s="1138" t="s">
        <v>1349</v>
      </c>
      <c r="GD417" s="1138" t="s">
        <v>1349</v>
      </c>
      <c r="GE417" s="1138" t="s">
        <v>1349</v>
      </c>
      <c r="GF417" s="1138" t="s">
        <v>1349</v>
      </c>
      <c r="GG417" s="1138" t="s">
        <v>1349</v>
      </c>
      <c r="GH417" s="1138" t="s">
        <v>1349</v>
      </c>
      <c r="GI417" s="1138" t="s">
        <v>1349</v>
      </c>
      <c r="GJ417" s="1138" t="s">
        <v>1349</v>
      </c>
      <c r="GK417" s="1138" t="s">
        <v>1349</v>
      </c>
      <c r="GL417" s="1138" t="s">
        <v>1349</v>
      </c>
      <c r="GM417" s="1138" t="s">
        <v>1349</v>
      </c>
      <c r="GN417" s="1138" t="s">
        <v>1349</v>
      </c>
      <c r="GO417" s="1138" t="s">
        <v>1349</v>
      </c>
      <c r="GP417" s="1138" t="s">
        <v>1349</v>
      </c>
      <c r="GQ417" s="1138" t="s">
        <v>1349</v>
      </c>
      <c r="GR417" s="1138" t="s">
        <v>1349</v>
      </c>
    </row>
    <row r="418" spans="1:200" x14ac:dyDescent="0.2">
      <c r="A418" s="1138"/>
      <c r="B418" s="1138"/>
      <c r="BC418" s="1260"/>
      <c r="BD418" s="1137"/>
      <c r="CF418" s="1142"/>
      <c r="CG418" s="1138"/>
      <c r="CH418" s="1138"/>
      <c r="CJ418" s="1138"/>
      <c r="DP418" s="1141"/>
      <c r="DQ418" s="1141"/>
      <c r="DS418" s="1138"/>
      <c r="DT418" s="1138"/>
      <c r="DU418" s="1138"/>
      <c r="DZ418" s="1140"/>
      <c r="EA418" s="1140"/>
      <c r="ED418" s="1138"/>
      <c r="EE418" s="1138"/>
      <c r="EG418" s="1140"/>
      <c r="EH418" s="1140"/>
      <c r="EK418" s="1138"/>
      <c r="EL418" s="1138"/>
      <c r="EN418" s="1140"/>
      <c r="EO418" s="1140"/>
      <c r="ER418" s="1138"/>
      <c r="ES418" s="1138"/>
      <c r="EV418" s="1140"/>
      <c r="EW418" s="1140"/>
      <c r="EX418" s="1140"/>
      <c r="EZ418" s="1138"/>
      <c r="FA418" s="1138"/>
      <c r="FB418" s="1138"/>
      <c r="FE418" s="1140"/>
      <c r="FF418" s="1140"/>
      <c r="FG418" s="1140"/>
      <c r="FH418" s="1140"/>
      <c r="FI418" s="1138"/>
      <c r="FJ418" s="1138"/>
      <c r="FK418" s="1138"/>
      <c r="FL418" s="1138"/>
      <c r="FO418" s="1140"/>
      <c r="FP418" s="1140"/>
      <c r="FQ418" s="1140"/>
      <c r="FR418" s="1140"/>
      <c r="FS418" s="1138"/>
      <c r="FT418" s="1138"/>
      <c r="FU418" s="1138"/>
      <c r="FV418" s="1138"/>
      <c r="FW418" s="1140"/>
      <c r="GA418" s="1138"/>
      <c r="GC418" s="1138" t="s">
        <v>1349</v>
      </c>
      <c r="GD418" s="1138" t="s">
        <v>1349</v>
      </c>
      <c r="GE418" s="1138" t="s">
        <v>1349</v>
      </c>
      <c r="GF418" s="1138" t="s">
        <v>1349</v>
      </c>
      <c r="GG418" s="1138" t="s">
        <v>1349</v>
      </c>
      <c r="GH418" s="1138" t="s">
        <v>1349</v>
      </c>
      <c r="GI418" s="1138" t="s">
        <v>1349</v>
      </c>
      <c r="GJ418" s="1138" t="s">
        <v>1349</v>
      </c>
      <c r="GK418" s="1138" t="s">
        <v>1349</v>
      </c>
      <c r="GL418" s="1138" t="s">
        <v>1349</v>
      </c>
      <c r="GM418" s="1138" t="s">
        <v>1349</v>
      </c>
      <c r="GN418" s="1138" t="s">
        <v>1349</v>
      </c>
      <c r="GO418" s="1138" t="s">
        <v>1349</v>
      </c>
      <c r="GP418" s="1138" t="s">
        <v>1349</v>
      </c>
      <c r="GQ418" s="1138" t="s">
        <v>1349</v>
      </c>
      <c r="GR418" s="1138" t="s">
        <v>1349</v>
      </c>
    </row>
    <row r="419" spans="1:200" x14ac:dyDescent="0.2">
      <c r="A419" s="1138"/>
      <c r="B419" s="1138"/>
      <c r="BC419" s="1260"/>
      <c r="BD419" s="1137"/>
      <c r="CF419" s="1142"/>
      <c r="CG419" s="1138"/>
      <c r="CH419" s="1138"/>
      <c r="CJ419" s="1138"/>
      <c r="DP419" s="1141"/>
      <c r="DQ419" s="1141"/>
      <c r="DS419" s="1138"/>
      <c r="DT419" s="1138"/>
      <c r="DU419" s="1138"/>
      <c r="DZ419" s="1140"/>
      <c r="EA419" s="1140"/>
      <c r="ED419" s="1138"/>
      <c r="EE419" s="1138"/>
      <c r="EG419" s="1140"/>
      <c r="EH419" s="1140"/>
      <c r="EK419" s="1138"/>
      <c r="EL419" s="1138"/>
      <c r="EN419" s="1140"/>
      <c r="EO419" s="1140"/>
      <c r="ER419" s="1138"/>
      <c r="ES419" s="1138"/>
      <c r="EV419" s="1140"/>
      <c r="EW419" s="1140"/>
      <c r="EX419" s="1140"/>
      <c r="EZ419" s="1138"/>
      <c r="FA419" s="1138"/>
      <c r="FB419" s="1138"/>
      <c r="FE419" s="1140"/>
      <c r="FF419" s="1140"/>
      <c r="FG419" s="1140"/>
      <c r="FH419" s="1140"/>
      <c r="FI419" s="1138"/>
      <c r="FJ419" s="1138"/>
      <c r="FK419" s="1138"/>
      <c r="FL419" s="1138"/>
      <c r="FO419" s="1140"/>
      <c r="FP419" s="1140"/>
      <c r="FQ419" s="1140"/>
      <c r="FR419" s="1140"/>
      <c r="FS419" s="1138"/>
      <c r="FT419" s="1138"/>
      <c r="FU419" s="1138"/>
      <c r="FV419" s="1138"/>
      <c r="FW419" s="1140"/>
      <c r="GA419" s="1138"/>
      <c r="GC419" s="1138" t="s">
        <v>1349</v>
      </c>
      <c r="GD419" s="1138" t="s">
        <v>1349</v>
      </c>
      <c r="GE419" s="1138" t="s">
        <v>1349</v>
      </c>
      <c r="GF419" s="1138" t="s">
        <v>1349</v>
      </c>
      <c r="GG419" s="1138" t="s">
        <v>1349</v>
      </c>
      <c r="GH419" s="1138" t="s">
        <v>1349</v>
      </c>
      <c r="GI419" s="1138" t="s">
        <v>1349</v>
      </c>
      <c r="GJ419" s="1138" t="s">
        <v>1349</v>
      </c>
      <c r="GK419" s="1138" t="s">
        <v>1349</v>
      </c>
      <c r="GL419" s="1138" t="s">
        <v>1349</v>
      </c>
      <c r="GM419" s="1138" t="s">
        <v>1349</v>
      </c>
      <c r="GN419" s="1138" t="s">
        <v>1349</v>
      </c>
      <c r="GO419" s="1138" t="s">
        <v>1349</v>
      </c>
      <c r="GP419" s="1138" t="s">
        <v>1349</v>
      </c>
      <c r="GQ419" s="1138" t="s">
        <v>1349</v>
      </c>
      <c r="GR419" s="1138" t="s">
        <v>1349</v>
      </c>
    </row>
    <row r="420" spans="1:200" x14ac:dyDescent="0.2">
      <c r="A420" s="1138"/>
      <c r="B420" s="1138"/>
      <c r="BC420" s="1260"/>
      <c r="BD420" s="1137"/>
      <c r="CF420" s="1142"/>
      <c r="CG420" s="1138"/>
      <c r="CH420" s="1138"/>
      <c r="CJ420" s="1138"/>
      <c r="DP420" s="1141"/>
      <c r="DQ420" s="1141"/>
      <c r="DS420" s="1138"/>
      <c r="DT420" s="1138"/>
      <c r="DU420" s="1138"/>
      <c r="DZ420" s="1140"/>
      <c r="EA420" s="1140"/>
      <c r="ED420" s="1138"/>
      <c r="EE420" s="1138"/>
      <c r="EG420" s="1140"/>
      <c r="EH420" s="1140"/>
      <c r="EK420" s="1138"/>
      <c r="EL420" s="1138"/>
      <c r="EN420" s="1140"/>
      <c r="EO420" s="1140"/>
      <c r="ER420" s="1138"/>
      <c r="ES420" s="1138"/>
      <c r="EV420" s="1140"/>
      <c r="EW420" s="1140"/>
      <c r="EX420" s="1140"/>
      <c r="EZ420" s="1138"/>
      <c r="FA420" s="1138"/>
      <c r="FB420" s="1138"/>
      <c r="FE420" s="1140"/>
      <c r="FF420" s="1140"/>
      <c r="FG420" s="1140"/>
      <c r="FH420" s="1140"/>
      <c r="FI420" s="1138"/>
      <c r="FJ420" s="1138"/>
      <c r="FK420" s="1138"/>
      <c r="FL420" s="1138"/>
      <c r="FO420" s="1140"/>
      <c r="FP420" s="1140"/>
      <c r="FQ420" s="1140"/>
      <c r="FR420" s="1140"/>
      <c r="FS420" s="1138"/>
      <c r="FT420" s="1138"/>
      <c r="FU420" s="1138"/>
      <c r="FV420" s="1138"/>
      <c r="FW420" s="1140"/>
      <c r="GA420" s="1138"/>
      <c r="GC420" s="1138" t="s">
        <v>1349</v>
      </c>
      <c r="GD420" s="1138" t="s">
        <v>1349</v>
      </c>
      <c r="GE420" s="1138" t="s">
        <v>1349</v>
      </c>
      <c r="GF420" s="1138" t="s">
        <v>1349</v>
      </c>
      <c r="GG420" s="1138" t="s">
        <v>1349</v>
      </c>
      <c r="GH420" s="1138" t="s">
        <v>1349</v>
      </c>
      <c r="GI420" s="1138" t="s">
        <v>1349</v>
      </c>
      <c r="GJ420" s="1138" t="s">
        <v>1349</v>
      </c>
      <c r="GK420" s="1138" t="s">
        <v>1349</v>
      </c>
      <c r="GL420" s="1138" t="s">
        <v>1349</v>
      </c>
      <c r="GM420" s="1138" t="s">
        <v>1349</v>
      </c>
      <c r="GN420" s="1138" t="s">
        <v>1349</v>
      </c>
      <c r="GO420" s="1138" t="s">
        <v>1349</v>
      </c>
      <c r="GP420" s="1138" t="s">
        <v>1349</v>
      </c>
      <c r="GQ420" s="1138" t="s">
        <v>1349</v>
      </c>
      <c r="GR420" s="1138" t="s">
        <v>1349</v>
      </c>
    </row>
    <row r="421" spans="1:200" x14ac:dyDescent="0.2">
      <c r="A421" s="1138"/>
      <c r="B421" s="1138"/>
      <c r="BC421" s="1260"/>
      <c r="BD421" s="1137"/>
      <c r="CF421" s="1142"/>
      <c r="CG421" s="1138"/>
      <c r="CH421" s="1138"/>
      <c r="CJ421" s="1138"/>
      <c r="DP421" s="1141"/>
      <c r="DQ421" s="1141"/>
      <c r="DS421" s="1138"/>
      <c r="DT421" s="1138"/>
      <c r="DU421" s="1138"/>
      <c r="DZ421" s="1140"/>
      <c r="EA421" s="1140"/>
      <c r="ED421" s="1138"/>
      <c r="EE421" s="1138"/>
      <c r="EG421" s="1140"/>
      <c r="EH421" s="1140"/>
      <c r="EK421" s="1138"/>
      <c r="EL421" s="1138"/>
      <c r="EN421" s="1140"/>
      <c r="EO421" s="1140"/>
      <c r="ER421" s="1138"/>
      <c r="ES421" s="1138"/>
      <c r="EV421" s="1140"/>
      <c r="EW421" s="1140"/>
      <c r="EX421" s="1140"/>
      <c r="EZ421" s="1138"/>
      <c r="FA421" s="1138"/>
      <c r="FB421" s="1138"/>
      <c r="FE421" s="1140"/>
      <c r="FF421" s="1140"/>
      <c r="FG421" s="1140"/>
      <c r="FH421" s="1140"/>
      <c r="FI421" s="1138"/>
      <c r="FJ421" s="1138"/>
      <c r="FK421" s="1138"/>
      <c r="FL421" s="1138"/>
      <c r="FO421" s="1140"/>
      <c r="FP421" s="1140"/>
      <c r="FQ421" s="1140"/>
      <c r="FR421" s="1140"/>
      <c r="FS421" s="1138"/>
      <c r="FT421" s="1138"/>
      <c r="FU421" s="1138"/>
      <c r="FV421" s="1138"/>
      <c r="FW421" s="1140"/>
      <c r="GA421" s="1138"/>
      <c r="GC421" s="1138" t="s">
        <v>1349</v>
      </c>
      <c r="GD421" s="1138" t="s">
        <v>1349</v>
      </c>
      <c r="GE421" s="1138" t="s">
        <v>1349</v>
      </c>
      <c r="GF421" s="1138" t="s">
        <v>1349</v>
      </c>
      <c r="GG421" s="1138" t="s">
        <v>1349</v>
      </c>
      <c r="GH421" s="1138" t="s">
        <v>1349</v>
      </c>
      <c r="GI421" s="1138" t="s">
        <v>1349</v>
      </c>
      <c r="GJ421" s="1138" t="s">
        <v>1349</v>
      </c>
      <c r="GK421" s="1138" t="s">
        <v>1349</v>
      </c>
      <c r="GL421" s="1138" t="s">
        <v>1349</v>
      </c>
      <c r="GM421" s="1138" t="s">
        <v>1349</v>
      </c>
      <c r="GN421" s="1138" t="s">
        <v>1349</v>
      </c>
      <c r="GO421" s="1138" t="s">
        <v>1349</v>
      </c>
      <c r="GP421" s="1138" t="s">
        <v>1349</v>
      </c>
      <c r="GQ421" s="1138" t="s">
        <v>1349</v>
      </c>
      <c r="GR421" s="1138" t="s">
        <v>1349</v>
      </c>
    </row>
    <row r="422" spans="1:200" x14ac:dyDescent="0.2">
      <c r="A422" s="1138"/>
      <c r="B422" s="1138"/>
      <c r="BC422" s="1260"/>
      <c r="BD422" s="1137"/>
      <c r="CF422" s="1142"/>
      <c r="CG422" s="1138"/>
      <c r="CH422" s="1138"/>
      <c r="CJ422" s="1138"/>
      <c r="DP422" s="1141"/>
      <c r="DQ422" s="1141"/>
      <c r="DS422" s="1138"/>
      <c r="DT422" s="1138"/>
      <c r="DU422" s="1138"/>
      <c r="DZ422" s="1140"/>
      <c r="EA422" s="1140"/>
      <c r="ED422" s="1138"/>
      <c r="EE422" s="1138"/>
      <c r="EG422" s="1140"/>
      <c r="EH422" s="1140"/>
      <c r="EK422" s="1138"/>
      <c r="EL422" s="1138"/>
      <c r="EN422" s="1140"/>
      <c r="EO422" s="1140"/>
      <c r="ER422" s="1138"/>
      <c r="ES422" s="1138"/>
      <c r="EV422" s="1140"/>
      <c r="EW422" s="1140"/>
      <c r="EX422" s="1140"/>
      <c r="EZ422" s="1138"/>
      <c r="FA422" s="1138"/>
      <c r="FB422" s="1138"/>
      <c r="FE422" s="1140"/>
      <c r="FF422" s="1140"/>
      <c r="FG422" s="1140"/>
      <c r="FH422" s="1140"/>
      <c r="FI422" s="1138"/>
      <c r="FJ422" s="1138"/>
      <c r="FK422" s="1138"/>
      <c r="FL422" s="1138"/>
      <c r="FO422" s="1140"/>
      <c r="FP422" s="1140"/>
      <c r="FQ422" s="1140"/>
      <c r="FR422" s="1140"/>
      <c r="FS422" s="1138"/>
      <c r="FT422" s="1138"/>
      <c r="FU422" s="1138"/>
      <c r="FV422" s="1138"/>
      <c r="FW422" s="1140"/>
      <c r="GA422" s="1138"/>
      <c r="GC422" s="1138" t="s">
        <v>1349</v>
      </c>
      <c r="GD422" s="1138" t="s">
        <v>1349</v>
      </c>
      <c r="GE422" s="1138" t="s">
        <v>1349</v>
      </c>
      <c r="GF422" s="1138" t="s">
        <v>1349</v>
      </c>
      <c r="GG422" s="1138" t="s">
        <v>1349</v>
      </c>
      <c r="GH422" s="1138" t="s">
        <v>1349</v>
      </c>
      <c r="GI422" s="1138" t="s">
        <v>1349</v>
      </c>
      <c r="GJ422" s="1138" t="s">
        <v>1349</v>
      </c>
      <c r="GK422" s="1138" t="s">
        <v>1349</v>
      </c>
      <c r="GL422" s="1138" t="s">
        <v>1349</v>
      </c>
      <c r="GM422" s="1138" t="s">
        <v>1349</v>
      </c>
      <c r="GN422" s="1138" t="s">
        <v>1349</v>
      </c>
      <c r="GO422" s="1138" t="s">
        <v>1349</v>
      </c>
      <c r="GP422" s="1138" t="s">
        <v>1349</v>
      </c>
      <c r="GQ422" s="1138" t="s">
        <v>1349</v>
      </c>
      <c r="GR422" s="1138" t="s">
        <v>1349</v>
      </c>
    </row>
    <row r="423" spans="1:200" x14ac:dyDescent="0.2">
      <c r="A423" s="1138"/>
      <c r="B423" s="1138"/>
      <c r="BC423" s="1260"/>
      <c r="BD423" s="1137"/>
      <c r="CF423" s="1142"/>
      <c r="CG423" s="1138"/>
      <c r="CH423" s="1138"/>
      <c r="CJ423" s="1138"/>
      <c r="DP423" s="1141"/>
      <c r="DQ423" s="1141"/>
      <c r="DS423" s="1138"/>
      <c r="DT423" s="1138"/>
      <c r="DU423" s="1138"/>
      <c r="DZ423" s="1140"/>
      <c r="EA423" s="1140"/>
      <c r="ED423" s="1138"/>
      <c r="EE423" s="1138"/>
      <c r="EG423" s="1140"/>
      <c r="EH423" s="1140"/>
      <c r="EK423" s="1138"/>
      <c r="EL423" s="1138"/>
      <c r="EN423" s="1140"/>
      <c r="EO423" s="1140"/>
      <c r="ER423" s="1138"/>
      <c r="ES423" s="1138"/>
      <c r="EV423" s="1140"/>
      <c r="EW423" s="1140"/>
      <c r="EX423" s="1140"/>
      <c r="EZ423" s="1138"/>
      <c r="FA423" s="1138"/>
      <c r="FB423" s="1138"/>
      <c r="FE423" s="1140"/>
      <c r="FF423" s="1140"/>
      <c r="FG423" s="1140"/>
      <c r="FH423" s="1140"/>
      <c r="FI423" s="1138"/>
      <c r="FJ423" s="1138"/>
      <c r="FK423" s="1138"/>
      <c r="FL423" s="1138"/>
      <c r="FO423" s="1140"/>
      <c r="FP423" s="1140"/>
      <c r="FQ423" s="1140"/>
      <c r="FR423" s="1140"/>
      <c r="FS423" s="1138"/>
      <c r="FT423" s="1138"/>
      <c r="FU423" s="1138"/>
      <c r="FV423" s="1138"/>
      <c r="FW423" s="1140"/>
      <c r="GA423" s="1138"/>
      <c r="GC423" s="1138" t="s">
        <v>1349</v>
      </c>
      <c r="GD423" s="1138" t="s">
        <v>1349</v>
      </c>
      <c r="GE423" s="1138" t="s">
        <v>1349</v>
      </c>
      <c r="GF423" s="1138" t="s">
        <v>1349</v>
      </c>
      <c r="GG423" s="1138" t="s">
        <v>1349</v>
      </c>
      <c r="GH423" s="1138" t="s">
        <v>1349</v>
      </c>
      <c r="GI423" s="1138" t="s">
        <v>1349</v>
      </c>
      <c r="GJ423" s="1138" t="s">
        <v>1349</v>
      </c>
      <c r="GK423" s="1138" t="s">
        <v>1349</v>
      </c>
      <c r="GL423" s="1138" t="s">
        <v>1349</v>
      </c>
      <c r="GM423" s="1138" t="s">
        <v>1349</v>
      </c>
      <c r="GN423" s="1138" t="s">
        <v>1349</v>
      </c>
      <c r="GO423" s="1138" t="s">
        <v>1349</v>
      </c>
      <c r="GP423" s="1138" t="s">
        <v>1349</v>
      </c>
      <c r="GQ423" s="1138" t="s">
        <v>1349</v>
      </c>
      <c r="GR423" s="1138" t="s">
        <v>1349</v>
      </c>
    </row>
    <row r="424" spans="1:200" x14ac:dyDescent="0.2">
      <c r="A424" s="1138"/>
      <c r="B424" s="1138"/>
      <c r="BC424" s="1260"/>
      <c r="BD424" s="1137"/>
      <c r="CF424" s="1142"/>
      <c r="CG424" s="1138"/>
      <c r="CH424" s="1138"/>
      <c r="CJ424" s="1138"/>
      <c r="DP424" s="1141"/>
      <c r="DQ424" s="1141"/>
      <c r="DS424" s="1138"/>
      <c r="DT424" s="1138"/>
      <c r="DU424" s="1138"/>
      <c r="DZ424" s="1140"/>
      <c r="EA424" s="1140"/>
      <c r="ED424" s="1138"/>
      <c r="EE424" s="1138"/>
      <c r="EG424" s="1140"/>
      <c r="EH424" s="1140"/>
      <c r="EK424" s="1138"/>
      <c r="EL424" s="1138"/>
      <c r="EN424" s="1140"/>
      <c r="EO424" s="1140"/>
      <c r="ER424" s="1138"/>
      <c r="ES424" s="1138"/>
      <c r="EV424" s="1140"/>
      <c r="EW424" s="1140"/>
      <c r="EX424" s="1140"/>
      <c r="EZ424" s="1138"/>
      <c r="FA424" s="1138"/>
      <c r="FB424" s="1138"/>
      <c r="FE424" s="1140"/>
      <c r="FF424" s="1140"/>
      <c r="FG424" s="1140"/>
      <c r="FH424" s="1140"/>
      <c r="FI424" s="1138"/>
      <c r="FJ424" s="1138"/>
      <c r="FK424" s="1138"/>
      <c r="FL424" s="1138"/>
      <c r="FO424" s="1140"/>
      <c r="FP424" s="1140"/>
      <c r="FQ424" s="1140"/>
      <c r="FR424" s="1140"/>
      <c r="FS424" s="1138"/>
      <c r="FT424" s="1138"/>
      <c r="FU424" s="1138"/>
      <c r="FV424" s="1138"/>
      <c r="FW424" s="1140"/>
      <c r="GA424" s="1138"/>
      <c r="GC424" s="1138" t="s">
        <v>1349</v>
      </c>
      <c r="GD424" s="1138" t="s">
        <v>1349</v>
      </c>
      <c r="GE424" s="1138" t="s">
        <v>1349</v>
      </c>
      <c r="GF424" s="1138" t="s">
        <v>1349</v>
      </c>
      <c r="GG424" s="1138" t="s">
        <v>1349</v>
      </c>
      <c r="GH424" s="1138" t="s">
        <v>1349</v>
      </c>
      <c r="GI424" s="1138" t="s">
        <v>1349</v>
      </c>
      <c r="GJ424" s="1138" t="s">
        <v>1349</v>
      </c>
      <c r="GK424" s="1138" t="s">
        <v>1349</v>
      </c>
      <c r="GL424" s="1138" t="s">
        <v>1349</v>
      </c>
      <c r="GM424" s="1138" t="s">
        <v>1349</v>
      </c>
      <c r="GN424" s="1138" t="s">
        <v>1349</v>
      </c>
      <c r="GO424" s="1138" t="s">
        <v>1349</v>
      </c>
      <c r="GP424" s="1138" t="s">
        <v>1349</v>
      </c>
      <c r="GQ424" s="1138" t="s">
        <v>1349</v>
      </c>
      <c r="GR424" s="1138" t="s">
        <v>1349</v>
      </c>
    </row>
    <row r="425" spans="1:200" x14ac:dyDescent="0.2">
      <c r="A425" s="1138"/>
      <c r="B425" s="1138"/>
      <c r="BC425" s="1260"/>
      <c r="BD425" s="1137"/>
      <c r="CF425" s="1142"/>
      <c r="CG425" s="1138"/>
      <c r="CH425" s="1138"/>
      <c r="CJ425" s="1138"/>
      <c r="DP425" s="1141"/>
      <c r="DQ425" s="1141"/>
      <c r="DS425" s="1138"/>
      <c r="DT425" s="1138"/>
      <c r="DU425" s="1138"/>
      <c r="DZ425" s="1140"/>
      <c r="EA425" s="1140"/>
      <c r="ED425" s="1138"/>
      <c r="EE425" s="1138"/>
      <c r="EG425" s="1140"/>
      <c r="EH425" s="1140"/>
      <c r="EK425" s="1138"/>
      <c r="EL425" s="1138"/>
      <c r="EN425" s="1140"/>
      <c r="EO425" s="1140"/>
      <c r="ER425" s="1138"/>
      <c r="ES425" s="1138"/>
      <c r="EV425" s="1140"/>
      <c r="EW425" s="1140"/>
      <c r="EX425" s="1140"/>
      <c r="EZ425" s="1138"/>
      <c r="FA425" s="1138"/>
      <c r="FB425" s="1138"/>
      <c r="FE425" s="1140"/>
      <c r="FF425" s="1140"/>
      <c r="FG425" s="1140"/>
      <c r="FH425" s="1140"/>
      <c r="FI425" s="1138"/>
      <c r="FJ425" s="1138"/>
      <c r="FK425" s="1138"/>
      <c r="FL425" s="1138"/>
      <c r="FO425" s="1140"/>
      <c r="FP425" s="1140"/>
      <c r="FQ425" s="1140"/>
      <c r="FR425" s="1140"/>
      <c r="FS425" s="1138"/>
      <c r="FT425" s="1138"/>
      <c r="FU425" s="1138"/>
      <c r="FV425" s="1138"/>
      <c r="FW425" s="1140"/>
      <c r="GA425" s="1138"/>
      <c r="GC425" s="1138" t="s">
        <v>1349</v>
      </c>
      <c r="GD425" s="1138" t="s">
        <v>1349</v>
      </c>
      <c r="GE425" s="1138" t="s">
        <v>1349</v>
      </c>
      <c r="GF425" s="1138" t="s">
        <v>1349</v>
      </c>
      <c r="GG425" s="1138" t="s">
        <v>1349</v>
      </c>
      <c r="GH425" s="1138" t="s">
        <v>1349</v>
      </c>
      <c r="GI425" s="1138" t="s">
        <v>1349</v>
      </c>
      <c r="GJ425" s="1138" t="s">
        <v>1349</v>
      </c>
      <c r="GK425" s="1138" t="s">
        <v>1349</v>
      </c>
      <c r="GL425" s="1138" t="s">
        <v>1349</v>
      </c>
      <c r="GM425" s="1138" t="s">
        <v>1349</v>
      </c>
      <c r="GN425" s="1138" t="s">
        <v>1349</v>
      </c>
      <c r="GO425" s="1138" t="s">
        <v>1349</v>
      </c>
      <c r="GP425" s="1138" t="s">
        <v>1349</v>
      </c>
      <c r="GQ425" s="1138" t="s">
        <v>1349</v>
      </c>
      <c r="GR425" s="1138" t="s">
        <v>1349</v>
      </c>
    </row>
    <row r="426" spans="1:200" x14ac:dyDescent="0.2">
      <c r="A426" s="1138"/>
      <c r="B426" s="1138"/>
      <c r="BC426" s="1260"/>
      <c r="BD426" s="1137"/>
      <c r="CF426" s="1142"/>
      <c r="CG426" s="1138"/>
      <c r="CH426" s="1138"/>
      <c r="CJ426" s="1138"/>
      <c r="DP426" s="1141"/>
      <c r="DQ426" s="1141"/>
      <c r="DS426" s="1138"/>
      <c r="DT426" s="1138"/>
      <c r="DU426" s="1138"/>
      <c r="DZ426" s="1140"/>
      <c r="EA426" s="1140"/>
      <c r="ED426" s="1138"/>
      <c r="EE426" s="1138"/>
      <c r="EG426" s="1140"/>
      <c r="EH426" s="1140"/>
      <c r="EK426" s="1138"/>
      <c r="EL426" s="1138"/>
      <c r="EN426" s="1140"/>
      <c r="EO426" s="1140"/>
      <c r="ER426" s="1138"/>
      <c r="ES426" s="1138"/>
      <c r="EV426" s="1140"/>
      <c r="EW426" s="1140"/>
      <c r="EX426" s="1140"/>
      <c r="EZ426" s="1138"/>
      <c r="FA426" s="1138"/>
      <c r="FB426" s="1138"/>
      <c r="FE426" s="1140"/>
      <c r="FF426" s="1140"/>
      <c r="FG426" s="1140"/>
      <c r="FH426" s="1140"/>
      <c r="FI426" s="1138"/>
      <c r="FJ426" s="1138"/>
      <c r="FK426" s="1138"/>
      <c r="FL426" s="1138"/>
      <c r="FO426" s="1140"/>
      <c r="FP426" s="1140"/>
      <c r="FQ426" s="1140"/>
      <c r="FR426" s="1140"/>
      <c r="FS426" s="1138"/>
      <c r="FT426" s="1138"/>
      <c r="FU426" s="1138"/>
      <c r="FV426" s="1138"/>
      <c r="FW426" s="1140"/>
      <c r="GA426" s="1138"/>
      <c r="GC426" s="1138" t="s">
        <v>1349</v>
      </c>
      <c r="GD426" s="1138" t="s">
        <v>1349</v>
      </c>
      <c r="GE426" s="1138" t="s">
        <v>1349</v>
      </c>
      <c r="GF426" s="1138" t="s">
        <v>1349</v>
      </c>
      <c r="GG426" s="1138" t="s">
        <v>1349</v>
      </c>
      <c r="GH426" s="1138" t="s">
        <v>1349</v>
      </c>
      <c r="GI426" s="1138" t="s">
        <v>1349</v>
      </c>
      <c r="GJ426" s="1138" t="s">
        <v>1349</v>
      </c>
      <c r="GK426" s="1138" t="s">
        <v>1349</v>
      </c>
      <c r="GL426" s="1138" t="s">
        <v>1349</v>
      </c>
      <c r="GM426" s="1138" t="s">
        <v>1349</v>
      </c>
      <c r="GN426" s="1138" t="s">
        <v>1349</v>
      </c>
      <c r="GO426" s="1138" t="s">
        <v>1349</v>
      </c>
      <c r="GP426" s="1138" t="s">
        <v>1349</v>
      </c>
      <c r="GQ426" s="1138" t="s">
        <v>1349</v>
      </c>
      <c r="GR426" s="1138" t="s">
        <v>1349</v>
      </c>
    </row>
    <row r="427" spans="1:200" x14ac:dyDescent="0.2">
      <c r="A427" s="1138"/>
      <c r="B427" s="1138"/>
      <c r="BC427" s="1260"/>
      <c r="BD427" s="1137"/>
      <c r="CF427" s="1142"/>
      <c r="CG427" s="1138"/>
      <c r="CH427" s="1138"/>
      <c r="CJ427" s="1138"/>
      <c r="DP427" s="1141"/>
      <c r="DQ427" s="1141"/>
      <c r="DS427" s="1138"/>
      <c r="DT427" s="1138"/>
      <c r="DU427" s="1138"/>
      <c r="DZ427" s="1140"/>
      <c r="EA427" s="1140"/>
      <c r="ED427" s="1138"/>
      <c r="EE427" s="1138"/>
      <c r="EG427" s="1140"/>
      <c r="EH427" s="1140"/>
      <c r="EK427" s="1138"/>
      <c r="EL427" s="1138"/>
      <c r="EN427" s="1140"/>
      <c r="EO427" s="1140"/>
      <c r="ER427" s="1138"/>
      <c r="ES427" s="1138"/>
      <c r="EV427" s="1140"/>
      <c r="EW427" s="1140"/>
      <c r="EX427" s="1140"/>
      <c r="EZ427" s="1138"/>
      <c r="FA427" s="1138"/>
      <c r="FB427" s="1138"/>
      <c r="FE427" s="1140"/>
      <c r="FF427" s="1140"/>
      <c r="FG427" s="1140"/>
      <c r="FH427" s="1140"/>
      <c r="FI427" s="1138"/>
      <c r="FJ427" s="1138"/>
      <c r="FK427" s="1138"/>
      <c r="FL427" s="1138"/>
      <c r="FO427" s="1140"/>
      <c r="FP427" s="1140"/>
      <c r="FQ427" s="1140"/>
      <c r="FR427" s="1140"/>
      <c r="FS427" s="1138"/>
      <c r="FT427" s="1138"/>
      <c r="FU427" s="1138"/>
      <c r="FV427" s="1138"/>
      <c r="FW427" s="1140"/>
      <c r="GA427" s="1138"/>
      <c r="GC427" s="1138" t="s">
        <v>1349</v>
      </c>
      <c r="GD427" s="1138" t="s">
        <v>1349</v>
      </c>
      <c r="GE427" s="1138" t="s">
        <v>1349</v>
      </c>
      <c r="GF427" s="1138" t="s">
        <v>1349</v>
      </c>
      <c r="GG427" s="1138" t="s">
        <v>1349</v>
      </c>
      <c r="GH427" s="1138" t="s">
        <v>1349</v>
      </c>
      <c r="GI427" s="1138" t="s">
        <v>1349</v>
      </c>
      <c r="GJ427" s="1138" t="s">
        <v>1349</v>
      </c>
      <c r="GK427" s="1138" t="s">
        <v>1349</v>
      </c>
      <c r="GL427" s="1138" t="s">
        <v>1349</v>
      </c>
      <c r="GM427" s="1138" t="s">
        <v>1349</v>
      </c>
      <c r="GN427" s="1138" t="s">
        <v>1349</v>
      </c>
      <c r="GO427" s="1138" t="s">
        <v>1349</v>
      </c>
      <c r="GP427" s="1138" t="s">
        <v>1349</v>
      </c>
      <c r="GQ427" s="1138" t="s">
        <v>1349</v>
      </c>
      <c r="GR427" s="1138" t="s">
        <v>1349</v>
      </c>
    </row>
    <row r="428" spans="1:200" x14ac:dyDescent="0.2">
      <c r="A428" s="1138"/>
      <c r="B428" s="1138"/>
      <c r="BC428" s="1260"/>
      <c r="BD428" s="1137"/>
      <c r="CF428" s="1142"/>
      <c r="CG428" s="1138"/>
      <c r="CH428" s="1138"/>
      <c r="CJ428" s="1138"/>
      <c r="DP428" s="1141"/>
      <c r="DQ428" s="1141"/>
      <c r="DS428" s="1138"/>
      <c r="DT428" s="1138"/>
      <c r="DU428" s="1138"/>
      <c r="DZ428" s="1140"/>
      <c r="EA428" s="1140"/>
      <c r="ED428" s="1138"/>
      <c r="EE428" s="1138"/>
      <c r="EG428" s="1140"/>
      <c r="EH428" s="1140"/>
      <c r="EK428" s="1138"/>
      <c r="EL428" s="1138"/>
      <c r="EN428" s="1140"/>
      <c r="EO428" s="1140"/>
      <c r="ER428" s="1138"/>
      <c r="ES428" s="1138"/>
      <c r="EV428" s="1140"/>
      <c r="EW428" s="1140"/>
      <c r="EX428" s="1140"/>
      <c r="EZ428" s="1138"/>
      <c r="FA428" s="1138"/>
      <c r="FB428" s="1138"/>
      <c r="FE428" s="1140"/>
      <c r="FF428" s="1140"/>
      <c r="FG428" s="1140"/>
      <c r="FH428" s="1140"/>
      <c r="FI428" s="1138"/>
      <c r="FJ428" s="1138"/>
      <c r="FK428" s="1138"/>
      <c r="FL428" s="1138"/>
      <c r="FO428" s="1140"/>
      <c r="FP428" s="1140"/>
      <c r="FQ428" s="1140"/>
      <c r="FR428" s="1140"/>
      <c r="FS428" s="1138"/>
      <c r="FT428" s="1138"/>
      <c r="FU428" s="1138"/>
      <c r="FV428" s="1138"/>
      <c r="FW428" s="1140"/>
      <c r="GA428" s="1138"/>
      <c r="GC428" s="1138" t="s">
        <v>1349</v>
      </c>
      <c r="GD428" s="1138" t="s">
        <v>1349</v>
      </c>
      <c r="GE428" s="1138" t="s">
        <v>1349</v>
      </c>
      <c r="GF428" s="1138" t="s">
        <v>1349</v>
      </c>
      <c r="GG428" s="1138" t="s">
        <v>1349</v>
      </c>
      <c r="GH428" s="1138" t="s">
        <v>1349</v>
      </c>
      <c r="GI428" s="1138" t="s">
        <v>1349</v>
      </c>
      <c r="GJ428" s="1138" t="s">
        <v>1349</v>
      </c>
      <c r="GK428" s="1138" t="s">
        <v>1349</v>
      </c>
      <c r="GL428" s="1138" t="s">
        <v>1349</v>
      </c>
      <c r="GM428" s="1138" t="s">
        <v>1349</v>
      </c>
      <c r="GN428" s="1138" t="s">
        <v>1349</v>
      </c>
      <c r="GO428" s="1138" t="s">
        <v>1349</v>
      </c>
      <c r="GP428" s="1138" t="s">
        <v>1349</v>
      </c>
      <c r="GQ428" s="1138" t="s">
        <v>1349</v>
      </c>
      <c r="GR428" s="1138" t="s">
        <v>1349</v>
      </c>
    </row>
    <row r="429" spans="1:200" x14ac:dyDescent="0.2">
      <c r="A429" s="1138"/>
      <c r="B429" s="1138"/>
      <c r="BC429" s="1260"/>
      <c r="BD429" s="1137"/>
      <c r="CF429" s="1142"/>
      <c r="CG429" s="1138"/>
      <c r="CH429" s="1138"/>
      <c r="CJ429" s="1138"/>
      <c r="DO429" s="1140"/>
      <c r="DP429" s="1141"/>
      <c r="DQ429" s="1141"/>
      <c r="DS429" s="1138"/>
      <c r="DT429" s="1138"/>
      <c r="DU429" s="1138"/>
      <c r="DZ429" s="1140"/>
      <c r="EA429" s="1140"/>
      <c r="ED429" s="1138"/>
      <c r="EE429" s="1138"/>
      <c r="EG429" s="1140"/>
      <c r="EH429" s="1140"/>
      <c r="EK429" s="1138"/>
      <c r="EL429" s="1138"/>
      <c r="EN429" s="1140"/>
      <c r="EO429" s="1140"/>
      <c r="ER429" s="1138"/>
      <c r="ES429" s="1138"/>
      <c r="EV429" s="1140"/>
      <c r="EW429" s="1140"/>
      <c r="EX429" s="1140"/>
      <c r="EZ429" s="1138"/>
      <c r="FA429" s="1138"/>
      <c r="FB429" s="1138"/>
      <c r="FE429" s="1140"/>
      <c r="FF429" s="1140"/>
      <c r="FG429" s="1140"/>
      <c r="FH429" s="1140"/>
      <c r="FI429" s="1138"/>
      <c r="FJ429" s="1138"/>
      <c r="FK429" s="1138"/>
      <c r="FL429" s="1138"/>
      <c r="FO429" s="1140"/>
      <c r="FP429" s="1140"/>
      <c r="FQ429" s="1140"/>
      <c r="FR429" s="1140"/>
      <c r="FS429" s="1138"/>
      <c r="FT429" s="1138"/>
      <c r="FU429" s="1138"/>
      <c r="FV429" s="1138"/>
      <c r="FW429" s="1140"/>
      <c r="GA429" s="1138"/>
      <c r="GC429" s="1138" t="s">
        <v>1349</v>
      </c>
      <c r="GD429" s="1138" t="s">
        <v>1349</v>
      </c>
      <c r="GE429" s="1138" t="s">
        <v>1349</v>
      </c>
      <c r="GF429" s="1138" t="s">
        <v>1349</v>
      </c>
      <c r="GG429" s="1138" t="s">
        <v>1349</v>
      </c>
      <c r="GH429" s="1138" t="s">
        <v>1349</v>
      </c>
      <c r="GI429" s="1138" t="s">
        <v>1349</v>
      </c>
      <c r="GJ429" s="1138" t="s">
        <v>1349</v>
      </c>
      <c r="GK429" s="1138" t="s">
        <v>1349</v>
      </c>
      <c r="GL429" s="1138" t="s">
        <v>1349</v>
      </c>
      <c r="GM429" s="1138" t="s">
        <v>1349</v>
      </c>
      <c r="GN429" s="1138" t="s">
        <v>1349</v>
      </c>
      <c r="GO429" s="1138" t="s">
        <v>1349</v>
      </c>
      <c r="GP429" s="1138" t="s">
        <v>1349</v>
      </c>
      <c r="GQ429" s="1138" t="s">
        <v>1349</v>
      </c>
      <c r="GR429" s="1138" t="s">
        <v>1349</v>
      </c>
    </row>
    <row r="430" spans="1:200" x14ac:dyDescent="0.2">
      <c r="A430" s="1138"/>
      <c r="B430" s="1138"/>
      <c r="BC430" s="1260"/>
      <c r="BD430" s="1137"/>
      <c r="CF430" s="1142"/>
      <c r="CG430" s="1138"/>
      <c r="CH430" s="1138"/>
      <c r="CJ430" s="1138"/>
      <c r="DO430" s="1140"/>
      <c r="DP430" s="1141"/>
      <c r="DQ430" s="1141"/>
      <c r="DS430" s="1138"/>
      <c r="DT430" s="1138"/>
      <c r="DU430" s="1138"/>
      <c r="DZ430" s="1140"/>
      <c r="EA430" s="1140"/>
      <c r="ED430" s="1138"/>
      <c r="EE430" s="1138"/>
      <c r="EG430" s="1140"/>
      <c r="EH430" s="1140"/>
      <c r="EK430" s="1138"/>
      <c r="EL430" s="1138"/>
      <c r="EN430" s="1140"/>
      <c r="EO430" s="1140"/>
      <c r="ER430" s="1138"/>
      <c r="ES430" s="1138"/>
      <c r="EV430" s="1140"/>
      <c r="EW430" s="1140"/>
      <c r="EX430" s="1140"/>
      <c r="EZ430" s="1138"/>
      <c r="FA430" s="1138"/>
      <c r="FB430" s="1138"/>
      <c r="FE430" s="1140"/>
      <c r="FF430" s="1140"/>
      <c r="FG430" s="1140"/>
      <c r="FH430" s="1140"/>
      <c r="FI430" s="1138"/>
      <c r="FJ430" s="1138"/>
      <c r="FK430" s="1138"/>
      <c r="FL430" s="1138"/>
      <c r="FO430" s="1140"/>
      <c r="FP430" s="1140"/>
      <c r="FQ430" s="1140"/>
      <c r="FR430" s="1140"/>
      <c r="FS430" s="1138"/>
      <c r="FT430" s="1138"/>
      <c r="FU430" s="1138"/>
      <c r="FV430" s="1138"/>
      <c r="FW430" s="1140"/>
      <c r="GA430" s="1138"/>
      <c r="GC430" s="1138" t="s">
        <v>1349</v>
      </c>
      <c r="GD430" s="1138" t="s">
        <v>1349</v>
      </c>
      <c r="GE430" s="1138" t="s">
        <v>1349</v>
      </c>
      <c r="GF430" s="1138" t="s">
        <v>1349</v>
      </c>
      <c r="GG430" s="1138" t="s">
        <v>1349</v>
      </c>
      <c r="GH430" s="1138" t="s">
        <v>1349</v>
      </c>
      <c r="GI430" s="1138" t="s">
        <v>1349</v>
      </c>
      <c r="GJ430" s="1138" t="s">
        <v>1349</v>
      </c>
      <c r="GK430" s="1138" t="s">
        <v>1349</v>
      </c>
      <c r="GL430" s="1138" t="s">
        <v>1349</v>
      </c>
      <c r="GM430" s="1138" t="s">
        <v>1349</v>
      </c>
      <c r="GN430" s="1138" t="s">
        <v>1349</v>
      </c>
      <c r="GO430" s="1138" t="s">
        <v>1349</v>
      </c>
      <c r="GP430" s="1138" t="s">
        <v>1349</v>
      </c>
      <c r="GQ430" s="1138" t="s">
        <v>1349</v>
      </c>
      <c r="GR430" s="1138" t="s">
        <v>1349</v>
      </c>
    </row>
    <row r="431" spans="1:200" x14ac:dyDescent="0.2">
      <c r="A431" s="1138"/>
      <c r="B431" s="1138"/>
      <c r="BC431" s="1260"/>
      <c r="BD431" s="1137"/>
      <c r="CF431" s="1142"/>
      <c r="CG431" s="1138"/>
      <c r="CH431" s="1138"/>
      <c r="CJ431" s="1138"/>
      <c r="DO431" s="1140"/>
      <c r="DP431" s="1141"/>
      <c r="DQ431" s="1141"/>
      <c r="DS431" s="1138"/>
      <c r="DT431" s="1138"/>
      <c r="DU431" s="1138"/>
      <c r="DZ431" s="1140"/>
      <c r="EA431" s="1140"/>
      <c r="ED431" s="1138"/>
      <c r="EE431" s="1138"/>
      <c r="EG431" s="1140"/>
      <c r="EH431" s="1140"/>
      <c r="EK431" s="1138"/>
      <c r="EL431" s="1138"/>
      <c r="EN431" s="1140"/>
      <c r="EO431" s="1140"/>
      <c r="ER431" s="1138"/>
      <c r="ES431" s="1138"/>
      <c r="EV431" s="1140"/>
      <c r="EW431" s="1140"/>
      <c r="EX431" s="1140"/>
      <c r="EZ431" s="1138"/>
      <c r="FA431" s="1138"/>
      <c r="FB431" s="1138"/>
      <c r="FE431" s="1140"/>
      <c r="FF431" s="1140"/>
      <c r="FG431" s="1140"/>
      <c r="FH431" s="1140"/>
      <c r="FI431" s="1138"/>
      <c r="FJ431" s="1138"/>
      <c r="FK431" s="1138"/>
      <c r="FL431" s="1138"/>
      <c r="FO431" s="1140"/>
      <c r="FP431" s="1140"/>
      <c r="FQ431" s="1140"/>
      <c r="FR431" s="1140"/>
      <c r="FS431" s="1138"/>
      <c r="FT431" s="1138"/>
      <c r="FU431" s="1138"/>
      <c r="FV431" s="1138"/>
      <c r="FW431" s="1140"/>
      <c r="GA431" s="1138"/>
      <c r="GC431" s="1138" t="s">
        <v>1349</v>
      </c>
      <c r="GD431" s="1138" t="s">
        <v>1349</v>
      </c>
      <c r="GE431" s="1138" t="s">
        <v>1349</v>
      </c>
      <c r="GF431" s="1138" t="s">
        <v>1349</v>
      </c>
      <c r="GG431" s="1138" t="s">
        <v>1349</v>
      </c>
      <c r="GH431" s="1138" t="s">
        <v>1349</v>
      </c>
      <c r="GI431" s="1138" t="s">
        <v>1349</v>
      </c>
      <c r="GJ431" s="1138" t="s">
        <v>1349</v>
      </c>
      <c r="GK431" s="1138" t="s">
        <v>1349</v>
      </c>
      <c r="GL431" s="1138" t="s">
        <v>1349</v>
      </c>
      <c r="GM431" s="1138" t="s">
        <v>1349</v>
      </c>
      <c r="GN431" s="1138" t="s">
        <v>1349</v>
      </c>
      <c r="GO431" s="1138" t="s">
        <v>1349</v>
      </c>
      <c r="GP431" s="1138" t="s">
        <v>1349</v>
      </c>
      <c r="GQ431" s="1138" t="s">
        <v>1349</v>
      </c>
      <c r="GR431" s="1138" t="s">
        <v>1349</v>
      </c>
    </row>
    <row r="432" spans="1:200" x14ac:dyDescent="0.2">
      <c r="A432" s="1138"/>
      <c r="B432" s="1138"/>
      <c r="BC432" s="1136"/>
      <c r="BD432" s="1137"/>
      <c r="CF432" s="1142"/>
      <c r="CG432" s="1138"/>
      <c r="CH432" s="1138"/>
      <c r="CJ432" s="1138"/>
      <c r="DO432" s="1140"/>
      <c r="DP432" s="1141"/>
      <c r="DQ432" s="1141"/>
      <c r="DS432" s="1138"/>
      <c r="DT432" s="1138"/>
      <c r="DU432" s="1138"/>
      <c r="DZ432" s="1140"/>
      <c r="EA432" s="1140"/>
      <c r="ED432" s="1138"/>
      <c r="EE432" s="1138"/>
      <c r="EG432" s="1140"/>
      <c r="EH432" s="1140"/>
      <c r="EK432" s="1138"/>
      <c r="EL432" s="1138"/>
      <c r="EN432" s="1140"/>
      <c r="EO432" s="1140"/>
      <c r="ER432" s="1138"/>
      <c r="ES432" s="1138"/>
      <c r="EV432" s="1140"/>
      <c r="EW432" s="1140"/>
      <c r="EX432" s="1140"/>
      <c r="EZ432" s="1138"/>
      <c r="FA432" s="1138"/>
      <c r="FB432" s="1138"/>
      <c r="FE432" s="1140"/>
      <c r="FF432" s="1140"/>
      <c r="FG432" s="1140"/>
      <c r="FH432" s="1140"/>
      <c r="FI432" s="1138"/>
      <c r="FJ432" s="1138"/>
      <c r="FK432" s="1138"/>
      <c r="FL432" s="1138"/>
      <c r="FO432" s="1140"/>
      <c r="FP432" s="1140"/>
      <c r="FQ432" s="1140"/>
      <c r="FR432" s="1140"/>
      <c r="FS432" s="1138"/>
      <c r="FT432" s="1138"/>
      <c r="FU432" s="1138"/>
      <c r="FV432" s="1138"/>
      <c r="FW432" s="1140"/>
      <c r="GA432" s="1138"/>
      <c r="GC432" s="1138" t="s">
        <v>1349</v>
      </c>
      <c r="GD432" s="1138" t="s">
        <v>1349</v>
      </c>
      <c r="GE432" s="1138" t="s">
        <v>1349</v>
      </c>
      <c r="GF432" s="1138" t="s">
        <v>1349</v>
      </c>
      <c r="GG432" s="1138" t="s">
        <v>1349</v>
      </c>
      <c r="GH432" s="1138" t="s">
        <v>1349</v>
      </c>
      <c r="GI432" s="1138" t="s">
        <v>1349</v>
      </c>
      <c r="GJ432" s="1138" t="s">
        <v>1349</v>
      </c>
      <c r="GK432" s="1138" t="s">
        <v>1349</v>
      </c>
      <c r="GL432" s="1138" t="s">
        <v>1349</v>
      </c>
      <c r="GM432" s="1138" t="s">
        <v>1349</v>
      </c>
      <c r="GN432" s="1138" t="s">
        <v>1349</v>
      </c>
      <c r="GO432" s="1138" t="s">
        <v>1349</v>
      </c>
      <c r="GP432" s="1138" t="s">
        <v>1349</v>
      </c>
      <c r="GQ432" s="1138" t="s">
        <v>1349</v>
      </c>
      <c r="GR432" s="1138" t="s">
        <v>1349</v>
      </c>
    </row>
    <row r="433" spans="1:203" x14ac:dyDescent="0.2">
      <c r="A433" s="1138"/>
      <c r="B433" s="1138"/>
      <c r="BC433" s="1260"/>
      <c r="BD433" s="1137"/>
      <c r="CF433" s="1142"/>
      <c r="CG433" s="1138"/>
      <c r="CH433" s="1138"/>
      <c r="CJ433" s="1138"/>
      <c r="DO433" s="1140"/>
      <c r="DP433" s="1141"/>
      <c r="DQ433" s="1141"/>
      <c r="DS433" s="1138"/>
      <c r="DT433" s="1138"/>
      <c r="DU433" s="1138"/>
      <c r="DZ433" s="1140"/>
      <c r="EA433" s="1140"/>
      <c r="ED433" s="1138"/>
      <c r="EE433" s="1138"/>
      <c r="EG433" s="1140"/>
      <c r="EH433" s="1140"/>
      <c r="EK433" s="1138"/>
      <c r="EL433" s="1138"/>
      <c r="EN433" s="1140"/>
      <c r="EO433" s="1140"/>
      <c r="ER433" s="1138"/>
      <c r="ES433" s="1138"/>
      <c r="EV433" s="1140"/>
      <c r="EW433" s="1140"/>
      <c r="EX433" s="1140"/>
      <c r="EZ433" s="1138"/>
      <c r="FA433" s="1138"/>
      <c r="FB433" s="1138"/>
      <c r="FE433" s="1140"/>
      <c r="FF433" s="1140"/>
      <c r="FG433" s="1140"/>
      <c r="FH433" s="1140"/>
      <c r="FI433" s="1138"/>
      <c r="FJ433" s="1138"/>
      <c r="FK433" s="1138"/>
      <c r="FL433" s="1138"/>
      <c r="FO433" s="1140"/>
      <c r="FP433" s="1140"/>
      <c r="FQ433" s="1140"/>
      <c r="FR433" s="1140"/>
      <c r="FS433" s="1138"/>
      <c r="FT433" s="1138"/>
      <c r="FU433" s="1138"/>
      <c r="FV433" s="1138"/>
      <c r="FW433" s="1140"/>
      <c r="GA433" s="1138"/>
      <c r="GC433" s="1138" t="s">
        <v>1349</v>
      </c>
      <c r="GD433" s="1138" t="s">
        <v>1349</v>
      </c>
      <c r="GE433" s="1138" t="s">
        <v>1349</v>
      </c>
      <c r="GF433" s="1138" t="s">
        <v>1349</v>
      </c>
      <c r="GG433" s="1138" t="s">
        <v>1349</v>
      </c>
      <c r="GH433" s="1138" t="s">
        <v>1349</v>
      </c>
      <c r="GI433" s="1138" t="s">
        <v>1349</v>
      </c>
      <c r="GJ433" s="1138" t="s">
        <v>1349</v>
      </c>
      <c r="GK433" s="1138" t="s">
        <v>1349</v>
      </c>
      <c r="GL433" s="1138" t="s">
        <v>1349</v>
      </c>
      <c r="GM433" s="1138" t="s">
        <v>1349</v>
      </c>
      <c r="GN433" s="1138" t="s">
        <v>1349</v>
      </c>
      <c r="GO433" s="1138" t="s">
        <v>1349</v>
      </c>
      <c r="GP433" s="1138" t="s">
        <v>1349</v>
      </c>
      <c r="GQ433" s="1138" t="s">
        <v>1349</v>
      </c>
      <c r="GR433" s="1138" t="s">
        <v>1349</v>
      </c>
    </row>
    <row r="434" spans="1:203" x14ac:dyDescent="0.2">
      <c r="A434" s="1138"/>
      <c r="B434" s="1138"/>
      <c r="BC434" s="1260"/>
      <c r="BD434" s="1137"/>
      <c r="CF434" s="1142"/>
      <c r="CG434" s="1138"/>
      <c r="CH434" s="1138"/>
      <c r="CJ434" s="1138"/>
      <c r="DO434" s="1140"/>
      <c r="DP434" s="1141"/>
      <c r="DQ434" s="1141"/>
      <c r="DS434" s="1138"/>
      <c r="DT434" s="1138"/>
      <c r="DU434" s="1138"/>
      <c r="DZ434" s="1140"/>
      <c r="EA434" s="1140"/>
      <c r="ED434" s="1138"/>
      <c r="EE434" s="1138"/>
      <c r="EG434" s="1140"/>
      <c r="EH434" s="1140"/>
      <c r="EK434" s="1138"/>
      <c r="EL434" s="1138"/>
      <c r="EN434" s="1140"/>
      <c r="EO434" s="1140"/>
      <c r="ER434" s="1138"/>
      <c r="ES434" s="1138"/>
      <c r="EV434" s="1140"/>
      <c r="EW434" s="1140"/>
      <c r="EX434" s="1140"/>
      <c r="EZ434" s="1138"/>
      <c r="FA434" s="1138"/>
      <c r="FB434" s="1138"/>
      <c r="FE434" s="1140"/>
      <c r="FF434" s="1140"/>
      <c r="FG434" s="1140"/>
      <c r="FH434" s="1140"/>
      <c r="FI434" s="1138"/>
      <c r="FJ434" s="1138"/>
      <c r="FK434" s="1138"/>
      <c r="FL434" s="1138"/>
      <c r="FO434" s="1140"/>
      <c r="FP434" s="1140"/>
      <c r="FQ434" s="1140"/>
      <c r="FR434" s="1140"/>
      <c r="FS434" s="1138"/>
      <c r="FT434" s="1138"/>
      <c r="FU434" s="1138"/>
      <c r="FV434" s="1138"/>
      <c r="FW434" s="1140"/>
      <c r="GA434" s="1138"/>
      <c r="GC434" s="1138" t="s">
        <v>1349</v>
      </c>
      <c r="GD434" s="1138" t="s">
        <v>1349</v>
      </c>
      <c r="GE434" s="1138" t="s">
        <v>1349</v>
      </c>
      <c r="GF434" s="1138" t="s">
        <v>1349</v>
      </c>
      <c r="GG434" s="1138" t="s">
        <v>1349</v>
      </c>
      <c r="GH434" s="1138" t="s">
        <v>1349</v>
      </c>
      <c r="GI434" s="1138" t="s">
        <v>1349</v>
      </c>
      <c r="GJ434" s="1138" t="s">
        <v>1349</v>
      </c>
      <c r="GK434" s="1138" t="s">
        <v>1349</v>
      </c>
      <c r="GL434" s="1138" t="s">
        <v>1349</v>
      </c>
      <c r="GM434" s="1138" t="s">
        <v>1349</v>
      </c>
      <c r="GN434" s="1138" t="s">
        <v>1349</v>
      </c>
      <c r="GO434" s="1138" t="s">
        <v>1349</v>
      </c>
      <c r="GP434" s="1138" t="s">
        <v>1349</v>
      </c>
      <c r="GQ434" s="1138" t="s">
        <v>1349</v>
      </c>
      <c r="GR434" s="1138" t="s">
        <v>1349</v>
      </c>
    </row>
    <row r="435" spans="1:203" x14ac:dyDescent="0.2">
      <c r="A435" s="1138"/>
      <c r="B435" s="1138"/>
      <c r="BC435" s="1260"/>
      <c r="BD435" s="1137"/>
      <c r="CC435" s="1140"/>
      <c r="CE435" s="1138"/>
      <c r="CF435" s="1142"/>
      <c r="CG435" s="1138"/>
      <c r="CH435" s="1138"/>
      <c r="CJ435" s="1138"/>
      <c r="DO435" s="1140"/>
      <c r="DP435" s="1141"/>
      <c r="DQ435" s="1141"/>
      <c r="DS435" s="1138"/>
      <c r="DT435" s="1138"/>
      <c r="DU435" s="1138"/>
      <c r="DZ435" s="1140"/>
      <c r="EA435" s="1140"/>
      <c r="ED435" s="1138"/>
      <c r="EE435" s="1138"/>
      <c r="EG435" s="1140"/>
      <c r="EH435" s="1140"/>
      <c r="EK435" s="1138"/>
      <c r="EL435" s="1138"/>
      <c r="EN435" s="1140"/>
      <c r="EO435" s="1140"/>
      <c r="ER435" s="1138"/>
      <c r="ES435" s="1138"/>
      <c r="EV435" s="1140"/>
      <c r="EW435" s="1140"/>
      <c r="EX435" s="1140"/>
      <c r="EZ435" s="1138"/>
      <c r="FA435" s="1138"/>
      <c r="FB435" s="1138"/>
      <c r="FE435" s="1140"/>
      <c r="FF435" s="1140"/>
      <c r="FG435" s="1140"/>
      <c r="FH435" s="1140"/>
      <c r="FI435" s="1138"/>
      <c r="FJ435" s="1138"/>
      <c r="FK435" s="1138"/>
      <c r="FL435" s="1138"/>
      <c r="FO435" s="1140"/>
      <c r="FP435" s="1140"/>
      <c r="FQ435" s="1140"/>
      <c r="FR435" s="1140"/>
      <c r="FS435" s="1138"/>
      <c r="FT435" s="1138"/>
      <c r="FU435" s="1138"/>
      <c r="FV435" s="1138"/>
      <c r="FW435" s="1140"/>
      <c r="GA435" s="1138"/>
      <c r="GC435" s="1138" t="s">
        <v>1349</v>
      </c>
      <c r="GD435" s="1138" t="s">
        <v>1349</v>
      </c>
      <c r="GE435" s="1138" t="s">
        <v>1349</v>
      </c>
      <c r="GF435" s="1138" t="s">
        <v>1349</v>
      </c>
      <c r="GG435" s="1138" t="s">
        <v>1349</v>
      </c>
      <c r="GH435" s="1138" t="s">
        <v>1349</v>
      </c>
      <c r="GI435" s="1138" t="s">
        <v>1349</v>
      </c>
      <c r="GJ435" s="1138" t="s">
        <v>1349</v>
      </c>
      <c r="GK435" s="1138" t="s">
        <v>1349</v>
      </c>
      <c r="GL435" s="1138" t="s">
        <v>1349</v>
      </c>
      <c r="GM435" s="1138" t="s">
        <v>1349</v>
      </c>
      <c r="GN435" s="1138" t="s">
        <v>1349</v>
      </c>
      <c r="GO435" s="1138" t="s">
        <v>1349</v>
      </c>
      <c r="GP435" s="1138" t="s">
        <v>1349</v>
      </c>
      <c r="GQ435" s="1138" t="s">
        <v>1349</v>
      </c>
      <c r="GR435" s="1138" t="s">
        <v>1349</v>
      </c>
    </row>
    <row r="436" spans="1:203" x14ac:dyDescent="0.2">
      <c r="A436" s="1138"/>
      <c r="B436" s="1138"/>
      <c r="BC436" s="1260"/>
      <c r="BD436" s="1137"/>
      <c r="CC436" s="1140"/>
      <c r="CF436" s="1138"/>
      <c r="CG436" s="1142"/>
      <c r="CH436" s="1138"/>
      <c r="CJ436" s="1138"/>
      <c r="DO436" s="1140"/>
      <c r="DP436" s="1141"/>
      <c r="DQ436" s="1141"/>
      <c r="DS436" s="1138"/>
      <c r="DT436" s="1138"/>
      <c r="DU436" s="1138"/>
      <c r="EA436" s="1140"/>
      <c r="EB436" s="1140"/>
      <c r="ED436" s="1138"/>
      <c r="EE436" s="1138"/>
      <c r="EG436" s="1140"/>
      <c r="EH436" s="1140"/>
      <c r="EK436" s="1138"/>
      <c r="EL436" s="1138"/>
      <c r="EN436" s="1140"/>
      <c r="EO436" s="1140"/>
      <c r="ER436" s="1138"/>
      <c r="ES436" s="1138"/>
      <c r="EV436" s="1140"/>
      <c r="EW436" s="1140"/>
      <c r="EX436" s="1140"/>
      <c r="EZ436" s="1138"/>
      <c r="FA436" s="1138"/>
      <c r="FB436" s="1138"/>
      <c r="FE436" s="1140"/>
      <c r="FF436" s="1140"/>
      <c r="FG436" s="1140"/>
      <c r="FH436" s="1140"/>
      <c r="FI436" s="1138"/>
      <c r="FJ436" s="1138"/>
      <c r="FK436" s="1138"/>
      <c r="FL436" s="1138"/>
      <c r="FO436" s="1140"/>
      <c r="FP436" s="1140"/>
      <c r="FQ436" s="1140"/>
      <c r="FR436" s="1140"/>
      <c r="FS436" s="1138"/>
      <c r="FT436" s="1138"/>
      <c r="FU436" s="1138"/>
      <c r="FV436" s="1138"/>
      <c r="FX436" s="1140"/>
      <c r="GA436" s="1138"/>
      <c r="GD436" s="1138" t="s">
        <v>1349</v>
      </c>
      <c r="GE436" s="1138" t="s">
        <v>1349</v>
      </c>
      <c r="GF436" s="1138" t="s">
        <v>1349</v>
      </c>
      <c r="GG436" s="1138" t="s">
        <v>1349</v>
      </c>
      <c r="GH436" s="1138" t="s">
        <v>1349</v>
      </c>
      <c r="GI436" s="1138" t="s">
        <v>1349</v>
      </c>
      <c r="GJ436" s="1138" t="s">
        <v>1349</v>
      </c>
      <c r="GK436" s="1138" t="s">
        <v>1349</v>
      </c>
      <c r="GL436" s="1138" t="s">
        <v>1349</v>
      </c>
      <c r="GM436" s="1138" t="s">
        <v>1349</v>
      </c>
      <c r="GN436" s="1138" t="s">
        <v>1349</v>
      </c>
      <c r="GO436" s="1138" t="s">
        <v>1349</v>
      </c>
      <c r="GP436" s="1138" t="s">
        <v>1349</v>
      </c>
      <c r="GQ436" s="1138" t="s">
        <v>1349</v>
      </c>
      <c r="GR436" s="1138" t="s">
        <v>1349</v>
      </c>
      <c r="GS436" s="1138" t="s">
        <v>1349</v>
      </c>
    </row>
    <row r="437" spans="1:203" x14ac:dyDescent="0.2">
      <c r="A437" s="1138"/>
      <c r="B437" s="1138"/>
      <c r="BC437" s="1260"/>
      <c r="BD437" s="1137"/>
      <c r="CC437" s="1140"/>
      <c r="CF437" s="1138"/>
      <c r="CG437" s="1142"/>
      <c r="CH437" s="1138"/>
      <c r="CJ437" s="1138"/>
      <c r="DO437" s="1140"/>
      <c r="DP437" s="1141"/>
      <c r="DQ437" s="1141"/>
      <c r="DS437" s="1138"/>
      <c r="DT437" s="1138"/>
      <c r="DU437" s="1138"/>
      <c r="EA437" s="1140"/>
      <c r="EB437" s="1140"/>
      <c r="ED437" s="1138"/>
      <c r="EE437" s="1138"/>
      <c r="EG437" s="1140"/>
      <c r="EH437" s="1140"/>
      <c r="EK437" s="1138"/>
      <c r="EL437" s="1138"/>
      <c r="EN437" s="1140"/>
      <c r="EO437" s="1140"/>
      <c r="ER437" s="1138"/>
      <c r="ES437" s="1138"/>
      <c r="EV437" s="1140"/>
      <c r="EW437" s="1140"/>
      <c r="EX437" s="1140"/>
      <c r="EZ437" s="1138"/>
      <c r="FA437" s="1138"/>
      <c r="FB437" s="1138"/>
      <c r="FE437" s="1140"/>
      <c r="FF437" s="1140"/>
      <c r="FG437" s="1140"/>
      <c r="FH437" s="1140"/>
      <c r="FI437" s="1138"/>
      <c r="FJ437" s="1138"/>
      <c r="FK437" s="1138"/>
      <c r="FL437" s="1138"/>
      <c r="FO437" s="1140"/>
      <c r="FP437" s="1140"/>
      <c r="FQ437" s="1140"/>
      <c r="FR437" s="1140"/>
      <c r="FS437" s="1138"/>
      <c r="FT437" s="1138"/>
      <c r="FU437" s="1138"/>
      <c r="FV437" s="1138"/>
      <c r="FX437" s="1140"/>
      <c r="GA437" s="1138"/>
      <c r="GD437" s="1138" t="s">
        <v>1349</v>
      </c>
      <c r="GE437" s="1138" t="s">
        <v>1349</v>
      </c>
      <c r="GF437" s="1138" t="s">
        <v>1349</v>
      </c>
      <c r="GG437" s="1138" t="s">
        <v>1349</v>
      </c>
      <c r="GH437" s="1138" t="s">
        <v>1349</v>
      </c>
      <c r="GI437" s="1138" t="s">
        <v>1349</v>
      </c>
      <c r="GJ437" s="1138" t="s">
        <v>1349</v>
      </c>
      <c r="GK437" s="1138" t="s">
        <v>1349</v>
      </c>
      <c r="GL437" s="1138" t="s">
        <v>1349</v>
      </c>
      <c r="GM437" s="1138" t="s">
        <v>1349</v>
      </c>
      <c r="GN437" s="1138" t="s">
        <v>1349</v>
      </c>
      <c r="GO437" s="1138" t="s">
        <v>1349</v>
      </c>
      <c r="GP437" s="1138" t="s">
        <v>1349</v>
      </c>
      <c r="GQ437" s="1138" t="s">
        <v>1349</v>
      </c>
      <c r="GR437" s="1138" t="s">
        <v>1349</v>
      </c>
      <c r="GS437" s="1138" t="s">
        <v>1349</v>
      </c>
    </row>
    <row r="438" spans="1:203" x14ac:dyDescent="0.2">
      <c r="A438" s="1138"/>
      <c r="B438" s="1138"/>
      <c r="BC438" s="1260"/>
      <c r="BD438" s="1137"/>
      <c r="CC438" s="1140"/>
      <c r="CF438" s="1138"/>
      <c r="CG438" s="1142"/>
      <c r="CH438" s="1138"/>
      <c r="CJ438" s="1138"/>
      <c r="DO438" s="1140"/>
      <c r="DP438" s="1141"/>
      <c r="DQ438" s="1141"/>
      <c r="DS438" s="1138"/>
      <c r="DT438" s="1138"/>
      <c r="DU438" s="1138"/>
      <c r="EA438" s="1140"/>
      <c r="EB438" s="1140"/>
      <c r="ED438" s="1138"/>
      <c r="EE438" s="1138"/>
      <c r="EG438" s="1140"/>
      <c r="EH438" s="1140"/>
      <c r="EK438" s="1138"/>
      <c r="EL438" s="1138"/>
      <c r="EN438" s="1140"/>
      <c r="EO438" s="1140"/>
      <c r="ER438" s="1138"/>
      <c r="ES438" s="1138"/>
      <c r="EV438" s="1140"/>
      <c r="EW438" s="1140"/>
      <c r="EX438" s="1140"/>
      <c r="EZ438" s="1138"/>
      <c r="FA438" s="1138"/>
      <c r="FB438" s="1138"/>
      <c r="FE438" s="1140"/>
      <c r="FF438" s="1140"/>
      <c r="FG438" s="1140"/>
      <c r="FH438" s="1140"/>
      <c r="FI438" s="1138"/>
      <c r="FJ438" s="1138"/>
      <c r="FK438" s="1138"/>
      <c r="FL438" s="1138"/>
      <c r="FO438" s="1140"/>
      <c r="FP438" s="1140"/>
      <c r="FQ438" s="1140"/>
      <c r="FR438" s="1140"/>
      <c r="FS438" s="1138"/>
      <c r="FT438" s="1138"/>
      <c r="FU438" s="1138"/>
      <c r="FV438" s="1138"/>
      <c r="FX438" s="1140"/>
      <c r="GA438" s="1138"/>
      <c r="GD438" s="1138" t="s">
        <v>1349</v>
      </c>
      <c r="GE438" s="1138" t="s">
        <v>1349</v>
      </c>
      <c r="GF438" s="1138" t="s">
        <v>1349</v>
      </c>
      <c r="GG438" s="1138" t="s">
        <v>1349</v>
      </c>
      <c r="GH438" s="1138" t="s">
        <v>1349</v>
      </c>
      <c r="GI438" s="1138" t="s">
        <v>1349</v>
      </c>
      <c r="GJ438" s="1138" t="s">
        <v>1349</v>
      </c>
      <c r="GK438" s="1138" t="s">
        <v>1349</v>
      </c>
      <c r="GL438" s="1138" t="s">
        <v>1349</v>
      </c>
      <c r="GM438" s="1138" t="s">
        <v>1349</v>
      </c>
      <c r="GN438" s="1138" t="s">
        <v>1349</v>
      </c>
      <c r="GO438" s="1138" t="s">
        <v>1349</v>
      </c>
      <c r="GP438" s="1138" t="s">
        <v>1349</v>
      </c>
      <c r="GQ438" s="1138" t="s">
        <v>1349</v>
      </c>
      <c r="GR438" s="1138" t="s">
        <v>1349</v>
      </c>
      <c r="GS438" s="1138" t="s">
        <v>1349</v>
      </c>
    </row>
    <row r="439" spans="1:203" x14ac:dyDescent="0.2">
      <c r="A439" s="1138"/>
      <c r="B439" s="1138"/>
      <c r="BC439" s="1136"/>
      <c r="BD439" s="1137"/>
      <c r="CC439" s="1140"/>
      <c r="CF439" s="1138"/>
      <c r="CG439" s="1142"/>
      <c r="CH439" s="1138"/>
      <c r="CJ439" s="1138"/>
      <c r="DO439" s="1140"/>
      <c r="DP439" s="1141"/>
      <c r="DQ439" s="1141"/>
      <c r="DS439" s="1138"/>
      <c r="DT439" s="1138"/>
      <c r="DU439" s="1138"/>
      <c r="EA439" s="1140"/>
      <c r="EB439" s="1140"/>
      <c r="ED439" s="1138"/>
      <c r="EE439" s="1138"/>
      <c r="EG439" s="1140"/>
      <c r="EH439" s="1140"/>
      <c r="EK439" s="1138"/>
      <c r="EL439" s="1138"/>
      <c r="EN439" s="1140"/>
      <c r="EO439" s="1140"/>
      <c r="ER439" s="1138"/>
      <c r="ES439" s="1138"/>
      <c r="EV439" s="1140"/>
      <c r="EW439" s="1140"/>
      <c r="EX439" s="1140"/>
      <c r="EZ439" s="1138"/>
      <c r="FA439" s="1138"/>
      <c r="FB439" s="1138"/>
      <c r="FE439" s="1140"/>
      <c r="FF439" s="1140"/>
      <c r="FG439" s="1140"/>
      <c r="FH439" s="1140"/>
      <c r="FI439" s="1138"/>
      <c r="FJ439" s="1138"/>
      <c r="FK439" s="1138"/>
      <c r="FL439" s="1138"/>
      <c r="FO439" s="1140"/>
      <c r="FP439" s="1140"/>
      <c r="FQ439" s="1140"/>
      <c r="FR439" s="1140"/>
      <c r="FS439" s="1138"/>
      <c r="FT439" s="1138"/>
      <c r="FU439" s="1138"/>
      <c r="FV439" s="1138"/>
      <c r="FX439" s="1140"/>
      <c r="GA439" s="1138"/>
      <c r="GD439" s="1138" t="s">
        <v>1349</v>
      </c>
      <c r="GE439" s="1138" t="s">
        <v>1349</v>
      </c>
      <c r="GF439" s="1138" t="s">
        <v>1349</v>
      </c>
      <c r="GG439" s="1138" t="s">
        <v>1349</v>
      </c>
      <c r="GH439" s="1138" t="s">
        <v>1349</v>
      </c>
      <c r="GI439" s="1138" t="s">
        <v>1349</v>
      </c>
      <c r="GJ439" s="1138" t="s">
        <v>1349</v>
      </c>
      <c r="GK439" s="1138" t="s">
        <v>1349</v>
      </c>
      <c r="GL439" s="1138" t="s">
        <v>1349</v>
      </c>
      <c r="GM439" s="1138" t="s">
        <v>1349</v>
      </c>
      <c r="GN439" s="1138" t="s">
        <v>1349</v>
      </c>
      <c r="GO439" s="1138" t="s">
        <v>1349</v>
      </c>
      <c r="GP439" s="1138" t="s">
        <v>1349</v>
      </c>
      <c r="GQ439" s="1138" t="s">
        <v>1349</v>
      </c>
      <c r="GR439" s="1138" t="s">
        <v>1349</v>
      </c>
      <c r="GS439" s="1138" t="s">
        <v>1349</v>
      </c>
    </row>
    <row r="440" spans="1:203" x14ac:dyDescent="0.2">
      <c r="A440" s="1138"/>
      <c r="B440" s="1138"/>
      <c r="BC440" s="1136"/>
      <c r="BD440" s="1137"/>
      <c r="CC440" s="1140"/>
      <c r="CF440" s="1138"/>
      <c r="CG440" s="1142"/>
      <c r="CH440" s="1138"/>
      <c r="CJ440" s="1138"/>
      <c r="DO440" s="1140"/>
      <c r="DP440" s="1141"/>
      <c r="DQ440" s="1141"/>
      <c r="DS440" s="1138"/>
      <c r="DT440" s="1138"/>
      <c r="DU440" s="1138"/>
      <c r="EA440" s="1140"/>
      <c r="EB440" s="1140"/>
      <c r="ED440" s="1138"/>
      <c r="EE440" s="1138"/>
      <c r="EG440" s="1140"/>
      <c r="EH440" s="1140"/>
      <c r="EK440" s="1138"/>
      <c r="EL440" s="1138"/>
      <c r="EN440" s="1140"/>
      <c r="EO440" s="1140"/>
      <c r="ER440" s="1138"/>
      <c r="ES440" s="1138"/>
      <c r="EV440" s="1140"/>
      <c r="EW440" s="1140"/>
      <c r="EX440" s="1140"/>
      <c r="EZ440" s="1138"/>
      <c r="FA440" s="1138"/>
      <c r="FB440" s="1138"/>
      <c r="FE440" s="1140"/>
      <c r="FF440" s="1140"/>
      <c r="FG440" s="1140"/>
      <c r="FH440" s="1140"/>
      <c r="FI440" s="1138"/>
      <c r="FJ440" s="1138"/>
      <c r="FK440" s="1138"/>
      <c r="FL440" s="1138"/>
      <c r="FO440" s="1140"/>
      <c r="FP440" s="1140"/>
      <c r="FQ440" s="1140"/>
      <c r="FR440" s="1140"/>
      <c r="FS440" s="1138"/>
      <c r="FT440" s="1138"/>
      <c r="FU440" s="1138"/>
      <c r="FV440" s="1138"/>
      <c r="FX440" s="1140"/>
      <c r="GA440" s="1138"/>
      <c r="GD440" s="1138" t="s">
        <v>1349</v>
      </c>
      <c r="GE440" s="1138" t="s">
        <v>1349</v>
      </c>
      <c r="GF440" s="1138" t="s">
        <v>1349</v>
      </c>
      <c r="GG440" s="1138" t="s">
        <v>1349</v>
      </c>
      <c r="GH440" s="1138" t="s">
        <v>1349</v>
      </c>
      <c r="GI440" s="1138" t="s">
        <v>1349</v>
      </c>
      <c r="GJ440" s="1138" t="s">
        <v>1349</v>
      </c>
      <c r="GK440" s="1138" t="s">
        <v>1349</v>
      </c>
      <c r="GL440" s="1138" t="s">
        <v>1349</v>
      </c>
      <c r="GM440" s="1138" t="s">
        <v>1349</v>
      </c>
      <c r="GN440" s="1138" t="s">
        <v>1349</v>
      </c>
      <c r="GO440" s="1138" t="s">
        <v>1349</v>
      </c>
      <c r="GP440" s="1138" t="s">
        <v>1349</v>
      </c>
      <c r="GQ440" s="1138" t="s">
        <v>1349</v>
      </c>
      <c r="GR440" s="1138" t="s">
        <v>1349</v>
      </c>
      <c r="GS440" s="1138" t="s">
        <v>1349</v>
      </c>
    </row>
    <row r="441" spans="1:203" x14ac:dyDescent="0.2">
      <c r="A441" s="1138"/>
      <c r="B441" s="1138"/>
      <c r="BC441" s="1136"/>
      <c r="BD441" s="1137"/>
      <c r="CC441" s="1140"/>
      <c r="CF441" s="1138"/>
      <c r="CG441" s="1142"/>
      <c r="CH441" s="1138"/>
      <c r="CJ441" s="1138"/>
      <c r="DO441" s="1140"/>
      <c r="DP441" s="1141"/>
      <c r="DQ441" s="1141"/>
      <c r="DS441" s="1138"/>
      <c r="DT441" s="1138"/>
      <c r="DU441" s="1138"/>
      <c r="EA441" s="1140"/>
      <c r="EB441" s="1140"/>
      <c r="ED441" s="1138"/>
      <c r="EE441" s="1138"/>
      <c r="EG441" s="1140"/>
      <c r="EH441" s="1140"/>
      <c r="EK441" s="1138"/>
      <c r="EL441" s="1138"/>
      <c r="EN441" s="1140"/>
      <c r="EO441" s="1140"/>
      <c r="ER441" s="1138"/>
      <c r="ES441" s="1138"/>
      <c r="EV441" s="1140"/>
      <c r="EW441" s="1140"/>
      <c r="EX441" s="1140"/>
      <c r="EZ441" s="1138"/>
      <c r="FA441" s="1138"/>
      <c r="FB441" s="1138"/>
      <c r="FE441" s="1140"/>
      <c r="FF441" s="1140"/>
      <c r="FG441" s="1140"/>
      <c r="FH441" s="1140"/>
      <c r="FI441" s="1138"/>
      <c r="FJ441" s="1138"/>
      <c r="FK441" s="1138"/>
      <c r="FL441" s="1138"/>
      <c r="FO441" s="1140"/>
      <c r="FP441" s="1140"/>
      <c r="FQ441" s="1140"/>
      <c r="FR441" s="1140"/>
      <c r="FS441" s="1138"/>
      <c r="FT441" s="1138"/>
      <c r="FU441" s="1138"/>
      <c r="FV441" s="1138"/>
      <c r="FX441" s="1140"/>
      <c r="GA441" s="1138"/>
      <c r="GD441" s="1138" t="s">
        <v>1349</v>
      </c>
      <c r="GE441" s="1138" t="s">
        <v>1349</v>
      </c>
      <c r="GF441" s="1138" t="s">
        <v>1349</v>
      </c>
      <c r="GG441" s="1138" t="s">
        <v>1349</v>
      </c>
      <c r="GH441" s="1138" t="s">
        <v>1349</v>
      </c>
      <c r="GI441" s="1138" t="s">
        <v>1349</v>
      </c>
      <c r="GJ441" s="1138" t="s">
        <v>1349</v>
      </c>
      <c r="GK441" s="1138" t="s">
        <v>1349</v>
      </c>
      <c r="GL441" s="1138" t="s">
        <v>1349</v>
      </c>
      <c r="GM441" s="1138" t="s">
        <v>1349</v>
      </c>
      <c r="GN441" s="1138" t="s">
        <v>1349</v>
      </c>
      <c r="GO441" s="1138" t="s">
        <v>1349</v>
      </c>
      <c r="GP441" s="1138" t="s">
        <v>1349</v>
      </c>
      <c r="GQ441" s="1138" t="s">
        <v>1349</v>
      </c>
      <c r="GR441" s="1138" t="s">
        <v>1349</v>
      </c>
      <c r="GS441" s="1138" t="s">
        <v>1349</v>
      </c>
    </row>
    <row r="442" spans="1:203" x14ac:dyDescent="0.2">
      <c r="A442" s="1138"/>
      <c r="B442" s="1138"/>
      <c r="BC442" s="1136"/>
      <c r="BD442" s="1137"/>
      <c r="CC442" s="1140"/>
      <c r="CG442" s="1138"/>
      <c r="CH442" s="1142"/>
      <c r="CJ442" s="1138"/>
      <c r="DO442" s="1140"/>
      <c r="DP442" s="1141"/>
      <c r="DQ442" s="1141"/>
      <c r="DS442" s="1138"/>
      <c r="DT442" s="1138"/>
      <c r="DU442" s="1138"/>
      <c r="EB442" s="1140"/>
      <c r="EC442" s="1140"/>
      <c r="ED442" s="1138"/>
      <c r="EE442" s="1138"/>
      <c r="EG442" s="1140"/>
      <c r="EH442" s="1140"/>
      <c r="EK442" s="1138"/>
      <c r="EL442" s="1138"/>
      <c r="EN442" s="1140"/>
      <c r="EO442" s="1140"/>
      <c r="ER442" s="1138"/>
      <c r="ES442" s="1138"/>
      <c r="EV442" s="1140"/>
      <c r="EW442" s="1140"/>
      <c r="EX442" s="1140"/>
      <c r="EZ442" s="1138"/>
      <c r="FA442" s="1138"/>
      <c r="FB442" s="1138"/>
      <c r="FE442" s="1140"/>
      <c r="FF442" s="1140"/>
      <c r="FG442" s="1140"/>
      <c r="FH442" s="1140"/>
      <c r="FI442" s="1138"/>
      <c r="FK442" s="1138"/>
      <c r="FL442" s="1138"/>
      <c r="FO442" s="1140"/>
      <c r="FP442" s="1140"/>
      <c r="FQ442" s="1140"/>
      <c r="FR442" s="1140"/>
      <c r="FS442" s="1138"/>
      <c r="FU442" s="1138"/>
      <c r="FV442" s="1138"/>
      <c r="FY442" s="1140"/>
      <c r="GA442" s="1138"/>
      <c r="GE442" s="1138" t="s">
        <v>1349</v>
      </c>
      <c r="GF442" s="1138" t="s">
        <v>1349</v>
      </c>
      <c r="GG442" s="1138" t="s">
        <v>1349</v>
      </c>
      <c r="GH442" s="1138" t="s">
        <v>1349</v>
      </c>
      <c r="GI442" s="1138" t="s">
        <v>1349</v>
      </c>
      <c r="GJ442" s="1138" t="s">
        <v>1349</v>
      </c>
      <c r="GK442" s="1138" t="s">
        <v>1349</v>
      </c>
      <c r="GL442" s="1138" t="s">
        <v>1349</v>
      </c>
      <c r="GM442" s="1138" t="s">
        <v>1349</v>
      </c>
      <c r="GN442" s="1138" t="s">
        <v>1349</v>
      </c>
      <c r="GO442" s="1138" t="s">
        <v>1349</v>
      </c>
      <c r="GP442" s="1138" t="s">
        <v>1349</v>
      </c>
      <c r="GQ442" s="1138" t="s">
        <v>1349</v>
      </c>
      <c r="GR442" s="1138" t="s">
        <v>1349</v>
      </c>
      <c r="GS442" s="1138" t="s">
        <v>1349</v>
      </c>
      <c r="GT442" s="1138" t="s">
        <v>1349</v>
      </c>
    </row>
    <row r="443" spans="1:203" x14ac:dyDescent="0.2">
      <c r="A443" s="1138"/>
      <c r="B443" s="1138"/>
      <c r="BC443" s="1136"/>
      <c r="BD443" s="1137"/>
      <c r="CC443" s="1140"/>
      <c r="CG443" s="1138"/>
      <c r="CH443" s="1142"/>
      <c r="CJ443" s="1138"/>
      <c r="DO443" s="1140"/>
      <c r="DP443" s="1141"/>
      <c r="DQ443" s="1141"/>
      <c r="DS443" s="1138"/>
      <c r="DT443" s="1138"/>
      <c r="DU443" s="1138"/>
      <c r="EB443" s="1140"/>
      <c r="EC443" s="1140"/>
      <c r="ED443" s="1138"/>
      <c r="EE443" s="1138"/>
      <c r="EG443" s="1140"/>
      <c r="EH443" s="1140"/>
      <c r="EK443" s="1138"/>
      <c r="EL443" s="1138"/>
      <c r="EN443" s="1140"/>
      <c r="EO443" s="1140"/>
      <c r="ER443" s="1138"/>
      <c r="ES443" s="1138"/>
      <c r="EV443" s="1140"/>
      <c r="EW443" s="1140"/>
      <c r="EX443" s="1140"/>
      <c r="EZ443" s="1138"/>
      <c r="FA443" s="1138"/>
      <c r="FB443" s="1138"/>
      <c r="FE443" s="1140"/>
      <c r="FF443" s="1140"/>
      <c r="FG443" s="1140"/>
      <c r="FH443" s="1140"/>
      <c r="FI443" s="1138"/>
      <c r="FK443" s="1138"/>
      <c r="FL443" s="1138"/>
      <c r="FO443" s="1140"/>
      <c r="FP443" s="1140"/>
      <c r="FQ443" s="1140"/>
      <c r="FR443" s="1140"/>
      <c r="FS443" s="1138"/>
      <c r="FU443" s="1138"/>
      <c r="FV443" s="1138"/>
      <c r="FY443" s="1140"/>
      <c r="GA443" s="1138"/>
      <c r="GE443" s="1138" t="s">
        <v>1349</v>
      </c>
      <c r="GF443" s="1138" t="s">
        <v>1349</v>
      </c>
      <c r="GG443" s="1138" t="s">
        <v>1349</v>
      </c>
      <c r="GH443" s="1138" t="s">
        <v>1349</v>
      </c>
      <c r="GI443" s="1138" t="s">
        <v>1349</v>
      </c>
      <c r="GJ443" s="1138" t="s">
        <v>1349</v>
      </c>
      <c r="GK443" s="1138" t="s">
        <v>1349</v>
      </c>
      <c r="GL443" s="1138" t="s">
        <v>1349</v>
      </c>
      <c r="GM443" s="1138" t="s">
        <v>1349</v>
      </c>
      <c r="GN443" s="1138" t="s">
        <v>1349</v>
      </c>
      <c r="GO443" s="1138" t="s">
        <v>1349</v>
      </c>
      <c r="GP443" s="1138" t="s">
        <v>1349</v>
      </c>
      <c r="GQ443" s="1138" t="s">
        <v>1349</v>
      </c>
      <c r="GR443" s="1138" t="s">
        <v>1349</v>
      </c>
      <c r="GS443" s="1138" t="s">
        <v>1349</v>
      </c>
      <c r="GT443" s="1138" t="s">
        <v>1349</v>
      </c>
    </row>
    <row r="444" spans="1:203" x14ac:dyDescent="0.2">
      <c r="A444" s="1138"/>
      <c r="B444" s="1138"/>
      <c r="BC444" s="1136"/>
      <c r="BD444" s="1137"/>
      <c r="CC444" s="1140"/>
      <c r="CG444" s="1138"/>
      <c r="CH444" s="1142"/>
      <c r="CJ444" s="1138"/>
      <c r="DO444" s="1140"/>
      <c r="DP444" s="1141"/>
      <c r="DQ444" s="1141"/>
      <c r="DS444" s="1138"/>
      <c r="DT444" s="1138"/>
      <c r="DU444" s="1138"/>
      <c r="EB444" s="1140"/>
      <c r="EC444" s="1140"/>
      <c r="ED444" s="1138"/>
      <c r="EE444" s="1138"/>
      <c r="EG444" s="1140"/>
      <c r="EH444" s="1140"/>
      <c r="EK444" s="1138"/>
      <c r="EL444" s="1138"/>
      <c r="EN444" s="1140"/>
      <c r="EO444" s="1140"/>
      <c r="ER444" s="1138"/>
      <c r="ES444" s="1138"/>
      <c r="EV444" s="1140"/>
      <c r="EW444" s="1140"/>
      <c r="EX444" s="1140"/>
      <c r="EZ444" s="1138"/>
      <c r="FA444" s="1138"/>
      <c r="FB444" s="1138"/>
      <c r="FE444" s="1140"/>
      <c r="FF444" s="1140"/>
      <c r="FG444" s="1140"/>
      <c r="FH444" s="1140"/>
      <c r="FI444" s="1138"/>
      <c r="FK444" s="1138"/>
      <c r="FL444" s="1138"/>
      <c r="FO444" s="1140"/>
      <c r="FP444" s="1140"/>
      <c r="FQ444" s="1140"/>
      <c r="FR444" s="1140"/>
      <c r="FS444" s="1138"/>
      <c r="FU444" s="1138"/>
      <c r="FV444" s="1138"/>
      <c r="FY444" s="1140"/>
      <c r="GA444" s="1138"/>
      <c r="GE444" s="1138" t="s">
        <v>1349</v>
      </c>
      <c r="GF444" s="1138" t="s">
        <v>1349</v>
      </c>
      <c r="GG444" s="1138" t="s">
        <v>1349</v>
      </c>
      <c r="GH444" s="1138" t="s">
        <v>1349</v>
      </c>
      <c r="GI444" s="1138" t="s">
        <v>1349</v>
      </c>
      <c r="GJ444" s="1138" t="s">
        <v>1349</v>
      </c>
      <c r="GK444" s="1138" t="s">
        <v>1349</v>
      </c>
      <c r="GL444" s="1138" t="s">
        <v>1349</v>
      </c>
      <c r="GM444" s="1138" t="s">
        <v>1349</v>
      </c>
      <c r="GN444" s="1138" t="s">
        <v>1349</v>
      </c>
      <c r="GO444" s="1138" t="s">
        <v>1349</v>
      </c>
      <c r="GP444" s="1138" t="s">
        <v>1349</v>
      </c>
      <c r="GQ444" s="1138" t="s">
        <v>1349</v>
      </c>
      <c r="GR444" s="1138" t="s">
        <v>1349</v>
      </c>
      <c r="GS444" s="1138" t="s">
        <v>1349</v>
      </c>
      <c r="GT444" s="1138" t="s">
        <v>1349</v>
      </c>
    </row>
    <row r="445" spans="1:203" x14ac:dyDescent="0.2">
      <c r="A445" s="1138"/>
      <c r="B445" s="1138"/>
      <c r="BC445" s="1136"/>
      <c r="BD445" s="1137"/>
      <c r="CC445" s="1140"/>
      <c r="CG445" s="1138"/>
      <c r="CH445" s="1142"/>
      <c r="CJ445" s="1138"/>
      <c r="DK445" s="1154"/>
      <c r="DO445" s="1140"/>
      <c r="DP445" s="1141"/>
      <c r="DQ445" s="1141"/>
      <c r="DS445" s="1138"/>
      <c r="DT445" s="1138"/>
      <c r="DU445" s="1138"/>
      <c r="EB445" s="1140"/>
      <c r="EC445" s="1140"/>
      <c r="ED445" s="1138"/>
      <c r="EE445" s="1138"/>
      <c r="EG445" s="1140"/>
      <c r="EH445" s="1140"/>
      <c r="EK445" s="1138"/>
      <c r="EL445" s="1138"/>
      <c r="EN445" s="1140"/>
      <c r="EO445" s="1140"/>
      <c r="ER445" s="1138"/>
      <c r="ES445" s="1138"/>
      <c r="EV445" s="1140"/>
      <c r="EW445" s="1140"/>
      <c r="EX445" s="1140"/>
      <c r="EZ445" s="1138"/>
      <c r="FA445" s="1138"/>
      <c r="FB445" s="1138"/>
      <c r="FE445" s="1140"/>
      <c r="FF445" s="1140"/>
      <c r="FG445" s="1140"/>
      <c r="FH445" s="1140"/>
      <c r="FI445" s="1138"/>
      <c r="FK445" s="1138"/>
      <c r="FL445" s="1138"/>
      <c r="FO445" s="1140"/>
      <c r="FP445" s="1140"/>
      <c r="FQ445" s="1140"/>
      <c r="FR445" s="1140"/>
      <c r="FS445" s="1138"/>
      <c r="FU445" s="1138"/>
      <c r="FV445" s="1138"/>
      <c r="FY445" s="1140"/>
      <c r="GA445" s="1138"/>
      <c r="GE445" s="1138" t="s">
        <v>1349</v>
      </c>
      <c r="GF445" s="1138" t="s">
        <v>1349</v>
      </c>
      <c r="GG445" s="1138" t="s">
        <v>1349</v>
      </c>
      <c r="GH445" s="1138" t="s">
        <v>1349</v>
      </c>
      <c r="GI445" s="1138" t="s">
        <v>1349</v>
      </c>
      <c r="GJ445" s="1138" t="s">
        <v>1349</v>
      </c>
      <c r="GK445" s="1138" t="s">
        <v>1349</v>
      </c>
      <c r="GL445" s="1138" t="s">
        <v>1349</v>
      </c>
      <c r="GM445" s="1138" t="s">
        <v>1349</v>
      </c>
      <c r="GN445" s="1138" t="s">
        <v>1349</v>
      </c>
      <c r="GO445" s="1138" t="s">
        <v>1349</v>
      </c>
      <c r="GP445" s="1138" t="s">
        <v>1349</v>
      </c>
      <c r="GQ445" s="1138" t="s">
        <v>1349</v>
      </c>
      <c r="GR445" s="1138" t="s">
        <v>1349</v>
      </c>
      <c r="GS445" s="1138" t="s">
        <v>1349</v>
      </c>
      <c r="GT445" s="1138" t="s">
        <v>1349</v>
      </c>
    </row>
    <row r="446" spans="1:203" x14ac:dyDescent="0.2">
      <c r="A446" s="1138"/>
      <c r="B446" s="1138"/>
      <c r="BC446" s="1136"/>
      <c r="BD446" s="1137"/>
      <c r="CC446" s="1140"/>
      <c r="CH446" s="1138"/>
      <c r="CI446" s="1142"/>
      <c r="CJ446" s="1138"/>
      <c r="DO446" s="1140"/>
      <c r="DP446" s="1141"/>
      <c r="DQ446" s="1141"/>
      <c r="DS446" s="1138"/>
      <c r="DU446" s="1138"/>
      <c r="EC446" s="1140"/>
      <c r="EE446" s="1138"/>
      <c r="EG446" s="1140"/>
      <c r="EH446" s="1140"/>
      <c r="EK446" s="1138"/>
      <c r="EL446" s="1138"/>
      <c r="EN446" s="1140"/>
      <c r="EO446" s="1140"/>
      <c r="ER446" s="1138"/>
      <c r="ES446" s="1138"/>
      <c r="EV446" s="1140"/>
      <c r="EW446" s="1140"/>
      <c r="EX446" s="1140"/>
      <c r="EZ446" s="1138"/>
      <c r="FB446" s="1138"/>
      <c r="FE446" s="1140"/>
      <c r="FF446" s="1140"/>
      <c r="FG446" s="1140"/>
      <c r="FH446" s="1140"/>
      <c r="FI446" s="1138"/>
      <c r="FL446" s="1138"/>
      <c r="FO446" s="1140"/>
      <c r="FP446" s="1140"/>
      <c r="FQ446" s="1140"/>
      <c r="FR446" s="1140"/>
      <c r="FS446" s="1138"/>
      <c r="FV446" s="1138"/>
      <c r="FZ446" s="1140"/>
      <c r="GA446" s="1138"/>
      <c r="GF446" s="1138" t="s">
        <v>1349</v>
      </c>
      <c r="GG446" s="1138" t="s">
        <v>1349</v>
      </c>
      <c r="GH446" s="1138" t="s">
        <v>1349</v>
      </c>
      <c r="GI446" s="1138" t="s">
        <v>1349</v>
      </c>
      <c r="GJ446" s="1138" t="s">
        <v>1349</v>
      </c>
      <c r="GK446" s="1138" t="s">
        <v>1349</v>
      </c>
      <c r="GL446" s="1138" t="s">
        <v>1349</v>
      </c>
      <c r="GM446" s="1138" t="s">
        <v>1349</v>
      </c>
      <c r="GN446" s="1138" t="s">
        <v>1349</v>
      </c>
      <c r="GO446" s="1138" t="s">
        <v>1349</v>
      </c>
      <c r="GP446" s="1138" t="s">
        <v>1349</v>
      </c>
      <c r="GQ446" s="1138" t="s">
        <v>1349</v>
      </c>
      <c r="GR446" s="1138" t="s">
        <v>1349</v>
      </c>
      <c r="GS446" s="1138" t="s">
        <v>1349</v>
      </c>
      <c r="GT446" s="1138" t="s">
        <v>1349</v>
      </c>
      <c r="GU446" s="1138" t="s">
        <v>1349</v>
      </c>
    </row>
    <row r="447" spans="1:203" x14ac:dyDescent="0.2">
      <c r="A447" s="1138"/>
      <c r="B447" s="1138"/>
      <c r="BC447" s="1136"/>
      <c r="BD447" s="1137"/>
      <c r="CC447" s="1140"/>
      <c r="CH447" s="1138"/>
      <c r="CI447" s="1142"/>
      <c r="CJ447" s="1138"/>
      <c r="DO447" s="1140"/>
      <c r="DP447" s="1141"/>
      <c r="DQ447" s="1141"/>
      <c r="DS447" s="1138"/>
      <c r="DU447" s="1138"/>
      <c r="EC447" s="1140"/>
      <c r="EE447" s="1138"/>
      <c r="EG447" s="1140"/>
      <c r="EH447" s="1140"/>
      <c r="EK447" s="1138"/>
      <c r="EL447" s="1138"/>
      <c r="EN447" s="1140"/>
      <c r="EO447" s="1140"/>
      <c r="ER447" s="1138"/>
      <c r="ES447" s="1138"/>
      <c r="EV447" s="1140"/>
      <c r="EW447" s="1140"/>
      <c r="EX447" s="1140"/>
      <c r="EZ447" s="1138"/>
      <c r="FB447" s="1138"/>
      <c r="FE447" s="1140"/>
      <c r="FF447" s="1140"/>
      <c r="FG447" s="1140"/>
      <c r="FH447" s="1140"/>
      <c r="FI447" s="1138"/>
      <c r="FL447" s="1138"/>
      <c r="FO447" s="1140"/>
      <c r="FP447" s="1140"/>
      <c r="FQ447" s="1140"/>
      <c r="FR447" s="1140"/>
      <c r="FS447" s="1138"/>
      <c r="FV447" s="1138"/>
      <c r="FZ447" s="1140"/>
      <c r="GA447" s="1138"/>
      <c r="GF447" s="1138" t="s">
        <v>1349</v>
      </c>
      <c r="GG447" s="1138" t="s">
        <v>1349</v>
      </c>
      <c r="GH447" s="1138" t="s">
        <v>1349</v>
      </c>
      <c r="GI447" s="1138" t="s">
        <v>1349</v>
      </c>
      <c r="GJ447" s="1138" t="s">
        <v>1349</v>
      </c>
      <c r="GK447" s="1138" t="s">
        <v>1349</v>
      </c>
      <c r="GL447" s="1138" t="s">
        <v>1349</v>
      </c>
      <c r="GM447" s="1138" t="s">
        <v>1349</v>
      </c>
      <c r="GN447" s="1138" t="s">
        <v>1349</v>
      </c>
      <c r="GO447" s="1138" t="s">
        <v>1349</v>
      </c>
      <c r="GP447" s="1138" t="s">
        <v>1349</v>
      </c>
      <c r="GQ447" s="1138" t="s">
        <v>1349</v>
      </c>
      <c r="GR447" s="1138" t="s">
        <v>1349</v>
      </c>
      <c r="GS447" s="1138" t="s">
        <v>1349</v>
      </c>
      <c r="GT447" s="1138" t="s">
        <v>1349</v>
      </c>
      <c r="GU447" s="1138" t="s">
        <v>1349</v>
      </c>
    </row>
    <row r="448" spans="1:203" x14ac:dyDescent="0.2">
      <c r="A448" s="1138"/>
      <c r="B448" s="1138"/>
      <c r="BC448" s="1136"/>
      <c r="BD448" s="1137"/>
      <c r="CC448" s="1140"/>
      <c r="CH448" s="1138"/>
      <c r="CI448" s="1142"/>
      <c r="CJ448" s="1138"/>
      <c r="DO448" s="1140"/>
      <c r="DP448" s="1141"/>
      <c r="DQ448" s="1141"/>
      <c r="DS448" s="1138"/>
      <c r="DU448" s="1138"/>
      <c r="EC448" s="1140"/>
      <c r="EE448" s="1138"/>
      <c r="EG448" s="1140"/>
      <c r="EH448" s="1140"/>
      <c r="EK448" s="1138"/>
      <c r="EL448" s="1138"/>
      <c r="EN448" s="1140"/>
      <c r="EO448" s="1140"/>
      <c r="ER448" s="1138"/>
      <c r="ES448" s="1138"/>
      <c r="EV448" s="1140"/>
      <c r="EW448" s="1140"/>
      <c r="EX448" s="1140"/>
      <c r="EZ448" s="1138"/>
      <c r="FB448" s="1138"/>
      <c r="FE448" s="1140"/>
      <c r="FF448" s="1140"/>
      <c r="FG448" s="1140"/>
      <c r="FH448" s="1140"/>
      <c r="FI448" s="1138"/>
      <c r="FL448" s="1138"/>
      <c r="FO448" s="1140"/>
      <c r="FP448" s="1140"/>
      <c r="FQ448" s="1140"/>
      <c r="FR448" s="1140"/>
      <c r="FS448" s="1138"/>
      <c r="FV448" s="1138"/>
      <c r="FZ448" s="1140"/>
      <c r="GA448" s="1138"/>
      <c r="GF448" s="1138" t="s">
        <v>1349</v>
      </c>
      <c r="GG448" s="1138" t="s">
        <v>1349</v>
      </c>
      <c r="GH448" s="1138" t="s">
        <v>1349</v>
      </c>
      <c r="GI448" s="1138" t="s">
        <v>1349</v>
      </c>
      <c r="GJ448" s="1138" t="s">
        <v>1349</v>
      </c>
      <c r="GK448" s="1138" t="s">
        <v>1349</v>
      </c>
      <c r="GL448" s="1138" t="s">
        <v>1349</v>
      </c>
      <c r="GM448" s="1138" t="s">
        <v>1349</v>
      </c>
      <c r="GN448" s="1138" t="s">
        <v>1349</v>
      </c>
      <c r="GO448" s="1138" t="s">
        <v>1349</v>
      </c>
      <c r="GP448" s="1138" t="s">
        <v>1349</v>
      </c>
      <c r="GQ448" s="1138" t="s">
        <v>1349</v>
      </c>
      <c r="GR448" s="1138" t="s">
        <v>1349</v>
      </c>
      <c r="GS448" s="1138" t="s">
        <v>1349</v>
      </c>
      <c r="GT448" s="1138" t="s">
        <v>1349</v>
      </c>
      <c r="GU448" s="1138" t="s">
        <v>1349</v>
      </c>
    </row>
    <row r="449" spans="1:204" x14ac:dyDescent="0.2">
      <c r="A449" s="1138"/>
      <c r="B449" s="1138"/>
      <c r="BC449" s="1136"/>
      <c r="BD449" s="1137"/>
      <c r="CJ449" s="1138"/>
      <c r="DO449" s="1140"/>
      <c r="DP449" s="1141"/>
      <c r="DQ449" s="1141"/>
      <c r="DS449" s="1138"/>
      <c r="EG449" s="1140"/>
      <c r="EH449" s="1140"/>
      <c r="EK449" s="1138"/>
      <c r="EN449" s="1140"/>
      <c r="EO449" s="1140"/>
      <c r="ER449" s="1138"/>
      <c r="EV449" s="1140"/>
      <c r="EW449" s="1140"/>
      <c r="EX449" s="1140"/>
      <c r="EZ449" s="1138"/>
      <c r="FE449" s="1140"/>
      <c r="FF449" s="1140"/>
      <c r="FG449" s="1140"/>
      <c r="FH449" s="1140"/>
      <c r="FI449" s="1138"/>
      <c r="FO449" s="1140"/>
      <c r="FP449" s="1140"/>
      <c r="FQ449" s="1140"/>
      <c r="FR449" s="1140"/>
      <c r="FS449" s="1138"/>
      <c r="GG449" s="1138" t="s">
        <v>1349</v>
      </c>
      <c r="GH449" s="1138" t="s">
        <v>1349</v>
      </c>
      <c r="GI449" s="1138" t="s">
        <v>1349</v>
      </c>
      <c r="GJ449" s="1138" t="s">
        <v>1349</v>
      </c>
      <c r="GK449" s="1138" t="s">
        <v>1349</v>
      </c>
      <c r="GL449" s="1138" t="s">
        <v>1349</v>
      </c>
      <c r="GM449" s="1138" t="s">
        <v>1349</v>
      </c>
      <c r="GN449" s="1138" t="s">
        <v>1349</v>
      </c>
      <c r="GO449" s="1138" t="s">
        <v>1349</v>
      </c>
      <c r="GP449" s="1138" t="s">
        <v>1349</v>
      </c>
      <c r="GQ449" s="1138" t="s">
        <v>1349</v>
      </c>
      <c r="GR449" s="1138" t="s">
        <v>1349</v>
      </c>
      <c r="GS449" s="1138" t="s">
        <v>1349</v>
      </c>
      <c r="GT449" s="1138" t="s">
        <v>1349</v>
      </c>
      <c r="GU449" s="1138" t="s">
        <v>1349</v>
      </c>
      <c r="GV449" s="1138" t="s">
        <v>1349</v>
      </c>
    </row>
    <row r="450" spans="1:204" x14ac:dyDescent="0.2">
      <c r="A450" s="1138"/>
      <c r="B450" s="1138"/>
      <c r="BC450" s="1136"/>
      <c r="BD450" s="1137"/>
      <c r="CJ450" s="1138"/>
      <c r="DO450" s="1140"/>
      <c r="DP450" s="1141"/>
      <c r="DQ450" s="1141"/>
      <c r="DS450" s="1138"/>
      <c r="EG450" s="1140"/>
      <c r="EH450" s="1140"/>
      <c r="EK450" s="1138"/>
      <c r="EN450" s="1140"/>
      <c r="EO450" s="1140"/>
      <c r="ER450" s="1138"/>
      <c r="EV450" s="1140"/>
      <c r="EW450" s="1140"/>
      <c r="EX450" s="1140"/>
      <c r="EZ450" s="1138"/>
      <c r="FE450" s="1140"/>
      <c r="FF450" s="1140"/>
      <c r="FG450" s="1140"/>
      <c r="FH450" s="1140"/>
      <c r="FI450" s="1138"/>
      <c r="FO450" s="1140"/>
      <c r="FP450" s="1140"/>
      <c r="FQ450" s="1140"/>
      <c r="FR450" s="1140"/>
      <c r="FS450" s="1138"/>
      <c r="GG450" s="1138" t="s">
        <v>1349</v>
      </c>
      <c r="GH450" s="1138" t="s">
        <v>1349</v>
      </c>
      <c r="GI450" s="1138" t="s">
        <v>1349</v>
      </c>
      <c r="GJ450" s="1138" t="s">
        <v>1349</v>
      </c>
      <c r="GK450" s="1138" t="s">
        <v>1349</v>
      </c>
      <c r="GL450" s="1138" t="s">
        <v>1349</v>
      </c>
      <c r="GM450" s="1138" t="s">
        <v>1349</v>
      </c>
      <c r="GN450" s="1138" t="s">
        <v>1349</v>
      </c>
      <c r="GO450" s="1138" t="s">
        <v>1349</v>
      </c>
      <c r="GP450" s="1138" t="s">
        <v>1349</v>
      </c>
      <c r="GQ450" s="1138" t="s">
        <v>1349</v>
      </c>
      <c r="GR450" s="1138" t="s">
        <v>1349</v>
      </c>
      <c r="GS450" s="1138" t="s">
        <v>1349</v>
      </c>
      <c r="GT450" s="1138" t="s">
        <v>1349</v>
      </c>
      <c r="GU450" s="1138" t="s">
        <v>1349</v>
      </c>
      <c r="GV450" s="1138" t="s">
        <v>1349</v>
      </c>
    </row>
    <row r="451" spans="1:204" x14ac:dyDescent="0.2">
      <c r="A451" s="1138"/>
      <c r="B451" s="1138"/>
      <c r="BC451" s="1136"/>
      <c r="BD451" s="1137"/>
      <c r="CJ451" s="1138"/>
      <c r="DO451" s="1140"/>
      <c r="DP451" s="1141"/>
      <c r="DQ451" s="1141"/>
      <c r="DS451" s="1138"/>
      <c r="EG451" s="1140"/>
      <c r="EH451" s="1140"/>
      <c r="EK451" s="1138"/>
      <c r="EN451" s="1140"/>
      <c r="EO451" s="1140"/>
      <c r="ER451" s="1138"/>
      <c r="EV451" s="1140"/>
      <c r="EW451" s="1140"/>
      <c r="EX451" s="1140"/>
      <c r="EZ451" s="1138"/>
      <c r="FE451" s="1140"/>
      <c r="FF451" s="1140"/>
      <c r="FG451" s="1140"/>
      <c r="FH451" s="1140"/>
      <c r="FI451" s="1138"/>
      <c r="FO451" s="1140"/>
      <c r="FP451" s="1140"/>
      <c r="FQ451" s="1140"/>
      <c r="FR451" s="1140"/>
      <c r="FS451" s="1138"/>
      <c r="GG451" s="1138" t="s">
        <v>1349</v>
      </c>
      <c r="GH451" s="1138" t="s">
        <v>1349</v>
      </c>
      <c r="GI451" s="1138" t="s">
        <v>1349</v>
      </c>
      <c r="GJ451" s="1138" t="s">
        <v>1349</v>
      </c>
      <c r="GK451" s="1138" t="s">
        <v>1349</v>
      </c>
      <c r="GL451" s="1138" t="s">
        <v>1349</v>
      </c>
      <c r="GM451" s="1138" t="s">
        <v>1349</v>
      </c>
      <c r="GN451" s="1138" t="s">
        <v>1349</v>
      </c>
      <c r="GO451" s="1138" t="s">
        <v>1349</v>
      </c>
      <c r="GP451" s="1138" t="s">
        <v>1349</v>
      </c>
      <c r="GQ451" s="1138" t="s">
        <v>1349</v>
      </c>
      <c r="GR451" s="1138" t="s">
        <v>1349</v>
      </c>
      <c r="GS451" s="1138" t="s">
        <v>1349</v>
      </c>
      <c r="GT451" s="1138" t="s">
        <v>1349</v>
      </c>
      <c r="GU451" s="1138" t="s">
        <v>1349</v>
      </c>
      <c r="GV451" s="1138" t="s">
        <v>1349</v>
      </c>
    </row>
    <row r="452" spans="1:204" x14ac:dyDescent="0.2">
      <c r="A452" s="1138"/>
      <c r="B452" s="1138"/>
      <c r="BC452" s="1136"/>
      <c r="BD452" s="1137"/>
      <c r="CJ452" s="1138"/>
      <c r="DO452" s="1140"/>
      <c r="DP452" s="1141"/>
      <c r="DQ452" s="1141"/>
      <c r="DS452" s="1138"/>
      <c r="EG452" s="1140"/>
      <c r="EH452" s="1140"/>
      <c r="EK452" s="1138"/>
      <c r="EN452" s="1140"/>
      <c r="EO452" s="1140"/>
      <c r="ER452" s="1138"/>
      <c r="EV452" s="1140"/>
      <c r="EW452" s="1140"/>
      <c r="EX452" s="1140"/>
      <c r="EZ452" s="1138"/>
      <c r="FE452" s="1140"/>
      <c r="FF452" s="1140"/>
      <c r="FG452" s="1140"/>
      <c r="FH452" s="1140"/>
      <c r="FI452" s="1138"/>
      <c r="FO452" s="1140"/>
      <c r="FP452" s="1140"/>
      <c r="FQ452" s="1140"/>
      <c r="FR452" s="1140"/>
      <c r="FS452" s="1138"/>
      <c r="GG452" s="1138" t="s">
        <v>1349</v>
      </c>
      <c r="GH452" s="1138" t="s">
        <v>1349</v>
      </c>
      <c r="GI452" s="1138" t="s">
        <v>1349</v>
      </c>
      <c r="GJ452" s="1138" t="s">
        <v>1349</v>
      </c>
      <c r="GK452" s="1138" t="s">
        <v>1349</v>
      </c>
      <c r="GL452" s="1138" t="s">
        <v>1349</v>
      </c>
      <c r="GM452" s="1138" t="s">
        <v>1349</v>
      </c>
      <c r="GN452" s="1138" t="s">
        <v>1349</v>
      </c>
      <c r="GO452" s="1138" t="s">
        <v>1349</v>
      </c>
      <c r="GP452" s="1138" t="s">
        <v>1349</v>
      </c>
      <c r="GQ452" s="1138" t="s">
        <v>1349</v>
      </c>
      <c r="GR452" s="1138" t="s">
        <v>1349</v>
      </c>
      <c r="GS452" s="1138" t="s">
        <v>1349</v>
      </c>
      <c r="GT452" s="1138" t="s">
        <v>1349</v>
      </c>
      <c r="GU452" s="1138" t="s">
        <v>1349</v>
      </c>
      <c r="GV452" s="1138" t="s">
        <v>1349</v>
      </c>
    </row>
    <row r="453" spans="1:204" x14ac:dyDescent="0.2">
      <c r="A453" s="1138"/>
      <c r="B453" s="1138"/>
      <c r="BC453" s="1136"/>
      <c r="BD453" s="1137"/>
      <c r="CJ453" s="1138"/>
      <c r="DO453" s="1140"/>
      <c r="DP453" s="1141"/>
      <c r="DQ453" s="1141"/>
      <c r="DS453" s="1138"/>
      <c r="EG453" s="1140"/>
      <c r="EH453" s="1140"/>
      <c r="EK453" s="1138"/>
      <c r="EN453" s="1140"/>
      <c r="EO453" s="1140"/>
      <c r="ER453" s="1138"/>
      <c r="EV453" s="1140"/>
      <c r="EW453" s="1140"/>
      <c r="EX453" s="1140"/>
      <c r="EZ453" s="1138"/>
      <c r="FE453" s="1140"/>
      <c r="FF453" s="1140"/>
      <c r="FG453" s="1140"/>
      <c r="FH453" s="1140"/>
      <c r="FI453" s="1138"/>
      <c r="FO453" s="1140"/>
      <c r="FP453" s="1140"/>
      <c r="FQ453" s="1140"/>
      <c r="FR453" s="1140"/>
      <c r="FS453" s="1138"/>
      <c r="GG453" s="1138" t="s">
        <v>1349</v>
      </c>
      <c r="GH453" s="1138" t="s">
        <v>1349</v>
      </c>
      <c r="GI453" s="1138" t="s">
        <v>1349</v>
      </c>
      <c r="GJ453" s="1138" t="s">
        <v>1349</v>
      </c>
      <c r="GK453" s="1138" t="s">
        <v>1349</v>
      </c>
      <c r="GL453" s="1138" t="s">
        <v>1349</v>
      </c>
      <c r="GM453" s="1138" t="s">
        <v>1349</v>
      </c>
      <c r="GN453" s="1138" t="s">
        <v>1349</v>
      </c>
      <c r="GO453" s="1138" t="s">
        <v>1349</v>
      </c>
      <c r="GP453" s="1138" t="s">
        <v>1349</v>
      </c>
      <c r="GQ453" s="1138" t="s">
        <v>1349</v>
      </c>
      <c r="GR453" s="1138" t="s">
        <v>1349</v>
      </c>
      <c r="GS453" s="1138" t="s">
        <v>1349</v>
      </c>
      <c r="GT453" s="1138" t="s">
        <v>1349</v>
      </c>
      <c r="GU453" s="1138" t="s">
        <v>1349</v>
      </c>
      <c r="GV453" s="1138" t="s">
        <v>1349</v>
      </c>
    </row>
    <row r="454" spans="1:204" x14ac:dyDescent="0.2">
      <c r="A454" s="1138"/>
      <c r="B454" s="1138"/>
      <c r="BC454" s="1136"/>
      <c r="BD454" s="1137"/>
      <c r="CJ454" s="1138"/>
      <c r="DO454" s="1140"/>
      <c r="DP454" s="1141"/>
      <c r="DQ454" s="1141"/>
      <c r="DS454" s="1138"/>
      <c r="EG454" s="1140"/>
      <c r="EH454" s="1140"/>
      <c r="EK454" s="1138"/>
      <c r="EN454" s="1140"/>
      <c r="EO454" s="1140"/>
      <c r="ER454" s="1138"/>
      <c r="EV454" s="1140"/>
      <c r="EW454" s="1140"/>
      <c r="EX454" s="1140"/>
      <c r="EZ454" s="1138"/>
      <c r="FE454" s="1140"/>
      <c r="FF454" s="1140"/>
      <c r="FG454" s="1140"/>
      <c r="FH454" s="1140"/>
      <c r="FI454" s="1138"/>
      <c r="FO454" s="1140"/>
      <c r="FP454" s="1140"/>
      <c r="FQ454" s="1140"/>
      <c r="FR454" s="1140"/>
      <c r="FS454" s="1138"/>
      <c r="GG454" s="1138" t="s">
        <v>1349</v>
      </c>
      <c r="GH454" s="1138" t="s">
        <v>1349</v>
      </c>
      <c r="GI454" s="1138" t="s">
        <v>1349</v>
      </c>
      <c r="GJ454" s="1138" t="s">
        <v>1349</v>
      </c>
      <c r="GK454" s="1138" t="s">
        <v>1349</v>
      </c>
      <c r="GL454" s="1138" t="s">
        <v>1349</v>
      </c>
      <c r="GM454" s="1138" t="s">
        <v>1349</v>
      </c>
      <c r="GN454" s="1138" t="s">
        <v>1349</v>
      </c>
      <c r="GO454" s="1138" t="s">
        <v>1349</v>
      </c>
      <c r="GP454" s="1138" t="s">
        <v>1349</v>
      </c>
      <c r="GQ454" s="1138" t="s">
        <v>1349</v>
      </c>
      <c r="GR454" s="1138" t="s">
        <v>1349</v>
      </c>
      <c r="GS454" s="1138" t="s">
        <v>1349</v>
      </c>
      <c r="GT454" s="1138" t="s">
        <v>1349</v>
      </c>
      <c r="GU454" s="1138" t="s">
        <v>1349</v>
      </c>
      <c r="GV454" s="1138" t="s">
        <v>1349</v>
      </c>
    </row>
    <row r="455" spans="1:204" x14ac:dyDescent="0.2">
      <c r="A455" s="1138"/>
      <c r="B455" s="1138"/>
      <c r="BC455" s="1136"/>
      <c r="BD455" s="1137"/>
      <c r="CJ455" s="1138"/>
      <c r="DO455" s="1140"/>
      <c r="DP455" s="1141"/>
      <c r="DQ455" s="1141"/>
      <c r="DS455" s="1138"/>
      <c r="EG455" s="1140"/>
      <c r="EH455" s="1140"/>
      <c r="EK455" s="1138"/>
      <c r="EN455" s="1140"/>
      <c r="EO455" s="1140"/>
      <c r="ER455" s="1138"/>
      <c r="EV455" s="1140"/>
      <c r="EW455" s="1140"/>
      <c r="EX455" s="1140"/>
      <c r="EZ455" s="1138"/>
      <c r="FE455" s="1140"/>
      <c r="FF455" s="1140"/>
      <c r="FG455" s="1140"/>
      <c r="FH455" s="1140"/>
      <c r="FI455" s="1138"/>
      <c r="FO455" s="1140"/>
      <c r="FP455" s="1140"/>
      <c r="FQ455" s="1140"/>
      <c r="FR455" s="1140"/>
      <c r="FS455" s="1138"/>
      <c r="GG455" s="1138" t="s">
        <v>1349</v>
      </c>
      <c r="GH455" s="1138" t="s">
        <v>1349</v>
      </c>
      <c r="GI455" s="1138" t="s">
        <v>1349</v>
      </c>
      <c r="GJ455" s="1138" t="s">
        <v>1349</v>
      </c>
      <c r="GK455" s="1138" t="s">
        <v>1349</v>
      </c>
      <c r="GL455" s="1138" t="s">
        <v>1349</v>
      </c>
      <c r="GM455" s="1138" t="s">
        <v>1349</v>
      </c>
      <c r="GN455" s="1138" t="s">
        <v>1349</v>
      </c>
      <c r="GO455" s="1138" t="s">
        <v>1349</v>
      </c>
      <c r="GP455" s="1138" t="s">
        <v>1349</v>
      </c>
      <c r="GQ455" s="1138" t="s">
        <v>1349</v>
      </c>
      <c r="GR455" s="1138" t="s">
        <v>1349</v>
      </c>
      <c r="GS455" s="1138" t="s">
        <v>1349</v>
      </c>
      <c r="GT455" s="1138" t="s">
        <v>1349</v>
      </c>
      <c r="GU455" s="1138" t="s">
        <v>1349</v>
      </c>
      <c r="GV455" s="1138" t="s">
        <v>1349</v>
      </c>
    </row>
    <row r="456" spans="1:204" x14ac:dyDescent="0.2">
      <c r="A456" s="1138"/>
      <c r="B456" s="1138"/>
      <c r="BC456" s="1136"/>
      <c r="BD456" s="1137"/>
      <c r="CJ456" s="1138"/>
      <c r="DO456" s="1140"/>
      <c r="DP456" s="1141"/>
      <c r="DQ456" s="1141"/>
      <c r="DS456" s="1138"/>
      <c r="EG456" s="1140"/>
      <c r="EH456" s="1140"/>
      <c r="EK456" s="1138"/>
      <c r="EN456" s="1140"/>
      <c r="EO456" s="1140"/>
      <c r="ER456" s="1138"/>
      <c r="EV456" s="1140"/>
      <c r="EW456" s="1140"/>
      <c r="EX456" s="1140"/>
      <c r="EZ456" s="1138"/>
      <c r="FE456" s="1140"/>
      <c r="FF456" s="1140"/>
      <c r="FG456" s="1140"/>
      <c r="FH456" s="1140"/>
      <c r="FI456" s="1138"/>
      <c r="FO456" s="1140"/>
      <c r="FP456" s="1140"/>
      <c r="FQ456" s="1140"/>
      <c r="FR456" s="1140"/>
      <c r="FS456" s="1138"/>
      <c r="GG456" s="1138" t="s">
        <v>1349</v>
      </c>
      <c r="GH456" s="1138" t="s">
        <v>1349</v>
      </c>
      <c r="GI456" s="1138" t="s">
        <v>1349</v>
      </c>
      <c r="GJ456" s="1138" t="s">
        <v>1349</v>
      </c>
      <c r="GK456" s="1138" t="s">
        <v>1349</v>
      </c>
      <c r="GL456" s="1138" t="s">
        <v>1349</v>
      </c>
      <c r="GM456" s="1138" t="s">
        <v>1349</v>
      </c>
      <c r="GN456" s="1138" t="s">
        <v>1349</v>
      </c>
      <c r="GO456" s="1138" t="s">
        <v>1349</v>
      </c>
      <c r="GP456" s="1138" t="s">
        <v>1349</v>
      </c>
      <c r="GQ456" s="1138" t="s">
        <v>1349</v>
      </c>
      <c r="GR456" s="1138" t="s">
        <v>1349</v>
      </c>
      <c r="GS456" s="1138" t="s">
        <v>1349</v>
      </c>
      <c r="GT456" s="1138" t="s">
        <v>1349</v>
      </c>
      <c r="GU456" s="1138" t="s">
        <v>1349</v>
      </c>
      <c r="GV456" s="1138" t="s">
        <v>1349</v>
      </c>
    </row>
    <row r="457" spans="1:204" x14ac:dyDescent="0.2">
      <c r="A457" s="1138"/>
      <c r="B457" s="1138"/>
      <c r="BC457" s="1136"/>
      <c r="BD457" s="1137"/>
      <c r="CJ457" s="1138"/>
      <c r="DO457" s="1140"/>
      <c r="DP457" s="1141"/>
      <c r="DQ457" s="1141"/>
      <c r="DS457" s="1138"/>
      <c r="EG457" s="1140"/>
      <c r="EH457" s="1140"/>
      <c r="EK457" s="1138"/>
      <c r="EN457" s="1140"/>
      <c r="EO457" s="1140"/>
      <c r="ER457" s="1138"/>
      <c r="EV457" s="1140"/>
      <c r="EW457" s="1140"/>
      <c r="EX457" s="1140"/>
      <c r="EZ457" s="1138"/>
      <c r="FE457" s="1140"/>
      <c r="FF457" s="1140"/>
      <c r="FG457" s="1140"/>
      <c r="FH457" s="1140"/>
      <c r="FI457" s="1138"/>
      <c r="FO457" s="1140"/>
      <c r="FP457" s="1140"/>
      <c r="FQ457" s="1140"/>
      <c r="FR457" s="1140"/>
      <c r="FS457" s="1138"/>
      <c r="GG457" s="1138" t="s">
        <v>1349</v>
      </c>
      <c r="GH457" s="1138" t="s">
        <v>1349</v>
      </c>
      <c r="GI457" s="1138" t="s">
        <v>1349</v>
      </c>
      <c r="GJ457" s="1138" t="s">
        <v>1349</v>
      </c>
      <c r="GK457" s="1138" t="s">
        <v>1349</v>
      </c>
      <c r="GL457" s="1138" t="s">
        <v>1349</v>
      </c>
      <c r="GM457" s="1138" t="s">
        <v>1349</v>
      </c>
      <c r="GN457" s="1138" t="s">
        <v>1349</v>
      </c>
      <c r="GO457" s="1138" t="s">
        <v>1349</v>
      </c>
      <c r="GP457" s="1138" t="s">
        <v>1349</v>
      </c>
      <c r="GQ457" s="1138" t="s">
        <v>1349</v>
      </c>
      <c r="GR457" s="1138" t="s">
        <v>1349</v>
      </c>
      <c r="GS457" s="1138" t="s">
        <v>1349</v>
      </c>
      <c r="GT457" s="1138" t="s">
        <v>1349</v>
      </c>
      <c r="GU457" s="1138" t="s">
        <v>1349</v>
      </c>
      <c r="GV457" s="1138" t="s">
        <v>1349</v>
      </c>
    </row>
    <row r="458" spans="1:204" x14ac:dyDescent="0.2">
      <c r="A458" s="1138"/>
      <c r="B458" s="1138"/>
      <c r="BC458" s="1136"/>
      <c r="BD458" s="1137"/>
      <c r="CJ458" s="1138"/>
      <c r="DO458" s="1140"/>
      <c r="DP458" s="1141"/>
      <c r="DQ458" s="1141"/>
      <c r="DS458" s="1138"/>
      <c r="EG458" s="1140"/>
      <c r="EH458" s="1140"/>
      <c r="EK458" s="1138"/>
      <c r="EN458" s="1140"/>
      <c r="EO458" s="1140"/>
      <c r="ER458" s="1138"/>
      <c r="EV458" s="1140"/>
      <c r="EW458" s="1140"/>
      <c r="EX458" s="1140"/>
      <c r="EZ458" s="1138"/>
      <c r="FE458" s="1140"/>
      <c r="FF458" s="1140"/>
      <c r="FG458" s="1140"/>
      <c r="FH458" s="1140"/>
      <c r="FI458" s="1138"/>
      <c r="FO458" s="1140"/>
      <c r="FP458" s="1140"/>
      <c r="FQ458" s="1140"/>
      <c r="FR458" s="1140"/>
      <c r="FS458" s="1138"/>
      <c r="GG458" s="1138" t="s">
        <v>1349</v>
      </c>
      <c r="GH458" s="1138" t="s">
        <v>1349</v>
      </c>
      <c r="GI458" s="1138" t="s">
        <v>1349</v>
      </c>
      <c r="GJ458" s="1138" t="s">
        <v>1349</v>
      </c>
      <c r="GK458" s="1138" t="s">
        <v>1349</v>
      </c>
      <c r="GL458" s="1138" t="s">
        <v>1349</v>
      </c>
      <c r="GM458" s="1138" t="s">
        <v>1349</v>
      </c>
      <c r="GN458" s="1138" t="s">
        <v>1349</v>
      </c>
      <c r="GO458" s="1138" t="s">
        <v>1349</v>
      </c>
      <c r="GP458" s="1138" t="s">
        <v>1349</v>
      </c>
      <c r="GQ458" s="1138" t="s">
        <v>1349</v>
      </c>
      <c r="GR458" s="1138" t="s">
        <v>1349</v>
      </c>
      <c r="GS458" s="1138" t="s">
        <v>1349</v>
      </c>
      <c r="GT458" s="1138" t="s">
        <v>1349</v>
      </c>
      <c r="GU458" s="1138" t="s">
        <v>1349</v>
      </c>
      <c r="GV458" s="1138" t="s">
        <v>1349</v>
      </c>
    </row>
    <row r="459" spans="1:204" x14ac:dyDescent="0.2">
      <c r="A459" s="1138"/>
      <c r="B459" s="1138"/>
      <c r="BC459" s="1136"/>
      <c r="CJ459" s="1138"/>
      <c r="DO459" s="1140"/>
      <c r="DP459" s="1141"/>
      <c r="DQ459" s="1141"/>
      <c r="DS459" s="1138"/>
      <c r="EG459" s="1140"/>
      <c r="EH459" s="1140"/>
      <c r="EK459" s="1138"/>
      <c r="EN459" s="1140"/>
      <c r="EO459" s="1140"/>
      <c r="ER459" s="1138"/>
      <c r="EV459" s="1140"/>
      <c r="EW459" s="1140"/>
      <c r="EX459" s="1140"/>
      <c r="EZ459" s="1138"/>
      <c r="FE459" s="1140"/>
      <c r="FF459" s="1140"/>
      <c r="FG459" s="1140"/>
      <c r="FH459" s="1140"/>
      <c r="FI459" s="1138"/>
      <c r="FO459" s="1140"/>
      <c r="FP459" s="1140"/>
      <c r="FQ459" s="1140"/>
      <c r="FR459" s="1140"/>
      <c r="FS459" s="1138"/>
      <c r="GG459" s="1138" t="s">
        <v>1349</v>
      </c>
      <c r="GH459" s="1138" t="s">
        <v>1349</v>
      </c>
      <c r="GI459" s="1138" t="s">
        <v>1349</v>
      </c>
      <c r="GJ459" s="1138" t="s">
        <v>1349</v>
      </c>
      <c r="GK459" s="1138" t="s">
        <v>1349</v>
      </c>
      <c r="GL459" s="1138" t="s">
        <v>1349</v>
      </c>
      <c r="GM459" s="1138" t="s">
        <v>1349</v>
      </c>
      <c r="GN459" s="1138" t="s">
        <v>1349</v>
      </c>
      <c r="GO459" s="1138" t="s">
        <v>1349</v>
      </c>
      <c r="GP459" s="1138" t="s">
        <v>1349</v>
      </c>
      <c r="GQ459" s="1138" t="s">
        <v>1349</v>
      </c>
      <c r="GR459" s="1138" t="s">
        <v>1349</v>
      </c>
      <c r="GS459" s="1138" t="s">
        <v>1349</v>
      </c>
      <c r="GT459" s="1138" t="s">
        <v>1349</v>
      </c>
      <c r="GU459" s="1138" t="s">
        <v>1349</v>
      </c>
      <c r="GV459" s="1138" t="s">
        <v>1349</v>
      </c>
    </row>
    <row r="460" spans="1:204" x14ac:dyDescent="0.2">
      <c r="A460" s="1138"/>
      <c r="B460" s="1138"/>
      <c r="CJ460" s="1138"/>
      <c r="DO460" s="1140"/>
      <c r="DP460" s="1141"/>
      <c r="DQ460" s="1141"/>
      <c r="DS460" s="1138"/>
      <c r="EG460" s="1140"/>
      <c r="EH460" s="1140"/>
      <c r="EK460" s="1138"/>
      <c r="EN460" s="1140"/>
      <c r="EO460" s="1140"/>
      <c r="ER460" s="1138"/>
      <c r="EV460" s="1140"/>
      <c r="EW460" s="1140"/>
      <c r="EX460" s="1140"/>
      <c r="EZ460" s="1138"/>
      <c r="FE460" s="1140"/>
      <c r="FF460" s="1140"/>
      <c r="FG460" s="1140"/>
      <c r="FH460" s="1140"/>
      <c r="FI460" s="1138"/>
      <c r="FO460" s="1140"/>
      <c r="FP460" s="1140"/>
      <c r="FQ460" s="1140"/>
      <c r="FR460" s="1140"/>
      <c r="FS460" s="1138"/>
      <c r="GG460" s="1138" t="s">
        <v>1349</v>
      </c>
      <c r="GH460" s="1138" t="s">
        <v>1349</v>
      </c>
      <c r="GI460" s="1138" t="s">
        <v>1349</v>
      </c>
      <c r="GJ460" s="1138" t="s">
        <v>1349</v>
      </c>
      <c r="GK460" s="1138" t="s">
        <v>1349</v>
      </c>
      <c r="GL460" s="1138" t="s">
        <v>1349</v>
      </c>
      <c r="GM460" s="1138" t="s">
        <v>1349</v>
      </c>
      <c r="GN460" s="1138" t="s">
        <v>1349</v>
      </c>
      <c r="GO460" s="1138" t="s">
        <v>1349</v>
      </c>
      <c r="GP460" s="1138" t="s">
        <v>1349</v>
      </c>
      <c r="GQ460" s="1138" t="s">
        <v>1349</v>
      </c>
      <c r="GR460" s="1138" t="s">
        <v>1349</v>
      </c>
      <c r="GS460" s="1138" t="s">
        <v>1349</v>
      </c>
      <c r="GT460" s="1138" t="s">
        <v>1349</v>
      </c>
      <c r="GU460" s="1138" t="s">
        <v>1349</v>
      </c>
      <c r="GV460" s="1138" t="s">
        <v>1349</v>
      </c>
    </row>
    <row r="461" spans="1:204" x14ac:dyDescent="0.2">
      <c r="A461" s="1138"/>
      <c r="B461" s="1138"/>
      <c r="CJ461" s="1138"/>
      <c r="DO461" s="1140"/>
      <c r="DP461" s="1141"/>
      <c r="DQ461" s="1141"/>
      <c r="DS461" s="1138"/>
      <c r="EG461" s="1140"/>
      <c r="EH461" s="1140"/>
      <c r="EK461" s="1138"/>
      <c r="EN461" s="1140"/>
      <c r="EO461" s="1140"/>
      <c r="ER461" s="1138"/>
      <c r="EV461" s="1140"/>
      <c r="EW461" s="1140"/>
      <c r="EX461" s="1140"/>
      <c r="EZ461" s="1138"/>
      <c r="FE461" s="1140"/>
      <c r="FF461" s="1140"/>
      <c r="FG461" s="1140"/>
      <c r="FH461" s="1140"/>
      <c r="FI461" s="1138"/>
      <c r="FO461" s="1140"/>
      <c r="FP461" s="1140"/>
      <c r="FQ461" s="1140"/>
      <c r="FR461" s="1140"/>
      <c r="FS461" s="1138"/>
      <c r="GG461" s="1138" t="s">
        <v>1349</v>
      </c>
      <c r="GH461" s="1138" t="s">
        <v>1349</v>
      </c>
      <c r="GI461" s="1138" t="s">
        <v>1349</v>
      </c>
      <c r="GJ461" s="1138" t="s">
        <v>1349</v>
      </c>
      <c r="GK461" s="1138" t="s">
        <v>1349</v>
      </c>
      <c r="GL461" s="1138" t="s">
        <v>1349</v>
      </c>
      <c r="GM461" s="1138" t="s">
        <v>1349</v>
      </c>
      <c r="GN461" s="1138" t="s">
        <v>1349</v>
      </c>
      <c r="GO461" s="1138" t="s">
        <v>1349</v>
      </c>
      <c r="GP461" s="1138" t="s">
        <v>1349</v>
      </c>
      <c r="GQ461" s="1138" t="s">
        <v>1349</v>
      </c>
      <c r="GR461" s="1138" t="s">
        <v>1349</v>
      </c>
      <c r="GS461" s="1138" t="s">
        <v>1349</v>
      </c>
      <c r="GT461" s="1138" t="s">
        <v>1349</v>
      </c>
      <c r="GU461" s="1138" t="s">
        <v>1349</v>
      </c>
      <c r="GV461" s="1138" t="s">
        <v>1349</v>
      </c>
    </row>
    <row r="462" spans="1:204" x14ac:dyDescent="0.2">
      <c r="A462" s="1138"/>
      <c r="B462" s="1138"/>
      <c r="CJ462" s="1138"/>
      <c r="DO462" s="1140"/>
      <c r="DP462" s="1141"/>
      <c r="DQ462" s="1141"/>
      <c r="DS462" s="1138"/>
      <c r="EG462" s="1140"/>
      <c r="EH462" s="1140"/>
      <c r="EK462" s="1138"/>
      <c r="EN462" s="1140"/>
      <c r="EO462" s="1140"/>
      <c r="ER462" s="1138"/>
      <c r="EV462" s="1140"/>
      <c r="EW462" s="1140"/>
      <c r="EX462" s="1140"/>
      <c r="EZ462" s="1138"/>
      <c r="FE462" s="1140"/>
      <c r="FF462" s="1140"/>
      <c r="FG462" s="1140"/>
      <c r="FH462" s="1140"/>
      <c r="FI462" s="1138"/>
      <c r="FO462" s="1140"/>
      <c r="FP462" s="1140"/>
      <c r="FQ462" s="1140"/>
      <c r="FR462" s="1140"/>
      <c r="FS462" s="1138"/>
      <c r="GG462" s="1138" t="s">
        <v>1349</v>
      </c>
      <c r="GH462" s="1138" t="s">
        <v>1349</v>
      </c>
      <c r="GI462" s="1138" t="s">
        <v>1349</v>
      </c>
      <c r="GJ462" s="1138" t="s">
        <v>1349</v>
      </c>
      <c r="GK462" s="1138" t="s">
        <v>1349</v>
      </c>
      <c r="GL462" s="1138" t="s">
        <v>1349</v>
      </c>
      <c r="GM462" s="1138" t="s">
        <v>1349</v>
      </c>
      <c r="GN462" s="1138" t="s">
        <v>1349</v>
      </c>
      <c r="GO462" s="1138" t="s">
        <v>1349</v>
      </c>
      <c r="GP462" s="1138" t="s">
        <v>1349</v>
      </c>
      <c r="GQ462" s="1138" t="s">
        <v>1349</v>
      </c>
      <c r="GR462" s="1138" t="s">
        <v>1349</v>
      </c>
      <c r="GS462" s="1138" t="s">
        <v>1349</v>
      </c>
      <c r="GT462" s="1138" t="s">
        <v>1349</v>
      </c>
      <c r="GU462" s="1138" t="s">
        <v>1349</v>
      </c>
      <c r="GV462" s="1138" t="s">
        <v>1349</v>
      </c>
    </row>
    <row r="463" spans="1:204" x14ac:dyDescent="0.2">
      <c r="A463" s="1138"/>
      <c r="B463" s="1138"/>
      <c r="CJ463" s="1138"/>
      <c r="DO463" s="1140"/>
      <c r="DP463" s="1141"/>
      <c r="DQ463" s="1141"/>
      <c r="DS463" s="1138"/>
      <c r="EG463" s="1140"/>
      <c r="EH463" s="1140"/>
      <c r="EK463" s="1138"/>
      <c r="EN463" s="1140"/>
      <c r="EO463" s="1140"/>
      <c r="ER463" s="1138"/>
      <c r="EV463" s="1140"/>
      <c r="EW463" s="1140"/>
      <c r="EX463" s="1140"/>
      <c r="EZ463" s="1138"/>
      <c r="FE463" s="1140"/>
      <c r="FF463" s="1140"/>
      <c r="FG463" s="1140"/>
      <c r="FH463" s="1140"/>
      <c r="FI463" s="1138"/>
      <c r="FO463" s="1140"/>
      <c r="FP463" s="1140"/>
      <c r="FQ463" s="1140"/>
      <c r="FR463" s="1140"/>
      <c r="FS463" s="1138"/>
      <c r="GG463" s="1138" t="s">
        <v>1349</v>
      </c>
      <c r="GH463" s="1138" t="s">
        <v>1349</v>
      </c>
      <c r="GI463" s="1138" t="s">
        <v>1349</v>
      </c>
      <c r="GJ463" s="1138" t="s">
        <v>1349</v>
      </c>
      <c r="GK463" s="1138" t="s">
        <v>1349</v>
      </c>
      <c r="GL463" s="1138" t="s">
        <v>1349</v>
      </c>
      <c r="GM463" s="1138" t="s">
        <v>1349</v>
      </c>
      <c r="GN463" s="1138" t="s">
        <v>1349</v>
      </c>
      <c r="GO463" s="1138" t="s">
        <v>1349</v>
      </c>
      <c r="GP463" s="1138" t="s">
        <v>1349</v>
      </c>
      <c r="GQ463" s="1138" t="s">
        <v>1349</v>
      </c>
      <c r="GR463" s="1138" t="s">
        <v>1349</v>
      </c>
      <c r="GS463" s="1138" t="s">
        <v>1349</v>
      </c>
      <c r="GT463" s="1138" t="s">
        <v>1349</v>
      </c>
      <c r="GU463" s="1138" t="s">
        <v>1349</v>
      </c>
      <c r="GV463" s="1138" t="s">
        <v>1349</v>
      </c>
    </row>
    <row r="464" spans="1:204" x14ac:dyDescent="0.2">
      <c r="A464" s="1138"/>
      <c r="B464" s="1138"/>
      <c r="CJ464" s="1138"/>
      <c r="DO464" s="1140"/>
      <c r="DP464" s="1141"/>
      <c r="DQ464" s="1141"/>
      <c r="DS464" s="1138"/>
      <c r="EG464" s="1140"/>
      <c r="EH464" s="1140"/>
      <c r="EK464" s="1138"/>
      <c r="EN464" s="1140"/>
      <c r="EO464" s="1140"/>
      <c r="ER464" s="1138"/>
      <c r="EV464" s="1140"/>
      <c r="EW464" s="1140"/>
      <c r="EX464" s="1140"/>
      <c r="EZ464" s="1138"/>
      <c r="FE464" s="1140"/>
      <c r="FF464" s="1140"/>
      <c r="FG464" s="1140"/>
      <c r="FH464" s="1140"/>
      <c r="FI464" s="1138"/>
      <c r="FO464" s="1140"/>
      <c r="FP464" s="1140"/>
      <c r="FQ464" s="1140"/>
      <c r="FR464" s="1140"/>
      <c r="FS464" s="1138"/>
      <c r="GG464" s="1138" t="s">
        <v>1349</v>
      </c>
      <c r="GH464" s="1138" t="s">
        <v>1349</v>
      </c>
      <c r="GI464" s="1138" t="s">
        <v>1349</v>
      </c>
      <c r="GJ464" s="1138" t="s">
        <v>1349</v>
      </c>
      <c r="GK464" s="1138" t="s">
        <v>1349</v>
      </c>
      <c r="GL464" s="1138" t="s">
        <v>1349</v>
      </c>
      <c r="GM464" s="1138" t="s">
        <v>1349</v>
      </c>
      <c r="GN464" s="1138" t="s">
        <v>1349</v>
      </c>
      <c r="GO464" s="1138" t="s">
        <v>1349</v>
      </c>
      <c r="GP464" s="1138" t="s">
        <v>1349</v>
      </c>
      <c r="GQ464" s="1138" t="s">
        <v>1349</v>
      </c>
      <c r="GR464" s="1138" t="s">
        <v>1349</v>
      </c>
      <c r="GS464" s="1138" t="s">
        <v>1349</v>
      </c>
      <c r="GT464" s="1138" t="s">
        <v>1349</v>
      </c>
      <c r="GU464" s="1138" t="s">
        <v>1349</v>
      </c>
      <c r="GV464" s="1138" t="s">
        <v>1349</v>
      </c>
    </row>
    <row r="465" spans="1:204" x14ac:dyDescent="0.2">
      <c r="A465" s="1138"/>
      <c r="B465" s="1138"/>
      <c r="CJ465" s="1138"/>
      <c r="DO465" s="1140"/>
      <c r="DP465" s="1141"/>
      <c r="DQ465" s="1141"/>
      <c r="DS465" s="1138"/>
      <c r="EG465" s="1140"/>
      <c r="EH465" s="1140"/>
      <c r="EK465" s="1138"/>
      <c r="EN465" s="1140"/>
      <c r="EO465" s="1140"/>
      <c r="ER465" s="1138"/>
      <c r="EV465" s="1140"/>
      <c r="EW465" s="1140"/>
      <c r="EX465" s="1140"/>
      <c r="EZ465" s="1138"/>
      <c r="FE465" s="1140"/>
      <c r="FF465" s="1140"/>
      <c r="FG465" s="1140"/>
      <c r="FH465" s="1140"/>
      <c r="FI465" s="1138"/>
      <c r="FO465" s="1140"/>
      <c r="FP465" s="1140"/>
      <c r="FQ465" s="1140"/>
      <c r="FR465" s="1140"/>
      <c r="FS465" s="1138"/>
      <c r="GG465" s="1138" t="s">
        <v>1349</v>
      </c>
      <c r="GH465" s="1138" t="s">
        <v>1349</v>
      </c>
      <c r="GI465" s="1138" t="s">
        <v>1349</v>
      </c>
      <c r="GJ465" s="1138" t="s">
        <v>1349</v>
      </c>
      <c r="GK465" s="1138" t="s">
        <v>1349</v>
      </c>
      <c r="GL465" s="1138" t="s">
        <v>1349</v>
      </c>
      <c r="GM465" s="1138" t="s">
        <v>1349</v>
      </c>
      <c r="GN465" s="1138" t="s">
        <v>1349</v>
      </c>
      <c r="GO465" s="1138" t="s">
        <v>1349</v>
      </c>
      <c r="GP465" s="1138" t="s">
        <v>1349</v>
      </c>
      <c r="GQ465" s="1138" t="s">
        <v>1349</v>
      </c>
      <c r="GR465" s="1138" t="s">
        <v>1349</v>
      </c>
      <c r="GS465" s="1138" t="s">
        <v>1349</v>
      </c>
      <c r="GT465" s="1138" t="s">
        <v>1349</v>
      </c>
      <c r="GU465" s="1138" t="s">
        <v>1349</v>
      </c>
      <c r="GV465" s="1138" t="s">
        <v>1349</v>
      </c>
    </row>
    <row r="466" spans="1:204" x14ac:dyDescent="0.2">
      <c r="A466" s="1138"/>
      <c r="B466" s="1138"/>
      <c r="CJ466" s="1138"/>
      <c r="DO466" s="1140"/>
      <c r="DP466" s="1141"/>
      <c r="DQ466" s="1141"/>
      <c r="DS466" s="1138"/>
      <c r="EG466" s="1140"/>
      <c r="EH466" s="1140"/>
      <c r="EK466" s="1138"/>
      <c r="EN466" s="1140"/>
      <c r="EO466" s="1140"/>
      <c r="ER466" s="1138"/>
      <c r="EV466" s="1140"/>
      <c r="EW466" s="1140"/>
      <c r="EX466" s="1140"/>
      <c r="EZ466" s="1138"/>
      <c r="FE466" s="1140"/>
      <c r="FF466" s="1140"/>
      <c r="FG466" s="1140"/>
      <c r="FH466" s="1140"/>
      <c r="FI466" s="1138"/>
      <c r="FO466" s="1140"/>
      <c r="FP466" s="1140"/>
      <c r="FQ466" s="1140"/>
      <c r="FR466" s="1140"/>
      <c r="FS466" s="1138"/>
      <c r="GG466" s="1138" t="s">
        <v>1349</v>
      </c>
      <c r="GH466" s="1138" t="s">
        <v>1349</v>
      </c>
      <c r="GI466" s="1138" t="s">
        <v>1349</v>
      </c>
      <c r="GJ466" s="1138" t="s">
        <v>1349</v>
      </c>
      <c r="GK466" s="1138" t="s">
        <v>1349</v>
      </c>
      <c r="GL466" s="1138" t="s">
        <v>1349</v>
      </c>
      <c r="GM466" s="1138" t="s">
        <v>1349</v>
      </c>
      <c r="GN466" s="1138" t="s">
        <v>1349</v>
      </c>
      <c r="GO466" s="1138" t="s">
        <v>1349</v>
      </c>
      <c r="GP466" s="1138" t="s">
        <v>1349</v>
      </c>
      <c r="GQ466" s="1138" t="s">
        <v>1349</v>
      </c>
      <c r="GR466" s="1138" t="s">
        <v>1349</v>
      </c>
      <c r="GS466" s="1138" t="s">
        <v>1349</v>
      </c>
      <c r="GT466" s="1138" t="s">
        <v>1349</v>
      </c>
      <c r="GU466" s="1138" t="s">
        <v>1349</v>
      </c>
      <c r="GV466" s="1138" t="s">
        <v>1349</v>
      </c>
    </row>
    <row r="467" spans="1:204" x14ac:dyDescent="0.2">
      <c r="A467" s="1138"/>
      <c r="B467" s="1138"/>
      <c r="CJ467" s="1138"/>
      <c r="DO467" s="1140"/>
      <c r="DP467" s="1141"/>
      <c r="DQ467" s="1141"/>
      <c r="DS467" s="1138"/>
      <c r="EG467" s="1140"/>
      <c r="EH467" s="1140"/>
      <c r="EK467" s="1138"/>
      <c r="EN467" s="1140"/>
      <c r="EO467" s="1140"/>
      <c r="ER467" s="1138"/>
      <c r="EV467" s="1140"/>
      <c r="EW467" s="1140"/>
      <c r="EX467" s="1140"/>
      <c r="EZ467" s="1138"/>
      <c r="FE467" s="1140"/>
      <c r="FF467" s="1140"/>
      <c r="FG467" s="1140"/>
      <c r="FH467" s="1140"/>
      <c r="FI467" s="1138"/>
      <c r="FO467" s="1140"/>
      <c r="FP467" s="1140"/>
      <c r="FQ467" s="1140"/>
      <c r="FR467" s="1140"/>
      <c r="FS467" s="1138"/>
      <c r="GG467" s="1138" t="s">
        <v>1349</v>
      </c>
      <c r="GH467" s="1138" t="s">
        <v>1349</v>
      </c>
      <c r="GI467" s="1138" t="s">
        <v>1349</v>
      </c>
      <c r="GJ467" s="1138" t="s">
        <v>1349</v>
      </c>
      <c r="GK467" s="1138" t="s">
        <v>1349</v>
      </c>
      <c r="GL467" s="1138" t="s">
        <v>1349</v>
      </c>
      <c r="GM467" s="1138" t="s">
        <v>1349</v>
      </c>
      <c r="GN467" s="1138" t="s">
        <v>1349</v>
      </c>
      <c r="GO467" s="1138" t="s">
        <v>1349</v>
      </c>
      <c r="GP467" s="1138" t="s">
        <v>1349</v>
      </c>
      <c r="GQ467" s="1138" t="s">
        <v>1349</v>
      </c>
      <c r="GR467" s="1138" t="s">
        <v>1349</v>
      </c>
      <c r="GS467" s="1138" t="s">
        <v>1349</v>
      </c>
      <c r="GT467" s="1138" t="s">
        <v>1349</v>
      </c>
      <c r="GU467" s="1138" t="s">
        <v>1349</v>
      </c>
      <c r="GV467" s="1138" t="s">
        <v>1349</v>
      </c>
    </row>
    <row r="468" spans="1:204" x14ac:dyDescent="0.2">
      <c r="A468" s="1138"/>
      <c r="B468" s="1138"/>
      <c r="CJ468" s="1138"/>
      <c r="DO468" s="1140"/>
      <c r="DP468" s="1141"/>
      <c r="DQ468" s="1141"/>
      <c r="DS468" s="1138"/>
      <c r="EG468" s="1140"/>
      <c r="EH468" s="1140"/>
      <c r="EK468" s="1138"/>
      <c r="EN468" s="1140"/>
      <c r="EO468" s="1140"/>
      <c r="ER468" s="1138"/>
      <c r="EV468" s="1140"/>
      <c r="EW468" s="1140"/>
      <c r="EX468" s="1140"/>
      <c r="EZ468" s="1138"/>
      <c r="FE468" s="1140"/>
      <c r="FF468" s="1140"/>
      <c r="FG468" s="1140"/>
      <c r="FH468" s="1140"/>
      <c r="FI468" s="1138"/>
      <c r="FO468" s="1140"/>
      <c r="FP468" s="1140"/>
      <c r="FQ468" s="1140"/>
      <c r="FR468" s="1140"/>
      <c r="FS468" s="1138"/>
      <c r="GG468" s="1138" t="s">
        <v>1349</v>
      </c>
      <c r="GH468" s="1138" t="s">
        <v>1349</v>
      </c>
      <c r="GI468" s="1138" t="s">
        <v>1349</v>
      </c>
      <c r="GJ468" s="1138" t="s">
        <v>1349</v>
      </c>
      <c r="GK468" s="1138" t="s">
        <v>1349</v>
      </c>
      <c r="GL468" s="1138" t="s">
        <v>1349</v>
      </c>
      <c r="GM468" s="1138" t="s">
        <v>1349</v>
      </c>
      <c r="GN468" s="1138" t="s">
        <v>1349</v>
      </c>
      <c r="GO468" s="1138" t="s">
        <v>1349</v>
      </c>
      <c r="GP468" s="1138" t="s">
        <v>1349</v>
      </c>
      <c r="GQ468" s="1138" t="s">
        <v>1349</v>
      </c>
      <c r="GR468" s="1138" t="s">
        <v>1349</v>
      </c>
      <c r="GS468" s="1138" t="s">
        <v>1349</v>
      </c>
      <c r="GT468" s="1138" t="s">
        <v>1349</v>
      </c>
      <c r="GU468" s="1138" t="s">
        <v>1349</v>
      </c>
      <c r="GV468" s="1138" t="s">
        <v>1349</v>
      </c>
    </row>
    <row r="469" spans="1:204" x14ac:dyDescent="0.2">
      <c r="A469" s="1138"/>
      <c r="B469" s="1138"/>
      <c r="CJ469" s="1138"/>
      <c r="DO469" s="1140"/>
      <c r="DP469" s="1141"/>
      <c r="DQ469" s="1141"/>
      <c r="DS469" s="1138"/>
      <c r="EG469" s="1140"/>
      <c r="EH469" s="1140"/>
      <c r="EK469" s="1138"/>
      <c r="EN469" s="1140"/>
      <c r="EO469" s="1140"/>
      <c r="ER469" s="1138"/>
      <c r="EV469" s="1140"/>
      <c r="EW469" s="1140"/>
      <c r="EX469" s="1140"/>
      <c r="EZ469" s="1138"/>
      <c r="FE469" s="1140"/>
      <c r="FF469" s="1140"/>
      <c r="FG469" s="1140"/>
      <c r="FH469" s="1140"/>
      <c r="FI469" s="1138"/>
      <c r="FO469" s="1140"/>
      <c r="FP469" s="1140"/>
      <c r="FQ469" s="1140"/>
      <c r="FR469" s="1140"/>
      <c r="FS469" s="1138"/>
      <c r="GG469" s="1138" t="s">
        <v>1349</v>
      </c>
      <c r="GH469" s="1138" t="s">
        <v>1349</v>
      </c>
      <c r="GI469" s="1138" t="s">
        <v>1349</v>
      </c>
      <c r="GJ469" s="1138" t="s">
        <v>1349</v>
      </c>
      <c r="GK469" s="1138" t="s">
        <v>1349</v>
      </c>
      <c r="GL469" s="1138" t="s">
        <v>1349</v>
      </c>
      <c r="GM469" s="1138" t="s">
        <v>1349</v>
      </c>
      <c r="GN469" s="1138" t="s">
        <v>1349</v>
      </c>
      <c r="GO469" s="1138" t="s">
        <v>1349</v>
      </c>
      <c r="GP469" s="1138" t="s">
        <v>1349</v>
      </c>
      <c r="GQ469" s="1138" t="s">
        <v>1349</v>
      </c>
      <c r="GR469" s="1138" t="s">
        <v>1349</v>
      </c>
      <c r="GS469" s="1138" t="s">
        <v>1349</v>
      </c>
      <c r="GT469" s="1138" t="s">
        <v>1349</v>
      </c>
      <c r="GU469" s="1138" t="s">
        <v>1349</v>
      </c>
      <c r="GV469" s="1138" t="s">
        <v>1349</v>
      </c>
    </row>
    <row r="470" spans="1:204" x14ac:dyDescent="0.2">
      <c r="A470" s="1138"/>
      <c r="B470" s="1138"/>
      <c r="CJ470" s="1138"/>
      <c r="DO470" s="1140"/>
      <c r="DP470" s="1141"/>
      <c r="DQ470" s="1141"/>
      <c r="DS470" s="1138"/>
      <c r="EG470" s="1140"/>
      <c r="EH470" s="1140"/>
      <c r="EK470" s="1138"/>
      <c r="EN470" s="1140"/>
      <c r="EO470" s="1140"/>
      <c r="ER470" s="1138"/>
      <c r="EV470" s="1140"/>
      <c r="EW470" s="1140"/>
      <c r="EX470" s="1140"/>
      <c r="EZ470" s="1138"/>
      <c r="FE470" s="1140"/>
      <c r="FF470" s="1140"/>
      <c r="FG470" s="1140"/>
      <c r="FH470" s="1140"/>
      <c r="FI470" s="1138"/>
      <c r="FO470" s="1140"/>
      <c r="FP470" s="1140"/>
      <c r="FQ470" s="1140"/>
      <c r="FR470" s="1140"/>
      <c r="FS470" s="1138"/>
      <c r="GG470" s="1138" t="s">
        <v>1349</v>
      </c>
      <c r="GH470" s="1138" t="s">
        <v>1349</v>
      </c>
      <c r="GI470" s="1138" t="s">
        <v>1349</v>
      </c>
      <c r="GJ470" s="1138" t="s">
        <v>1349</v>
      </c>
      <c r="GK470" s="1138" t="s">
        <v>1349</v>
      </c>
      <c r="GL470" s="1138" t="s">
        <v>1349</v>
      </c>
      <c r="GM470" s="1138" t="s">
        <v>1349</v>
      </c>
      <c r="GN470" s="1138" t="s">
        <v>1349</v>
      </c>
      <c r="GO470" s="1138" t="s">
        <v>1349</v>
      </c>
      <c r="GP470" s="1138" t="s">
        <v>1349</v>
      </c>
      <c r="GQ470" s="1138" t="s">
        <v>1349</v>
      </c>
      <c r="GR470" s="1138" t="s">
        <v>1349</v>
      </c>
      <c r="GS470" s="1138" t="s">
        <v>1349</v>
      </c>
      <c r="GT470" s="1138" t="s">
        <v>1349</v>
      </c>
      <c r="GU470" s="1138" t="s">
        <v>1349</v>
      </c>
      <c r="GV470" s="1138" t="s">
        <v>1349</v>
      </c>
    </row>
    <row r="471" spans="1:204" x14ac:dyDescent="0.2">
      <c r="A471" s="1138"/>
      <c r="B471" s="1138"/>
      <c r="CJ471" s="1138"/>
      <c r="DO471" s="1140"/>
      <c r="DP471" s="1141"/>
      <c r="DQ471" s="1141"/>
      <c r="DS471" s="1138"/>
      <c r="EG471" s="1140"/>
      <c r="EH471" s="1140"/>
      <c r="EK471" s="1138"/>
      <c r="EN471" s="1140"/>
      <c r="EO471" s="1140"/>
      <c r="ER471" s="1138"/>
      <c r="EV471" s="1140"/>
      <c r="EW471" s="1140"/>
      <c r="EX471" s="1140"/>
      <c r="EZ471" s="1138"/>
      <c r="FE471" s="1140"/>
      <c r="FF471" s="1140"/>
      <c r="FG471" s="1140"/>
      <c r="FH471" s="1140"/>
      <c r="FI471" s="1138"/>
      <c r="FO471" s="1140"/>
      <c r="FP471" s="1140"/>
      <c r="FQ471" s="1140"/>
      <c r="FR471" s="1140"/>
      <c r="FS471" s="1138"/>
      <c r="GG471" s="1138" t="s">
        <v>1349</v>
      </c>
      <c r="GH471" s="1138" t="s">
        <v>1349</v>
      </c>
      <c r="GI471" s="1138" t="s">
        <v>1349</v>
      </c>
      <c r="GJ471" s="1138" t="s">
        <v>1349</v>
      </c>
      <c r="GK471" s="1138" t="s">
        <v>1349</v>
      </c>
      <c r="GL471" s="1138" t="s">
        <v>1349</v>
      </c>
      <c r="GM471" s="1138" t="s">
        <v>1349</v>
      </c>
      <c r="GN471" s="1138" t="s">
        <v>1349</v>
      </c>
      <c r="GO471" s="1138" t="s">
        <v>1349</v>
      </c>
      <c r="GP471" s="1138" t="s">
        <v>1349</v>
      </c>
      <c r="GQ471" s="1138" t="s">
        <v>1349</v>
      </c>
      <c r="GR471" s="1138" t="s">
        <v>1349</v>
      </c>
      <c r="GS471" s="1138" t="s">
        <v>1349</v>
      </c>
      <c r="GT471" s="1138" t="s">
        <v>1349</v>
      </c>
      <c r="GU471" s="1138" t="s">
        <v>1349</v>
      </c>
      <c r="GV471" s="1138" t="s">
        <v>1349</v>
      </c>
    </row>
    <row r="472" spans="1:204" x14ac:dyDescent="0.2">
      <c r="A472" s="1138"/>
      <c r="B472" s="1138"/>
      <c r="CJ472" s="1138"/>
      <c r="DO472" s="1140"/>
      <c r="DP472" s="1141"/>
      <c r="DQ472" s="1141"/>
      <c r="DS472" s="1138"/>
      <c r="EG472" s="1140"/>
      <c r="EH472" s="1140"/>
      <c r="EK472" s="1138"/>
      <c r="EN472" s="1140"/>
      <c r="EO472" s="1140"/>
      <c r="ER472" s="1138"/>
      <c r="EV472" s="1140"/>
      <c r="EW472" s="1140"/>
      <c r="EX472" s="1140"/>
      <c r="EZ472" s="1138"/>
      <c r="FE472" s="1140"/>
      <c r="FF472" s="1140"/>
      <c r="FG472" s="1140"/>
      <c r="FH472" s="1140"/>
      <c r="FI472" s="1138"/>
      <c r="FO472" s="1140"/>
      <c r="FP472" s="1140"/>
      <c r="FQ472" s="1140"/>
      <c r="FR472" s="1140"/>
      <c r="FS472" s="1138"/>
      <c r="GG472" s="1138" t="s">
        <v>1349</v>
      </c>
      <c r="GH472" s="1138" t="s">
        <v>1349</v>
      </c>
      <c r="GI472" s="1138" t="s">
        <v>1349</v>
      </c>
      <c r="GJ472" s="1138" t="s">
        <v>1349</v>
      </c>
      <c r="GK472" s="1138" t="s">
        <v>1349</v>
      </c>
      <c r="GL472" s="1138" t="s">
        <v>1349</v>
      </c>
      <c r="GM472" s="1138" t="s">
        <v>1349</v>
      </c>
      <c r="GN472" s="1138" t="s">
        <v>1349</v>
      </c>
      <c r="GO472" s="1138" t="s">
        <v>1349</v>
      </c>
      <c r="GP472" s="1138" t="s">
        <v>1349</v>
      </c>
      <c r="GQ472" s="1138" t="s">
        <v>1349</v>
      </c>
      <c r="GR472" s="1138" t="s">
        <v>1349</v>
      </c>
      <c r="GS472" s="1138" t="s">
        <v>1349</v>
      </c>
      <c r="GT472" s="1138" t="s">
        <v>1349</v>
      </c>
      <c r="GU472" s="1138" t="s">
        <v>1349</v>
      </c>
      <c r="GV472" s="1138" t="s">
        <v>1349</v>
      </c>
    </row>
    <row r="473" spans="1:204" x14ac:dyDescent="0.2">
      <c r="A473" s="1138"/>
      <c r="B473" s="1138"/>
      <c r="CJ473" s="1138"/>
      <c r="DO473" s="1140"/>
      <c r="DP473" s="1141"/>
      <c r="DQ473" s="1141"/>
      <c r="DS473" s="1138"/>
      <c r="EG473" s="1140"/>
      <c r="EH473" s="1140"/>
      <c r="EK473" s="1138"/>
      <c r="EN473" s="1140"/>
      <c r="EO473" s="1140"/>
      <c r="ER473" s="1138"/>
      <c r="EV473" s="1140"/>
      <c r="EW473" s="1140"/>
      <c r="EX473" s="1140"/>
      <c r="EZ473" s="1138"/>
      <c r="FE473" s="1140"/>
      <c r="FF473" s="1140"/>
      <c r="FG473" s="1140"/>
      <c r="FH473" s="1140"/>
      <c r="FI473" s="1138"/>
      <c r="FO473" s="1140"/>
      <c r="FP473" s="1140"/>
      <c r="FQ473" s="1140"/>
      <c r="FR473" s="1140"/>
      <c r="FS473" s="1138"/>
      <c r="GG473" s="1138" t="s">
        <v>1349</v>
      </c>
      <c r="GH473" s="1138" t="s">
        <v>1349</v>
      </c>
      <c r="GI473" s="1138" t="s">
        <v>1349</v>
      </c>
      <c r="GJ473" s="1138" t="s">
        <v>1349</v>
      </c>
      <c r="GK473" s="1138" t="s">
        <v>1349</v>
      </c>
      <c r="GL473" s="1138" t="s">
        <v>1349</v>
      </c>
      <c r="GM473" s="1138" t="s">
        <v>1349</v>
      </c>
      <c r="GN473" s="1138" t="s">
        <v>1349</v>
      </c>
      <c r="GO473" s="1138" t="s">
        <v>1349</v>
      </c>
      <c r="GP473" s="1138" t="s">
        <v>1349</v>
      </c>
      <c r="GQ473" s="1138" t="s">
        <v>1349</v>
      </c>
      <c r="GR473" s="1138" t="s">
        <v>1349</v>
      </c>
      <c r="GS473" s="1138" t="s">
        <v>1349</v>
      </c>
      <c r="GT473" s="1138" t="s">
        <v>1349</v>
      </c>
      <c r="GU473" s="1138" t="s">
        <v>1349</v>
      </c>
      <c r="GV473" s="1138" t="s">
        <v>1349</v>
      </c>
    </row>
    <row r="474" spans="1:204" x14ac:dyDescent="0.2">
      <c r="A474" s="1138"/>
      <c r="B474" s="1138"/>
      <c r="CJ474" s="1138"/>
      <c r="DO474" s="1140"/>
      <c r="DP474" s="1141"/>
      <c r="DQ474" s="1141"/>
      <c r="DS474" s="1138"/>
      <c r="EG474" s="1140"/>
      <c r="EH474" s="1140"/>
      <c r="EK474" s="1138"/>
      <c r="EN474" s="1140"/>
      <c r="EO474" s="1140"/>
      <c r="ER474" s="1138"/>
      <c r="EV474" s="1140"/>
      <c r="EW474" s="1140"/>
      <c r="EX474" s="1140"/>
      <c r="EZ474" s="1138"/>
      <c r="FE474" s="1140"/>
      <c r="FF474" s="1140"/>
      <c r="FG474" s="1140"/>
      <c r="FH474" s="1140"/>
      <c r="FI474" s="1138"/>
      <c r="FO474" s="1140"/>
      <c r="FP474" s="1140"/>
      <c r="FQ474" s="1140"/>
      <c r="FR474" s="1140"/>
      <c r="FS474" s="1138"/>
      <c r="GG474" s="1138" t="s">
        <v>1349</v>
      </c>
      <c r="GH474" s="1138" t="s">
        <v>1349</v>
      </c>
      <c r="GI474" s="1138" t="s">
        <v>1349</v>
      </c>
      <c r="GJ474" s="1138" t="s">
        <v>1349</v>
      </c>
      <c r="GK474" s="1138" t="s">
        <v>1349</v>
      </c>
      <c r="GL474" s="1138" t="s">
        <v>1349</v>
      </c>
      <c r="GM474" s="1138" t="s">
        <v>1349</v>
      </c>
      <c r="GN474" s="1138" t="s">
        <v>1349</v>
      </c>
      <c r="GO474" s="1138" t="s">
        <v>1349</v>
      </c>
      <c r="GP474" s="1138" t="s">
        <v>1349</v>
      </c>
      <c r="GQ474" s="1138" t="s">
        <v>1349</v>
      </c>
      <c r="GR474" s="1138" t="s">
        <v>1349</v>
      </c>
      <c r="GS474" s="1138" t="s">
        <v>1349</v>
      </c>
      <c r="GT474" s="1138" t="s">
        <v>1349</v>
      </c>
      <c r="GU474" s="1138" t="s">
        <v>1349</v>
      </c>
      <c r="GV474" s="1138" t="s">
        <v>1349</v>
      </c>
    </row>
    <row r="475" spans="1:204" x14ac:dyDescent="0.2">
      <c r="A475" s="1138"/>
      <c r="B475" s="1138"/>
      <c r="CJ475" s="1138"/>
      <c r="DO475" s="1140"/>
      <c r="DP475" s="1141"/>
      <c r="DQ475" s="1141"/>
      <c r="DS475" s="1138"/>
      <c r="EG475" s="1140"/>
      <c r="EH475" s="1140"/>
      <c r="EK475" s="1138"/>
      <c r="EN475" s="1140"/>
      <c r="EO475" s="1140"/>
      <c r="ER475" s="1138"/>
      <c r="EV475" s="1140"/>
      <c r="EW475" s="1140"/>
      <c r="EX475" s="1140"/>
      <c r="EZ475" s="1138"/>
      <c r="FE475" s="1140"/>
      <c r="FF475" s="1140"/>
      <c r="FG475" s="1140"/>
      <c r="FH475" s="1140"/>
      <c r="FI475" s="1138"/>
      <c r="FO475" s="1140"/>
      <c r="FP475" s="1140"/>
      <c r="FQ475" s="1140"/>
      <c r="FR475" s="1140"/>
      <c r="FS475" s="1138"/>
      <c r="GG475" s="1138" t="s">
        <v>1349</v>
      </c>
      <c r="GH475" s="1138" t="s">
        <v>1349</v>
      </c>
      <c r="GI475" s="1138" t="s">
        <v>1349</v>
      </c>
      <c r="GJ475" s="1138" t="s">
        <v>1349</v>
      </c>
      <c r="GK475" s="1138" t="s">
        <v>1349</v>
      </c>
      <c r="GL475" s="1138" t="s">
        <v>1349</v>
      </c>
      <c r="GM475" s="1138" t="s">
        <v>1349</v>
      </c>
      <c r="GN475" s="1138" t="s">
        <v>1349</v>
      </c>
      <c r="GO475" s="1138" t="s">
        <v>1349</v>
      </c>
      <c r="GP475" s="1138" t="s">
        <v>1349</v>
      </c>
      <c r="GQ475" s="1138" t="s">
        <v>1349</v>
      </c>
      <c r="GR475" s="1138" t="s">
        <v>1349</v>
      </c>
      <c r="GS475" s="1138" t="s">
        <v>1349</v>
      </c>
      <c r="GT475" s="1138" t="s">
        <v>1349</v>
      </c>
      <c r="GU475" s="1138" t="s">
        <v>1349</v>
      </c>
      <c r="GV475" s="1138" t="s">
        <v>1349</v>
      </c>
    </row>
    <row r="476" spans="1:204" x14ac:dyDescent="0.2">
      <c r="A476" s="1138"/>
      <c r="B476" s="1138"/>
      <c r="CJ476" s="1138"/>
      <c r="DO476" s="1140"/>
      <c r="DP476" s="1141"/>
      <c r="DQ476" s="1141"/>
      <c r="DS476" s="1138"/>
      <c r="EG476" s="1140"/>
      <c r="EH476" s="1140"/>
      <c r="EK476" s="1138"/>
      <c r="EN476" s="1140"/>
      <c r="EO476" s="1140"/>
      <c r="ER476" s="1138"/>
      <c r="EV476" s="1140"/>
      <c r="EW476" s="1140"/>
      <c r="EX476" s="1140"/>
      <c r="EZ476" s="1138"/>
      <c r="FE476" s="1140"/>
      <c r="FF476" s="1140"/>
      <c r="FG476" s="1140"/>
      <c r="FH476" s="1140"/>
      <c r="FI476" s="1138"/>
      <c r="FO476" s="1140"/>
      <c r="FP476" s="1140"/>
      <c r="FQ476" s="1140"/>
      <c r="FR476" s="1140"/>
      <c r="FS476" s="1138"/>
      <c r="GG476" s="1138" t="s">
        <v>1349</v>
      </c>
      <c r="GH476" s="1138" t="s">
        <v>1349</v>
      </c>
      <c r="GI476" s="1138" t="s">
        <v>1349</v>
      </c>
      <c r="GJ476" s="1138" t="s">
        <v>1349</v>
      </c>
      <c r="GK476" s="1138" t="s">
        <v>1349</v>
      </c>
      <c r="GL476" s="1138" t="s">
        <v>1349</v>
      </c>
      <c r="GM476" s="1138" t="s">
        <v>1349</v>
      </c>
      <c r="GN476" s="1138" t="s">
        <v>1349</v>
      </c>
      <c r="GO476" s="1138" t="s">
        <v>1349</v>
      </c>
      <c r="GP476" s="1138" t="s">
        <v>1349</v>
      </c>
      <c r="GQ476" s="1138" t="s">
        <v>1349</v>
      </c>
      <c r="GR476" s="1138" t="s">
        <v>1349</v>
      </c>
      <c r="GS476" s="1138" t="s">
        <v>1349</v>
      </c>
      <c r="GT476" s="1138" t="s">
        <v>1349</v>
      </c>
      <c r="GU476" s="1138" t="s">
        <v>1349</v>
      </c>
      <c r="GV476" s="1138" t="s">
        <v>1349</v>
      </c>
    </row>
    <row r="477" spans="1:204" x14ac:dyDescent="0.2">
      <c r="A477" s="1138"/>
      <c r="B477" s="1138"/>
      <c r="CJ477" s="1138"/>
      <c r="DO477" s="1140"/>
      <c r="DP477" s="1141"/>
      <c r="DQ477" s="1141"/>
      <c r="DS477" s="1138"/>
      <c r="EG477" s="1140"/>
      <c r="EH477" s="1140"/>
      <c r="EK477" s="1138"/>
      <c r="EN477" s="1140"/>
      <c r="EO477" s="1140"/>
      <c r="ER477" s="1138"/>
      <c r="EV477" s="1140"/>
      <c r="EW477" s="1140"/>
      <c r="EX477" s="1140"/>
      <c r="EZ477" s="1138"/>
      <c r="FE477" s="1140"/>
      <c r="FF477" s="1140"/>
      <c r="FG477" s="1140"/>
      <c r="FH477" s="1140"/>
      <c r="FI477" s="1138"/>
      <c r="FO477" s="1140"/>
      <c r="FP477" s="1140"/>
      <c r="FQ477" s="1140"/>
      <c r="FR477" s="1140"/>
      <c r="FS477" s="1138"/>
      <c r="GG477" s="1138" t="s">
        <v>1349</v>
      </c>
      <c r="GH477" s="1138" t="s">
        <v>1349</v>
      </c>
      <c r="GI477" s="1138" t="s">
        <v>1349</v>
      </c>
      <c r="GJ477" s="1138" t="s">
        <v>1349</v>
      </c>
      <c r="GK477" s="1138" t="s">
        <v>1349</v>
      </c>
      <c r="GL477" s="1138" t="s">
        <v>1349</v>
      </c>
      <c r="GM477" s="1138" t="s">
        <v>1349</v>
      </c>
      <c r="GN477" s="1138" t="s">
        <v>1349</v>
      </c>
      <c r="GO477" s="1138" t="s">
        <v>1349</v>
      </c>
      <c r="GP477" s="1138" t="s">
        <v>1349</v>
      </c>
      <c r="GQ477" s="1138" t="s">
        <v>1349</v>
      </c>
      <c r="GR477" s="1138" t="s">
        <v>1349</v>
      </c>
      <c r="GS477" s="1138" t="s">
        <v>1349</v>
      </c>
      <c r="GT477" s="1138" t="s">
        <v>1349</v>
      </c>
      <c r="GU477" s="1138" t="s">
        <v>1349</v>
      </c>
      <c r="GV477" s="1138" t="s">
        <v>1349</v>
      </c>
    </row>
    <row r="478" spans="1:204" x14ac:dyDescent="0.2">
      <c r="A478" s="1138"/>
      <c r="B478" s="1138"/>
      <c r="CJ478" s="1138"/>
      <c r="DP478" s="1140"/>
      <c r="DQ478" s="1141"/>
      <c r="DR478" s="1141"/>
      <c r="DS478" s="1138"/>
      <c r="EH478" s="1140"/>
      <c r="EI478" s="1140"/>
      <c r="EK478" s="1138"/>
      <c r="EO478" s="1140"/>
      <c r="EP478" s="1140"/>
      <c r="ER478" s="1138"/>
      <c r="EW478" s="1140"/>
      <c r="EX478" s="1140"/>
      <c r="EY478" s="1140"/>
      <c r="EZ478" s="1138"/>
      <c r="FF478" s="1140"/>
      <c r="FG478" s="1140"/>
      <c r="FH478" s="1140"/>
      <c r="FP478" s="1140"/>
      <c r="FQ478" s="1140"/>
      <c r="FR478" s="1140"/>
      <c r="GG478" s="1138" t="s">
        <v>1349</v>
      </c>
      <c r="GH478" s="1138" t="s">
        <v>1349</v>
      </c>
      <c r="GI478" s="1138" t="s">
        <v>1349</v>
      </c>
      <c r="GJ478" s="1138" t="s">
        <v>1349</v>
      </c>
      <c r="GK478" s="1138" t="s">
        <v>1349</v>
      </c>
      <c r="GL478" s="1138" t="s">
        <v>1349</v>
      </c>
      <c r="GM478" s="1138" t="s">
        <v>1349</v>
      </c>
      <c r="GN478" s="1138" t="s">
        <v>1349</v>
      </c>
      <c r="GO478" s="1138" t="s">
        <v>1349</v>
      </c>
      <c r="GP478" s="1138" t="s">
        <v>1349</v>
      </c>
      <c r="GQ478" s="1138" t="s">
        <v>1349</v>
      </c>
      <c r="GR478" s="1138" t="s">
        <v>1349</v>
      </c>
      <c r="GS478" s="1138" t="s">
        <v>1349</v>
      </c>
      <c r="GT478" s="1138" t="s">
        <v>1349</v>
      </c>
      <c r="GU478" s="1138" t="s">
        <v>1349</v>
      </c>
      <c r="GV478" s="1138" t="s">
        <v>1349</v>
      </c>
    </row>
    <row r="479" spans="1:204" x14ac:dyDescent="0.2">
      <c r="A479" s="1138"/>
      <c r="B479" s="1138"/>
      <c r="CJ479" s="1138"/>
      <c r="DP479" s="1140"/>
      <c r="DQ479" s="1141"/>
      <c r="DR479" s="1141"/>
      <c r="DS479" s="1138"/>
      <c r="EH479" s="1140"/>
      <c r="EI479" s="1140"/>
      <c r="EK479" s="1138"/>
      <c r="EO479" s="1140"/>
      <c r="EP479" s="1140"/>
      <c r="ER479" s="1138"/>
      <c r="EW479" s="1140"/>
      <c r="EX479" s="1140"/>
      <c r="EY479" s="1140"/>
      <c r="EZ479" s="1138"/>
      <c r="FF479" s="1140"/>
      <c r="FG479" s="1140"/>
      <c r="FH479" s="1140"/>
      <c r="FP479" s="1140"/>
      <c r="FQ479" s="1140"/>
      <c r="FR479" s="1140"/>
      <c r="GG479" s="1138" t="s">
        <v>1349</v>
      </c>
      <c r="GH479" s="1138" t="s">
        <v>1349</v>
      </c>
      <c r="GI479" s="1138" t="s">
        <v>1349</v>
      </c>
      <c r="GJ479" s="1138" t="s">
        <v>1349</v>
      </c>
      <c r="GK479" s="1138" t="s">
        <v>1349</v>
      </c>
      <c r="GL479" s="1138" t="s">
        <v>1349</v>
      </c>
      <c r="GM479" s="1138" t="s">
        <v>1349</v>
      </c>
      <c r="GN479" s="1138" t="s">
        <v>1349</v>
      </c>
      <c r="GO479" s="1138" t="s">
        <v>1349</v>
      </c>
      <c r="GP479" s="1138" t="s">
        <v>1349</v>
      </c>
      <c r="GQ479" s="1138" t="s">
        <v>1349</v>
      </c>
      <c r="GR479" s="1138" t="s">
        <v>1349</v>
      </c>
      <c r="GS479" s="1138" t="s">
        <v>1349</v>
      </c>
      <c r="GT479" s="1138" t="s">
        <v>1349</v>
      </c>
      <c r="GU479" s="1138" t="s">
        <v>1349</v>
      </c>
      <c r="GV479" s="1138" t="s">
        <v>1349</v>
      </c>
    </row>
    <row r="480" spans="1:204" x14ac:dyDescent="0.2">
      <c r="A480" s="1138"/>
      <c r="B480" s="1138"/>
      <c r="CJ480" s="1138"/>
      <c r="DP480" s="1140"/>
      <c r="DQ480" s="1141"/>
      <c r="DR480" s="1141"/>
      <c r="DS480" s="1138"/>
      <c r="EH480" s="1140"/>
      <c r="EI480" s="1140"/>
      <c r="EK480" s="1138"/>
      <c r="EO480" s="1140"/>
      <c r="EP480" s="1140"/>
      <c r="ER480" s="1138"/>
      <c r="EW480" s="1140"/>
      <c r="EX480" s="1140"/>
      <c r="EY480" s="1140"/>
      <c r="EZ480" s="1138"/>
      <c r="FF480" s="1140"/>
      <c r="FG480" s="1140"/>
      <c r="FH480" s="1140"/>
      <c r="FP480" s="1140"/>
      <c r="FQ480" s="1140"/>
      <c r="FR480" s="1140"/>
      <c r="GG480" s="1138" t="s">
        <v>1349</v>
      </c>
      <c r="GH480" s="1138" t="s">
        <v>1349</v>
      </c>
      <c r="GI480" s="1138" t="s">
        <v>1349</v>
      </c>
      <c r="GJ480" s="1138" t="s">
        <v>1349</v>
      </c>
      <c r="GK480" s="1138" t="s">
        <v>1349</v>
      </c>
      <c r="GL480" s="1138" t="s">
        <v>1349</v>
      </c>
      <c r="GM480" s="1138" t="s">
        <v>1349</v>
      </c>
      <c r="GN480" s="1138" t="s">
        <v>1349</v>
      </c>
      <c r="GO480" s="1138" t="s">
        <v>1349</v>
      </c>
      <c r="GP480" s="1138" t="s">
        <v>1349</v>
      </c>
      <c r="GQ480" s="1138" t="s">
        <v>1349</v>
      </c>
      <c r="GR480" s="1138" t="s">
        <v>1349</v>
      </c>
      <c r="GS480" s="1138" t="s">
        <v>1349</v>
      </c>
      <c r="GT480" s="1138" t="s">
        <v>1349</v>
      </c>
      <c r="GU480" s="1138" t="s">
        <v>1349</v>
      </c>
      <c r="GV480" s="1138" t="s">
        <v>1349</v>
      </c>
    </row>
    <row r="481" spans="1:204" x14ac:dyDescent="0.2">
      <c r="A481" s="1138"/>
      <c r="B481" s="1138"/>
      <c r="CJ481" s="1138"/>
      <c r="DP481" s="1140"/>
      <c r="DQ481" s="1141"/>
      <c r="DR481" s="1141"/>
      <c r="DS481" s="1138"/>
      <c r="EH481" s="1140"/>
      <c r="EI481" s="1140"/>
      <c r="EK481" s="1138"/>
      <c r="EO481" s="1140"/>
      <c r="EP481" s="1140"/>
      <c r="ER481" s="1138"/>
      <c r="EW481" s="1140"/>
      <c r="EX481" s="1140"/>
      <c r="EY481" s="1140"/>
      <c r="EZ481" s="1138"/>
      <c r="FF481" s="1140"/>
      <c r="FG481" s="1140"/>
      <c r="FH481" s="1140"/>
      <c r="FP481" s="1140"/>
      <c r="FQ481" s="1140"/>
      <c r="FR481" s="1140"/>
      <c r="GG481" s="1138" t="s">
        <v>1349</v>
      </c>
      <c r="GH481" s="1138" t="s">
        <v>1349</v>
      </c>
      <c r="GI481" s="1138" t="s">
        <v>1349</v>
      </c>
      <c r="GJ481" s="1138" t="s">
        <v>1349</v>
      </c>
      <c r="GK481" s="1138" t="s">
        <v>1349</v>
      </c>
      <c r="GL481" s="1138" t="s">
        <v>1349</v>
      </c>
      <c r="GM481" s="1138" t="s">
        <v>1349</v>
      </c>
      <c r="GN481" s="1138" t="s">
        <v>1349</v>
      </c>
      <c r="GO481" s="1138" t="s">
        <v>1349</v>
      </c>
      <c r="GP481" s="1138" t="s">
        <v>1349</v>
      </c>
      <c r="GQ481" s="1138" t="s">
        <v>1349</v>
      </c>
      <c r="GR481" s="1138" t="s">
        <v>1349</v>
      </c>
      <c r="GS481" s="1138" t="s">
        <v>1349</v>
      </c>
      <c r="GT481" s="1138" t="s">
        <v>1349</v>
      </c>
      <c r="GU481" s="1138" t="s">
        <v>1349</v>
      </c>
      <c r="GV481" s="1138" t="s">
        <v>1349</v>
      </c>
    </row>
    <row r="482" spans="1:204" x14ac:dyDescent="0.2">
      <c r="A482" s="1138"/>
      <c r="B482" s="1138"/>
      <c r="CJ482" s="1138"/>
      <c r="DP482" s="1140"/>
      <c r="DQ482" s="1141"/>
      <c r="DR482" s="1141"/>
      <c r="DS482" s="1138"/>
      <c r="EH482" s="1140"/>
      <c r="EI482" s="1140"/>
      <c r="EK482" s="1138"/>
      <c r="EO482" s="1140"/>
      <c r="EP482" s="1140"/>
      <c r="ER482" s="1138"/>
      <c r="EW482" s="1140"/>
      <c r="EX482" s="1140"/>
      <c r="EY482" s="1140"/>
      <c r="EZ482" s="1138"/>
      <c r="FF482" s="1140"/>
      <c r="FG482" s="1140"/>
      <c r="FH482" s="1140"/>
      <c r="FP482" s="1140"/>
      <c r="FQ482" s="1140"/>
      <c r="FR482" s="1140"/>
      <c r="GG482" s="1138" t="s">
        <v>1349</v>
      </c>
      <c r="GH482" s="1138" t="s">
        <v>1349</v>
      </c>
      <c r="GI482" s="1138" t="s">
        <v>1349</v>
      </c>
      <c r="GJ482" s="1138" t="s">
        <v>1349</v>
      </c>
      <c r="GK482" s="1138" t="s">
        <v>1349</v>
      </c>
      <c r="GL482" s="1138" t="s">
        <v>1349</v>
      </c>
      <c r="GM482" s="1138" t="s">
        <v>1349</v>
      </c>
      <c r="GN482" s="1138" t="s">
        <v>1349</v>
      </c>
      <c r="GO482" s="1138" t="s">
        <v>1349</v>
      </c>
      <c r="GP482" s="1138" t="s">
        <v>1349</v>
      </c>
      <c r="GQ482" s="1138" t="s">
        <v>1349</v>
      </c>
      <c r="GR482" s="1138" t="s">
        <v>1349</v>
      </c>
      <c r="GS482" s="1138" t="s">
        <v>1349</v>
      </c>
      <c r="GT482" s="1138" t="s">
        <v>1349</v>
      </c>
      <c r="GU482" s="1138" t="s">
        <v>1349</v>
      </c>
      <c r="GV482" s="1138" t="s">
        <v>1349</v>
      </c>
    </row>
    <row r="483" spans="1:204" x14ac:dyDescent="0.2">
      <c r="A483" s="1138"/>
      <c r="B483" s="1138"/>
      <c r="CJ483" s="1138"/>
      <c r="DP483" s="1140"/>
      <c r="DQ483" s="1141"/>
      <c r="DR483" s="1141"/>
      <c r="DS483" s="1138"/>
      <c r="EH483" s="1140"/>
      <c r="EI483" s="1140"/>
      <c r="EK483" s="1138"/>
      <c r="EO483" s="1140"/>
      <c r="EP483" s="1140"/>
      <c r="ER483" s="1138"/>
      <c r="EW483" s="1140"/>
      <c r="EX483" s="1140"/>
      <c r="EY483" s="1140"/>
      <c r="EZ483" s="1138"/>
      <c r="FF483" s="1140"/>
      <c r="FG483" s="1140"/>
      <c r="FH483" s="1140"/>
      <c r="FP483" s="1140"/>
      <c r="FQ483" s="1140"/>
      <c r="FR483" s="1140"/>
      <c r="GG483" s="1138" t="s">
        <v>1349</v>
      </c>
      <c r="GH483" s="1138" t="s">
        <v>1349</v>
      </c>
      <c r="GI483" s="1138" t="s">
        <v>1349</v>
      </c>
      <c r="GJ483" s="1138" t="s">
        <v>1349</v>
      </c>
      <c r="GK483" s="1138" t="s">
        <v>1349</v>
      </c>
      <c r="GL483" s="1138" t="s">
        <v>1349</v>
      </c>
      <c r="GM483" s="1138" t="s">
        <v>1349</v>
      </c>
      <c r="GN483" s="1138" t="s">
        <v>1349</v>
      </c>
      <c r="GO483" s="1138" t="s">
        <v>1349</v>
      </c>
      <c r="GP483" s="1138" t="s">
        <v>1349</v>
      </c>
      <c r="GQ483" s="1138" t="s">
        <v>1349</v>
      </c>
      <c r="GR483" s="1138" t="s">
        <v>1349</v>
      </c>
      <c r="GS483" s="1138" t="s">
        <v>1349</v>
      </c>
      <c r="GT483" s="1138" t="s">
        <v>1349</v>
      </c>
      <c r="GU483" s="1138" t="s">
        <v>1349</v>
      </c>
      <c r="GV483" s="1138" t="s">
        <v>1349</v>
      </c>
    </row>
    <row r="484" spans="1:204" x14ac:dyDescent="0.2">
      <c r="A484" s="1138"/>
      <c r="B484" s="1138"/>
      <c r="CJ484" s="1138"/>
      <c r="DQ484" s="1140"/>
      <c r="DR484" s="1141"/>
      <c r="DS484" s="1141"/>
      <c r="EI484" s="1140"/>
      <c r="EJ484" s="1140"/>
      <c r="EK484" s="1138"/>
      <c r="EP484" s="1140"/>
      <c r="EQ484" s="1140"/>
      <c r="ER484" s="1138"/>
      <c r="EX484" s="1140"/>
      <c r="EY484" s="1140"/>
      <c r="FG484" s="1140"/>
      <c r="FH484" s="1140"/>
      <c r="FQ484" s="1140"/>
      <c r="FR484" s="1140"/>
      <c r="GG484" s="1138" t="s">
        <v>1349</v>
      </c>
      <c r="GH484" s="1138" t="s">
        <v>1349</v>
      </c>
      <c r="GI484" s="1138" t="s">
        <v>1349</v>
      </c>
      <c r="GJ484" s="1138" t="s">
        <v>1349</v>
      </c>
      <c r="GK484" s="1138" t="s">
        <v>1349</v>
      </c>
      <c r="GL484" s="1138" t="s">
        <v>1349</v>
      </c>
      <c r="GM484" s="1138" t="s">
        <v>1349</v>
      </c>
      <c r="GN484" s="1138" t="s">
        <v>1349</v>
      </c>
      <c r="GO484" s="1138" t="s">
        <v>1349</v>
      </c>
      <c r="GP484" s="1138" t="s">
        <v>1349</v>
      </c>
      <c r="GQ484" s="1138" t="s">
        <v>1349</v>
      </c>
      <c r="GR484" s="1138" t="s">
        <v>1349</v>
      </c>
      <c r="GS484" s="1138" t="s">
        <v>1349</v>
      </c>
      <c r="GT484" s="1138" t="s">
        <v>1349</v>
      </c>
      <c r="GU484" s="1138" t="s">
        <v>1349</v>
      </c>
      <c r="GV484" s="1138" t="s">
        <v>1349</v>
      </c>
    </row>
    <row r="485" spans="1:204" x14ac:dyDescent="0.2">
      <c r="A485" s="1138"/>
      <c r="B485" s="1138"/>
      <c r="CJ485" s="1138"/>
      <c r="DQ485" s="1140"/>
      <c r="DR485" s="1141"/>
      <c r="DS485" s="1141"/>
      <c r="EI485" s="1140"/>
      <c r="EJ485" s="1140"/>
      <c r="EK485" s="1138"/>
      <c r="EP485" s="1140"/>
      <c r="EQ485" s="1140"/>
      <c r="ER485" s="1138"/>
      <c r="EX485" s="1140"/>
      <c r="EY485" s="1140"/>
      <c r="FG485" s="1140"/>
      <c r="FH485" s="1140"/>
      <c r="FQ485" s="1140"/>
      <c r="FR485" s="1140"/>
      <c r="GG485" s="1138" t="s">
        <v>1349</v>
      </c>
      <c r="GH485" s="1138" t="s">
        <v>1349</v>
      </c>
      <c r="GI485" s="1138" t="s">
        <v>1349</v>
      </c>
      <c r="GJ485" s="1138" t="s">
        <v>1349</v>
      </c>
      <c r="GK485" s="1138" t="s">
        <v>1349</v>
      </c>
      <c r="GL485" s="1138" t="s">
        <v>1349</v>
      </c>
      <c r="GM485" s="1138" t="s">
        <v>1349</v>
      </c>
      <c r="GN485" s="1138" t="s">
        <v>1349</v>
      </c>
      <c r="GO485" s="1138" t="s">
        <v>1349</v>
      </c>
      <c r="GP485" s="1138" t="s">
        <v>1349</v>
      </c>
      <c r="GQ485" s="1138" t="s">
        <v>1349</v>
      </c>
      <c r="GR485" s="1138" t="s">
        <v>1349</v>
      </c>
      <c r="GS485" s="1138" t="s">
        <v>1349</v>
      </c>
      <c r="GT485" s="1138" t="s">
        <v>1349</v>
      </c>
      <c r="GU485" s="1138" t="s">
        <v>1349</v>
      </c>
      <c r="GV485" s="1138" t="s">
        <v>1349</v>
      </c>
    </row>
    <row r="486" spans="1:204" x14ac:dyDescent="0.2">
      <c r="A486" s="1138"/>
      <c r="B486" s="1138"/>
      <c r="CJ486" s="1138"/>
      <c r="DQ486" s="1140"/>
      <c r="DR486" s="1141"/>
      <c r="DS486" s="1141"/>
      <c r="EI486" s="1140"/>
      <c r="EJ486" s="1140"/>
      <c r="EK486" s="1138"/>
      <c r="EP486" s="1140"/>
      <c r="EQ486" s="1140"/>
      <c r="ER486" s="1138"/>
      <c r="EX486" s="1140"/>
      <c r="EY486" s="1140"/>
      <c r="FG486" s="1140"/>
      <c r="FH486" s="1140"/>
      <c r="FQ486" s="1140"/>
      <c r="FR486" s="1140"/>
      <c r="GG486" s="1138" t="s">
        <v>1349</v>
      </c>
      <c r="GH486" s="1138" t="s">
        <v>1349</v>
      </c>
      <c r="GI486" s="1138" t="s">
        <v>1349</v>
      </c>
      <c r="GJ486" s="1138" t="s">
        <v>1349</v>
      </c>
      <c r="GK486" s="1138" t="s">
        <v>1349</v>
      </c>
      <c r="GL486" s="1138" t="s">
        <v>1349</v>
      </c>
      <c r="GM486" s="1138" t="s">
        <v>1349</v>
      </c>
      <c r="GN486" s="1138" t="s">
        <v>1349</v>
      </c>
      <c r="GO486" s="1138" t="s">
        <v>1349</v>
      </c>
      <c r="GP486" s="1138" t="s">
        <v>1349</v>
      </c>
      <c r="GQ486" s="1138" t="s">
        <v>1349</v>
      </c>
      <c r="GR486" s="1138" t="s">
        <v>1349</v>
      </c>
      <c r="GS486" s="1138" t="s">
        <v>1349</v>
      </c>
      <c r="GT486" s="1138" t="s">
        <v>1349</v>
      </c>
      <c r="GU486" s="1138" t="s">
        <v>1349</v>
      </c>
      <c r="GV486" s="1138" t="s">
        <v>1349</v>
      </c>
    </row>
    <row r="487" spans="1:204" x14ac:dyDescent="0.2">
      <c r="A487" s="1138"/>
      <c r="B487" s="1138"/>
      <c r="DQ487" s="1140"/>
      <c r="DR487" s="1141"/>
      <c r="DS487" s="1141"/>
      <c r="EI487" s="1140"/>
      <c r="EJ487" s="1140"/>
      <c r="EK487" s="1138"/>
      <c r="EP487" s="1140"/>
      <c r="EQ487" s="1140"/>
      <c r="ER487" s="1138"/>
      <c r="EX487" s="1140"/>
      <c r="EY487" s="1140"/>
      <c r="FG487" s="1140"/>
      <c r="FH487" s="1140"/>
      <c r="FQ487" s="1140"/>
      <c r="FR487" s="1140"/>
      <c r="GG487" s="1138" t="s">
        <v>1349</v>
      </c>
      <c r="GH487" s="1138" t="s">
        <v>1349</v>
      </c>
      <c r="GI487" s="1138" t="s">
        <v>1349</v>
      </c>
      <c r="GJ487" s="1138" t="s">
        <v>1349</v>
      </c>
      <c r="GK487" s="1138" t="s">
        <v>1349</v>
      </c>
      <c r="GL487" s="1138" t="s">
        <v>1349</v>
      </c>
      <c r="GM487" s="1138" t="s">
        <v>1349</v>
      </c>
      <c r="GN487" s="1138" t="s">
        <v>1349</v>
      </c>
      <c r="GO487" s="1138" t="s">
        <v>1349</v>
      </c>
      <c r="GP487" s="1138" t="s">
        <v>1349</v>
      </c>
      <c r="GQ487" s="1138" t="s">
        <v>1349</v>
      </c>
      <c r="GR487" s="1138" t="s">
        <v>1349</v>
      </c>
      <c r="GS487" s="1138" t="s">
        <v>1349</v>
      </c>
      <c r="GT487" s="1138" t="s">
        <v>1349</v>
      </c>
      <c r="GU487" s="1138" t="s">
        <v>1349</v>
      </c>
      <c r="GV487" s="1138" t="s">
        <v>1349</v>
      </c>
    </row>
    <row r="488" spans="1:204" x14ac:dyDescent="0.2">
      <c r="A488" s="1138"/>
      <c r="B488" s="1138"/>
      <c r="DR488" s="1140"/>
      <c r="DS488" s="1141"/>
      <c r="EJ488" s="1140"/>
      <c r="EQ488" s="1140"/>
      <c r="EY488" s="1140"/>
      <c r="FH488" s="1140"/>
      <c r="FR488" s="1140"/>
      <c r="GG488" s="1138" t="s">
        <v>1349</v>
      </c>
      <c r="GH488" s="1138" t="s">
        <v>1349</v>
      </c>
      <c r="GI488" s="1138" t="s">
        <v>1349</v>
      </c>
      <c r="GJ488" s="1138" t="s">
        <v>1349</v>
      </c>
      <c r="GK488" s="1138" t="s">
        <v>1349</v>
      </c>
      <c r="GL488" s="1138" t="s">
        <v>1349</v>
      </c>
      <c r="GM488" s="1138" t="s">
        <v>1349</v>
      </c>
      <c r="GN488" s="1138" t="s">
        <v>1349</v>
      </c>
      <c r="GO488" s="1138" t="s">
        <v>1349</v>
      </c>
      <c r="GP488" s="1138" t="s">
        <v>1349</v>
      </c>
      <c r="GQ488" s="1138" t="s">
        <v>1349</v>
      </c>
      <c r="GR488" s="1138" t="s">
        <v>1349</v>
      </c>
      <c r="GS488" s="1138" t="s">
        <v>1349</v>
      </c>
      <c r="GT488" s="1138" t="s">
        <v>1349</v>
      </c>
      <c r="GU488" s="1138" t="s">
        <v>1349</v>
      </c>
      <c r="GV488" s="1138" t="s">
        <v>1349</v>
      </c>
    </row>
    <row r="489" spans="1:204" x14ac:dyDescent="0.2">
      <c r="A489" s="1138"/>
      <c r="B489" s="1138"/>
      <c r="DR489" s="1140"/>
      <c r="DS489" s="1141"/>
      <c r="EJ489" s="1140"/>
      <c r="EQ489" s="1140"/>
      <c r="EY489" s="1140"/>
      <c r="FH489" s="1140"/>
      <c r="FR489" s="1140"/>
      <c r="GG489" s="1138" t="s">
        <v>1349</v>
      </c>
      <c r="GH489" s="1138" t="s">
        <v>1349</v>
      </c>
      <c r="GI489" s="1138" t="s">
        <v>1349</v>
      </c>
      <c r="GJ489" s="1138" t="s">
        <v>1349</v>
      </c>
      <c r="GK489" s="1138" t="s">
        <v>1349</v>
      </c>
      <c r="GL489" s="1138" t="s">
        <v>1349</v>
      </c>
      <c r="GM489" s="1138" t="s">
        <v>1349</v>
      </c>
      <c r="GN489" s="1138" t="s">
        <v>1349</v>
      </c>
      <c r="GO489" s="1138" t="s">
        <v>1349</v>
      </c>
      <c r="GP489" s="1138" t="s">
        <v>1349</v>
      </c>
      <c r="GQ489" s="1138" t="s">
        <v>1349</v>
      </c>
      <c r="GR489" s="1138" t="s">
        <v>1349</v>
      </c>
      <c r="GS489" s="1138" t="s">
        <v>1349</v>
      </c>
      <c r="GT489" s="1138" t="s">
        <v>1349</v>
      </c>
      <c r="GU489" s="1138" t="s">
        <v>1349</v>
      </c>
      <c r="GV489" s="1138" t="s">
        <v>1349</v>
      </c>
    </row>
    <row r="490" spans="1:204" x14ac:dyDescent="0.2">
      <c r="A490" s="1138"/>
      <c r="B490" s="1138"/>
      <c r="DR490" s="1140"/>
      <c r="DS490" s="1141"/>
      <c r="EJ490" s="1140"/>
      <c r="EQ490" s="1140"/>
      <c r="EY490" s="1140"/>
      <c r="FH490" s="1140"/>
      <c r="FR490" s="1140"/>
      <c r="GG490" s="1138" t="s">
        <v>1349</v>
      </c>
      <c r="GH490" s="1138" t="s">
        <v>1349</v>
      </c>
      <c r="GI490" s="1138" t="s">
        <v>1349</v>
      </c>
      <c r="GJ490" s="1138" t="s">
        <v>1349</v>
      </c>
      <c r="GK490" s="1138" t="s">
        <v>1349</v>
      </c>
      <c r="GL490" s="1138" t="s">
        <v>1349</v>
      </c>
      <c r="GM490" s="1138" t="s">
        <v>1349</v>
      </c>
      <c r="GN490" s="1138" t="s">
        <v>1349</v>
      </c>
      <c r="GO490" s="1138" t="s">
        <v>1349</v>
      </c>
      <c r="GP490" s="1138" t="s">
        <v>1349</v>
      </c>
      <c r="GQ490" s="1138" t="s">
        <v>1349</v>
      </c>
      <c r="GR490" s="1138" t="s">
        <v>1349</v>
      </c>
      <c r="GS490" s="1138" t="s">
        <v>1349</v>
      </c>
      <c r="GT490" s="1138" t="s">
        <v>1349</v>
      </c>
      <c r="GU490" s="1138" t="s">
        <v>1349</v>
      </c>
      <c r="GV490" s="1138" t="s">
        <v>1349</v>
      </c>
    </row>
    <row r="491" spans="1:204" x14ac:dyDescent="0.2">
      <c r="A491" s="1138"/>
      <c r="B491" s="1138"/>
      <c r="GG491" s="1138" t="s">
        <v>1349</v>
      </c>
      <c r="GH491" s="1138" t="s">
        <v>1349</v>
      </c>
      <c r="GI491" s="1138" t="s">
        <v>1349</v>
      </c>
      <c r="GJ491" s="1138" t="s">
        <v>1349</v>
      </c>
      <c r="GK491" s="1138" t="s">
        <v>1349</v>
      </c>
      <c r="GL491" s="1138" t="s">
        <v>1349</v>
      </c>
      <c r="GM491" s="1138" t="s">
        <v>1349</v>
      </c>
      <c r="GN491" s="1138" t="s">
        <v>1349</v>
      </c>
      <c r="GO491" s="1138" t="s">
        <v>1349</v>
      </c>
      <c r="GP491" s="1138" t="s">
        <v>1349</v>
      </c>
      <c r="GQ491" s="1138" t="s">
        <v>1349</v>
      </c>
      <c r="GR491" s="1138" t="s">
        <v>1349</v>
      </c>
      <c r="GS491" s="1138" t="s">
        <v>1349</v>
      </c>
      <c r="GT491" s="1138" t="s">
        <v>1349</v>
      </c>
      <c r="GU491" s="1138" t="s">
        <v>1349</v>
      </c>
      <c r="GV491" s="1138" t="s">
        <v>1349</v>
      </c>
    </row>
    <row r="492" spans="1:204" x14ac:dyDescent="0.2">
      <c r="A492" s="1138"/>
      <c r="B492" s="1138"/>
      <c r="GG492" s="1138" t="s">
        <v>1349</v>
      </c>
      <c r="GH492" s="1138" t="s">
        <v>1349</v>
      </c>
      <c r="GI492" s="1138" t="s">
        <v>1349</v>
      </c>
      <c r="GJ492" s="1138" t="s">
        <v>1349</v>
      </c>
      <c r="GK492" s="1138" t="s">
        <v>1349</v>
      </c>
      <c r="GL492" s="1138" t="s">
        <v>1349</v>
      </c>
      <c r="GM492" s="1138" t="s">
        <v>1349</v>
      </c>
      <c r="GN492" s="1138" t="s">
        <v>1349</v>
      </c>
      <c r="GO492" s="1138" t="s">
        <v>1349</v>
      </c>
      <c r="GP492" s="1138" t="s">
        <v>1349</v>
      </c>
      <c r="GQ492" s="1138" t="s">
        <v>1349</v>
      </c>
      <c r="GR492" s="1138" t="s">
        <v>1349</v>
      </c>
      <c r="GS492" s="1138" t="s">
        <v>1349</v>
      </c>
      <c r="GT492" s="1138" t="s">
        <v>1349</v>
      </c>
      <c r="GU492" s="1138" t="s">
        <v>1349</v>
      </c>
      <c r="GV492" s="1138" t="s">
        <v>1349</v>
      </c>
    </row>
    <row r="493" spans="1:204" x14ac:dyDescent="0.2">
      <c r="A493" s="1138"/>
      <c r="B493" s="1138"/>
      <c r="GG493" s="1138" t="s">
        <v>1349</v>
      </c>
      <c r="GH493" s="1138" t="s">
        <v>1349</v>
      </c>
      <c r="GI493" s="1138" t="s">
        <v>1349</v>
      </c>
      <c r="GJ493" s="1138" t="s">
        <v>1349</v>
      </c>
      <c r="GK493" s="1138" t="s">
        <v>1349</v>
      </c>
      <c r="GL493" s="1138" t="s">
        <v>1349</v>
      </c>
      <c r="GM493" s="1138" t="s">
        <v>1349</v>
      </c>
      <c r="GN493" s="1138" t="s">
        <v>1349</v>
      </c>
      <c r="GO493" s="1138" t="s">
        <v>1349</v>
      </c>
      <c r="GP493" s="1138" t="s">
        <v>1349</v>
      </c>
      <c r="GQ493" s="1138" t="s">
        <v>1349</v>
      </c>
      <c r="GR493" s="1138" t="s">
        <v>1349</v>
      </c>
      <c r="GS493" s="1138" t="s">
        <v>1349</v>
      </c>
      <c r="GT493" s="1138" t="s">
        <v>1349</v>
      </c>
      <c r="GU493" s="1138" t="s">
        <v>1349</v>
      </c>
      <c r="GV493" s="1138" t="s">
        <v>1349</v>
      </c>
    </row>
    <row r="494" spans="1:204" x14ac:dyDescent="0.2">
      <c r="A494" s="1138"/>
      <c r="B494" s="1138"/>
      <c r="GG494" s="1138" t="s">
        <v>1349</v>
      </c>
      <c r="GH494" s="1138" t="s">
        <v>1349</v>
      </c>
      <c r="GI494" s="1138" t="s">
        <v>1349</v>
      </c>
      <c r="GJ494" s="1138" t="s">
        <v>1349</v>
      </c>
      <c r="GK494" s="1138" t="s">
        <v>1349</v>
      </c>
      <c r="GL494" s="1138" t="s">
        <v>1349</v>
      </c>
      <c r="GM494" s="1138" t="s">
        <v>1349</v>
      </c>
      <c r="GN494" s="1138" t="s">
        <v>1349</v>
      </c>
      <c r="GO494" s="1138" t="s">
        <v>1349</v>
      </c>
      <c r="GP494" s="1138" t="s">
        <v>1349</v>
      </c>
      <c r="GQ494" s="1138" t="s">
        <v>1349</v>
      </c>
      <c r="GR494" s="1138" t="s">
        <v>1349</v>
      </c>
      <c r="GS494" s="1138" t="s">
        <v>1349</v>
      </c>
      <c r="GT494" s="1138" t="s">
        <v>1349</v>
      </c>
      <c r="GU494" s="1138" t="s">
        <v>1349</v>
      </c>
      <c r="GV494" s="1138" t="s">
        <v>1349</v>
      </c>
    </row>
    <row r="495" spans="1:204" x14ac:dyDescent="0.2">
      <c r="A495" s="1138"/>
      <c r="B495" s="1138"/>
      <c r="GG495" s="1138" t="s">
        <v>1349</v>
      </c>
      <c r="GH495" s="1138" t="s">
        <v>1349</v>
      </c>
      <c r="GI495" s="1138" t="s">
        <v>1349</v>
      </c>
      <c r="GJ495" s="1138" t="s">
        <v>1349</v>
      </c>
      <c r="GK495" s="1138" t="s">
        <v>1349</v>
      </c>
      <c r="GL495" s="1138" t="s">
        <v>1349</v>
      </c>
      <c r="GM495" s="1138" t="s">
        <v>1349</v>
      </c>
      <c r="GN495" s="1138" t="s">
        <v>1349</v>
      </c>
      <c r="GO495" s="1138" t="s">
        <v>1349</v>
      </c>
      <c r="GP495" s="1138" t="s">
        <v>1349</v>
      </c>
      <c r="GQ495" s="1138" t="s">
        <v>1349</v>
      </c>
      <c r="GR495" s="1138" t="s">
        <v>1349</v>
      </c>
      <c r="GS495" s="1138" t="s">
        <v>1349</v>
      </c>
      <c r="GT495" s="1138" t="s">
        <v>1349</v>
      </c>
      <c r="GU495" s="1138" t="s">
        <v>1349</v>
      </c>
      <c r="GV495" s="1138" t="s">
        <v>1349</v>
      </c>
    </row>
    <row r="496" spans="1:204" x14ac:dyDescent="0.2">
      <c r="A496" s="1138"/>
      <c r="B496" s="1138"/>
      <c r="GG496" s="1138" t="s">
        <v>1349</v>
      </c>
      <c r="GH496" s="1138" t="s">
        <v>1349</v>
      </c>
      <c r="GI496" s="1138" t="s">
        <v>1349</v>
      </c>
      <c r="GJ496" s="1138" t="s">
        <v>1349</v>
      </c>
      <c r="GK496" s="1138" t="s">
        <v>1349</v>
      </c>
      <c r="GL496" s="1138" t="s">
        <v>1349</v>
      </c>
      <c r="GM496" s="1138" t="s">
        <v>1349</v>
      </c>
      <c r="GN496" s="1138" t="s">
        <v>1349</v>
      </c>
      <c r="GO496" s="1138" t="s">
        <v>1349</v>
      </c>
      <c r="GP496" s="1138" t="s">
        <v>1349</v>
      </c>
      <c r="GQ496" s="1138" t="s">
        <v>1349</v>
      </c>
      <c r="GR496" s="1138" t="s">
        <v>1349</v>
      </c>
      <c r="GS496" s="1138" t="s">
        <v>1349</v>
      </c>
      <c r="GT496" s="1138" t="s">
        <v>1349</v>
      </c>
      <c r="GU496" s="1138" t="s">
        <v>1349</v>
      </c>
      <c r="GV496" s="1138" t="s">
        <v>1349</v>
      </c>
    </row>
    <row r="497" spans="1:204" x14ac:dyDescent="0.2">
      <c r="A497" s="1138"/>
      <c r="B497" s="1138"/>
      <c r="GG497" s="1138" t="s">
        <v>1349</v>
      </c>
      <c r="GH497" s="1138" t="s">
        <v>1349</v>
      </c>
      <c r="GI497" s="1138" t="s">
        <v>1349</v>
      </c>
      <c r="GJ497" s="1138" t="s">
        <v>1349</v>
      </c>
      <c r="GK497" s="1138" t="s">
        <v>1349</v>
      </c>
      <c r="GL497" s="1138" t="s">
        <v>1349</v>
      </c>
      <c r="GM497" s="1138" t="s">
        <v>1349</v>
      </c>
      <c r="GN497" s="1138" t="s">
        <v>1349</v>
      </c>
      <c r="GO497" s="1138" t="s">
        <v>1349</v>
      </c>
      <c r="GP497" s="1138" t="s">
        <v>1349</v>
      </c>
      <c r="GQ497" s="1138" t="s">
        <v>1349</v>
      </c>
      <c r="GR497" s="1138" t="s">
        <v>1349</v>
      </c>
      <c r="GS497" s="1138" t="s">
        <v>1349</v>
      </c>
      <c r="GT497" s="1138" t="s">
        <v>1349</v>
      </c>
      <c r="GU497" s="1138" t="s">
        <v>1349</v>
      </c>
      <c r="GV497" s="1138" t="s">
        <v>1349</v>
      </c>
    </row>
    <row r="498" spans="1:204" x14ac:dyDescent="0.2">
      <c r="A498" s="1138"/>
      <c r="B498" s="1138"/>
      <c r="GG498" s="1138" t="s">
        <v>1349</v>
      </c>
      <c r="GH498" s="1138" t="s">
        <v>1349</v>
      </c>
      <c r="GI498" s="1138" t="s">
        <v>1349</v>
      </c>
      <c r="GJ498" s="1138" t="s">
        <v>1349</v>
      </c>
      <c r="GK498" s="1138" t="s">
        <v>1349</v>
      </c>
      <c r="GL498" s="1138" t="s">
        <v>1349</v>
      </c>
      <c r="GM498" s="1138" t="s">
        <v>1349</v>
      </c>
      <c r="GN498" s="1138" t="s">
        <v>1349</v>
      </c>
      <c r="GO498" s="1138" t="s">
        <v>1349</v>
      </c>
      <c r="GP498" s="1138" t="s">
        <v>1349</v>
      </c>
      <c r="GQ498" s="1138" t="s">
        <v>1349</v>
      </c>
      <c r="GR498" s="1138" t="s">
        <v>1349</v>
      </c>
      <c r="GS498" s="1138" t="s">
        <v>1349</v>
      </c>
      <c r="GT498" s="1138" t="s">
        <v>1349</v>
      </c>
      <c r="GU498" s="1138" t="s">
        <v>1349</v>
      </c>
      <c r="GV498" s="1138" t="s">
        <v>1349</v>
      </c>
    </row>
    <row r="499" spans="1:204" x14ac:dyDescent="0.2">
      <c r="A499" s="1138"/>
      <c r="B499" s="1138"/>
      <c r="GG499" s="1138" t="s">
        <v>1349</v>
      </c>
      <c r="GH499" s="1138" t="s">
        <v>1349</v>
      </c>
      <c r="GI499" s="1138" t="s">
        <v>1349</v>
      </c>
      <c r="GJ499" s="1138" t="s">
        <v>1349</v>
      </c>
      <c r="GK499" s="1138" t="s">
        <v>1349</v>
      </c>
      <c r="GL499" s="1138" t="s">
        <v>1349</v>
      </c>
      <c r="GM499" s="1138" t="s">
        <v>1349</v>
      </c>
      <c r="GN499" s="1138" t="s">
        <v>1349</v>
      </c>
      <c r="GO499" s="1138" t="s">
        <v>1349</v>
      </c>
      <c r="GP499" s="1138" t="s">
        <v>1349</v>
      </c>
      <c r="GQ499" s="1138" t="s">
        <v>1349</v>
      </c>
      <c r="GR499" s="1138" t="s">
        <v>1349</v>
      </c>
      <c r="GS499" s="1138" t="s">
        <v>1349</v>
      </c>
      <c r="GT499" s="1138" t="s">
        <v>1349</v>
      </c>
      <c r="GU499" s="1138" t="s">
        <v>1349</v>
      </c>
      <c r="GV499" s="1138" t="s">
        <v>1349</v>
      </c>
    </row>
    <row r="500" spans="1:204" x14ac:dyDescent="0.2">
      <c r="A500" s="1138"/>
      <c r="B500" s="1138"/>
      <c r="GG500" s="1138" t="s">
        <v>1349</v>
      </c>
      <c r="GH500" s="1138" t="s">
        <v>1349</v>
      </c>
      <c r="GI500" s="1138" t="s">
        <v>1349</v>
      </c>
      <c r="GJ500" s="1138" t="s">
        <v>1349</v>
      </c>
      <c r="GK500" s="1138" t="s">
        <v>1349</v>
      </c>
      <c r="GL500" s="1138" t="s">
        <v>1349</v>
      </c>
      <c r="GM500" s="1138" t="s">
        <v>1349</v>
      </c>
      <c r="GN500" s="1138" t="s">
        <v>1349</v>
      </c>
      <c r="GO500" s="1138" t="s">
        <v>1349</v>
      </c>
      <c r="GP500" s="1138" t="s">
        <v>1349</v>
      </c>
      <c r="GQ500" s="1138" t="s">
        <v>1349</v>
      </c>
      <c r="GR500" s="1138" t="s">
        <v>1349</v>
      </c>
      <c r="GS500" s="1138" t="s">
        <v>1349</v>
      </c>
      <c r="GT500" s="1138" t="s">
        <v>1349</v>
      </c>
      <c r="GU500" s="1138" t="s">
        <v>1349</v>
      </c>
      <c r="GV500" s="1138" t="s">
        <v>1349</v>
      </c>
    </row>
    <row r="501" spans="1:204" x14ac:dyDescent="0.2">
      <c r="A501" s="1138"/>
      <c r="B501" s="1138"/>
      <c r="GG501" s="1138" t="s">
        <v>1349</v>
      </c>
      <c r="GH501" s="1138" t="s">
        <v>1349</v>
      </c>
      <c r="GI501" s="1138" t="s">
        <v>1349</v>
      </c>
      <c r="GJ501" s="1138" t="s">
        <v>1349</v>
      </c>
      <c r="GK501" s="1138" t="s">
        <v>1349</v>
      </c>
      <c r="GL501" s="1138" t="s">
        <v>1349</v>
      </c>
      <c r="GM501" s="1138" t="s">
        <v>1349</v>
      </c>
      <c r="GN501" s="1138" t="s">
        <v>1349</v>
      </c>
      <c r="GO501" s="1138" t="s">
        <v>1349</v>
      </c>
      <c r="GP501" s="1138" t="s">
        <v>1349</v>
      </c>
      <c r="GQ501" s="1138" t="s">
        <v>1349</v>
      </c>
      <c r="GR501" s="1138" t="s">
        <v>1349</v>
      </c>
      <c r="GS501" s="1138" t="s">
        <v>1349</v>
      </c>
      <c r="GT501" s="1138" t="s">
        <v>1349</v>
      </c>
      <c r="GU501" s="1138" t="s">
        <v>1349</v>
      </c>
      <c r="GV501" s="1138" t="s">
        <v>1349</v>
      </c>
    </row>
    <row r="502" spans="1:204" x14ac:dyDescent="0.2">
      <c r="A502" s="1138"/>
      <c r="B502" s="1138"/>
      <c r="GG502" s="1138" t="s">
        <v>1349</v>
      </c>
      <c r="GH502" s="1138" t="s">
        <v>1349</v>
      </c>
      <c r="GI502" s="1138" t="s">
        <v>1349</v>
      </c>
      <c r="GJ502" s="1138" t="s">
        <v>1349</v>
      </c>
      <c r="GK502" s="1138" t="s">
        <v>1349</v>
      </c>
      <c r="GL502" s="1138" t="s">
        <v>1349</v>
      </c>
      <c r="GM502" s="1138" t="s">
        <v>1349</v>
      </c>
      <c r="GN502" s="1138" t="s">
        <v>1349</v>
      </c>
      <c r="GO502" s="1138" t="s">
        <v>1349</v>
      </c>
      <c r="GP502" s="1138" t="s">
        <v>1349</v>
      </c>
      <c r="GQ502" s="1138" t="s">
        <v>1349</v>
      </c>
      <c r="GR502" s="1138" t="s">
        <v>1349</v>
      </c>
      <c r="GS502" s="1138" t="s">
        <v>1349</v>
      </c>
      <c r="GT502" s="1138" t="s">
        <v>1349</v>
      </c>
      <c r="GU502" s="1138" t="s">
        <v>1349</v>
      </c>
      <c r="GV502" s="1138" t="s">
        <v>1349</v>
      </c>
    </row>
    <row r="503" spans="1:204" x14ac:dyDescent="0.2">
      <c r="A503" s="1138"/>
      <c r="B503" s="1138"/>
      <c r="GG503" s="1138" t="s">
        <v>1349</v>
      </c>
      <c r="GH503" s="1138" t="s">
        <v>1349</v>
      </c>
      <c r="GI503" s="1138" t="s">
        <v>1349</v>
      </c>
      <c r="GJ503" s="1138" t="s">
        <v>1349</v>
      </c>
      <c r="GK503" s="1138" t="s">
        <v>1349</v>
      </c>
      <c r="GL503" s="1138" t="s">
        <v>1349</v>
      </c>
      <c r="GM503" s="1138" t="s">
        <v>1349</v>
      </c>
      <c r="GN503" s="1138" t="s">
        <v>1349</v>
      </c>
      <c r="GO503" s="1138" t="s">
        <v>1349</v>
      </c>
      <c r="GP503" s="1138" t="s">
        <v>1349</v>
      </c>
      <c r="GQ503" s="1138" t="s">
        <v>1349</v>
      </c>
      <c r="GR503" s="1138" t="s">
        <v>1349</v>
      </c>
      <c r="GS503" s="1138" t="s">
        <v>1349</v>
      </c>
      <c r="GT503" s="1138" t="s">
        <v>1349</v>
      </c>
      <c r="GU503" s="1138" t="s">
        <v>1349</v>
      </c>
      <c r="GV503" s="1138" t="s">
        <v>1349</v>
      </c>
    </row>
    <row r="504" spans="1:204" x14ac:dyDescent="0.2">
      <c r="A504" s="1138"/>
      <c r="B504" s="1138"/>
      <c r="GG504" s="1138" t="s">
        <v>1349</v>
      </c>
      <c r="GH504" s="1138" t="s">
        <v>1349</v>
      </c>
      <c r="GI504" s="1138" t="s">
        <v>1349</v>
      </c>
      <c r="GJ504" s="1138" t="s">
        <v>1349</v>
      </c>
      <c r="GK504" s="1138" t="s">
        <v>1349</v>
      </c>
      <c r="GL504" s="1138" t="s">
        <v>1349</v>
      </c>
      <c r="GM504" s="1138" t="s">
        <v>1349</v>
      </c>
      <c r="GN504" s="1138" t="s">
        <v>1349</v>
      </c>
      <c r="GO504" s="1138" t="s">
        <v>1349</v>
      </c>
      <c r="GP504" s="1138" t="s">
        <v>1349</v>
      </c>
      <c r="GQ504" s="1138" t="s">
        <v>1349</v>
      </c>
      <c r="GR504" s="1138" t="s">
        <v>1349</v>
      </c>
      <c r="GS504" s="1138" t="s">
        <v>1349</v>
      </c>
      <c r="GT504" s="1138" t="s">
        <v>1349</v>
      </c>
      <c r="GU504" s="1138" t="s">
        <v>1349</v>
      </c>
      <c r="GV504" s="1138" t="s">
        <v>1349</v>
      </c>
    </row>
    <row r="505" spans="1:204" x14ac:dyDescent="0.2">
      <c r="A505" s="1138"/>
      <c r="B505" s="1138"/>
      <c r="GG505" s="1138" t="s">
        <v>1349</v>
      </c>
      <c r="GH505" s="1138" t="s">
        <v>1349</v>
      </c>
      <c r="GI505" s="1138" t="s">
        <v>1349</v>
      </c>
      <c r="GJ505" s="1138" t="s">
        <v>1349</v>
      </c>
      <c r="GK505" s="1138" t="s">
        <v>1349</v>
      </c>
      <c r="GL505" s="1138" t="s">
        <v>1349</v>
      </c>
      <c r="GM505" s="1138" t="s">
        <v>1349</v>
      </c>
      <c r="GN505" s="1138" t="s">
        <v>1349</v>
      </c>
      <c r="GO505" s="1138" t="s">
        <v>1349</v>
      </c>
      <c r="GP505" s="1138" t="s">
        <v>1349</v>
      </c>
      <c r="GQ505" s="1138" t="s">
        <v>1349</v>
      </c>
      <c r="GR505" s="1138" t="s">
        <v>1349</v>
      </c>
      <c r="GS505" s="1138" t="s">
        <v>1349</v>
      </c>
      <c r="GT505" s="1138" t="s">
        <v>1349</v>
      </c>
      <c r="GU505" s="1138" t="s">
        <v>1349</v>
      </c>
      <c r="GV505" s="1138" t="s">
        <v>1349</v>
      </c>
    </row>
    <row r="506" spans="1:204" x14ac:dyDescent="0.2">
      <c r="A506" s="1138"/>
      <c r="B506" s="1138"/>
      <c r="GG506" s="1138" t="s">
        <v>1349</v>
      </c>
      <c r="GH506" s="1138" t="s">
        <v>1349</v>
      </c>
      <c r="GI506" s="1138" t="s">
        <v>1349</v>
      </c>
      <c r="GJ506" s="1138" t="s">
        <v>1349</v>
      </c>
      <c r="GK506" s="1138" t="s">
        <v>1349</v>
      </c>
      <c r="GL506" s="1138" t="s">
        <v>1349</v>
      </c>
      <c r="GM506" s="1138" t="s">
        <v>1349</v>
      </c>
      <c r="GN506" s="1138" t="s">
        <v>1349</v>
      </c>
      <c r="GO506" s="1138" t="s">
        <v>1349</v>
      </c>
      <c r="GP506" s="1138" t="s">
        <v>1349</v>
      </c>
      <c r="GQ506" s="1138" t="s">
        <v>1349</v>
      </c>
      <c r="GR506" s="1138" t="s">
        <v>1349</v>
      </c>
      <c r="GS506" s="1138" t="s">
        <v>1349</v>
      </c>
      <c r="GT506" s="1138" t="s">
        <v>1349</v>
      </c>
      <c r="GU506" s="1138" t="s">
        <v>1349</v>
      </c>
      <c r="GV506" s="1138" t="s">
        <v>1349</v>
      </c>
    </row>
    <row r="507" spans="1:204" x14ac:dyDescent="0.2">
      <c r="A507" s="1138"/>
      <c r="B507" s="1138"/>
      <c r="GG507" s="1138" t="s">
        <v>1349</v>
      </c>
      <c r="GH507" s="1138" t="s">
        <v>1349</v>
      </c>
      <c r="GI507" s="1138" t="s">
        <v>1349</v>
      </c>
      <c r="GJ507" s="1138" t="s">
        <v>1349</v>
      </c>
      <c r="GK507" s="1138" t="s">
        <v>1349</v>
      </c>
      <c r="GL507" s="1138" t="s">
        <v>1349</v>
      </c>
      <c r="GM507" s="1138" t="s">
        <v>1349</v>
      </c>
      <c r="GN507" s="1138" t="s">
        <v>1349</v>
      </c>
      <c r="GO507" s="1138" t="s">
        <v>1349</v>
      </c>
      <c r="GP507" s="1138" t="s">
        <v>1349</v>
      </c>
      <c r="GQ507" s="1138" t="s">
        <v>1349</v>
      </c>
      <c r="GR507" s="1138" t="s">
        <v>1349</v>
      </c>
      <c r="GS507" s="1138" t="s">
        <v>1349</v>
      </c>
      <c r="GT507" s="1138" t="s">
        <v>1349</v>
      </c>
      <c r="GU507" s="1138" t="s">
        <v>1349</v>
      </c>
      <c r="GV507" s="1138" t="s">
        <v>1349</v>
      </c>
    </row>
    <row r="508" spans="1:204" x14ac:dyDescent="0.2">
      <c r="A508" s="1138"/>
      <c r="B508" s="1138"/>
      <c r="GG508" s="1138" t="s">
        <v>1349</v>
      </c>
      <c r="GH508" s="1138" t="s">
        <v>1349</v>
      </c>
      <c r="GI508" s="1138" t="s">
        <v>1349</v>
      </c>
      <c r="GJ508" s="1138" t="s">
        <v>1349</v>
      </c>
      <c r="GK508" s="1138" t="s">
        <v>1349</v>
      </c>
      <c r="GL508" s="1138" t="s">
        <v>1349</v>
      </c>
      <c r="GM508" s="1138" t="s">
        <v>1349</v>
      </c>
      <c r="GN508" s="1138" t="s">
        <v>1349</v>
      </c>
      <c r="GO508" s="1138" t="s">
        <v>1349</v>
      </c>
      <c r="GP508" s="1138" t="s">
        <v>1349</v>
      </c>
      <c r="GQ508" s="1138" t="s">
        <v>1349</v>
      </c>
      <c r="GR508" s="1138" t="s">
        <v>1349</v>
      </c>
      <c r="GS508" s="1138" t="s">
        <v>1349</v>
      </c>
      <c r="GT508" s="1138" t="s">
        <v>1349</v>
      </c>
      <c r="GU508" s="1138" t="s">
        <v>1349</v>
      </c>
      <c r="GV508" s="1138" t="s">
        <v>1349</v>
      </c>
    </row>
    <row r="509" spans="1:204" x14ac:dyDescent="0.2">
      <c r="A509" s="1138"/>
      <c r="B509" s="1138"/>
      <c r="GG509" s="1138" t="s">
        <v>1349</v>
      </c>
      <c r="GH509" s="1138" t="s">
        <v>1349</v>
      </c>
      <c r="GI509" s="1138" t="s">
        <v>1349</v>
      </c>
      <c r="GJ509" s="1138" t="s">
        <v>1349</v>
      </c>
      <c r="GK509" s="1138" t="s">
        <v>1349</v>
      </c>
      <c r="GL509" s="1138" t="s">
        <v>1349</v>
      </c>
      <c r="GM509" s="1138" t="s">
        <v>1349</v>
      </c>
      <c r="GN509" s="1138" t="s">
        <v>1349</v>
      </c>
      <c r="GO509" s="1138" t="s">
        <v>1349</v>
      </c>
      <c r="GP509" s="1138" t="s">
        <v>1349</v>
      </c>
      <c r="GQ509" s="1138" t="s">
        <v>1349</v>
      </c>
      <c r="GR509" s="1138" t="s">
        <v>1349</v>
      </c>
      <c r="GS509" s="1138" t="s">
        <v>1349</v>
      </c>
      <c r="GT509" s="1138" t="s">
        <v>1349</v>
      </c>
      <c r="GU509" s="1138" t="s">
        <v>1349</v>
      </c>
      <c r="GV509" s="1138" t="s">
        <v>1349</v>
      </c>
    </row>
    <row r="510" spans="1:204" x14ac:dyDescent="0.2">
      <c r="A510" s="1138"/>
      <c r="B510" s="1138"/>
      <c r="GG510" s="1138" t="s">
        <v>1349</v>
      </c>
      <c r="GH510" s="1138" t="s">
        <v>1349</v>
      </c>
      <c r="GI510" s="1138" t="s">
        <v>1349</v>
      </c>
      <c r="GJ510" s="1138" t="s">
        <v>1349</v>
      </c>
      <c r="GK510" s="1138" t="s">
        <v>1349</v>
      </c>
      <c r="GL510" s="1138" t="s">
        <v>1349</v>
      </c>
      <c r="GM510" s="1138" t="s">
        <v>1349</v>
      </c>
      <c r="GN510" s="1138" t="s">
        <v>1349</v>
      </c>
      <c r="GO510" s="1138" t="s">
        <v>1349</v>
      </c>
      <c r="GP510" s="1138" t="s">
        <v>1349</v>
      </c>
      <c r="GQ510" s="1138" t="s">
        <v>1349</v>
      </c>
      <c r="GR510" s="1138" t="s">
        <v>1349</v>
      </c>
      <c r="GS510" s="1138" t="s">
        <v>1349</v>
      </c>
      <c r="GT510" s="1138" t="s">
        <v>1349</v>
      </c>
      <c r="GU510" s="1138" t="s">
        <v>1349</v>
      </c>
      <c r="GV510" s="1138" t="s">
        <v>1349</v>
      </c>
    </row>
    <row r="511" spans="1:204" x14ac:dyDescent="0.2">
      <c r="A511" s="1138"/>
      <c r="B511" s="1138"/>
      <c r="GG511" s="1138" t="s">
        <v>1349</v>
      </c>
      <c r="GH511" s="1138" t="s">
        <v>1349</v>
      </c>
      <c r="GI511" s="1138" t="s">
        <v>1349</v>
      </c>
      <c r="GJ511" s="1138" t="s">
        <v>1349</v>
      </c>
      <c r="GK511" s="1138" t="s">
        <v>1349</v>
      </c>
      <c r="GL511" s="1138" t="s">
        <v>1349</v>
      </c>
      <c r="GM511" s="1138" t="s">
        <v>1349</v>
      </c>
      <c r="GN511" s="1138" t="s">
        <v>1349</v>
      </c>
      <c r="GO511" s="1138" t="s">
        <v>1349</v>
      </c>
      <c r="GP511" s="1138" t="s">
        <v>1349</v>
      </c>
      <c r="GQ511" s="1138" t="s">
        <v>1349</v>
      </c>
      <c r="GR511" s="1138" t="s">
        <v>1349</v>
      </c>
      <c r="GS511" s="1138" t="s">
        <v>1349</v>
      </c>
      <c r="GT511" s="1138" t="s">
        <v>1349</v>
      </c>
      <c r="GU511" s="1138" t="s">
        <v>1349</v>
      </c>
      <c r="GV511" s="1138" t="s">
        <v>1349</v>
      </c>
    </row>
    <row r="512" spans="1:204" x14ac:dyDescent="0.2">
      <c r="A512" s="1138"/>
      <c r="B512" s="1138"/>
      <c r="GG512" s="1138" t="s">
        <v>1349</v>
      </c>
      <c r="GH512" s="1138" t="s">
        <v>1349</v>
      </c>
      <c r="GI512" s="1138" t="s">
        <v>1349</v>
      </c>
      <c r="GJ512" s="1138" t="s">
        <v>1349</v>
      </c>
      <c r="GK512" s="1138" t="s">
        <v>1349</v>
      </c>
      <c r="GL512" s="1138" t="s">
        <v>1349</v>
      </c>
      <c r="GM512" s="1138" t="s">
        <v>1349</v>
      </c>
      <c r="GN512" s="1138" t="s">
        <v>1349</v>
      </c>
      <c r="GO512" s="1138" t="s">
        <v>1349</v>
      </c>
      <c r="GP512" s="1138" t="s">
        <v>1349</v>
      </c>
      <c r="GQ512" s="1138" t="s">
        <v>1349</v>
      </c>
      <c r="GR512" s="1138" t="s">
        <v>1349</v>
      </c>
      <c r="GS512" s="1138" t="s">
        <v>1349</v>
      </c>
      <c r="GT512" s="1138" t="s">
        <v>1349</v>
      </c>
      <c r="GU512" s="1138" t="s">
        <v>1349</v>
      </c>
      <c r="GV512" s="1138" t="s">
        <v>1349</v>
      </c>
    </row>
    <row r="513" spans="1:204" x14ac:dyDescent="0.2">
      <c r="A513" s="1138"/>
      <c r="B513" s="1138"/>
      <c r="GG513" s="1138" t="s">
        <v>1349</v>
      </c>
      <c r="GH513" s="1138" t="s">
        <v>1349</v>
      </c>
      <c r="GI513" s="1138" t="s">
        <v>1349</v>
      </c>
      <c r="GJ513" s="1138" t="s">
        <v>1349</v>
      </c>
      <c r="GK513" s="1138" t="s">
        <v>1349</v>
      </c>
      <c r="GL513" s="1138" t="s">
        <v>1349</v>
      </c>
      <c r="GM513" s="1138" t="s">
        <v>1349</v>
      </c>
      <c r="GN513" s="1138" t="s">
        <v>1349</v>
      </c>
      <c r="GO513" s="1138" t="s">
        <v>1349</v>
      </c>
      <c r="GP513" s="1138" t="s">
        <v>1349</v>
      </c>
      <c r="GQ513" s="1138" t="s">
        <v>1349</v>
      </c>
      <c r="GR513" s="1138" t="s">
        <v>1349</v>
      </c>
      <c r="GS513" s="1138" t="s">
        <v>1349</v>
      </c>
      <c r="GT513" s="1138" t="s">
        <v>1349</v>
      </c>
      <c r="GU513" s="1138" t="s">
        <v>1349</v>
      </c>
      <c r="GV513" s="1138" t="s">
        <v>1349</v>
      </c>
    </row>
    <row r="514" spans="1:204" x14ac:dyDescent="0.2">
      <c r="A514" s="1138"/>
      <c r="B514" s="1138"/>
      <c r="GG514" s="1138" t="s">
        <v>1349</v>
      </c>
      <c r="GH514" s="1138" t="s">
        <v>1349</v>
      </c>
      <c r="GI514" s="1138" t="s">
        <v>1349</v>
      </c>
      <c r="GJ514" s="1138" t="s">
        <v>1349</v>
      </c>
      <c r="GK514" s="1138" t="s">
        <v>1349</v>
      </c>
      <c r="GL514" s="1138" t="s">
        <v>1349</v>
      </c>
      <c r="GM514" s="1138" t="s">
        <v>1349</v>
      </c>
      <c r="GN514" s="1138" t="s">
        <v>1349</v>
      </c>
      <c r="GO514" s="1138" t="s">
        <v>1349</v>
      </c>
      <c r="GP514" s="1138" t="s">
        <v>1349</v>
      </c>
      <c r="GQ514" s="1138" t="s">
        <v>1349</v>
      </c>
      <c r="GR514" s="1138" t="s">
        <v>1349</v>
      </c>
      <c r="GS514" s="1138" t="s">
        <v>1349</v>
      </c>
      <c r="GT514" s="1138" t="s">
        <v>1349</v>
      </c>
      <c r="GU514" s="1138" t="s">
        <v>1349</v>
      </c>
      <c r="GV514" s="1138" t="s">
        <v>1349</v>
      </c>
    </row>
    <row r="515" spans="1:204" x14ac:dyDescent="0.2">
      <c r="A515" s="1138"/>
      <c r="B515" s="1138"/>
      <c r="GG515" s="1138" t="s">
        <v>1349</v>
      </c>
      <c r="GH515" s="1138" t="s">
        <v>1349</v>
      </c>
      <c r="GI515" s="1138" t="s">
        <v>1349</v>
      </c>
      <c r="GJ515" s="1138" t="s">
        <v>1349</v>
      </c>
      <c r="GK515" s="1138" t="s">
        <v>1349</v>
      </c>
      <c r="GL515" s="1138" t="s">
        <v>1349</v>
      </c>
      <c r="GM515" s="1138" t="s">
        <v>1349</v>
      </c>
      <c r="GN515" s="1138" t="s">
        <v>1349</v>
      </c>
      <c r="GO515" s="1138" t="s">
        <v>1349</v>
      </c>
      <c r="GP515" s="1138" t="s">
        <v>1349</v>
      </c>
      <c r="GQ515" s="1138" t="s">
        <v>1349</v>
      </c>
      <c r="GR515" s="1138" t="s">
        <v>1349</v>
      </c>
      <c r="GS515" s="1138" t="s">
        <v>1349</v>
      </c>
      <c r="GT515" s="1138" t="s">
        <v>1349</v>
      </c>
      <c r="GU515" s="1138" t="s">
        <v>1349</v>
      </c>
      <c r="GV515" s="1138" t="s">
        <v>1349</v>
      </c>
    </row>
    <row r="516" spans="1:204" x14ac:dyDescent="0.2">
      <c r="A516" s="1138"/>
      <c r="B516" s="1138"/>
      <c r="GG516" s="1138" t="s">
        <v>1349</v>
      </c>
      <c r="GH516" s="1138" t="s">
        <v>1349</v>
      </c>
      <c r="GI516" s="1138" t="s">
        <v>1349</v>
      </c>
      <c r="GJ516" s="1138" t="s">
        <v>1349</v>
      </c>
      <c r="GK516" s="1138" t="s">
        <v>1349</v>
      </c>
      <c r="GL516" s="1138" t="s">
        <v>1349</v>
      </c>
      <c r="GM516" s="1138" t="s">
        <v>1349</v>
      </c>
      <c r="GN516" s="1138" t="s">
        <v>1349</v>
      </c>
      <c r="GO516" s="1138" t="s">
        <v>1349</v>
      </c>
      <c r="GP516" s="1138" t="s">
        <v>1349</v>
      </c>
      <c r="GQ516" s="1138" t="s">
        <v>1349</v>
      </c>
      <c r="GR516" s="1138" t="s">
        <v>1349</v>
      </c>
      <c r="GS516" s="1138" t="s">
        <v>1349</v>
      </c>
      <c r="GT516" s="1138" t="s">
        <v>1349</v>
      </c>
      <c r="GU516" s="1138" t="s">
        <v>1349</v>
      </c>
      <c r="GV516" s="1138" t="s">
        <v>1349</v>
      </c>
    </row>
    <row r="517" spans="1:204" x14ac:dyDescent="0.2">
      <c r="A517" s="1138"/>
      <c r="B517" s="1138"/>
      <c r="GG517" s="1138" t="s">
        <v>1349</v>
      </c>
      <c r="GH517" s="1138" t="s">
        <v>1349</v>
      </c>
      <c r="GI517" s="1138" t="s">
        <v>1349</v>
      </c>
      <c r="GJ517" s="1138" t="s">
        <v>1349</v>
      </c>
      <c r="GK517" s="1138" t="s">
        <v>1349</v>
      </c>
      <c r="GL517" s="1138" t="s">
        <v>1349</v>
      </c>
      <c r="GM517" s="1138" t="s">
        <v>1349</v>
      </c>
      <c r="GN517" s="1138" t="s">
        <v>1349</v>
      </c>
      <c r="GO517" s="1138" t="s">
        <v>1349</v>
      </c>
      <c r="GP517" s="1138" t="s">
        <v>1349</v>
      </c>
      <c r="GQ517" s="1138" t="s">
        <v>1349</v>
      </c>
      <c r="GR517" s="1138" t="s">
        <v>1349</v>
      </c>
      <c r="GS517" s="1138" t="s">
        <v>1349</v>
      </c>
      <c r="GT517" s="1138" t="s">
        <v>1349</v>
      </c>
      <c r="GU517" s="1138" t="s">
        <v>1349</v>
      </c>
      <c r="GV517" s="1138" t="s">
        <v>1349</v>
      </c>
    </row>
    <row r="518" spans="1:204" x14ac:dyDescent="0.2">
      <c r="A518" s="1138"/>
      <c r="B518" s="1138"/>
      <c r="GG518" s="1138" t="s">
        <v>1349</v>
      </c>
      <c r="GH518" s="1138" t="s">
        <v>1349</v>
      </c>
      <c r="GI518" s="1138" t="s">
        <v>1349</v>
      </c>
      <c r="GJ518" s="1138" t="s">
        <v>1349</v>
      </c>
      <c r="GK518" s="1138" t="s">
        <v>1349</v>
      </c>
      <c r="GL518" s="1138" t="s">
        <v>1349</v>
      </c>
      <c r="GM518" s="1138" t="s">
        <v>1349</v>
      </c>
      <c r="GN518" s="1138" t="s">
        <v>1349</v>
      </c>
      <c r="GO518" s="1138" t="s">
        <v>1349</v>
      </c>
      <c r="GP518" s="1138" t="s">
        <v>1349</v>
      </c>
      <c r="GQ518" s="1138" t="s">
        <v>1349</v>
      </c>
      <c r="GR518" s="1138" t="s">
        <v>1349</v>
      </c>
      <c r="GS518" s="1138" t="s">
        <v>1349</v>
      </c>
      <c r="GT518" s="1138" t="s">
        <v>1349</v>
      </c>
      <c r="GU518" s="1138" t="s">
        <v>1349</v>
      </c>
      <c r="GV518" s="1138" t="s">
        <v>1349</v>
      </c>
    </row>
    <row r="519" spans="1:204" x14ac:dyDescent="0.2">
      <c r="A519" s="1138"/>
      <c r="B519" s="1138"/>
      <c r="GG519" s="1138" t="s">
        <v>1349</v>
      </c>
      <c r="GH519" s="1138" t="s">
        <v>1349</v>
      </c>
      <c r="GI519" s="1138" t="s">
        <v>1349</v>
      </c>
      <c r="GJ519" s="1138" t="s">
        <v>1349</v>
      </c>
      <c r="GK519" s="1138" t="s">
        <v>1349</v>
      </c>
      <c r="GL519" s="1138" t="s">
        <v>1349</v>
      </c>
      <c r="GM519" s="1138" t="s">
        <v>1349</v>
      </c>
      <c r="GN519" s="1138" t="s">
        <v>1349</v>
      </c>
      <c r="GO519" s="1138" t="s">
        <v>1349</v>
      </c>
      <c r="GP519" s="1138" t="s">
        <v>1349</v>
      </c>
      <c r="GQ519" s="1138" t="s">
        <v>1349</v>
      </c>
      <c r="GR519" s="1138" t="s">
        <v>1349</v>
      </c>
      <c r="GS519" s="1138" t="s">
        <v>1349</v>
      </c>
      <c r="GT519" s="1138" t="s">
        <v>1349</v>
      </c>
      <c r="GU519" s="1138" t="s">
        <v>1349</v>
      </c>
      <c r="GV519" s="1138" t="s">
        <v>1349</v>
      </c>
    </row>
    <row r="520" spans="1:204" x14ac:dyDescent="0.2">
      <c r="A520" s="1138"/>
      <c r="B520" s="1138"/>
      <c r="GG520" s="1138" t="s">
        <v>1349</v>
      </c>
      <c r="GH520" s="1138" t="s">
        <v>1349</v>
      </c>
      <c r="GI520" s="1138" t="s">
        <v>1349</v>
      </c>
      <c r="GJ520" s="1138" t="s">
        <v>1349</v>
      </c>
      <c r="GK520" s="1138" t="s">
        <v>1349</v>
      </c>
      <c r="GL520" s="1138" t="s">
        <v>1349</v>
      </c>
      <c r="GM520" s="1138" t="s">
        <v>1349</v>
      </c>
      <c r="GN520" s="1138" t="s">
        <v>1349</v>
      </c>
      <c r="GO520" s="1138" t="s">
        <v>1349</v>
      </c>
      <c r="GP520" s="1138" t="s">
        <v>1349</v>
      </c>
      <c r="GQ520" s="1138" t="s">
        <v>1349</v>
      </c>
      <c r="GR520" s="1138" t="s">
        <v>1349</v>
      </c>
      <c r="GS520" s="1138" t="s">
        <v>1349</v>
      </c>
      <c r="GT520" s="1138" t="s">
        <v>1349</v>
      </c>
      <c r="GU520" s="1138" t="s">
        <v>1349</v>
      </c>
      <c r="GV520" s="1138" t="s">
        <v>1349</v>
      </c>
    </row>
    <row r="521" spans="1:204" x14ac:dyDescent="0.2">
      <c r="A521" s="1138"/>
      <c r="B521" s="1138"/>
      <c r="GG521" s="1138" t="s">
        <v>1349</v>
      </c>
      <c r="GH521" s="1138" t="s">
        <v>1349</v>
      </c>
      <c r="GI521" s="1138" t="s">
        <v>1349</v>
      </c>
      <c r="GJ521" s="1138" t="s">
        <v>1349</v>
      </c>
      <c r="GK521" s="1138" t="s">
        <v>1349</v>
      </c>
      <c r="GL521" s="1138" t="s">
        <v>1349</v>
      </c>
      <c r="GM521" s="1138" t="s">
        <v>1349</v>
      </c>
      <c r="GN521" s="1138" t="s">
        <v>1349</v>
      </c>
      <c r="GO521" s="1138" t="s">
        <v>1349</v>
      </c>
      <c r="GP521" s="1138" t="s">
        <v>1349</v>
      </c>
      <c r="GQ521" s="1138" t="s">
        <v>1349</v>
      </c>
      <c r="GR521" s="1138" t="s">
        <v>1349</v>
      </c>
      <c r="GS521" s="1138" t="s">
        <v>1349</v>
      </c>
      <c r="GT521" s="1138" t="s">
        <v>1349</v>
      </c>
      <c r="GU521" s="1138" t="s">
        <v>1349</v>
      </c>
      <c r="GV521" s="1138" t="s">
        <v>1349</v>
      </c>
    </row>
    <row r="522" spans="1:204" x14ac:dyDescent="0.2">
      <c r="A522" s="1138"/>
      <c r="B522" s="1138"/>
      <c r="GG522" s="1138" t="s">
        <v>1349</v>
      </c>
      <c r="GH522" s="1138" t="s">
        <v>1349</v>
      </c>
      <c r="GI522" s="1138" t="s">
        <v>1349</v>
      </c>
      <c r="GJ522" s="1138" t="s">
        <v>1349</v>
      </c>
      <c r="GK522" s="1138" t="s">
        <v>1349</v>
      </c>
      <c r="GL522" s="1138" t="s">
        <v>1349</v>
      </c>
      <c r="GM522" s="1138" t="s">
        <v>1349</v>
      </c>
      <c r="GN522" s="1138" t="s">
        <v>1349</v>
      </c>
      <c r="GO522" s="1138" t="s">
        <v>1349</v>
      </c>
      <c r="GP522" s="1138" t="s">
        <v>1349</v>
      </c>
      <c r="GQ522" s="1138" t="s">
        <v>1349</v>
      </c>
      <c r="GR522" s="1138" t="s">
        <v>1349</v>
      </c>
      <c r="GS522" s="1138" t="s">
        <v>1349</v>
      </c>
      <c r="GT522" s="1138" t="s">
        <v>1349</v>
      </c>
      <c r="GU522" s="1138" t="s">
        <v>1349</v>
      </c>
      <c r="GV522" s="1138" t="s">
        <v>1349</v>
      </c>
    </row>
    <row r="523" spans="1:204" x14ac:dyDescent="0.2">
      <c r="A523" s="1138"/>
      <c r="B523" s="1138"/>
      <c r="GG523" s="1138" t="s">
        <v>1349</v>
      </c>
      <c r="GH523" s="1138" t="s">
        <v>1349</v>
      </c>
      <c r="GI523" s="1138" t="s">
        <v>1349</v>
      </c>
      <c r="GJ523" s="1138" t="s">
        <v>1349</v>
      </c>
      <c r="GK523" s="1138" t="s">
        <v>1349</v>
      </c>
      <c r="GL523" s="1138" t="s">
        <v>1349</v>
      </c>
      <c r="GM523" s="1138" t="s">
        <v>1349</v>
      </c>
      <c r="GN523" s="1138" t="s">
        <v>1349</v>
      </c>
      <c r="GO523" s="1138" t="s">
        <v>1349</v>
      </c>
      <c r="GP523" s="1138" t="s">
        <v>1349</v>
      </c>
      <c r="GQ523" s="1138" t="s">
        <v>1349</v>
      </c>
      <c r="GR523" s="1138" t="s">
        <v>1349</v>
      </c>
      <c r="GS523" s="1138" t="s">
        <v>1349</v>
      </c>
      <c r="GT523" s="1138" t="s">
        <v>1349</v>
      </c>
      <c r="GU523" s="1138" t="s">
        <v>1349</v>
      </c>
      <c r="GV523" s="1138" t="s">
        <v>1349</v>
      </c>
    </row>
    <row r="524" spans="1:204" x14ac:dyDescent="0.2">
      <c r="A524" s="1138"/>
      <c r="B524" s="1138"/>
      <c r="GG524" s="1138" t="s">
        <v>1349</v>
      </c>
      <c r="GH524" s="1138" t="s">
        <v>1349</v>
      </c>
      <c r="GI524" s="1138" t="s">
        <v>1349</v>
      </c>
      <c r="GJ524" s="1138" t="s">
        <v>1349</v>
      </c>
      <c r="GK524" s="1138" t="s">
        <v>1349</v>
      </c>
      <c r="GL524" s="1138" t="s">
        <v>1349</v>
      </c>
      <c r="GM524" s="1138" t="s">
        <v>1349</v>
      </c>
      <c r="GN524" s="1138" t="s">
        <v>1349</v>
      </c>
      <c r="GO524" s="1138" t="s">
        <v>1349</v>
      </c>
      <c r="GP524" s="1138" t="s">
        <v>1349</v>
      </c>
      <c r="GQ524" s="1138" t="s">
        <v>1349</v>
      </c>
      <c r="GR524" s="1138" t="s">
        <v>1349</v>
      </c>
      <c r="GS524" s="1138" t="s">
        <v>1349</v>
      </c>
      <c r="GT524" s="1138" t="s">
        <v>1349</v>
      </c>
      <c r="GU524" s="1138" t="s">
        <v>1349</v>
      </c>
      <c r="GV524" s="1138" t="s">
        <v>1349</v>
      </c>
    </row>
    <row r="525" spans="1:204" x14ac:dyDescent="0.2">
      <c r="A525" s="1138"/>
      <c r="B525" s="1138"/>
      <c r="GG525" s="1138" t="s">
        <v>1349</v>
      </c>
      <c r="GH525" s="1138" t="s">
        <v>1349</v>
      </c>
      <c r="GI525" s="1138" t="s">
        <v>1349</v>
      </c>
      <c r="GJ525" s="1138" t="s">
        <v>1349</v>
      </c>
      <c r="GK525" s="1138" t="s">
        <v>1349</v>
      </c>
      <c r="GL525" s="1138" t="s">
        <v>1349</v>
      </c>
      <c r="GM525" s="1138" t="s">
        <v>1349</v>
      </c>
      <c r="GN525" s="1138" t="s">
        <v>1349</v>
      </c>
      <c r="GO525" s="1138" t="s">
        <v>1349</v>
      </c>
      <c r="GP525" s="1138" t="s">
        <v>1349</v>
      </c>
      <c r="GQ525" s="1138" t="s">
        <v>1349</v>
      </c>
      <c r="GR525" s="1138" t="s">
        <v>1349</v>
      </c>
      <c r="GS525" s="1138" t="s">
        <v>1349</v>
      </c>
      <c r="GT525" s="1138" t="s">
        <v>1349</v>
      </c>
      <c r="GU525" s="1138" t="s">
        <v>1349</v>
      </c>
      <c r="GV525" s="1138" t="s">
        <v>1349</v>
      </c>
    </row>
    <row r="526" spans="1:204" x14ac:dyDescent="0.2">
      <c r="A526" s="1138"/>
      <c r="B526" s="1138"/>
      <c r="GG526" s="1138" t="s">
        <v>1349</v>
      </c>
      <c r="GH526" s="1138" t="s">
        <v>1349</v>
      </c>
      <c r="GI526" s="1138" t="s">
        <v>1349</v>
      </c>
      <c r="GJ526" s="1138" t="s">
        <v>1349</v>
      </c>
      <c r="GK526" s="1138" t="s">
        <v>1349</v>
      </c>
      <c r="GL526" s="1138" t="s">
        <v>1349</v>
      </c>
      <c r="GM526" s="1138" t="s">
        <v>1349</v>
      </c>
      <c r="GN526" s="1138" t="s">
        <v>1349</v>
      </c>
      <c r="GO526" s="1138" t="s">
        <v>1349</v>
      </c>
      <c r="GP526" s="1138" t="s">
        <v>1349</v>
      </c>
      <c r="GQ526" s="1138" t="s">
        <v>1349</v>
      </c>
      <c r="GR526" s="1138" t="s">
        <v>1349</v>
      </c>
      <c r="GS526" s="1138" t="s">
        <v>1349</v>
      </c>
      <c r="GT526" s="1138" t="s">
        <v>1349</v>
      </c>
      <c r="GU526" s="1138" t="s">
        <v>1349</v>
      </c>
      <c r="GV526" s="1138" t="s">
        <v>1349</v>
      </c>
    </row>
    <row r="527" spans="1:204" x14ac:dyDescent="0.2">
      <c r="A527" s="1138"/>
      <c r="B527" s="1138"/>
      <c r="GG527" s="1138" t="s">
        <v>1349</v>
      </c>
      <c r="GH527" s="1138" t="s">
        <v>1349</v>
      </c>
      <c r="GI527" s="1138" t="s">
        <v>1349</v>
      </c>
      <c r="GJ527" s="1138" t="s">
        <v>1349</v>
      </c>
      <c r="GK527" s="1138" t="s">
        <v>1349</v>
      </c>
      <c r="GL527" s="1138" t="s">
        <v>1349</v>
      </c>
      <c r="GM527" s="1138" t="s">
        <v>1349</v>
      </c>
      <c r="GN527" s="1138" t="s">
        <v>1349</v>
      </c>
      <c r="GO527" s="1138" t="s">
        <v>1349</v>
      </c>
      <c r="GP527" s="1138" t="s">
        <v>1349</v>
      </c>
      <c r="GQ527" s="1138" t="s">
        <v>1349</v>
      </c>
      <c r="GR527" s="1138" t="s">
        <v>1349</v>
      </c>
      <c r="GS527" s="1138" t="s">
        <v>1349</v>
      </c>
      <c r="GT527" s="1138" t="s">
        <v>1349</v>
      </c>
      <c r="GU527" s="1138" t="s">
        <v>1349</v>
      </c>
      <c r="GV527" s="1138" t="s">
        <v>1349</v>
      </c>
    </row>
    <row r="528" spans="1:204" x14ac:dyDescent="0.2">
      <c r="A528" s="1138"/>
      <c r="B528" s="1138"/>
      <c r="GG528" s="1138" t="s">
        <v>1349</v>
      </c>
      <c r="GH528" s="1138" t="s">
        <v>1349</v>
      </c>
      <c r="GI528" s="1138" t="s">
        <v>1349</v>
      </c>
      <c r="GJ528" s="1138" t="s">
        <v>1349</v>
      </c>
      <c r="GK528" s="1138" t="s">
        <v>1349</v>
      </c>
      <c r="GL528" s="1138" t="s">
        <v>1349</v>
      </c>
      <c r="GM528" s="1138" t="s">
        <v>1349</v>
      </c>
      <c r="GN528" s="1138" t="s">
        <v>1349</v>
      </c>
      <c r="GO528" s="1138" t="s">
        <v>1349</v>
      </c>
      <c r="GP528" s="1138" t="s">
        <v>1349</v>
      </c>
      <c r="GQ528" s="1138" t="s">
        <v>1349</v>
      </c>
      <c r="GR528" s="1138" t="s">
        <v>1349</v>
      </c>
      <c r="GS528" s="1138" t="s">
        <v>1349</v>
      </c>
      <c r="GT528" s="1138" t="s">
        <v>1349</v>
      </c>
      <c r="GU528" s="1138" t="s">
        <v>1349</v>
      </c>
      <c r="GV528" s="1138" t="s">
        <v>1349</v>
      </c>
    </row>
    <row r="529" spans="1:204" x14ac:dyDescent="0.2">
      <c r="A529" s="1138"/>
      <c r="B529" s="1138"/>
      <c r="GG529" s="1138" t="s">
        <v>1349</v>
      </c>
      <c r="GH529" s="1138" t="s">
        <v>1349</v>
      </c>
      <c r="GI529" s="1138" t="s">
        <v>1349</v>
      </c>
      <c r="GJ529" s="1138" t="s">
        <v>1349</v>
      </c>
      <c r="GK529" s="1138" t="s">
        <v>1349</v>
      </c>
      <c r="GL529" s="1138" t="s">
        <v>1349</v>
      </c>
      <c r="GM529" s="1138" t="s">
        <v>1349</v>
      </c>
      <c r="GN529" s="1138" t="s">
        <v>1349</v>
      </c>
      <c r="GO529" s="1138" t="s">
        <v>1349</v>
      </c>
      <c r="GP529" s="1138" t="s">
        <v>1349</v>
      </c>
      <c r="GQ529" s="1138" t="s">
        <v>1349</v>
      </c>
      <c r="GR529" s="1138" t="s">
        <v>1349</v>
      </c>
      <c r="GS529" s="1138" t="s">
        <v>1349</v>
      </c>
      <c r="GT529" s="1138" t="s">
        <v>1349</v>
      </c>
      <c r="GU529" s="1138" t="s">
        <v>1349</v>
      </c>
      <c r="GV529" s="1138" t="s">
        <v>1349</v>
      </c>
    </row>
    <row r="530" spans="1:204" x14ac:dyDescent="0.2">
      <c r="A530" s="1138"/>
      <c r="B530" s="1138"/>
      <c r="GG530" s="1138" t="s">
        <v>1349</v>
      </c>
      <c r="GH530" s="1138" t="s">
        <v>1349</v>
      </c>
      <c r="GI530" s="1138" t="s">
        <v>1349</v>
      </c>
      <c r="GJ530" s="1138" t="s">
        <v>1349</v>
      </c>
      <c r="GK530" s="1138" t="s">
        <v>1349</v>
      </c>
      <c r="GL530" s="1138" t="s">
        <v>1349</v>
      </c>
      <c r="GM530" s="1138" t="s">
        <v>1349</v>
      </c>
      <c r="GN530" s="1138" t="s">
        <v>1349</v>
      </c>
      <c r="GO530" s="1138" t="s">
        <v>1349</v>
      </c>
      <c r="GP530" s="1138" t="s">
        <v>1349</v>
      </c>
      <c r="GQ530" s="1138" t="s">
        <v>1349</v>
      </c>
      <c r="GR530" s="1138" t="s">
        <v>1349</v>
      </c>
      <c r="GS530" s="1138" t="s">
        <v>1349</v>
      </c>
      <c r="GT530" s="1138" t="s">
        <v>1349</v>
      </c>
      <c r="GU530" s="1138" t="s">
        <v>1349</v>
      </c>
      <c r="GV530" s="1138" t="s">
        <v>1349</v>
      </c>
    </row>
    <row r="531" spans="1:204" x14ac:dyDescent="0.2">
      <c r="A531" s="1138"/>
      <c r="B531" s="1138"/>
      <c r="GG531" s="1138" t="s">
        <v>1349</v>
      </c>
      <c r="GH531" s="1138" t="s">
        <v>1349</v>
      </c>
      <c r="GI531" s="1138" t="s">
        <v>1349</v>
      </c>
      <c r="GJ531" s="1138" t="s">
        <v>1349</v>
      </c>
      <c r="GK531" s="1138" t="s">
        <v>1349</v>
      </c>
      <c r="GL531" s="1138" t="s">
        <v>1349</v>
      </c>
      <c r="GM531" s="1138" t="s">
        <v>1349</v>
      </c>
      <c r="GN531" s="1138" t="s">
        <v>1349</v>
      </c>
      <c r="GO531" s="1138" t="s">
        <v>1349</v>
      </c>
      <c r="GP531" s="1138" t="s">
        <v>1349</v>
      </c>
      <c r="GQ531" s="1138" t="s">
        <v>1349</v>
      </c>
      <c r="GR531" s="1138" t="s">
        <v>1349</v>
      </c>
      <c r="GS531" s="1138" t="s">
        <v>1349</v>
      </c>
      <c r="GT531" s="1138" t="s">
        <v>1349</v>
      </c>
      <c r="GU531" s="1138" t="s">
        <v>1349</v>
      </c>
      <c r="GV531" s="1138" t="s">
        <v>1349</v>
      </c>
    </row>
    <row r="532" spans="1:204" x14ac:dyDescent="0.2">
      <c r="A532" s="1138"/>
      <c r="B532" s="1138"/>
      <c r="GG532" s="1138" t="s">
        <v>1349</v>
      </c>
      <c r="GH532" s="1138" t="s">
        <v>1349</v>
      </c>
      <c r="GI532" s="1138" t="s">
        <v>1349</v>
      </c>
      <c r="GJ532" s="1138" t="s">
        <v>1349</v>
      </c>
      <c r="GK532" s="1138" t="s">
        <v>1349</v>
      </c>
      <c r="GL532" s="1138" t="s">
        <v>1349</v>
      </c>
      <c r="GM532" s="1138" t="s">
        <v>1349</v>
      </c>
      <c r="GN532" s="1138" t="s">
        <v>1349</v>
      </c>
      <c r="GO532" s="1138" t="s">
        <v>1349</v>
      </c>
      <c r="GP532" s="1138" t="s">
        <v>1349</v>
      </c>
      <c r="GQ532" s="1138" t="s">
        <v>1349</v>
      </c>
      <c r="GR532" s="1138" t="s">
        <v>1349</v>
      </c>
      <c r="GS532" s="1138" t="s">
        <v>1349</v>
      </c>
      <c r="GT532" s="1138" t="s">
        <v>1349</v>
      </c>
      <c r="GU532" s="1138" t="s">
        <v>1349</v>
      </c>
      <c r="GV532" s="1138" t="s">
        <v>1349</v>
      </c>
    </row>
    <row r="533" spans="1:204" x14ac:dyDescent="0.2">
      <c r="A533" s="1138"/>
      <c r="B533" s="1138"/>
      <c r="GG533" s="1138" t="s">
        <v>1349</v>
      </c>
      <c r="GH533" s="1138" t="s">
        <v>1349</v>
      </c>
      <c r="GI533" s="1138" t="s">
        <v>1349</v>
      </c>
      <c r="GJ533" s="1138" t="s">
        <v>1349</v>
      </c>
      <c r="GK533" s="1138" t="s">
        <v>1349</v>
      </c>
      <c r="GL533" s="1138" t="s">
        <v>1349</v>
      </c>
      <c r="GM533" s="1138" t="s">
        <v>1349</v>
      </c>
      <c r="GN533" s="1138" t="s">
        <v>1349</v>
      </c>
      <c r="GO533" s="1138" t="s">
        <v>1349</v>
      </c>
      <c r="GP533" s="1138" t="s">
        <v>1349</v>
      </c>
      <c r="GQ533" s="1138" t="s">
        <v>1349</v>
      </c>
      <c r="GR533" s="1138" t="s">
        <v>1349</v>
      </c>
      <c r="GS533" s="1138" t="s">
        <v>1349</v>
      </c>
      <c r="GT533" s="1138" t="s">
        <v>1349</v>
      </c>
      <c r="GU533" s="1138" t="s">
        <v>1349</v>
      </c>
      <c r="GV533" s="1138" t="s">
        <v>1349</v>
      </c>
    </row>
    <row r="534" spans="1:204" x14ac:dyDescent="0.2">
      <c r="A534" s="1138"/>
      <c r="B534" s="1138"/>
      <c r="GG534" s="1138" t="s">
        <v>1349</v>
      </c>
      <c r="GH534" s="1138" t="s">
        <v>1349</v>
      </c>
      <c r="GI534" s="1138" t="s">
        <v>1349</v>
      </c>
      <c r="GJ534" s="1138" t="s">
        <v>1349</v>
      </c>
      <c r="GK534" s="1138" t="s">
        <v>1349</v>
      </c>
      <c r="GL534" s="1138" t="s">
        <v>1349</v>
      </c>
      <c r="GM534" s="1138" t="s">
        <v>1349</v>
      </c>
      <c r="GN534" s="1138" t="s">
        <v>1349</v>
      </c>
      <c r="GO534" s="1138" t="s">
        <v>1349</v>
      </c>
      <c r="GP534" s="1138" t="s">
        <v>1349</v>
      </c>
      <c r="GQ534" s="1138" t="s">
        <v>1349</v>
      </c>
      <c r="GR534" s="1138" t="s">
        <v>1349</v>
      </c>
      <c r="GS534" s="1138" t="s">
        <v>1349</v>
      </c>
      <c r="GT534" s="1138" t="s">
        <v>1349</v>
      </c>
      <c r="GU534" s="1138" t="s">
        <v>1349</v>
      </c>
      <c r="GV534" s="1138" t="s">
        <v>1349</v>
      </c>
    </row>
    <row r="535" spans="1:204" x14ac:dyDescent="0.2">
      <c r="A535" s="1138"/>
      <c r="B535" s="1138"/>
      <c r="GG535" s="1138" t="s">
        <v>1349</v>
      </c>
      <c r="GH535" s="1138" t="s">
        <v>1349</v>
      </c>
      <c r="GI535" s="1138" t="s">
        <v>1349</v>
      </c>
      <c r="GJ535" s="1138" t="s">
        <v>1349</v>
      </c>
      <c r="GK535" s="1138" t="s">
        <v>1349</v>
      </c>
      <c r="GL535" s="1138" t="s">
        <v>1349</v>
      </c>
      <c r="GM535" s="1138" t="s">
        <v>1349</v>
      </c>
      <c r="GN535" s="1138" t="s">
        <v>1349</v>
      </c>
      <c r="GO535" s="1138" t="s">
        <v>1349</v>
      </c>
      <c r="GP535" s="1138" t="s">
        <v>1349</v>
      </c>
      <c r="GQ535" s="1138" t="s">
        <v>1349</v>
      </c>
      <c r="GR535" s="1138" t="s">
        <v>1349</v>
      </c>
      <c r="GS535" s="1138" t="s">
        <v>1349</v>
      </c>
      <c r="GT535" s="1138" t="s">
        <v>1349</v>
      </c>
      <c r="GU535" s="1138" t="s">
        <v>1349</v>
      </c>
      <c r="GV535" s="1138" t="s">
        <v>1349</v>
      </c>
    </row>
    <row r="536" spans="1:204" x14ac:dyDescent="0.2">
      <c r="A536" s="1138"/>
      <c r="B536" s="1138"/>
      <c r="GG536" s="1138" t="s">
        <v>1349</v>
      </c>
      <c r="GH536" s="1138" t="s">
        <v>1349</v>
      </c>
      <c r="GI536" s="1138" t="s">
        <v>1349</v>
      </c>
      <c r="GJ536" s="1138" t="s">
        <v>1349</v>
      </c>
      <c r="GK536" s="1138" t="s">
        <v>1349</v>
      </c>
      <c r="GL536" s="1138" t="s">
        <v>1349</v>
      </c>
      <c r="GM536" s="1138" t="s">
        <v>1349</v>
      </c>
      <c r="GN536" s="1138" t="s">
        <v>1349</v>
      </c>
      <c r="GO536" s="1138" t="s">
        <v>1349</v>
      </c>
      <c r="GP536" s="1138" t="s">
        <v>1349</v>
      </c>
      <c r="GQ536" s="1138" t="s">
        <v>1349</v>
      </c>
      <c r="GR536" s="1138" t="s">
        <v>1349</v>
      </c>
      <c r="GS536" s="1138" t="s">
        <v>1349</v>
      </c>
      <c r="GT536" s="1138" t="s">
        <v>1349</v>
      </c>
      <c r="GU536" s="1138" t="s">
        <v>1349</v>
      </c>
      <c r="GV536" s="1138" t="s">
        <v>1349</v>
      </c>
    </row>
    <row r="537" spans="1:204" x14ac:dyDescent="0.2">
      <c r="A537" s="1138"/>
      <c r="B537" s="1138"/>
      <c r="GG537" s="1138" t="s">
        <v>1349</v>
      </c>
      <c r="GH537" s="1138" t="s">
        <v>1349</v>
      </c>
      <c r="GI537" s="1138" t="s">
        <v>1349</v>
      </c>
      <c r="GJ537" s="1138" t="s">
        <v>1349</v>
      </c>
      <c r="GK537" s="1138" t="s">
        <v>1349</v>
      </c>
      <c r="GL537" s="1138" t="s">
        <v>1349</v>
      </c>
      <c r="GM537" s="1138" t="s">
        <v>1349</v>
      </c>
      <c r="GN537" s="1138" t="s">
        <v>1349</v>
      </c>
      <c r="GO537" s="1138" t="s">
        <v>1349</v>
      </c>
      <c r="GP537" s="1138" t="s">
        <v>1349</v>
      </c>
      <c r="GQ537" s="1138" t="s">
        <v>1349</v>
      </c>
      <c r="GR537" s="1138" t="s">
        <v>1349</v>
      </c>
      <c r="GS537" s="1138" t="s">
        <v>1349</v>
      </c>
      <c r="GT537" s="1138" t="s">
        <v>1349</v>
      </c>
      <c r="GU537" s="1138" t="s">
        <v>1349</v>
      </c>
      <c r="GV537" s="1138" t="s">
        <v>1349</v>
      </c>
    </row>
    <row r="538" spans="1:204" x14ac:dyDescent="0.2">
      <c r="A538" s="1138"/>
      <c r="B538" s="1138"/>
      <c r="GG538" s="1138" t="s">
        <v>1349</v>
      </c>
      <c r="GH538" s="1138" t="s">
        <v>1349</v>
      </c>
      <c r="GI538" s="1138" t="s">
        <v>1349</v>
      </c>
      <c r="GJ538" s="1138" t="s">
        <v>1349</v>
      </c>
      <c r="GK538" s="1138" t="s">
        <v>1349</v>
      </c>
      <c r="GL538" s="1138" t="s">
        <v>1349</v>
      </c>
      <c r="GM538" s="1138" t="s">
        <v>1349</v>
      </c>
      <c r="GN538" s="1138" t="s">
        <v>1349</v>
      </c>
      <c r="GO538" s="1138" t="s">
        <v>1349</v>
      </c>
      <c r="GP538" s="1138" t="s">
        <v>1349</v>
      </c>
      <c r="GQ538" s="1138" t="s">
        <v>1349</v>
      </c>
      <c r="GR538" s="1138" t="s">
        <v>1349</v>
      </c>
      <c r="GS538" s="1138" t="s">
        <v>1349</v>
      </c>
      <c r="GT538" s="1138" t="s">
        <v>1349</v>
      </c>
      <c r="GU538" s="1138" t="s">
        <v>1349</v>
      </c>
      <c r="GV538" s="1138" t="s">
        <v>1349</v>
      </c>
    </row>
    <row r="539" spans="1:204" x14ac:dyDescent="0.2">
      <c r="A539" s="1138"/>
      <c r="B539" s="1138"/>
      <c r="GG539" s="1138" t="s">
        <v>1349</v>
      </c>
      <c r="GH539" s="1138" t="s">
        <v>1349</v>
      </c>
      <c r="GI539" s="1138" t="s">
        <v>1349</v>
      </c>
      <c r="GJ539" s="1138" t="s">
        <v>1349</v>
      </c>
      <c r="GK539" s="1138" t="s">
        <v>1349</v>
      </c>
      <c r="GL539" s="1138" t="s">
        <v>1349</v>
      </c>
      <c r="GM539" s="1138" t="s">
        <v>1349</v>
      </c>
      <c r="GN539" s="1138" t="s">
        <v>1349</v>
      </c>
      <c r="GO539" s="1138" t="s">
        <v>1349</v>
      </c>
      <c r="GP539" s="1138" t="s">
        <v>1349</v>
      </c>
      <c r="GQ539" s="1138" t="s">
        <v>1349</v>
      </c>
      <c r="GR539" s="1138" t="s">
        <v>1349</v>
      </c>
      <c r="GS539" s="1138" t="s">
        <v>1349</v>
      </c>
      <c r="GT539" s="1138" t="s">
        <v>1349</v>
      </c>
      <c r="GU539" s="1138" t="s">
        <v>1349</v>
      </c>
      <c r="GV539" s="1138" t="s">
        <v>1349</v>
      </c>
    </row>
    <row r="540" spans="1:204" x14ac:dyDescent="0.2">
      <c r="A540" s="1138"/>
      <c r="B540" s="1138"/>
      <c r="GG540" s="1138" t="s">
        <v>1349</v>
      </c>
      <c r="GH540" s="1138" t="s">
        <v>1349</v>
      </c>
      <c r="GI540" s="1138" t="s">
        <v>1349</v>
      </c>
      <c r="GJ540" s="1138" t="s">
        <v>1349</v>
      </c>
      <c r="GK540" s="1138" t="s">
        <v>1349</v>
      </c>
      <c r="GL540" s="1138" t="s">
        <v>1349</v>
      </c>
      <c r="GM540" s="1138" t="s">
        <v>1349</v>
      </c>
      <c r="GN540" s="1138" t="s">
        <v>1349</v>
      </c>
      <c r="GO540" s="1138" t="s">
        <v>1349</v>
      </c>
      <c r="GP540" s="1138" t="s">
        <v>1349</v>
      </c>
      <c r="GQ540" s="1138" t="s">
        <v>1349</v>
      </c>
      <c r="GR540" s="1138" t="s">
        <v>1349</v>
      </c>
      <c r="GS540" s="1138" t="s">
        <v>1349</v>
      </c>
      <c r="GT540" s="1138" t="s">
        <v>1349</v>
      </c>
      <c r="GU540" s="1138" t="s">
        <v>1349</v>
      </c>
      <c r="GV540" s="1138" t="s">
        <v>1349</v>
      </c>
    </row>
    <row r="541" spans="1:204" x14ac:dyDescent="0.2">
      <c r="A541" s="1138"/>
      <c r="B541" s="1138"/>
      <c r="GG541" s="1138" t="s">
        <v>1349</v>
      </c>
      <c r="GH541" s="1138" t="s">
        <v>1349</v>
      </c>
      <c r="GI541" s="1138" t="s">
        <v>1349</v>
      </c>
      <c r="GJ541" s="1138" t="s">
        <v>1349</v>
      </c>
      <c r="GK541" s="1138" t="s">
        <v>1349</v>
      </c>
      <c r="GL541" s="1138" t="s">
        <v>1349</v>
      </c>
      <c r="GM541" s="1138" t="s">
        <v>1349</v>
      </c>
      <c r="GN541" s="1138" t="s">
        <v>1349</v>
      </c>
      <c r="GO541" s="1138" t="s">
        <v>1349</v>
      </c>
      <c r="GP541" s="1138" t="s">
        <v>1349</v>
      </c>
      <c r="GQ541" s="1138" t="s">
        <v>1349</v>
      </c>
      <c r="GR541" s="1138" t="s">
        <v>1349</v>
      </c>
      <c r="GS541" s="1138" t="s">
        <v>1349</v>
      </c>
      <c r="GT541" s="1138" t="s">
        <v>1349</v>
      </c>
      <c r="GU541" s="1138" t="s">
        <v>1349</v>
      </c>
      <c r="GV541" s="1138" t="s">
        <v>1349</v>
      </c>
    </row>
    <row r="542" spans="1:204" x14ac:dyDescent="0.2">
      <c r="A542" s="1138"/>
      <c r="B542" s="1138"/>
      <c r="GG542" s="1138" t="s">
        <v>1349</v>
      </c>
      <c r="GH542" s="1138" t="s">
        <v>1349</v>
      </c>
      <c r="GI542" s="1138" t="s">
        <v>1349</v>
      </c>
      <c r="GJ542" s="1138" t="s">
        <v>1349</v>
      </c>
      <c r="GK542" s="1138" t="s">
        <v>1349</v>
      </c>
      <c r="GL542" s="1138" t="s">
        <v>1349</v>
      </c>
      <c r="GM542" s="1138" t="s">
        <v>1349</v>
      </c>
      <c r="GN542" s="1138" t="s">
        <v>1349</v>
      </c>
      <c r="GO542" s="1138" t="s">
        <v>1349</v>
      </c>
      <c r="GP542" s="1138" t="s">
        <v>1349</v>
      </c>
      <c r="GQ542" s="1138" t="s">
        <v>1349</v>
      </c>
      <c r="GR542" s="1138" t="s">
        <v>1349</v>
      </c>
      <c r="GS542" s="1138" t="s">
        <v>1349</v>
      </c>
      <c r="GT542" s="1138" t="s">
        <v>1349</v>
      </c>
      <c r="GU542" s="1138" t="s">
        <v>1349</v>
      </c>
      <c r="GV542" s="1138" t="s">
        <v>1349</v>
      </c>
    </row>
    <row r="543" spans="1:204" x14ac:dyDescent="0.2">
      <c r="A543" s="1138"/>
      <c r="B543" s="1138"/>
      <c r="GG543" s="1138" t="s">
        <v>1349</v>
      </c>
      <c r="GH543" s="1138" t="s">
        <v>1349</v>
      </c>
      <c r="GI543" s="1138" t="s">
        <v>1349</v>
      </c>
      <c r="GJ543" s="1138" t="s">
        <v>1349</v>
      </c>
      <c r="GK543" s="1138" t="s">
        <v>1349</v>
      </c>
      <c r="GL543" s="1138" t="s">
        <v>1349</v>
      </c>
      <c r="GM543" s="1138" t="s">
        <v>1349</v>
      </c>
      <c r="GN543" s="1138" t="s">
        <v>1349</v>
      </c>
      <c r="GO543" s="1138" t="s">
        <v>1349</v>
      </c>
      <c r="GP543" s="1138" t="s">
        <v>1349</v>
      </c>
      <c r="GQ543" s="1138" t="s">
        <v>1349</v>
      </c>
      <c r="GR543" s="1138" t="s">
        <v>1349</v>
      </c>
      <c r="GS543" s="1138" t="s">
        <v>1349</v>
      </c>
      <c r="GT543" s="1138" t="s">
        <v>1349</v>
      </c>
      <c r="GU543" s="1138" t="s">
        <v>1349</v>
      </c>
      <c r="GV543" s="1138" t="s">
        <v>1349</v>
      </c>
    </row>
    <row r="544" spans="1:204" x14ac:dyDescent="0.2">
      <c r="A544" s="1138"/>
      <c r="B544" s="1138"/>
      <c r="GG544" s="1138" t="s">
        <v>1349</v>
      </c>
      <c r="GH544" s="1138" t="s">
        <v>1349</v>
      </c>
      <c r="GI544" s="1138" t="s">
        <v>1349</v>
      </c>
      <c r="GJ544" s="1138" t="s">
        <v>1349</v>
      </c>
      <c r="GK544" s="1138" t="s">
        <v>1349</v>
      </c>
      <c r="GL544" s="1138" t="s">
        <v>1349</v>
      </c>
      <c r="GM544" s="1138" t="s">
        <v>1349</v>
      </c>
      <c r="GN544" s="1138" t="s">
        <v>1349</v>
      </c>
      <c r="GO544" s="1138" t="s">
        <v>1349</v>
      </c>
      <c r="GP544" s="1138" t="s">
        <v>1349</v>
      </c>
      <c r="GQ544" s="1138" t="s">
        <v>1349</v>
      </c>
      <c r="GR544" s="1138" t="s">
        <v>1349</v>
      </c>
      <c r="GS544" s="1138" t="s">
        <v>1349</v>
      </c>
      <c r="GT544" s="1138" t="s">
        <v>1349</v>
      </c>
      <c r="GU544" s="1138" t="s">
        <v>1349</v>
      </c>
      <c r="GV544" s="1138" t="s">
        <v>1349</v>
      </c>
    </row>
    <row r="545" spans="1:204" x14ac:dyDescent="0.2">
      <c r="A545" s="1138"/>
      <c r="B545" s="1138"/>
      <c r="GG545" s="1138" t="s">
        <v>1349</v>
      </c>
      <c r="GH545" s="1138" t="s">
        <v>1349</v>
      </c>
      <c r="GI545" s="1138" t="s">
        <v>1349</v>
      </c>
      <c r="GJ545" s="1138" t="s">
        <v>1349</v>
      </c>
      <c r="GK545" s="1138" t="s">
        <v>1349</v>
      </c>
      <c r="GL545" s="1138" t="s">
        <v>1349</v>
      </c>
      <c r="GM545" s="1138" t="s">
        <v>1349</v>
      </c>
      <c r="GN545" s="1138" t="s">
        <v>1349</v>
      </c>
      <c r="GO545" s="1138" t="s">
        <v>1349</v>
      </c>
      <c r="GP545" s="1138" t="s">
        <v>1349</v>
      </c>
      <c r="GQ545" s="1138" t="s">
        <v>1349</v>
      </c>
      <c r="GR545" s="1138" t="s">
        <v>1349</v>
      </c>
      <c r="GS545" s="1138" t="s">
        <v>1349</v>
      </c>
      <c r="GT545" s="1138" t="s">
        <v>1349</v>
      </c>
      <c r="GU545" s="1138" t="s">
        <v>1349</v>
      </c>
      <c r="GV545" s="1138" t="s">
        <v>1349</v>
      </c>
    </row>
    <row r="546" spans="1:204" x14ac:dyDescent="0.2">
      <c r="A546" s="1138"/>
      <c r="B546" s="1138"/>
      <c r="GG546" s="1138" t="s">
        <v>1349</v>
      </c>
      <c r="GH546" s="1138" t="s">
        <v>1349</v>
      </c>
      <c r="GI546" s="1138" t="s">
        <v>1349</v>
      </c>
      <c r="GJ546" s="1138" t="s">
        <v>1349</v>
      </c>
      <c r="GK546" s="1138" t="s">
        <v>1349</v>
      </c>
      <c r="GL546" s="1138" t="s">
        <v>1349</v>
      </c>
      <c r="GM546" s="1138" t="s">
        <v>1349</v>
      </c>
      <c r="GN546" s="1138" t="s">
        <v>1349</v>
      </c>
      <c r="GO546" s="1138" t="s">
        <v>1349</v>
      </c>
      <c r="GP546" s="1138" t="s">
        <v>1349</v>
      </c>
      <c r="GQ546" s="1138" t="s">
        <v>1349</v>
      </c>
      <c r="GR546" s="1138" t="s">
        <v>1349</v>
      </c>
      <c r="GS546" s="1138" t="s">
        <v>1349</v>
      </c>
      <c r="GT546" s="1138" t="s">
        <v>1349</v>
      </c>
      <c r="GU546" s="1138" t="s">
        <v>1349</v>
      </c>
      <c r="GV546" s="1138" t="s">
        <v>1349</v>
      </c>
    </row>
    <row r="547" spans="1:204" x14ac:dyDescent="0.2">
      <c r="A547" s="1138"/>
      <c r="B547" s="1138"/>
      <c r="GG547" s="1138" t="s">
        <v>1349</v>
      </c>
      <c r="GH547" s="1138" t="s">
        <v>1349</v>
      </c>
      <c r="GI547" s="1138" t="s">
        <v>1349</v>
      </c>
      <c r="GJ547" s="1138" t="s">
        <v>1349</v>
      </c>
      <c r="GK547" s="1138" t="s">
        <v>1349</v>
      </c>
      <c r="GL547" s="1138" t="s">
        <v>1349</v>
      </c>
      <c r="GM547" s="1138" t="s">
        <v>1349</v>
      </c>
      <c r="GN547" s="1138" t="s">
        <v>1349</v>
      </c>
      <c r="GO547" s="1138" t="s">
        <v>1349</v>
      </c>
      <c r="GP547" s="1138" t="s">
        <v>1349</v>
      </c>
      <c r="GQ547" s="1138" t="s">
        <v>1349</v>
      </c>
      <c r="GR547" s="1138" t="s">
        <v>1349</v>
      </c>
      <c r="GS547" s="1138" t="s">
        <v>1349</v>
      </c>
      <c r="GT547" s="1138" t="s">
        <v>1349</v>
      </c>
      <c r="GU547" s="1138" t="s">
        <v>1349</v>
      </c>
      <c r="GV547" s="1138" t="s">
        <v>1349</v>
      </c>
    </row>
    <row r="548" spans="1:204" x14ac:dyDescent="0.2">
      <c r="A548" s="1138"/>
      <c r="B548" s="1138"/>
      <c r="GG548" s="1138" t="s">
        <v>1349</v>
      </c>
      <c r="GH548" s="1138" t="s">
        <v>1349</v>
      </c>
      <c r="GI548" s="1138" t="s">
        <v>1349</v>
      </c>
      <c r="GJ548" s="1138" t="s">
        <v>1349</v>
      </c>
      <c r="GK548" s="1138" t="s">
        <v>1349</v>
      </c>
      <c r="GL548" s="1138" t="s">
        <v>1349</v>
      </c>
      <c r="GM548" s="1138" t="s">
        <v>1349</v>
      </c>
      <c r="GN548" s="1138" t="s">
        <v>1349</v>
      </c>
      <c r="GO548" s="1138" t="s">
        <v>1349</v>
      </c>
      <c r="GP548" s="1138" t="s">
        <v>1349</v>
      </c>
      <c r="GQ548" s="1138" t="s">
        <v>1349</v>
      </c>
      <c r="GR548" s="1138" t="s">
        <v>1349</v>
      </c>
      <c r="GS548" s="1138" t="s">
        <v>1349</v>
      </c>
      <c r="GT548" s="1138" t="s">
        <v>1349</v>
      </c>
      <c r="GU548" s="1138" t="s">
        <v>1349</v>
      </c>
      <c r="GV548" s="1138" t="s">
        <v>1349</v>
      </c>
    </row>
    <row r="549" spans="1:204" x14ac:dyDescent="0.2">
      <c r="A549" s="1138"/>
      <c r="B549" s="1138"/>
      <c r="GG549" s="1138" t="s">
        <v>1349</v>
      </c>
      <c r="GH549" s="1138" t="s">
        <v>1349</v>
      </c>
      <c r="GI549" s="1138" t="s">
        <v>1349</v>
      </c>
      <c r="GJ549" s="1138" t="s">
        <v>1349</v>
      </c>
      <c r="GK549" s="1138" t="s">
        <v>1349</v>
      </c>
      <c r="GL549" s="1138" t="s">
        <v>1349</v>
      </c>
      <c r="GM549" s="1138" t="s">
        <v>1349</v>
      </c>
      <c r="GN549" s="1138" t="s">
        <v>1349</v>
      </c>
      <c r="GO549" s="1138" t="s">
        <v>1349</v>
      </c>
      <c r="GP549" s="1138" t="s">
        <v>1349</v>
      </c>
      <c r="GQ549" s="1138" t="s">
        <v>1349</v>
      </c>
      <c r="GR549" s="1138" t="s">
        <v>1349</v>
      </c>
      <c r="GS549" s="1138" t="s">
        <v>1349</v>
      </c>
      <c r="GT549" s="1138" t="s">
        <v>1349</v>
      </c>
      <c r="GU549" s="1138" t="s">
        <v>1349</v>
      </c>
      <c r="GV549" s="1138" t="s">
        <v>1349</v>
      </c>
    </row>
    <row r="550" spans="1:204" x14ac:dyDescent="0.2">
      <c r="A550" s="1138"/>
      <c r="B550" s="1138"/>
      <c r="GG550" s="1138" t="s">
        <v>1349</v>
      </c>
      <c r="GH550" s="1138" t="s">
        <v>1349</v>
      </c>
      <c r="GI550" s="1138" t="s">
        <v>1349</v>
      </c>
      <c r="GJ550" s="1138" t="s">
        <v>1349</v>
      </c>
      <c r="GK550" s="1138" t="s">
        <v>1349</v>
      </c>
      <c r="GL550" s="1138" t="s">
        <v>1349</v>
      </c>
      <c r="GM550" s="1138" t="s">
        <v>1349</v>
      </c>
      <c r="GN550" s="1138" t="s">
        <v>1349</v>
      </c>
      <c r="GO550" s="1138" t="s">
        <v>1349</v>
      </c>
      <c r="GP550" s="1138" t="s">
        <v>1349</v>
      </c>
      <c r="GQ550" s="1138" t="s">
        <v>1349</v>
      </c>
      <c r="GR550" s="1138" t="s">
        <v>1349</v>
      </c>
      <c r="GS550" s="1138" t="s">
        <v>1349</v>
      </c>
      <c r="GT550" s="1138" t="s">
        <v>1349</v>
      </c>
      <c r="GU550" s="1138" t="s">
        <v>1349</v>
      </c>
      <c r="GV550" s="1138" t="s">
        <v>1349</v>
      </c>
    </row>
    <row r="551" spans="1:204" x14ac:dyDescent="0.2">
      <c r="A551" s="1138"/>
      <c r="B551" s="1138"/>
      <c r="GG551" s="1138" t="s">
        <v>1349</v>
      </c>
      <c r="GH551" s="1138" t="s">
        <v>1349</v>
      </c>
      <c r="GI551" s="1138" t="s">
        <v>1349</v>
      </c>
      <c r="GJ551" s="1138" t="s">
        <v>1349</v>
      </c>
      <c r="GK551" s="1138" t="s">
        <v>1349</v>
      </c>
      <c r="GL551" s="1138" t="s">
        <v>1349</v>
      </c>
      <c r="GM551" s="1138" t="s">
        <v>1349</v>
      </c>
      <c r="GN551" s="1138" t="s">
        <v>1349</v>
      </c>
      <c r="GO551" s="1138" t="s">
        <v>1349</v>
      </c>
      <c r="GP551" s="1138" t="s">
        <v>1349</v>
      </c>
      <c r="GQ551" s="1138" t="s">
        <v>1349</v>
      </c>
      <c r="GR551" s="1138" t="s">
        <v>1349</v>
      </c>
      <c r="GS551" s="1138" t="s">
        <v>1349</v>
      </c>
      <c r="GT551" s="1138" t="s">
        <v>1349</v>
      </c>
      <c r="GU551" s="1138" t="s">
        <v>1349</v>
      </c>
      <c r="GV551" s="1138" t="s">
        <v>1349</v>
      </c>
    </row>
    <row r="552" spans="1:204" x14ac:dyDescent="0.2">
      <c r="A552" s="1138"/>
      <c r="B552" s="1138"/>
      <c r="GG552" s="1138" t="s">
        <v>1349</v>
      </c>
      <c r="GH552" s="1138" t="s">
        <v>1349</v>
      </c>
      <c r="GI552" s="1138" t="s">
        <v>1349</v>
      </c>
      <c r="GJ552" s="1138" t="s">
        <v>1349</v>
      </c>
      <c r="GK552" s="1138" t="s">
        <v>1349</v>
      </c>
      <c r="GL552" s="1138" t="s">
        <v>1349</v>
      </c>
      <c r="GM552" s="1138" t="s">
        <v>1349</v>
      </c>
      <c r="GN552" s="1138" t="s">
        <v>1349</v>
      </c>
      <c r="GO552" s="1138" t="s">
        <v>1349</v>
      </c>
      <c r="GP552" s="1138" t="s">
        <v>1349</v>
      </c>
      <c r="GQ552" s="1138" t="s">
        <v>1349</v>
      </c>
      <c r="GR552" s="1138" t="s">
        <v>1349</v>
      </c>
      <c r="GS552" s="1138" t="s">
        <v>1349</v>
      </c>
      <c r="GT552" s="1138" t="s">
        <v>1349</v>
      </c>
      <c r="GU552" s="1138" t="s">
        <v>1349</v>
      </c>
      <c r="GV552" s="1138" t="s">
        <v>1349</v>
      </c>
    </row>
    <row r="553" spans="1:204" x14ac:dyDescent="0.2">
      <c r="A553" s="1138"/>
      <c r="B553" s="1138"/>
      <c r="GG553" s="1138" t="s">
        <v>1349</v>
      </c>
      <c r="GH553" s="1138" t="s">
        <v>1349</v>
      </c>
      <c r="GI553" s="1138" t="s">
        <v>1349</v>
      </c>
      <c r="GJ553" s="1138" t="s">
        <v>1349</v>
      </c>
      <c r="GK553" s="1138" t="s">
        <v>1349</v>
      </c>
      <c r="GL553" s="1138" t="s">
        <v>1349</v>
      </c>
      <c r="GM553" s="1138" t="s">
        <v>1349</v>
      </c>
      <c r="GN553" s="1138" t="s">
        <v>1349</v>
      </c>
      <c r="GO553" s="1138" t="s">
        <v>1349</v>
      </c>
      <c r="GP553" s="1138" t="s">
        <v>1349</v>
      </c>
      <c r="GQ553" s="1138" t="s">
        <v>1349</v>
      </c>
      <c r="GR553" s="1138" t="s">
        <v>1349</v>
      </c>
      <c r="GS553" s="1138" t="s">
        <v>1349</v>
      </c>
      <c r="GT553" s="1138" t="s">
        <v>1349</v>
      </c>
      <c r="GU553" s="1138" t="s">
        <v>1349</v>
      </c>
      <c r="GV553" s="1138" t="s">
        <v>1349</v>
      </c>
    </row>
    <row r="554" spans="1:204" x14ac:dyDescent="0.2">
      <c r="A554" s="1138"/>
      <c r="B554" s="1138"/>
      <c r="GG554" s="1138" t="s">
        <v>1349</v>
      </c>
      <c r="GH554" s="1138" t="s">
        <v>1349</v>
      </c>
      <c r="GI554" s="1138" t="s">
        <v>1349</v>
      </c>
      <c r="GJ554" s="1138" t="s">
        <v>1349</v>
      </c>
      <c r="GK554" s="1138" t="s">
        <v>1349</v>
      </c>
      <c r="GL554" s="1138" t="s">
        <v>1349</v>
      </c>
      <c r="GM554" s="1138" t="s">
        <v>1349</v>
      </c>
      <c r="GN554" s="1138" t="s">
        <v>1349</v>
      </c>
      <c r="GO554" s="1138" t="s">
        <v>1349</v>
      </c>
      <c r="GP554" s="1138" t="s">
        <v>1349</v>
      </c>
      <c r="GQ554" s="1138" t="s">
        <v>1349</v>
      </c>
      <c r="GR554" s="1138" t="s">
        <v>1349</v>
      </c>
      <c r="GS554" s="1138" t="s">
        <v>1349</v>
      </c>
      <c r="GT554" s="1138" t="s">
        <v>1349</v>
      </c>
      <c r="GU554" s="1138" t="s">
        <v>1349</v>
      </c>
      <c r="GV554" s="1138" t="s">
        <v>1349</v>
      </c>
    </row>
    <row r="555" spans="1:204" x14ac:dyDescent="0.2">
      <c r="A555" s="1138"/>
      <c r="B555" s="1138"/>
      <c r="GG555" s="1138" t="s">
        <v>1349</v>
      </c>
      <c r="GH555" s="1138" t="s">
        <v>1349</v>
      </c>
      <c r="GI555" s="1138" t="s">
        <v>1349</v>
      </c>
      <c r="GJ555" s="1138" t="s">
        <v>1349</v>
      </c>
      <c r="GK555" s="1138" t="s">
        <v>1349</v>
      </c>
      <c r="GL555" s="1138" t="s">
        <v>1349</v>
      </c>
      <c r="GM555" s="1138" t="s">
        <v>1349</v>
      </c>
      <c r="GN555" s="1138" t="s">
        <v>1349</v>
      </c>
      <c r="GO555" s="1138" t="s">
        <v>1349</v>
      </c>
      <c r="GP555" s="1138" t="s">
        <v>1349</v>
      </c>
      <c r="GQ555" s="1138" t="s">
        <v>1349</v>
      </c>
      <c r="GR555" s="1138" t="s">
        <v>1349</v>
      </c>
      <c r="GS555" s="1138" t="s">
        <v>1349</v>
      </c>
      <c r="GT555" s="1138" t="s">
        <v>1349</v>
      </c>
      <c r="GU555" s="1138" t="s">
        <v>1349</v>
      </c>
      <c r="GV555" s="1138" t="s">
        <v>1349</v>
      </c>
    </row>
    <row r="556" spans="1:204" x14ac:dyDescent="0.2">
      <c r="A556" s="1138"/>
      <c r="B556" s="1138"/>
      <c r="GG556" s="1138" t="s">
        <v>1349</v>
      </c>
      <c r="GH556" s="1138" t="s">
        <v>1349</v>
      </c>
      <c r="GI556" s="1138" t="s">
        <v>1349</v>
      </c>
      <c r="GJ556" s="1138" t="s">
        <v>1349</v>
      </c>
      <c r="GK556" s="1138" t="s">
        <v>1349</v>
      </c>
      <c r="GL556" s="1138" t="s">
        <v>1349</v>
      </c>
      <c r="GM556" s="1138" t="s">
        <v>1349</v>
      </c>
      <c r="GN556" s="1138" t="s">
        <v>1349</v>
      </c>
      <c r="GO556" s="1138" t="s">
        <v>1349</v>
      </c>
      <c r="GP556" s="1138" t="s">
        <v>1349</v>
      </c>
      <c r="GQ556" s="1138" t="s">
        <v>1349</v>
      </c>
      <c r="GR556" s="1138" t="s">
        <v>1349</v>
      </c>
      <c r="GS556" s="1138" t="s">
        <v>1349</v>
      </c>
      <c r="GT556" s="1138" t="s">
        <v>1349</v>
      </c>
      <c r="GU556" s="1138" t="s">
        <v>1349</v>
      </c>
      <c r="GV556" s="1138" t="s">
        <v>1349</v>
      </c>
    </row>
    <row r="557" spans="1:204" x14ac:dyDescent="0.2">
      <c r="A557" s="1138"/>
      <c r="B557" s="1138"/>
      <c r="GG557" s="1138" t="s">
        <v>1349</v>
      </c>
      <c r="GH557" s="1138" t="s">
        <v>1349</v>
      </c>
      <c r="GI557" s="1138" t="s">
        <v>1349</v>
      </c>
      <c r="GJ557" s="1138" t="s">
        <v>1349</v>
      </c>
      <c r="GK557" s="1138" t="s">
        <v>1349</v>
      </c>
      <c r="GL557" s="1138" t="s">
        <v>1349</v>
      </c>
      <c r="GM557" s="1138" t="s">
        <v>1349</v>
      </c>
      <c r="GN557" s="1138" t="s">
        <v>1349</v>
      </c>
      <c r="GO557" s="1138" t="s">
        <v>1349</v>
      </c>
      <c r="GP557" s="1138" t="s">
        <v>1349</v>
      </c>
      <c r="GQ557" s="1138" t="s">
        <v>1349</v>
      </c>
      <c r="GR557" s="1138" t="s">
        <v>1349</v>
      </c>
      <c r="GS557" s="1138" t="s">
        <v>1349</v>
      </c>
      <c r="GT557" s="1138" t="s">
        <v>1349</v>
      </c>
      <c r="GU557" s="1138" t="s">
        <v>1349</v>
      </c>
      <c r="GV557" s="1138" t="s">
        <v>1349</v>
      </c>
    </row>
    <row r="558" spans="1:204" x14ac:dyDescent="0.2">
      <c r="A558" s="1138"/>
      <c r="B558" s="1138"/>
      <c r="GG558" s="1138" t="s">
        <v>1349</v>
      </c>
      <c r="GH558" s="1138" t="s">
        <v>1349</v>
      </c>
      <c r="GI558" s="1138" t="s">
        <v>1349</v>
      </c>
      <c r="GJ558" s="1138" t="s">
        <v>1349</v>
      </c>
      <c r="GK558" s="1138" t="s">
        <v>1349</v>
      </c>
      <c r="GL558" s="1138" t="s">
        <v>1349</v>
      </c>
      <c r="GM558" s="1138" t="s">
        <v>1349</v>
      </c>
      <c r="GN558" s="1138" t="s">
        <v>1349</v>
      </c>
      <c r="GO558" s="1138" t="s">
        <v>1349</v>
      </c>
      <c r="GP558" s="1138" t="s">
        <v>1349</v>
      </c>
      <c r="GQ558" s="1138" t="s">
        <v>1349</v>
      </c>
      <c r="GR558" s="1138" t="s">
        <v>1349</v>
      </c>
      <c r="GS558" s="1138" t="s">
        <v>1349</v>
      </c>
      <c r="GT558" s="1138" t="s">
        <v>1349</v>
      </c>
      <c r="GU558" s="1138" t="s">
        <v>1349</v>
      </c>
      <c r="GV558" s="1138" t="s">
        <v>1349</v>
      </c>
    </row>
    <row r="559" spans="1:204" x14ac:dyDescent="0.2">
      <c r="A559" s="1136"/>
      <c r="B559" s="1137"/>
      <c r="GG559" s="1138" t="s">
        <v>1349</v>
      </c>
      <c r="GH559" s="1138" t="s">
        <v>1349</v>
      </c>
      <c r="GI559" s="1138" t="s">
        <v>1349</v>
      </c>
      <c r="GJ559" s="1138" t="s">
        <v>1349</v>
      </c>
      <c r="GK559" s="1138" t="s">
        <v>1349</v>
      </c>
      <c r="GL559" s="1138" t="s">
        <v>1349</v>
      </c>
      <c r="GM559" s="1138" t="s">
        <v>1349</v>
      </c>
      <c r="GN559" s="1138" t="s">
        <v>1349</v>
      </c>
      <c r="GO559" s="1138" t="s">
        <v>1349</v>
      </c>
      <c r="GP559" s="1138" t="s">
        <v>1349</v>
      </c>
      <c r="GQ559" s="1138" t="s">
        <v>1349</v>
      </c>
      <c r="GR559" s="1138" t="s">
        <v>1349</v>
      </c>
      <c r="GS559" s="1138" t="s">
        <v>1349</v>
      </c>
      <c r="GT559" s="1138" t="s">
        <v>1349</v>
      </c>
      <c r="GU559" s="1138" t="s">
        <v>1349</v>
      </c>
      <c r="GV559" s="1138" t="s">
        <v>1349</v>
      </c>
    </row>
    <row r="560" spans="1:204" x14ac:dyDescent="0.2">
      <c r="A560" s="1136"/>
      <c r="B560" s="1137"/>
      <c r="GG560" s="1138" t="s">
        <v>1349</v>
      </c>
      <c r="GH560" s="1138" t="s">
        <v>1349</v>
      </c>
      <c r="GI560" s="1138" t="s">
        <v>1349</v>
      </c>
      <c r="GJ560" s="1138" t="s">
        <v>1349</v>
      </c>
      <c r="GK560" s="1138" t="s">
        <v>1349</v>
      </c>
      <c r="GL560" s="1138" t="s">
        <v>1349</v>
      </c>
      <c r="GM560" s="1138" t="s">
        <v>1349</v>
      </c>
      <c r="GN560" s="1138" t="s">
        <v>1349</v>
      </c>
      <c r="GO560" s="1138" t="s">
        <v>1349</v>
      </c>
      <c r="GP560" s="1138" t="s">
        <v>1349</v>
      </c>
      <c r="GQ560" s="1138" t="s">
        <v>1349</v>
      </c>
      <c r="GR560" s="1138" t="s">
        <v>1349</v>
      </c>
      <c r="GS560" s="1138" t="s">
        <v>1349</v>
      </c>
      <c r="GT560" s="1138" t="s">
        <v>1349</v>
      </c>
      <c r="GU560" s="1138" t="s">
        <v>1349</v>
      </c>
      <c r="GV560" s="1138" t="s">
        <v>1349</v>
      </c>
    </row>
    <row r="561" spans="1:204" x14ac:dyDescent="0.2">
      <c r="A561" s="1136"/>
      <c r="B561" s="1137"/>
      <c r="GG561" s="1138" t="s">
        <v>1349</v>
      </c>
      <c r="GH561" s="1138" t="s">
        <v>1349</v>
      </c>
      <c r="GI561" s="1138" t="s">
        <v>1349</v>
      </c>
      <c r="GJ561" s="1138" t="s">
        <v>1349</v>
      </c>
      <c r="GK561" s="1138" t="s">
        <v>1349</v>
      </c>
      <c r="GL561" s="1138" t="s">
        <v>1349</v>
      </c>
      <c r="GM561" s="1138" t="s">
        <v>1349</v>
      </c>
      <c r="GN561" s="1138" t="s">
        <v>1349</v>
      </c>
      <c r="GO561" s="1138" t="s">
        <v>1349</v>
      </c>
      <c r="GP561" s="1138" t="s">
        <v>1349</v>
      </c>
      <c r="GQ561" s="1138" t="s">
        <v>1349</v>
      </c>
      <c r="GR561" s="1138" t="s">
        <v>1349</v>
      </c>
      <c r="GS561" s="1138" t="s">
        <v>1349</v>
      </c>
      <c r="GT561" s="1138" t="s">
        <v>1349</v>
      </c>
      <c r="GU561" s="1138" t="s">
        <v>1349</v>
      </c>
      <c r="GV561" s="1138" t="s">
        <v>1349</v>
      </c>
    </row>
    <row r="562" spans="1:204" x14ac:dyDescent="0.2">
      <c r="A562" s="1136"/>
      <c r="B562" s="1137"/>
      <c r="GG562" s="1138" t="s">
        <v>1349</v>
      </c>
      <c r="GH562" s="1138" t="s">
        <v>1349</v>
      </c>
      <c r="GI562" s="1138" t="s">
        <v>1349</v>
      </c>
      <c r="GJ562" s="1138" t="s">
        <v>1349</v>
      </c>
      <c r="GK562" s="1138" t="s">
        <v>1349</v>
      </c>
      <c r="GL562" s="1138" t="s">
        <v>1349</v>
      </c>
      <c r="GM562" s="1138" t="s">
        <v>1349</v>
      </c>
      <c r="GN562" s="1138" t="s">
        <v>1349</v>
      </c>
      <c r="GO562" s="1138" t="s">
        <v>1349</v>
      </c>
      <c r="GP562" s="1138" t="s">
        <v>1349</v>
      </c>
      <c r="GQ562" s="1138" t="s">
        <v>1349</v>
      </c>
      <c r="GR562" s="1138" t="s">
        <v>1349</v>
      </c>
      <c r="GS562" s="1138" t="s">
        <v>1349</v>
      </c>
      <c r="GT562" s="1138" t="s">
        <v>1349</v>
      </c>
      <c r="GU562" s="1138" t="s">
        <v>1349</v>
      </c>
      <c r="GV562" s="1138" t="s">
        <v>1349</v>
      </c>
    </row>
    <row r="563" spans="1:204" x14ac:dyDescent="0.2">
      <c r="A563" s="1136"/>
      <c r="B563" s="1137"/>
      <c r="GG563" s="1138" t="s">
        <v>1349</v>
      </c>
      <c r="GH563" s="1138" t="s">
        <v>1349</v>
      </c>
      <c r="GI563" s="1138" t="s">
        <v>1349</v>
      </c>
      <c r="GJ563" s="1138" t="s">
        <v>1349</v>
      </c>
      <c r="GK563" s="1138" t="s">
        <v>1349</v>
      </c>
      <c r="GL563" s="1138" t="s">
        <v>1349</v>
      </c>
      <c r="GM563" s="1138" t="s">
        <v>1349</v>
      </c>
      <c r="GN563" s="1138" t="s">
        <v>1349</v>
      </c>
      <c r="GO563" s="1138" t="s">
        <v>1349</v>
      </c>
      <c r="GP563" s="1138" t="s">
        <v>1349</v>
      </c>
      <c r="GQ563" s="1138" t="s">
        <v>1349</v>
      </c>
      <c r="GR563" s="1138" t="s">
        <v>1349</v>
      </c>
      <c r="GS563" s="1138" t="s">
        <v>1349</v>
      </c>
      <c r="GT563" s="1138" t="s">
        <v>1349</v>
      </c>
      <c r="GU563" s="1138" t="s">
        <v>1349</v>
      </c>
      <c r="GV563" s="1138" t="s">
        <v>1349</v>
      </c>
    </row>
    <row r="564" spans="1:204" x14ac:dyDescent="0.2">
      <c r="A564" s="1136"/>
      <c r="B564" s="1137"/>
      <c r="GG564" s="1138" t="s">
        <v>1349</v>
      </c>
      <c r="GH564" s="1138" t="s">
        <v>1349</v>
      </c>
      <c r="GI564" s="1138" t="s">
        <v>1349</v>
      </c>
      <c r="GJ564" s="1138" t="s">
        <v>1349</v>
      </c>
      <c r="GK564" s="1138" t="s">
        <v>1349</v>
      </c>
      <c r="GL564" s="1138" t="s">
        <v>1349</v>
      </c>
      <c r="GM564" s="1138" t="s">
        <v>1349</v>
      </c>
      <c r="GN564" s="1138" t="s">
        <v>1349</v>
      </c>
      <c r="GO564" s="1138" t="s">
        <v>1349</v>
      </c>
      <c r="GP564" s="1138" t="s">
        <v>1349</v>
      </c>
      <c r="GQ564" s="1138" t="s">
        <v>1349</v>
      </c>
      <c r="GR564" s="1138" t="s">
        <v>1349</v>
      </c>
      <c r="GS564" s="1138" t="s">
        <v>1349</v>
      </c>
      <c r="GT564" s="1138" t="s">
        <v>1349</v>
      </c>
      <c r="GU564" s="1138" t="s">
        <v>1349</v>
      </c>
      <c r="GV564" s="1138" t="s">
        <v>1349</v>
      </c>
    </row>
    <row r="565" spans="1:204" x14ac:dyDescent="0.2">
      <c r="A565" s="1136"/>
      <c r="B565" s="1137"/>
      <c r="GG565" s="1138" t="s">
        <v>1349</v>
      </c>
      <c r="GH565" s="1138" t="s">
        <v>1349</v>
      </c>
      <c r="GI565" s="1138" t="s">
        <v>1349</v>
      </c>
      <c r="GJ565" s="1138" t="s">
        <v>1349</v>
      </c>
      <c r="GK565" s="1138" t="s">
        <v>1349</v>
      </c>
      <c r="GL565" s="1138" t="s">
        <v>1349</v>
      </c>
      <c r="GM565" s="1138" t="s">
        <v>1349</v>
      </c>
      <c r="GN565" s="1138" t="s">
        <v>1349</v>
      </c>
      <c r="GO565" s="1138" t="s">
        <v>1349</v>
      </c>
      <c r="GP565" s="1138" t="s">
        <v>1349</v>
      </c>
      <c r="GQ565" s="1138" t="s">
        <v>1349</v>
      </c>
      <c r="GR565" s="1138" t="s">
        <v>1349</v>
      </c>
      <c r="GS565" s="1138" t="s">
        <v>1349</v>
      </c>
      <c r="GT565" s="1138" t="s">
        <v>1349</v>
      </c>
      <c r="GU565" s="1138" t="s">
        <v>1349</v>
      </c>
      <c r="GV565" s="1138" t="s">
        <v>1349</v>
      </c>
    </row>
    <row r="566" spans="1:204" x14ac:dyDescent="0.2">
      <c r="A566" s="1136"/>
      <c r="B566" s="1137"/>
      <c r="GG566" s="1138" t="s">
        <v>1349</v>
      </c>
      <c r="GH566" s="1138" t="s">
        <v>1349</v>
      </c>
      <c r="GI566" s="1138" t="s">
        <v>1349</v>
      </c>
      <c r="GJ566" s="1138" t="s">
        <v>1349</v>
      </c>
      <c r="GK566" s="1138" t="s">
        <v>1349</v>
      </c>
      <c r="GL566" s="1138" t="s">
        <v>1349</v>
      </c>
      <c r="GM566" s="1138" t="s">
        <v>1349</v>
      </c>
      <c r="GN566" s="1138" t="s">
        <v>1349</v>
      </c>
      <c r="GO566" s="1138" t="s">
        <v>1349</v>
      </c>
      <c r="GP566" s="1138" t="s">
        <v>1349</v>
      </c>
      <c r="GQ566" s="1138" t="s">
        <v>1349</v>
      </c>
      <c r="GR566" s="1138" t="s">
        <v>1349</v>
      </c>
      <c r="GS566" s="1138" t="s">
        <v>1349</v>
      </c>
      <c r="GT566" s="1138" t="s">
        <v>1349</v>
      </c>
      <c r="GU566" s="1138" t="s">
        <v>1349</v>
      </c>
      <c r="GV566" s="1138" t="s">
        <v>1349</v>
      </c>
    </row>
    <row r="567" spans="1:204" x14ac:dyDescent="0.2">
      <c r="A567" s="1136"/>
      <c r="B567" s="1137"/>
      <c r="GG567" s="1138" t="s">
        <v>1349</v>
      </c>
      <c r="GH567" s="1138" t="s">
        <v>1349</v>
      </c>
      <c r="GI567" s="1138" t="s">
        <v>1349</v>
      </c>
      <c r="GJ567" s="1138" t="s">
        <v>1349</v>
      </c>
      <c r="GK567" s="1138" t="s">
        <v>1349</v>
      </c>
      <c r="GL567" s="1138" t="s">
        <v>1349</v>
      </c>
      <c r="GM567" s="1138" t="s">
        <v>1349</v>
      </c>
      <c r="GN567" s="1138" t="s">
        <v>1349</v>
      </c>
      <c r="GO567" s="1138" t="s">
        <v>1349</v>
      </c>
      <c r="GP567" s="1138" t="s">
        <v>1349</v>
      </c>
      <c r="GQ567" s="1138" t="s">
        <v>1349</v>
      </c>
      <c r="GR567" s="1138" t="s">
        <v>1349</v>
      </c>
      <c r="GS567" s="1138" t="s">
        <v>1349</v>
      </c>
      <c r="GT567" s="1138" t="s">
        <v>1349</v>
      </c>
      <c r="GU567" s="1138" t="s">
        <v>1349</v>
      </c>
      <c r="GV567" s="1138" t="s">
        <v>1349</v>
      </c>
    </row>
    <row r="568" spans="1:204" x14ac:dyDescent="0.2">
      <c r="A568" s="1136"/>
      <c r="B568" s="1137"/>
      <c r="GG568" s="1138" t="s">
        <v>1349</v>
      </c>
      <c r="GH568" s="1138" t="s">
        <v>1349</v>
      </c>
      <c r="GI568" s="1138" t="s">
        <v>1349</v>
      </c>
      <c r="GJ568" s="1138" t="s">
        <v>1349</v>
      </c>
      <c r="GK568" s="1138" t="s">
        <v>1349</v>
      </c>
      <c r="GL568" s="1138" t="s">
        <v>1349</v>
      </c>
      <c r="GM568" s="1138" t="s">
        <v>1349</v>
      </c>
      <c r="GN568" s="1138" t="s">
        <v>1349</v>
      </c>
      <c r="GO568" s="1138" t="s">
        <v>1349</v>
      </c>
      <c r="GP568" s="1138" t="s">
        <v>1349</v>
      </c>
      <c r="GQ568" s="1138" t="s">
        <v>1349</v>
      </c>
      <c r="GR568" s="1138" t="s">
        <v>1349</v>
      </c>
      <c r="GS568" s="1138" t="s">
        <v>1349</v>
      </c>
      <c r="GT568" s="1138" t="s">
        <v>1349</v>
      </c>
      <c r="GU568" s="1138" t="s">
        <v>1349</v>
      </c>
      <c r="GV568" s="1138" t="s">
        <v>1349</v>
      </c>
    </row>
    <row r="569" spans="1:204" x14ac:dyDescent="0.2">
      <c r="A569" s="1136"/>
      <c r="B569" s="1137"/>
      <c r="GG569" s="1138" t="s">
        <v>1349</v>
      </c>
      <c r="GH569" s="1138" t="s">
        <v>1349</v>
      </c>
      <c r="GI569" s="1138" t="s">
        <v>1349</v>
      </c>
      <c r="GJ569" s="1138" t="s">
        <v>1349</v>
      </c>
      <c r="GK569" s="1138" t="s">
        <v>1349</v>
      </c>
      <c r="GL569" s="1138" t="s">
        <v>1349</v>
      </c>
      <c r="GM569" s="1138" t="s">
        <v>1349</v>
      </c>
      <c r="GN569" s="1138" t="s">
        <v>1349</v>
      </c>
      <c r="GO569" s="1138" t="s">
        <v>1349</v>
      </c>
      <c r="GP569" s="1138" t="s">
        <v>1349</v>
      </c>
      <c r="GQ569" s="1138" t="s">
        <v>1349</v>
      </c>
      <c r="GR569" s="1138" t="s">
        <v>1349</v>
      </c>
      <c r="GS569" s="1138" t="s">
        <v>1349</v>
      </c>
      <c r="GT569" s="1138" t="s">
        <v>1349</v>
      </c>
      <c r="GU569" s="1138" t="s">
        <v>1349</v>
      </c>
      <c r="GV569" s="1138" t="s">
        <v>1349</v>
      </c>
    </row>
    <row r="570" spans="1:204" x14ac:dyDescent="0.2">
      <c r="A570" s="1136"/>
      <c r="B570" s="1137"/>
      <c r="GG570" s="1138" t="s">
        <v>1349</v>
      </c>
      <c r="GH570" s="1138" t="s">
        <v>1349</v>
      </c>
      <c r="GI570" s="1138" t="s">
        <v>1349</v>
      </c>
      <c r="GJ570" s="1138" t="s">
        <v>1349</v>
      </c>
      <c r="GK570" s="1138" t="s">
        <v>1349</v>
      </c>
      <c r="GL570" s="1138" t="s">
        <v>1349</v>
      </c>
      <c r="GM570" s="1138" t="s">
        <v>1349</v>
      </c>
      <c r="GN570" s="1138" t="s">
        <v>1349</v>
      </c>
      <c r="GO570" s="1138" t="s">
        <v>1349</v>
      </c>
      <c r="GP570" s="1138" t="s">
        <v>1349</v>
      </c>
      <c r="GQ570" s="1138" t="s">
        <v>1349</v>
      </c>
      <c r="GR570" s="1138" t="s">
        <v>1349</v>
      </c>
      <c r="GS570" s="1138" t="s">
        <v>1349</v>
      </c>
      <c r="GT570" s="1138" t="s">
        <v>1349</v>
      </c>
      <c r="GU570" s="1138" t="s">
        <v>1349</v>
      </c>
      <c r="GV570" s="1138" t="s">
        <v>1349</v>
      </c>
    </row>
    <row r="571" spans="1:204" x14ac:dyDescent="0.2">
      <c r="A571" s="1136"/>
      <c r="B571" s="1137"/>
      <c r="GG571" s="1138" t="s">
        <v>1349</v>
      </c>
      <c r="GH571" s="1138" t="s">
        <v>1349</v>
      </c>
      <c r="GI571" s="1138" t="s">
        <v>1349</v>
      </c>
      <c r="GJ571" s="1138" t="s">
        <v>1349</v>
      </c>
      <c r="GK571" s="1138" t="s">
        <v>1349</v>
      </c>
      <c r="GL571" s="1138" t="s">
        <v>1349</v>
      </c>
      <c r="GM571" s="1138" t="s">
        <v>1349</v>
      </c>
      <c r="GN571" s="1138" t="s">
        <v>1349</v>
      </c>
      <c r="GO571" s="1138" t="s">
        <v>1349</v>
      </c>
      <c r="GP571" s="1138" t="s">
        <v>1349</v>
      </c>
      <c r="GQ571" s="1138" t="s">
        <v>1349</v>
      </c>
      <c r="GR571" s="1138" t="s">
        <v>1349</v>
      </c>
      <c r="GS571" s="1138" t="s">
        <v>1349</v>
      </c>
      <c r="GT571" s="1138" t="s">
        <v>1349</v>
      </c>
      <c r="GU571" s="1138" t="s">
        <v>1349</v>
      </c>
      <c r="GV571" s="1138" t="s">
        <v>1349</v>
      </c>
    </row>
    <row r="572" spans="1:204" x14ac:dyDescent="0.2">
      <c r="A572" s="1136"/>
      <c r="B572" s="1137"/>
      <c r="GG572" s="1138" t="s">
        <v>1349</v>
      </c>
      <c r="GH572" s="1138" t="s">
        <v>1349</v>
      </c>
      <c r="GI572" s="1138" t="s">
        <v>1349</v>
      </c>
      <c r="GJ572" s="1138" t="s">
        <v>1349</v>
      </c>
      <c r="GK572" s="1138" t="s">
        <v>1349</v>
      </c>
      <c r="GL572" s="1138" t="s">
        <v>1349</v>
      </c>
      <c r="GM572" s="1138" t="s">
        <v>1349</v>
      </c>
      <c r="GN572" s="1138" t="s">
        <v>1349</v>
      </c>
      <c r="GO572" s="1138" t="s">
        <v>1349</v>
      </c>
      <c r="GP572" s="1138" t="s">
        <v>1349</v>
      </c>
      <c r="GQ572" s="1138" t="s">
        <v>1349</v>
      </c>
      <c r="GR572" s="1138" t="s">
        <v>1349</v>
      </c>
      <c r="GS572" s="1138" t="s">
        <v>1349</v>
      </c>
      <c r="GT572" s="1138" t="s">
        <v>1349</v>
      </c>
      <c r="GU572" s="1138" t="s">
        <v>1349</v>
      </c>
      <c r="GV572" s="1138" t="s">
        <v>1349</v>
      </c>
    </row>
    <row r="573" spans="1:204" x14ac:dyDescent="0.2">
      <c r="A573" s="1136"/>
      <c r="B573" s="1137"/>
      <c r="GG573" s="1138" t="s">
        <v>1349</v>
      </c>
      <c r="GH573" s="1138" t="s">
        <v>1349</v>
      </c>
      <c r="GI573" s="1138" t="s">
        <v>1349</v>
      </c>
      <c r="GJ573" s="1138" t="s">
        <v>1349</v>
      </c>
      <c r="GK573" s="1138" t="s">
        <v>1349</v>
      </c>
      <c r="GL573" s="1138" t="s">
        <v>1349</v>
      </c>
      <c r="GM573" s="1138" t="s">
        <v>1349</v>
      </c>
      <c r="GN573" s="1138" t="s">
        <v>1349</v>
      </c>
      <c r="GO573" s="1138" t="s">
        <v>1349</v>
      </c>
      <c r="GP573" s="1138" t="s">
        <v>1349</v>
      </c>
      <c r="GQ573" s="1138" t="s">
        <v>1349</v>
      </c>
      <c r="GR573" s="1138" t="s">
        <v>1349</v>
      </c>
      <c r="GS573" s="1138" t="s">
        <v>1349</v>
      </c>
      <c r="GT573" s="1138" t="s">
        <v>1349</v>
      </c>
      <c r="GU573" s="1138" t="s">
        <v>1349</v>
      </c>
      <c r="GV573" s="1138" t="s">
        <v>1349</v>
      </c>
    </row>
    <row r="574" spans="1:204" x14ac:dyDescent="0.2">
      <c r="A574" s="1136"/>
      <c r="B574" s="1137"/>
      <c r="GG574" s="1138" t="s">
        <v>1349</v>
      </c>
      <c r="GH574" s="1138" t="s">
        <v>1349</v>
      </c>
      <c r="GI574" s="1138" t="s">
        <v>1349</v>
      </c>
      <c r="GJ574" s="1138" t="s">
        <v>1349</v>
      </c>
      <c r="GK574" s="1138" t="s">
        <v>1349</v>
      </c>
      <c r="GL574" s="1138" t="s">
        <v>1349</v>
      </c>
      <c r="GM574" s="1138" t="s">
        <v>1349</v>
      </c>
      <c r="GN574" s="1138" t="s">
        <v>1349</v>
      </c>
      <c r="GO574" s="1138" t="s">
        <v>1349</v>
      </c>
      <c r="GP574" s="1138" t="s">
        <v>1349</v>
      </c>
      <c r="GQ574" s="1138" t="s">
        <v>1349</v>
      </c>
      <c r="GR574" s="1138" t="s">
        <v>1349</v>
      </c>
      <c r="GS574" s="1138" t="s">
        <v>1349</v>
      </c>
      <c r="GT574" s="1138" t="s">
        <v>1349</v>
      </c>
      <c r="GU574" s="1138" t="s">
        <v>1349</v>
      </c>
      <c r="GV574" s="1138" t="s">
        <v>1349</v>
      </c>
    </row>
    <row r="575" spans="1:204" x14ac:dyDescent="0.2">
      <c r="A575" s="1136"/>
      <c r="B575" s="1137"/>
      <c r="GG575" s="1138" t="s">
        <v>1349</v>
      </c>
      <c r="GH575" s="1138" t="s">
        <v>1349</v>
      </c>
      <c r="GI575" s="1138" t="s">
        <v>1349</v>
      </c>
      <c r="GJ575" s="1138" t="s">
        <v>1349</v>
      </c>
      <c r="GK575" s="1138" t="s">
        <v>1349</v>
      </c>
      <c r="GL575" s="1138" t="s">
        <v>1349</v>
      </c>
      <c r="GM575" s="1138" t="s">
        <v>1349</v>
      </c>
      <c r="GN575" s="1138" t="s">
        <v>1349</v>
      </c>
      <c r="GO575" s="1138" t="s">
        <v>1349</v>
      </c>
      <c r="GP575" s="1138" t="s">
        <v>1349</v>
      </c>
      <c r="GQ575" s="1138" t="s">
        <v>1349</v>
      </c>
      <c r="GR575" s="1138" t="s">
        <v>1349</v>
      </c>
      <c r="GS575" s="1138" t="s">
        <v>1349</v>
      </c>
      <c r="GT575" s="1138" t="s">
        <v>1349</v>
      </c>
      <c r="GU575" s="1138" t="s">
        <v>1349</v>
      </c>
      <c r="GV575" s="1138" t="s">
        <v>1349</v>
      </c>
    </row>
    <row r="576" spans="1:204" x14ac:dyDescent="0.2">
      <c r="A576" s="1136"/>
      <c r="B576" s="1137"/>
      <c r="GG576" s="1138" t="s">
        <v>1349</v>
      </c>
      <c r="GH576" s="1138" t="s">
        <v>1349</v>
      </c>
      <c r="GI576" s="1138" t="s">
        <v>1349</v>
      </c>
      <c r="GJ576" s="1138" t="s">
        <v>1349</v>
      </c>
      <c r="GK576" s="1138" t="s">
        <v>1349</v>
      </c>
      <c r="GL576" s="1138" t="s">
        <v>1349</v>
      </c>
      <c r="GM576" s="1138" t="s">
        <v>1349</v>
      </c>
      <c r="GN576" s="1138" t="s">
        <v>1349</v>
      </c>
      <c r="GO576" s="1138" t="s">
        <v>1349</v>
      </c>
      <c r="GP576" s="1138" t="s">
        <v>1349</v>
      </c>
      <c r="GQ576" s="1138" t="s">
        <v>1349</v>
      </c>
      <c r="GR576" s="1138" t="s">
        <v>1349</v>
      </c>
      <c r="GS576" s="1138" t="s">
        <v>1349</v>
      </c>
      <c r="GT576" s="1138" t="s">
        <v>1349</v>
      </c>
      <c r="GU576" s="1138" t="s">
        <v>1349</v>
      </c>
      <c r="GV576" s="1138" t="s">
        <v>1349</v>
      </c>
    </row>
    <row r="577" spans="1:204" x14ac:dyDescent="0.2">
      <c r="A577" s="1136"/>
      <c r="B577" s="1137"/>
      <c r="GG577" s="1138" t="s">
        <v>1349</v>
      </c>
      <c r="GH577" s="1138" t="s">
        <v>1349</v>
      </c>
      <c r="GI577" s="1138" t="s">
        <v>1349</v>
      </c>
      <c r="GJ577" s="1138" t="s">
        <v>1349</v>
      </c>
      <c r="GK577" s="1138" t="s">
        <v>1349</v>
      </c>
      <c r="GL577" s="1138" t="s">
        <v>1349</v>
      </c>
      <c r="GM577" s="1138" t="s">
        <v>1349</v>
      </c>
      <c r="GN577" s="1138" t="s">
        <v>1349</v>
      </c>
      <c r="GO577" s="1138" t="s">
        <v>1349</v>
      </c>
      <c r="GP577" s="1138" t="s">
        <v>1349</v>
      </c>
      <c r="GQ577" s="1138" t="s">
        <v>1349</v>
      </c>
      <c r="GR577" s="1138" t="s">
        <v>1349</v>
      </c>
      <c r="GS577" s="1138" t="s">
        <v>1349</v>
      </c>
      <c r="GT577" s="1138" t="s">
        <v>1349</v>
      </c>
      <c r="GU577" s="1138" t="s">
        <v>1349</v>
      </c>
      <c r="GV577" s="1138" t="s">
        <v>1349</v>
      </c>
    </row>
    <row r="578" spans="1:204" x14ac:dyDescent="0.2">
      <c r="A578" s="1136"/>
      <c r="B578" s="1137"/>
      <c r="GG578" s="1138" t="s">
        <v>1349</v>
      </c>
      <c r="GH578" s="1138" t="s">
        <v>1349</v>
      </c>
      <c r="GI578" s="1138" t="s">
        <v>1349</v>
      </c>
      <c r="GJ578" s="1138" t="s">
        <v>1349</v>
      </c>
      <c r="GK578" s="1138" t="s">
        <v>1349</v>
      </c>
      <c r="GL578" s="1138" t="s">
        <v>1349</v>
      </c>
      <c r="GM578" s="1138" t="s">
        <v>1349</v>
      </c>
      <c r="GN578" s="1138" t="s">
        <v>1349</v>
      </c>
      <c r="GO578" s="1138" t="s">
        <v>1349</v>
      </c>
      <c r="GP578" s="1138" t="s">
        <v>1349</v>
      </c>
      <c r="GQ578" s="1138" t="s">
        <v>1349</v>
      </c>
      <c r="GR578" s="1138" t="s">
        <v>1349</v>
      </c>
      <c r="GS578" s="1138" t="s">
        <v>1349</v>
      </c>
      <c r="GT578" s="1138" t="s">
        <v>1349</v>
      </c>
      <c r="GU578" s="1138" t="s">
        <v>1349</v>
      </c>
      <c r="GV578" s="1138" t="s">
        <v>1349</v>
      </c>
    </row>
    <row r="579" spans="1:204" x14ac:dyDescent="0.2">
      <c r="A579" s="1136"/>
      <c r="B579" s="1137"/>
      <c r="GG579" s="1138" t="s">
        <v>1349</v>
      </c>
      <c r="GH579" s="1138" t="s">
        <v>1349</v>
      </c>
      <c r="GI579" s="1138" t="s">
        <v>1349</v>
      </c>
      <c r="GJ579" s="1138" t="s">
        <v>1349</v>
      </c>
      <c r="GK579" s="1138" t="s">
        <v>1349</v>
      </c>
      <c r="GL579" s="1138" t="s">
        <v>1349</v>
      </c>
      <c r="GM579" s="1138" t="s">
        <v>1349</v>
      </c>
      <c r="GN579" s="1138" t="s">
        <v>1349</v>
      </c>
      <c r="GO579" s="1138" t="s">
        <v>1349</v>
      </c>
      <c r="GP579" s="1138" t="s">
        <v>1349</v>
      </c>
      <c r="GQ579" s="1138" t="s">
        <v>1349</v>
      </c>
      <c r="GR579" s="1138" t="s">
        <v>1349</v>
      </c>
      <c r="GS579" s="1138" t="s">
        <v>1349</v>
      </c>
      <c r="GT579" s="1138" t="s">
        <v>1349</v>
      </c>
      <c r="GU579" s="1138" t="s">
        <v>1349</v>
      </c>
      <c r="GV579" s="1138" t="s">
        <v>1349</v>
      </c>
    </row>
    <row r="580" spans="1:204" x14ac:dyDescent="0.2">
      <c r="A580" s="1136"/>
      <c r="B580" s="1137"/>
      <c r="GG580" s="1138" t="s">
        <v>1349</v>
      </c>
      <c r="GH580" s="1138" t="s">
        <v>1349</v>
      </c>
      <c r="GI580" s="1138" t="s">
        <v>1349</v>
      </c>
      <c r="GJ580" s="1138" t="s">
        <v>1349</v>
      </c>
      <c r="GK580" s="1138" t="s">
        <v>1349</v>
      </c>
      <c r="GL580" s="1138" t="s">
        <v>1349</v>
      </c>
      <c r="GM580" s="1138" t="s">
        <v>1349</v>
      </c>
      <c r="GN580" s="1138" t="s">
        <v>1349</v>
      </c>
      <c r="GO580" s="1138" t="s">
        <v>1349</v>
      </c>
      <c r="GP580" s="1138" t="s">
        <v>1349</v>
      </c>
      <c r="GQ580" s="1138" t="s">
        <v>1349</v>
      </c>
      <c r="GR580" s="1138" t="s">
        <v>1349</v>
      </c>
      <c r="GS580" s="1138" t="s">
        <v>1349</v>
      </c>
      <c r="GT580" s="1138" t="s">
        <v>1349</v>
      </c>
      <c r="GU580" s="1138" t="s">
        <v>1349</v>
      </c>
      <c r="GV580" s="1138" t="s">
        <v>1349</v>
      </c>
    </row>
    <row r="581" spans="1:204" x14ac:dyDescent="0.2">
      <c r="A581" s="1136"/>
      <c r="B581" s="1137"/>
      <c r="GG581" s="1138" t="s">
        <v>1349</v>
      </c>
      <c r="GH581" s="1138" t="s">
        <v>1349</v>
      </c>
      <c r="GI581" s="1138" t="s">
        <v>1349</v>
      </c>
      <c r="GJ581" s="1138" t="s">
        <v>1349</v>
      </c>
      <c r="GK581" s="1138" t="s">
        <v>1349</v>
      </c>
      <c r="GL581" s="1138" t="s">
        <v>1349</v>
      </c>
      <c r="GM581" s="1138" t="s">
        <v>1349</v>
      </c>
      <c r="GN581" s="1138" t="s">
        <v>1349</v>
      </c>
      <c r="GO581" s="1138" t="s">
        <v>1349</v>
      </c>
      <c r="GP581" s="1138" t="s">
        <v>1349</v>
      </c>
      <c r="GQ581" s="1138" t="s">
        <v>1349</v>
      </c>
      <c r="GR581" s="1138" t="s">
        <v>1349</v>
      </c>
      <c r="GS581" s="1138" t="s">
        <v>1349</v>
      </c>
      <c r="GT581" s="1138" t="s">
        <v>1349</v>
      </c>
      <c r="GU581" s="1138" t="s">
        <v>1349</v>
      </c>
      <c r="GV581" s="1138" t="s">
        <v>1349</v>
      </c>
    </row>
    <row r="582" spans="1:204" x14ac:dyDescent="0.2">
      <c r="A582" s="1136"/>
      <c r="B582" s="1137"/>
      <c r="GG582" s="1138" t="s">
        <v>1349</v>
      </c>
      <c r="GH582" s="1138" t="s">
        <v>1349</v>
      </c>
      <c r="GI582" s="1138" t="s">
        <v>1349</v>
      </c>
      <c r="GJ582" s="1138" t="s">
        <v>1349</v>
      </c>
      <c r="GK582" s="1138" t="s">
        <v>1349</v>
      </c>
      <c r="GL582" s="1138" t="s">
        <v>1349</v>
      </c>
      <c r="GM582" s="1138" t="s">
        <v>1349</v>
      </c>
      <c r="GN582" s="1138" t="s">
        <v>1349</v>
      </c>
      <c r="GO582" s="1138" t="s">
        <v>1349</v>
      </c>
      <c r="GP582" s="1138" t="s">
        <v>1349</v>
      </c>
      <c r="GQ582" s="1138" t="s">
        <v>1349</v>
      </c>
      <c r="GR582" s="1138" t="s">
        <v>1349</v>
      </c>
      <c r="GS582" s="1138" t="s">
        <v>1349</v>
      </c>
      <c r="GT582" s="1138" t="s">
        <v>1349</v>
      </c>
      <c r="GU582" s="1138" t="s">
        <v>1349</v>
      </c>
      <c r="GV582" s="1138" t="s">
        <v>1349</v>
      </c>
    </row>
    <row r="583" spans="1:204" x14ac:dyDescent="0.2">
      <c r="A583" s="1136"/>
      <c r="B583" s="1137"/>
      <c r="GG583" s="1138" t="s">
        <v>1349</v>
      </c>
      <c r="GH583" s="1138" t="s">
        <v>1349</v>
      </c>
      <c r="GI583" s="1138" t="s">
        <v>1349</v>
      </c>
      <c r="GJ583" s="1138" t="s">
        <v>1349</v>
      </c>
      <c r="GK583" s="1138" t="s">
        <v>1349</v>
      </c>
      <c r="GL583" s="1138" t="s">
        <v>1349</v>
      </c>
      <c r="GM583" s="1138" t="s">
        <v>1349</v>
      </c>
      <c r="GN583" s="1138" t="s">
        <v>1349</v>
      </c>
      <c r="GO583" s="1138" t="s">
        <v>1349</v>
      </c>
      <c r="GP583" s="1138" t="s">
        <v>1349</v>
      </c>
      <c r="GQ583" s="1138" t="s">
        <v>1349</v>
      </c>
      <c r="GR583" s="1138" t="s">
        <v>1349</v>
      </c>
      <c r="GS583" s="1138" t="s">
        <v>1349</v>
      </c>
      <c r="GT583" s="1138" t="s">
        <v>1349</v>
      </c>
      <c r="GU583" s="1138" t="s">
        <v>1349</v>
      </c>
      <c r="GV583" s="1138" t="s">
        <v>1349</v>
      </c>
    </row>
    <row r="584" spans="1:204" x14ac:dyDescent="0.2">
      <c r="A584" s="1136"/>
      <c r="B584" s="1137"/>
      <c r="GG584" s="1138" t="s">
        <v>1349</v>
      </c>
      <c r="GH584" s="1138" t="s">
        <v>1349</v>
      </c>
      <c r="GI584" s="1138" t="s">
        <v>1349</v>
      </c>
      <c r="GJ584" s="1138" t="s">
        <v>1349</v>
      </c>
      <c r="GK584" s="1138" t="s">
        <v>1349</v>
      </c>
      <c r="GL584" s="1138" t="s">
        <v>1349</v>
      </c>
      <c r="GM584" s="1138" t="s">
        <v>1349</v>
      </c>
      <c r="GN584" s="1138" t="s">
        <v>1349</v>
      </c>
      <c r="GO584" s="1138" t="s">
        <v>1349</v>
      </c>
      <c r="GP584" s="1138" t="s">
        <v>1349</v>
      </c>
      <c r="GQ584" s="1138" t="s">
        <v>1349</v>
      </c>
      <c r="GR584" s="1138" t="s">
        <v>1349</v>
      </c>
      <c r="GS584" s="1138" t="s">
        <v>1349</v>
      </c>
      <c r="GT584" s="1138" t="s">
        <v>1349</v>
      </c>
      <c r="GU584" s="1138" t="s">
        <v>1349</v>
      </c>
      <c r="GV584" s="1138" t="s">
        <v>1349</v>
      </c>
    </row>
    <row r="585" spans="1:204" x14ac:dyDescent="0.2">
      <c r="A585" s="1136"/>
      <c r="B585" s="1137"/>
      <c r="GG585" s="1138" t="s">
        <v>1349</v>
      </c>
      <c r="GH585" s="1138" t="s">
        <v>1349</v>
      </c>
      <c r="GI585" s="1138" t="s">
        <v>1349</v>
      </c>
      <c r="GJ585" s="1138" t="s">
        <v>1349</v>
      </c>
      <c r="GK585" s="1138" t="s">
        <v>1349</v>
      </c>
      <c r="GL585" s="1138" t="s">
        <v>1349</v>
      </c>
      <c r="GM585" s="1138" t="s">
        <v>1349</v>
      </c>
      <c r="GN585" s="1138" t="s">
        <v>1349</v>
      </c>
      <c r="GO585" s="1138" t="s">
        <v>1349</v>
      </c>
      <c r="GP585" s="1138" t="s">
        <v>1349</v>
      </c>
      <c r="GQ585" s="1138" t="s">
        <v>1349</v>
      </c>
      <c r="GR585" s="1138" t="s">
        <v>1349</v>
      </c>
      <c r="GS585" s="1138" t="s">
        <v>1349</v>
      </c>
      <c r="GT585" s="1138" t="s">
        <v>1349</v>
      </c>
      <c r="GU585" s="1138" t="s">
        <v>1349</v>
      </c>
      <c r="GV585" s="1138" t="s">
        <v>1349</v>
      </c>
    </row>
    <row r="586" spans="1:204" x14ac:dyDescent="0.2">
      <c r="A586" s="1136"/>
      <c r="B586" s="1137"/>
      <c r="GG586" s="1138" t="s">
        <v>1349</v>
      </c>
      <c r="GH586" s="1138" t="s">
        <v>1349</v>
      </c>
      <c r="GI586" s="1138" t="s">
        <v>1349</v>
      </c>
      <c r="GJ586" s="1138" t="s">
        <v>1349</v>
      </c>
      <c r="GK586" s="1138" t="s">
        <v>1349</v>
      </c>
      <c r="GL586" s="1138" t="s">
        <v>1349</v>
      </c>
      <c r="GM586" s="1138" t="s">
        <v>1349</v>
      </c>
      <c r="GN586" s="1138" t="s">
        <v>1349</v>
      </c>
      <c r="GO586" s="1138" t="s">
        <v>1349</v>
      </c>
      <c r="GP586" s="1138" t="s">
        <v>1349</v>
      </c>
      <c r="GQ586" s="1138" t="s">
        <v>1349</v>
      </c>
      <c r="GR586" s="1138" t="s">
        <v>1349</v>
      </c>
      <c r="GS586" s="1138" t="s">
        <v>1349</v>
      </c>
      <c r="GT586" s="1138" t="s">
        <v>1349</v>
      </c>
      <c r="GU586" s="1138" t="s">
        <v>1349</v>
      </c>
      <c r="GV586" s="1138" t="s">
        <v>1349</v>
      </c>
    </row>
    <row r="587" spans="1:204" x14ac:dyDescent="0.2">
      <c r="A587" s="1136"/>
      <c r="B587" s="1137"/>
      <c r="GG587" s="1138" t="s">
        <v>1349</v>
      </c>
      <c r="GH587" s="1138" t="s">
        <v>1349</v>
      </c>
      <c r="GI587" s="1138" t="s">
        <v>1349</v>
      </c>
      <c r="GJ587" s="1138" t="s">
        <v>1349</v>
      </c>
      <c r="GK587" s="1138" t="s">
        <v>1349</v>
      </c>
      <c r="GL587" s="1138" t="s">
        <v>1349</v>
      </c>
      <c r="GM587" s="1138" t="s">
        <v>1349</v>
      </c>
      <c r="GN587" s="1138" t="s">
        <v>1349</v>
      </c>
      <c r="GO587" s="1138" t="s">
        <v>1349</v>
      </c>
      <c r="GP587" s="1138" t="s">
        <v>1349</v>
      </c>
      <c r="GQ587" s="1138" t="s">
        <v>1349</v>
      </c>
      <c r="GR587" s="1138" t="s">
        <v>1349</v>
      </c>
      <c r="GS587" s="1138" t="s">
        <v>1349</v>
      </c>
      <c r="GT587" s="1138" t="s">
        <v>1349</v>
      </c>
      <c r="GU587" s="1138" t="s">
        <v>1349</v>
      </c>
      <c r="GV587" s="1138" t="s">
        <v>1349</v>
      </c>
    </row>
    <row r="588" spans="1:204" x14ac:dyDescent="0.2">
      <c r="A588" s="1136"/>
      <c r="B588" s="1137"/>
      <c r="GG588" s="1138" t="s">
        <v>1349</v>
      </c>
      <c r="GH588" s="1138" t="s">
        <v>1349</v>
      </c>
      <c r="GI588" s="1138" t="s">
        <v>1349</v>
      </c>
      <c r="GJ588" s="1138" t="s">
        <v>1349</v>
      </c>
      <c r="GK588" s="1138" t="s">
        <v>1349</v>
      </c>
      <c r="GL588" s="1138" t="s">
        <v>1349</v>
      </c>
      <c r="GM588" s="1138" t="s">
        <v>1349</v>
      </c>
      <c r="GN588" s="1138" t="s">
        <v>1349</v>
      </c>
      <c r="GO588" s="1138" t="s">
        <v>1349</v>
      </c>
      <c r="GP588" s="1138" t="s">
        <v>1349</v>
      </c>
      <c r="GQ588" s="1138" t="s">
        <v>1349</v>
      </c>
      <c r="GR588" s="1138" t="s">
        <v>1349</v>
      </c>
      <c r="GS588" s="1138" t="s">
        <v>1349</v>
      </c>
      <c r="GT588" s="1138" t="s">
        <v>1349</v>
      </c>
      <c r="GU588" s="1138" t="s">
        <v>1349</v>
      </c>
      <c r="GV588" s="1138" t="s">
        <v>1349</v>
      </c>
    </row>
    <row r="589" spans="1:204" x14ac:dyDescent="0.2">
      <c r="A589" s="1136"/>
      <c r="B589" s="1137"/>
      <c r="GG589" s="1138" t="s">
        <v>1349</v>
      </c>
      <c r="GH589" s="1138" t="s">
        <v>1349</v>
      </c>
      <c r="GI589" s="1138" t="s">
        <v>1349</v>
      </c>
      <c r="GJ589" s="1138" t="s">
        <v>1349</v>
      </c>
      <c r="GK589" s="1138" t="s">
        <v>1349</v>
      </c>
      <c r="GL589" s="1138" t="s">
        <v>1349</v>
      </c>
      <c r="GM589" s="1138" t="s">
        <v>1349</v>
      </c>
      <c r="GN589" s="1138" t="s">
        <v>1349</v>
      </c>
      <c r="GO589" s="1138" t="s">
        <v>1349</v>
      </c>
      <c r="GP589" s="1138" t="s">
        <v>1349</v>
      </c>
      <c r="GQ589" s="1138" t="s">
        <v>1349</v>
      </c>
      <c r="GR589" s="1138" t="s">
        <v>1349</v>
      </c>
      <c r="GS589" s="1138" t="s">
        <v>1349</v>
      </c>
      <c r="GT589" s="1138" t="s">
        <v>1349</v>
      </c>
      <c r="GU589" s="1138" t="s">
        <v>1349</v>
      </c>
      <c r="GV589" s="1138" t="s">
        <v>1349</v>
      </c>
    </row>
    <row r="590" spans="1:204" x14ac:dyDescent="0.2">
      <c r="A590" s="1136"/>
      <c r="B590" s="1137"/>
      <c r="GG590" s="1138" t="s">
        <v>1349</v>
      </c>
      <c r="GH590" s="1138" t="s">
        <v>1349</v>
      </c>
      <c r="GI590" s="1138" t="s">
        <v>1349</v>
      </c>
      <c r="GJ590" s="1138" t="s">
        <v>1349</v>
      </c>
      <c r="GK590" s="1138" t="s">
        <v>1349</v>
      </c>
      <c r="GL590" s="1138" t="s">
        <v>1349</v>
      </c>
      <c r="GM590" s="1138" t="s">
        <v>1349</v>
      </c>
      <c r="GN590" s="1138" t="s">
        <v>1349</v>
      </c>
      <c r="GO590" s="1138" t="s">
        <v>1349</v>
      </c>
      <c r="GP590" s="1138" t="s">
        <v>1349</v>
      </c>
      <c r="GQ590" s="1138" t="s">
        <v>1349</v>
      </c>
      <c r="GR590" s="1138" t="s">
        <v>1349</v>
      </c>
      <c r="GS590" s="1138" t="s">
        <v>1349</v>
      </c>
      <c r="GT590" s="1138" t="s">
        <v>1349</v>
      </c>
      <c r="GU590" s="1138" t="s">
        <v>1349</v>
      </c>
      <c r="GV590" s="1138" t="s">
        <v>1349</v>
      </c>
    </row>
    <row r="591" spans="1:204" x14ac:dyDescent="0.2">
      <c r="A591" s="1136"/>
      <c r="B591" s="1137"/>
      <c r="GG591" s="1138" t="s">
        <v>1349</v>
      </c>
      <c r="GH591" s="1138" t="s">
        <v>1349</v>
      </c>
      <c r="GI591" s="1138" t="s">
        <v>1349</v>
      </c>
      <c r="GJ591" s="1138" t="s">
        <v>1349</v>
      </c>
      <c r="GK591" s="1138" t="s">
        <v>1349</v>
      </c>
      <c r="GL591" s="1138" t="s">
        <v>1349</v>
      </c>
      <c r="GM591" s="1138" t="s">
        <v>1349</v>
      </c>
      <c r="GN591" s="1138" t="s">
        <v>1349</v>
      </c>
      <c r="GO591" s="1138" t="s">
        <v>1349</v>
      </c>
      <c r="GP591" s="1138" t="s">
        <v>1349</v>
      </c>
      <c r="GQ591" s="1138" t="s">
        <v>1349</v>
      </c>
      <c r="GR591" s="1138" t="s">
        <v>1349</v>
      </c>
      <c r="GS591" s="1138" t="s">
        <v>1349</v>
      </c>
      <c r="GT591" s="1138" t="s">
        <v>1349</v>
      </c>
      <c r="GU591" s="1138" t="s">
        <v>1349</v>
      </c>
      <c r="GV591" s="1138" t="s">
        <v>1349</v>
      </c>
    </row>
    <row r="592" spans="1:204" x14ac:dyDescent="0.2">
      <c r="A592" s="1136"/>
      <c r="B592" s="1137"/>
      <c r="GG592" s="1138" t="s">
        <v>1349</v>
      </c>
      <c r="GH592" s="1138" t="s">
        <v>1349</v>
      </c>
      <c r="GI592" s="1138" t="s">
        <v>1349</v>
      </c>
      <c r="GJ592" s="1138" t="s">
        <v>1349</v>
      </c>
      <c r="GK592" s="1138" t="s">
        <v>1349</v>
      </c>
      <c r="GL592" s="1138" t="s">
        <v>1349</v>
      </c>
      <c r="GM592" s="1138" t="s">
        <v>1349</v>
      </c>
      <c r="GN592" s="1138" t="s">
        <v>1349</v>
      </c>
      <c r="GO592" s="1138" t="s">
        <v>1349</v>
      </c>
      <c r="GP592" s="1138" t="s">
        <v>1349</v>
      </c>
      <c r="GQ592" s="1138" t="s">
        <v>1349</v>
      </c>
      <c r="GR592" s="1138" t="s">
        <v>1349</v>
      </c>
      <c r="GS592" s="1138" t="s">
        <v>1349</v>
      </c>
      <c r="GT592" s="1138" t="s">
        <v>1349</v>
      </c>
      <c r="GU592" s="1138" t="s">
        <v>1349</v>
      </c>
      <c r="GV592" s="1138" t="s">
        <v>1349</v>
      </c>
    </row>
    <row r="593" spans="1:204" x14ac:dyDescent="0.2">
      <c r="A593" s="1136"/>
      <c r="B593" s="1137"/>
      <c r="GG593" s="1138" t="s">
        <v>1349</v>
      </c>
      <c r="GH593" s="1138" t="s">
        <v>1349</v>
      </c>
      <c r="GI593" s="1138" t="s">
        <v>1349</v>
      </c>
      <c r="GJ593" s="1138" t="s">
        <v>1349</v>
      </c>
      <c r="GK593" s="1138" t="s">
        <v>1349</v>
      </c>
      <c r="GL593" s="1138" t="s">
        <v>1349</v>
      </c>
      <c r="GM593" s="1138" t="s">
        <v>1349</v>
      </c>
      <c r="GN593" s="1138" t="s">
        <v>1349</v>
      </c>
      <c r="GO593" s="1138" t="s">
        <v>1349</v>
      </c>
      <c r="GP593" s="1138" t="s">
        <v>1349</v>
      </c>
      <c r="GQ593" s="1138" t="s">
        <v>1349</v>
      </c>
      <c r="GR593" s="1138" t="s">
        <v>1349</v>
      </c>
      <c r="GS593" s="1138" t="s">
        <v>1349</v>
      </c>
      <c r="GT593" s="1138" t="s">
        <v>1349</v>
      </c>
      <c r="GU593" s="1138" t="s">
        <v>1349</v>
      </c>
      <c r="GV593" s="1138" t="s">
        <v>1349</v>
      </c>
    </row>
    <row r="594" spans="1:204" x14ac:dyDescent="0.2">
      <c r="A594" s="1136"/>
      <c r="B594" s="1137"/>
      <c r="GG594" s="1138" t="s">
        <v>1349</v>
      </c>
      <c r="GH594" s="1138" t="s">
        <v>1349</v>
      </c>
      <c r="GI594" s="1138" t="s">
        <v>1349</v>
      </c>
      <c r="GJ594" s="1138" t="s">
        <v>1349</v>
      </c>
      <c r="GK594" s="1138" t="s">
        <v>1349</v>
      </c>
      <c r="GL594" s="1138" t="s">
        <v>1349</v>
      </c>
      <c r="GM594" s="1138" t="s">
        <v>1349</v>
      </c>
      <c r="GN594" s="1138" t="s">
        <v>1349</v>
      </c>
      <c r="GO594" s="1138" t="s">
        <v>1349</v>
      </c>
      <c r="GP594" s="1138" t="s">
        <v>1349</v>
      </c>
      <c r="GQ594" s="1138" t="s">
        <v>1349</v>
      </c>
      <c r="GR594" s="1138" t="s">
        <v>1349</v>
      </c>
      <c r="GS594" s="1138" t="s">
        <v>1349</v>
      </c>
      <c r="GT594" s="1138" t="s">
        <v>1349</v>
      </c>
      <c r="GU594" s="1138" t="s">
        <v>1349</v>
      </c>
      <c r="GV594" s="1138" t="s">
        <v>1349</v>
      </c>
    </row>
    <row r="595" spans="1:204" x14ac:dyDescent="0.2">
      <c r="A595" s="1136"/>
      <c r="B595" s="1137"/>
      <c r="GG595" s="1138" t="s">
        <v>1349</v>
      </c>
      <c r="GH595" s="1138" t="s">
        <v>1349</v>
      </c>
      <c r="GI595" s="1138" t="s">
        <v>1349</v>
      </c>
      <c r="GJ595" s="1138" t="s">
        <v>1349</v>
      </c>
      <c r="GK595" s="1138" t="s">
        <v>1349</v>
      </c>
      <c r="GL595" s="1138" t="s">
        <v>1349</v>
      </c>
      <c r="GM595" s="1138" t="s">
        <v>1349</v>
      </c>
      <c r="GN595" s="1138" t="s">
        <v>1349</v>
      </c>
      <c r="GO595" s="1138" t="s">
        <v>1349</v>
      </c>
      <c r="GP595" s="1138" t="s">
        <v>1349</v>
      </c>
      <c r="GQ595" s="1138" t="s">
        <v>1349</v>
      </c>
      <c r="GR595" s="1138" t="s">
        <v>1349</v>
      </c>
      <c r="GS595" s="1138" t="s">
        <v>1349</v>
      </c>
      <c r="GT595" s="1138" t="s">
        <v>1349</v>
      </c>
      <c r="GU595" s="1138" t="s">
        <v>1349</v>
      </c>
      <c r="GV595" s="1138" t="s">
        <v>1349</v>
      </c>
    </row>
    <row r="596" spans="1:204" x14ac:dyDescent="0.2">
      <c r="A596" s="1136"/>
      <c r="B596" s="1137"/>
      <c r="GG596" s="1138" t="s">
        <v>1349</v>
      </c>
      <c r="GH596" s="1138" t="s">
        <v>1349</v>
      </c>
      <c r="GI596" s="1138" t="s">
        <v>1349</v>
      </c>
      <c r="GJ596" s="1138" t="s">
        <v>1349</v>
      </c>
      <c r="GK596" s="1138" t="s">
        <v>1349</v>
      </c>
      <c r="GL596" s="1138" t="s">
        <v>1349</v>
      </c>
      <c r="GM596" s="1138" t="s">
        <v>1349</v>
      </c>
      <c r="GN596" s="1138" t="s">
        <v>1349</v>
      </c>
      <c r="GO596" s="1138" t="s">
        <v>1349</v>
      </c>
      <c r="GP596" s="1138" t="s">
        <v>1349</v>
      </c>
      <c r="GQ596" s="1138" t="s">
        <v>1349</v>
      </c>
      <c r="GR596" s="1138" t="s">
        <v>1349</v>
      </c>
      <c r="GS596" s="1138" t="s">
        <v>1349</v>
      </c>
      <c r="GT596" s="1138" t="s">
        <v>1349</v>
      </c>
      <c r="GU596" s="1138" t="s">
        <v>1349</v>
      </c>
      <c r="GV596" s="1138" t="s">
        <v>1349</v>
      </c>
    </row>
    <row r="597" spans="1:204" x14ac:dyDescent="0.2">
      <c r="A597" s="1136"/>
      <c r="B597" s="1137"/>
      <c r="GG597" s="1138" t="s">
        <v>1349</v>
      </c>
      <c r="GH597" s="1138" t="s">
        <v>1349</v>
      </c>
      <c r="GI597" s="1138" t="s">
        <v>1349</v>
      </c>
      <c r="GJ597" s="1138" t="s">
        <v>1349</v>
      </c>
      <c r="GK597" s="1138" t="s">
        <v>1349</v>
      </c>
      <c r="GL597" s="1138" t="s">
        <v>1349</v>
      </c>
      <c r="GM597" s="1138" t="s">
        <v>1349</v>
      </c>
      <c r="GN597" s="1138" t="s">
        <v>1349</v>
      </c>
      <c r="GO597" s="1138" t="s">
        <v>1349</v>
      </c>
      <c r="GP597" s="1138" t="s">
        <v>1349</v>
      </c>
      <c r="GQ597" s="1138" t="s">
        <v>1349</v>
      </c>
      <c r="GR597" s="1138" t="s">
        <v>1349</v>
      </c>
      <c r="GS597" s="1138" t="s">
        <v>1349</v>
      </c>
      <c r="GT597" s="1138" t="s">
        <v>1349</v>
      </c>
      <c r="GU597" s="1138" t="s">
        <v>1349</v>
      </c>
      <c r="GV597" s="1138" t="s">
        <v>1349</v>
      </c>
    </row>
    <row r="598" spans="1:204" x14ac:dyDescent="0.2">
      <c r="A598" s="1136"/>
      <c r="B598" s="1137"/>
      <c r="GG598" s="1138" t="s">
        <v>1349</v>
      </c>
      <c r="GH598" s="1138" t="s">
        <v>1349</v>
      </c>
      <c r="GI598" s="1138" t="s">
        <v>1349</v>
      </c>
      <c r="GJ598" s="1138" t="s">
        <v>1349</v>
      </c>
      <c r="GK598" s="1138" t="s">
        <v>1349</v>
      </c>
      <c r="GL598" s="1138" t="s">
        <v>1349</v>
      </c>
      <c r="GM598" s="1138" t="s">
        <v>1349</v>
      </c>
      <c r="GN598" s="1138" t="s">
        <v>1349</v>
      </c>
      <c r="GO598" s="1138" t="s">
        <v>1349</v>
      </c>
      <c r="GP598" s="1138" t="s">
        <v>1349</v>
      </c>
      <c r="GQ598" s="1138" t="s">
        <v>1349</v>
      </c>
      <c r="GR598" s="1138" t="s">
        <v>1349</v>
      </c>
      <c r="GS598" s="1138" t="s">
        <v>1349</v>
      </c>
      <c r="GT598" s="1138" t="s">
        <v>1349</v>
      </c>
      <c r="GU598" s="1138" t="s">
        <v>1349</v>
      </c>
      <c r="GV598" s="1138" t="s">
        <v>1349</v>
      </c>
    </row>
    <row r="599" spans="1:204" x14ac:dyDescent="0.2">
      <c r="A599" s="1136"/>
      <c r="B599" s="1137"/>
      <c r="GG599" s="1138" t="s">
        <v>1349</v>
      </c>
      <c r="GH599" s="1138" t="s">
        <v>1349</v>
      </c>
      <c r="GI599" s="1138" t="s">
        <v>1349</v>
      </c>
      <c r="GJ599" s="1138" t="s">
        <v>1349</v>
      </c>
      <c r="GK599" s="1138" t="s">
        <v>1349</v>
      </c>
      <c r="GL599" s="1138" t="s">
        <v>1349</v>
      </c>
      <c r="GM599" s="1138" t="s">
        <v>1349</v>
      </c>
      <c r="GN599" s="1138" t="s">
        <v>1349</v>
      </c>
      <c r="GO599" s="1138" t="s">
        <v>1349</v>
      </c>
      <c r="GP599" s="1138" t="s">
        <v>1349</v>
      </c>
      <c r="GQ599" s="1138" t="s">
        <v>1349</v>
      </c>
      <c r="GR599" s="1138" t="s">
        <v>1349</v>
      </c>
      <c r="GS599" s="1138" t="s">
        <v>1349</v>
      </c>
      <c r="GT599" s="1138" t="s">
        <v>1349</v>
      </c>
      <c r="GU599" s="1138" t="s">
        <v>1349</v>
      </c>
      <c r="GV599" s="1138" t="s">
        <v>1349</v>
      </c>
    </row>
    <row r="600" spans="1:204" x14ac:dyDescent="0.2">
      <c r="A600" s="1136"/>
      <c r="B600" s="1137"/>
      <c r="GG600" s="1138" t="s">
        <v>1349</v>
      </c>
      <c r="GH600" s="1138" t="s">
        <v>1349</v>
      </c>
      <c r="GI600" s="1138" t="s">
        <v>1349</v>
      </c>
      <c r="GJ600" s="1138" t="s">
        <v>1349</v>
      </c>
      <c r="GK600" s="1138" t="s">
        <v>1349</v>
      </c>
      <c r="GL600" s="1138" t="s">
        <v>1349</v>
      </c>
      <c r="GM600" s="1138" t="s">
        <v>1349</v>
      </c>
      <c r="GN600" s="1138" t="s">
        <v>1349</v>
      </c>
      <c r="GO600" s="1138" t="s">
        <v>1349</v>
      </c>
      <c r="GP600" s="1138" t="s">
        <v>1349</v>
      </c>
      <c r="GQ600" s="1138" t="s">
        <v>1349</v>
      </c>
      <c r="GR600" s="1138" t="s">
        <v>1349</v>
      </c>
      <c r="GS600" s="1138" t="s">
        <v>1349</v>
      </c>
      <c r="GT600" s="1138" t="s">
        <v>1349</v>
      </c>
      <c r="GU600" s="1138" t="s">
        <v>1349</v>
      </c>
      <c r="GV600" s="1138" t="s">
        <v>1349</v>
      </c>
    </row>
    <row r="601" spans="1:204" x14ac:dyDescent="0.2">
      <c r="A601" s="1136"/>
      <c r="B601" s="1137"/>
      <c r="GG601" s="1138" t="s">
        <v>1349</v>
      </c>
      <c r="GH601" s="1138" t="s">
        <v>1349</v>
      </c>
      <c r="GI601" s="1138" t="s">
        <v>1349</v>
      </c>
      <c r="GJ601" s="1138" t="s">
        <v>1349</v>
      </c>
      <c r="GK601" s="1138" t="s">
        <v>1349</v>
      </c>
      <c r="GL601" s="1138" t="s">
        <v>1349</v>
      </c>
      <c r="GM601" s="1138" t="s">
        <v>1349</v>
      </c>
      <c r="GN601" s="1138" t="s">
        <v>1349</v>
      </c>
      <c r="GO601" s="1138" t="s">
        <v>1349</v>
      </c>
      <c r="GP601" s="1138" t="s">
        <v>1349</v>
      </c>
      <c r="GQ601" s="1138" t="s">
        <v>1349</v>
      </c>
      <c r="GR601" s="1138" t="s">
        <v>1349</v>
      </c>
      <c r="GS601" s="1138" t="s">
        <v>1349</v>
      </c>
      <c r="GT601" s="1138" t="s">
        <v>1349</v>
      </c>
      <c r="GU601" s="1138" t="s">
        <v>1349</v>
      </c>
      <c r="GV601" s="1138" t="s">
        <v>1349</v>
      </c>
    </row>
    <row r="602" spans="1:204" x14ac:dyDescent="0.2">
      <c r="A602" s="1136"/>
      <c r="GG602" s="1138" t="s">
        <v>1349</v>
      </c>
      <c r="GH602" s="1138" t="s">
        <v>1349</v>
      </c>
      <c r="GI602" s="1138" t="s">
        <v>1349</v>
      </c>
      <c r="GJ602" s="1138" t="s">
        <v>1349</v>
      </c>
      <c r="GK602" s="1138" t="s">
        <v>1349</v>
      </c>
      <c r="GL602" s="1138" t="s">
        <v>1349</v>
      </c>
      <c r="GM602" s="1138" t="s">
        <v>1349</v>
      </c>
      <c r="GN602" s="1138" t="s">
        <v>1349</v>
      </c>
      <c r="GO602" s="1138" t="s">
        <v>1349</v>
      </c>
      <c r="GP602" s="1138" t="s">
        <v>1349</v>
      </c>
      <c r="GQ602" s="1138" t="s">
        <v>1349</v>
      </c>
      <c r="GR602" s="1138" t="s">
        <v>1349</v>
      </c>
      <c r="GS602" s="1138" t="s">
        <v>1349</v>
      </c>
      <c r="GT602" s="1138" t="s">
        <v>1349</v>
      </c>
      <c r="GU602" s="1138" t="s">
        <v>1349</v>
      </c>
      <c r="GV602" s="1138" t="s">
        <v>1349</v>
      </c>
    </row>
    <row r="603" spans="1:204" x14ac:dyDescent="0.2">
      <c r="A603" s="1136"/>
      <c r="B603" s="1137"/>
      <c r="GG603" s="1138" t="s">
        <v>1349</v>
      </c>
      <c r="GH603" s="1138" t="s">
        <v>1349</v>
      </c>
      <c r="GI603" s="1138" t="s">
        <v>1349</v>
      </c>
      <c r="GJ603" s="1138" t="s">
        <v>1349</v>
      </c>
      <c r="GK603" s="1138" t="s">
        <v>1349</v>
      </c>
      <c r="GL603" s="1138" t="s">
        <v>1349</v>
      </c>
      <c r="GM603" s="1138" t="s">
        <v>1349</v>
      </c>
      <c r="GN603" s="1138" t="s">
        <v>1349</v>
      </c>
      <c r="GO603" s="1138" t="s">
        <v>1349</v>
      </c>
      <c r="GP603" s="1138" t="s">
        <v>1349</v>
      </c>
      <c r="GQ603" s="1138" t="s">
        <v>1349</v>
      </c>
      <c r="GR603" s="1138" t="s">
        <v>1349</v>
      </c>
      <c r="GS603" s="1138" t="s">
        <v>1349</v>
      </c>
      <c r="GT603" s="1138" t="s">
        <v>1349</v>
      </c>
      <c r="GU603" s="1138" t="s">
        <v>1349</v>
      </c>
      <c r="GV603" s="1138" t="s">
        <v>1349</v>
      </c>
    </row>
    <row r="604" spans="1:204" x14ac:dyDescent="0.2">
      <c r="A604" s="1136"/>
      <c r="B604" s="1137"/>
      <c r="GG604" s="1138" t="s">
        <v>1349</v>
      </c>
      <c r="GH604" s="1138" t="s">
        <v>1349</v>
      </c>
      <c r="GI604" s="1138" t="s">
        <v>1349</v>
      </c>
      <c r="GJ604" s="1138" t="s">
        <v>1349</v>
      </c>
      <c r="GK604" s="1138" t="s">
        <v>1349</v>
      </c>
      <c r="GL604" s="1138" t="s">
        <v>1349</v>
      </c>
      <c r="GM604" s="1138" t="s">
        <v>1349</v>
      </c>
      <c r="GN604" s="1138" t="s">
        <v>1349</v>
      </c>
      <c r="GO604" s="1138" t="s">
        <v>1349</v>
      </c>
      <c r="GP604" s="1138" t="s">
        <v>1349</v>
      </c>
      <c r="GQ604" s="1138" t="s">
        <v>1349</v>
      </c>
      <c r="GR604" s="1138" t="s">
        <v>1349</v>
      </c>
      <c r="GS604" s="1138" t="s">
        <v>1349</v>
      </c>
      <c r="GT604" s="1138" t="s">
        <v>1349</v>
      </c>
      <c r="GU604" s="1138" t="s">
        <v>1349</v>
      </c>
      <c r="GV604" s="1138" t="s">
        <v>1349</v>
      </c>
    </row>
    <row r="605" spans="1:204" x14ac:dyDescent="0.2">
      <c r="A605" s="1136"/>
      <c r="B605" s="1137"/>
      <c r="GG605" s="1138" t="s">
        <v>1349</v>
      </c>
      <c r="GH605" s="1138" t="s">
        <v>1349</v>
      </c>
      <c r="GI605" s="1138" t="s">
        <v>1349</v>
      </c>
      <c r="GJ605" s="1138" t="s">
        <v>1349</v>
      </c>
      <c r="GK605" s="1138" t="s">
        <v>1349</v>
      </c>
      <c r="GL605" s="1138" t="s">
        <v>1349</v>
      </c>
      <c r="GM605" s="1138" t="s">
        <v>1349</v>
      </c>
      <c r="GN605" s="1138" t="s">
        <v>1349</v>
      </c>
      <c r="GO605" s="1138" t="s">
        <v>1349</v>
      </c>
      <c r="GP605" s="1138" t="s">
        <v>1349</v>
      </c>
      <c r="GQ605" s="1138" t="s">
        <v>1349</v>
      </c>
      <c r="GR605" s="1138" t="s">
        <v>1349</v>
      </c>
      <c r="GS605" s="1138" t="s">
        <v>1349</v>
      </c>
      <c r="GT605" s="1138" t="s">
        <v>1349</v>
      </c>
      <c r="GU605" s="1138" t="s">
        <v>1349</v>
      </c>
      <c r="GV605" s="1138" t="s">
        <v>1349</v>
      </c>
    </row>
    <row r="606" spans="1:204" x14ac:dyDescent="0.2">
      <c r="A606" s="1136"/>
      <c r="B606" s="1137"/>
      <c r="GG606" s="1138" t="s">
        <v>1349</v>
      </c>
      <c r="GH606" s="1138" t="s">
        <v>1349</v>
      </c>
      <c r="GI606" s="1138" t="s">
        <v>1349</v>
      </c>
      <c r="GJ606" s="1138" t="s">
        <v>1349</v>
      </c>
      <c r="GK606" s="1138" t="s">
        <v>1349</v>
      </c>
      <c r="GL606" s="1138" t="s">
        <v>1349</v>
      </c>
      <c r="GM606" s="1138" t="s">
        <v>1349</v>
      </c>
      <c r="GN606" s="1138" t="s">
        <v>1349</v>
      </c>
      <c r="GO606" s="1138" t="s">
        <v>1349</v>
      </c>
      <c r="GP606" s="1138" t="s">
        <v>1349</v>
      </c>
      <c r="GQ606" s="1138" t="s">
        <v>1349</v>
      </c>
      <c r="GR606" s="1138" t="s">
        <v>1349</v>
      </c>
      <c r="GS606" s="1138" t="s">
        <v>1349</v>
      </c>
      <c r="GT606" s="1138" t="s">
        <v>1349</v>
      </c>
      <c r="GU606" s="1138" t="s">
        <v>1349</v>
      </c>
      <c r="GV606" s="1138" t="s">
        <v>1349</v>
      </c>
    </row>
    <row r="607" spans="1:204" x14ac:dyDescent="0.2">
      <c r="A607" s="1136"/>
      <c r="B607" s="1137"/>
      <c r="GG607" s="1138" t="s">
        <v>1349</v>
      </c>
      <c r="GH607" s="1138" t="s">
        <v>1349</v>
      </c>
      <c r="GI607" s="1138" t="s">
        <v>1349</v>
      </c>
      <c r="GJ607" s="1138" t="s">
        <v>1349</v>
      </c>
      <c r="GK607" s="1138" t="s">
        <v>1349</v>
      </c>
      <c r="GL607" s="1138" t="s">
        <v>1349</v>
      </c>
      <c r="GM607" s="1138" t="s">
        <v>1349</v>
      </c>
      <c r="GN607" s="1138" t="s">
        <v>1349</v>
      </c>
      <c r="GO607" s="1138" t="s">
        <v>1349</v>
      </c>
      <c r="GP607" s="1138" t="s">
        <v>1349</v>
      </c>
      <c r="GQ607" s="1138" t="s">
        <v>1349</v>
      </c>
      <c r="GR607" s="1138" t="s">
        <v>1349</v>
      </c>
      <c r="GS607" s="1138" t="s">
        <v>1349</v>
      </c>
      <c r="GT607" s="1138" t="s">
        <v>1349</v>
      </c>
      <c r="GU607" s="1138" t="s">
        <v>1349</v>
      </c>
      <c r="GV607" s="1138" t="s">
        <v>1349</v>
      </c>
    </row>
    <row r="608" spans="1:204" x14ac:dyDescent="0.2">
      <c r="A608" s="1136"/>
      <c r="B608" s="1137"/>
      <c r="GG608" s="1138" t="s">
        <v>1349</v>
      </c>
      <c r="GH608" s="1138" t="s">
        <v>1349</v>
      </c>
      <c r="GI608" s="1138" t="s">
        <v>1349</v>
      </c>
      <c r="GJ608" s="1138" t="s">
        <v>1349</v>
      </c>
      <c r="GK608" s="1138" t="s">
        <v>1349</v>
      </c>
      <c r="GL608" s="1138" t="s">
        <v>1349</v>
      </c>
      <c r="GM608" s="1138" t="s">
        <v>1349</v>
      </c>
      <c r="GN608" s="1138" t="s">
        <v>1349</v>
      </c>
      <c r="GO608" s="1138" t="s">
        <v>1349</v>
      </c>
      <c r="GP608" s="1138" t="s">
        <v>1349</v>
      </c>
      <c r="GQ608" s="1138" t="s">
        <v>1349</v>
      </c>
      <c r="GR608" s="1138" t="s">
        <v>1349</v>
      </c>
      <c r="GS608" s="1138" t="s">
        <v>1349</v>
      </c>
      <c r="GT608" s="1138" t="s">
        <v>1349</v>
      </c>
      <c r="GU608" s="1138" t="s">
        <v>1349</v>
      </c>
      <c r="GV608" s="1138" t="s">
        <v>1349</v>
      </c>
    </row>
    <row r="609" spans="1:204" x14ac:dyDescent="0.2">
      <c r="A609" s="1136"/>
      <c r="B609" s="1137"/>
      <c r="GG609" s="1138" t="s">
        <v>1349</v>
      </c>
      <c r="GH609" s="1138" t="s">
        <v>1349</v>
      </c>
      <c r="GI609" s="1138" t="s">
        <v>1349</v>
      </c>
      <c r="GJ609" s="1138" t="s">
        <v>1349</v>
      </c>
      <c r="GK609" s="1138" t="s">
        <v>1349</v>
      </c>
      <c r="GL609" s="1138" t="s">
        <v>1349</v>
      </c>
      <c r="GM609" s="1138" t="s">
        <v>1349</v>
      </c>
      <c r="GN609" s="1138" t="s">
        <v>1349</v>
      </c>
      <c r="GO609" s="1138" t="s">
        <v>1349</v>
      </c>
      <c r="GP609" s="1138" t="s">
        <v>1349</v>
      </c>
      <c r="GQ609" s="1138" t="s">
        <v>1349</v>
      </c>
      <c r="GR609" s="1138" t="s">
        <v>1349</v>
      </c>
      <c r="GS609" s="1138" t="s">
        <v>1349</v>
      </c>
      <c r="GT609" s="1138" t="s">
        <v>1349</v>
      </c>
      <c r="GU609" s="1138" t="s">
        <v>1349</v>
      </c>
      <c r="GV609" s="1138" t="s">
        <v>1349</v>
      </c>
    </row>
    <row r="610" spans="1:204" x14ac:dyDescent="0.2">
      <c r="A610" s="1136"/>
      <c r="B610" s="1137"/>
      <c r="GG610" s="1138" t="s">
        <v>1349</v>
      </c>
      <c r="GH610" s="1138" t="s">
        <v>1349</v>
      </c>
      <c r="GI610" s="1138" t="s">
        <v>1349</v>
      </c>
      <c r="GJ610" s="1138" t="s">
        <v>1349</v>
      </c>
      <c r="GK610" s="1138" t="s">
        <v>1349</v>
      </c>
      <c r="GL610" s="1138" t="s">
        <v>1349</v>
      </c>
      <c r="GM610" s="1138" t="s">
        <v>1349</v>
      </c>
      <c r="GN610" s="1138" t="s">
        <v>1349</v>
      </c>
      <c r="GO610" s="1138" t="s">
        <v>1349</v>
      </c>
      <c r="GP610" s="1138" t="s">
        <v>1349</v>
      </c>
      <c r="GQ610" s="1138" t="s">
        <v>1349</v>
      </c>
      <c r="GR610" s="1138" t="s">
        <v>1349</v>
      </c>
      <c r="GS610" s="1138" t="s">
        <v>1349</v>
      </c>
      <c r="GT610" s="1138" t="s">
        <v>1349</v>
      </c>
      <c r="GU610" s="1138" t="s">
        <v>1349</v>
      </c>
      <c r="GV610" s="1138" t="s">
        <v>1349</v>
      </c>
    </row>
    <row r="611" spans="1:204" x14ac:dyDescent="0.2">
      <c r="A611" s="1136"/>
      <c r="B611" s="1137"/>
      <c r="GG611" s="1138" t="s">
        <v>1349</v>
      </c>
      <c r="GH611" s="1138" t="s">
        <v>1349</v>
      </c>
      <c r="GI611" s="1138" t="s">
        <v>1349</v>
      </c>
      <c r="GJ611" s="1138" t="s">
        <v>1349</v>
      </c>
      <c r="GK611" s="1138" t="s">
        <v>1349</v>
      </c>
      <c r="GL611" s="1138" t="s">
        <v>1349</v>
      </c>
      <c r="GM611" s="1138" t="s">
        <v>1349</v>
      </c>
      <c r="GN611" s="1138" t="s">
        <v>1349</v>
      </c>
      <c r="GO611" s="1138" t="s">
        <v>1349</v>
      </c>
      <c r="GP611" s="1138" t="s">
        <v>1349</v>
      </c>
      <c r="GQ611" s="1138" t="s">
        <v>1349</v>
      </c>
      <c r="GR611" s="1138" t="s">
        <v>1349</v>
      </c>
      <c r="GS611" s="1138" t="s">
        <v>1349</v>
      </c>
      <c r="GT611" s="1138" t="s">
        <v>1349</v>
      </c>
      <c r="GU611" s="1138" t="s">
        <v>1349</v>
      </c>
      <c r="GV611" s="1138" t="s">
        <v>1349</v>
      </c>
    </row>
    <row r="612" spans="1:204" x14ac:dyDescent="0.2">
      <c r="A612" s="1136"/>
      <c r="B612" s="1137"/>
      <c r="GG612" s="1138" t="s">
        <v>1349</v>
      </c>
      <c r="GH612" s="1138" t="s">
        <v>1349</v>
      </c>
      <c r="GI612" s="1138" t="s">
        <v>1349</v>
      </c>
      <c r="GJ612" s="1138" t="s">
        <v>1349</v>
      </c>
      <c r="GK612" s="1138" t="s">
        <v>1349</v>
      </c>
      <c r="GL612" s="1138" t="s">
        <v>1349</v>
      </c>
      <c r="GM612" s="1138" t="s">
        <v>1349</v>
      </c>
      <c r="GN612" s="1138" t="s">
        <v>1349</v>
      </c>
      <c r="GO612" s="1138" t="s">
        <v>1349</v>
      </c>
      <c r="GP612" s="1138" t="s">
        <v>1349</v>
      </c>
      <c r="GQ612" s="1138" t="s">
        <v>1349</v>
      </c>
      <c r="GR612" s="1138" t="s">
        <v>1349</v>
      </c>
      <c r="GS612" s="1138" t="s">
        <v>1349</v>
      </c>
      <c r="GT612" s="1138" t="s">
        <v>1349</v>
      </c>
      <c r="GU612" s="1138" t="s">
        <v>1349</v>
      </c>
      <c r="GV612" s="1138" t="s">
        <v>1349</v>
      </c>
    </row>
    <row r="613" spans="1:204" x14ac:dyDescent="0.2">
      <c r="A613" s="1136"/>
      <c r="B613" s="1137"/>
      <c r="GG613" s="1138" t="s">
        <v>1349</v>
      </c>
      <c r="GH613" s="1138" t="s">
        <v>1349</v>
      </c>
      <c r="GI613" s="1138" t="s">
        <v>1349</v>
      </c>
      <c r="GJ613" s="1138" t="s">
        <v>1349</v>
      </c>
      <c r="GK613" s="1138" t="s">
        <v>1349</v>
      </c>
      <c r="GL613" s="1138" t="s">
        <v>1349</v>
      </c>
      <c r="GM613" s="1138" t="s">
        <v>1349</v>
      </c>
      <c r="GN613" s="1138" t="s">
        <v>1349</v>
      </c>
      <c r="GO613" s="1138" t="s">
        <v>1349</v>
      </c>
      <c r="GP613" s="1138" t="s">
        <v>1349</v>
      </c>
      <c r="GQ613" s="1138" t="s">
        <v>1349</v>
      </c>
      <c r="GR613" s="1138" t="s">
        <v>1349</v>
      </c>
      <c r="GS613" s="1138" t="s">
        <v>1349</v>
      </c>
      <c r="GT613" s="1138" t="s">
        <v>1349</v>
      </c>
      <c r="GU613" s="1138" t="s">
        <v>1349</v>
      </c>
      <c r="GV613" s="1138" t="s">
        <v>1349</v>
      </c>
    </row>
    <row r="614" spans="1:204" x14ac:dyDescent="0.2">
      <c r="A614" s="1136"/>
      <c r="B614" s="1137"/>
      <c r="GG614" s="1138" t="s">
        <v>1349</v>
      </c>
      <c r="GH614" s="1138" t="s">
        <v>1349</v>
      </c>
      <c r="GI614" s="1138" t="s">
        <v>1349</v>
      </c>
      <c r="GJ614" s="1138" t="s">
        <v>1349</v>
      </c>
      <c r="GK614" s="1138" t="s">
        <v>1349</v>
      </c>
      <c r="GL614" s="1138" t="s">
        <v>1349</v>
      </c>
      <c r="GM614" s="1138" t="s">
        <v>1349</v>
      </c>
      <c r="GN614" s="1138" t="s">
        <v>1349</v>
      </c>
      <c r="GO614" s="1138" t="s">
        <v>1349</v>
      </c>
      <c r="GP614" s="1138" t="s">
        <v>1349</v>
      </c>
      <c r="GQ614" s="1138" t="s">
        <v>1349</v>
      </c>
      <c r="GR614" s="1138" t="s">
        <v>1349</v>
      </c>
      <c r="GS614" s="1138" t="s">
        <v>1349</v>
      </c>
      <c r="GT614" s="1138" t="s">
        <v>1349</v>
      </c>
      <c r="GU614" s="1138" t="s">
        <v>1349</v>
      </c>
      <c r="GV614" s="1138" t="s">
        <v>1349</v>
      </c>
    </row>
    <row r="615" spans="1:204" x14ac:dyDescent="0.2">
      <c r="A615" s="1136"/>
      <c r="B615" s="1137"/>
      <c r="GG615" s="1138" t="s">
        <v>1349</v>
      </c>
      <c r="GH615" s="1138" t="s">
        <v>1349</v>
      </c>
      <c r="GI615" s="1138" t="s">
        <v>1349</v>
      </c>
      <c r="GJ615" s="1138" t="s">
        <v>1349</v>
      </c>
      <c r="GK615" s="1138" t="s">
        <v>1349</v>
      </c>
      <c r="GL615" s="1138" t="s">
        <v>1349</v>
      </c>
      <c r="GM615" s="1138" t="s">
        <v>1349</v>
      </c>
      <c r="GN615" s="1138" t="s">
        <v>1349</v>
      </c>
      <c r="GO615" s="1138" t="s">
        <v>1349</v>
      </c>
      <c r="GP615" s="1138" t="s">
        <v>1349</v>
      </c>
      <c r="GQ615" s="1138" t="s">
        <v>1349</v>
      </c>
      <c r="GR615" s="1138" t="s">
        <v>1349</v>
      </c>
      <c r="GS615" s="1138" t="s">
        <v>1349</v>
      </c>
      <c r="GT615" s="1138" t="s">
        <v>1349</v>
      </c>
      <c r="GU615" s="1138" t="s">
        <v>1349</v>
      </c>
      <c r="GV615" s="1138" t="s">
        <v>1349</v>
      </c>
    </row>
    <row r="616" spans="1:204" x14ac:dyDescent="0.2">
      <c r="A616" s="1136"/>
      <c r="B616" s="1137"/>
      <c r="GG616" s="1138" t="s">
        <v>1349</v>
      </c>
      <c r="GH616" s="1138" t="s">
        <v>1349</v>
      </c>
      <c r="GI616" s="1138" t="s">
        <v>1349</v>
      </c>
      <c r="GJ616" s="1138" t="s">
        <v>1349</v>
      </c>
      <c r="GK616" s="1138" t="s">
        <v>1349</v>
      </c>
      <c r="GL616" s="1138" t="s">
        <v>1349</v>
      </c>
      <c r="GM616" s="1138" t="s">
        <v>1349</v>
      </c>
      <c r="GN616" s="1138" t="s">
        <v>1349</v>
      </c>
      <c r="GO616" s="1138" t="s">
        <v>1349</v>
      </c>
      <c r="GP616" s="1138" t="s">
        <v>1349</v>
      </c>
      <c r="GQ616" s="1138" t="s">
        <v>1349</v>
      </c>
      <c r="GR616" s="1138" t="s">
        <v>1349</v>
      </c>
      <c r="GS616" s="1138" t="s">
        <v>1349</v>
      </c>
      <c r="GT616" s="1138" t="s">
        <v>1349</v>
      </c>
      <c r="GU616" s="1138" t="s">
        <v>1349</v>
      </c>
      <c r="GV616" s="1138" t="s">
        <v>1349</v>
      </c>
    </row>
    <row r="617" spans="1:204" x14ac:dyDescent="0.2">
      <c r="A617" s="1136"/>
      <c r="B617" s="1137"/>
      <c r="GG617" s="1138" t="s">
        <v>1349</v>
      </c>
      <c r="GH617" s="1138" t="s">
        <v>1349</v>
      </c>
      <c r="GI617" s="1138" t="s">
        <v>1349</v>
      </c>
      <c r="GJ617" s="1138" t="s">
        <v>1349</v>
      </c>
      <c r="GK617" s="1138" t="s">
        <v>1349</v>
      </c>
      <c r="GL617" s="1138" t="s">
        <v>1349</v>
      </c>
      <c r="GM617" s="1138" t="s">
        <v>1349</v>
      </c>
      <c r="GN617" s="1138" t="s">
        <v>1349</v>
      </c>
      <c r="GO617" s="1138" t="s">
        <v>1349</v>
      </c>
      <c r="GP617" s="1138" t="s">
        <v>1349</v>
      </c>
      <c r="GQ617" s="1138" t="s">
        <v>1349</v>
      </c>
      <c r="GR617" s="1138" t="s">
        <v>1349</v>
      </c>
      <c r="GS617" s="1138" t="s">
        <v>1349</v>
      </c>
      <c r="GT617" s="1138" t="s">
        <v>1349</v>
      </c>
      <c r="GU617" s="1138" t="s">
        <v>1349</v>
      </c>
      <c r="GV617" s="1138" t="s">
        <v>1349</v>
      </c>
    </row>
    <row r="618" spans="1:204" x14ac:dyDescent="0.2">
      <c r="A618" s="1136"/>
      <c r="B618" s="1137"/>
      <c r="GG618" s="1138" t="s">
        <v>1349</v>
      </c>
      <c r="GH618" s="1138" t="s">
        <v>1349</v>
      </c>
      <c r="GI618" s="1138" t="s">
        <v>1349</v>
      </c>
      <c r="GJ618" s="1138" t="s">
        <v>1349</v>
      </c>
      <c r="GK618" s="1138" t="s">
        <v>1349</v>
      </c>
      <c r="GL618" s="1138" t="s">
        <v>1349</v>
      </c>
      <c r="GM618" s="1138" t="s">
        <v>1349</v>
      </c>
      <c r="GN618" s="1138" t="s">
        <v>1349</v>
      </c>
      <c r="GO618" s="1138" t="s">
        <v>1349</v>
      </c>
      <c r="GP618" s="1138" t="s">
        <v>1349</v>
      </c>
      <c r="GQ618" s="1138" t="s">
        <v>1349</v>
      </c>
      <c r="GR618" s="1138" t="s">
        <v>1349</v>
      </c>
      <c r="GS618" s="1138" t="s">
        <v>1349</v>
      </c>
      <c r="GT618" s="1138" t="s">
        <v>1349</v>
      </c>
      <c r="GU618" s="1138" t="s">
        <v>1349</v>
      </c>
      <c r="GV618" s="1138" t="s">
        <v>1349</v>
      </c>
    </row>
    <row r="619" spans="1:204" x14ac:dyDescent="0.2">
      <c r="A619" s="1136"/>
      <c r="B619" s="1137"/>
      <c r="GG619" s="1138" t="s">
        <v>1349</v>
      </c>
      <c r="GH619" s="1138" t="s">
        <v>1349</v>
      </c>
      <c r="GI619" s="1138" t="s">
        <v>1349</v>
      </c>
      <c r="GJ619" s="1138" t="s">
        <v>1349</v>
      </c>
      <c r="GK619" s="1138" t="s">
        <v>1349</v>
      </c>
      <c r="GL619" s="1138" t="s">
        <v>1349</v>
      </c>
      <c r="GM619" s="1138" t="s">
        <v>1349</v>
      </c>
      <c r="GN619" s="1138" t="s">
        <v>1349</v>
      </c>
      <c r="GO619" s="1138" t="s">
        <v>1349</v>
      </c>
      <c r="GP619" s="1138" t="s">
        <v>1349</v>
      </c>
      <c r="GQ619" s="1138" t="s">
        <v>1349</v>
      </c>
      <c r="GR619" s="1138" t="s">
        <v>1349</v>
      </c>
      <c r="GS619" s="1138" t="s">
        <v>1349</v>
      </c>
      <c r="GT619" s="1138" t="s">
        <v>1349</v>
      </c>
      <c r="GU619" s="1138" t="s">
        <v>1349</v>
      </c>
      <c r="GV619" s="1138" t="s">
        <v>1349</v>
      </c>
    </row>
    <row r="620" spans="1:204" x14ac:dyDescent="0.2">
      <c r="A620" s="1136"/>
      <c r="B620" s="1137"/>
      <c r="GG620" s="1138" t="s">
        <v>1349</v>
      </c>
      <c r="GH620" s="1138" t="s">
        <v>1349</v>
      </c>
      <c r="GI620" s="1138" t="s">
        <v>1349</v>
      </c>
      <c r="GJ620" s="1138" t="s">
        <v>1349</v>
      </c>
      <c r="GK620" s="1138" t="s">
        <v>1349</v>
      </c>
      <c r="GL620" s="1138" t="s">
        <v>1349</v>
      </c>
      <c r="GM620" s="1138" t="s">
        <v>1349</v>
      </c>
      <c r="GN620" s="1138" t="s">
        <v>1349</v>
      </c>
      <c r="GO620" s="1138" t="s">
        <v>1349</v>
      </c>
      <c r="GP620" s="1138" t="s">
        <v>1349</v>
      </c>
      <c r="GQ620" s="1138" t="s">
        <v>1349</v>
      </c>
      <c r="GR620" s="1138" t="s">
        <v>1349</v>
      </c>
      <c r="GS620" s="1138" t="s">
        <v>1349</v>
      </c>
      <c r="GT620" s="1138" t="s">
        <v>1349</v>
      </c>
      <c r="GU620" s="1138" t="s">
        <v>1349</v>
      </c>
      <c r="GV620" s="1138" t="s">
        <v>1349</v>
      </c>
    </row>
    <row r="621" spans="1:204" x14ac:dyDescent="0.2">
      <c r="A621" s="1136"/>
      <c r="B621" s="1137"/>
      <c r="GG621" s="1138" t="s">
        <v>1349</v>
      </c>
      <c r="GH621" s="1138" t="s">
        <v>1349</v>
      </c>
      <c r="GI621" s="1138" t="s">
        <v>1349</v>
      </c>
      <c r="GJ621" s="1138" t="s">
        <v>1349</v>
      </c>
      <c r="GK621" s="1138" t="s">
        <v>1349</v>
      </c>
      <c r="GL621" s="1138" t="s">
        <v>1349</v>
      </c>
      <c r="GM621" s="1138" t="s">
        <v>1349</v>
      </c>
      <c r="GN621" s="1138" t="s">
        <v>1349</v>
      </c>
      <c r="GO621" s="1138" t="s">
        <v>1349</v>
      </c>
      <c r="GP621" s="1138" t="s">
        <v>1349</v>
      </c>
      <c r="GQ621" s="1138" t="s">
        <v>1349</v>
      </c>
      <c r="GR621" s="1138" t="s">
        <v>1349</v>
      </c>
      <c r="GS621" s="1138" t="s">
        <v>1349</v>
      </c>
      <c r="GT621" s="1138" t="s">
        <v>1349</v>
      </c>
      <c r="GU621" s="1138" t="s">
        <v>1349</v>
      </c>
      <c r="GV621" s="1138" t="s">
        <v>1349</v>
      </c>
    </row>
    <row r="622" spans="1:204" x14ac:dyDescent="0.2">
      <c r="A622" s="1136"/>
      <c r="B622" s="1137"/>
      <c r="GG622" s="1138" t="s">
        <v>1349</v>
      </c>
      <c r="GH622" s="1138" t="s">
        <v>1349</v>
      </c>
      <c r="GI622" s="1138" t="s">
        <v>1349</v>
      </c>
      <c r="GJ622" s="1138" t="s">
        <v>1349</v>
      </c>
      <c r="GK622" s="1138" t="s">
        <v>1349</v>
      </c>
      <c r="GL622" s="1138" t="s">
        <v>1349</v>
      </c>
      <c r="GM622" s="1138" t="s">
        <v>1349</v>
      </c>
      <c r="GN622" s="1138" t="s">
        <v>1349</v>
      </c>
      <c r="GO622" s="1138" t="s">
        <v>1349</v>
      </c>
      <c r="GP622" s="1138" t="s">
        <v>1349</v>
      </c>
      <c r="GQ622" s="1138" t="s">
        <v>1349</v>
      </c>
      <c r="GR622" s="1138" t="s">
        <v>1349</v>
      </c>
      <c r="GS622" s="1138" t="s">
        <v>1349</v>
      </c>
      <c r="GT622" s="1138" t="s">
        <v>1349</v>
      </c>
      <c r="GU622" s="1138" t="s">
        <v>1349</v>
      </c>
      <c r="GV622" s="1138" t="s">
        <v>1349</v>
      </c>
    </row>
    <row r="623" spans="1:204" x14ac:dyDescent="0.2">
      <c r="A623" s="1136"/>
      <c r="B623" s="1137"/>
      <c r="GG623" s="1138" t="s">
        <v>1349</v>
      </c>
      <c r="GH623" s="1138" t="s">
        <v>1349</v>
      </c>
      <c r="GI623" s="1138" t="s">
        <v>1349</v>
      </c>
      <c r="GJ623" s="1138" t="s">
        <v>1349</v>
      </c>
      <c r="GK623" s="1138" t="s">
        <v>1349</v>
      </c>
      <c r="GL623" s="1138" t="s">
        <v>1349</v>
      </c>
      <c r="GM623" s="1138" t="s">
        <v>1349</v>
      </c>
      <c r="GN623" s="1138" t="s">
        <v>1349</v>
      </c>
      <c r="GO623" s="1138" t="s">
        <v>1349</v>
      </c>
      <c r="GP623" s="1138" t="s">
        <v>1349</v>
      </c>
      <c r="GQ623" s="1138" t="s">
        <v>1349</v>
      </c>
      <c r="GR623" s="1138" t="s">
        <v>1349</v>
      </c>
      <c r="GS623" s="1138" t="s">
        <v>1349</v>
      </c>
      <c r="GT623" s="1138" t="s">
        <v>1349</v>
      </c>
      <c r="GU623" s="1138" t="s">
        <v>1349</v>
      </c>
      <c r="GV623" s="1138" t="s">
        <v>1349</v>
      </c>
    </row>
    <row r="624" spans="1:204" x14ac:dyDescent="0.2">
      <c r="A624" s="1136"/>
      <c r="B624" s="1137"/>
      <c r="GG624" s="1138" t="s">
        <v>1349</v>
      </c>
      <c r="GH624" s="1138" t="s">
        <v>1349</v>
      </c>
      <c r="GI624" s="1138" t="s">
        <v>1349</v>
      </c>
      <c r="GJ624" s="1138" t="s">
        <v>1349</v>
      </c>
      <c r="GK624" s="1138" t="s">
        <v>1349</v>
      </c>
      <c r="GL624" s="1138" t="s">
        <v>1349</v>
      </c>
      <c r="GM624" s="1138" t="s">
        <v>1349</v>
      </c>
      <c r="GN624" s="1138" t="s">
        <v>1349</v>
      </c>
      <c r="GO624" s="1138" t="s">
        <v>1349</v>
      </c>
      <c r="GP624" s="1138" t="s">
        <v>1349</v>
      </c>
      <c r="GQ624" s="1138" t="s">
        <v>1349</v>
      </c>
      <c r="GR624" s="1138" t="s">
        <v>1349</v>
      </c>
      <c r="GS624" s="1138" t="s">
        <v>1349</v>
      </c>
      <c r="GT624" s="1138" t="s">
        <v>1349</v>
      </c>
      <c r="GU624" s="1138" t="s">
        <v>1349</v>
      </c>
      <c r="GV624" s="1138" t="s">
        <v>1349</v>
      </c>
    </row>
    <row r="625" spans="1:204" x14ac:dyDescent="0.2">
      <c r="A625" s="1136"/>
      <c r="B625" s="1137"/>
      <c r="GG625" s="1138" t="s">
        <v>1349</v>
      </c>
      <c r="GH625" s="1138" t="s">
        <v>1349</v>
      </c>
      <c r="GI625" s="1138" t="s">
        <v>1349</v>
      </c>
      <c r="GJ625" s="1138" t="s">
        <v>1349</v>
      </c>
      <c r="GK625" s="1138" t="s">
        <v>1349</v>
      </c>
      <c r="GL625" s="1138" t="s">
        <v>1349</v>
      </c>
      <c r="GM625" s="1138" t="s">
        <v>1349</v>
      </c>
      <c r="GN625" s="1138" t="s">
        <v>1349</v>
      </c>
      <c r="GO625" s="1138" t="s">
        <v>1349</v>
      </c>
      <c r="GP625" s="1138" t="s">
        <v>1349</v>
      </c>
      <c r="GQ625" s="1138" t="s">
        <v>1349</v>
      </c>
      <c r="GR625" s="1138" t="s">
        <v>1349</v>
      </c>
      <c r="GS625" s="1138" t="s">
        <v>1349</v>
      </c>
      <c r="GT625" s="1138" t="s">
        <v>1349</v>
      </c>
      <c r="GU625" s="1138" t="s">
        <v>1349</v>
      </c>
      <c r="GV625" s="1138" t="s">
        <v>1349</v>
      </c>
    </row>
    <row r="626" spans="1:204" x14ac:dyDescent="0.2">
      <c r="A626" s="1136"/>
      <c r="B626" s="1137"/>
      <c r="GG626" s="1138" t="s">
        <v>1349</v>
      </c>
      <c r="GH626" s="1138" t="s">
        <v>1349</v>
      </c>
      <c r="GI626" s="1138" t="s">
        <v>1349</v>
      </c>
      <c r="GJ626" s="1138" t="s">
        <v>1349</v>
      </c>
      <c r="GK626" s="1138" t="s">
        <v>1349</v>
      </c>
      <c r="GL626" s="1138" t="s">
        <v>1349</v>
      </c>
      <c r="GM626" s="1138" t="s">
        <v>1349</v>
      </c>
      <c r="GN626" s="1138" t="s">
        <v>1349</v>
      </c>
      <c r="GO626" s="1138" t="s">
        <v>1349</v>
      </c>
      <c r="GP626" s="1138" t="s">
        <v>1349</v>
      </c>
      <c r="GQ626" s="1138" t="s">
        <v>1349</v>
      </c>
      <c r="GR626" s="1138" t="s">
        <v>1349</v>
      </c>
      <c r="GS626" s="1138" t="s">
        <v>1349</v>
      </c>
      <c r="GT626" s="1138" t="s">
        <v>1349</v>
      </c>
      <c r="GU626" s="1138" t="s">
        <v>1349</v>
      </c>
      <c r="GV626" s="1138" t="s">
        <v>1349</v>
      </c>
    </row>
    <row r="627" spans="1:204" x14ac:dyDescent="0.2">
      <c r="A627" s="1136"/>
      <c r="B627" s="1137"/>
      <c r="GG627" s="1138" t="s">
        <v>1349</v>
      </c>
      <c r="GH627" s="1138" t="s">
        <v>1349</v>
      </c>
      <c r="GI627" s="1138" t="s">
        <v>1349</v>
      </c>
      <c r="GJ627" s="1138" t="s">
        <v>1349</v>
      </c>
      <c r="GK627" s="1138" t="s">
        <v>1349</v>
      </c>
      <c r="GL627" s="1138" t="s">
        <v>1349</v>
      </c>
      <c r="GM627" s="1138" t="s">
        <v>1349</v>
      </c>
      <c r="GN627" s="1138" t="s">
        <v>1349</v>
      </c>
      <c r="GO627" s="1138" t="s">
        <v>1349</v>
      </c>
      <c r="GP627" s="1138" t="s">
        <v>1349</v>
      </c>
      <c r="GQ627" s="1138" t="s">
        <v>1349</v>
      </c>
      <c r="GR627" s="1138" t="s">
        <v>1349</v>
      </c>
      <c r="GS627" s="1138" t="s">
        <v>1349</v>
      </c>
      <c r="GT627" s="1138" t="s">
        <v>1349</v>
      </c>
      <c r="GU627" s="1138" t="s">
        <v>1349</v>
      </c>
      <c r="GV627" s="1138" t="s">
        <v>1349</v>
      </c>
    </row>
    <row r="628" spans="1:204" x14ac:dyDescent="0.2">
      <c r="A628" s="1136"/>
      <c r="B628" s="1137"/>
      <c r="GG628" s="1138" t="s">
        <v>1349</v>
      </c>
      <c r="GH628" s="1138" t="s">
        <v>1349</v>
      </c>
      <c r="GI628" s="1138" t="s">
        <v>1349</v>
      </c>
      <c r="GJ628" s="1138" t="s">
        <v>1349</v>
      </c>
      <c r="GK628" s="1138" t="s">
        <v>1349</v>
      </c>
      <c r="GL628" s="1138" t="s">
        <v>1349</v>
      </c>
      <c r="GM628" s="1138" t="s">
        <v>1349</v>
      </c>
      <c r="GN628" s="1138" t="s">
        <v>1349</v>
      </c>
      <c r="GO628" s="1138" t="s">
        <v>1349</v>
      </c>
      <c r="GP628" s="1138" t="s">
        <v>1349</v>
      </c>
      <c r="GQ628" s="1138" t="s">
        <v>1349</v>
      </c>
      <c r="GR628" s="1138" t="s">
        <v>1349</v>
      </c>
      <c r="GS628" s="1138" t="s">
        <v>1349</v>
      </c>
      <c r="GT628" s="1138" t="s">
        <v>1349</v>
      </c>
      <c r="GU628" s="1138" t="s">
        <v>1349</v>
      </c>
      <c r="GV628" s="1138" t="s">
        <v>1349</v>
      </c>
    </row>
    <row r="629" spans="1:204" x14ac:dyDescent="0.2">
      <c r="A629" s="1136"/>
      <c r="B629" s="1137"/>
      <c r="GG629" s="1138" t="s">
        <v>1349</v>
      </c>
      <c r="GH629" s="1138" t="s">
        <v>1349</v>
      </c>
      <c r="GI629" s="1138" t="s">
        <v>1349</v>
      </c>
      <c r="GJ629" s="1138" t="s">
        <v>1349</v>
      </c>
      <c r="GK629" s="1138" t="s">
        <v>1349</v>
      </c>
      <c r="GL629" s="1138" t="s">
        <v>1349</v>
      </c>
      <c r="GM629" s="1138" t="s">
        <v>1349</v>
      </c>
      <c r="GN629" s="1138" t="s">
        <v>1349</v>
      </c>
      <c r="GO629" s="1138" t="s">
        <v>1349</v>
      </c>
      <c r="GP629" s="1138" t="s">
        <v>1349</v>
      </c>
      <c r="GQ629" s="1138" t="s">
        <v>1349</v>
      </c>
      <c r="GR629" s="1138" t="s">
        <v>1349</v>
      </c>
      <c r="GS629" s="1138" t="s">
        <v>1349</v>
      </c>
      <c r="GT629" s="1138" t="s">
        <v>1349</v>
      </c>
      <c r="GU629" s="1138" t="s">
        <v>1349</v>
      </c>
      <c r="GV629" s="1138" t="s">
        <v>1349</v>
      </c>
    </row>
    <row r="630" spans="1:204" x14ac:dyDescent="0.2">
      <c r="A630" s="1136"/>
      <c r="B630" s="1137"/>
      <c r="GG630" s="1138" t="s">
        <v>1349</v>
      </c>
      <c r="GH630" s="1138" t="s">
        <v>1349</v>
      </c>
      <c r="GI630" s="1138" t="s">
        <v>1349</v>
      </c>
      <c r="GJ630" s="1138" t="s">
        <v>1349</v>
      </c>
      <c r="GK630" s="1138" t="s">
        <v>1349</v>
      </c>
      <c r="GL630" s="1138" t="s">
        <v>1349</v>
      </c>
      <c r="GM630" s="1138" t="s">
        <v>1349</v>
      </c>
      <c r="GN630" s="1138" t="s">
        <v>1349</v>
      </c>
      <c r="GO630" s="1138" t="s">
        <v>1349</v>
      </c>
      <c r="GP630" s="1138" t="s">
        <v>1349</v>
      </c>
      <c r="GQ630" s="1138" t="s">
        <v>1349</v>
      </c>
      <c r="GR630" s="1138" t="s">
        <v>1349</v>
      </c>
      <c r="GS630" s="1138" t="s">
        <v>1349</v>
      </c>
      <c r="GT630" s="1138" t="s">
        <v>1349</v>
      </c>
      <c r="GU630" s="1138" t="s">
        <v>1349</v>
      </c>
      <c r="GV630" s="1138" t="s">
        <v>1349</v>
      </c>
    </row>
    <row r="631" spans="1:204" x14ac:dyDescent="0.2">
      <c r="A631" s="1136"/>
      <c r="B631" s="1137"/>
      <c r="GG631" s="1138" t="s">
        <v>1349</v>
      </c>
      <c r="GH631" s="1138" t="s">
        <v>1349</v>
      </c>
      <c r="GI631" s="1138" t="s">
        <v>1349</v>
      </c>
      <c r="GJ631" s="1138" t="s">
        <v>1349</v>
      </c>
      <c r="GK631" s="1138" t="s">
        <v>1349</v>
      </c>
      <c r="GL631" s="1138" t="s">
        <v>1349</v>
      </c>
      <c r="GM631" s="1138" t="s">
        <v>1349</v>
      </c>
      <c r="GN631" s="1138" t="s">
        <v>1349</v>
      </c>
      <c r="GO631" s="1138" t="s">
        <v>1349</v>
      </c>
      <c r="GP631" s="1138" t="s">
        <v>1349</v>
      </c>
      <c r="GQ631" s="1138" t="s">
        <v>1349</v>
      </c>
      <c r="GR631" s="1138" t="s">
        <v>1349</v>
      </c>
      <c r="GS631" s="1138" t="s">
        <v>1349</v>
      </c>
      <c r="GT631" s="1138" t="s">
        <v>1349</v>
      </c>
      <c r="GU631" s="1138" t="s">
        <v>1349</v>
      </c>
      <c r="GV631" s="1138" t="s">
        <v>1349</v>
      </c>
    </row>
    <row r="632" spans="1:204" x14ac:dyDescent="0.2">
      <c r="A632" s="1136"/>
      <c r="B632" s="1137"/>
      <c r="GG632" s="1138" t="s">
        <v>1349</v>
      </c>
      <c r="GH632" s="1138" t="s">
        <v>1349</v>
      </c>
      <c r="GI632" s="1138" t="s">
        <v>1349</v>
      </c>
      <c r="GJ632" s="1138" t="s">
        <v>1349</v>
      </c>
      <c r="GK632" s="1138" t="s">
        <v>1349</v>
      </c>
      <c r="GL632" s="1138" t="s">
        <v>1349</v>
      </c>
      <c r="GM632" s="1138" t="s">
        <v>1349</v>
      </c>
      <c r="GN632" s="1138" t="s">
        <v>1349</v>
      </c>
      <c r="GO632" s="1138" t="s">
        <v>1349</v>
      </c>
      <c r="GP632" s="1138" t="s">
        <v>1349</v>
      </c>
      <c r="GQ632" s="1138" t="s">
        <v>1349</v>
      </c>
      <c r="GR632" s="1138" t="s">
        <v>1349</v>
      </c>
      <c r="GS632" s="1138" t="s">
        <v>1349</v>
      </c>
      <c r="GT632" s="1138" t="s">
        <v>1349</v>
      </c>
      <c r="GU632" s="1138" t="s">
        <v>1349</v>
      </c>
      <c r="GV632" s="1138" t="s">
        <v>1349</v>
      </c>
    </row>
    <row r="633" spans="1:204" x14ac:dyDescent="0.2">
      <c r="A633" s="1136"/>
      <c r="B633" s="1137"/>
      <c r="GG633" s="1138" t="s">
        <v>1349</v>
      </c>
      <c r="GH633" s="1138" t="s">
        <v>1349</v>
      </c>
      <c r="GI633" s="1138" t="s">
        <v>1349</v>
      </c>
      <c r="GJ633" s="1138" t="s">
        <v>1349</v>
      </c>
      <c r="GK633" s="1138" t="s">
        <v>1349</v>
      </c>
      <c r="GL633" s="1138" t="s">
        <v>1349</v>
      </c>
      <c r="GM633" s="1138" t="s">
        <v>1349</v>
      </c>
      <c r="GN633" s="1138" t="s">
        <v>1349</v>
      </c>
      <c r="GO633" s="1138" t="s">
        <v>1349</v>
      </c>
      <c r="GP633" s="1138" t="s">
        <v>1349</v>
      </c>
      <c r="GQ633" s="1138" t="s">
        <v>1349</v>
      </c>
      <c r="GR633" s="1138" t="s">
        <v>1349</v>
      </c>
      <c r="GS633" s="1138" t="s">
        <v>1349</v>
      </c>
      <c r="GT633" s="1138" t="s">
        <v>1349</v>
      </c>
      <c r="GU633" s="1138" t="s">
        <v>1349</v>
      </c>
      <c r="GV633" s="1138" t="s">
        <v>1349</v>
      </c>
    </row>
    <row r="634" spans="1:204" x14ac:dyDescent="0.2">
      <c r="A634" s="1136"/>
      <c r="B634" s="1137"/>
      <c r="GG634" s="1138" t="s">
        <v>1349</v>
      </c>
      <c r="GH634" s="1138" t="s">
        <v>1349</v>
      </c>
      <c r="GI634" s="1138" t="s">
        <v>1349</v>
      </c>
      <c r="GJ634" s="1138" t="s">
        <v>1349</v>
      </c>
      <c r="GK634" s="1138" t="s">
        <v>1349</v>
      </c>
      <c r="GL634" s="1138" t="s">
        <v>1349</v>
      </c>
      <c r="GM634" s="1138" t="s">
        <v>1349</v>
      </c>
      <c r="GN634" s="1138" t="s">
        <v>1349</v>
      </c>
      <c r="GO634" s="1138" t="s">
        <v>1349</v>
      </c>
      <c r="GP634" s="1138" t="s">
        <v>1349</v>
      </c>
      <c r="GQ634" s="1138" t="s">
        <v>1349</v>
      </c>
      <c r="GR634" s="1138" t="s">
        <v>1349</v>
      </c>
      <c r="GS634" s="1138" t="s">
        <v>1349</v>
      </c>
      <c r="GT634" s="1138" t="s">
        <v>1349</v>
      </c>
      <c r="GU634" s="1138" t="s">
        <v>1349</v>
      </c>
      <c r="GV634" s="1138" t="s">
        <v>1349</v>
      </c>
    </row>
    <row r="635" spans="1:204" x14ac:dyDescent="0.2">
      <c r="A635" s="1136"/>
      <c r="B635" s="1137"/>
      <c r="GG635" s="1138" t="s">
        <v>1349</v>
      </c>
      <c r="GH635" s="1138" t="s">
        <v>1349</v>
      </c>
      <c r="GI635" s="1138" t="s">
        <v>1349</v>
      </c>
      <c r="GJ635" s="1138" t="s">
        <v>1349</v>
      </c>
      <c r="GK635" s="1138" t="s">
        <v>1349</v>
      </c>
      <c r="GL635" s="1138" t="s">
        <v>1349</v>
      </c>
      <c r="GM635" s="1138" t="s">
        <v>1349</v>
      </c>
      <c r="GN635" s="1138" t="s">
        <v>1349</v>
      </c>
      <c r="GO635" s="1138" t="s">
        <v>1349</v>
      </c>
      <c r="GP635" s="1138" t="s">
        <v>1349</v>
      </c>
      <c r="GQ635" s="1138" t="s">
        <v>1349</v>
      </c>
      <c r="GR635" s="1138" t="s">
        <v>1349</v>
      </c>
      <c r="GS635" s="1138" t="s">
        <v>1349</v>
      </c>
      <c r="GT635" s="1138" t="s">
        <v>1349</v>
      </c>
      <c r="GU635" s="1138" t="s">
        <v>1349</v>
      </c>
      <c r="GV635" s="1138" t="s">
        <v>1349</v>
      </c>
    </row>
    <row r="636" spans="1:204" x14ac:dyDescent="0.2">
      <c r="A636" s="1136"/>
      <c r="B636" s="1137"/>
      <c r="GG636" s="1138" t="s">
        <v>1349</v>
      </c>
      <c r="GH636" s="1138" t="s">
        <v>1349</v>
      </c>
      <c r="GI636" s="1138" t="s">
        <v>1349</v>
      </c>
      <c r="GJ636" s="1138" t="s">
        <v>1349</v>
      </c>
      <c r="GK636" s="1138" t="s">
        <v>1349</v>
      </c>
      <c r="GL636" s="1138" t="s">
        <v>1349</v>
      </c>
      <c r="GM636" s="1138" t="s">
        <v>1349</v>
      </c>
      <c r="GN636" s="1138" t="s">
        <v>1349</v>
      </c>
      <c r="GO636" s="1138" t="s">
        <v>1349</v>
      </c>
      <c r="GP636" s="1138" t="s">
        <v>1349</v>
      </c>
      <c r="GQ636" s="1138" t="s">
        <v>1349</v>
      </c>
      <c r="GR636" s="1138" t="s">
        <v>1349</v>
      </c>
      <c r="GS636" s="1138" t="s">
        <v>1349</v>
      </c>
      <c r="GT636" s="1138" t="s">
        <v>1349</v>
      </c>
      <c r="GU636" s="1138" t="s">
        <v>1349</v>
      </c>
      <c r="GV636" s="1138" t="s">
        <v>1349</v>
      </c>
    </row>
    <row r="637" spans="1:204" x14ac:dyDescent="0.2">
      <c r="A637" s="1136"/>
      <c r="B637" s="1137"/>
      <c r="GG637" s="1138" t="s">
        <v>1349</v>
      </c>
      <c r="GH637" s="1138" t="s">
        <v>1349</v>
      </c>
      <c r="GI637" s="1138" t="s">
        <v>1349</v>
      </c>
      <c r="GJ637" s="1138" t="s">
        <v>1349</v>
      </c>
      <c r="GK637" s="1138" t="s">
        <v>1349</v>
      </c>
      <c r="GL637" s="1138" t="s">
        <v>1349</v>
      </c>
      <c r="GM637" s="1138" t="s">
        <v>1349</v>
      </c>
      <c r="GN637" s="1138" t="s">
        <v>1349</v>
      </c>
      <c r="GO637" s="1138" t="s">
        <v>1349</v>
      </c>
      <c r="GP637" s="1138" t="s">
        <v>1349</v>
      </c>
      <c r="GQ637" s="1138" t="s">
        <v>1349</v>
      </c>
      <c r="GR637" s="1138" t="s">
        <v>1349</v>
      </c>
      <c r="GS637" s="1138" t="s">
        <v>1349</v>
      </c>
      <c r="GT637" s="1138" t="s">
        <v>1349</v>
      </c>
      <c r="GU637" s="1138" t="s">
        <v>1349</v>
      </c>
      <c r="GV637" s="1138" t="s">
        <v>1349</v>
      </c>
    </row>
    <row r="638" spans="1:204" x14ac:dyDescent="0.2">
      <c r="A638" s="1136"/>
      <c r="B638" s="1137"/>
      <c r="GG638" s="1138" t="s">
        <v>1349</v>
      </c>
      <c r="GH638" s="1138" t="s">
        <v>1349</v>
      </c>
      <c r="GI638" s="1138" t="s">
        <v>1349</v>
      </c>
      <c r="GJ638" s="1138" t="s">
        <v>1349</v>
      </c>
      <c r="GK638" s="1138" t="s">
        <v>1349</v>
      </c>
      <c r="GL638" s="1138" t="s">
        <v>1349</v>
      </c>
      <c r="GM638" s="1138" t="s">
        <v>1349</v>
      </c>
      <c r="GN638" s="1138" t="s">
        <v>1349</v>
      </c>
      <c r="GO638" s="1138" t="s">
        <v>1349</v>
      </c>
      <c r="GP638" s="1138" t="s">
        <v>1349</v>
      </c>
      <c r="GQ638" s="1138" t="s">
        <v>1349</v>
      </c>
      <c r="GR638" s="1138" t="s">
        <v>1349</v>
      </c>
      <c r="GS638" s="1138" t="s">
        <v>1349</v>
      </c>
      <c r="GT638" s="1138" t="s">
        <v>1349</v>
      </c>
      <c r="GU638" s="1138" t="s">
        <v>1349</v>
      </c>
      <c r="GV638" s="1138" t="s">
        <v>1349</v>
      </c>
    </row>
    <row r="639" spans="1:204" x14ac:dyDescent="0.2">
      <c r="A639" s="1136"/>
      <c r="B639" s="1137"/>
      <c r="GG639" s="1138" t="s">
        <v>1349</v>
      </c>
      <c r="GH639" s="1138" t="s">
        <v>1349</v>
      </c>
      <c r="GI639" s="1138" t="s">
        <v>1349</v>
      </c>
      <c r="GJ639" s="1138" t="s">
        <v>1349</v>
      </c>
      <c r="GK639" s="1138" t="s">
        <v>1349</v>
      </c>
      <c r="GL639" s="1138" t="s">
        <v>1349</v>
      </c>
      <c r="GM639" s="1138" t="s">
        <v>1349</v>
      </c>
      <c r="GN639" s="1138" t="s">
        <v>1349</v>
      </c>
      <c r="GO639" s="1138" t="s">
        <v>1349</v>
      </c>
      <c r="GP639" s="1138" t="s">
        <v>1349</v>
      </c>
      <c r="GQ639" s="1138" t="s">
        <v>1349</v>
      </c>
      <c r="GR639" s="1138" t="s">
        <v>1349</v>
      </c>
      <c r="GS639" s="1138" t="s">
        <v>1349</v>
      </c>
      <c r="GT639" s="1138" t="s">
        <v>1349</v>
      </c>
      <c r="GU639" s="1138" t="s">
        <v>1349</v>
      </c>
      <c r="GV639" s="1138" t="s">
        <v>1349</v>
      </c>
    </row>
    <row r="640" spans="1:204" x14ac:dyDescent="0.2">
      <c r="A640" s="1136"/>
      <c r="B640" s="1137"/>
      <c r="GG640" s="1138" t="s">
        <v>1349</v>
      </c>
      <c r="GH640" s="1138" t="s">
        <v>1349</v>
      </c>
      <c r="GI640" s="1138" t="s">
        <v>1349</v>
      </c>
      <c r="GJ640" s="1138" t="s">
        <v>1349</v>
      </c>
      <c r="GK640" s="1138" t="s">
        <v>1349</v>
      </c>
      <c r="GL640" s="1138" t="s">
        <v>1349</v>
      </c>
      <c r="GM640" s="1138" t="s">
        <v>1349</v>
      </c>
      <c r="GN640" s="1138" t="s">
        <v>1349</v>
      </c>
      <c r="GO640" s="1138" t="s">
        <v>1349</v>
      </c>
      <c r="GP640" s="1138" t="s">
        <v>1349</v>
      </c>
      <c r="GQ640" s="1138" t="s">
        <v>1349</v>
      </c>
      <c r="GR640" s="1138" t="s">
        <v>1349</v>
      </c>
      <c r="GS640" s="1138" t="s">
        <v>1349</v>
      </c>
      <c r="GT640" s="1138" t="s">
        <v>1349</v>
      </c>
      <c r="GU640" s="1138" t="s">
        <v>1349</v>
      </c>
      <c r="GV640" s="1138" t="s">
        <v>1349</v>
      </c>
    </row>
    <row r="641" spans="1:204" x14ac:dyDescent="0.2">
      <c r="A641" s="1136"/>
      <c r="B641" s="1137"/>
      <c r="GG641" s="1138" t="s">
        <v>1349</v>
      </c>
      <c r="GH641" s="1138" t="s">
        <v>1349</v>
      </c>
      <c r="GI641" s="1138" t="s">
        <v>1349</v>
      </c>
      <c r="GJ641" s="1138" t="s">
        <v>1349</v>
      </c>
      <c r="GK641" s="1138" t="s">
        <v>1349</v>
      </c>
      <c r="GL641" s="1138" t="s">
        <v>1349</v>
      </c>
      <c r="GM641" s="1138" t="s">
        <v>1349</v>
      </c>
      <c r="GN641" s="1138" t="s">
        <v>1349</v>
      </c>
      <c r="GO641" s="1138" t="s">
        <v>1349</v>
      </c>
      <c r="GP641" s="1138" t="s">
        <v>1349</v>
      </c>
      <c r="GQ641" s="1138" t="s">
        <v>1349</v>
      </c>
      <c r="GR641" s="1138" t="s">
        <v>1349</v>
      </c>
      <c r="GS641" s="1138" t="s">
        <v>1349</v>
      </c>
      <c r="GT641" s="1138" t="s">
        <v>1349</v>
      </c>
      <c r="GU641" s="1138" t="s">
        <v>1349</v>
      </c>
      <c r="GV641" s="1138" t="s">
        <v>1349</v>
      </c>
    </row>
    <row r="642" spans="1:204" x14ac:dyDescent="0.2">
      <c r="A642" s="1136"/>
      <c r="B642" s="1137"/>
      <c r="GG642" s="1138" t="s">
        <v>1349</v>
      </c>
      <c r="GH642" s="1138" t="s">
        <v>1349</v>
      </c>
      <c r="GI642" s="1138" t="s">
        <v>1349</v>
      </c>
      <c r="GJ642" s="1138" t="s">
        <v>1349</v>
      </c>
      <c r="GK642" s="1138" t="s">
        <v>1349</v>
      </c>
      <c r="GL642" s="1138" t="s">
        <v>1349</v>
      </c>
      <c r="GM642" s="1138" t="s">
        <v>1349</v>
      </c>
      <c r="GN642" s="1138" t="s">
        <v>1349</v>
      </c>
      <c r="GO642" s="1138" t="s">
        <v>1349</v>
      </c>
      <c r="GP642" s="1138" t="s">
        <v>1349</v>
      </c>
      <c r="GQ642" s="1138" t="s">
        <v>1349</v>
      </c>
      <c r="GR642" s="1138" t="s">
        <v>1349</v>
      </c>
      <c r="GS642" s="1138" t="s">
        <v>1349</v>
      </c>
      <c r="GT642" s="1138" t="s">
        <v>1349</v>
      </c>
      <c r="GU642" s="1138" t="s">
        <v>1349</v>
      </c>
      <c r="GV642" s="1138" t="s">
        <v>1349</v>
      </c>
    </row>
    <row r="643" spans="1:204" x14ac:dyDescent="0.2">
      <c r="A643" s="1136"/>
      <c r="B643" s="1137"/>
      <c r="GG643" s="1138" t="s">
        <v>1349</v>
      </c>
      <c r="GH643" s="1138" t="s">
        <v>1349</v>
      </c>
      <c r="GI643" s="1138" t="s">
        <v>1349</v>
      </c>
      <c r="GJ643" s="1138" t="s">
        <v>1349</v>
      </c>
      <c r="GK643" s="1138" t="s">
        <v>1349</v>
      </c>
      <c r="GL643" s="1138" t="s">
        <v>1349</v>
      </c>
      <c r="GM643" s="1138" t="s">
        <v>1349</v>
      </c>
      <c r="GN643" s="1138" t="s">
        <v>1349</v>
      </c>
      <c r="GO643" s="1138" t="s">
        <v>1349</v>
      </c>
      <c r="GP643" s="1138" t="s">
        <v>1349</v>
      </c>
      <c r="GQ643" s="1138" t="s">
        <v>1349</v>
      </c>
      <c r="GR643" s="1138" t="s">
        <v>1349</v>
      </c>
      <c r="GS643" s="1138" t="s">
        <v>1349</v>
      </c>
      <c r="GT643" s="1138" t="s">
        <v>1349</v>
      </c>
      <c r="GU643" s="1138" t="s">
        <v>1349</v>
      </c>
      <c r="GV643" s="1138" t="s">
        <v>1349</v>
      </c>
    </row>
    <row r="644" spans="1:204" x14ac:dyDescent="0.2">
      <c r="A644" s="1136"/>
      <c r="B644" s="1137"/>
      <c r="GG644" s="1138" t="s">
        <v>1349</v>
      </c>
      <c r="GH644" s="1138" t="s">
        <v>1349</v>
      </c>
      <c r="GI644" s="1138" t="s">
        <v>1349</v>
      </c>
      <c r="GJ644" s="1138" t="s">
        <v>1349</v>
      </c>
      <c r="GK644" s="1138" t="s">
        <v>1349</v>
      </c>
      <c r="GL644" s="1138" t="s">
        <v>1349</v>
      </c>
      <c r="GM644" s="1138" t="s">
        <v>1349</v>
      </c>
      <c r="GN644" s="1138" t="s">
        <v>1349</v>
      </c>
      <c r="GO644" s="1138" t="s">
        <v>1349</v>
      </c>
      <c r="GP644" s="1138" t="s">
        <v>1349</v>
      </c>
      <c r="GQ644" s="1138" t="s">
        <v>1349</v>
      </c>
      <c r="GR644" s="1138" t="s">
        <v>1349</v>
      </c>
      <c r="GS644" s="1138" t="s">
        <v>1349</v>
      </c>
      <c r="GT644" s="1138" t="s">
        <v>1349</v>
      </c>
      <c r="GU644" s="1138" t="s">
        <v>1349</v>
      </c>
      <c r="GV644" s="1138" t="s">
        <v>1349</v>
      </c>
    </row>
    <row r="645" spans="1:204" x14ac:dyDescent="0.2">
      <c r="A645" s="1136"/>
      <c r="B645" s="1137"/>
      <c r="GG645" s="1138" t="s">
        <v>1349</v>
      </c>
      <c r="GH645" s="1138" t="s">
        <v>1349</v>
      </c>
      <c r="GI645" s="1138" t="s">
        <v>1349</v>
      </c>
      <c r="GJ645" s="1138" t="s">
        <v>1349</v>
      </c>
      <c r="GK645" s="1138" t="s">
        <v>1349</v>
      </c>
      <c r="GL645" s="1138" t="s">
        <v>1349</v>
      </c>
      <c r="GM645" s="1138" t="s">
        <v>1349</v>
      </c>
      <c r="GN645" s="1138" t="s">
        <v>1349</v>
      </c>
      <c r="GO645" s="1138" t="s">
        <v>1349</v>
      </c>
      <c r="GP645" s="1138" t="s">
        <v>1349</v>
      </c>
      <c r="GQ645" s="1138" t="s">
        <v>1349</v>
      </c>
      <c r="GR645" s="1138" t="s">
        <v>1349</v>
      </c>
      <c r="GS645" s="1138" t="s">
        <v>1349</v>
      </c>
      <c r="GT645" s="1138" t="s">
        <v>1349</v>
      </c>
      <c r="GU645" s="1138" t="s">
        <v>1349</v>
      </c>
      <c r="GV645" s="1138" t="s">
        <v>1349</v>
      </c>
    </row>
    <row r="646" spans="1:204" x14ac:dyDescent="0.2">
      <c r="A646" s="1136"/>
      <c r="B646" s="1137"/>
      <c r="GG646" s="1138" t="s">
        <v>1349</v>
      </c>
      <c r="GH646" s="1138" t="s">
        <v>1349</v>
      </c>
      <c r="GI646" s="1138" t="s">
        <v>1349</v>
      </c>
      <c r="GJ646" s="1138" t="s">
        <v>1349</v>
      </c>
      <c r="GK646" s="1138" t="s">
        <v>1349</v>
      </c>
      <c r="GL646" s="1138" t="s">
        <v>1349</v>
      </c>
      <c r="GM646" s="1138" t="s">
        <v>1349</v>
      </c>
      <c r="GN646" s="1138" t="s">
        <v>1349</v>
      </c>
      <c r="GO646" s="1138" t="s">
        <v>1349</v>
      </c>
      <c r="GP646" s="1138" t="s">
        <v>1349</v>
      </c>
      <c r="GQ646" s="1138" t="s">
        <v>1349</v>
      </c>
      <c r="GR646" s="1138" t="s">
        <v>1349</v>
      </c>
      <c r="GS646" s="1138" t="s">
        <v>1349</v>
      </c>
      <c r="GT646" s="1138" t="s">
        <v>1349</v>
      </c>
      <c r="GU646" s="1138" t="s">
        <v>1349</v>
      </c>
      <c r="GV646" s="1138" t="s">
        <v>1349</v>
      </c>
    </row>
    <row r="647" spans="1:204" x14ac:dyDescent="0.2">
      <c r="A647" s="1136"/>
      <c r="B647" s="1137"/>
      <c r="GG647" s="1138" t="s">
        <v>1349</v>
      </c>
      <c r="GH647" s="1138" t="s">
        <v>1349</v>
      </c>
      <c r="GI647" s="1138" t="s">
        <v>1349</v>
      </c>
      <c r="GJ647" s="1138" t="s">
        <v>1349</v>
      </c>
      <c r="GK647" s="1138" t="s">
        <v>1349</v>
      </c>
      <c r="GL647" s="1138" t="s">
        <v>1349</v>
      </c>
      <c r="GM647" s="1138" t="s">
        <v>1349</v>
      </c>
      <c r="GN647" s="1138" t="s">
        <v>1349</v>
      </c>
      <c r="GO647" s="1138" t="s">
        <v>1349</v>
      </c>
      <c r="GP647" s="1138" t="s">
        <v>1349</v>
      </c>
      <c r="GQ647" s="1138" t="s">
        <v>1349</v>
      </c>
      <c r="GR647" s="1138" t="s">
        <v>1349</v>
      </c>
      <c r="GS647" s="1138" t="s">
        <v>1349</v>
      </c>
      <c r="GT647" s="1138" t="s">
        <v>1349</v>
      </c>
      <c r="GU647" s="1138" t="s">
        <v>1349</v>
      </c>
      <c r="GV647" s="1138" t="s">
        <v>1349</v>
      </c>
    </row>
    <row r="648" spans="1:204" x14ac:dyDescent="0.2">
      <c r="A648" s="1136"/>
      <c r="B648" s="1137"/>
      <c r="GG648" s="1138" t="s">
        <v>1349</v>
      </c>
      <c r="GH648" s="1138" t="s">
        <v>1349</v>
      </c>
      <c r="GI648" s="1138" t="s">
        <v>1349</v>
      </c>
      <c r="GJ648" s="1138" t="s">
        <v>1349</v>
      </c>
      <c r="GK648" s="1138" t="s">
        <v>1349</v>
      </c>
      <c r="GL648" s="1138" t="s">
        <v>1349</v>
      </c>
      <c r="GM648" s="1138" t="s">
        <v>1349</v>
      </c>
      <c r="GN648" s="1138" t="s">
        <v>1349</v>
      </c>
      <c r="GO648" s="1138" t="s">
        <v>1349</v>
      </c>
      <c r="GP648" s="1138" t="s">
        <v>1349</v>
      </c>
      <c r="GQ648" s="1138" t="s">
        <v>1349</v>
      </c>
      <c r="GR648" s="1138" t="s">
        <v>1349</v>
      </c>
      <c r="GS648" s="1138" t="s">
        <v>1349</v>
      </c>
      <c r="GT648" s="1138" t="s">
        <v>1349</v>
      </c>
      <c r="GU648" s="1138" t="s">
        <v>1349</v>
      </c>
      <c r="GV648" s="1138" t="s">
        <v>1349</v>
      </c>
    </row>
    <row r="649" spans="1:204" x14ac:dyDescent="0.2">
      <c r="A649" s="1136"/>
      <c r="B649" s="1137"/>
      <c r="GG649" s="1138" t="s">
        <v>1349</v>
      </c>
      <c r="GH649" s="1138" t="s">
        <v>1349</v>
      </c>
      <c r="GI649" s="1138" t="s">
        <v>1349</v>
      </c>
      <c r="GJ649" s="1138" t="s">
        <v>1349</v>
      </c>
      <c r="GK649" s="1138" t="s">
        <v>1349</v>
      </c>
      <c r="GL649" s="1138" t="s">
        <v>1349</v>
      </c>
      <c r="GM649" s="1138" t="s">
        <v>1349</v>
      </c>
      <c r="GN649" s="1138" t="s">
        <v>1349</v>
      </c>
      <c r="GO649" s="1138" t="s">
        <v>1349</v>
      </c>
      <c r="GP649" s="1138" t="s">
        <v>1349</v>
      </c>
      <c r="GQ649" s="1138" t="s">
        <v>1349</v>
      </c>
      <c r="GR649" s="1138" t="s">
        <v>1349</v>
      </c>
      <c r="GS649" s="1138" t="s">
        <v>1349</v>
      </c>
      <c r="GT649" s="1138" t="s">
        <v>1349</v>
      </c>
      <c r="GU649" s="1138" t="s">
        <v>1349</v>
      </c>
      <c r="GV649" s="1138" t="s">
        <v>1349</v>
      </c>
    </row>
    <row r="650" spans="1:204" x14ac:dyDescent="0.2">
      <c r="A650" s="1136"/>
      <c r="B650" s="1137"/>
      <c r="GG650" s="1138" t="s">
        <v>1349</v>
      </c>
      <c r="GH650" s="1138" t="s">
        <v>1349</v>
      </c>
      <c r="GI650" s="1138" t="s">
        <v>1349</v>
      </c>
      <c r="GJ650" s="1138" t="s">
        <v>1349</v>
      </c>
      <c r="GK650" s="1138" t="s">
        <v>1349</v>
      </c>
      <c r="GL650" s="1138" t="s">
        <v>1349</v>
      </c>
      <c r="GM650" s="1138" t="s">
        <v>1349</v>
      </c>
      <c r="GN650" s="1138" t="s">
        <v>1349</v>
      </c>
      <c r="GO650" s="1138" t="s">
        <v>1349</v>
      </c>
      <c r="GP650" s="1138" t="s">
        <v>1349</v>
      </c>
      <c r="GQ650" s="1138" t="s">
        <v>1349</v>
      </c>
      <c r="GR650" s="1138" t="s">
        <v>1349</v>
      </c>
      <c r="GS650" s="1138" t="s">
        <v>1349</v>
      </c>
      <c r="GT650" s="1138" t="s">
        <v>1349</v>
      </c>
      <c r="GU650" s="1138" t="s">
        <v>1349</v>
      </c>
      <c r="GV650" s="1138" t="s">
        <v>1349</v>
      </c>
    </row>
    <row r="651" spans="1:204" x14ac:dyDescent="0.2">
      <c r="A651" s="1136"/>
      <c r="B651" s="1137"/>
      <c r="GG651" s="1138" t="s">
        <v>1349</v>
      </c>
      <c r="GH651" s="1138" t="s">
        <v>1349</v>
      </c>
      <c r="GI651" s="1138" t="s">
        <v>1349</v>
      </c>
      <c r="GJ651" s="1138" t="s">
        <v>1349</v>
      </c>
      <c r="GK651" s="1138" t="s">
        <v>1349</v>
      </c>
      <c r="GL651" s="1138" t="s">
        <v>1349</v>
      </c>
      <c r="GM651" s="1138" t="s">
        <v>1349</v>
      </c>
      <c r="GN651" s="1138" t="s">
        <v>1349</v>
      </c>
      <c r="GO651" s="1138" t="s">
        <v>1349</v>
      </c>
      <c r="GP651" s="1138" t="s">
        <v>1349</v>
      </c>
      <c r="GQ651" s="1138" t="s">
        <v>1349</v>
      </c>
      <c r="GR651" s="1138" t="s">
        <v>1349</v>
      </c>
      <c r="GS651" s="1138" t="s">
        <v>1349</v>
      </c>
      <c r="GT651" s="1138" t="s">
        <v>1349</v>
      </c>
      <c r="GU651" s="1138" t="s">
        <v>1349</v>
      </c>
      <c r="GV651" s="1138" t="s">
        <v>1349</v>
      </c>
    </row>
    <row r="652" spans="1:204" x14ac:dyDescent="0.2">
      <c r="A652" s="1136"/>
      <c r="B652" s="1137"/>
      <c r="GG652" s="1138" t="s">
        <v>1349</v>
      </c>
      <c r="GH652" s="1138" t="s">
        <v>1349</v>
      </c>
      <c r="GI652" s="1138" t="s">
        <v>1349</v>
      </c>
      <c r="GJ652" s="1138" t="s">
        <v>1349</v>
      </c>
      <c r="GK652" s="1138" t="s">
        <v>1349</v>
      </c>
      <c r="GL652" s="1138" t="s">
        <v>1349</v>
      </c>
      <c r="GM652" s="1138" t="s">
        <v>1349</v>
      </c>
      <c r="GN652" s="1138" t="s">
        <v>1349</v>
      </c>
      <c r="GO652" s="1138" t="s">
        <v>1349</v>
      </c>
      <c r="GP652" s="1138" t="s">
        <v>1349</v>
      </c>
      <c r="GQ652" s="1138" t="s">
        <v>1349</v>
      </c>
      <c r="GR652" s="1138" t="s">
        <v>1349</v>
      </c>
      <c r="GS652" s="1138" t="s">
        <v>1349</v>
      </c>
      <c r="GT652" s="1138" t="s">
        <v>1349</v>
      </c>
      <c r="GU652" s="1138" t="s">
        <v>1349</v>
      </c>
      <c r="GV652" s="1138" t="s">
        <v>1349</v>
      </c>
    </row>
    <row r="653" spans="1:204" x14ac:dyDescent="0.2">
      <c r="A653" s="1136"/>
      <c r="B653" s="1137"/>
      <c r="GG653" s="1138" t="s">
        <v>1349</v>
      </c>
      <c r="GH653" s="1138" t="s">
        <v>1349</v>
      </c>
      <c r="GI653" s="1138" t="s">
        <v>1349</v>
      </c>
      <c r="GJ653" s="1138" t="s">
        <v>1349</v>
      </c>
      <c r="GK653" s="1138" t="s">
        <v>1349</v>
      </c>
      <c r="GL653" s="1138" t="s">
        <v>1349</v>
      </c>
      <c r="GM653" s="1138" t="s">
        <v>1349</v>
      </c>
      <c r="GN653" s="1138" t="s">
        <v>1349</v>
      </c>
      <c r="GO653" s="1138" t="s">
        <v>1349</v>
      </c>
      <c r="GP653" s="1138" t="s">
        <v>1349</v>
      </c>
      <c r="GQ653" s="1138" t="s">
        <v>1349</v>
      </c>
      <c r="GR653" s="1138" t="s">
        <v>1349</v>
      </c>
      <c r="GS653" s="1138" t="s">
        <v>1349</v>
      </c>
      <c r="GT653" s="1138" t="s">
        <v>1349</v>
      </c>
      <c r="GU653" s="1138" t="s">
        <v>1349</v>
      </c>
      <c r="GV653" s="1138" t="s">
        <v>1349</v>
      </c>
    </row>
    <row r="654" spans="1:204" x14ac:dyDescent="0.2">
      <c r="A654" s="1136"/>
      <c r="B654" s="1137"/>
      <c r="GG654" s="1138" t="s">
        <v>1349</v>
      </c>
      <c r="GH654" s="1138" t="s">
        <v>1349</v>
      </c>
      <c r="GI654" s="1138" t="s">
        <v>1349</v>
      </c>
      <c r="GJ654" s="1138" t="s">
        <v>1349</v>
      </c>
      <c r="GK654" s="1138" t="s">
        <v>1349</v>
      </c>
      <c r="GL654" s="1138" t="s">
        <v>1349</v>
      </c>
      <c r="GM654" s="1138" t="s">
        <v>1349</v>
      </c>
      <c r="GN654" s="1138" t="s">
        <v>1349</v>
      </c>
      <c r="GO654" s="1138" t="s">
        <v>1349</v>
      </c>
      <c r="GP654" s="1138" t="s">
        <v>1349</v>
      </c>
      <c r="GQ654" s="1138" t="s">
        <v>1349</v>
      </c>
      <c r="GR654" s="1138" t="s">
        <v>1349</v>
      </c>
      <c r="GS654" s="1138" t="s">
        <v>1349</v>
      </c>
      <c r="GT654" s="1138" t="s">
        <v>1349</v>
      </c>
      <c r="GU654" s="1138" t="s">
        <v>1349</v>
      </c>
      <c r="GV654" s="1138" t="s">
        <v>1349</v>
      </c>
    </row>
    <row r="655" spans="1:204" x14ac:dyDescent="0.2">
      <c r="A655" s="1136"/>
      <c r="B655" s="1137"/>
      <c r="GG655" s="1138" t="s">
        <v>1349</v>
      </c>
      <c r="GH655" s="1138" t="s">
        <v>1349</v>
      </c>
      <c r="GI655" s="1138" t="s">
        <v>1349</v>
      </c>
      <c r="GJ655" s="1138" t="s">
        <v>1349</v>
      </c>
      <c r="GK655" s="1138" t="s">
        <v>1349</v>
      </c>
      <c r="GL655" s="1138" t="s">
        <v>1349</v>
      </c>
      <c r="GM655" s="1138" t="s">
        <v>1349</v>
      </c>
      <c r="GN655" s="1138" t="s">
        <v>1349</v>
      </c>
      <c r="GO655" s="1138" t="s">
        <v>1349</v>
      </c>
      <c r="GP655" s="1138" t="s">
        <v>1349</v>
      </c>
      <c r="GQ655" s="1138" t="s">
        <v>1349</v>
      </c>
      <c r="GR655" s="1138" t="s">
        <v>1349</v>
      </c>
      <c r="GS655" s="1138" t="s">
        <v>1349</v>
      </c>
      <c r="GT655" s="1138" t="s">
        <v>1349</v>
      </c>
      <c r="GU655" s="1138" t="s">
        <v>1349</v>
      </c>
      <c r="GV655" s="1138" t="s">
        <v>1349</v>
      </c>
    </row>
    <row r="656" spans="1:204" x14ac:dyDescent="0.2">
      <c r="A656" s="1136"/>
      <c r="B656" s="1137"/>
      <c r="GG656" s="1138" t="s">
        <v>1349</v>
      </c>
      <c r="GH656" s="1138" t="s">
        <v>1349</v>
      </c>
      <c r="GI656" s="1138" t="s">
        <v>1349</v>
      </c>
      <c r="GJ656" s="1138" t="s">
        <v>1349</v>
      </c>
      <c r="GK656" s="1138" t="s">
        <v>1349</v>
      </c>
      <c r="GL656" s="1138" t="s">
        <v>1349</v>
      </c>
      <c r="GM656" s="1138" t="s">
        <v>1349</v>
      </c>
      <c r="GN656" s="1138" t="s">
        <v>1349</v>
      </c>
      <c r="GO656" s="1138" t="s">
        <v>1349</v>
      </c>
      <c r="GP656" s="1138" t="s">
        <v>1349</v>
      </c>
      <c r="GQ656" s="1138" t="s">
        <v>1349</v>
      </c>
      <c r="GR656" s="1138" t="s">
        <v>1349</v>
      </c>
      <c r="GS656" s="1138" t="s">
        <v>1349</v>
      </c>
      <c r="GT656" s="1138" t="s">
        <v>1349</v>
      </c>
      <c r="GU656" s="1138" t="s">
        <v>1349</v>
      </c>
      <c r="GV656" s="1138" t="s">
        <v>1349</v>
      </c>
    </row>
    <row r="657" spans="1:204" x14ac:dyDescent="0.2">
      <c r="A657" s="1136"/>
      <c r="B657" s="1137"/>
      <c r="GG657" s="1138" t="s">
        <v>1349</v>
      </c>
      <c r="GH657" s="1138" t="s">
        <v>1349</v>
      </c>
      <c r="GI657" s="1138" t="s">
        <v>1349</v>
      </c>
      <c r="GJ657" s="1138" t="s">
        <v>1349</v>
      </c>
      <c r="GK657" s="1138" t="s">
        <v>1349</v>
      </c>
      <c r="GL657" s="1138" t="s">
        <v>1349</v>
      </c>
      <c r="GM657" s="1138" t="s">
        <v>1349</v>
      </c>
      <c r="GN657" s="1138" t="s">
        <v>1349</v>
      </c>
      <c r="GO657" s="1138" t="s">
        <v>1349</v>
      </c>
      <c r="GP657" s="1138" t="s">
        <v>1349</v>
      </c>
      <c r="GQ657" s="1138" t="s">
        <v>1349</v>
      </c>
      <c r="GR657" s="1138" t="s">
        <v>1349</v>
      </c>
      <c r="GS657" s="1138" t="s">
        <v>1349</v>
      </c>
      <c r="GT657" s="1138" t="s">
        <v>1349</v>
      </c>
      <c r="GU657" s="1138" t="s">
        <v>1349</v>
      </c>
      <c r="GV657" s="1138" t="s">
        <v>1349</v>
      </c>
    </row>
    <row r="658" spans="1:204" x14ac:dyDescent="0.2">
      <c r="A658" s="1136"/>
      <c r="B658" s="1137"/>
      <c r="GG658" s="1138" t="s">
        <v>1349</v>
      </c>
      <c r="GH658" s="1138" t="s">
        <v>1349</v>
      </c>
      <c r="GI658" s="1138" t="s">
        <v>1349</v>
      </c>
      <c r="GJ658" s="1138" t="s">
        <v>1349</v>
      </c>
      <c r="GK658" s="1138" t="s">
        <v>1349</v>
      </c>
      <c r="GL658" s="1138" t="s">
        <v>1349</v>
      </c>
      <c r="GM658" s="1138" t="s">
        <v>1349</v>
      </c>
      <c r="GN658" s="1138" t="s">
        <v>1349</v>
      </c>
      <c r="GO658" s="1138" t="s">
        <v>1349</v>
      </c>
      <c r="GP658" s="1138" t="s">
        <v>1349</v>
      </c>
      <c r="GQ658" s="1138" t="s">
        <v>1349</v>
      </c>
      <c r="GR658" s="1138" t="s">
        <v>1349</v>
      </c>
      <c r="GS658" s="1138" t="s">
        <v>1349</v>
      </c>
      <c r="GT658" s="1138" t="s">
        <v>1349</v>
      </c>
      <c r="GU658" s="1138" t="s">
        <v>1349</v>
      </c>
      <c r="GV658" s="1138" t="s">
        <v>1349</v>
      </c>
    </row>
    <row r="659" spans="1:204" x14ac:dyDescent="0.2">
      <c r="A659" s="1136"/>
      <c r="B659" s="1137"/>
      <c r="GG659" s="1138" t="s">
        <v>1349</v>
      </c>
      <c r="GH659" s="1138" t="s">
        <v>1349</v>
      </c>
      <c r="GI659" s="1138" t="s">
        <v>1349</v>
      </c>
      <c r="GJ659" s="1138" t="s">
        <v>1349</v>
      </c>
      <c r="GK659" s="1138" t="s">
        <v>1349</v>
      </c>
      <c r="GL659" s="1138" t="s">
        <v>1349</v>
      </c>
      <c r="GM659" s="1138" t="s">
        <v>1349</v>
      </c>
      <c r="GN659" s="1138" t="s">
        <v>1349</v>
      </c>
      <c r="GO659" s="1138" t="s">
        <v>1349</v>
      </c>
      <c r="GP659" s="1138" t="s">
        <v>1349</v>
      </c>
      <c r="GQ659" s="1138" t="s">
        <v>1349</v>
      </c>
      <c r="GR659" s="1138" t="s">
        <v>1349</v>
      </c>
      <c r="GS659" s="1138" t="s">
        <v>1349</v>
      </c>
      <c r="GT659" s="1138" t="s">
        <v>1349</v>
      </c>
      <c r="GU659" s="1138" t="s">
        <v>1349</v>
      </c>
      <c r="GV659" s="1138" t="s">
        <v>1349</v>
      </c>
    </row>
    <row r="660" spans="1:204" x14ac:dyDescent="0.2">
      <c r="A660" s="1136"/>
      <c r="B660" s="1137"/>
      <c r="GG660" s="1138" t="s">
        <v>1349</v>
      </c>
      <c r="GH660" s="1138" t="s">
        <v>1349</v>
      </c>
      <c r="GI660" s="1138" t="s">
        <v>1349</v>
      </c>
      <c r="GJ660" s="1138" t="s">
        <v>1349</v>
      </c>
      <c r="GK660" s="1138" t="s">
        <v>1349</v>
      </c>
      <c r="GL660" s="1138" t="s">
        <v>1349</v>
      </c>
      <c r="GM660" s="1138" t="s">
        <v>1349</v>
      </c>
      <c r="GN660" s="1138" t="s">
        <v>1349</v>
      </c>
      <c r="GO660" s="1138" t="s">
        <v>1349</v>
      </c>
      <c r="GP660" s="1138" t="s">
        <v>1349</v>
      </c>
      <c r="GQ660" s="1138" t="s">
        <v>1349</v>
      </c>
      <c r="GR660" s="1138" t="s">
        <v>1349</v>
      </c>
      <c r="GS660" s="1138" t="s">
        <v>1349</v>
      </c>
      <c r="GT660" s="1138" t="s">
        <v>1349</v>
      </c>
      <c r="GU660" s="1138" t="s">
        <v>1349</v>
      </c>
      <c r="GV660" s="1138" t="s">
        <v>1349</v>
      </c>
    </row>
    <row r="661" spans="1:204" x14ac:dyDescent="0.2">
      <c r="A661" s="1136"/>
      <c r="B661" s="1137"/>
      <c r="GG661" s="1138" t="s">
        <v>1349</v>
      </c>
      <c r="GH661" s="1138" t="s">
        <v>1349</v>
      </c>
      <c r="GI661" s="1138" t="s">
        <v>1349</v>
      </c>
      <c r="GJ661" s="1138" t="s">
        <v>1349</v>
      </c>
      <c r="GK661" s="1138" t="s">
        <v>1349</v>
      </c>
      <c r="GL661" s="1138" t="s">
        <v>1349</v>
      </c>
      <c r="GM661" s="1138" t="s">
        <v>1349</v>
      </c>
      <c r="GN661" s="1138" t="s">
        <v>1349</v>
      </c>
      <c r="GO661" s="1138" t="s">
        <v>1349</v>
      </c>
      <c r="GP661" s="1138" t="s">
        <v>1349</v>
      </c>
      <c r="GQ661" s="1138" t="s">
        <v>1349</v>
      </c>
      <c r="GR661" s="1138" t="s">
        <v>1349</v>
      </c>
      <c r="GS661" s="1138" t="s">
        <v>1349</v>
      </c>
      <c r="GT661" s="1138" t="s">
        <v>1349</v>
      </c>
      <c r="GU661" s="1138" t="s">
        <v>1349</v>
      </c>
      <c r="GV661" s="1138" t="s">
        <v>1349</v>
      </c>
    </row>
    <row r="662" spans="1:204" x14ac:dyDescent="0.2">
      <c r="A662" s="1136"/>
      <c r="B662" s="1137"/>
      <c r="GG662" s="1138" t="s">
        <v>1349</v>
      </c>
      <c r="GH662" s="1138" t="s">
        <v>1349</v>
      </c>
      <c r="GI662" s="1138" t="s">
        <v>1349</v>
      </c>
      <c r="GJ662" s="1138" t="s">
        <v>1349</v>
      </c>
      <c r="GK662" s="1138" t="s">
        <v>1349</v>
      </c>
      <c r="GL662" s="1138" t="s">
        <v>1349</v>
      </c>
      <c r="GM662" s="1138" t="s">
        <v>1349</v>
      </c>
      <c r="GN662" s="1138" t="s">
        <v>1349</v>
      </c>
      <c r="GO662" s="1138" t="s">
        <v>1349</v>
      </c>
      <c r="GP662" s="1138" t="s">
        <v>1349</v>
      </c>
      <c r="GQ662" s="1138" t="s">
        <v>1349</v>
      </c>
      <c r="GR662" s="1138" t="s">
        <v>1349</v>
      </c>
      <c r="GS662" s="1138" t="s">
        <v>1349</v>
      </c>
      <c r="GT662" s="1138" t="s">
        <v>1349</v>
      </c>
      <c r="GU662" s="1138" t="s">
        <v>1349</v>
      </c>
      <c r="GV662" s="1138" t="s">
        <v>1349</v>
      </c>
    </row>
    <row r="663" spans="1:204" x14ac:dyDescent="0.2">
      <c r="A663" s="1136"/>
      <c r="B663" s="1137"/>
      <c r="GG663" s="1138" t="s">
        <v>1349</v>
      </c>
      <c r="GH663" s="1138" t="s">
        <v>1349</v>
      </c>
      <c r="GI663" s="1138" t="s">
        <v>1349</v>
      </c>
      <c r="GJ663" s="1138" t="s">
        <v>1349</v>
      </c>
      <c r="GK663" s="1138" t="s">
        <v>1349</v>
      </c>
      <c r="GL663" s="1138" t="s">
        <v>1349</v>
      </c>
      <c r="GM663" s="1138" t="s">
        <v>1349</v>
      </c>
      <c r="GN663" s="1138" t="s">
        <v>1349</v>
      </c>
      <c r="GO663" s="1138" t="s">
        <v>1349</v>
      </c>
      <c r="GP663" s="1138" t="s">
        <v>1349</v>
      </c>
      <c r="GQ663" s="1138" t="s">
        <v>1349</v>
      </c>
      <c r="GR663" s="1138" t="s">
        <v>1349</v>
      </c>
      <c r="GS663" s="1138" t="s">
        <v>1349</v>
      </c>
      <c r="GT663" s="1138" t="s">
        <v>1349</v>
      </c>
      <c r="GU663" s="1138" t="s">
        <v>1349</v>
      </c>
      <c r="GV663" s="1138" t="s">
        <v>1349</v>
      </c>
    </row>
    <row r="664" spans="1:204" x14ac:dyDescent="0.2">
      <c r="A664" s="1136"/>
      <c r="B664" s="1137"/>
      <c r="GG664" s="1138" t="s">
        <v>1349</v>
      </c>
      <c r="GH664" s="1138" t="s">
        <v>1349</v>
      </c>
      <c r="GI664" s="1138" t="s">
        <v>1349</v>
      </c>
      <c r="GJ664" s="1138" t="s">
        <v>1349</v>
      </c>
      <c r="GK664" s="1138" t="s">
        <v>1349</v>
      </c>
      <c r="GL664" s="1138" t="s">
        <v>1349</v>
      </c>
      <c r="GM664" s="1138" t="s">
        <v>1349</v>
      </c>
      <c r="GN664" s="1138" t="s">
        <v>1349</v>
      </c>
      <c r="GO664" s="1138" t="s">
        <v>1349</v>
      </c>
      <c r="GP664" s="1138" t="s">
        <v>1349</v>
      </c>
      <c r="GQ664" s="1138" t="s">
        <v>1349</v>
      </c>
      <c r="GR664" s="1138" t="s">
        <v>1349</v>
      </c>
      <c r="GS664" s="1138" t="s">
        <v>1349</v>
      </c>
      <c r="GT664" s="1138" t="s">
        <v>1349</v>
      </c>
      <c r="GU664" s="1138" t="s">
        <v>1349</v>
      </c>
      <c r="GV664" s="1138" t="s">
        <v>1349</v>
      </c>
    </row>
    <row r="665" spans="1:204" x14ac:dyDescent="0.2">
      <c r="A665" s="1136"/>
      <c r="B665" s="1137"/>
      <c r="GG665" s="1138" t="s">
        <v>1349</v>
      </c>
      <c r="GH665" s="1138" t="s">
        <v>1349</v>
      </c>
      <c r="GI665" s="1138" t="s">
        <v>1349</v>
      </c>
      <c r="GJ665" s="1138" t="s">
        <v>1349</v>
      </c>
      <c r="GK665" s="1138" t="s">
        <v>1349</v>
      </c>
      <c r="GL665" s="1138" t="s">
        <v>1349</v>
      </c>
      <c r="GM665" s="1138" t="s">
        <v>1349</v>
      </c>
      <c r="GN665" s="1138" t="s">
        <v>1349</v>
      </c>
      <c r="GO665" s="1138" t="s">
        <v>1349</v>
      </c>
      <c r="GP665" s="1138" t="s">
        <v>1349</v>
      </c>
      <c r="GQ665" s="1138" t="s">
        <v>1349</v>
      </c>
      <c r="GR665" s="1138" t="s">
        <v>1349</v>
      </c>
      <c r="GS665" s="1138" t="s">
        <v>1349</v>
      </c>
      <c r="GT665" s="1138" t="s">
        <v>1349</v>
      </c>
      <c r="GU665" s="1138" t="s">
        <v>1349</v>
      </c>
      <c r="GV665" s="1138" t="s">
        <v>1349</v>
      </c>
    </row>
    <row r="666" spans="1:204" x14ac:dyDescent="0.2">
      <c r="A666" s="1136"/>
      <c r="B666" s="1137"/>
      <c r="GG666" s="1138" t="s">
        <v>1349</v>
      </c>
      <c r="GH666" s="1138" t="s">
        <v>1349</v>
      </c>
      <c r="GI666" s="1138" t="s">
        <v>1349</v>
      </c>
      <c r="GJ666" s="1138" t="s">
        <v>1349</v>
      </c>
      <c r="GK666" s="1138" t="s">
        <v>1349</v>
      </c>
      <c r="GL666" s="1138" t="s">
        <v>1349</v>
      </c>
      <c r="GM666" s="1138" t="s">
        <v>1349</v>
      </c>
      <c r="GN666" s="1138" t="s">
        <v>1349</v>
      </c>
      <c r="GO666" s="1138" t="s">
        <v>1349</v>
      </c>
      <c r="GP666" s="1138" t="s">
        <v>1349</v>
      </c>
      <c r="GQ666" s="1138" t="s">
        <v>1349</v>
      </c>
      <c r="GR666" s="1138" t="s">
        <v>1349</v>
      </c>
      <c r="GS666" s="1138" t="s">
        <v>1349</v>
      </c>
      <c r="GT666" s="1138" t="s">
        <v>1349</v>
      </c>
      <c r="GU666" s="1138" t="s">
        <v>1349</v>
      </c>
      <c r="GV666" s="1138" t="s">
        <v>1349</v>
      </c>
    </row>
    <row r="667" spans="1:204" x14ac:dyDescent="0.2">
      <c r="A667" s="1136"/>
      <c r="B667" s="1137"/>
      <c r="GG667" s="1138" t="s">
        <v>1349</v>
      </c>
      <c r="GH667" s="1138" t="s">
        <v>1349</v>
      </c>
      <c r="GI667" s="1138" t="s">
        <v>1349</v>
      </c>
      <c r="GJ667" s="1138" t="s">
        <v>1349</v>
      </c>
      <c r="GK667" s="1138" t="s">
        <v>1349</v>
      </c>
      <c r="GL667" s="1138" t="s">
        <v>1349</v>
      </c>
      <c r="GM667" s="1138" t="s">
        <v>1349</v>
      </c>
      <c r="GN667" s="1138" t="s">
        <v>1349</v>
      </c>
      <c r="GO667" s="1138" t="s">
        <v>1349</v>
      </c>
      <c r="GP667" s="1138" t="s">
        <v>1349</v>
      </c>
      <c r="GQ667" s="1138" t="s">
        <v>1349</v>
      </c>
      <c r="GR667" s="1138" t="s">
        <v>1349</v>
      </c>
      <c r="GS667" s="1138" t="s">
        <v>1349</v>
      </c>
      <c r="GT667" s="1138" t="s">
        <v>1349</v>
      </c>
      <c r="GU667" s="1138" t="s">
        <v>1349</v>
      </c>
      <c r="GV667" s="1138" t="s">
        <v>1349</v>
      </c>
    </row>
    <row r="668" spans="1:204" x14ac:dyDescent="0.2">
      <c r="A668" s="1136"/>
      <c r="B668" s="1137"/>
      <c r="GG668" s="1138" t="s">
        <v>1349</v>
      </c>
      <c r="GH668" s="1138" t="s">
        <v>1349</v>
      </c>
      <c r="GI668" s="1138" t="s">
        <v>1349</v>
      </c>
      <c r="GJ668" s="1138" t="s">
        <v>1349</v>
      </c>
      <c r="GK668" s="1138" t="s">
        <v>1349</v>
      </c>
      <c r="GL668" s="1138" t="s">
        <v>1349</v>
      </c>
      <c r="GM668" s="1138" t="s">
        <v>1349</v>
      </c>
      <c r="GN668" s="1138" t="s">
        <v>1349</v>
      </c>
      <c r="GO668" s="1138" t="s">
        <v>1349</v>
      </c>
      <c r="GP668" s="1138" t="s">
        <v>1349</v>
      </c>
      <c r="GQ668" s="1138" t="s">
        <v>1349</v>
      </c>
      <c r="GR668" s="1138" t="s">
        <v>1349</v>
      </c>
      <c r="GS668" s="1138" t="s">
        <v>1349</v>
      </c>
      <c r="GT668" s="1138" t="s">
        <v>1349</v>
      </c>
      <c r="GU668" s="1138" t="s">
        <v>1349</v>
      </c>
      <c r="GV668" s="1138" t="s">
        <v>1349</v>
      </c>
    </row>
    <row r="669" spans="1:204" x14ac:dyDescent="0.2">
      <c r="A669" s="1136"/>
      <c r="B669" s="1137"/>
      <c r="GG669" s="1138" t="s">
        <v>1349</v>
      </c>
      <c r="GH669" s="1138" t="s">
        <v>1349</v>
      </c>
      <c r="GI669" s="1138" t="s">
        <v>1349</v>
      </c>
      <c r="GJ669" s="1138" t="s">
        <v>1349</v>
      </c>
      <c r="GK669" s="1138" t="s">
        <v>1349</v>
      </c>
      <c r="GL669" s="1138" t="s">
        <v>1349</v>
      </c>
      <c r="GM669" s="1138" t="s">
        <v>1349</v>
      </c>
      <c r="GN669" s="1138" t="s">
        <v>1349</v>
      </c>
      <c r="GO669" s="1138" t="s">
        <v>1349</v>
      </c>
      <c r="GP669" s="1138" t="s">
        <v>1349</v>
      </c>
      <c r="GQ669" s="1138" t="s">
        <v>1349</v>
      </c>
      <c r="GR669" s="1138" t="s">
        <v>1349</v>
      </c>
      <c r="GS669" s="1138" t="s">
        <v>1349</v>
      </c>
      <c r="GT669" s="1138" t="s">
        <v>1349</v>
      </c>
      <c r="GU669" s="1138" t="s">
        <v>1349</v>
      </c>
      <c r="GV669" s="1138" t="s">
        <v>1349</v>
      </c>
    </row>
    <row r="670" spans="1:204" x14ac:dyDescent="0.2">
      <c r="A670" s="1136"/>
      <c r="B670" s="1137"/>
      <c r="GG670" s="1138" t="s">
        <v>1349</v>
      </c>
      <c r="GH670" s="1138" t="s">
        <v>1349</v>
      </c>
      <c r="GI670" s="1138" t="s">
        <v>1349</v>
      </c>
      <c r="GJ670" s="1138" t="s">
        <v>1349</v>
      </c>
      <c r="GK670" s="1138" t="s">
        <v>1349</v>
      </c>
      <c r="GL670" s="1138" t="s">
        <v>1349</v>
      </c>
      <c r="GM670" s="1138" t="s">
        <v>1349</v>
      </c>
      <c r="GN670" s="1138" t="s">
        <v>1349</v>
      </c>
      <c r="GO670" s="1138" t="s">
        <v>1349</v>
      </c>
      <c r="GP670" s="1138" t="s">
        <v>1349</v>
      </c>
      <c r="GQ670" s="1138" t="s">
        <v>1349</v>
      </c>
      <c r="GR670" s="1138" t="s">
        <v>1349</v>
      </c>
      <c r="GS670" s="1138" t="s">
        <v>1349</v>
      </c>
      <c r="GT670" s="1138" t="s">
        <v>1349</v>
      </c>
      <c r="GU670" s="1138" t="s">
        <v>1349</v>
      </c>
      <c r="GV670" s="1138" t="s">
        <v>1349</v>
      </c>
    </row>
    <row r="671" spans="1:204" x14ac:dyDescent="0.2">
      <c r="A671" s="1136"/>
      <c r="B671" s="1137"/>
      <c r="GG671" s="1138" t="s">
        <v>1349</v>
      </c>
      <c r="GH671" s="1138" t="s">
        <v>1349</v>
      </c>
      <c r="GI671" s="1138" t="s">
        <v>1349</v>
      </c>
      <c r="GJ671" s="1138" t="s">
        <v>1349</v>
      </c>
      <c r="GK671" s="1138" t="s">
        <v>1349</v>
      </c>
      <c r="GL671" s="1138" t="s">
        <v>1349</v>
      </c>
      <c r="GM671" s="1138" t="s">
        <v>1349</v>
      </c>
      <c r="GN671" s="1138" t="s">
        <v>1349</v>
      </c>
      <c r="GO671" s="1138" t="s">
        <v>1349</v>
      </c>
      <c r="GP671" s="1138" t="s">
        <v>1349</v>
      </c>
      <c r="GQ671" s="1138" t="s">
        <v>1349</v>
      </c>
      <c r="GR671" s="1138" t="s">
        <v>1349</v>
      </c>
      <c r="GS671" s="1138" t="s">
        <v>1349</v>
      </c>
      <c r="GT671" s="1138" t="s">
        <v>1349</v>
      </c>
      <c r="GU671" s="1138" t="s">
        <v>1349</v>
      </c>
      <c r="GV671" s="1138" t="s">
        <v>1349</v>
      </c>
    </row>
    <row r="672" spans="1:204" x14ac:dyDescent="0.2">
      <c r="A672" s="1136"/>
      <c r="B672" s="1137"/>
      <c r="GG672" s="1138" t="s">
        <v>1349</v>
      </c>
      <c r="GH672" s="1138" t="s">
        <v>1349</v>
      </c>
      <c r="GI672" s="1138" t="s">
        <v>1349</v>
      </c>
      <c r="GJ672" s="1138" t="s">
        <v>1349</v>
      </c>
      <c r="GK672" s="1138" t="s">
        <v>1349</v>
      </c>
      <c r="GL672" s="1138" t="s">
        <v>1349</v>
      </c>
      <c r="GM672" s="1138" t="s">
        <v>1349</v>
      </c>
      <c r="GN672" s="1138" t="s">
        <v>1349</v>
      </c>
      <c r="GO672" s="1138" t="s">
        <v>1349</v>
      </c>
      <c r="GP672" s="1138" t="s">
        <v>1349</v>
      </c>
      <c r="GQ672" s="1138" t="s">
        <v>1349</v>
      </c>
      <c r="GR672" s="1138" t="s">
        <v>1349</v>
      </c>
      <c r="GS672" s="1138" t="s">
        <v>1349</v>
      </c>
      <c r="GT672" s="1138" t="s">
        <v>1349</v>
      </c>
      <c r="GU672" s="1138" t="s">
        <v>1349</v>
      </c>
      <c r="GV672" s="1138" t="s">
        <v>1349</v>
      </c>
    </row>
    <row r="673" spans="1:204" x14ac:dyDescent="0.2">
      <c r="A673" s="1136"/>
      <c r="B673" s="1137"/>
      <c r="GG673" s="1138" t="s">
        <v>1349</v>
      </c>
      <c r="GH673" s="1138" t="s">
        <v>1349</v>
      </c>
      <c r="GI673" s="1138" t="s">
        <v>1349</v>
      </c>
      <c r="GJ673" s="1138" t="s">
        <v>1349</v>
      </c>
      <c r="GK673" s="1138" t="s">
        <v>1349</v>
      </c>
      <c r="GL673" s="1138" t="s">
        <v>1349</v>
      </c>
      <c r="GM673" s="1138" t="s">
        <v>1349</v>
      </c>
      <c r="GN673" s="1138" t="s">
        <v>1349</v>
      </c>
      <c r="GO673" s="1138" t="s">
        <v>1349</v>
      </c>
      <c r="GP673" s="1138" t="s">
        <v>1349</v>
      </c>
      <c r="GQ673" s="1138" t="s">
        <v>1349</v>
      </c>
      <c r="GR673" s="1138" t="s">
        <v>1349</v>
      </c>
      <c r="GS673" s="1138" t="s">
        <v>1349</v>
      </c>
      <c r="GT673" s="1138" t="s">
        <v>1349</v>
      </c>
      <c r="GU673" s="1138" t="s">
        <v>1349</v>
      </c>
      <c r="GV673" s="1138" t="s">
        <v>1349</v>
      </c>
    </row>
    <row r="674" spans="1:204" x14ac:dyDescent="0.2">
      <c r="A674" s="1136"/>
      <c r="B674" s="1137"/>
      <c r="GG674" s="1138" t="s">
        <v>1349</v>
      </c>
      <c r="GH674" s="1138" t="s">
        <v>1349</v>
      </c>
      <c r="GI674" s="1138" t="s">
        <v>1349</v>
      </c>
      <c r="GJ674" s="1138" t="s">
        <v>1349</v>
      </c>
      <c r="GK674" s="1138" t="s">
        <v>1349</v>
      </c>
      <c r="GL674" s="1138" t="s">
        <v>1349</v>
      </c>
      <c r="GM674" s="1138" t="s">
        <v>1349</v>
      </c>
      <c r="GN674" s="1138" t="s">
        <v>1349</v>
      </c>
      <c r="GO674" s="1138" t="s">
        <v>1349</v>
      </c>
      <c r="GP674" s="1138" t="s">
        <v>1349</v>
      </c>
      <c r="GQ674" s="1138" t="s">
        <v>1349</v>
      </c>
      <c r="GR674" s="1138" t="s">
        <v>1349</v>
      </c>
      <c r="GS674" s="1138" t="s">
        <v>1349</v>
      </c>
      <c r="GT674" s="1138" t="s">
        <v>1349</v>
      </c>
      <c r="GU674" s="1138" t="s">
        <v>1349</v>
      </c>
      <c r="GV674" s="1138" t="s">
        <v>1349</v>
      </c>
    </row>
    <row r="675" spans="1:204" x14ac:dyDescent="0.2">
      <c r="A675" s="1136"/>
      <c r="B675" s="1137"/>
      <c r="GG675" s="1138" t="s">
        <v>1349</v>
      </c>
      <c r="GH675" s="1138" t="s">
        <v>1349</v>
      </c>
      <c r="GI675" s="1138" t="s">
        <v>1349</v>
      </c>
      <c r="GJ675" s="1138" t="s">
        <v>1349</v>
      </c>
      <c r="GK675" s="1138" t="s">
        <v>1349</v>
      </c>
      <c r="GL675" s="1138" t="s">
        <v>1349</v>
      </c>
      <c r="GM675" s="1138" t="s">
        <v>1349</v>
      </c>
      <c r="GN675" s="1138" t="s">
        <v>1349</v>
      </c>
      <c r="GO675" s="1138" t="s">
        <v>1349</v>
      </c>
      <c r="GP675" s="1138" t="s">
        <v>1349</v>
      </c>
      <c r="GQ675" s="1138" t="s">
        <v>1349</v>
      </c>
      <c r="GR675" s="1138" t="s">
        <v>1349</v>
      </c>
      <c r="GS675" s="1138" t="s">
        <v>1349</v>
      </c>
      <c r="GT675" s="1138" t="s">
        <v>1349</v>
      </c>
      <c r="GU675" s="1138" t="s">
        <v>1349</v>
      </c>
      <c r="GV675" s="1138" t="s">
        <v>1349</v>
      </c>
    </row>
    <row r="676" spans="1:204" x14ac:dyDescent="0.2">
      <c r="A676" s="1136"/>
      <c r="B676" s="1137"/>
      <c r="GG676" s="1138" t="s">
        <v>1349</v>
      </c>
      <c r="GH676" s="1138" t="s">
        <v>1349</v>
      </c>
      <c r="GI676" s="1138" t="s">
        <v>1349</v>
      </c>
      <c r="GJ676" s="1138" t="s">
        <v>1349</v>
      </c>
      <c r="GK676" s="1138" t="s">
        <v>1349</v>
      </c>
      <c r="GL676" s="1138" t="s">
        <v>1349</v>
      </c>
      <c r="GM676" s="1138" t="s">
        <v>1349</v>
      </c>
      <c r="GN676" s="1138" t="s">
        <v>1349</v>
      </c>
      <c r="GO676" s="1138" t="s">
        <v>1349</v>
      </c>
      <c r="GP676" s="1138" t="s">
        <v>1349</v>
      </c>
      <c r="GQ676" s="1138" t="s">
        <v>1349</v>
      </c>
      <c r="GR676" s="1138" t="s">
        <v>1349</v>
      </c>
      <c r="GS676" s="1138" t="s">
        <v>1349</v>
      </c>
      <c r="GT676" s="1138" t="s">
        <v>1349</v>
      </c>
      <c r="GU676" s="1138" t="s">
        <v>1349</v>
      </c>
      <c r="GV676" s="1138" t="s">
        <v>1349</v>
      </c>
    </row>
    <row r="677" spans="1:204" x14ac:dyDescent="0.2">
      <c r="A677" s="1136"/>
      <c r="B677" s="1137"/>
      <c r="GG677" s="1138" t="s">
        <v>1349</v>
      </c>
      <c r="GH677" s="1138" t="s">
        <v>1349</v>
      </c>
      <c r="GI677" s="1138" t="s">
        <v>1349</v>
      </c>
      <c r="GJ677" s="1138" t="s">
        <v>1349</v>
      </c>
      <c r="GK677" s="1138" t="s">
        <v>1349</v>
      </c>
      <c r="GL677" s="1138" t="s">
        <v>1349</v>
      </c>
      <c r="GM677" s="1138" t="s">
        <v>1349</v>
      </c>
      <c r="GN677" s="1138" t="s">
        <v>1349</v>
      </c>
      <c r="GO677" s="1138" t="s">
        <v>1349</v>
      </c>
      <c r="GP677" s="1138" t="s">
        <v>1349</v>
      </c>
      <c r="GQ677" s="1138" t="s">
        <v>1349</v>
      </c>
      <c r="GR677" s="1138" t="s">
        <v>1349</v>
      </c>
      <c r="GS677" s="1138" t="s">
        <v>1349</v>
      </c>
      <c r="GT677" s="1138" t="s">
        <v>1349</v>
      </c>
      <c r="GU677" s="1138" t="s">
        <v>1349</v>
      </c>
      <c r="GV677" s="1138" t="s">
        <v>1349</v>
      </c>
    </row>
    <row r="678" spans="1:204" x14ac:dyDescent="0.2">
      <c r="A678" s="1136"/>
      <c r="B678" s="1137"/>
      <c r="GG678" s="1138" t="s">
        <v>1349</v>
      </c>
      <c r="GH678" s="1138" t="s">
        <v>1349</v>
      </c>
      <c r="GI678" s="1138" t="s">
        <v>1349</v>
      </c>
      <c r="GJ678" s="1138" t="s">
        <v>1349</v>
      </c>
      <c r="GK678" s="1138" t="s">
        <v>1349</v>
      </c>
      <c r="GL678" s="1138" t="s">
        <v>1349</v>
      </c>
      <c r="GM678" s="1138" t="s">
        <v>1349</v>
      </c>
      <c r="GN678" s="1138" t="s">
        <v>1349</v>
      </c>
      <c r="GO678" s="1138" t="s">
        <v>1349</v>
      </c>
      <c r="GP678" s="1138" t="s">
        <v>1349</v>
      </c>
      <c r="GQ678" s="1138" t="s">
        <v>1349</v>
      </c>
      <c r="GR678" s="1138" t="s">
        <v>1349</v>
      </c>
      <c r="GS678" s="1138" t="s">
        <v>1349</v>
      </c>
      <c r="GT678" s="1138" t="s">
        <v>1349</v>
      </c>
      <c r="GU678" s="1138" t="s">
        <v>1349</v>
      </c>
      <c r="GV678" s="1138" t="s">
        <v>1349</v>
      </c>
    </row>
    <row r="679" spans="1:204" x14ac:dyDescent="0.2">
      <c r="A679" s="1136"/>
      <c r="B679" s="1137"/>
      <c r="GG679" s="1138" t="s">
        <v>1349</v>
      </c>
      <c r="GH679" s="1138" t="s">
        <v>1349</v>
      </c>
      <c r="GI679" s="1138" t="s">
        <v>1349</v>
      </c>
      <c r="GJ679" s="1138" t="s">
        <v>1349</v>
      </c>
      <c r="GK679" s="1138" t="s">
        <v>1349</v>
      </c>
      <c r="GL679" s="1138" t="s">
        <v>1349</v>
      </c>
      <c r="GM679" s="1138" t="s">
        <v>1349</v>
      </c>
      <c r="GN679" s="1138" t="s">
        <v>1349</v>
      </c>
      <c r="GO679" s="1138" t="s">
        <v>1349</v>
      </c>
      <c r="GP679" s="1138" t="s">
        <v>1349</v>
      </c>
      <c r="GQ679" s="1138" t="s">
        <v>1349</v>
      </c>
      <c r="GR679" s="1138" t="s">
        <v>1349</v>
      </c>
      <c r="GS679" s="1138" t="s">
        <v>1349</v>
      </c>
      <c r="GT679" s="1138" t="s">
        <v>1349</v>
      </c>
      <c r="GU679" s="1138" t="s">
        <v>1349</v>
      </c>
      <c r="GV679" s="1138" t="s">
        <v>1349</v>
      </c>
    </row>
    <row r="680" spans="1:204" x14ac:dyDescent="0.2">
      <c r="A680" s="1136"/>
      <c r="B680" s="1137"/>
      <c r="GG680" s="1138" t="s">
        <v>1349</v>
      </c>
      <c r="GH680" s="1138" t="s">
        <v>1349</v>
      </c>
      <c r="GI680" s="1138" t="s">
        <v>1349</v>
      </c>
      <c r="GJ680" s="1138" t="s">
        <v>1349</v>
      </c>
      <c r="GK680" s="1138" t="s">
        <v>1349</v>
      </c>
      <c r="GL680" s="1138" t="s">
        <v>1349</v>
      </c>
      <c r="GM680" s="1138" t="s">
        <v>1349</v>
      </c>
      <c r="GN680" s="1138" t="s">
        <v>1349</v>
      </c>
      <c r="GO680" s="1138" t="s">
        <v>1349</v>
      </c>
      <c r="GP680" s="1138" t="s">
        <v>1349</v>
      </c>
      <c r="GQ680" s="1138" t="s">
        <v>1349</v>
      </c>
      <c r="GR680" s="1138" t="s">
        <v>1349</v>
      </c>
      <c r="GS680" s="1138" t="s">
        <v>1349</v>
      </c>
      <c r="GT680" s="1138" t="s">
        <v>1349</v>
      </c>
      <c r="GU680" s="1138" t="s">
        <v>1349</v>
      </c>
      <c r="GV680" s="1138" t="s">
        <v>1349</v>
      </c>
    </row>
    <row r="681" spans="1:204" x14ac:dyDescent="0.2">
      <c r="A681" s="1136"/>
      <c r="B681" s="1137"/>
      <c r="GG681" s="1138" t="s">
        <v>1349</v>
      </c>
      <c r="GH681" s="1138" t="s">
        <v>1349</v>
      </c>
      <c r="GI681" s="1138" t="s">
        <v>1349</v>
      </c>
      <c r="GJ681" s="1138" t="s">
        <v>1349</v>
      </c>
      <c r="GK681" s="1138" t="s">
        <v>1349</v>
      </c>
      <c r="GL681" s="1138" t="s">
        <v>1349</v>
      </c>
      <c r="GM681" s="1138" t="s">
        <v>1349</v>
      </c>
      <c r="GN681" s="1138" t="s">
        <v>1349</v>
      </c>
      <c r="GO681" s="1138" t="s">
        <v>1349</v>
      </c>
      <c r="GP681" s="1138" t="s">
        <v>1349</v>
      </c>
      <c r="GQ681" s="1138" t="s">
        <v>1349</v>
      </c>
      <c r="GR681" s="1138" t="s">
        <v>1349</v>
      </c>
      <c r="GS681" s="1138" t="s">
        <v>1349</v>
      </c>
      <c r="GT681" s="1138" t="s">
        <v>1349</v>
      </c>
      <c r="GU681" s="1138" t="s">
        <v>1349</v>
      </c>
      <c r="GV681" s="1138" t="s">
        <v>1349</v>
      </c>
    </row>
    <row r="682" spans="1:204" x14ac:dyDescent="0.2">
      <c r="A682" s="1136"/>
      <c r="B682" s="1137"/>
      <c r="GG682" s="1138" t="s">
        <v>1349</v>
      </c>
      <c r="GH682" s="1138" t="s">
        <v>1349</v>
      </c>
      <c r="GI682" s="1138" t="s">
        <v>1349</v>
      </c>
      <c r="GJ682" s="1138" t="s">
        <v>1349</v>
      </c>
      <c r="GK682" s="1138" t="s">
        <v>1349</v>
      </c>
      <c r="GL682" s="1138" t="s">
        <v>1349</v>
      </c>
      <c r="GM682" s="1138" t="s">
        <v>1349</v>
      </c>
      <c r="GN682" s="1138" t="s">
        <v>1349</v>
      </c>
      <c r="GO682" s="1138" t="s">
        <v>1349</v>
      </c>
      <c r="GP682" s="1138" t="s">
        <v>1349</v>
      </c>
      <c r="GQ682" s="1138" t="s">
        <v>1349</v>
      </c>
      <c r="GR682" s="1138" t="s">
        <v>1349</v>
      </c>
      <c r="GS682" s="1138" t="s">
        <v>1349</v>
      </c>
      <c r="GT682" s="1138" t="s">
        <v>1349</v>
      </c>
      <c r="GU682" s="1138" t="s">
        <v>1349</v>
      </c>
      <c r="GV682" s="1138" t="s">
        <v>1349</v>
      </c>
    </row>
    <row r="683" spans="1:204" x14ac:dyDescent="0.2">
      <c r="A683" s="1136"/>
      <c r="B683" s="1137"/>
      <c r="GG683" s="1138" t="s">
        <v>1349</v>
      </c>
      <c r="GH683" s="1138" t="s">
        <v>1349</v>
      </c>
      <c r="GI683" s="1138" t="s">
        <v>1349</v>
      </c>
      <c r="GJ683" s="1138" t="s">
        <v>1349</v>
      </c>
      <c r="GK683" s="1138" t="s">
        <v>1349</v>
      </c>
      <c r="GL683" s="1138" t="s">
        <v>1349</v>
      </c>
      <c r="GM683" s="1138" t="s">
        <v>1349</v>
      </c>
      <c r="GN683" s="1138" t="s">
        <v>1349</v>
      </c>
      <c r="GO683" s="1138" t="s">
        <v>1349</v>
      </c>
      <c r="GP683" s="1138" t="s">
        <v>1349</v>
      </c>
      <c r="GQ683" s="1138" t="s">
        <v>1349</v>
      </c>
      <c r="GR683" s="1138" t="s">
        <v>1349</v>
      </c>
      <c r="GS683" s="1138" t="s">
        <v>1349</v>
      </c>
      <c r="GT683" s="1138" t="s">
        <v>1349</v>
      </c>
      <c r="GU683" s="1138" t="s">
        <v>1349</v>
      </c>
      <c r="GV683" s="1138" t="s">
        <v>1349</v>
      </c>
    </row>
    <row r="684" spans="1:204" x14ac:dyDescent="0.2">
      <c r="A684" s="1136"/>
      <c r="B684" s="1137"/>
      <c r="GG684" s="1138" t="s">
        <v>1349</v>
      </c>
      <c r="GH684" s="1138" t="s">
        <v>1349</v>
      </c>
      <c r="GI684" s="1138" t="s">
        <v>1349</v>
      </c>
      <c r="GJ684" s="1138" t="s">
        <v>1349</v>
      </c>
      <c r="GK684" s="1138" t="s">
        <v>1349</v>
      </c>
      <c r="GL684" s="1138" t="s">
        <v>1349</v>
      </c>
      <c r="GM684" s="1138" t="s">
        <v>1349</v>
      </c>
      <c r="GN684" s="1138" t="s">
        <v>1349</v>
      </c>
      <c r="GO684" s="1138" t="s">
        <v>1349</v>
      </c>
      <c r="GP684" s="1138" t="s">
        <v>1349</v>
      </c>
      <c r="GQ684" s="1138" t="s">
        <v>1349</v>
      </c>
      <c r="GR684" s="1138" t="s">
        <v>1349</v>
      </c>
      <c r="GS684" s="1138" t="s">
        <v>1349</v>
      </c>
      <c r="GT684" s="1138" t="s">
        <v>1349</v>
      </c>
      <c r="GU684" s="1138" t="s">
        <v>1349</v>
      </c>
      <c r="GV684" s="1138" t="s">
        <v>1349</v>
      </c>
    </row>
    <row r="685" spans="1:204" x14ac:dyDescent="0.2">
      <c r="A685" s="1136"/>
      <c r="B685" s="1137"/>
      <c r="GG685" s="1138" t="s">
        <v>1349</v>
      </c>
      <c r="GH685" s="1138" t="s">
        <v>1349</v>
      </c>
      <c r="GI685" s="1138" t="s">
        <v>1349</v>
      </c>
      <c r="GJ685" s="1138" t="s">
        <v>1349</v>
      </c>
      <c r="GK685" s="1138" t="s">
        <v>1349</v>
      </c>
      <c r="GL685" s="1138" t="s">
        <v>1349</v>
      </c>
      <c r="GM685" s="1138" t="s">
        <v>1349</v>
      </c>
      <c r="GN685" s="1138" t="s">
        <v>1349</v>
      </c>
      <c r="GO685" s="1138" t="s">
        <v>1349</v>
      </c>
      <c r="GP685" s="1138" t="s">
        <v>1349</v>
      </c>
      <c r="GQ685" s="1138" t="s">
        <v>1349</v>
      </c>
      <c r="GR685" s="1138" t="s">
        <v>1349</v>
      </c>
      <c r="GS685" s="1138" t="s">
        <v>1349</v>
      </c>
      <c r="GT685" s="1138" t="s">
        <v>1349</v>
      </c>
      <c r="GU685" s="1138" t="s">
        <v>1349</v>
      </c>
      <c r="GV685" s="1138" t="s">
        <v>1349</v>
      </c>
    </row>
    <row r="686" spans="1:204" x14ac:dyDescent="0.2">
      <c r="A686" s="1136"/>
      <c r="B686" s="1137"/>
      <c r="GG686" s="1138" t="s">
        <v>1349</v>
      </c>
      <c r="GH686" s="1138" t="s">
        <v>1349</v>
      </c>
      <c r="GI686" s="1138" t="s">
        <v>1349</v>
      </c>
      <c r="GJ686" s="1138" t="s">
        <v>1349</v>
      </c>
      <c r="GK686" s="1138" t="s">
        <v>1349</v>
      </c>
      <c r="GL686" s="1138" t="s">
        <v>1349</v>
      </c>
      <c r="GM686" s="1138" t="s">
        <v>1349</v>
      </c>
      <c r="GN686" s="1138" t="s">
        <v>1349</v>
      </c>
      <c r="GO686" s="1138" t="s">
        <v>1349</v>
      </c>
      <c r="GP686" s="1138" t="s">
        <v>1349</v>
      </c>
      <c r="GQ686" s="1138" t="s">
        <v>1349</v>
      </c>
      <c r="GR686" s="1138" t="s">
        <v>1349</v>
      </c>
      <c r="GS686" s="1138" t="s">
        <v>1349</v>
      </c>
      <c r="GT686" s="1138" t="s">
        <v>1349</v>
      </c>
      <c r="GU686" s="1138" t="s">
        <v>1349</v>
      </c>
      <c r="GV686" s="1138" t="s">
        <v>1349</v>
      </c>
    </row>
    <row r="687" spans="1:204" x14ac:dyDescent="0.2">
      <c r="A687" s="1136"/>
      <c r="B687" s="1137"/>
      <c r="GG687" s="1138" t="s">
        <v>1349</v>
      </c>
      <c r="GH687" s="1138" t="s">
        <v>1349</v>
      </c>
      <c r="GI687" s="1138" t="s">
        <v>1349</v>
      </c>
      <c r="GJ687" s="1138" t="s">
        <v>1349</v>
      </c>
      <c r="GK687" s="1138" t="s">
        <v>1349</v>
      </c>
      <c r="GL687" s="1138" t="s">
        <v>1349</v>
      </c>
      <c r="GM687" s="1138" t="s">
        <v>1349</v>
      </c>
      <c r="GN687" s="1138" t="s">
        <v>1349</v>
      </c>
      <c r="GO687" s="1138" t="s">
        <v>1349</v>
      </c>
      <c r="GP687" s="1138" t="s">
        <v>1349</v>
      </c>
      <c r="GQ687" s="1138" t="s">
        <v>1349</v>
      </c>
      <c r="GR687" s="1138" t="s">
        <v>1349</v>
      </c>
      <c r="GS687" s="1138" t="s">
        <v>1349</v>
      </c>
      <c r="GT687" s="1138" t="s">
        <v>1349</v>
      </c>
      <c r="GU687" s="1138" t="s">
        <v>1349</v>
      </c>
      <c r="GV687" s="1138" t="s">
        <v>1349</v>
      </c>
    </row>
    <row r="688" spans="1:204" x14ac:dyDescent="0.2">
      <c r="A688" s="1136"/>
      <c r="B688" s="1137"/>
      <c r="GG688" s="1138" t="s">
        <v>1349</v>
      </c>
      <c r="GH688" s="1138" t="s">
        <v>1349</v>
      </c>
      <c r="GI688" s="1138" t="s">
        <v>1349</v>
      </c>
      <c r="GJ688" s="1138" t="s">
        <v>1349</v>
      </c>
      <c r="GK688" s="1138" t="s">
        <v>1349</v>
      </c>
      <c r="GL688" s="1138" t="s">
        <v>1349</v>
      </c>
      <c r="GM688" s="1138" t="s">
        <v>1349</v>
      </c>
      <c r="GN688" s="1138" t="s">
        <v>1349</v>
      </c>
      <c r="GO688" s="1138" t="s">
        <v>1349</v>
      </c>
      <c r="GP688" s="1138" t="s">
        <v>1349</v>
      </c>
      <c r="GQ688" s="1138" t="s">
        <v>1349</v>
      </c>
      <c r="GR688" s="1138" t="s">
        <v>1349</v>
      </c>
      <c r="GS688" s="1138" t="s">
        <v>1349</v>
      </c>
      <c r="GT688" s="1138" t="s">
        <v>1349</v>
      </c>
      <c r="GU688" s="1138" t="s">
        <v>1349</v>
      </c>
      <c r="GV688" s="1138" t="s">
        <v>1349</v>
      </c>
    </row>
    <row r="689" spans="1:204" x14ac:dyDescent="0.2">
      <c r="A689" s="1136"/>
      <c r="B689" s="1137"/>
      <c r="GG689" s="1138" t="s">
        <v>1349</v>
      </c>
      <c r="GH689" s="1138" t="s">
        <v>1349</v>
      </c>
      <c r="GI689" s="1138" t="s">
        <v>1349</v>
      </c>
      <c r="GJ689" s="1138" t="s">
        <v>1349</v>
      </c>
      <c r="GK689" s="1138" t="s">
        <v>1349</v>
      </c>
      <c r="GL689" s="1138" t="s">
        <v>1349</v>
      </c>
      <c r="GM689" s="1138" t="s">
        <v>1349</v>
      </c>
      <c r="GN689" s="1138" t="s">
        <v>1349</v>
      </c>
      <c r="GO689" s="1138" t="s">
        <v>1349</v>
      </c>
      <c r="GP689" s="1138" t="s">
        <v>1349</v>
      </c>
      <c r="GQ689" s="1138" t="s">
        <v>1349</v>
      </c>
      <c r="GR689" s="1138" t="s">
        <v>1349</v>
      </c>
      <c r="GS689" s="1138" t="s">
        <v>1349</v>
      </c>
      <c r="GT689" s="1138" t="s">
        <v>1349</v>
      </c>
      <c r="GU689" s="1138" t="s">
        <v>1349</v>
      </c>
      <c r="GV689" s="1138" t="s">
        <v>1349</v>
      </c>
    </row>
    <row r="690" spans="1:204" x14ac:dyDescent="0.2">
      <c r="A690" s="1136"/>
      <c r="B690" s="1137"/>
      <c r="GG690" s="1138" t="s">
        <v>1349</v>
      </c>
      <c r="GH690" s="1138" t="s">
        <v>1349</v>
      </c>
      <c r="GI690" s="1138" t="s">
        <v>1349</v>
      </c>
      <c r="GJ690" s="1138" t="s">
        <v>1349</v>
      </c>
      <c r="GK690" s="1138" t="s">
        <v>1349</v>
      </c>
      <c r="GL690" s="1138" t="s">
        <v>1349</v>
      </c>
      <c r="GM690" s="1138" t="s">
        <v>1349</v>
      </c>
      <c r="GN690" s="1138" t="s">
        <v>1349</v>
      </c>
      <c r="GO690" s="1138" t="s">
        <v>1349</v>
      </c>
      <c r="GP690" s="1138" t="s">
        <v>1349</v>
      </c>
      <c r="GQ690" s="1138" t="s">
        <v>1349</v>
      </c>
      <c r="GR690" s="1138" t="s">
        <v>1349</v>
      </c>
      <c r="GS690" s="1138" t="s">
        <v>1349</v>
      </c>
      <c r="GT690" s="1138" t="s">
        <v>1349</v>
      </c>
      <c r="GU690" s="1138" t="s">
        <v>1349</v>
      </c>
      <c r="GV690" s="1138" t="s">
        <v>1349</v>
      </c>
    </row>
    <row r="691" spans="1:204" x14ac:dyDescent="0.2">
      <c r="A691" s="1136"/>
      <c r="B691" s="1137"/>
      <c r="GG691" s="1138" t="s">
        <v>1349</v>
      </c>
      <c r="GH691" s="1138" t="s">
        <v>1349</v>
      </c>
      <c r="GI691" s="1138" t="s">
        <v>1349</v>
      </c>
      <c r="GJ691" s="1138" t="s">
        <v>1349</v>
      </c>
      <c r="GK691" s="1138" t="s">
        <v>1349</v>
      </c>
      <c r="GL691" s="1138" t="s">
        <v>1349</v>
      </c>
      <c r="GM691" s="1138" t="s">
        <v>1349</v>
      </c>
      <c r="GN691" s="1138" t="s">
        <v>1349</v>
      </c>
      <c r="GO691" s="1138" t="s">
        <v>1349</v>
      </c>
      <c r="GP691" s="1138" t="s">
        <v>1349</v>
      </c>
      <c r="GQ691" s="1138" t="s">
        <v>1349</v>
      </c>
      <c r="GR691" s="1138" t="s">
        <v>1349</v>
      </c>
      <c r="GS691" s="1138" t="s">
        <v>1349</v>
      </c>
      <c r="GT691" s="1138" t="s">
        <v>1349</v>
      </c>
      <c r="GU691" s="1138" t="s">
        <v>1349</v>
      </c>
      <c r="GV691" s="1138" t="s">
        <v>1349</v>
      </c>
    </row>
    <row r="692" spans="1:204" x14ac:dyDescent="0.2">
      <c r="A692" s="1136"/>
      <c r="B692" s="1137"/>
      <c r="GG692" s="1138" t="s">
        <v>1349</v>
      </c>
      <c r="GH692" s="1138" t="s">
        <v>1349</v>
      </c>
      <c r="GI692" s="1138" t="s">
        <v>1349</v>
      </c>
      <c r="GJ692" s="1138" t="s">
        <v>1349</v>
      </c>
      <c r="GK692" s="1138" t="s">
        <v>1349</v>
      </c>
      <c r="GL692" s="1138" t="s">
        <v>1349</v>
      </c>
      <c r="GM692" s="1138" t="s">
        <v>1349</v>
      </c>
      <c r="GN692" s="1138" t="s">
        <v>1349</v>
      </c>
      <c r="GO692" s="1138" t="s">
        <v>1349</v>
      </c>
      <c r="GP692" s="1138" t="s">
        <v>1349</v>
      </c>
      <c r="GQ692" s="1138" t="s">
        <v>1349</v>
      </c>
      <c r="GR692" s="1138" t="s">
        <v>1349</v>
      </c>
      <c r="GS692" s="1138" t="s">
        <v>1349</v>
      </c>
      <c r="GT692" s="1138" t="s">
        <v>1349</v>
      </c>
      <c r="GU692" s="1138" t="s">
        <v>1349</v>
      </c>
      <c r="GV692" s="1138" t="s">
        <v>1349</v>
      </c>
    </row>
    <row r="693" spans="1:204" x14ac:dyDescent="0.2">
      <c r="A693" s="1136"/>
      <c r="B693" s="1137"/>
      <c r="GG693" s="1138" t="s">
        <v>1349</v>
      </c>
      <c r="GH693" s="1138" t="s">
        <v>1349</v>
      </c>
      <c r="GI693" s="1138" t="s">
        <v>1349</v>
      </c>
      <c r="GJ693" s="1138" t="s">
        <v>1349</v>
      </c>
      <c r="GK693" s="1138" t="s">
        <v>1349</v>
      </c>
      <c r="GL693" s="1138" t="s">
        <v>1349</v>
      </c>
      <c r="GM693" s="1138" t="s">
        <v>1349</v>
      </c>
      <c r="GN693" s="1138" t="s">
        <v>1349</v>
      </c>
      <c r="GO693" s="1138" t="s">
        <v>1349</v>
      </c>
      <c r="GP693" s="1138" t="s">
        <v>1349</v>
      </c>
      <c r="GQ693" s="1138" t="s">
        <v>1349</v>
      </c>
      <c r="GR693" s="1138" t="s">
        <v>1349</v>
      </c>
      <c r="GS693" s="1138" t="s">
        <v>1349</v>
      </c>
      <c r="GT693" s="1138" t="s">
        <v>1349</v>
      </c>
      <c r="GU693" s="1138" t="s">
        <v>1349</v>
      </c>
      <c r="GV693" s="1138" t="s">
        <v>1349</v>
      </c>
    </row>
    <row r="694" spans="1:204" x14ac:dyDescent="0.2">
      <c r="A694" s="1136"/>
      <c r="B694" s="1137"/>
      <c r="GG694" s="1138" t="s">
        <v>1349</v>
      </c>
      <c r="GH694" s="1138" t="s">
        <v>1349</v>
      </c>
      <c r="GI694" s="1138" t="s">
        <v>1349</v>
      </c>
      <c r="GJ694" s="1138" t="s">
        <v>1349</v>
      </c>
      <c r="GK694" s="1138" t="s">
        <v>1349</v>
      </c>
      <c r="GL694" s="1138" t="s">
        <v>1349</v>
      </c>
      <c r="GM694" s="1138" t="s">
        <v>1349</v>
      </c>
      <c r="GN694" s="1138" t="s">
        <v>1349</v>
      </c>
      <c r="GO694" s="1138" t="s">
        <v>1349</v>
      </c>
      <c r="GP694" s="1138" t="s">
        <v>1349</v>
      </c>
      <c r="GQ694" s="1138" t="s">
        <v>1349</v>
      </c>
      <c r="GR694" s="1138" t="s">
        <v>1349</v>
      </c>
      <c r="GS694" s="1138" t="s">
        <v>1349</v>
      </c>
      <c r="GT694" s="1138" t="s">
        <v>1349</v>
      </c>
      <c r="GU694" s="1138" t="s">
        <v>1349</v>
      </c>
      <c r="GV694" s="1138" t="s">
        <v>1349</v>
      </c>
    </row>
    <row r="695" spans="1:204" x14ac:dyDescent="0.2">
      <c r="A695" s="1136"/>
      <c r="B695" s="1137"/>
      <c r="GG695" s="1138" t="s">
        <v>1349</v>
      </c>
      <c r="GH695" s="1138" t="s">
        <v>1349</v>
      </c>
      <c r="GI695" s="1138" t="s">
        <v>1349</v>
      </c>
      <c r="GJ695" s="1138" t="s">
        <v>1349</v>
      </c>
      <c r="GK695" s="1138" t="s">
        <v>1349</v>
      </c>
      <c r="GL695" s="1138" t="s">
        <v>1349</v>
      </c>
      <c r="GM695" s="1138" t="s">
        <v>1349</v>
      </c>
      <c r="GN695" s="1138" t="s">
        <v>1349</v>
      </c>
      <c r="GO695" s="1138" t="s">
        <v>1349</v>
      </c>
      <c r="GP695" s="1138" t="s">
        <v>1349</v>
      </c>
      <c r="GQ695" s="1138" t="s">
        <v>1349</v>
      </c>
      <c r="GR695" s="1138" t="s">
        <v>1349</v>
      </c>
      <c r="GS695" s="1138" t="s">
        <v>1349</v>
      </c>
      <c r="GT695" s="1138" t="s">
        <v>1349</v>
      </c>
      <c r="GU695" s="1138" t="s">
        <v>1349</v>
      </c>
      <c r="GV695" s="1138" t="s">
        <v>1349</v>
      </c>
    </row>
    <row r="696" spans="1:204" x14ac:dyDescent="0.2">
      <c r="A696" s="1136"/>
      <c r="B696" s="1137"/>
      <c r="GG696" s="1138" t="s">
        <v>1349</v>
      </c>
      <c r="GH696" s="1138" t="s">
        <v>1349</v>
      </c>
      <c r="GI696" s="1138" t="s">
        <v>1349</v>
      </c>
      <c r="GJ696" s="1138" t="s">
        <v>1349</v>
      </c>
      <c r="GK696" s="1138" t="s">
        <v>1349</v>
      </c>
      <c r="GL696" s="1138" t="s">
        <v>1349</v>
      </c>
      <c r="GM696" s="1138" t="s">
        <v>1349</v>
      </c>
      <c r="GN696" s="1138" t="s">
        <v>1349</v>
      </c>
      <c r="GO696" s="1138" t="s">
        <v>1349</v>
      </c>
      <c r="GP696" s="1138" t="s">
        <v>1349</v>
      </c>
      <c r="GQ696" s="1138" t="s">
        <v>1349</v>
      </c>
      <c r="GR696" s="1138" t="s">
        <v>1349</v>
      </c>
      <c r="GS696" s="1138" t="s">
        <v>1349</v>
      </c>
      <c r="GT696" s="1138" t="s">
        <v>1349</v>
      </c>
      <c r="GU696" s="1138" t="s">
        <v>1349</v>
      </c>
      <c r="GV696" s="1138" t="s">
        <v>1349</v>
      </c>
    </row>
    <row r="697" spans="1:204" x14ac:dyDescent="0.2">
      <c r="A697" s="1136"/>
      <c r="B697" s="1137"/>
      <c r="GG697" s="1138" t="s">
        <v>1349</v>
      </c>
      <c r="GH697" s="1138" t="s">
        <v>1349</v>
      </c>
      <c r="GI697" s="1138" t="s">
        <v>1349</v>
      </c>
      <c r="GJ697" s="1138" t="s">
        <v>1349</v>
      </c>
      <c r="GK697" s="1138" t="s">
        <v>1349</v>
      </c>
      <c r="GL697" s="1138" t="s">
        <v>1349</v>
      </c>
      <c r="GM697" s="1138" t="s">
        <v>1349</v>
      </c>
      <c r="GN697" s="1138" t="s">
        <v>1349</v>
      </c>
      <c r="GO697" s="1138" t="s">
        <v>1349</v>
      </c>
      <c r="GP697" s="1138" t="s">
        <v>1349</v>
      </c>
      <c r="GQ697" s="1138" t="s">
        <v>1349</v>
      </c>
      <c r="GR697" s="1138" t="s">
        <v>1349</v>
      </c>
      <c r="GS697" s="1138" t="s">
        <v>1349</v>
      </c>
      <c r="GT697" s="1138" t="s">
        <v>1349</v>
      </c>
      <c r="GU697" s="1138" t="s">
        <v>1349</v>
      </c>
      <c r="GV697" s="1138" t="s">
        <v>1349</v>
      </c>
    </row>
    <row r="698" spans="1:204" x14ac:dyDescent="0.2">
      <c r="A698" s="1136"/>
      <c r="B698" s="1137"/>
      <c r="GG698" s="1138" t="s">
        <v>1349</v>
      </c>
      <c r="GH698" s="1138" t="s">
        <v>1349</v>
      </c>
      <c r="GI698" s="1138" t="s">
        <v>1349</v>
      </c>
      <c r="GJ698" s="1138" t="s">
        <v>1349</v>
      </c>
      <c r="GK698" s="1138" t="s">
        <v>1349</v>
      </c>
      <c r="GL698" s="1138" t="s">
        <v>1349</v>
      </c>
      <c r="GM698" s="1138" t="s">
        <v>1349</v>
      </c>
      <c r="GN698" s="1138" t="s">
        <v>1349</v>
      </c>
      <c r="GO698" s="1138" t="s">
        <v>1349</v>
      </c>
      <c r="GP698" s="1138" t="s">
        <v>1349</v>
      </c>
      <c r="GQ698" s="1138" t="s">
        <v>1349</v>
      </c>
      <c r="GR698" s="1138" t="s">
        <v>1349</v>
      </c>
      <c r="GS698" s="1138" t="s">
        <v>1349</v>
      </c>
      <c r="GT698" s="1138" t="s">
        <v>1349</v>
      </c>
      <c r="GU698" s="1138" t="s">
        <v>1349</v>
      </c>
      <c r="GV698" s="1138" t="s">
        <v>1349</v>
      </c>
    </row>
    <row r="699" spans="1:204" x14ac:dyDescent="0.2">
      <c r="A699" s="1136"/>
      <c r="B699" s="1137"/>
      <c r="GG699" s="1138" t="s">
        <v>1349</v>
      </c>
      <c r="GH699" s="1138" t="s">
        <v>1349</v>
      </c>
      <c r="GI699" s="1138" t="s">
        <v>1349</v>
      </c>
      <c r="GJ699" s="1138" t="s">
        <v>1349</v>
      </c>
      <c r="GK699" s="1138" t="s">
        <v>1349</v>
      </c>
      <c r="GL699" s="1138" t="s">
        <v>1349</v>
      </c>
      <c r="GM699" s="1138" t="s">
        <v>1349</v>
      </c>
      <c r="GN699" s="1138" t="s">
        <v>1349</v>
      </c>
      <c r="GO699" s="1138" t="s">
        <v>1349</v>
      </c>
      <c r="GP699" s="1138" t="s">
        <v>1349</v>
      </c>
      <c r="GQ699" s="1138" t="s">
        <v>1349</v>
      </c>
      <c r="GR699" s="1138" t="s">
        <v>1349</v>
      </c>
      <c r="GS699" s="1138" t="s">
        <v>1349</v>
      </c>
      <c r="GT699" s="1138" t="s">
        <v>1349</v>
      </c>
      <c r="GU699" s="1138" t="s">
        <v>1349</v>
      </c>
      <c r="GV699" s="1138" t="s">
        <v>1349</v>
      </c>
    </row>
    <row r="700" spans="1:204" x14ac:dyDescent="0.2">
      <c r="A700" s="1136"/>
      <c r="B700" s="1137"/>
      <c r="GG700" s="1138" t="s">
        <v>1349</v>
      </c>
      <c r="GH700" s="1138" t="s">
        <v>1349</v>
      </c>
      <c r="GI700" s="1138" t="s">
        <v>1349</v>
      </c>
      <c r="GJ700" s="1138" t="s">
        <v>1349</v>
      </c>
      <c r="GK700" s="1138" t="s">
        <v>1349</v>
      </c>
      <c r="GL700" s="1138" t="s">
        <v>1349</v>
      </c>
      <c r="GM700" s="1138" t="s">
        <v>1349</v>
      </c>
      <c r="GN700" s="1138" t="s">
        <v>1349</v>
      </c>
      <c r="GO700" s="1138" t="s">
        <v>1349</v>
      </c>
      <c r="GP700" s="1138" t="s">
        <v>1349</v>
      </c>
      <c r="GQ700" s="1138" t="s">
        <v>1349</v>
      </c>
      <c r="GR700" s="1138" t="s">
        <v>1349</v>
      </c>
      <c r="GS700" s="1138" t="s">
        <v>1349</v>
      </c>
      <c r="GT700" s="1138" t="s">
        <v>1349</v>
      </c>
      <c r="GU700" s="1138" t="s">
        <v>1349</v>
      </c>
      <c r="GV700" s="1138" t="s">
        <v>1349</v>
      </c>
    </row>
    <row r="701" spans="1:204" x14ac:dyDescent="0.2">
      <c r="A701" s="1136"/>
      <c r="B701" s="1137"/>
      <c r="GG701" s="1138" t="s">
        <v>1349</v>
      </c>
      <c r="GH701" s="1138" t="s">
        <v>1349</v>
      </c>
      <c r="GI701" s="1138" t="s">
        <v>1349</v>
      </c>
      <c r="GJ701" s="1138" t="s">
        <v>1349</v>
      </c>
      <c r="GK701" s="1138" t="s">
        <v>1349</v>
      </c>
      <c r="GL701" s="1138" t="s">
        <v>1349</v>
      </c>
      <c r="GM701" s="1138" t="s">
        <v>1349</v>
      </c>
      <c r="GN701" s="1138" t="s">
        <v>1349</v>
      </c>
      <c r="GO701" s="1138" t="s">
        <v>1349</v>
      </c>
      <c r="GP701" s="1138" t="s">
        <v>1349</v>
      </c>
      <c r="GQ701" s="1138" t="s">
        <v>1349</v>
      </c>
      <c r="GR701" s="1138" t="s">
        <v>1349</v>
      </c>
      <c r="GS701" s="1138" t="s">
        <v>1349</v>
      </c>
      <c r="GT701" s="1138" t="s">
        <v>1349</v>
      </c>
      <c r="GU701" s="1138" t="s">
        <v>1349</v>
      </c>
      <c r="GV701" s="1138" t="s">
        <v>1349</v>
      </c>
    </row>
    <row r="702" spans="1:204" x14ac:dyDescent="0.2">
      <c r="A702" s="1136"/>
      <c r="B702" s="1137"/>
      <c r="GG702" s="1138" t="s">
        <v>1349</v>
      </c>
      <c r="GH702" s="1138" t="s">
        <v>1349</v>
      </c>
      <c r="GI702" s="1138" t="s">
        <v>1349</v>
      </c>
      <c r="GJ702" s="1138" t="s">
        <v>1349</v>
      </c>
      <c r="GK702" s="1138" t="s">
        <v>1349</v>
      </c>
      <c r="GL702" s="1138" t="s">
        <v>1349</v>
      </c>
      <c r="GM702" s="1138" t="s">
        <v>1349</v>
      </c>
      <c r="GN702" s="1138" t="s">
        <v>1349</v>
      </c>
      <c r="GO702" s="1138" t="s">
        <v>1349</v>
      </c>
      <c r="GP702" s="1138" t="s">
        <v>1349</v>
      </c>
      <c r="GQ702" s="1138" t="s">
        <v>1349</v>
      </c>
      <c r="GR702" s="1138" t="s">
        <v>1349</v>
      </c>
      <c r="GS702" s="1138" t="s">
        <v>1349</v>
      </c>
      <c r="GT702" s="1138" t="s">
        <v>1349</v>
      </c>
      <c r="GU702" s="1138" t="s">
        <v>1349</v>
      </c>
      <c r="GV702" s="1138" t="s">
        <v>1349</v>
      </c>
    </row>
    <row r="703" spans="1:204" x14ac:dyDescent="0.2">
      <c r="A703" s="1136"/>
      <c r="B703" s="1137"/>
      <c r="GG703" s="1138" t="s">
        <v>1349</v>
      </c>
      <c r="GH703" s="1138" t="s">
        <v>1349</v>
      </c>
      <c r="GI703" s="1138" t="s">
        <v>1349</v>
      </c>
      <c r="GJ703" s="1138" t="s">
        <v>1349</v>
      </c>
      <c r="GK703" s="1138" t="s">
        <v>1349</v>
      </c>
      <c r="GL703" s="1138" t="s">
        <v>1349</v>
      </c>
      <c r="GM703" s="1138" t="s">
        <v>1349</v>
      </c>
      <c r="GN703" s="1138" t="s">
        <v>1349</v>
      </c>
      <c r="GO703" s="1138" t="s">
        <v>1349</v>
      </c>
      <c r="GP703" s="1138" t="s">
        <v>1349</v>
      </c>
      <c r="GQ703" s="1138" t="s">
        <v>1349</v>
      </c>
      <c r="GR703" s="1138" t="s">
        <v>1349</v>
      </c>
      <c r="GS703" s="1138" t="s">
        <v>1349</v>
      </c>
      <c r="GT703" s="1138" t="s">
        <v>1349</v>
      </c>
      <c r="GU703" s="1138" t="s">
        <v>1349</v>
      </c>
      <c r="GV703" s="1138" t="s">
        <v>1349</v>
      </c>
    </row>
    <row r="704" spans="1:204" x14ac:dyDescent="0.2">
      <c r="A704" s="1136"/>
      <c r="B704" s="1137"/>
      <c r="GG704" s="1138" t="s">
        <v>1349</v>
      </c>
      <c r="GH704" s="1138" t="s">
        <v>1349</v>
      </c>
      <c r="GI704" s="1138" t="s">
        <v>1349</v>
      </c>
      <c r="GJ704" s="1138" t="s">
        <v>1349</v>
      </c>
      <c r="GK704" s="1138" t="s">
        <v>1349</v>
      </c>
      <c r="GL704" s="1138" t="s">
        <v>1349</v>
      </c>
      <c r="GM704" s="1138" t="s">
        <v>1349</v>
      </c>
      <c r="GN704" s="1138" t="s">
        <v>1349</v>
      </c>
      <c r="GO704" s="1138" t="s">
        <v>1349</v>
      </c>
      <c r="GP704" s="1138" t="s">
        <v>1349</v>
      </c>
      <c r="GQ704" s="1138" t="s">
        <v>1349</v>
      </c>
      <c r="GR704" s="1138" t="s">
        <v>1349</v>
      </c>
      <c r="GS704" s="1138" t="s">
        <v>1349</v>
      </c>
      <c r="GT704" s="1138" t="s">
        <v>1349</v>
      </c>
      <c r="GU704" s="1138" t="s">
        <v>1349</v>
      </c>
      <c r="GV704" s="1138" t="s">
        <v>1349</v>
      </c>
    </row>
    <row r="705" spans="1:204" x14ac:dyDescent="0.2">
      <c r="A705" s="1136"/>
      <c r="B705" s="1137"/>
      <c r="GG705" s="1138" t="s">
        <v>1349</v>
      </c>
      <c r="GH705" s="1138" t="s">
        <v>1349</v>
      </c>
      <c r="GI705" s="1138" t="s">
        <v>1349</v>
      </c>
      <c r="GJ705" s="1138" t="s">
        <v>1349</v>
      </c>
      <c r="GK705" s="1138" t="s">
        <v>1349</v>
      </c>
      <c r="GL705" s="1138" t="s">
        <v>1349</v>
      </c>
      <c r="GM705" s="1138" t="s">
        <v>1349</v>
      </c>
      <c r="GN705" s="1138" t="s">
        <v>1349</v>
      </c>
      <c r="GO705" s="1138" t="s">
        <v>1349</v>
      </c>
      <c r="GP705" s="1138" t="s">
        <v>1349</v>
      </c>
      <c r="GQ705" s="1138" t="s">
        <v>1349</v>
      </c>
      <c r="GR705" s="1138" t="s">
        <v>1349</v>
      </c>
      <c r="GS705" s="1138" t="s">
        <v>1349</v>
      </c>
      <c r="GT705" s="1138" t="s">
        <v>1349</v>
      </c>
      <c r="GU705" s="1138" t="s">
        <v>1349</v>
      </c>
      <c r="GV705" s="1138" t="s">
        <v>1349</v>
      </c>
    </row>
    <row r="706" spans="1:204" x14ac:dyDescent="0.2">
      <c r="A706" s="1136"/>
      <c r="B706" s="1137"/>
      <c r="GG706" s="1138" t="s">
        <v>1349</v>
      </c>
      <c r="GH706" s="1138" t="s">
        <v>1349</v>
      </c>
      <c r="GI706" s="1138" t="s">
        <v>1349</v>
      </c>
      <c r="GJ706" s="1138" t="s">
        <v>1349</v>
      </c>
      <c r="GK706" s="1138" t="s">
        <v>1349</v>
      </c>
      <c r="GL706" s="1138" t="s">
        <v>1349</v>
      </c>
      <c r="GM706" s="1138" t="s">
        <v>1349</v>
      </c>
      <c r="GN706" s="1138" t="s">
        <v>1349</v>
      </c>
      <c r="GO706" s="1138" t="s">
        <v>1349</v>
      </c>
      <c r="GP706" s="1138" t="s">
        <v>1349</v>
      </c>
      <c r="GQ706" s="1138" t="s">
        <v>1349</v>
      </c>
      <c r="GR706" s="1138" t="s">
        <v>1349</v>
      </c>
      <c r="GS706" s="1138" t="s">
        <v>1349</v>
      </c>
      <c r="GT706" s="1138" t="s">
        <v>1349</v>
      </c>
      <c r="GU706" s="1138" t="s">
        <v>1349</v>
      </c>
      <c r="GV706" s="1138" t="s">
        <v>1349</v>
      </c>
    </row>
    <row r="707" spans="1:204" x14ac:dyDescent="0.2">
      <c r="A707" s="1136"/>
      <c r="B707" s="1137"/>
      <c r="GG707" s="1138" t="s">
        <v>1349</v>
      </c>
      <c r="GH707" s="1138" t="s">
        <v>1349</v>
      </c>
      <c r="GI707" s="1138" t="s">
        <v>1349</v>
      </c>
      <c r="GJ707" s="1138" t="s">
        <v>1349</v>
      </c>
      <c r="GK707" s="1138" t="s">
        <v>1349</v>
      </c>
      <c r="GL707" s="1138" t="s">
        <v>1349</v>
      </c>
      <c r="GM707" s="1138" t="s">
        <v>1349</v>
      </c>
      <c r="GN707" s="1138" t="s">
        <v>1349</v>
      </c>
      <c r="GO707" s="1138" t="s">
        <v>1349</v>
      </c>
      <c r="GP707" s="1138" t="s">
        <v>1349</v>
      </c>
      <c r="GQ707" s="1138" t="s">
        <v>1349</v>
      </c>
      <c r="GR707" s="1138" t="s">
        <v>1349</v>
      </c>
      <c r="GS707" s="1138" t="s">
        <v>1349</v>
      </c>
      <c r="GT707" s="1138" t="s">
        <v>1349</v>
      </c>
      <c r="GU707" s="1138" t="s">
        <v>1349</v>
      </c>
      <c r="GV707" s="1138" t="s">
        <v>1349</v>
      </c>
    </row>
    <row r="708" spans="1:204" x14ac:dyDescent="0.2">
      <c r="A708" s="1136"/>
      <c r="B708" s="1137"/>
      <c r="GG708" s="1138" t="s">
        <v>1349</v>
      </c>
      <c r="GH708" s="1138" t="s">
        <v>1349</v>
      </c>
      <c r="GI708" s="1138" t="s">
        <v>1349</v>
      </c>
      <c r="GJ708" s="1138" t="s">
        <v>1349</v>
      </c>
      <c r="GK708" s="1138" t="s">
        <v>1349</v>
      </c>
      <c r="GL708" s="1138" t="s">
        <v>1349</v>
      </c>
      <c r="GM708" s="1138" t="s">
        <v>1349</v>
      </c>
      <c r="GN708" s="1138" t="s">
        <v>1349</v>
      </c>
      <c r="GO708" s="1138" t="s">
        <v>1349</v>
      </c>
      <c r="GP708" s="1138" t="s">
        <v>1349</v>
      </c>
      <c r="GQ708" s="1138" t="s">
        <v>1349</v>
      </c>
      <c r="GR708" s="1138" t="s">
        <v>1349</v>
      </c>
      <c r="GS708" s="1138" t="s">
        <v>1349</v>
      </c>
      <c r="GT708" s="1138" t="s">
        <v>1349</v>
      </c>
      <c r="GU708" s="1138" t="s">
        <v>1349</v>
      </c>
      <c r="GV708" s="1138" t="s">
        <v>1349</v>
      </c>
    </row>
    <row r="709" spans="1:204" x14ac:dyDescent="0.2">
      <c r="A709" s="1136"/>
      <c r="B709" s="1137"/>
      <c r="GG709" s="1138" t="s">
        <v>1349</v>
      </c>
      <c r="GH709" s="1138" t="s">
        <v>1349</v>
      </c>
      <c r="GI709" s="1138" t="s">
        <v>1349</v>
      </c>
      <c r="GJ709" s="1138" t="s">
        <v>1349</v>
      </c>
      <c r="GK709" s="1138" t="s">
        <v>1349</v>
      </c>
      <c r="GL709" s="1138" t="s">
        <v>1349</v>
      </c>
      <c r="GM709" s="1138" t="s">
        <v>1349</v>
      </c>
      <c r="GN709" s="1138" t="s">
        <v>1349</v>
      </c>
      <c r="GO709" s="1138" t="s">
        <v>1349</v>
      </c>
      <c r="GP709" s="1138" t="s">
        <v>1349</v>
      </c>
      <c r="GQ709" s="1138" t="s">
        <v>1349</v>
      </c>
      <c r="GR709" s="1138" t="s">
        <v>1349</v>
      </c>
      <c r="GS709" s="1138" t="s">
        <v>1349</v>
      </c>
      <c r="GT709" s="1138" t="s">
        <v>1349</v>
      </c>
      <c r="GU709" s="1138" t="s">
        <v>1349</v>
      </c>
      <c r="GV709" s="1138" t="s">
        <v>1349</v>
      </c>
    </row>
    <row r="710" spans="1:204" x14ac:dyDescent="0.2">
      <c r="A710" s="1136"/>
      <c r="B710" s="1137"/>
      <c r="GG710" s="1138" t="s">
        <v>1349</v>
      </c>
      <c r="GH710" s="1138" t="s">
        <v>1349</v>
      </c>
      <c r="GI710" s="1138" t="s">
        <v>1349</v>
      </c>
      <c r="GJ710" s="1138" t="s">
        <v>1349</v>
      </c>
      <c r="GK710" s="1138" t="s">
        <v>1349</v>
      </c>
      <c r="GL710" s="1138" t="s">
        <v>1349</v>
      </c>
      <c r="GM710" s="1138" t="s">
        <v>1349</v>
      </c>
      <c r="GN710" s="1138" t="s">
        <v>1349</v>
      </c>
      <c r="GO710" s="1138" t="s">
        <v>1349</v>
      </c>
      <c r="GP710" s="1138" t="s">
        <v>1349</v>
      </c>
      <c r="GQ710" s="1138" t="s">
        <v>1349</v>
      </c>
      <c r="GR710" s="1138" t="s">
        <v>1349</v>
      </c>
      <c r="GS710" s="1138" t="s">
        <v>1349</v>
      </c>
      <c r="GT710" s="1138" t="s">
        <v>1349</v>
      </c>
      <c r="GU710" s="1138" t="s">
        <v>1349</v>
      </c>
      <c r="GV710" s="1138" t="s">
        <v>1349</v>
      </c>
    </row>
    <row r="711" spans="1:204" x14ac:dyDescent="0.2">
      <c r="A711" s="1136"/>
      <c r="B711" s="1137"/>
      <c r="GG711" s="1138" t="s">
        <v>1349</v>
      </c>
      <c r="GH711" s="1138" t="s">
        <v>1349</v>
      </c>
      <c r="GI711" s="1138" t="s">
        <v>1349</v>
      </c>
      <c r="GJ711" s="1138" t="s">
        <v>1349</v>
      </c>
      <c r="GK711" s="1138" t="s">
        <v>1349</v>
      </c>
      <c r="GL711" s="1138" t="s">
        <v>1349</v>
      </c>
      <c r="GM711" s="1138" t="s">
        <v>1349</v>
      </c>
      <c r="GN711" s="1138" t="s">
        <v>1349</v>
      </c>
      <c r="GO711" s="1138" t="s">
        <v>1349</v>
      </c>
      <c r="GP711" s="1138" t="s">
        <v>1349</v>
      </c>
      <c r="GQ711" s="1138" t="s">
        <v>1349</v>
      </c>
      <c r="GR711" s="1138" t="s">
        <v>1349</v>
      </c>
      <c r="GS711" s="1138" t="s">
        <v>1349</v>
      </c>
      <c r="GT711" s="1138" t="s">
        <v>1349</v>
      </c>
      <c r="GU711" s="1138" t="s">
        <v>1349</v>
      </c>
      <c r="GV711" s="1138" t="s">
        <v>1349</v>
      </c>
    </row>
    <row r="712" spans="1:204" x14ac:dyDescent="0.2">
      <c r="A712" s="1136"/>
      <c r="GG712" s="1138" t="s">
        <v>1349</v>
      </c>
      <c r="GH712" s="1138" t="s">
        <v>1349</v>
      </c>
      <c r="GI712" s="1138" t="s">
        <v>1349</v>
      </c>
      <c r="GJ712" s="1138" t="s">
        <v>1349</v>
      </c>
      <c r="GK712" s="1138" t="s">
        <v>1349</v>
      </c>
      <c r="GL712" s="1138" t="s">
        <v>1349</v>
      </c>
      <c r="GM712" s="1138" t="s">
        <v>1349</v>
      </c>
      <c r="GN712" s="1138" t="s">
        <v>1349</v>
      </c>
      <c r="GO712" s="1138" t="s">
        <v>1349</v>
      </c>
      <c r="GP712" s="1138" t="s">
        <v>1349</v>
      </c>
      <c r="GQ712" s="1138" t="s">
        <v>1349</v>
      </c>
      <c r="GR712" s="1138" t="s">
        <v>1349</v>
      </c>
      <c r="GS712" s="1138" t="s">
        <v>1349</v>
      </c>
      <c r="GT712" s="1138" t="s">
        <v>1349</v>
      </c>
      <c r="GU712" s="1138" t="s">
        <v>1349</v>
      </c>
      <c r="GV712" s="1138" t="s">
        <v>1349</v>
      </c>
    </row>
    <row r="713" spans="1:204" x14ac:dyDescent="0.2">
      <c r="A713" s="1136"/>
      <c r="GG713" s="1138" t="s">
        <v>1349</v>
      </c>
      <c r="GH713" s="1138" t="s">
        <v>1349</v>
      </c>
      <c r="GI713" s="1138" t="s">
        <v>1349</v>
      </c>
      <c r="GJ713" s="1138" t="s">
        <v>1349</v>
      </c>
      <c r="GK713" s="1138" t="s">
        <v>1349</v>
      </c>
      <c r="GL713" s="1138" t="s">
        <v>1349</v>
      </c>
      <c r="GM713" s="1138" t="s">
        <v>1349</v>
      </c>
      <c r="GN713" s="1138" t="s">
        <v>1349</v>
      </c>
      <c r="GO713" s="1138" t="s">
        <v>1349</v>
      </c>
      <c r="GP713" s="1138" t="s">
        <v>1349</v>
      </c>
      <c r="GQ713" s="1138" t="s">
        <v>1349</v>
      </c>
      <c r="GR713" s="1138" t="s">
        <v>1349</v>
      </c>
      <c r="GS713" s="1138" t="s">
        <v>1349</v>
      </c>
      <c r="GT713" s="1138" t="s">
        <v>1349</v>
      </c>
      <c r="GU713" s="1138" t="s">
        <v>1349</v>
      </c>
      <c r="GV713" s="1138" t="s">
        <v>1349</v>
      </c>
    </row>
    <row r="714" spans="1:204" x14ac:dyDescent="0.2">
      <c r="A714" s="1136"/>
      <c r="GG714" s="1138" t="s">
        <v>1349</v>
      </c>
      <c r="GH714" s="1138" t="s">
        <v>1349</v>
      </c>
      <c r="GI714" s="1138" t="s">
        <v>1349</v>
      </c>
      <c r="GJ714" s="1138" t="s">
        <v>1349</v>
      </c>
      <c r="GK714" s="1138" t="s">
        <v>1349</v>
      </c>
      <c r="GL714" s="1138" t="s">
        <v>1349</v>
      </c>
      <c r="GM714" s="1138" t="s">
        <v>1349</v>
      </c>
      <c r="GN714" s="1138" t="s">
        <v>1349</v>
      </c>
      <c r="GO714" s="1138" t="s">
        <v>1349</v>
      </c>
      <c r="GP714" s="1138" t="s">
        <v>1349</v>
      </c>
      <c r="GQ714" s="1138" t="s">
        <v>1349</v>
      </c>
      <c r="GR714" s="1138" t="s">
        <v>1349</v>
      </c>
      <c r="GS714" s="1138" t="s">
        <v>1349</v>
      </c>
      <c r="GT714" s="1138" t="s">
        <v>1349</v>
      </c>
      <c r="GU714" s="1138" t="s">
        <v>1349</v>
      </c>
      <c r="GV714" s="1138" t="s">
        <v>1349</v>
      </c>
    </row>
    <row r="715" spans="1:204" x14ac:dyDescent="0.2">
      <c r="A715" s="1136"/>
      <c r="GG715" s="1138" t="s">
        <v>1349</v>
      </c>
      <c r="GH715" s="1138" t="s">
        <v>1349</v>
      </c>
      <c r="GI715" s="1138" t="s">
        <v>1349</v>
      </c>
      <c r="GJ715" s="1138" t="s">
        <v>1349</v>
      </c>
      <c r="GK715" s="1138" t="s">
        <v>1349</v>
      </c>
      <c r="GL715" s="1138" t="s">
        <v>1349</v>
      </c>
      <c r="GM715" s="1138" t="s">
        <v>1349</v>
      </c>
      <c r="GN715" s="1138" t="s">
        <v>1349</v>
      </c>
      <c r="GO715" s="1138" t="s">
        <v>1349</v>
      </c>
      <c r="GP715" s="1138" t="s">
        <v>1349</v>
      </c>
      <c r="GQ715" s="1138" t="s">
        <v>1349</v>
      </c>
      <c r="GR715" s="1138" t="s">
        <v>1349</v>
      </c>
      <c r="GS715" s="1138" t="s">
        <v>1349</v>
      </c>
      <c r="GT715" s="1138" t="s">
        <v>1349</v>
      </c>
      <c r="GU715" s="1138" t="s">
        <v>1349</v>
      </c>
      <c r="GV715" s="1138" t="s">
        <v>1349</v>
      </c>
    </row>
    <row r="716" spans="1:204" x14ac:dyDescent="0.2">
      <c r="A716" s="1136"/>
      <c r="GG716" s="1138" t="s">
        <v>1349</v>
      </c>
      <c r="GH716" s="1138" t="s">
        <v>1349</v>
      </c>
      <c r="GI716" s="1138" t="s">
        <v>1349</v>
      </c>
      <c r="GJ716" s="1138" t="s">
        <v>1349</v>
      </c>
      <c r="GK716" s="1138" t="s">
        <v>1349</v>
      </c>
      <c r="GL716" s="1138" t="s">
        <v>1349</v>
      </c>
      <c r="GM716" s="1138" t="s">
        <v>1349</v>
      </c>
      <c r="GN716" s="1138" t="s">
        <v>1349</v>
      </c>
      <c r="GO716" s="1138" t="s">
        <v>1349</v>
      </c>
      <c r="GP716" s="1138" t="s">
        <v>1349</v>
      </c>
      <c r="GQ716" s="1138" t="s">
        <v>1349</v>
      </c>
      <c r="GR716" s="1138" t="s">
        <v>1349</v>
      </c>
      <c r="GS716" s="1138" t="s">
        <v>1349</v>
      </c>
      <c r="GT716" s="1138" t="s">
        <v>1349</v>
      </c>
      <c r="GU716" s="1138" t="s">
        <v>1349</v>
      </c>
      <c r="GV716" s="1138" t="s">
        <v>1349</v>
      </c>
    </row>
    <row r="717" spans="1:204" x14ac:dyDescent="0.2">
      <c r="A717" s="1136"/>
      <c r="GG717" s="1138" t="s">
        <v>1349</v>
      </c>
      <c r="GH717" s="1138" t="s">
        <v>1349</v>
      </c>
      <c r="GI717" s="1138" t="s">
        <v>1349</v>
      </c>
      <c r="GJ717" s="1138" t="s">
        <v>1349</v>
      </c>
      <c r="GK717" s="1138" t="s">
        <v>1349</v>
      </c>
      <c r="GL717" s="1138" t="s">
        <v>1349</v>
      </c>
      <c r="GM717" s="1138" t="s">
        <v>1349</v>
      </c>
      <c r="GN717" s="1138" t="s">
        <v>1349</v>
      </c>
      <c r="GO717" s="1138" t="s">
        <v>1349</v>
      </c>
      <c r="GP717" s="1138" t="s">
        <v>1349</v>
      </c>
      <c r="GQ717" s="1138" t="s">
        <v>1349</v>
      </c>
      <c r="GR717" s="1138" t="s">
        <v>1349</v>
      </c>
      <c r="GS717" s="1138" t="s">
        <v>1349</v>
      </c>
      <c r="GT717" s="1138" t="s">
        <v>1349</v>
      </c>
      <c r="GU717" s="1138" t="s">
        <v>1349</v>
      </c>
      <c r="GV717" s="1138" t="s">
        <v>1349</v>
      </c>
    </row>
    <row r="718" spans="1:204" x14ac:dyDescent="0.2">
      <c r="A718" s="1136"/>
      <c r="GG718" s="1138" t="s">
        <v>1349</v>
      </c>
      <c r="GH718" s="1138" t="s">
        <v>1349</v>
      </c>
      <c r="GI718" s="1138" t="s">
        <v>1349</v>
      </c>
      <c r="GJ718" s="1138" t="s">
        <v>1349</v>
      </c>
      <c r="GK718" s="1138" t="s">
        <v>1349</v>
      </c>
      <c r="GL718" s="1138" t="s">
        <v>1349</v>
      </c>
      <c r="GM718" s="1138" t="s">
        <v>1349</v>
      </c>
      <c r="GN718" s="1138" t="s">
        <v>1349</v>
      </c>
      <c r="GO718" s="1138" t="s">
        <v>1349</v>
      </c>
      <c r="GP718" s="1138" t="s">
        <v>1349</v>
      </c>
      <c r="GQ718" s="1138" t="s">
        <v>1349</v>
      </c>
      <c r="GR718" s="1138" t="s">
        <v>1349</v>
      </c>
      <c r="GS718" s="1138" t="s">
        <v>1349</v>
      </c>
      <c r="GT718" s="1138" t="s">
        <v>1349</v>
      </c>
      <c r="GU718" s="1138" t="s">
        <v>1349</v>
      </c>
      <c r="GV718" s="1138" t="s">
        <v>1349</v>
      </c>
    </row>
    <row r="719" spans="1:204" x14ac:dyDescent="0.2">
      <c r="A719" s="1136"/>
      <c r="GG719" s="1138" t="s">
        <v>1349</v>
      </c>
      <c r="GH719" s="1138" t="s">
        <v>1349</v>
      </c>
      <c r="GI719" s="1138" t="s">
        <v>1349</v>
      </c>
      <c r="GJ719" s="1138" t="s">
        <v>1349</v>
      </c>
      <c r="GK719" s="1138" t="s">
        <v>1349</v>
      </c>
      <c r="GL719" s="1138" t="s">
        <v>1349</v>
      </c>
      <c r="GM719" s="1138" t="s">
        <v>1349</v>
      </c>
      <c r="GN719" s="1138" t="s">
        <v>1349</v>
      </c>
      <c r="GO719" s="1138" t="s">
        <v>1349</v>
      </c>
      <c r="GP719" s="1138" t="s">
        <v>1349</v>
      </c>
      <c r="GQ719" s="1138" t="s">
        <v>1349</v>
      </c>
      <c r="GR719" s="1138" t="s">
        <v>1349</v>
      </c>
      <c r="GS719" s="1138" t="s">
        <v>1349</v>
      </c>
      <c r="GT719" s="1138" t="s">
        <v>1349</v>
      </c>
      <c r="GU719" s="1138" t="s">
        <v>1349</v>
      </c>
      <c r="GV719" s="1138" t="s">
        <v>1349</v>
      </c>
    </row>
    <row r="720" spans="1:204" x14ac:dyDescent="0.2">
      <c r="A720" s="1136"/>
      <c r="GG720" s="1138" t="s">
        <v>1349</v>
      </c>
      <c r="GH720" s="1138" t="s">
        <v>1349</v>
      </c>
      <c r="GI720" s="1138" t="s">
        <v>1349</v>
      </c>
      <c r="GJ720" s="1138" t="s">
        <v>1349</v>
      </c>
      <c r="GK720" s="1138" t="s">
        <v>1349</v>
      </c>
      <c r="GL720" s="1138" t="s">
        <v>1349</v>
      </c>
      <c r="GM720" s="1138" t="s">
        <v>1349</v>
      </c>
      <c r="GN720" s="1138" t="s">
        <v>1349</v>
      </c>
      <c r="GO720" s="1138" t="s">
        <v>1349</v>
      </c>
      <c r="GP720" s="1138" t="s">
        <v>1349</v>
      </c>
      <c r="GQ720" s="1138" t="s">
        <v>1349</v>
      </c>
      <c r="GR720" s="1138" t="s">
        <v>1349</v>
      </c>
      <c r="GS720" s="1138" t="s">
        <v>1349</v>
      </c>
      <c r="GT720" s="1138" t="s">
        <v>1349</v>
      </c>
      <c r="GU720" s="1138" t="s">
        <v>1349</v>
      </c>
      <c r="GV720" s="1138" t="s">
        <v>1349</v>
      </c>
    </row>
    <row r="721" spans="1:204" x14ac:dyDescent="0.2">
      <c r="A721" s="1136"/>
      <c r="GG721" s="1138" t="s">
        <v>1349</v>
      </c>
      <c r="GH721" s="1138" t="s">
        <v>1349</v>
      </c>
      <c r="GI721" s="1138" t="s">
        <v>1349</v>
      </c>
      <c r="GJ721" s="1138" t="s">
        <v>1349</v>
      </c>
      <c r="GK721" s="1138" t="s">
        <v>1349</v>
      </c>
      <c r="GL721" s="1138" t="s">
        <v>1349</v>
      </c>
      <c r="GM721" s="1138" t="s">
        <v>1349</v>
      </c>
      <c r="GN721" s="1138" t="s">
        <v>1349</v>
      </c>
      <c r="GO721" s="1138" t="s">
        <v>1349</v>
      </c>
      <c r="GP721" s="1138" t="s">
        <v>1349</v>
      </c>
      <c r="GQ721" s="1138" t="s">
        <v>1349</v>
      </c>
      <c r="GR721" s="1138" t="s">
        <v>1349</v>
      </c>
      <c r="GS721" s="1138" t="s">
        <v>1349</v>
      </c>
      <c r="GT721" s="1138" t="s">
        <v>1349</v>
      </c>
      <c r="GU721" s="1138" t="s">
        <v>1349</v>
      </c>
      <c r="GV721" s="1138" t="s">
        <v>1349</v>
      </c>
    </row>
    <row r="722" spans="1:204" x14ac:dyDescent="0.2">
      <c r="A722" s="1136"/>
      <c r="GG722" s="1138" t="s">
        <v>1349</v>
      </c>
      <c r="GH722" s="1138" t="s">
        <v>1349</v>
      </c>
      <c r="GI722" s="1138" t="s">
        <v>1349</v>
      </c>
      <c r="GJ722" s="1138" t="s">
        <v>1349</v>
      </c>
      <c r="GK722" s="1138" t="s">
        <v>1349</v>
      </c>
      <c r="GL722" s="1138" t="s">
        <v>1349</v>
      </c>
      <c r="GM722" s="1138" t="s">
        <v>1349</v>
      </c>
      <c r="GN722" s="1138" t="s">
        <v>1349</v>
      </c>
      <c r="GO722" s="1138" t="s">
        <v>1349</v>
      </c>
      <c r="GP722" s="1138" t="s">
        <v>1349</v>
      </c>
      <c r="GQ722" s="1138" t="s">
        <v>1349</v>
      </c>
      <c r="GR722" s="1138" t="s">
        <v>1349</v>
      </c>
      <c r="GS722" s="1138" t="s">
        <v>1349</v>
      </c>
      <c r="GT722" s="1138" t="s">
        <v>1349</v>
      </c>
      <c r="GU722" s="1138" t="s">
        <v>1349</v>
      </c>
      <c r="GV722" s="1138" t="s">
        <v>1349</v>
      </c>
    </row>
    <row r="723" spans="1:204" x14ac:dyDescent="0.2">
      <c r="A723" s="1136"/>
      <c r="GG723" s="1138" t="s">
        <v>1349</v>
      </c>
      <c r="GH723" s="1138" t="s">
        <v>1349</v>
      </c>
      <c r="GI723" s="1138" t="s">
        <v>1349</v>
      </c>
      <c r="GJ723" s="1138" t="s">
        <v>1349</v>
      </c>
      <c r="GK723" s="1138" t="s">
        <v>1349</v>
      </c>
      <c r="GL723" s="1138" t="s">
        <v>1349</v>
      </c>
      <c r="GM723" s="1138" t="s">
        <v>1349</v>
      </c>
      <c r="GN723" s="1138" t="s">
        <v>1349</v>
      </c>
      <c r="GO723" s="1138" t="s">
        <v>1349</v>
      </c>
      <c r="GP723" s="1138" t="s">
        <v>1349</v>
      </c>
      <c r="GQ723" s="1138" t="s">
        <v>1349</v>
      </c>
      <c r="GR723" s="1138" t="s">
        <v>1349</v>
      </c>
      <c r="GS723" s="1138" t="s">
        <v>1349</v>
      </c>
      <c r="GT723" s="1138" t="s">
        <v>1349</v>
      </c>
      <c r="GU723" s="1138" t="s">
        <v>1349</v>
      </c>
      <c r="GV723" s="1138" t="s">
        <v>1349</v>
      </c>
    </row>
    <row r="724" spans="1:204" x14ac:dyDescent="0.2">
      <c r="A724" s="1136"/>
      <c r="GG724" s="1138" t="s">
        <v>1349</v>
      </c>
      <c r="GH724" s="1138" t="s">
        <v>1349</v>
      </c>
      <c r="GI724" s="1138" t="s">
        <v>1349</v>
      </c>
      <c r="GJ724" s="1138" t="s">
        <v>1349</v>
      </c>
      <c r="GK724" s="1138" t="s">
        <v>1349</v>
      </c>
      <c r="GL724" s="1138" t="s">
        <v>1349</v>
      </c>
      <c r="GM724" s="1138" t="s">
        <v>1349</v>
      </c>
      <c r="GN724" s="1138" t="s">
        <v>1349</v>
      </c>
      <c r="GO724" s="1138" t="s">
        <v>1349</v>
      </c>
      <c r="GP724" s="1138" t="s">
        <v>1349</v>
      </c>
      <c r="GQ724" s="1138" t="s">
        <v>1349</v>
      </c>
      <c r="GR724" s="1138" t="s">
        <v>1349</v>
      </c>
      <c r="GS724" s="1138" t="s">
        <v>1349</v>
      </c>
      <c r="GT724" s="1138" t="s">
        <v>1349</v>
      </c>
      <c r="GU724" s="1138" t="s">
        <v>1349</v>
      </c>
      <c r="GV724" s="1138" t="s">
        <v>1349</v>
      </c>
    </row>
    <row r="725" spans="1:204" x14ac:dyDescent="0.2">
      <c r="A725" s="1136"/>
      <c r="GG725" s="1138" t="s">
        <v>1349</v>
      </c>
      <c r="GH725" s="1138" t="s">
        <v>1349</v>
      </c>
      <c r="GI725" s="1138" t="s">
        <v>1349</v>
      </c>
      <c r="GJ725" s="1138" t="s">
        <v>1349</v>
      </c>
      <c r="GK725" s="1138" t="s">
        <v>1349</v>
      </c>
      <c r="GL725" s="1138" t="s">
        <v>1349</v>
      </c>
      <c r="GM725" s="1138" t="s">
        <v>1349</v>
      </c>
      <c r="GN725" s="1138" t="s">
        <v>1349</v>
      </c>
      <c r="GO725" s="1138" t="s">
        <v>1349</v>
      </c>
      <c r="GP725" s="1138" t="s">
        <v>1349</v>
      </c>
      <c r="GQ725" s="1138" t="s">
        <v>1349</v>
      </c>
      <c r="GR725" s="1138" t="s">
        <v>1349</v>
      </c>
      <c r="GS725" s="1138" t="s">
        <v>1349</v>
      </c>
      <c r="GT725" s="1138" t="s">
        <v>1349</v>
      </c>
      <c r="GU725" s="1138" t="s">
        <v>1349</v>
      </c>
      <c r="GV725" s="1138" t="s">
        <v>1349</v>
      </c>
    </row>
    <row r="726" spans="1:204" x14ac:dyDescent="0.2">
      <c r="A726" s="1136"/>
      <c r="GG726" s="1138" t="s">
        <v>1349</v>
      </c>
      <c r="GH726" s="1138" t="s">
        <v>1349</v>
      </c>
      <c r="GI726" s="1138" t="s">
        <v>1349</v>
      </c>
      <c r="GJ726" s="1138" t="s">
        <v>1349</v>
      </c>
      <c r="GK726" s="1138" t="s">
        <v>1349</v>
      </c>
      <c r="GL726" s="1138" t="s">
        <v>1349</v>
      </c>
      <c r="GM726" s="1138" t="s">
        <v>1349</v>
      </c>
      <c r="GN726" s="1138" t="s">
        <v>1349</v>
      </c>
      <c r="GO726" s="1138" t="s">
        <v>1349</v>
      </c>
      <c r="GP726" s="1138" t="s">
        <v>1349</v>
      </c>
      <c r="GQ726" s="1138" t="s">
        <v>1349</v>
      </c>
      <c r="GR726" s="1138" t="s">
        <v>1349</v>
      </c>
      <c r="GS726" s="1138" t="s">
        <v>1349</v>
      </c>
      <c r="GT726" s="1138" t="s">
        <v>1349</v>
      </c>
      <c r="GU726" s="1138" t="s">
        <v>1349</v>
      </c>
      <c r="GV726" s="1138" t="s">
        <v>1349</v>
      </c>
    </row>
    <row r="727" spans="1:204" x14ac:dyDescent="0.2">
      <c r="A727" s="1136"/>
      <c r="GG727" s="1138" t="s">
        <v>1349</v>
      </c>
      <c r="GH727" s="1138" t="s">
        <v>1349</v>
      </c>
      <c r="GI727" s="1138" t="s">
        <v>1349</v>
      </c>
      <c r="GJ727" s="1138" t="s">
        <v>1349</v>
      </c>
      <c r="GK727" s="1138" t="s">
        <v>1349</v>
      </c>
      <c r="GL727" s="1138" t="s">
        <v>1349</v>
      </c>
      <c r="GM727" s="1138" t="s">
        <v>1349</v>
      </c>
      <c r="GN727" s="1138" t="s">
        <v>1349</v>
      </c>
      <c r="GO727" s="1138" t="s">
        <v>1349</v>
      </c>
      <c r="GP727" s="1138" t="s">
        <v>1349</v>
      </c>
      <c r="GQ727" s="1138" t="s">
        <v>1349</v>
      </c>
      <c r="GR727" s="1138" t="s">
        <v>1349</v>
      </c>
      <c r="GS727" s="1138" t="s">
        <v>1349</v>
      </c>
      <c r="GT727" s="1138" t="s">
        <v>1349</v>
      </c>
      <c r="GU727" s="1138" t="s">
        <v>1349</v>
      </c>
      <c r="GV727" s="1138" t="s">
        <v>1349</v>
      </c>
    </row>
    <row r="728" spans="1:204" x14ac:dyDescent="0.2">
      <c r="A728" s="1136"/>
      <c r="GG728" s="1138" t="s">
        <v>1349</v>
      </c>
      <c r="GH728" s="1138" t="s">
        <v>1349</v>
      </c>
      <c r="GI728" s="1138" t="s">
        <v>1349</v>
      </c>
      <c r="GJ728" s="1138" t="s">
        <v>1349</v>
      </c>
      <c r="GK728" s="1138" t="s">
        <v>1349</v>
      </c>
      <c r="GL728" s="1138" t="s">
        <v>1349</v>
      </c>
      <c r="GM728" s="1138" t="s">
        <v>1349</v>
      </c>
      <c r="GN728" s="1138" t="s">
        <v>1349</v>
      </c>
      <c r="GO728" s="1138" t="s">
        <v>1349</v>
      </c>
      <c r="GP728" s="1138" t="s">
        <v>1349</v>
      </c>
      <c r="GQ728" s="1138" t="s">
        <v>1349</v>
      </c>
      <c r="GR728" s="1138" t="s">
        <v>1349</v>
      </c>
      <c r="GS728" s="1138" t="s">
        <v>1349</v>
      </c>
      <c r="GT728" s="1138" t="s">
        <v>1349</v>
      </c>
      <c r="GU728" s="1138" t="s">
        <v>1349</v>
      </c>
      <c r="GV728" s="1138" t="s">
        <v>1349</v>
      </c>
    </row>
    <row r="729" spans="1:204" x14ac:dyDescent="0.2">
      <c r="A729" s="1136"/>
      <c r="B729" s="1137"/>
      <c r="GG729" s="1138" t="s">
        <v>1349</v>
      </c>
      <c r="GH729" s="1138" t="s">
        <v>1349</v>
      </c>
      <c r="GI729" s="1138" t="s">
        <v>1349</v>
      </c>
      <c r="GJ729" s="1138" t="s">
        <v>1349</v>
      </c>
      <c r="GK729" s="1138" t="s">
        <v>1349</v>
      </c>
      <c r="GL729" s="1138" t="s">
        <v>1349</v>
      </c>
      <c r="GM729" s="1138" t="s">
        <v>1349</v>
      </c>
      <c r="GN729" s="1138" t="s">
        <v>1349</v>
      </c>
      <c r="GO729" s="1138" t="s">
        <v>1349</v>
      </c>
      <c r="GP729" s="1138" t="s">
        <v>1349</v>
      </c>
      <c r="GQ729" s="1138" t="s">
        <v>1349</v>
      </c>
      <c r="GR729" s="1138" t="s">
        <v>1349</v>
      </c>
      <c r="GS729" s="1138" t="s">
        <v>1349</v>
      </c>
      <c r="GT729" s="1138" t="s">
        <v>1349</v>
      </c>
      <c r="GU729" s="1138" t="s">
        <v>1349</v>
      </c>
      <c r="GV729" s="1138" t="s">
        <v>1349</v>
      </c>
    </row>
    <row r="730" spans="1:204" x14ac:dyDescent="0.2">
      <c r="A730" s="1136"/>
      <c r="B730" s="1137"/>
      <c r="GG730" s="1138" t="s">
        <v>1349</v>
      </c>
      <c r="GH730" s="1138" t="s">
        <v>1349</v>
      </c>
      <c r="GI730" s="1138" t="s">
        <v>1349</v>
      </c>
      <c r="GJ730" s="1138" t="s">
        <v>1349</v>
      </c>
      <c r="GK730" s="1138" t="s">
        <v>1349</v>
      </c>
      <c r="GL730" s="1138" t="s">
        <v>1349</v>
      </c>
      <c r="GM730" s="1138" t="s">
        <v>1349</v>
      </c>
      <c r="GN730" s="1138" t="s">
        <v>1349</v>
      </c>
      <c r="GO730" s="1138" t="s">
        <v>1349</v>
      </c>
      <c r="GP730" s="1138" t="s">
        <v>1349</v>
      </c>
      <c r="GQ730" s="1138" t="s">
        <v>1349</v>
      </c>
      <c r="GR730" s="1138" t="s">
        <v>1349</v>
      </c>
      <c r="GS730" s="1138" t="s">
        <v>1349</v>
      </c>
      <c r="GT730" s="1138" t="s">
        <v>1349</v>
      </c>
      <c r="GU730" s="1138" t="s">
        <v>1349</v>
      </c>
      <c r="GV730" s="1138" t="s">
        <v>1349</v>
      </c>
    </row>
    <row r="731" spans="1:204" x14ac:dyDescent="0.2">
      <c r="A731" s="1136"/>
      <c r="B731" s="1137"/>
      <c r="GG731" s="1138" t="s">
        <v>1349</v>
      </c>
      <c r="GH731" s="1138" t="s">
        <v>1349</v>
      </c>
      <c r="GI731" s="1138" t="s">
        <v>1349</v>
      </c>
      <c r="GJ731" s="1138" t="s">
        <v>1349</v>
      </c>
      <c r="GK731" s="1138" t="s">
        <v>1349</v>
      </c>
      <c r="GL731" s="1138" t="s">
        <v>1349</v>
      </c>
      <c r="GM731" s="1138" t="s">
        <v>1349</v>
      </c>
      <c r="GN731" s="1138" t="s">
        <v>1349</v>
      </c>
      <c r="GO731" s="1138" t="s">
        <v>1349</v>
      </c>
      <c r="GP731" s="1138" t="s">
        <v>1349</v>
      </c>
      <c r="GQ731" s="1138" t="s">
        <v>1349</v>
      </c>
      <c r="GR731" s="1138" t="s">
        <v>1349</v>
      </c>
      <c r="GS731" s="1138" t="s">
        <v>1349</v>
      </c>
      <c r="GT731" s="1138" t="s">
        <v>1349</v>
      </c>
      <c r="GU731" s="1138" t="s">
        <v>1349</v>
      </c>
      <c r="GV731" s="1138" t="s">
        <v>1349</v>
      </c>
    </row>
    <row r="732" spans="1:204" x14ac:dyDescent="0.2">
      <c r="A732" s="1136"/>
      <c r="B732" s="1137"/>
      <c r="GG732" s="1138" t="s">
        <v>1349</v>
      </c>
      <c r="GH732" s="1138" t="s">
        <v>1349</v>
      </c>
      <c r="GI732" s="1138" t="s">
        <v>1349</v>
      </c>
      <c r="GJ732" s="1138" t="s">
        <v>1349</v>
      </c>
      <c r="GK732" s="1138" t="s">
        <v>1349</v>
      </c>
      <c r="GL732" s="1138" t="s">
        <v>1349</v>
      </c>
      <c r="GM732" s="1138" t="s">
        <v>1349</v>
      </c>
      <c r="GN732" s="1138" t="s">
        <v>1349</v>
      </c>
      <c r="GO732" s="1138" t="s">
        <v>1349</v>
      </c>
      <c r="GP732" s="1138" t="s">
        <v>1349</v>
      </c>
      <c r="GQ732" s="1138" t="s">
        <v>1349</v>
      </c>
      <c r="GR732" s="1138" t="s">
        <v>1349</v>
      </c>
      <c r="GS732" s="1138" t="s">
        <v>1349</v>
      </c>
      <c r="GT732" s="1138" t="s">
        <v>1349</v>
      </c>
      <c r="GU732" s="1138" t="s">
        <v>1349</v>
      </c>
      <c r="GV732" s="1138" t="s">
        <v>1349</v>
      </c>
    </row>
    <row r="733" spans="1:204" x14ac:dyDescent="0.2">
      <c r="A733" s="1136"/>
      <c r="B733" s="1137"/>
      <c r="GG733" s="1138" t="s">
        <v>1349</v>
      </c>
      <c r="GH733" s="1138" t="s">
        <v>1349</v>
      </c>
      <c r="GI733" s="1138" t="s">
        <v>1349</v>
      </c>
      <c r="GJ733" s="1138" t="s">
        <v>1349</v>
      </c>
      <c r="GK733" s="1138" t="s">
        <v>1349</v>
      </c>
      <c r="GL733" s="1138" t="s">
        <v>1349</v>
      </c>
      <c r="GM733" s="1138" t="s">
        <v>1349</v>
      </c>
      <c r="GN733" s="1138" t="s">
        <v>1349</v>
      </c>
      <c r="GO733" s="1138" t="s">
        <v>1349</v>
      </c>
      <c r="GP733" s="1138" t="s">
        <v>1349</v>
      </c>
      <c r="GQ733" s="1138" t="s">
        <v>1349</v>
      </c>
      <c r="GR733" s="1138" t="s">
        <v>1349</v>
      </c>
      <c r="GS733" s="1138" t="s">
        <v>1349</v>
      </c>
      <c r="GT733" s="1138" t="s">
        <v>1349</v>
      </c>
      <c r="GU733" s="1138" t="s">
        <v>1349</v>
      </c>
      <c r="GV733" s="1138" t="s">
        <v>1349</v>
      </c>
    </row>
    <row r="734" spans="1:204" x14ac:dyDescent="0.2">
      <c r="A734" s="1136"/>
      <c r="B734" s="1137"/>
      <c r="GG734" s="1138" t="s">
        <v>1349</v>
      </c>
      <c r="GH734" s="1138" t="s">
        <v>1349</v>
      </c>
      <c r="GI734" s="1138" t="s">
        <v>1349</v>
      </c>
      <c r="GJ734" s="1138" t="s">
        <v>1349</v>
      </c>
      <c r="GK734" s="1138" t="s">
        <v>1349</v>
      </c>
      <c r="GL734" s="1138" t="s">
        <v>1349</v>
      </c>
      <c r="GM734" s="1138" t="s">
        <v>1349</v>
      </c>
      <c r="GN734" s="1138" t="s">
        <v>1349</v>
      </c>
      <c r="GO734" s="1138" t="s">
        <v>1349</v>
      </c>
      <c r="GP734" s="1138" t="s">
        <v>1349</v>
      </c>
      <c r="GQ734" s="1138" t="s">
        <v>1349</v>
      </c>
      <c r="GR734" s="1138" t="s">
        <v>1349</v>
      </c>
      <c r="GS734" s="1138" t="s">
        <v>1349</v>
      </c>
      <c r="GT734" s="1138" t="s">
        <v>1349</v>
      </c>
      <c r="GU734" s="1138" t="s">
        <v>1349</v>
      </c>
      <c r="GV734" s="1138" t="s">
        <v>1349</v>
      </c>
    </row>
    <row r="735" spans="1:204" x14ac:dyDescent="0.2">
      <c r="A735" s="1136"/>
      <c r="B735" s="1137"/>
      <c r="GG735" s="1138" t="s">
        <v>1349</v>
      </c>
      <c r="GH735" s="1138" t="s">
        <v>1349</v>
      </c>
      <c r="GI735" s="1138" t="s">
        <v>1349</v>
      </c>
      <c r="GJ735" s="1138" t="s">
        <v>1349</v>
      </c>
      <c r="GK735" s="1138" t="s">
        <v>1349</v>
      </c>
      <c r="GL735" s="1138" t="s">
        <v>1349</v>
      </c>
      <c r="GM735" s="1138" t="s">
        <v>1349</v>
      </c>
      <c r="GN735" s="1138" t="s">
        <v>1349</v>
      </c>
      <c r="GO735" s="1138" t="s">
        <v>1349</v>
      </c>
      <c r="GP735" s="1138" t="s">
        <v>1349</v>
      </c>
      <c r="GQ735" s="1138" t="s">
        <v>1349</v>
      </c>
      <c r="GR735" s="1138" t="s">
        <v>1349</v>
      </c>
      <c r="GS735" s="1138" t="s">
        <v>1349</v>
      </c>
      <c r="GT735" s="1138" t="s">
        <v>1349</v>
      </c>
      <c r="GU735" s="1138" t="s">
        <v>1349</v>
      </c>
      <c r="GV735" s="1138" t="s">
        <v>1349</v>
      </c>
    </row>
    <row r="736" spans="1:204" x14ac:dyDescent="0.2">
      <c r="A736" s="1136"/>
      <c r="B736" s="1137"/>
      <c r="GG736" s="1138" t="s">
        <v>1349</v>
      </c>
      <c r="GH736" s="1138" t="s">
        <v>1349</v>
      </c>
      <c r="GI736" s="1138" t="s">
        <v>1349</v>
      </c>
      <c r="GJ736" s="1138" t="s">
        <v>1349</v>
      </c>
      <c r="GK736" s="1138" t="s">
        <v>1349</v>
      </c>
      <c r="GL736" s="1138" t="s">
        <v>1349</v>
      </c>
      <c r="GM736" s="1138" t="s">
        <v>1349</v>
      </c>
      <c r="GN736" s="1138" t="s">
        <v>1349</v>
      </c>
      <c r="GO736" s="1138" t="s">
        <v>1349</v>
      </c>
      <c r="GP736" s="1138" t="s">
        <v>1349</v>
      </c>
      <c r="GQ736" s="1138" t="s">
        <v>1349</v>
      </c>
      <c r="GR736" s="1138" t="s">
        <v>1349</v>
      </c>
      <c r="GS736" s="1138" t="s">
        <v>1349</v>
      </c>
      <c r="GT736" s="1138" t="s">
        <v>1349</v>
      </c>
      <c r="GU736" s="1138" t="s">
        <v>1349</v>
      </c>
      <c r="GV736" s="1138" t="s">
        <v>1349</v>
      </c>
    </row>
    <row r="737" spans="1:204" x14ac:dyDescent="0.2">
      <c r="A737" s="1136"/>
      <c r="B737" s="1137"/>
      <c r="GG737" s="1138" t="s">
        <v>1349</v>
      </c>
      <c r="GH737" s="1138" t="s">
        <v>1349</v>
      </c>
      <c r="GI737" s="1138" t="s">
        <v>1349</v>
      </c>
      <c r="GJ737" s="1138" t="s">
        <v>1349</v>
      </c>
      <c r="GK737" s="1138" t="s">
        <v>1349</v>
      </c>
      <c r="GL737" s="1138" t="s">
        <v>1349</v>
      </c>
      <c r="GM737" s="1138" t="s">
        <v>1349</v>
      </c>
      <c r="GN737" s="1138" t="s">
        <v>1349</v>
      </c>
      <c r="GO737" s="1138" t="s">
        <v>1349</v>
      </c>
      <c r="GP737" s="1138" t="s">
        <v>1349</v>
      </c>
      <c r="GQ737" s="1138" t="s">
        <v>1349</v>
      </c>
      <c r="GR737" s="1138" t="s">
        <v>1349</v>
      </c>
      <c r="GS737" s="1138" t="s">
        <v>1349</v>
      </c>
      <c r="GT737" s="1138" t="s">
        <v>1349</v>
      </c>
      <c r="GU737" s="1138" t="s">
        <v>1349</v>
      </c>
      <c r="GV737" s="1138" t="s">
        <v>1349</v>
      </c>
    </row>
    <row r="738" spans="1:204" x14ac:dyDescent="0.2">
      <c r="A738" s="1136"/>
      <c r="B738" s="1137"/>
      <c r="GG738" s="1138" t="s">
        <v>1349</v>
      </c>
      <c r="GH738" s="1138" t="s">
        <v>1349</v>
      </c>
      <c r="GI738" s="1138" t="s">
        <v>1349</v>
      </c>
      <c r="GJ738" s="1138" t="s">
        <v>1349</v>
      </c>
      <c r="GK738" s="1138" t="s">
        <v>1349</v>
      </c>
      <c r="GL738" s="1138" t="s">
        <v>1349</v>
      </c>
      <c r="GM738" s="1138" t="s">
        <v>1349</v>
      </c>
      <c r="GN738" s="1138" t="s">
        <v>1349</v>
      </c>
      <c r="GO738" s="1138" t="s">
        <v>1349</v>
      </c>
      <c r="GP738" s="1138" t="s">
        <v>1349</v>
      </c>
      <c r="GQ738" s="1138" t="s">
        <v>1349</v>
      </c>
      <c r="GR738" s="1138" t="s">
        <v>1349</v>
      </c>
      <c r="GS738" s="1138" t="s">
        <v>1349</v>
      </c>
      <c r="GT738" s="1138" t="s">
        <v>1349</v>
      </c>
      <c r="GU738" s="1138" t="s">
        <v>1349</v>
      </c>
      <c r="GV738" s="1138" t="s">
        <v>1349</v>
      </c>
    </row>
    <row r="739" spans="1:204" x14ac:dyDescent="0.2">
      <c r="A739" s="1136"/>
      <c r="B739" s="1137"/>
      <c r="GG739" s="1138" t="s">
        <v>1349</v>
      </c>
      <c r="GH739" s="1138" t="s">
        <v>1349</v>
      </c>
      <c r="GI739" s="1138" t="s">
        <v>1349</v>
      </c>
      <c r="GJ739" s="1138" t="s">
        <v>1349</v>
      </c>
      <c r="GK739" s="1138" t="s">
        <v>1349</v>
      </c>
      <c r="GL739" s="1138" t="s">
        <v>1349</v>
      </c>
      <c r="GM739" s="1138" t="s">
        <v>1349</v>
      </c>
      <c r="GN739" s="1138" t="s">
        <v>1349</v>
      </c>
      <c r="GO739" s="1138" t="s">
        <v>1349</v>
      </c>
      <c r="GP739" s="1138" t="s">
        <v>1349</v>
      </c>
      <c r="GQ739" s="1138" t="s">
        <v>1349</v>
      </c>
      <c r="GR739" s="1138" t="s">
        <v>1349</v>
      </c>
      <c r="GS739" s="1138" t="s">
        <v>1349</v>
      </c>
      <c r="GT739" s="1138" t="s">
        <v>1349</v>
      </c>
      <c r="GU739" s="1138" t="s">
        <v>1349</v>
      </c>
      <c r="GV739" s="1138" t="s">
        <v>1349</v>
      </c>
    </row>
    <row r="740" spans="1:204" x14ac:dyDescent="0.2">
      <c r="A740" s="1136"/>
      <c r="B740" s="1137"/>
      <c r="GG740" s="1138" t="s">
        <v>1349</v>
      </c>
      <c r="GH740" s="1138" t="s">
        <v>1349</v>
      </c>
      <c r="GI740" s="1138" t="s">
        <v>1349</v>
      </c>
      <c r="GJ740" s="1138" t="s">
        <v>1349</v>
      </c>
      <c r="GK740" s="1138" t="s">
        <v>1349</v>
      </c>
      <c r="GL740" s="1138" t="s">
        <v>1349</v>
      </c>
      <c r="GM740" s="1138" t="s">
        <v>1349</v>
      </c>
      <c r="GN740" s="1138" t="s">
        <v>1349</v>
      </c>
      <c r="GO740" s="1138" t="s">
        <v>1349</v>
      </c>
      <c r="GP740" s="1138" t="s">
        <v>1349</v>
      </c>
      <c r="GQ740" s="1138" t="s">
        <v>1349</v>
      </c>
      <c r="GR740" s="1138" t="s">
        <v>1349</v>
      </c>
      <c r="GS740" s="1138" t="s">
        <v>1349</v>
      </c>
      <c r="GT740" s="1138" t="s">
        <v>1349</v>
      </c>
      <c r="GU740" s="1138" t="s">
        <v>1349</v>
      </c>
      <c r="GV740" s="1138" t="s">
        <v>1349</v>
      </c>
    </row>
    <row r="741" spans="1:204" x14ac:dyDescent="0.2">
      <c r="A741" s="1136"/>
      <c r="B741" s="1137"/>
      <c r="GG741" s="1138" t="s">
        <v>1349</v>
      </c>
      <c r="GH741" s="1138" t="s">
        <v>1349</v>
      </c>
      <c r="GI741" s="1138" t="s">
        <v>1349</v>
      </c>
      <c r="GJ741" s="1138" t="s">
        <v>1349</v>
      </c>
      <c r="GK741" s="1138" t="s">
        <v>1349</v>
      </c>
      <c r="GL741" s="1138" t="s">
        <v>1349</v>
      </c>
      <c r="GM741" s="1138" t="s">
        <v>1349</v>
      </c>
      <c r="GN741" s="1138" t="s">
        <v>1349</v>
      </c>
      <c r="GO741" s="1138" t="s">
        <v>1349</v>
      </c>
      <c r="GP741" s="1138" t="s">
        <v>1349</v>
      </c>
      <c r="GQ741" s="1138" t="s">
        <v>1349</v>
      </c>
      <c r="GR741" s="1138" t="s">
        <v>1349</v>
      </c>
      <c r="GS741" s="1138" t="s">
        <v>1349</v>
      </c>
      <c r="GT741" s="1138" t="s">
        <v>1349</v>
      </c>
      <c r="GU741" s="1138" t="s">
        <v>1349</v>
      </c>
      <c r="GV741" s="1138" t="s">
        <v>1349</v>
      </c>
    </row>
    <row r="742" spans="1:204" x14ac:dyDescent="0.2">
      <c r="A742" s="1136"/>
      <c r="B742" s="1137"/>
      <c r="GG742" s="1138" t="s">
        <v>1349</v>
      </c>
      <c r="GH742" s="1138" t="s">
        <v>1349</v>
      </c>
      <c r="GI742" s="1138" t="s">
        <v>1349</v>
      </c>
      <c r="GJ742" s="1138" t="s">
        <v>1349</v>
      </c>
      <c r="GK742" s="1138" t="s">
        <v>1349</v>
      </c>
      <c r="GL742" s="1138" t="s">
        <v>1349</v>
      </c>
      <c r="GM742" s="1138" t="s">
        <v>1349</v>
      </c>
      <c r="GN742" s="1138" t="s">
        <v>1349</v>
      </c>
      <c r="GO742" s="1138" t="s">
        <v>1349</v>
      </c>
      <c r="GP742" s="1138" t="s">
        <v>1349</v>
      </c>
      <c r="GQ742" s="1138" t="s">
        <v>1349</v>
      </c>
      <c r="GR742" s="1138" t="s">
        <v>1349</v>
      </c>
      <c r="GS742" s="1138" t="s">
        <v>1349</v>
      </c>
      <c r="GT742" s="1138" t="s">
        <v>1349</v>
      </c>
      <c r="GU742" s="1138" t="s">
        <v>1349</v>
      </c>
      <c r="GV742" s="1138" t="s">
        <v>1349</v>
      </c>
    </row>
    <row r="743" spans="1:204" x14ac:dyDescent="0.2">
      <c r="A743" s="1136"/>
      <c r="B743" s="1137"/>
      <c r="GG743" s="1138" t="s">
        <v>1349</v>
      </c>
      <c r="GH743" s="1138" t="s">
        <v>1349</v>
      </c>
      <c r="GI743" s="1138" t="s">
        <v>1349</v>
      </c>
      <c r="GJ743" s="1138" t="s">
        <v>1349</v>
      </c>
      <c r="GK743" s="1138" t="s">
        <v>1349</v>
      </c>
      <c r="GL743" s="1138" t="s">
        <v>1349</v>
      </c>
      <c r="GM743" s="1138" t="s">
        <v>1349</v>
      </c>
      <c r="GN743" s="1138" t="s">
        <v>1349</v>
      </c>
      <c r="GO743" s="1138" t="s">
        <v>1349</v>
      </c>
      <c r="GP743" s="1138" t="s">
        <v>1349</v>
      </c>
      <c r="GQ743" s="1138" t="s">
        <v>1349</v>
      </c>
      <c r="GR743" s="1138" t="s">
        <v>1349</v>
      </c>
      <c r="GS743" s="1138" t="s">
        <v>1349</v>
      </c>
      <c r="GT743" s="1138" t="s">
        <v>1349</v>
      </c>
      <c r="GU743" s="1138" t="s">
        <v>1349</v>
      </c>
      <c r="GV743" s="1138" t="s">
        <v>1349</v>
      </c>
    </row>
    <row r="744" spans="1:204" x14ac:dyDescent="0.2">
      <c r="A744" s="1136"/>
      <c r="B744" s="1137"/>
      <c r="GG744" s="1138" t="s">
        <v>1349</v>
      </c>
      <c r="GH744" s="1138" t="s">
        <v>1349</v>
      </c>
      <c r="GI744" s="1138" t="s">
        <v>1349</v>
      </c>
      <c r="GJ744" s="1138" t="s">
        <v>1349</v>
      </c>
      <c r="GK744" s="1138" t="s">
        <v>1349</v>
      </c>
      <c r="GL744" s="1138" t="s">
        <v>1349</v>
      </c>
      <c r="GM744" s="1138" t="s">
        <v>1349</v>
      </c>
      <c r="GN744" s="1138" t="s">
        <v>1349</v>
      </c>
      <c r="GO744" s="1138" t="s">
        <v>1349</v>
      </c>
      <c r="GP744" s="1138" t="s">
        <v>1349</v>
      </c>
      <c r="GQ744" s="1138" t="s">
        <v>1349</v>
      </c>
      <c r="GR744" s="1138" t="s">
        <v>1349</v>
      </c>
      <c r="GS744" s="1138" t="s">
        <v>1349</v>
      </c>
      <c r="GT744" s="1138" t="s">
        <v>1349</v>
      </c>
      <c r="GU744" s="1138" t="s">
        <v>1349</v>
      </c>
      <c r="GV744" s="1138" t="s">
        <v>1349</v>
      </c>
    </row>
    <row r="745" spans="1:204" x14ac:dyDescent="0.2">
      <c r="A745" s="1136"/>
      <c r="B745" s="1137"/>
      <c r="GG745" s="1138" t="s">
        <v>1349</v>
      </c>
      <c r="GH745" s="1138" t="s">
        <v>1349</v>
      </c>
      <c r="GI745" s="1138" t="s">
        <v>1349</v>
      </c>
      <c r="GJ745" s="1138" t="s">
        <v>1349</v>
      </c>
      <c r="GK745" s="1138" t="s">
        <v>1349</v>
      </c>
      <c r="GL745" s="1138" t="s">
        <v>1349</v>
      </c>
      <c r="GM745" s="1138" t="s">
        <v>1349</v>
      </c>
      <c r="GN745" s="1138" t="s">
        <v>1349</v>
      </c>
      <c r="GO745" s="1138" t="s">
        <v>1349</v>
      </c>
      <c r="GP745" s="1138" t="s">
        <v>1349</v>
      </c>
      <c r="GQ745" s="1138" t="s">
        <v>1349</v>
      </c>
      <c r="GR745" s="1138" t="s">
        <v>1349</v>
      </c>
      <c r="GS745" s="1138" t="s">
        <v>1349</v>
      </c>
      <c r="GT745" s="1138" t="s">
        <v>1349</v>
      </c>
      <c r="GU745" s="1138" t="s">
        <v>1349</v>
      </c>
      <c r="GV745" s="1138" t="s">
        <v>1349</v>
      </c>
    </row>
    <row r="746" spans="1:204" x14ac:dyDescent="0.2">
      <c r="A746" s="1136"/>
      <c r="B746" s="1137"/>
      <c r="GG746" s="1138" t="s">
        <v>1349</v>
      </c>
      <c r="GH746" s="1138" t="s">
        <v>1349</v>
      </c>
      <c r="GI746" s="1138" t="s">
        <v>1349</v>
      </c>
      <c r="GJ746" s="1138" t="s">
        <v>1349</v>
      </c>
      <c r="GK746" s="1138" t="s">
        <v>1349</v>
      </c>
      <c r="GL746" s="1138" t="s">
        <v>1349</v>
      </c>
      <c r="GM746" s="1138" t="s">
        <v>1349</v>
      </c>
      <c r="GN746" s="1138" t="s">
        <v>1349</v>
      </c>
      <c r="GO746" s="1138" t="s">
        <v>1349</v>
      </c>
      <c r="GP746" s="1138" t="s">
        <v>1349</v>
      </c>
      <c r="GQ746" s="1138" t="s">
        <v>1349</v>
      </c>
      <c r="GR746" s="1138" t="s">
        <v>1349</v>
      </c>
      <c r="GS746" s="1138" t="s">
        <v>1349</v>
      </c>
      <c r="GT746" s="1138" t="s">
        <v>1349</v>
      </c>
      <c r="GU746" s="1138" t="s">
        <v>1349</v>
      </c>
      <c r="GV746" s="1138" t="s">
        <v>1349</v>
      </c>
    </row>
    <row r="747" spans="1:204" x14ac:dyDescent="0.2">
      <c r="A747" s="1136"/>
      <c r="B747" s="1137"/>
      <c r="GG747" s="1138" t="s">
        <v>1349</v>
      </c>
      <c r="GH747" s="1138" t="s">
        <v>1349</v>
      </c>
      <c r="GI747" s="1138" t="s">
        <v>1349</v>
      </c>
      <c r="GJ747" s="1138" t="s">
        <v>1349</v>
      </c>
      <c r="GK747" s="1138" t="s">
        <v>1349</v>
      </c>
      <c r="GL747" s="1138" t="s">
        <v>1349</v>
      </c>
      <c r="GM747" s="1138" t="s">
        <v>1349</v>
      </c>
      <c r="GN747" s="1138" t="s">
        <v>1349</v>
      </c>
      <c r="GO747" s="1138" t="s">
        <v>1349</v>
      </c>
      <c r="GP747" s="1138" t="s">
        <v>1349</v>
      </c>
      <c r="GQ747" s="1138" t="s">
        <v>1349</v>
      </c>
      <c r="GR747" s="1138" t="s">
        <v>1349</v>
      </c>
      <c r="GS747" s="1138" t="s">
        <v>1349</v>
      </c>
      <c r="GT747" s="1138" t="s">
        <v>1349</v>
      </c>
      <c r="GU747" s="1138" t="s">
        <v>1349</v>
      </c>
      <c r="GV747" s="1138" t="s">
        <v>1349</v>
      </c>
    </row>
    <row r="748" spans="1:204" x14ac:dyDescent="0.2">
      <c r="A748" s="1136"/>
      <c r="B748" s="1137"/>
      <c r="GG748" s="1138" t="s">
        <v>1349</v>
      </c>
      <c r="GH748" s="1138" t="s">
        <v>1349</v>
      </c>
      <c r="GI748" s="1138" t="s">
        <v>1349</v>
      </c>
      <c r="GJ748" s="1138" t="s">
        <v>1349</v>
      </c>
      <c r="GK748" s="1138" t="s">
        <v>1349</v>
      </c>
      <c r="GL748" s="1138" t="s">
        <v>1349</v>
      </c>
      <c r="GM748" s="1138" t="s">
        <v>1349</v>
      </c>
      <c r="GN748" s="1138" t="s">
        <v>1349</v>
      </c>
      <c r="GO748" s="1138" t="s">
        <v>1349</v>
      </c>
      <c r="GP748" s="1138" t="s">
        <v>1349</v>
      </c>
      <c r="GQ748" s="1138" t="s">
        <v>1349</v>
      </c>
      <c r="GR748" s="1138" t="s">
        <v>1349</v>
      </c>
      <c r="GS748" s="1138" t="s">
        <v>1349</v>
      </c>
      <c r="GT748" s="1138" t="s">
        <v>1349</v>
      </c>
      <c r="GU748" s="1138" t="s">
        <v>1349</v>
      </c>
      <c r="GV748" s="1138" t="s">
        <v>1349</v>
      </c>
    </row>
    <row r="749" spans="1:204" x14ac:dyDescent="0.2">
      <c r="A749" s="1136"/>
      <c r="B749" s="1137"/>
      <c r="GG749" s="1138" t="s">
        <v>1349</v>
      </c>
      <c r="GH749" s="1138" t="s">
        <v>1349</v>
      </c>
      <c r="GI749" s="1138" t="s">
        <v>1349</v>
      </c>
      <c r="GJ749" s="1138" t="s">
        <v>1349</v>
      </c>
      <c r="GK749" s="1138" t="s">
        <v>1349</v>
      </c>
      <c r="GL749" s="1138" t="s">
        <v>1349</v>
      </c>
      <c r="GM749" s="1138" t="s">
        <v>1349</v>
      </c>
      <c r="GN749" s="1138" t="s">
        <v>1349</v>
      </c>
      <c r="GO749" s="1138" t="s">
        <v>1349</v>
      </c>
      <c r="GP749" s="1138" t="s">
        <v>1349</v>
      </c>
      <c r="GQ749" s="1138" t="s">
        <v>1349</v>
      </c>
      <c r="GR749" s="1138" t="s">
        <v>1349</v>
      </c>
      <c r="GS749" s="1138" t="s">
        <v>1349</v>
      </c>
      <c r="GT749" s="1138" t="s">
        <v>1349</v>
      </c>
      <c r="GU749" s="1138" t="s">
        <v>1349</v>
      </c>
      <c r="GV749" s="1138" t="s">
        <v>1349</v>
      </c>
    </row>
    <row r="750" spans="1:204" x14ac:dyDescent="0.2">
      <c r="A750" s="1136"/>
      <c r="B750" s="1137"/>
      <c r="GG750" s="1138" t="s">
        <v>1349</v>
      </c>
      <c r="GH750" s="1138" t="s">
        <v>1349</v>
      </c>
      <c r="GI750" s="1138" t="s">
        <v>1349</v>
      </c>
      <c r="GJ750" s="1138" t="s">
        <v>1349</v>
      </c>
      <c r="GK750" s="1138" t="s">
        <v>1349</v>
      </c>
      <c r="GL750" s="1138" t="s">
        <v>1349</v>
      </c>
      <c r="GM750" s="1138" t="s">
        <v>1349</v>
      </c>
      <c r="GN750" s="1138" t="s">
        <v>1349</v>
      </c>
      <c r="GO750" s="1138" t="s">
        <v>1349</v>
      </c>
      <c r="GP750" s="1138" t="s">
        <v>1349</v>
      </c>
      <c r="GQ750" s="1138" t="s">
        <v>1349</v>
      </c>
      <c r="GR750" s="1138" t="s">
        <v>1349</v>
      </c>
      <c r="GS750" s="1138" t="s">
        <v>1349</v>
      </c>
      <c r="GT750" s="1138" t="s">
        <v>1349</v>
      </c>
      <c r="GU750" s="1138" t="s">
        <v>1349</v>
      </c>
      <c r="GV750" s="1138" t="s">
        <v>1349</v>
      </c>
    </row>
    <row r="751" spans="1:204" x14ac:dyDescent="0.2">
      <c r="A751" s="1136"/>
      <c r="B751" s="1137"/>
      <c r="GG751" s="1138" t="s">
        <v>1349</v>
      </c>
      <c r="GH751" s="1138" t="s">
        <v>1349</v>
      </c>
      <c r="GI751" s="1138" t="s">
        <v>1349</v>
      </c>
      <c r="GJ751" s="1138" t="s">
        <v>1349</v>
      </c>
      <c r="GK751" s="1138" t="s">
        <v>1349</v>
      </c>
      <c r="GL751" s="1138" t="s">
        <v>1349</v>
      </c>
      <c r="GM751" s="1138" t="s">
        <v>1349</v>
      </c>
      <c r="GN751" s="1138" t="s">
        <v>1349</v>
      </c>
      <c r="GO751" s="1138" t="s">
        <v>1349</v>
      </c>
      <c r="GP751" s="1138" t="s">
        <v>1349</v>
      </c>
      <c r="GQ751" s="1138" t="s">
        <v>1349</v>
      </c>
      <c r="GR751" s="1138" t="s">
        <v>1349</v>
      </c>
      <c r="GS751" s="1138" t="s">
        <v>1349</v>
      </c>
      <c r="GT751" s="1138" t="s">
        <v>1349</v>
      </c>
      <c r="GU751" s="1138" t="s">
        <v>1349</v>
      </c>
      <c r="GV751" s="1138" t="s">
        <v>1349</v>
      </c>
    </row>
    <row r="752" spans="1:204" x14ac:dyDescent="0.2">
      <c r="A752" s="1136"/>
      <c r="B752" s="1137"/>
      <c r="GG752" s="1138" t="s">
        <v>1349</v>
      </c>
      <c r="GH752" s="1138" t="s">
        <v>1349</v>
      </c>
      <c r="GI752" s="1138" t="s">
        <v>1349</v>
      </c>
      <c r="GJ752" s="1138" t="s">
        <v>1349</v>
      </c>
      <c r="GK752" s="1138" t="s">
        <v>1349</v>
      </c>
      <c r="GL752" s="1138" t="s">
        <v>1349</v>
      </c>
      <c r="GM752" s="1138" t="s">
        <v>1349</v>
      </c>
      <c r="GN752" s="1138" t="s">
        <v>1349</v>
      </c>
      <c r="GO752" s="1138" t="s">
        <v>1349</v>
      </c>
      <c r="GP752" s="1138" t="s">
        <v>1349</v>
      </c>
      <c r="GQ752" s="1138" t="s">
        <v>1349</v>
      </c>
      <c r="GR752" s="1138" t="s">
        <v>1349</v>
      </c>
      <c r="GS752" s="1138" t="s">
        <v>1349</v>
      </c>
      <c r="GT752" s="1138" t="s">
        <v>1349</v>
      </c>
      <c r="GU752" s="1138" t="s">
        <v>1349</v>
      </c>
      <c r="GV752" s="1138" t="s">
        <v>1349</v>
      </c>
    </row>
    <row r="753" spans="1:204" x14ac:dyDescent="0.2">
      <c r="A753" s="1136"/>
      <c r="B753" s="1137"/>
      <c r="GG753" s="1138" t="s">
        <v>1349</v>
      </c>
      <c r="GH753" s="1138" t="s">
        <v>1349</v>
      </c>
      <c r="GI753" s="1138" t="s">
        <v>1349</v>
      </c>
      <c r="GJ753" s="1138" t="s">
        <v>1349</v>
      </c>
      <c r="GK753" s="1138" t="s">
        <v>1349</v>
      </c>
      <c r="GL753" s="1138" t="s">
        <v>1349</v>
      </c>
      <c r="GM753" s="1138" t="s">
        <v>1349</v>
      </c>
      <c r="GN753" s="1138" t="s">
        <v>1349</v>
      </c>
      <c r="GO753" s="1138" t="s">
        <v>1349</v>
      </c>
      <c r="GP753" s="1138" t="s">
        <v>1349</v>
      </c>
      <c r="GQ753" s="1138" t="s">
        <v>1349</v>
      </c>
      <c r="GR753" s="1138" t="s">
        <v>1349</v>
      </c>
      <c r="GS753" s="1138" t="s">
        <v>1349</v>
      </c>
      <c r="GT753" s="1138" t="s">
        <v>1349</v>
      </c>
      <c r="GU753" s="1138" t="s">
        <v>1349</v>
      </c>
      <c r="GV753" s="1138" t="s">
        <v>1349</v>
      </c>
    </row>
    <row r="754" spans="1:204" x14ac:dyDescent="0.2">
      <c r="A754" s="1136"/>
      <c r="B754" s="1137"/>
      <c r="GG754" s="1138" t="s">
        <v>1349</v>
      </c>
      <c r="GH754" s="1138" t="s">
        <v>1349</v>
      </c>
      <c r="GI754" s="1138" t="s">
        <v>1349</v>
      </c>
      <c r="GJ754" s="1138" t="s">
        <v>1349</v>
      </c>
      <c r="GK754" s="1138" t="s">
        <v>1349</v>
      </c>
      <c r="GL754" s="1138" t="s">
        <v>1349</v>
      </c>
      <c r="GM754" s="1138" t="s">
        <v>1349</v>
      </c>
      <c r="GN754" s="1138" t="s">
        <v>1349</v>
      </c>
      <c r="GO754" s="1138" t="s">
        <v>1349</v>
      </c>
      <c r="GP754" s="1138" t="s">
        <v>1349</v>
      </c>
      <c r="GQ754" s="1138" t="s">
        <v>1349</v>
      </c>
      <c r="GR754" s="1138" t="s">
        <v>1349</v>
      </c>
      <c r="GS754" s="1138" t="s">
        <v>1349</v>
      </c>
      <c r="GT754" s="1138" t="s">
        <v>1349</v>
      </c>
      <c r="GU754" s="1138" t="s">
        <v>1349</v>
      </c>
      <c r="GV754" s="1138" t="s">
        <v>1349</v>
      </c>
    </row>
    <row r="755" spans="1:204" x14ac:dyDescent="0.2">
      <c r="A755" s="1136"/>
      <c r="B755" s="1137"/>
      <c r="GG755" s="1138" t="s">
        <v>1349</v>
      </c>
      <c r="GH755" s="1138" t="s">
        <v>1349</v>
      </c>
      <c r="GI755" s="1138" t="s">
        <v>1349</v>
      </c>
      <c r="GJ755" s="1138" t="s">
        <v>1349</v>
      </c>
      <c r="GK755" s="1138" t="s">
        <v>1349</v>
      </c>
      <c r="GL755" s="1138" t="s">
        <v>1349</v>
      </c>
      <c r="GM755" s="1138" t="s">
        <v>1349</v>
      </c>
      <c r="GN755" s="1138" t="s">
        <v>1349</v>
      </c>
      <c r="GO755" s="1138" t="s">
        <v>1349</v>
      </c>
      <c r="GP755" s="1138" t="s">
        <v>1349</v>
      </c>
      <c r="GQ755" s="1138" t="s">
        <v>1349</v>
      </c>
      <c r="GR755" s="1138" t="s">
        <v>1349</v>
      </c>
      <c r="GS755" s="1138" t="s">
        <v>1349</v>
      </c>
      <c r="GT755" s="1138" t="s">
        <v>1349</v>
      </c>
      <c r="GU755" s="1138" t="s">
        <v>1349</v>
      </c>
      <c r="GV755" s="1138" t="s">
        <v>1349</v>
      </c>
    </row>
    <row r="756" spans="1:204" x14ac:dyDescent="0.2">
      <c r="A756" s="1136"/>
      <c r="B756" s="1137"/>
      <c r="GG756" s="1138" t="s">
        <v>1349</v>
      </c>
      <c r="GH756" s="1138" t="s">
        <v>1349</v>
      </c>
      <c r="GI756" s="1138" t="s">
        <v>1349</v>
      </c>
      <c r="GJ756" s="1138" t="s">
        <v>1349</v>
      </c>
      <c r="GK756" s="1138" t="s">
        <v>1349</v>
      </c>
      <c r="GL756" s="1138" t="s">
        <v>1349</v>
      </c>
      <c r="GM756" s="1138" t="s">
        <v>1349</v>
      </c>
      <c r="GN756" s="1138" t="s">
        <v>1349</v>
      </c>
      <c r="GO756" s="1138" t="s">
        <v>1349</v>
      </c>
      <c r="GP756" s="1138" t="s">
        <v>1349</v>
      </c>
      <c r="GQ756" s="1138" t="s">
        <v>1349</v>
      </c>
      <c r="GR756" s="1138" t="s">
        <v>1349</v>
      </c>
      <c r="GS756" s="1138" t="s">
        <v>1349</v>
      </c>
      <c r="GT756" s="1138" t="s">
        <v>1349</v>
      </c>
      <c r="GU756" s="1138" t="s">
        <v>1349</v>
      </c>
      <c r="GV756" s="1138" t="s">
        <v>1349</v>
      </c>
    </row>
    <row r="757" spans="1:204" x14ac:dyDescent="0.2">
      <c r="A757" s="1136"/>
      <c r="B757" s="1137"/>
      <c r="GG757" s="1138" t="s">
        <v>1349</v>
      </c>
      <c r="GH757" s="1138" t="s">
        <v>1349</v>
      </c>
      <c r="GI757" s="1138" t="s">
        <v>1349</v>
      </c>
      <c r="GJ757" s="1138" t="s">
        <v>1349</v>
      </c>
      <c r="GK757" s="1138" t="s">
        <v>1349</v>
      </c>
      <c r="GL757" s="1138" t="s">
        <v>1349</v>
      </c>
      <c r="GM757" s="1138" t="s">
        <v>1349</v>
      </c>
      <c r="GN757" s="1138" t="s">
        <v>1349</v>
      </c>
      <c r="GO757" s="1138" t="s">
        <v>1349</v>
      </c>
      <c r="GP757" s="1138" t="s">
        <v>1349</v>
      </c>
      <c r="GQ757" s="1138" t="s">
        <v>1349</v>
      </c>
      <c r="GR757" s="1138" t="s">
        <v>1349</v>
      </c>
      <c r="GS757" s="1138" t="s">
        <v>1349</v>
      </c>
      <c r="GT757" s="1138" t="s">
        <v>1349</v>
      </c>
      <c r="GU757" s="1138" t="s">
        <v>1349</v>
      </c>
      <c r="GV757" s="1138" t="s">
        <v>1349</v>
      </c>
    </row>
    <row r="758" spans="1:204" x14ac:dyDescent="0.2">
      <c r="A758" s="1136"/>
      <c r="B758" s="1137"/>
      <c r="GG758" s="1138" t="s">
        <v>1349</v>
      </c>
      <c r="GH758" s="1138" t="s">
        <v>1349</v>
      </c>
      <c r="GI758" s="1138" t="s">
        <v>1349</v>
      </c>
      <c r="GJ758" s="1138" t="s">
        <v>1349</v>
      </c>
      <c r="GK758" s="1138" t="s">
        <v>1349</v>
      </c>
      <c r="GL758" s="1138" t="s">
        <v>1349</v>
      </c>
      <c r="GM758" s="1138" t="s">
        <v>1349</v>
      </c>
      <c r="GN758" s="1138" t="s">
        <v>1349</v>
      </c>
      <c r="GO758" s="1138" t="s">
        <v>1349</v>
      </c>
      <c r="GP758" s="1138" t="s">
        <v>1349</v>
      </c>
      <c r="GQ758" s="1138" t="s">
        <v>1349</v>
      </c>
      <c r="GR758" s="1138" t="s">
        <v>1349</v>
      </c>
      <c r="GS758" s="1138" t="s">
        <v>1349</v>
      </c>
      <c r="GT758" s="1138" t="s">
        <v>1349</v>
      </c>
      <c r="GU758" s="1138" t="s">
        <v>1349</v>
      </c>
      <c r="GV758" s="1138" t="s">
        <v>1349</v>
      </c>
    </row>
    <row r="759" spans="1:204" x14ac:dyDescent="0.2">
      <c r="A759" s="1136"/>
      <c r="B759" s="1137"/>
      <c r="GG759" s="1138" t="s">
        <v>1349</v>
      </c>
      <c r="GH759" s="1138" t="s">
        <v>1349</v>
      </c>
      <c r="GI759" s="1138" t="s">
        <v>1349</v>
      </c>
      <c r="GJ759" s="1138" t="s">
        <v>1349</v>
      </c>
      <c r="GK759" s="1138" t="s">
        <v>1349</v>
      </c>
      <c r="GL759" s="1138" t="s">
        <v>1349</v>
      </c>
      <c r="GM759" s="1138" t="s">
        <v>1349</v>
      </c>
      <c r="GN759" s="1138" t="s">
        <v>1349</v>
      </c>
      <c r="GO759" s="1138" t="s">
        <v>1349</v>
      </c>
      <c r="GP759" s="1138" t="s">
        <v>1349</v>
      </c>
      <c r="GQ759" s="1138" t="s">
        <v>1349</v>
      </c>
      <c r="GR759" s="1138" t="s">
        <v>1349</v>
      </c>
      <c r="GS759" s="1138" t="s">
        <v>1349</v>
      </c>
      <c r="GT759" s="1138" t="s">
        <v>1349</v>
      </c>
      <c r="GU759" s="1138" t="s">
        <v>1349</v>
      </c>
      <c r="GV759" s="1138" t="s">
        <v>1349</v>
      </c>
    </row>
    <row r="760" spans="1:204" x14ac:dyDescent="0.2">
      <c r="A760" s="1136"/>
      <c r="B760" s="1137"/>
      <c r="GG760" s="1138" t="s">
        <v>1349</v>
      </c>
      <c r="GH760" s="1138" t="s">
        <v>1349</v>
      </c>
      <c r="GI760" s="1138" t="s">
        <v>1349</v>
      </c>
      <c r="GJ760" s="1138" t="s">
        <v>1349</v>
      </c>
      <c r="GK760" s="1138" t="s">
        <v>1349</v>
      </c>
      <c r="GL760" s="1138" t="s">
        <v>1349</v>
      </c>
      <c r="GM760" s="1138" t="s">
        <v>1349</v>
      </c>
      <c r="GN760" s="1138" t="s">
        <v>1349</v>
      </c>
      <c r="GO760" s="1138" t="s">
        <v>1349</v>
      </c>
      <c r="GP760" s="1138" t="s">
        <v>1349</v>
      </c>
      <c r="GQ760" s="1138" t="s">
        <v>1349</v>
      </c>
      <c r="GR760" s="1138" t="s">
        <v>1349</v>
      </c>
      <c r="GS760" s="1138" t="s">
        <v>1349</v>
      </c>
      <c r="GT760" s="1138" t="s">
        <v>1349</v>
      </c>
      <c r="GU760" s="1138" t="s">
        <v>1349</v>
      </c>
      <c r="GV760" s="1138" t="s">
        <v>1349</v>
      </c>
    </row>
    <row r="761" spans="1:204" x14ac:dyDescent="0.2">
      <c r="A761" s="1136"/>
      <c r="GG761" s="1138" t="s">
        <v>1349</v>
      </c>
      <c r="GH761" s="1138" t="s">
        <v>1349</v>
      </c>
      <c r="GI761" s="1138" t="s">
        <v>1349</v>
      </c>
      <c r="GJ761" s="1138" t="s">
        <v>1349</v>
      </c>
      <c r="GK761" s="1138" t="s">
        <v>1349</v>
      </c>
      <c r="GL761" s="1138" t="s">
        <v>1349</v>
      </c>
      <c r="GM761" s="1138" t="s">
        <v>1349</v>
      </c>
      <c r="GN761" s="1138" t="s">
        <v>1349</v>
      </c>
      <c r="GO761" s="1138" t="s">
        <v>1349</v>
      </c>
      <c r="GP761" s="1138" t="s">
        <v>1349</v>
      </c>
      <c r="GQ761" s="1138" t="s">
        <v>1349</v>
      </c>
      <c r="GR761" s="1138" t="s">
        <v>1349</v>
      </c>
      <c r="GS761" s="1138" t="s">
        <v>1349</v>
      </c>
      <c r="GT761" s="1138" t="s">
        <v>1349</v>
      </c>
      <c r="GU761" s="1138" t="s">
        <v>1349</v>
      </c>
      <c r="GV761" s="1138" t="s">
        <v>1349</v>
      </c>
    </row>
    <row r="762" spans="1:204" x14ac:dyDescent="0.2">
      <c r="A762" s="1136"/>
      <c r="GG762" s="1138" t="s">
        <v>1349</v>
      </c>
      <c r="GH762" s="1138" t="s">
        <v>1349</v>
      </c>
      <c r="GI762" s="1138" t="s">
        <v>1349</v>
      </c>
      <c r="GJ762" s="1138" t="s">
        <v>1349</v>
      </c>
      <c r="GK762" s="1138" t="s">
        <v>1349</v>
      </c>
      <c r="GL762" s="1138" t="s">
        <v>1349</v>
      </c>
      <c r="GM762" s="1138" t="s">
        <v>1349</v>
      </c>
      <c r="GN762" s="1138" t="s">
        <v>1349</v>
      </c>
      <c r="GO762" s="1138" t="s">
        <v>1349</v>
      </c>
      <c r="GP762" s="1138" t="s">
        <v>1349</v>
      </c>
      <c r="GQ762" s="1138" t="s">
        <v>1349</v>
      </c>
      <c r="GR762" s="1138" t="s">
        <v>1349</v>
      </c>
      <c r="GS762" s="1138" t="s">
        <v>1349</v>
      </c>
      <c r="GT762" s="1138" t="s">
        <v>1349</v>
      </c>
      <c r="GU762" s="1138" t="s">
        <v>1349</v>
      </c>
      <c r="GV762" s="1138" t="s">
        <v>1349</v>
      </c>
    </row>
    <row r="763" spans="1:204" x14ac:dyDescent="0.2">
      <c r="A763" s="1136"/>
      <c r="GG763" s="1138" t="s">
        <v>1349</v>
      </c>
      <c r="GH763" s="1138" t="s">
        <v>1349</v>
      </c>
      <c r="GI763" s="1138" t="s">
        <v>1349</v>
      </c>
      <c r="GJ763" s="1138" t="s">
        <v>1349</v>
      </c>
      <c r="GK763" s="1138" t="s">
        <v>1349</v>
      </c>
      <c r="GL763" s="1138" t="s">
        <v>1349</v>
      </c>
      <c r="GM763" s="1138" t="s">
        <v>1349</v>
      </c>
      <c r="GN763" s="1138" t="s">
        <v>1349</v>
      </c>
      <c r="GO763" s="1138" t="s">
        <v>1349</v>
      </c>
      <c r="GP763" s="1138" t="s">
        <v>1349</v>
      </c>
      <c r="GQ763" s="1138" t="s">
        <v>1349</v>
      </c>
      <c r="GR763" s="1138" t="s">
        <v>1349</v>
      </c>
      <c r="GS763" s="1138" t="s">
        <v>1349</v>
      </c>
      <c r="GT763" s="1138" t="s">
        <v>1349</v>
      </c>
      <c r="GU763" s="1138" t="s">
        <v>1349</v>
      </c>
      <c r="GV763" s="1138" t="s">
        <v>1349</v>
      </c>
    </row>
    <row r="764" spans="1:204" x14ac:dyDescent="0.2">
      <c r="A764" s="1136"/>
      <c r="B764" s="1261"/>
      <c r="GG764" s="1138" t="s">
        <v>1349</v>
      </c>
      <c r="GH764" s="1138" t="s">
        <v>1349</v>
      </c>
      <c r="GI764" s="1138" t="s">
        <v>1349</v>
      </c>
      <c r="GJ764" s="1138" t="s">
        <v>1349</v>
      </c>
      <c r="GK764" s="1138" t="s">
        <v>1349</v>
      </c>
      <c r="GL764" s="1138" t="s">
        <v>1349</v>
      </c>
      <c r="GM764" s="1138" t="s">
        <v>1349</v>
      </c>
      <c r="GN764" s="1138" t="s">
        <v>1349</v>
      </c>
      <c r="GO764" s="1138" t="s">
        <v>1349</v>
      </c>
      <c r="GP764" s="1138" t="s">
        <v>1349</v>
      </c>
      <c r="GQ764" s="1138" t="s">
        <v>1349</v>
      </c>
      <c r="GR764" s="1138" t="s">
        <v>1349</v>
      </c>
      <c r="GS764" s="1138" t="s">
        <v>1349</v>
      </c>
      <c r="GT764" s="1138" t="s">
        <v>1349</v>
      </c>
      <c r="GU764" s="1138" t="s">
        <v>1349</v>
      </c>
      <c r="GV764" s="1138" t="s">
        <v>1349</v>
      </c>
    </row>
    <row r="765" spans="1:204" x14ac:dyDescent="0.2">
      <c r="A765" s="1136"/>
      <c r="GG765" s="1138" t="s">
        <v>1349</v>
      </c>
      <c r="GH765" s="1138" t="s">
        <v>1349</v>
      </c>
      <c r="GI765" s="1138" t="s">
        <v>1349</v>
      </c>
      <c r="GJ765" s="1138" t="s">
        <v>1349</v>
      </c>
      <c r="GK765" s="1138" t="s">
        <v>1349</v>
      </c>
      <c r="GL765" s="1138" t="s">
        <v>1349</v>
      </c>
      <c r="GM765" s="1138" t="s">
        <v>1349</v>
      </c>
      <c r="GN765" s="1138" t="s">
        <v>1349</v>
      </c>
      <c r="GO765" s="1138" t="s">
        <v>1349</v>
      </c>
      <c r="GP765" s="1138" t="s">
        <v>1349</v>
      </c>
      <c r="GQ765" s="1138" t="s">
        <v>1349</v>
      </c>
      <c r="GR765" s="1138" t="s">
        <v>1349</v>
      </c>
      <c r="GS765" s="1138" t="s">
        <v>1349</v>
      </c>
      <c r="GT765" s="1138" t="s">
        <v>1349</v>
      </c>
      <c r="GU765" s="1138" t="s">
        <v>1349</v>
      </c>
      <c r="GV765" s="1138" t="s">
        <v>1349</v>
      </c>
    </row>
    <row r="766" spans="1:204" x14ac:dyDescent="0.2">
      <c r="A766" s="1136"/>
      <c r="GG766" s="1138" t="s">
        <v>1349</v>
      </c>
      <c r="GH766" s="1138" t="s">
        <v>1349</v>
      </c>
      <c r="GI766" s="1138" t="s">
        <v>1349</v>
      </c>
      <c r="GJ766" s="1138" t="s">
        <v>1349</v>
      </c>
      <c r="GK766" s="1138" t="s">
        <v>1349</v>
      </c>
      <c r="GL766" s="1138" t="s">
        <v>1349</v>
      </c>
      <c r="GM766" s="1138" t="s">
        <v>1349</v>
      </c>
      <c r="GN766" s="1138" t="s">
        <v>1349</v>
      </c>
      <c r="GO766" s="1138" t="s">
        <v>1349</v>
      </c>
      <c r="GP766" s="1138" t="s">
        <v>1349</v>
      </c>
      <c r="GQ766" s="1138" t="s">
        <v>1349</v>
      </c>
      <c r="GR766" s="1138" t="s">
        <v>1349</v>
      </c>
      <c r="GS766" s="1138" t="s">
        <v>1349</v>
      </c>
      <c r="GT766" s="1138" t="s">
        <v>1349</v>
      </c>
      <c r="GU766" s="1138" t="s">
        <v>1349</v>
      </c>
      <c r="GV766" s="1138" t="s">
        <v>1349</v>
      </c>
    </row>
    <row r="767" spans="1:204" x14ac:dyDescent="0.2">
      <c r="A767" s="1136"/>
      <c r="GG767" s="1138" t="s">
        <v>1349</v>
      </c>
      <c r="GH767" s="1138" t="s">
        <v>1349</v>
      </c>
      <c r="GI767" s="1138" t="s">
        <v>1349</v>
      </c>
      <c r="GJ767" s="1138" t="s">
        <v>1349</v>
      </c>
      <c r="GK767" s="1138" t="s">
        <v>1349</v>
      </c>
      <c r="GL767" s="1138" t="s">
        <v>1349</v>
      </c>
      <c r="GM767" s="1138" t="s">
        <v>1349</v>
      </c>
      <c r="GN767" s="1138" t="s">
        <v>1349</v>
      </c>
      <c r="GO767" s="1138" t="s">
        <v>1349</v>
      </c>
      <c r="GP767" s="1138" t="s">
        <v>1349</v>
      </c>
      <c r="GQ767" s="1138" t="s">
        <v>1349</v>
      </c>
      <c r="GR767" s="1138" t="s">
        <v>1349</v>
      </c>
      <c r="GS767" s="1138" t="s">
        <v>1349</v>
      </c>
      <c r="GT767" s="1138" t="s">
        <v>1349</v>
      </c>
      <c r="GU767" s="1138" t="s">
        <v>1349</v>
      </c>
      <c r="GV767" s="1138" t="s">
        <v>1349</v>
      </c>
    </row>
    <row r="768" spans="1:204" x14ac:dyDescent="0.2">
      <c r="A768" s="1136"/>
      <c r="GG768" s="1138" t="s">
        <v>1349</v>
      </c>
      <c r="GH768" s="1138" t="s">
        <v>1349</v>
      </c>
      <c r="GI768" s="1138" t="s">
        <v>1349</v>
      </c>
      <c r="GJ768" s="1138" t="s">
        <v>1349</v>
      </c>
      <c r="GK768" s="1138" t="s">
        <v>1349</v>
      </c>
      <c r="GL768" s="1138" t="s">
        <v>1349</v>
      </c>
      <c r="GM768" s="1138" t="s">
        <v>1349</v>
      </c>
      <c r="GN768" s="1138" t="s">
        <v>1349</v>
      </c>
      <c r="GO768" s="1138" t="s">
        <v>1349</v>
      </c>
      <c r="GP768" s="1138" t="s">
        <v>1349</v>
      </c>
      <c r="GQ768" s="1138" t="s">
        <v>1349</v>
      </c>
      <c r="GR768" s="1138" t="s">
        <v>1349</v>
      </c>
      <c r="GS768" s="1138" t="s">
        <v>1349</v>
      </c>
      <c r="GT768" s="1138" t="s">
        <v>1349</v>
      </c>
      <c r="GU768" s="1138" t="s">
        <v>1349</v>
      </c>
      <c r="GV768" s="1138" t="s">
        <v>1349</v>
      </c>
    </row>
    <row r="769" spans="1:204" x14ac:dyDescent="0.2">
      <c r="A769" s="1136"/>
      <c r="GG769" s="1138" t="s">
        <v>1349</v>
      </c>
      <c r="GH769" s="1138" t="s">
        <v>1349</v>
      </c>
      <c r="GI769" s="1138" t="s">
        <v>1349</v>
      </c>
      <c r="GJ769" s="1138" t="s">
        <v>1349</v>
      </c>
      <c r="GK769" s="1138" t="s">
        <v>1349</v>
      </c>
      <c r="GL769" s="1138" t="s">
        <v>1349</v>
      </c>
      <c r="GM769" s="1138" t="s">
        <v>1349</v>
      </c>
      <c r="GN769" s="1138" t="s">
        <v>1349</v>
      </c>
      <c r="GO769" s="1138" t="s">
        <v>1349</v>
      </c>
      <c r="GP769" s="1138" t="s">
        <v>1349</v>
      </c>
      <c r="GQ769" s="1138" t="s">
        <v>1349</v>
      </c>
      <c r="GR769" s="1138" t="s">
        <v>1349</v>
      </c>
      <c r="GS769" s="1138" t="s">
        <v>1349</v>
      </c>
      <c r="GT769" s="1138" t="s">
        <v>1349</v>
      </c>
      <c r="GU769" s="1138" t="s">
        <v>1349</v>
      </c>
      <c r="GV769" s="1138" t="s">
        <v>1349</v>
      </c>
    </row>
    <row r="770" spans="1:204" x14ac:dyDescent="0.2">
      <c r="A770" s="1136"/>
      <c r="GG770" s="1138" t="s">
        <v>1349</v>
      </c>
      <c r="GH770" s="1138" t="s">
        <v>1349</v>
      </c>
      <c r="GI770" s="1138" t="s">
        <v>1349</v>
      </c>
      <c r="GJ770" s="1138" t="s">
        <v>1349</v>
      </c>
      <c r="GK770" s="1138" t="s">
        <v>1349</v>
      </c>
      <c r="GL770" s="1138" t="s">
        <v>1349</v>
      </c>
      <c r="GM770" s="1138" t="s">
        <v>1349</v>
      </c>
      <c r="GN770" s="1138" t="s">
        <v>1349</v>
      </c>
      <c r="GO770" s="1138" t="s">
        <v>1349</v>
      </c>
      <c r="GP770" s="1138" t="s">
        <v>1349</v>
      </c>
      <c r="GQ770" s="1138" t="s">
        <v>1349</v>
      </c>
      <c r="GR770" s="1138" t="s">
        <v>1349</v>
      </c>
      <c r="GS770" s="1138" t="s">
        <v>1349</v>
      </c>
      <c r="GT770" s="1138" t="s">
        <v>1349</v>
      </c>
      <c r="GU770" s="1138" t="s">
        <v>1349</v>
      </c>
      <c r="GV770" s="1138" t="s">
        <v>1349</v>
      </c>
    </row>
    <row r="771" spans="1:204" x14ac:dyDescent="0.2">
      <c r="A771" s="1136"/>
      <c r="GG771" s="1138" t="s">
        <v>1349</v>
      </c>
      <c r="GH771" s="1138" t="s">
        <v>1349</v>
      </c>
      <c r="GI771" s="1138" t="s">
        <v>1349</v>
      </c>
      <c r="GJ771" s="1138" t="s">
        <v>1349</v>
      </c>
      <c r="GK771" s="1138" t="s">
        <v>1349</v>
      </c>
      <c r="GL771" s="1138" t="s">
        <v>1349</v>
      </c>
      <c r="GM771" s="1138" t="s">
        <v>1349</v>
      </c>
      <c r="GN771" s="1138" t="s">
        <v>1349</v>
      </c>
      <c r="GO771" s="1138" t="s">
        <v>1349</v>
      </c>
      <c r="GP771" s="1138" t="s">
        <v>1349</v>
      </c>
      <c r="GQ771" s="1138" t="s">
        <v>1349</v>
      </c>
      <c r="GR771" s="1138" t="s">
        <v>1349</v>
      </c>
      <c r="GS771" s="1138" t="s">
        <v>1349</v>
      </c>
      <c r="GT771" s="1138" t="s">
        <v>1349</v>
      </c>
      <c r="GU771" s="1138" t="s">
        <v>1349</v>
      </c>
      <c r="GV771" s="1138" t="s">
        <v>1349</v>
      </c>
    </row>
    <row r="772" spans="1:204" x14ac:dyDescent="0.2">
      <c r="A772" s="1136"/>
      <c r="GG772" s="1138" t="s">
        <v>1349</v>
      </c>
      <c r="GH772" s="1138" t="s">
        <v>1349</v>
      </c>
      <c r="GI772" s="1138" t="s">
        <v>1349</v>
      </c>
      <c r="GJ772" s="1138" t="s">
        <v>1349</v>
      </c>
      <c r="GK772" s="1138" t="s">
        <v>1349</v>
      </c>
      <c r="GL772" s="1138" t="s">
        <v>1349</v>
      </c>
      <c r="GM772" s="1138" t="s">
        <v>1349</v>
      </c>
      <c r="GN772" s="1138" t="s">
        <v>1349</v>
      </c>
      <c r="GO772" s="1138" t="s">
        <v>1349</v>
      </c>
      <c r="GP772" s="1138" t="s">
        <v>1349</v>
      </c>
      <c r="GQ772" s="1138" t="s">
        <v>1349</v>
      </c>
      <c r="GR772" s="1138" t="s">
        <v>1349</v>
      </c>
      <c r="GS772" s="1138" t="s">
        <v>1349</v>
      </c>
      <c r="GT772" s="1138" t="s">
        <v>1349</v>
      </c>
      <c r="GU772" s="1138" t="s">
        <v>1349</v>
      </c>
      <c r="GV772" s="1138" t="s">
        <v>1349</v>
      </c>
    </row>
    <row r="773" spans="1:204" x14ac:dyDescent="0.2">
      <c r="A773" s="1136"/>
      <c r="GG773" s="1138" t="s">
        <v>1349</v>
      </c>
      <c r="GH773" s="1138" t="s">
        <v>1349</v>
      </c>
      <c r="GI773" s="1138" t="s">
        <v>1349</v>
      </c>
      <c r="GJ773" s="1138" t="s">
        <v>1349</v>
      </c>
      <c r="GK773" s="1138" t="s">
        <v>1349</v>
      </c>
      <c r="GL773" s="1138" t="s">
        <v>1349</v>
      </c>
      <c r="GM773" s="1138" t="s">
        <v>1349</v>
      </c>
      <c r="GN773" s="1138" t="s">
        <v>1349</v>
      </c>
      <c r="GO773" s="1138" t="s">
        <v>1349</v>
      </c>
      <c r="GP773" s="1138" t="s">
        <v>1349</v>
      </c>
      <c r="GQ773" s="1138" t="s">
        <v>1349</v>
      </c>
      <c r="GR773" s="1138" t="s">
        <v>1349</v>
      </c>
      <c r="GS773" s="1138" t="s">
        <v>1349</v>
      </c>
      <c r="GT773" s="1138" t="s">
        <v>1349</v>
      </c>
      <c r="GU773" s="1138" t="s">
        <v>1349</v>
      </c>
      <c r="GV773" s="1138" t="s">
        <v>1349</v>
      </c>
    </row>
    <row r="774" spans="1:204" x14ac:dyDescent="0.2">
      <c r="A774" s="1136"/>
      <c r="GG774" s="1138" t="s">
        <v>1349</v>
      </c>
      <c r="GH774" s="1138" t="s">
        <v>1349</v>
      </c>
      <c r="GI774" s="1138" t="s">
        <v>1349</v>
      </c>
      <c r="GJ774" s="1138" t="s">
        <v>1349</v>
      </c>
      <c r="GK774" s="1138" t="s">
        <v>1349</v>
      </c>
      <c r="GL774" s="1138" t="s">
        <v>1349</v>
      </c>
      <c r="GM774" s="1138" t="s">
        <v>1349</v>
      </c>
      <c r="GN774" s="1138" t="s">
        <v>1349</v>
      </c>
      <c r="GO774" s="1138" t="s">
        <v>1349</v>
      </c>
      <c r="GP774" s="1138" t="s">
        <v>1349</v>
      </c>
      <c r="GQ774" s="1138" t="s">
        <v>1349</v>
      </c>
      <c r="GR774" s="1138" t="s">
        <v>1349</v>
      </c>
      <c r="GS774" s="1138" t="s">
        <v>1349</v>
      </c>
      <c r="GT774" s="1138" t="s">
        <v>1349</v>
      </c>
      <c r="GU774" s="1138" t="s">
        <v>1349</v>
      </c>
      <c r="GV774" s="1138" t="s">
        <v>1349</v>
      </c>
    </row>
    <row r="775" spans="1:204" x14ac:dyDescent="0.2">
      <c r="A775" s="1136"/>
      <c r="GG775" s="1138" t="s">
        <v>1349</v>
      </c>
      <c r="GH775" s="1138" t="s">
        <v>1349</v>
      </c>
      <c r="GI775" s="1138" t="s">
        <v>1349</v>
      </c>
      <c r="GJ775" s="1138" t="s">
        <v>1349</v>
      </c>
      <c r="GK775" s="1138" t="s">
        <v>1349</v>
      </c>
      <c r="GL775" s="1138" t="s">
        <v>1349</v>
      </c>
      <c r="GM775" s="1138" t="s">
        <v>1349</v>
      </c>
      <c r="GN775" s="1138" t="s">
        <v>1349</v>
      </c>
      <c r="GO775" s="1138" t="s">
        <v>1349</v>
      </c>
      <c r="GP775" s="1138" t="s">
        <v>1349</v>
      </c>
      <c r="GQ775" s="1138" t="s">
        <v>1349</v>
      </c>
      <c r="GR775" s="1138" t="s">
        <v>1349</v>
      </c>
      <c r="GS775" s="1138" t="s">
        <v>1349</v>
      </c>
      <c r="GT775" s="1138" t="s">
        <v>1349</v>
      </c>
      <c r="GU775" s="1138" t="s">
        <v>1349</v>
      </c>
      <c r="GV775" s="1138" t="s">
        <v>1349</v>
      </c>
    </row>
    <row r="776" spans="1:204" x14ac:dyDescent="0.2">
      <c r="A776" s="1136"/>
      <c r="GG776" s="1138" t="s">
        <v>1349</v>
      </c>
      <c r="GH776" s="1138" t="s">
        <v>1349</v>
      </c>
      <c r="GI776" s="1138" t="s">
        <v>1349</v>
      </c>
      <c r="GJ776" s="1138" t="s">
        <v>1349</v>
      </c>
      <c r="GK776" s="1138" t="s">
        <v>1349</v>
      </c>
      <c r="GL776" s="1138" t="s">
        <v>1349</v>
      </c>
      <c r="GM776" s="1138" t="s">
        <v>1349</v>
      </c>
      <c r="GN776" s="1138" t="s">
        <v>1349</v>
      </c>
      <c r="GO776" s="1138" t="s">
        <v>1349</v>
      </c>
      <c r="GP776" s="1138" t="s">
        <v>1349</v>
      </c>
      <c r="GQ776" s="1138" t="s">
        <v>1349</v>
      </c>
      <c r="GR776" s="1138" t="s">
        <v>1349</v>
      </c>
      <c r="GS776" s="1138" t="s">
        <v>1349</v>
      </c>
      <c r="GT776" s="1138" t="s">
        <v>1349</v>
      </c>
      <c r="GU776" s="1138" t="s">
        <v>1349</v>
      </c>
      <c r="GV776" s="1138" t="s">
        <v>1349</v>
      </c>
    </row>
    <row r="777" spans="1:204" x14ac:dyDescent="0.2">
      <c r="A777" s="1136"/>
      <c r="GG777" s="1138" t="s">
        <v>1349</v>
      </c>
      <c r="GH777" s="1138" t="s">
        <v>1349</v>
      </c>
      <c r="GI777" s="1138" t="s">
        <v>1349</v>
      </c>
      <c r="GJ777" s="1138" t="s">
        <v>1349</v>
      </c>
      <c r="GK777" s="1138" t="s">
        <v>1349</v>
      </c>
      <c r="GL777" s="1138" t="s">
        <v>1349</v>
      </c>
      <c r="GM777" s="1138" t="s">
        <v>1349</v>
      </c>
      <c r="GN777" s="1138" t="s">
        <v>1349</v>
      </c>
      <c r="GO777" s="1138" t="s">
        <v>1349</v>
      </c>
      <c r="GP777" s="1138" t="s">
        <v>1349</v>
      </c>
      <c r="GQ777" s="1138" t="s">
        <v>1349</v>
      </c>
      <c r="GR777" s="1138" t="s">
        <v>1349</v>
      </c>
      <c r="GS777" s="1138" t="s">
        <v>1349</v>
      </c>
      <c r="GT777" s="1138" t="s">
        <v>1349</v>
      </c>
      <c r="GU777" s="1138" t="s">
        <v>1349</v>
      </c>
      <c r="GV777" s="1138" t="s">
        <v>1349</v>
      </c>
    </row>
    <row r="778" spans="1:204" x14ac:dyDescent="0.2">
      <c r="A778" s="1136"/>
      <c r="GG778" s="1138" t="s">
        <v>1349</v>
      </c>
      <c r="GH778" s="1138" t="s">
        <v>1349</v>
      </c>
      <c r="GI778" s="1138" t="s">
        <v>1349</v>
      </c>
      <c r="GJ778" s="1138" t="s">
        <v>1349</v>
      </c>
      <c r="GK778" s="1138" t="s">
        <v>1349</v>
      </c>
      <c r="GL778" s="1138" t="s">
        <v>1349</v>
      </c>
      <c r="GM778" s="1138" t="s">
        <v>1349</v>
      </c>
      <c r="GN778" s="1138" t="s">
        <v>1349</v>
      </c>
      <c r="GO778" s="1138" t="s">
        <v>1349</v>
      </c>
      <c r="GP778" s="1138" t="s">
        <v>1349</v>
      </c>
      <c r="GQ778" s="1138" t="s">
        <v>1349</v>
      </c>
      <c r="GR778" s="1138" t="s">
        <v>1349</v>
      </c>
      <c r="GS778" s="1138" t="s">
        <v>1349</v>
      </c>
      <c r="GT778" s="1138" t="s">
        <v>1349</v>
      </c>
      <c r="GU778" s="1138" t="s">
        <v>1349</v>
      </c>
      <c r="GV778" s="1138" t="s">
        <v>1349</v>
      </c>
    </row>
    <row r="779" spans="1:204" x14ac:dyDescent="0.2">
      <c r="A779" s="1136"/>
      <c r="B779" s="1137"/>
      <c r="GG779" s="1138" t="s">
        <v>1349</v>
      </c>
      <c r="GH779" s="1138" t="s">
        <v>1349</v>
      </c>
      <c r="GI779" s="1138" t="s">
        <v>1349</v>
      </c>
      <c r="GJ779" s="1138" t="s">
        <v>1349</v>
      </c>
      <c r="GK779" s="1138" t="s">
        <v>1349</v>
      </c>
      <c r="GL779" s="1138" t="s">
        <v>1349</v>
      </c>
      <c r="GM779" s="1138" t="s">
        <v>1349</v>
      </c>
      <c r="GN779" s="1138" t="s">
        <v>1349</v>
      </c>
      <c r="GO779" s="1138" t="s">
        <v>1349</v>
      </c>
      <c r="GP779" s="1138" t="s">
        <v>1349</v>
      </c>
      <c r="GQ779" s="1138" t="s">
        <v>1349</v>
      </c>
      <c r="GR779" s="1138" t="s">
        <v>1349</v>
      </c>
      <c r="GS779" s="1138" t="s">
        <v>1349</v>
      </c>
      <c r="GT779" s="1138" t="s">
        <v>1349</v>
      </c>
      <c r="GU779" s="1138" t="s">
        <v>1349</v>
      </c>
      <c r="GV779" s="1138" t="s">
        <v>1349</v>
      </c>
    </row>
    <row r="780" spans="1:204" x14ac:dyDescent="0.2">
      <c r="A780" s="1136"/>
      <c r="B780" s="1137"/>
      <c r="GG780" s="1138" t="s">
        <v>1349</v>
      </c>
      <c r="GH780" s="1138" t="s">
        <v>1349</v>
      </c>
      <c r="GI780" s="1138" t="s">
        <v>1349</v>
      </c>
      <c r="GJ780" s="1138" t="s">
        <v>1349</v>
      </c>
      <c r="GK780" s="1138" t="s">
        <v>1349</v>
      </c>
      <c r="GL780" s="1138" t="s">
        <v>1349</v>
      </c>
      <c r="GM780" s="1138" t="s">
        <v>1349</v>
      </c>
      <c r="GN780" s="1138" t="s">
        <v>1349</v>
      </c>
      <c r="GO780" s="1138" t="s">
        <v>1349</v>
      </c>
      <c r="GP780" s="1138" t="s">
        <v>1349</v>
      </c>
      <c r="GQ780" s="1138" t="s">
        <v>1349</v>
      </c>
      <c r="GR780" s="1138" t="s">
        <v>1349</v>
      </c>
      <c r="GS780" s="1138" t="s">
        <v>1349</v>
      </c>
      <c r="GT780" s="1138" t="s">
        <v>1349</v>
      </c>
      <c r="GU780" s="1138" t="s">
        <v>1349</v>
      </c>
      <c r="GV780" s="1138" t="s">
        <v>1349</v>
      </c>
    </row>
    <row r="781" spans="1:204" x14ac:dyDescent="0.2">
      <c r="A781" s="1136"/>
      <c r="B781" s="1137"/>
      <c r="GG781" s="1138" t="s">
        <v>1349</v>
      </c>
      <c r="GH781" s="1138" t="s">
        <v>1349</v>
      </c>
      <c r="GI781" s="1138" t="s">
        <v>1349</v>
      </c>
      <c r="GJ781" s="1138" t="s">
        <v>1349</v>
      </c>
      <c r="GK781" s="1138" t="s">
        <v>1349</v>
      </c>
      <c r="GL781" s="1138" t="s">
        <v>1349</v>
      </c>
      <c r="GM781" s="1138" t="s">
        <v>1349</v>
      </c>
      <c r="GN781" s="1138" t="s">
        <v>1349</v>
      </c>
      <c r="GO781" s="1138" t="s">
        <v>1349</v>
      </c>
      <c r="GP781" s="1138" t="s">
        <v>1349</v>
      </c>
      <c r="GQ781" s="1138" t="s">
        <v>1349</v>
      </c>
      <c r="GR781" s="1138" t="s">
        <v>1349</v>
      </c>
      <c r="GS781" s="1138" t="s">
        <v>1349</v>
      </c>
      <c r="GT781" s="1138" t="s">
        <v>1349</v>
      </c>
      <c r="GU781" s="1138" t="s">
        <v>1349</v>
      </c>
      <c r="GV781" s="1138" t="s">
        <v>1349</v>
      </c>
    </row>
    <row r="782" spans="1:204" x14ac:dyDescent="0.2">
      <c r="A782" s="1136"/>
      <c r="B782" s="1137"/>
      <c r="GG782" s="1138" t="s">
        <v>1349</v>
      </c>
      <c r="GH782" s="1138" t="s">
        <v>1349</v>
      </c>
      <c r="GI782" s="1138" t="s">
        <v>1349</v>
      </c>
      <c r="GJ782" s="1138" t="s">
        <v>1349</v>
      </c>
      <c r="GK782" s="1138" t="s">
        <v>1349</v>
      </c>
      <c r="GL782" s="1138" t="s">
        <v>1349</v>
      </c>
      <c r="GM782" s="1138" t="s">
        <v>1349</v>
      </c>
      <c r="GN782" s="1138" t="s">
        <v>1349</v>
      </c>
      <c r="GO782" s="1138" t="s">
        <v>1349</v>
      </c>
      <c r="GP782" s="1138" t="s">
        <v>1349</v>
      </c>
      <c r="GQ782" s="1138" t="s">
        <v>1349</v>
      </c>
      <c r="GR782" s="1138" t="s">
        <v>1349</v>
      </c>
      <c r="GS782" s="1138" t="s">
        <v>1349</v>
      </c>
      <c r="GT782" s="1138" t="s">
        <v>1349</v>
      </c>
      <c r="GU782" s="1138" t="s">
        <v>1349</v>
      </c>
      <c r="GV782" s="1138" t="s">
        <v>1349</v>
      </c>
    </row>
    <row r="783" spans="1:204" x14ac:dyDescent="0.2">
      <c r="A783" s="1136"/>
      <c r="B783" s="1137"/>
      <c r="GG783" s="1138" t="s">
        <v>1349</v>
      </c>
      <c r="GH783" s="1138" t="s">
        <v>1349</v>
      </c>
      <c r="GI783" s="1138" t="s">
        <v>1349</v>
      </c>
      <c r="GJ783" s="1138" t="s">
        <v>1349</v>
      </c>
      <c r="GK783" s="1138" t="s">
        <v>1349</v>
      </c>
      <c r="GL783" s="1138" t="s">
        <v>1349</v>
      </c>
      <c r="GM783" s="1138" t="s">
        <v>1349</v>
      </c>
      <c r="GN783" s="1138" t="s">
        <v>1349</v>
      </c>
      <c r="GO783" s="1138" t="s">
        <v>1349</v>
      </c>
      <c r="GP783" s="1138" t="s">
        <v>1349</v>
      </c>
      <c r="GQ783" s="1138" t="s">
        <v>1349</v>
      </c>
      <c r="GR783" s="1138" t="s">
        <v>1349</v>
      </c>
      <c r="GS783" s="1138" t="s">
        <v>1349</v>
      </c>
      <c r="GT783" s="1138" t="s">
        <v>1349</v>
      </c>
      <c r="GU783" s="1138" t="s">
        <v>1349</v>
      </c>
      <c r="GV783" s="1138" t="s">
        <v>1349</v>
      </c>
    </row>
    <row r="784" spans="1:204" x14ac:dyDescent="0.2">
      <c r="A784" s="1136"/>
      <c r="B784" s="1137"/>
      <c r="GG784" s="1138" t="s">
        <v>1349</v>
      </c>
      <c r="GH784" s="1138" t="s">
        <v>1349</v>
      </c>
      <c r="GI784" s="1138" t="s">
        <v>1349</v>
      </c>
      <c r="GJ784" s="1138" t="s">
        <v>1349</v>
      </c>
      <c r="GK784" s="1138" t="s">
        <v>1349</v>
      </c>
      <c r="GL784" s="1138" t="s">
        <v>1349</v>
      </c>
      <c r="GM784" s="1138" t="s">
        <v>1349</v>
      </c>
      <c r="GN784" s="1138" t="s">
        <v>1349</v>
      </c>
      <c r="GO784" s="1138" t="s">
        <v>1349</v>
      </c>
      <c r="GP784" s="1138" t="s">
        <v>1349</v>
      </c>
      <c r="GQ784" s="1138" t="s">
        <v>1349</v>
      </c>
      <c r="GR784" s="1138" t="s">
        <v>1349</v>
      </c>
      <c r="GS784" s="1138" t="s">
        <v>1349</v>
      </c>
      <c r="GT784" s="1138" t="s">
        <v>1349</v>
      </c>
      <c r="GU784" s="1138" t="s">
        <v>1349</v>
      </c>
      <c r="GV784" s="1138" t="s">
        <v>1349</v>
      </c>
    </row>
    <row r="785" spans="1:204" x14ac:dyDescent="0.2">
      <c r="A785" s="1136"/>
      <c r="B785" s="1137"/>
      <c r="GG785" s="1138" t="s">
        <v>1349</v>
      </c>
      <c r="GH785" s="1138" t="s">
        <v>1349</v>
      </c>
      <c r="GI785" s="1138" t="s">
        <v>1349</v>
      </c>
      <c r="GJ785" s="1138" t="s">
        <v>1349</v>
      </c>
      <c r="GK785" s="1138" t="s">
        <v>1349</v>
      </c>
      <c r="GL785" s="1138" t="s">
        <v>1349</v>
      </c>
      <c r="GM785" s="1138" t="s">
        <v>1349</v>
      </c>
      <c r="GN785" s="1138" t="s">
        <v>1349</v>
      </c>
      <c r="GO785" s="1138" t="s">
        <v>1349</v>
      </c>
      <c r="GP785" s="1138" t="s">
        <v>1349</v>
      </c>
      <c r="GQ785" s="1138" t="s">
        <v>1349</v>
      </c>
      <c r="GR785" s="1138" t="s">
        <v>1349</v>
      </c>
      <c r="GS785" s="1138" t="s">
        <v>1349</v>
      </c>
      <c r="GT785" s="1138" t="s">
        <v>1349</v>
      </c>
      <c r="GU785" s="1138" t="s">
        <v>1349</v>
      </c>
      <c r="GV785" s="1138" t="s">
        <v>1349</v>
      </c>
    </row>
    <row r="786" spans="1:204" x14ac:dyDescent="0.2">
      <c r="A786" s="1136"/>
      <c r="B786" s="1137"/>
      <c r="GG786" s="1138" t="s">
        <v>1349</v>
      </c>
      <c r="GH786" s="1138" t="s">
        <v>1349</v>
      </c>
      <c r="GI786" s="1138" t="s">
        <v>1349</v>
      </c>
      <c r="GJ786" s="1138" t="s">
        <v>1349</v>
      </c>
      <c r="GK786" s="1138" t="s">
        <v>1349</v>
      </c>
      <c r="GL786" s="1138" t="s">
        <v>1349</v>
      </c>
      <c r="GM786" s="1138" t="s">
        <v>1349</v>
      </c>
      <c r="GN786" s="1138" t="s">
        <v>1349</v>
      </c>
      <c r="GO786" s="1138" t="s">
        <v>1349</v>
      </c>
      <c r="GP786" s="1138" t="s">
        <v>1349</v>
      </c>
      <c r="GQ786" s="1138" t="s">
        <v>1349</v>
      </c>
      <c r="GR786" s="1138" t="s">
        <v>1349</v>
      </c>
      <c r="GS786" s="1138" t="s">
        <v>1349</v>
      </c>
      <c r="GT786" s="1138" t="s">
        <v>1349</v>
      </c>
      <c r="GU786" s="1138" t="s">
        <v>1349</v>
      </c>
      <c r="GV786" s="1138" t="s">
        <v>1349</v>
      </c>
    </row>
    <row r="787" spans="1:204" x14ac:dyDescent="0.2">
      <c r="A787" s="1136"/>
      <c r="B787" s="1137"/>
      <c r="GG787" s="1138" t="s">
        <v>1349</v>
      </c>
      <c r="GH787" s="1138" t="s">
        <v>1349</v>
      </c>
      <c r="GI787" s="1138" t="s">
        <v>1349</v>
      </c>
      <c r="GJ787" s="1138" t="s">
        <v>1349</v>
      </c>
      <c r="GK787" s="1138" t="s">
        <v>1349</v>
      </c>
      <c r="GL787" s="1138" t="s">
        <v>1349</v>
      </c>
      <c r="GM787" s="1138" t="s">
        <v>1349</v>
      </c>
      <c r="GN787" s="1138" t="s">
        <v>1349</v>
      </c>
      <c r="GO787" s="1138" t="s">
        <v>1349</v>
      </c>
      <c r="GP787" s="1138" t="s">
        <v>1349</v>
      </c>
      <c r="GQ787" s="1138" t="s">
        <v>1349</v>
      </c>
      <c r="GR787" s="1138" t="s">
        <v>1349</v>
      </c>
      <c r="GS787" s="1138" t="s">
        <v>1349</v>
      </c>
      <c r="GT787" s="1138" t="s">
        <v>1349</v>
      </c>
      <c r="GU787" s="1138" t="s">
        <v>1349</v>
      </c>
      <c r="GV787" s="1138" t="s">
        <v>1349</v>
      </c>
    </row>
    <row r="788" spans="1:204" x14ac:dyDescent="0.2">
      <c r="A788" s="1136"/>
      <c r="B788" s="1137"/>
      <c r="GG788" s="1138" t="s">
        <v>1349</v>
      </c>
      <c r="GH788" s="1138" t="s">
        <v>1349</v>
      </c>
      <c r="GI788" s="1138" t="s">
        <v>1349</v>
      </c>
      <c r="GJ788" s="1138" t="s">
        <v>1349</v>
      </c>
      <c r="GK788" s="1138" t="s">
        <v>1349</v>
      </c>
      <c r="GL788" s="1138" t="s">
        <v>1349</v>
      </c>
      <c r="GM788" s="1138" t="s">
        <v>1349</v>
      </c>
      <c r="GN788" s="1138" t="s">
        <v>1349</v>
      </c>
      <c r="GO788" s="1138" t="s">
        <v>1349</v>
      </c>
      <c r="GP788" s="1138" t="s">
        <v>1349</v>
      </c>
      <c r="GQ788" s="1138" t="s">
        <v>1349</v>
      </c>
      <c r="GR788" s="1138" t="s">
        <v>1349</v>
      </c>
      <c r="GS788" s="1138" t="s">
        <v>1349</v>
      </c>
      <c r="GT788" s="1138" t="s">
        <v>1349</v>
      </c>
      <c r="GU788" s="1138" t="s">
        <v>1349</v>
      </c>
      <c r="GV788" s="1138" t="s">
        <v>1349</v>
      </c>
    </row>
    <row r="789" spans="1:204" x14ac:dyDescent="0.2">
      <c r="A789" s="1136"/>
      <c r="B789" s="1137"/>
      <c r="GG789" s="1138" t="s">
        <v>1349</v>
      </c>
      <c r="GH789" s="1138" t="s">
        <v>1349</v>
      </c>
      <c r="GI789" s="1138" t="s">
        <v>1349</v>
      </c>
      <c r="GJ789" s="1138" t="s">
        <v>1349</v>
      </c>
      <c r="GK789" s="1138" t="s">
        <v>1349</v>
      </c>
      <c r="GL789" s="1138" t="s">
        <v>1349</v>
      </c>
      <c r="GM789" s="1138" t="s">
        <v>1349</v>
      </c>
      <c r="GN789" s="1138" t="s">
        <v>1349</v>
      </c>
      <c r="GO789" s="1138" t="s">
        <v>1349</v>
      </c>
      <c r="GP789" s="1138" t="s">
        <v>1349</v>
      </c>
      <c r="GQ789" s="1138" t="s">
        <v>1349</v>
      </c>
      <c r="GR789" s="1138" t="s">
        <v>1349</v>
      </c>
      <c r="GS789" s="1138" t="s">
        <v>1349</v>
      </c>
      <c r="GT789" s="1138" t="s">
        <v>1349</v>
      </c>
      <c r="GU789" s="1138" t="s">
        <v>1349</v>
      </c>
      <c r="GV789" s="1138" t="s">
        <v>1349</v>
      </c>
    </row>
    <row r="790" spans="1:204" x14ac:dyDescent="0.2">
      <c r="A790" s="1136"/>
      <c r="B790" s="1137"/>
      <c r="GG790" s="1138" t="s">
        <v>1349</v>
      </c>
      <c r="GH790" s="1138" t="s">
        <v>1349</v>
      </c>
      <c r="GI790" s="1138" t="s">
        <v>1349</v>
      </c>
      <c r="GJ790" s="1138" t="s">
        <v>1349</v>
      </c>
      <c r="GK790" s="1138" t="s">
        <v>1349</v>
      </c>
      <c r="GL790" s="1138" t="s">
        <v>1349</v>
      </c>
      <c r="GM790" s="1138" t="s">
        <v>1349</v>
      </c>
      <c r="GN790" s="1138" t="s">
        <v>1349</v>
      </c>
      <c r="GO790" s="1138" t="s">
        <v>1349</v>
      </c>
      <c r="GP790" s="1138" t="s">
        <v>1349</v>
      </c>
      <c r="GQ790" s="1138" t="s">
        <v>1349</v>
      </c>
      <c r="GR790" s="1138" t="s">
        <v>1349</v>
      </c>
      <c r="GS790" s="1138" t="s">
        <v>1349</v>
      </c>
      <c r="GT790" s="1138" t="s">
        <v>1349</v>
      </c>
      <c r="GU790" s="1138" t="s">
        <v>1349</v>
      </c>
      <c r="GV790" s="1138" t="s">
        <v>1349</v>
      </c>
    </row>
    <row r="791" spans="1:204" x14ac:dyDescent="0.2">
      <c r="A791" s="1136"/>
      <c r="B791" s="1137"/>
      <c r="GG791" s="1138" t="s">
        <v>1349</v>
      </c>
      <c r="GH791" s="1138" t="s">
        <v>1349</v>
      </c>
      <c r="GI791" s="1138" t="s">
        <v>1349</v>
      </c>
      <c r="GJ791" s="1138" t="s">
        <v>1349</v>
      </c>
      <c r="GK791" s="1138" t="s">
        <v>1349</v>
      </c>
      <c r="GL791" s="1138" t="s">
        <v>1349</v>
      </c>
      <c r="GM791" s="1138" t="s">
        <v>1349</v>
      </c>
      <c r="GN791" s="1138" t="s">
        <v>1349</v>
      </c>
      <c r="GO791" s="1138" t="s">
        <v>1349</v>
      </c>
      <c r="GP791" s="1138" t="s">
        <v>1349</v>
      </c>
      <c r="GQ791" s="1138" t="s">
        <v>1349</v>
      </c>
      <c r="GR791" s="1138" t="s">
        <v>1349</v>
      </c>
      <c r="GS791" s="1138" t="s">
        <v>1349</v>
      </c>
      <c r="GT791" s="1138" t="s">
        <v>1349</v>
      </c>
      <c r="GU791" s="1138" t="s">
        <v>1349</v>
      </c>
      <c r="GV791" s="1138" t="s">
        <v>1349</v>
      </c>
    </row>
    <row r="792" spans="1:204" x14ac:dyDescent="0.2">
      <c r="A792" s="1136"/>
      <c r="B792" s="1137"/>
      <c r="GG792" s="1138" t="s">
        <v>1349</v>
      </c>
      <c r="GH792" s="1138" t="s">
        <v>1349</v>
      </c>
      <c r="GI792" s="1138" t="s">
        <v>1349</v>
      </c>
      <c r="GJ792" s="1138" t="s">
        <v>1349</v>
      </c>
      <c r="GK792" s="1138" t="s">
        <v>1349</v>
      </c>
      <c r="GL792" s="1138" t="s">
        <v>1349</v>
      </c>
      <c r="GM792" s="1138" t="s">
        <v>1349</v>
      </c>
      <c r="GN792" s="1138" t="s">
        <v>1349</v>
      </c>
      <c r="GO792" s="1138" t="s">
        <v>1349</v>
      </c>
      <c r="GP792" s="1138" t="s">
        <v>1349</v>
      </c>
      <c r="GQ792" s="1138" t="s">
        <v>1349</v>
      </c>
      <c r="GR792" s="1138" t="s">
        <v>1349</v>
      </c>
      <c r="GS792" s="1138" t="s">
        <v>1349</v>
      </c>
      <c r="GT792" s="1138" t="s">
        <v>1349</v>
      </c>
      <c r="GU792" s="1138" t="s">
        <v>1349</v>
      </c>
      <c r="GV792" s="1138" t="s">
        <v>1349</v>
      </c>
    </row>
    <row r="793" spans="1:204" x14ac:dyDescent="0.2">
      <c r="A793" s="1136"/>
      <c r="B793" s="1137"/>
      <c r="GG793" s="1138" t="s">
        <v>1349</v>
      </c>
      <c r="GH793" s="1138" t="s">
        <v>1349</v>
      </c>
      <c r="GI793" s="1138" t="s">
        <v>1349</v>
      </c>
      <c r="GJ793" s="1138" t="s">
        <v>1349</v>
      </c>
      <c r="GK793" s="1138" t="s">
        <v>1349</v>
      </c>
      <c r="GL793" s="1138" t="s">
        <v>1349</v>
      </c>
      <c r="GM793" s="1138" t="s">
        <v>1349</v>
      </c>
      <c r="GN793" s="1138" t="s">
        <v>1349</v>
      </c>
      <c r="GO793" s="1138" t="s">
        <v>1349</v>
      </c>
      <c r="GP793" s="1138" t="s">
        <v>1349</v>
      </c>
      <c r="GQ793" s="1138" t="s">
        <v>1349</v>
      </c>
      <c r="GR793" s="1138" t="s">
        <v>1349</v>
      </c>
      <c r="GS793" s="1138" t="s">
        <v>1349</v>
      </c>
      <c r="GT793" s="1138" t="s">
        <v>1349</v>
      </c>
      <c r="GU793" s="1138" t="s">
        <v>1349</v>
      </c>
      <c r="GV793" s="1138" t="s">
        <v>1349</v>
      </c>
    </row>
    <row r="794" spans="1:204" x14ac:dyDescent="0.2">
      <c r="A794" s="1136"/>
      <c r="B794" s="1137"/>
      <c r="GG794" s="1138" t="s">
        <v>1349</v>
      </c>
      <c r="GH794" s="1138" t="s">
        <v>1349</v>
      </c>
      <c r="GI794" s="1138" t="s">
        <v>1349</v>
      </c>
      <c r="GJ794" s="1138" t="s">
        <v>1349</v>
      </c>
      <c r="GK794" s="1138" t="s">
        <v>1349</v>
      </c>
      <c r="GL794" s="1138" t="s">
        <v>1349</v>
      </c>
      <c r="GM794" s="1138" t="s">
        <v>1349</v>
      </c>
      <c r="GN794" s="1138" t="s">
        <v>1349</v>
      </c>
      <c r="GO794" s="1138" t="s">
        <v>1349</v>
      </c>
      <c r="GP794" s="1138" t="s">
        <v>1349</v>
      </c>
      <c r="GQ794" s="1138" t="s">
        <v>1349</v>
      </c>
      <c r="GR794" s="1138" t="s">
        <v>1349</v>
      </c>
      <c r="GS794" s="1138" t="s">
        <v>1349</v>
      </c>
      <c r="GT794" s="1138" t="s">
        <v>1349</v>
      </c>
      <c r="GU794" s="1138" t="s">
        <v>1349</v>
      </c>
      <c r="GV794" s="1138" t="s">
        <v>1349</v>
      </c>
    </row>
    <row r="795" spans="1:204" x14ac:dyDescent="0.2">
      <c r="A795" s="1136"/>
      <c r="B795" s="1137"/>
      <c r="GG795" s="1138" t="s">
        <v>1349</v>
      </c>
      <c r="GH795" s="1138" t="s">
        <v>1349</v>
      </c>
      <c r="GI795" s="1138" t="s">
        <v>1349</v>
      </c>
      <c r="GJ795" s="1138" t="s">
        <v>1349</v>
      </c>
      <c r="GK795" s="1138" t="s">
        <v>1349</v>
      </c>
      <c r="GL795" s="1138" t="s">
        <v>1349</v>
      </c>
      <c r="GM795" s="1138" t="s">
        <v>1349</v>
      </c>
      <c r="GN795" s="1138" t="s">
        <v>1349</v>
      </c>
      <c r="GO795" s="1138" t="s">
        <v>1349</v>
      </c>
      <c r="GP795" s="1138" t="s">
        <v>1349</v>
      </c>
      <c r="GQ795" s="1138" t="s">
        <v>1349</v>
      </c>
      <c r="GR795" s="1138" t="s">
        <v>1349</v>
      </c>
      <c r="GS795" s="1138" t="s">
        <v>1349</v>
      </c>
      <c r="GT795" s="1138" t="s">
        <v>1349</v>
      </c>
      <c r="GU795" s="1138" t="s">
        <v>1349</v>
      </c>
      <c r="GV795" s="1138" t="s">
        <v>1349</v>
      </c>
    </row>
    <row r="796" spans="1:204" x14ac:dyDescent="0.2">
      <c r="A796" s="1136"/>
      <c r="B796" s="1137"/>
      <c r="GG796" s="1138" t="s">
        <v>1349</v>
      </c>
      <c r="GH796" s="1138" t="s">
        <v>1349</v>
      </c>
      <c r="GI796" s="1138" t="s">
        <v>1349</v>
      </c>
      <c r="GJ796" s="1138" t="s">
        <v>1349</v>
      </c>
      <c r="GK796" s="1138" t="s">
        <v>1349</v>
      </c>
      <c r="GL796" s="1138" t="s">
        <v>1349</v>
      </c>
      <c r="GM796" s="1138" t="s">
        <v>1349</v>
      </c>
      <c r="GN796" s="1138" t="s">
        <v>1349</v>
      </c>
      <c r="GO796" s="1138" t="s">
        <v>1349</v>
      </c>
      <c r="GP796" s="1138" t="s">
        <v>1349</v>
      </c>
      <c r="GQ796" s="1138" t="s">
        <v>1349</v>
      </c>
      <c r="GR796" s="1138" t="s">
        <v>1349</v>
      </c>
      <c r="GS796" s="1138" t="s">
        <v>1349</v>
      </c>
      <c r="GT796" s="1138" t="s">
        <v>1349</v>
      </c>
      <c r="GU796" s="1138" t="s">
        <v>1349</v>
      </c>
      <c r="GV796" s="1138" t="s">
        <v>1349</v>
      </c>
    </row>
    <row r="797" spans="1:204" x14ac:dyDescent="0.2">
      <c r="A797" s="1136"/>
      <c r="B797" s="1137"/>
      <c r="GG797" s="1138" t="s">
        <v>1349</v>
      </c>
      <c r="GH797" s="1138" t="s">
        <v>1349</v>
      </c>
      <c r="GI797" s="1138" t="s">
        <v>1349</v>
      </c>
      <c r="GJ797" s="1138" t="s">
        <v>1349</v>
      </c>
      <c r="GK797" s="1138" t="s">
        <v>1349</v>
      </c>
      <c r="GL797" s="1138" t="s">
        <v>1349</v>
      </c>
      <c r="GM797" s="1138" t="s">
        <v>1349</v>
      </c>
      <c r="GN797" s="1138" t="s">
        <v>1349</v>
      </c>
      <c r="GO797" s="1138" t="s">
        <v>1349</v>
      </c>
      <c r="GP797" s="1138" t="s">
        <v>1349</v>
      </c>
      <c r="GQ797" s="1138" t="s">
        <v>1349</v>
      </c>
      <c r="GR797" s="1138" t="s">
        <v>1349</v>
      </c>
      <c r="GS797" s="1138" t="s">
        <v>1349</v>
      </c>
      <c r="GT797" s="1138" t="s">
        <v>1349</v>
      </c>
      <c r="GU797" s="1138" t="s">
        <v>1349</v>
      </c>
      <c r="GV797" s="1138" t="s">
        <v>1349</v>
      </c>
    </row>
    <row r="798" spans="1:204" x14ac:dyDescent="0.2">
      <c r="A798" s="1136"/>
      <c r="B798" s="1137"/>
      <c r="GG798" s="1138" t="s">
        <v>1349</v>
      </c>
      <c r="GH798" s="1138" t="s">
        <v>1349</v>
      </c>
      <c r="GI798" s="1138" t="s">
        <v>1349</v>
      </c>
      <c r="GJ798" s="1138" t="s">
        <v>1349</v>
      </c>
      <c r="GK798" s="1138" t="s">
        <v>1349</v>
      </c>
      <c r="GL798" s="1138" t="s">
        <v>1349</v>
      </c>
      <c r="GM798" s="1138" t="s">
        <v>1349</v>
      </c>
      <c r="GN798" s="1138" t="s">
        <v>1349</v>
      </c>
      <c r="GO798" s="1138" t="s">
        <v>1349</v>
      </c>
      <c r="GP798" s="1138" t="s">
        <v>1349</v>
      </c>
      <c r="GQ798" s="1138" t="s">
        <v>1349</v>
      </c>
      <c r="GR798" s="1138" t="s">
        <v>1349</v>
      </c>
      <c r="GS798" s="1138" t="s">
        <v>1349</v>
      </c>
      <c r="GT798" s="1138" t="s">
        <v>1349</v>
      </c>
      <c r="GU798" s="1138" t="s">
        <v>1349</v>
      </c>
      <c r="GV798" s="1138" t="s">
        <v>1349</v>
      </c>
    </row>
    <row r="799" spans="1:204" x14ac:dyDescent="0.2">
      <c r="A799" s="1136"/>
      <c r="B799" s="1137"/>
      <c r="GG799" s="1138" t="s">
        <v>1349</v>
      </c>
      <c r="GH799" s="1138" t="s">
        <v>1349</v>
      </c>
      <c r="GI799" s="1138" t="s">
        <v>1349</v>
      </c>
      <c r="GJ799" s="1138" t="s">
        <v>1349</v>
      </c>
      <c r="GK799" s="1138" t="s">
        <v>1349</v>
      </c>
      <c r="GL799" s="1138" t="s">
        <v>1349</v>
      </c>
      <c r="GM799" s="1138" t="s">
        <v>1349</v>
      </c>
      <c r="GN799" s="1138" t="s">
        <v>1349</v>
      </c>
      <c r="GO799" s="1138" t="s">
        <v>1349</v>
      </c>
      <c r="GP799" s="1138" t="s">
        <v>1349</v>
      </c>
      <c r="GQ799" s="1138" t="s">
        <v>1349</v>
      </c>
      <c r="GR799" s="1138" t="s">
        <v>1349</v>
      </c>
      <c r="GS799" s="1138" t="s">
        <v>1349</v>
      </c>
      <c r="GT799" s="1138" t="s">
        <v>1349</v>
      </c>
      <c r="GU799" s="1138" t="s">
        <v>1349</v>
      </c>
      <c r="GV799" s="1138" t="s">
        <v>1349</v>
      </c>
    </row>
    <row r="800" spans="1:204" x14ac:dyDescent="0.2">
      <c r="A800" s="1136"/>
      <c r="B800" s="1137"/>
      <c r="GG800" s="1138" t="s">
        <v>1349</v>
      </c>
      <c r="GH800" s="1138" t="s">
        <v>1349</v>
      </c>
      <c r="GI800" s="1138" t="s">
        <v>1349</v>
      </c>
      <c r="GJ800" s="1138" t="s">
        <v>1349</v>
      </c>
      <c r="GK800" s="1138" t="s">
        <v>1349</v>
      </c>
      <c r="GL800" s="1138" t="s">
        <v>1349</v>
      </c>
      <c r="GM800" s="1138" t="s">
        <v>1349</v>
      </c>
      <c r="GN800" s="1138" t="s">
        <v>1349</v>
      </c>
      <c r="GO800" s="1138" t="s">
        <v>1349</v>
      </c>
      <c r="GP800" s="1138" t="s">
        <v>1349</v>
      </c>
      <c r="GQ800" s="1138" t="s">
        <v>1349</v>
      </c>
      <c r="GR800" s="1138" t="s">
        <v>1349</v>
      </c>
      <c r="GS800" s="1138" t="s">
        <v>1349</v>
      </c>
      <c r="GT800" s="1138" t="s">
        <v>1349</v>
      </c>
      <c r="GU800" s="1138" t="s">
        <v>1349</v>
      </c>
      <c r="GV800" s="1138" t="s">
        <v>1349</v>
      </c>
    </row>
    <row r="801" spans="1:204" x14ac:dyDescent="0.2">
      <c r="A801" s="1136"/>
      <c r="B801" s="1137"/>
      <c r="GG801" s="1138" t="s">
        <v>1349</v>
      </c>
      <c r="GH801" s="1138" t="s">
        <v>1349</v>
      </c>
      <c r="GI801" s="1138" t="s">
        <v>1349</v>
      </c>
      <c r="GJ801" s="1138" t="s">
        <v>1349</v>
      </c>
      <c r="GK801" s="1138" t="s">
        <v>1349</v>
      </c>
      <c r="GL801" s="1138" t="s">
        <v>1349</v>
      </c>
      <c r="GM801" s="1138" t="s">
        <v>1349</v>
      </c>
      <c r="GN801" s="1138" t="s">
        <v>1349</v>
      </c>
      <c r="GO801" s="1138" t="s">
        <v>1349</v>
      </c>
      <c r="GP801" s="1138" t="s">
        <v>1349</v>
      </c>
      <c r="GQ801" s="1138" t="s">
        <v>1349</v>
      </c>
      <c r="GR801" s="1138" t="s">
        <v>1349</v>
      </c>
      <c r="GS801" s="1138" t="s">
        <v>1349</v>
      </c>
      <c r="GT801" s="1138" t="s">
        <v>1349</v>
      </c>
      <c r="GU801" s="1138" t="s">
        <v>1349</v>
      </c>
      <c r="GV801" s="1138" t="s">
        <v>1349</v>
      </c>
    </row>
    <row r="802" spans="1:204" x14ac:dyDescent="0.2">
      <c r="A802" s="1136"/>
      <c r="B802" s="1137"/>
      <c r="GG802" s="1138" t="s">
        <v>1349</v>
      </c>
      <c r="GH802" s="1138" t="s">
        <v>1349</v>
      </c>
      <c r="GI802" s="1138" t="s">
        <v>1349</v>
      </c>
      <c r="GJ802" s="1138" t="s">
        <v>1349</v>
      </c>
      <c r="GK802" s="1138" t="s">
        <v>1349</v>
      </c>
      <c r="GL802" s="1138" t="s">
        <v>1349</v>
      </c>
      <c r="GM802" s="1138" t="s">
        <v>1349</v>
      </c>
      <c r="GN802" s="1138" t="s">
        <v>1349</v>
      </c>
      <c r="GO802" s="1138" t="s">
        <v>1349</v>
      </c>
      <c r="GP802" s="1138" t="s">
        <v>1349</v>
      </c>
      <c r="GQ802" s="1138" t="s">
        <v>1349</v>
      </c>
      <c r="GR802" s="1138" t="s">
        <v>1349</v>
      </c>
      <c r="GS802" s="1138" t="s">
        <v>1349</v>
      </c>
      <c r="GT802" s="1138" t="s">
        <v>1349</v>
      </c>
      <c r="GU802" s="1138" t="s">
        <v>1349</v>
      </c>
      <c r="GV802" s="1138" t="s">
        <v>1349</v>
      </c>
    </row>
    <row r="803" spans="1:204" x14ac:dyDescent="0.2">
      <c r="A803" s="1136"/>
      <c r="B803" s="1137"/>
      <c r="GG803" s="1138" t="s">
        <v>1349</v>
      </c>
      <c r="GH803" s="1138" t="s">
        <v>1349</v>
      </c>
      <c r="GI803" s="1138" t="s">
        <v>1349</v>
      </c>
      <c r="GJ803" s="1138" t="s">
        <v>1349</v>
      </c>
      <c r="GK803" s="1138" t="s">
        <v>1349</v>
      </c>
      <c r="GL803" s="1138" t="s">
        <v>1349</v>
      </c>
      <c r="GM803" s="1138" t="s">
        <v>1349</v>
      </c>
      <c r="GN803" s="1138" t="s">
        <v>1349</v>
      </c>
      <c r="GO803" s="1138" t="s">
        <v>1349</v>
      </c>
      <c r="GP803" s="1138" t="s">
        <v>1349</v>
      </c>
      <c r="GQ803" s="1138" t="s">
        <v>1349</v>
      </c>
      <c r="GR803" s="1138" t="s">
        <v>1349</v>
      </c>
      <c r="GS803" s="1138" t="s">
        <v>1349</v>
      </c>
      <c r="GT803" s="1138" t="s">
        <v>1349</v>
      </c>
      <c r="GU803" s="1138" t="s">
        <v>1349</v>
      </c>
      <c r="GV803" s="1138" t="s">
        <v>1349</v>
      </c>
    </row>
    <row r="804" spans="1:204" x14ac:dyDescent="0.2">
      <c r="A804" s="1136"/>
      <c r="B804" s="1137"/>
      <c r="GG804" s="1138" t="s">
        <v>1349</v>
      </c>
      <c r="GH804" s="1138" t="s">
        <v>1349</v>
      </c>
      <c r="GI804" s="1138" t="s">
        <v>1349</v>
      </c>
      <c r="GJ804" s="1138" t="s">
        <v>1349</v>
      </c>
      <c r="GK804" s="1138" t="s">
        <v>1349</v>
      </c>
      <c r="GL804" s="1138" t="s">
        <v>1349</v>
      </c>
      <c r="GM804" s="1138" t="s">
        <v>1349</v>
      </c>
      <c r="GN804" s="1138" t="s">
        <v>1349</v>
      </c>
      <c r="GO804" s="1138" t="s">
        <v>1349</v>
      </c>
      <c r="GP804" s="1138" t="s">
        <v>1349</v>
      </c>
      <c r="GQ804" s="1138" t="s">
        <v>1349</v>
      </c>
      <c r="GR804" s="1138" t="s">
        <v>1349</v>
      </c>
      <c r="GS804" s="1138" t="s">
        <v>1349</v>
      </c>
      <c r="GT804" s="1138" t="s">
        <v>1349</v>
      </c>
      <c r="GU804" s="1138" t="s">
        <v>1349</v>
      </c>
      <c r="GV804" s="1138" t="s">
        <v>1349</v>
      </c>
    </row>
    <row r="805" spans="1:204" x14ac:dyDescent="0.2">
      <c r="A805" s="1136"/>
      <c r="B805" s="1137"/>
      <c r="GG805" s="1138" t="s">
        <v>1349</v>
      </c>
      <c r="GH805" s="1138" t="s">
        <v>1349</v>
      </c>
      <c r="GI805" s="1138" t="s">
        <v>1349</v>
      </c>
      <c r="GJ805" s="1138" t="s">
        <v>1349</v>
      </c>
      <c r="GK805" s="1138" t="s">
        <v>1349</v>
      </c>
      <c r="GL805" s="1138" t="s">
        <v>1349</v>
      </c>
      <c r="GM805" s="1138" t="s">
        <v>1349</v>
      </c>
      <c r="GN805" s="1138" t="s">
        <v>1349</v>
      </c>
      <c r="GO805" s="1138" t="s">
        <v>1349</v>
      </c>
      <c r="GP805" s="1138" t="s">
        <v>1349</v>
      </c>
      <c r="GQ805" s="1138" t="s">
        <v>1349</v>
      </c>
      <c r="GR805" s="1138" t="s">
        <v>1349</v>
      </c>
      <c r="GS805" s="1138" t="s">
        <v>1349</v>
      </c>
      <c r="GT805" s="1138" t="s">
        <v>1349</v>
      </c>
      <c r="GU805" s="1138" t="s">
        <v>1349</v>
      </c>
      <c r="GV805" s="1138" t="s">
        <v>1349</v>
      </c>
    </row>
    <row r="806" spans="1:204" x14ac:dyDescent="0.2">
      <c r="A806" s="1136"/>
      <c r="B806" s="1137"/>
      <c r="GG806" s="1138" t="s">
        <v>1349</v>
      </c>
      <c r="GH806" s="1138" t="s">
        <v>1349</v>
      </c>
      <c r="GI806" s="1138" t="s">
        <v>1349</v>
      </c>
      <c r="GJ806" s="1138" t="s">
        <v>1349</v>
      </c>
      <c r="GK806" s="1138" t="s">
        <v>1349</v>
      </c>
      <c r="GL806" s="1138" t="s">
        <v>1349</v>
      </c>
      <c r="GM806" s="1138" t="s">
        <v>1349</v>
      </c>
      <c r="GN806" s="1138" t="s">
        <v>1349</v>
      </c>
      <c r="GO806" s="1138" t="s">
        <v>1349</v>
      </c>
      <c r="GP806" s="1138" t="s">
        <v>1349</v>
      </c>
      <c r="GQ806" s="1138" t="s">
        <v>1349</v>
      </c>
      <c r="GR806" s="1138" t="s">
        <v>1349</v>
      </c>
      <c r="GS806" s="1138" t="s">
        <v>1349</v>
      </c>
      <c r="GT806" s="1138" t="s">
        <v>1349</v>
      </c>
      <c r="GU806" s="1138" t="s">
        <v>1349</v>
      </c>
      <c r="GV806" s="1138" t="s">
        <v>1349</v>
      </c>
    </row>
    <row r="807" spans="1:204" x14ac:dyDescent="0.2">
      <c r="A807" s="1136"/>
      <c r="B807" s="1137"/>
      <c r="GG807" s="1138" t="s">
        <v>1349</v>
      </c>
      <c r="GH807" s="1138" t="s">
        <v>1349</v>
      </c>
      <c r="GI807" s="1138" t="s">
        <v>1349</v>
      </c>
      <c r="GJ807" s="1138" t="s">
        <v>1349</v>
      </c>
      <c r="GK807" s="1138" t="s">
        <v>1349</v>
      </c>
      <c r="GL807" s="1138" t="s">
        <v>1349</v>
      </c>
      <c r="GM807" s="1138" t="s">
        <v>1349</v>
      </c>
      <c r="GN807" s="1138" t="s">
        <v>1349</v>
      </c>
      <c r="GO807" s="1138" t="s">
        <v>1349</v>
      </c>
      <c r="GP807" s="1138" t="s">
        <v>1349</v>
      </c>
      <c r="GQ807" s="1138" t="s">
        <v>1349</v>
      </c>
      <c r="GR807" s="1138" t="s">
        <v>1349</v>
      </c>
      <c r="GS807" s="1138" t="s">
        <v>1349</v>
      </c>
      <c r="GT807" s="1138" t="s">
        <v>1349</v>
      </c>
      <c r="GU807" s="1138" t="s">
        <v>1349</v>
      </c>
      <c r="GV807" s="1138" t="s">
        <v>1349</v>
      </c>
    </row>
    <row r="808" spans="1:204" x14ac:dyDescent="0.2">
      <c r="A808" s="1136"/>
      <c r="B808" s="1137"/>
      <c r="GG808" s="1138" t="s">
        <v>1349</v>
      </c>
      <c r="GH808" s="1138" t="s">
        <v>1349</v>
      </c>
      <c r="GI808" s="1138" t="s">
        <v>1349</v>
      </c>
      <c r="GJ808" s="1138" t="s">
        <v>1349</v>
      </c>
      <c r="GK808" s="1138" t="s">
        <v>1349</v>
      </c>
      <c r="GL808" s="1138" t="s">
        <v>1349</v>
      </c>
      <c r="GM808" s="1138" t="s">
        <v>1349</v>
      </c>
      <c r="GN808" s="1138" t="s">
        <v>1349</v>
      </c>
      <c r="GO808" s="1138" t="s">
        <v>1349</v>
      </c>
      <c r="GP808" s="1138" t="s">
        <v>1349</v>
      </c>
      <c r="GQ808" s="1138" t="s">
        <v>1349</v>
      </c>
      <c r="GR808" s="1138" t="s">
        <v>1349</v>
      </c>
      <c r="GS808" s="1138" t="s">
        <v>1349</v>
      </c>
      <c r="GT808" s="1138" t="s">
        <v>1349</v>
      </c>
      <c r="GU808" s="1138" t="s">
        <v>1349</v>
      </c>
      <c r="GV808" s="1138" t="s">
        <v>1349</v>
      </c>
    </row>
    <row r="809" spans="1:204" x14ac:dyDescent="0.2">
      <c r="A809" s="1136"/>
      <c r="B809" s="1137"/>
      <c r="GG809" s="1138" t="s">
        <v>1349</v>
      </c>
      <c r="GH809" s="1138" t="s">
        <v>1349</v>
      </c>
      <c r="GI809" s="1138" t="s">
        <v>1349</v>
      </c>
      <c r="GJ809" s="1138" t="s">
        <v>1349</v>
      </c>
      <c r="GK809" s="1138" t="s">
        <v>1349</v>
      </c>
      <c r="GL809" s="1138" t="s">
        <v>1349</v>
      </c>
      <c r="GM809" s="1138" t="s">
        <v>1349</v>
      </c>
      <c r="GN809" s="1138" t="s">
        <v>1349</v>
      </c>
      <c r="GO809" s="1138" t="s">
        <v>1349</v>
      </c>
      <c r="GP809" s="1138" t="s">
        <v>1349</v>
      </c>
      <c r="GQ809" s="1138" t="s">
        <v>1349</v>
      </c>
      <c r="GR809" s="1138" t="s">
        <v>1349</v>
      </c>
      <c r="GS809" s="1138" t="s">
        <v>1349</v>
      </c>
      <c r="GT809" s="1138" t="s">
        <v>1349</v>
      </c>
      <c r="GU809" s="1138" t="s">
        <v>1349</v>
      </c>
      <c r="GV809" s="1138" t="s">
        <v>1349</v>
      </c>
    </row>
    <row r="810" spans="1:204" x14ac:dyDescent="0.2">
      <c r="A810" s="1136"/>
      <c r="B810" s="1137"/>
      <c r="GG810" s="1138" t="s">
        <v>1349</v>
      </c>
      <c r="GH810" s="1138" t="s">
        <v>1349</v>
      </c>
      <c r="GI810" s="1138" t="s">
        <v>1349</v>
      </c>
      <c r="GJ810" s="1138" t="s">
        <v>1349</v>
      </c>
      <c r="GK810" s="1138" t="s">
        <v>1349</v>
      </c>
      <c r="GL810" s="1138" t="s">
        <v>1349</v>
      </c>
      <c r="GM810" s="1138" t="s">
        <v>1349</v>
      </c>
      <c r="GN810" s="1138" t="s">
        <v>1349</v>
      </c>
      <c r="GO810" s="1138" t="s">
        <v>1349</v>
      </c>
      <c r="GP810" s="1138" t="s">
        <v>1349</v>
      </c>
      <c r="GQ810" s="1138" t="s">
        <v>1349</v>
      </c>
      <c r="GR810" s="1138" t="s">
        <v>1349</v>
      </c>
      <c r="GS810" s="1138" t="s">
        <v>1349</v>
      </c>
      <c r="GT810" s="1138" t="s">
        <v>1349</v>
      </c>
      <c r="GU810" s="1138" t="s">
        <v>1349</v>
      </c>
      <c r="GV810" s="1138" t="s">
        <v>1349</v>
      </c>
    </row>
    <row r="811" spans="1:204" x14ac:dyDescent="0.2">
      <c r="A811" s="1136"/>
      <c r="B811" s="1137"/>
      <c r="GG811" s="1138" t="s">
        <v>1349</v>
      </c>
      <c r="GH811" s="1138" t="s">
        <v>1349</v>
      </c>
      <c r="GI811" s="1138" t="s">
        <v>1349</v>
      </c>
      <c r="GJ811" s="1138" t="s">
        <v>1349</v>
      </c>
      <c r="GK811" s="1138" t="s">
        <v>1349</v>
      </c>
      <c r="GL811" s="1138" t="s">
        <v>1349</v>
      </c>
      <c r="GM811" s="1138" t="s">
        <v>1349</v>
      </c>
      <c r="GN811" s="1138" t="s">
        <v>1349</v>
      </c>
      <c r="GO811" s="1138" t="s">
        <v>1349</v>
      </c>
      <c r="GP811" s="1138" t="s">
        <v>1349</v>
      </c>
      <c r="GQ811" s="1138" t="s">
        <v>1349</v>
      </c>
      <c r="GR811" s="1138" t="s">
        <v>1349</v>
      </c>
      <c r="GS811" s="1138" t="s">
        <v>1349</v>
      </c>
      <c r="GT811" s="1138" t="s">
        <v>1349</v>
      </c>
      <c r="GU811" s="1138" t="s">
        <v>1349</v>
      </c>
      <c r="GV811" s="1138" t="s">
        <v>1349</v>
      </c>
    </row>
    <row r="812" spans="1:204" x14ac:dyDescent="0.2">
      <c r="A812" s="1136"/>
      <c r="B812" s="1137"/>
      <c r="GG812" s="1138" t="s">
        <v>1349</v>
      </c>
      <c r="GH812" s="1138" t="s">
        <v>1349</v>
      </c>
      <c r="GI812" s="1138" t="s">
        <v>1349</v>
      </c>
      <c r="GJ812" s="1138" t="s">
        <v>1349</v>
      </c>
      <c r="GK812" s="1138" t="s">
        <v>1349</v>
      </c>
      <c r="GL812" s="1138" t="s">
        <v>1349</v>
      </c>
      <c r="GM812" s="1138" t="s">
        <v>1349</v>
      </c>
      <c r="GN812" s="1138" t="s">
        <v>1349</v>
      </c>
      <c r="GO812" s="1138" t="s">
        <v>1349</v>
      </c>
      <c r="GP812" s="1138" t="s">
        <v>1349</v>
      </c>
      <c r="GQ812" s="1138" t="s">
        <v>1349</v>
      </c>
      <c r="GR812" s="1138" t="s">
        <v>1349</v>
      </c>
      <c r="GS812" s="1138" t="s">
        <v>1349</v>
      </c>
      <c r="GT812" s="1138" t="s">
        <v>1349</v>
      </c>
      <c r="GU812" s="1138" t="s">
        <v>1349</v>
      </c>
      <c r="GV812" s="1138" t="s">
        <v>1349</v>
      </c>
    </row>
    <row r="813" spans="1:204" x14ac:dyDescent="0.2">
      <c r="A813" s="1136"/>
      <c r="B813" s="1137"/>
      <c r="GG813" s="1138" t="s">
        <v>1349</v>
      </c>
      <c r="GH813" s="1138" t="s">
        <v>1349</v>
      </c>
      <c r="GI813" s="1138" t="s">
        <v>1349</v>
      </c>
      <c r="GJ813" s="1138" t="s">
        <v>1349</v>
      </c>
      <c r="GK813" s="1138" t="s">
        <v>1349</v>
      </c>
      <c r="GL813" s="1138" t="s">
        <v>1349</v>
      </c>
      <c r="GM813" s="1138" t="s">
        <v>1349</v>
      </c>
      <c r="GN813" s="1138" t="s">
        <v>1349</v>
      </c>
      <c r="GO813" s="1138" t="s">
        <v>1349</v>
      </c>
      <c r="GP813" s="1138" t="s">
        <v>1349</v>
      </c>
      <c r="GQ813" s="1138" t="s">
        <v>1349</v>
      </c>
      <c r="GR813" s="1138" t="s">
        <v>1349</v>
      </c>
      <c r="GS813" s="1138" t="s">
        <v>1349</v>
      </c>
      <c r="GT813" s="1138" t="s">
        <v>1349</v>
      </c>
      <c r="GU813" s="1138" t="s">
        <v>1349</v>
      </c>
      <c r="GV813" s="1138" t="s">
        <v>1349</v>
      </c>
    </row>
    <row r="814" spans="1:204" x14ac:dyDescent="0.2">
      <c r="A814" s="1136"/>
      <c r="B814" s="1137"/>
      <c r="GG814" s="1138" t="s">
        <v>1349</v>
      </c>
      <c r="GH814" s="1138" t="s">
        <v>1349</v>
      </c>
      <c r="GI814" s="1138" t="s">
        <v>1349</v>
      </c>
      <c r="GJ814" s="1138" t="s">
        <v>1349</v>
      </c>
      <c r="GK814" s="1138" t="s">
        <v>1349</v>
      </c>
      <c r="GL814" s="1138" t="s">
        <v>1349</v>
      </c>
      <c r="GM814" s="1138" t="s">
        <v>1349</v>
      </c>
      <c r="GN814" s="1138" t="s">
        <v>1349</v>
      </c>
      <c r="GO814" s="1138" t="s">
        <v>1349</v>
      </c>
      <c r="GP814" s="1138" t="s">
        <v>1349</v>
      </c>
      <c r="GQ814" s="1138" t="s">
        <v>1349</v>
      </c>
      <c r="GR814" s="1138" t="s">
        <v>1349</v>
      </c>
      <c r="GS814" s="1138" t="s">
        <v>1349</v>
      </c>
      <c r="GT814" s="1138" t="s">
        <v>1349</v>
      </c>
      <c r="GU814" s="1138" t="s">
        <v>1349</v>
      </c>
      <c r="GV814" s="1138" t="s">
        <v>1349</v>
      </c>
    </row>
    <row r="815" spans="1:204" x14ac:dyDescent="0.2">
      <c r="A815" s="1136"/>
      <c r="B815" s="1137"/>
      <c r="GG815" s="1138" t="s">
        <v>1349</v>
      </c>
      <c r="GH815" s="1138" t="s">
        <v>1349</v>
      </c>
      <c r="GI815" s="1138" t="s">
        <v>1349</v>
      </c>
      <c r="GJ815" s="1138" t="s">
        <v>1349</v>
      </c>
      <c r="GK815" s="1138" t="s">
        <v>1349</v>
      </c>
      <c r="GL815" s="1138" t="s">
        <v>1349</v>
      </c>
      <c r="GM815" s="1138" t="s">
        <v>1349</v>
      </c>
      <c r="GN815" s="1138" t="s">
        <v>1349</v>
      </c>
      <c r="GO815" s="1138" t="s">
        <v>1349</v>
      </c>
      <c r="GP815" s="1138" t="s">
        <v>1349</v>
      </c>
      <c r="GQ815" s="1138" t="s">
        <v>1349</v>
      </c>
      <c r="GR815" s="1138" t="s">
        <v>1349</v>
      </c>
      <c r="GS815" s="1138" t="s">
        <v>1349</v>
      </c>
      <c r="GT815" s="1138" t="s">
        <v>1349</v>
      </c>
      <c r="GU815" s="1138" t="s">
        <v>1349</v>
      </c>
      <c r="GV815" s="1138" t="s">
        <v>1349</v>
      </c>
    </row>
    <row r="816" spans="1:204" x14ac:dyDescent="0.2">
      <c r="A816" s="1136"/>
      <c r="B816" s="1137"/>
      <c r="GG816" s="1138" t="s">
        <v>1349</v>
      </c>
      <c r="GH816" s="1138" t="s">
        <v>1349</v>
      </c>
      <c r="GI816" s="1138" t="s">
        <v>1349</v>
      </c>
      <c r="GJ816" s="1138" t="s">
        <v>1349</v>
      </c>
      <c r="GK816" s="1138" t="s">
        <v>1349</v>
      </c>
      <c r="GL816" s="1138" t="s">
        <v>1349</v>
      </c>
      <c r="GM816" s="1138" t="s">
        <v>1349</v>
      </c>
      <c r="GN816" s="1138" t="s">
        <v>1349</v>
      </c>
      <c r="GO816" s="1138" t="s">
        <v>1349</v>
      </c>
      <c r="GP816" s="1138" t="s">
        <v>1349</v>
      </c>
      <c r="GQ816" s="1138" t="s">
        <v>1349</v>
      </c>
      <c r="GR816" s="1138" t="s">
        <v>1349</v>
      </c>
      <c r="GS816" s="1138" t="s">
        <v>1349</v>
      </c>
      <c r="GT816" s="1138" t="s">
        <v>1349</v>
      </c>
      <c r="GU816" s="1138" t="s">
        <v>1349</v>
      </c>
      <c r="GV816" s="1138" t="s">
        <v>1349</v>
      </c>
    </row>
    <row r="817" spans="1:204" x14ac:dyDescent="0.2">
      <c r="A817" s="1136"/>
      <c r="B817" s="1137"/>
      <c r="GG817" s="1138" t="s">
        <v>1349</v>
      </c>
      <c r="GH817" s="1138" t="s">
        <v>1349</v>
      </c>
      <c r="GI817" s="1138" t="s">
        <v>1349</v>
      </c>
      <c r="GJ817" s="1138" t="s">
        <v>1349</v>
      </c>
      <c r="GK817" s="1138" t="s">
        <v>1349</v>
      </c>
      <c r="GL817" s="1138" t="s">
        <v>1349</v>
      </c>
      <c r="GM817" s="1138" t="s">
        <v>1349</v>
      </c>
      <c r="GN817" s="1138" t="s">
        <v>1349</v>
      </c>
      <c r="GO817" s="1138" t="s">
        <v>1349</v>
      </c>
      <c r="GP817" s="1138" t="s">
        <v>1349</v>
      </c>
      <c r="GQ817" s="1138" t="s">
        <v>1349</v>
      </c>
      <c r="GR817" s="1138" t="s">
        <v>1349</v>
      </c>
      <c r="GS817" s="1138" t="s">
        <v>1349</v>
      </c>
      <c r="GT817" s="1138" t="s">
        <v>1349</v>
      </c>
      <c r="GU817" s="1138" t="s">
        <v>1349</v>
      </c>
      <c r="GV817" s="1138" t="s">
        <v>1349</v>
      </c>
    </row>
    <row r="818" spans="1:204" x14ac:dyDescent="0.2">
      <c r="A818" s="1136"/>
      <c r="B818" s="1137"/>
      <c r="GG818" s="1138" t="s">
        <v>1349</v>
      </c>
      <c r="GH818" s="1138" t="s">
        <v>1349</v>
      </c>
      <c r="GI818" s="1138" t="s">
        <v>1349</v>
      </c>
      <c r="GJ818" s="1138" t="s">
        <v>1349</v>
      </c>
      <c r="GK818" s="1138" t="s">
        <v>1349</v>
      </c>
      <c r="GL818" s="1138" t="s">
        <v>1349</v>
      </c>
      <c r="GM818" s="1138" t="s">
        <v>1349</v>
      </c>
      <c r="GN818" s="1138" t="s">
        <v>1349</v>
      </c>
      <c r="GO818" s="1138" t="s">
        <v>1349</v>
      </c>
      <c r="GP818" s="1138" t="s">
        <v>1349</v>
      </c>
      <c r="GQ818" s="1138" t="s">
        <v>1349</v>
      </c>
      <c r="GR818" s="1138" t="s">
        <v>1349</v>
      </c>
      <c r="GS818" s="1138" t="s">
        <v>1349</v>
      </c>
      <c r="GT818" s="1138" t="s">
        <v>1349</v>
      </c>
      <c r="GU818" s="1138" t="s">
        <v>1349</v>
      </c>
      <c r="GV818" s="1138" t="s">
        <v>1349</v>
      </c>
    </row>
    <row r="819" spans="1:204" x14ac:dyDescent="0.2">
      <c r="A819" s="1136"/>
      <c r="B819" s="1137"/>
      <c r="GG819" s="1138" t="s">
        <v>1349</v>
      </c>
      <c r="GH819" s="1138" t="s">
        <v>1349</v>
      </c>
      <c r="GI819" s="1138" t="s">
        <v>1349</v>
      </c>
      <c r="GJ819" s="1138" t="s">
        <v>1349</v>
      </c>
      <c r="GK819" s="1138" t="s">
        <v>1349</v>
      </c>
      <c r="GL819" s="1138" t="s">
        <v>1349</v>
      </c>
      <c r="GM819" s="1138" t="s">
        <v>1349</v>
      </c>
      <c r="GN819" s="1138" t="s">
        <v>1349</v>
      </c>
      <c r="GO819" s="1138" t="s">
        <v>1349</v>
      </c>
      <c r="GP819" s="1138" t="s">
        <v>1349</v>
      </c>
      <c r="GQ819" s="1138" t="s">
        <v>1349</v>
      </c>
      <c r="GR819" s="1138" t="s">
        <v>1349</v>
      </c>
      <c r="GS819" s="1138" t="s">
        <v>1349</v>
      </c>
      <c r="GT819" s="1138" t="s">
        <v>1349</v>
      </c>
      <c r="GU819" s="1138" t="s">
        <v>1349</v>
      </c>
      <c r="GV819" s="1138" t="s">
        <v>1349</v>
      </c>
    </row>
    <row r="820" spans="1:204" x14ac:dyDescent="0.2">
      <c r="A820" s="1136"/>
      <c r="B820" s="1137"/>
      <c r="GG820" s="1138" t="s">
        <v>1349</v>
      </c>
      <c r="GH820" s="1138" t="s">
        <v>1349</v>
      </c>
      <c r="GI820" s="1138" t="s">
        <v>1349</v>
      </c>
      <c r="GJ820" s="1138" t="s">
        <v>1349</v>
      </c>
      <c r="GK820" s="1138" t="s">
        <v>1349</v>
      </c>
      <c r="GL820" s="1138" t="s">
        <v>1349</v>
      </c>
      <c r="GM820" s="1138" t="s">
        <v>1349</v>
      </c>
      <c r="GN820" s="1138" t="s">
        <v>1349</v>
      </c>
      <c r="GO820" s="1138" t="s">
        <v>1349</v>
      </c>
      <c r="GP820" s="1138" t="s">
        <v>1349</v>
      </c>
      <c r="GQ820" s="1138" t="s">
        <v>1349</v>
      </c>
      <c r="GR820" s="1138" t="s">
        <v>1349</v>
      </c>
      <c r="GS820" s="1138" t="s">
        <v>1349</v>
      </c>
      <c r="GT820" s="1138" t="s">
        <v>1349</v>
      </c>
      <c r="GU820" s="1138" t="s">
        <v>1349</v>
      </c>
      <c r="GV820" s="1138" t="s">
        <v>1349</v>
      </c>
    </row>
    <row r="821" spans="1:204" x14ac:dyDescent="0.2">
      <c r="A821" s="1136"/>
      <c r="B821" s="1137"/>
      <c r="GG821" s="1138" t="s">
        <v>1349</v>
      </c>
      <c r="GH821" s="1138" t="s">
        <v>1349</v>
      </c>
      <c r="GI821" s="1138" t="s">
        <v>1349</v>
      </c>
      <c r="GJ821" s="1138" t="s">
        <v>1349</v>
      </c>
      <c r="GK821" s="1138" t="s">
        <v>1349</v>
      </c>
      <c r="GL821" s="1138" t="s">
        <v>1349</v>
      </c>
      <c r="GM821" s="1138" t="s">
        <v>1349</v>
      </c>
      <c r="GN821" s="1138" t="s">
        <v>1349</v>
      </c>
      <c r="GO821" s="1138" t="s">
        <v>1349</v>
      </c>
      <c r="GP821" s="1138" t="s">
        <v>1349</v>
      </c>
      <c r="GQ821" s="1138" t="s">
        <v>1349</v>
      </c>
      <c r="GR821" s="1138" t="s">
        <v>1349</v>
      </c>
      <c r="GS821" s="1138" t="s">
        <v>1349</v>
      </c>
      <c r="GT821" s="1138" t="s">
        <v>1349</v>
      </c>
      <c r="GU821" s="1138" t="s">
        <v>1349</v>
      </c>
      <c r="GV821" s="1138" t="s">
        <v>1349</v>
      </c>
    </row>
    <row r="822" spans="1:204" x14ac:dyDescent="0.2">
      <c r="A822" s="1136"/>
      <c r="B822" s="1137"/>
      <c r="GG822" s="1138" t="s">
        <v>1349</v>
      </c>
      <c r="GH822" s="1138" t="s">
        <v>1349</v>
      </c>
      <c r="GI822" s="1138" t="s">
        <v>1349</v>
      </c>
      <c r="GJ822" s="1138" t="s">
        <v>1349</v>
      </c>
      <c r="GK822" s="1138" t="s">
        <v>1349</v>
      </c>
      <c r="GL822" s="1138" t="s">
        <v>1349</v>
      </c>
      <c r="GM822" s="1138" t="s">
        <v>1349</v>
      </c>
      <c r="GN822" s="1138" t="s">
        <v>1349</v>
      </c>
      <c r="GO822" s="1138" t="s">
        <v>1349</v>
      </c>
      <c r="GP822" s="1138" t="s">
        <v>1349</v>
      </c>
      <c r="GQ822" s="1138" t="s">
        <v>1349</v>
      </c>
      <c r="GR822" s="1138" t="s">
        <v>1349</v>
      </c>
      <c r="GS822" s="1138" t="s">
        <v>1349</v>
      </c>
      <c r="GT822" s="1138" t="s">
        <v>1349</v>
      </c>
      <c r="GU822" s="1138" t="s">
        <v>1349</v>
      </c>
      <c r="GV822" s="1138" t="s">
        <v>1349</v>
      </c>
    </row>
    <row r="823" spans="1:204" x14ac:dyDescent="0.2">
      <c r="A823" s="1136"/>
      <c r="B823" s="1137"/>
      <c r="GG823" s="1138" t="s">
        <v>1349</v>
      </c>
      <c r="GH823" s="1138" t="s">
        <v>1349</v>
      </c>
      <c r="GI823" s="1138" t="s">
        <v>1349</v>
      </c>
      <c r="GJ823" s="1138" t="s">
        <v>1349</v>
      </c>
      <c r="GK823" s="1138" t="s">
        <v>1349</v>
      </c>
      <c r="GL823" s="1138" t="s">
        <v>1349</v>
      </c>
      <c r="GM823" s="1138" t="s">
        <v>1349</v>
      </c>
      <c r="GN823" s="1138" t="s">
        <v>1349</v>
      </c>
      <c r="GO823" s="1138" t="s">
        <v>1349</v>
      </c>
      <c r="GP823" s="1138" t="s">
        <v>1349</v>
      </c>
      <c r="GQ823" s="1138" t="s">
        <v>1349</v>
      </c>
      <c r="GR823" s="1138" t="s">
        <v>1349</v>
      </c>
      <c r="GS823" s="1138" t="s">
        <v>1349</v>
      </c>
      <c r="GT823" s="1138" t="s">
        <v>1349</v>
      </c>
      <c r="GU823" s="1138" t="s">
        <v>1349</v>
      </c>
      <c r="GV823" s="1138" t="s">
        <v>1349</v>
      </c>
    </row>
    <row r="824" spans="1:204" x14ac:dyDescent="0.2">
      <c r="A824" s="1136"/>
      <c r="B824" s="1137"/>
      <c r="GG824" s="1138" t="s">
        <v>1349</v>
      </c>
      <c r="GH824" s="1138" t="s">
        <v>1349</v>
      </c>
      <c r="GI824" s="1138" t="s">
        <v>1349</v>
      </c>
      <c r="GJ824" s="1138" t="s">
        <v>1349</v>
      </c>
      <c r="GK824" s="1138" t="s">
        <v>1349</v>
      </c>
      <c r="GL824" s="1138" t="s">
        <v>1349</v>
      </c>
      <c r="GM824" s="1138" t="s">
        <v>1349</v>
      </c>
      <c r="GN824" s="1138" t="s">
        <v>1349</v>
      </c>
      <c r="GO824" s="1138" t="s">
        <v>1349</v>
      </c>
      <c r="GP824" s="1138" t="s">
        <v>1349</v>
      </c>
      <c r="GQ824" s="1138" t="s">
        <v>1349</v>
      </c>
      <c r="GR824" s="1138" t="s">
        <v>1349</v>
      </c>
      <c r="GS824" s="1138" t="s">
        <v>1349</v>
      </c>
      <c r="GT824" s="1138" t="s">
        <v>1349</v>
      </c>
      <c r="GU824" s="1138" t="s">
        <v>1349</v>
      </c>
      <c r="GV824" s="1138" t="s">
        <v>1349</v>
      </c>
    </row>
    <row r="825" spans="1:204" x14ac:dyDescent="0.2">
      <c r="A825" s="1136"/>
      <c r="B825" s="1137"/>
      <c r="GG825" s="1138" t="s">
        <v>1349</v>
      </c>
      <c r="GH825" s="1138" t="s">
        <v>1349</v>
      </c>
      <c r="GI825" s="1138" t="s">
        <v>1349</v>
      </c>
      <c r="GJ825" s="1138" t="s">
        <v>1349</v>
      </c>
      <c r="GK825" s="1138" t="s">
        <v>1349</v>
      </c>
      <c r="GL825" s="1138" t="s">
        <v>1349</v>
      </c>
      <c r="GM825" s="1138" t="s">
        <v>1349</v>
      </c>
      <c r="GN825" s="1138" t="s">
        <v>1349</v>
      </c>
      <c r="GO825" s="1138" t="s">
        <v>1349</v>
      </c>
      <c r="GP825" s="1138" t="s">
        <v>1349</v>
      </c>
      <c r="GQ825" s="1138" t="s">
        <v>1349</v>
      </c>
      <c r="GR825" s="1138" t="s">
        <v>1349</v>
      </c>
      <c r="GS825" s="1138" t="s">
        <v>1349</v>
      </c>
      <c r="GT825" s="1138" t="s">
        <v>1349</v>
      </c>
      <c r="GU825" s="1138" t="s">
        <v>1349</v>
      </c>
      <c r="GV825" s="1138" t="s">
        <v>1349</v>
      </c>
    </row>
    <row r="826" spans="1:204" x14ac:dyDescent="0.2">
      <c r="A826" s="1136"/>
      <c r="B826" s="1137"/>
      <c r="GG826" s="1138" t="s">
        <v>1349</v>
      </c>
      <c r="GH826" s="1138" t="s">
        <v>1349</v>
      </c>
      <c r="GI826" s="1138" t="s">
        <v>1349</v>
      </c>
      <c r="GJ826" s="1138" t="s">
        <v>1349</v>
      </c>
      <c r="GK826" s="1138" t="s">
        <v>1349</v>
      </c>
      <c r="GL826" s="1138" t="s">
        <v>1349</v>
      </c>
      <c r="GM826" s="1138" t="s">
        <v>1349</v>
      </c>
      <c r="GN826" s="1138" t="s">
        <v>1349</v>
      </c>
      <c r="GO826" s="1138" t="s">
        <v>1349</v>
      </c>
      <c r="GP826" s="1138" t="s">
        <v>1349</v>
      </c>
      <c r="GQ826" s="1138" t="s">
        <v>1349</v>
      </c>
      <c r="GR826" s="1138" t="s">
        <v>1349</v>
      </c>
      <c r="GS826" s="1138" t="s">
        <v>1349</v>
      </c>
      <c r="GT826" s="1138" t="s">
        <v>1349</v>
      </c>
      <c r="GU826" s="1138" t="s">
        <v>1349</v>
      </c>
      <c r="GV826" s="1138" t="s">
        <v>1349</v>
      </c>
    </row>
    <row r="827" spans="1:204" x14ac:dyDescent="0.2">
      <c r="A827" s="1136"/>
      <c r="B827" s="1137"/>
      <c r="GG827" s="1138" t="s">
        <v>1349</v>
      </c>
      <c r="GH827" s="1138" t="s">
        <v>1349</v>
      </c>
      <c r="GI827" s="1138" t="s">
        <v>1349</v>
      </c>
      <c r="GJ827" s="1138" t="s">
        <v>1349</v>
      </c>
      <c r="GK827" s="1138" t="s">
        <v>1349</v>
      </c>
      <c r="GL827" s="1138" t="s">
        <v>1349</v>
      </c>
      <c r="GM827" s="1138" t="s">
        <v>1349</v>
      </c>
      <c r="GN827" s="1138" t="s">
        <v>1349</v>
      </c>
      <c r="GO827" s="1138" t="s">
        <v>1349</v>
      </c>
      <c r="GP827" s="1138" t="s">
        <v>1349</v>
      </c>
      <c r="GQ827" s="1138" t="s">
        <v>1349</v>
      </c>
      <c r="GR827" s="1138" t="s">
        <v>1349</v>
      </c>
      <c r="GS827" s="1138" t="s">
        <v>1349</v>
      </c>
      <c r="GT827" s="1138" t="s">
        <v>1349</v>
      </c>
      <c r="GU827" s="1138" t="s">
        <v>1349</v>
      </c>
      <c r="GV827" s="1138" t="s">
        <v>1349</v>
      </c>
    </row>
    <row r="828" spans="1:204" x14ac:dyDescent="0.2">
      <c r="A828" s="1136"/>
      <c r="B828" s="1137"/>
      <c r="GG828" s="1138" t="s">
        <v>1349</v>
      </c>
      <c r="GH828" s="1138" t="s">
        <v>1349</v>
      </c>
      <c r="GI828" s="1138" t="s">
        <v>1349</v>
      </c>
      <c r="GJ828" s="1138" t="s">
        <v>1349</v>
      </c>
      <c r="GK828" s="1138" t="s">
        <v>1349</v>
      </c>
      <c r="GL828" s="1138" t="s">
        <v>1349</v>
      </c>
      <c r="GM828" s="1138" t="s">
        <v>1349</v>
      </c>
      <c r="GN828" s="1138" t="s">
        <v>1349</v>
      </c>
      <c r="GO828" s="1138" t="s">
        <v>1349</v>
      </c>
      <c r="GP828" s="1138" t="s">
        <v>1349</v>
      </c>
      <c r="GQ828" s="1138" t="s">
        <v>1349</v>
      </c>
      <c r="GR828" s="1138" t="s">
        <v>1349</v>
      </c>
      <c r="GS828" s="1138" t="s">
        <v>1349</v>
      </c>
      <c r="GT828" s="1138" t="s">
        <v>1349</v>
      </c>
      <c r="GU828" s="1138" t="s">
        <v>1349</v>
      </c>
      <c r="GV828" s="1138" t="s">
        <v>1349</v>
      </c>
    </row>
    <row r="829" spans="1:204" x14ac:dyDescent="0.2">
      <c r="A829" s="1136"/>
      <c r="B829" s="1137"/>
      <c r="GG829" s="1138" t="s">
        <v>1349</v>
      </c>
      <c r="GH829" s="1138" t="s">
        <v>1349</v>
      </c>
      <c r="GI829" s="1138" t="s">
        <v>1349</v>
      </c>
      <c r="GJ829" s="1138" t="s">
        <v>1349</v>
      </c>
      <c r="GK829" s="1138" t="s">
        <v>1349</v>
      </c>
      <c r="GL829" s="1138" t="s">
        <v>1349</v>
      </c>
      <c r="GM829" s="1138" t="s">
        <v>1349</v>
      </c>
      <c r="GN829" s="1138" t="s">
        <v>1349</v>
      </c>
      <c r="GO829" s="1138" t="s">
        <v>1349</v>
      </c>
      <c r="GP829" s="1138" t="s">
        <v>1349</v>
      </c>
      <c r="GQ829" s="1138" t="s">
        <v>1349</v>
      </c>
      <c r="GR829" s="1138" t="s">
        <v>1349</v>
      </c>
      <c r="GS829" s="1138" t="s">
        <v>1349</v>
      </c>
      <c r="GT829" s="1138" t="s">
        <v>1349</v>
      </c>
      <c r="GU829" s="1138" t="s">
        <v>1349</v>
      </c>
      <c r="GV829" s="1138" t="s">
        <v>1349</v>
      </c>
    </row>
    <row r="830" spans="1:204" x14ac:dyDescent="0.2">
      <c r="A830" s="1136"/>
      <c r="B830" s="1137"/>
      <c r="GG830" s="1138" t="s">
        <v>1349</v>
      </c>
      <c r="GH830" s="1138" t="s">
        <v>1349</v>
      </c>
      <c r="GI830" s="1138" t="s">
        <v>1349</v>
      </c>
      <c r="GJ830" s="1138" t="s">
        <v>1349</v>
      </c>
      <c r="GK830" s="1138" t="s">
        <v>1349</v>
      </c>
      <c r="GL830" s="1138" t="s">
        <v>1349</v>
      </c>
      <c r="GM830" s="1138" t="s">
        <v>1349</v>
      </c>
      <c r="GN830" s="1138" t="s">
        <v>1349</v>
      </c>
      <c r="GO830" s="1138" t="s">
        <v>1349</v>
      </c>
      <c r="GP830" s="1138" t="s">
        <v>1349</v>
      </c>
      <c r="GQ830" s="1138" t="s">
        <v>1349</v>
      </c>
      <c r="GR830" s="1138" t="s">
        <v>1349</v>
      </c>
      <c r="GS830" s="1138" t="s">
        <v>1349</v>
      </c>
      <c r="GT830" s="1138" t="s">
        <v>1349</v>
      </c>
      <c r="GU830" s="1138" t="s">
        <v>1349</v>
      </c>
      <c r="GV830" s="1138" t="s">
        <v>1349</v>
      </c>
    </row>
    <row r="831" spans="1:204" x14ac:dyDescent="0.2">
      <c r="A831" s="1136"/>
      <c r="B831" s="1137"/>
      <c r="GG831" s="1138" t="s">
        <v>1349</v>
      </c>
      <c r="GH831" s="1138" t="s">
        <v>1349</v>
      </c>
      <c r="GI831" s="1138" t="s">
        <v>1349</v>
      </c>
      <c r="GJ831" s="1138" t="s">
        <v>1349</v>
      </c>
      <c r="GK831" s="1138" t="s">
        <v>1349</v>
      </c>
      <c r="GL831" s="1138" t="s">
        <v>1349</v>
      </c>
      <c r="GM831" s="1138" t="s">
        <v>1349</v>
      </c>
      <c r="GN831" s="1138" t="s">
        <v>1349</v>
      </c>
      <c r="GO831" s="1138" t="s">
        <v>1349</v>
      </c>
      <c r="GP831" s="1138" t="s">
        <v>1349</v>
      </c>
      <c r="GQ831" s="1138" t="s">
        <v>1349</v>
      </c>
      <c r="GR831" s="1138" t="s">
        <v>1349</v>
      </c>
      <c r="GS831" s="1138" t="s">
        <v>1349</v>
      </c>
      <c r="GT831" s="1138" t="s">
        <v>1349</v>
      </c>
      <c r="GU831" s="1138" t="s">
        <v>1349</v>
      </c>
      <c r="GV831" s="1138" t="s">
        <v>1349</v>
      </c>
    </row>
    <row r="832" spans="1:204" x14ac:dyDescent="0.2">
      <c r="A832" s="1136"/>
      <c r="B832" s="1137"/>
      <c r="GG832" s="1138" t="s">
        <v>1349</v>
      </c>
      <c r="GH832" s="1138" t="s">
        <v>1349</v>
      </c>
      <c r="GI832" s="1138" t="s">
        <v>1349</v>
      </c>
      <c r="GJ832" s="1138" t="s">
        <v>1349</v>
      </c>
      <c r="GK832" s="1138" t="s">
        <v>1349</v>
      </c>
      <c r="GL832" s="1138" t="s">
        <v>1349</v>
      </c>
      <c r="GM832" s="1138" t="s">
        <v>1349</v>
      </c>
      <c r="GN832" s="1138" t="s">
        <v>1349</v>
      </c>
      <c r="GO832" s="1138" t="s">
        <v>1349</v>
      </c>
      <c r="GP832" s="1138" t="s">
        <v>1349</v>
      </c>
      <c r="GQ832" s="1138" t="s">
        <v>1349</v>
      </c>
      <c r="GR832" s="1138" t="s">
        <v>1349</v>
      </c>
      <c r="GS832" s="1138" t="s">
        <v>1349</v>
      </c>
      <c r="GT832" s="1138" t="s">
        <v>1349</v>
      </c>
      <c r="GU832" s="1138" t="s">
        <v>1349</v>
      </c>
      <c r="GV832" s="1138" t="s">
        <v>1349</v>
      </c>
    </row>
    <row r="833" spans="1:204" x14ac:dyDescent="0.2">
      <c r="A833" s="1136"/>
      <c r="B833" s="1137"/>
      <c r="GG833" s="1138" t="s">
        <v>1349</v>
      </c>
      <c r="GH833" s="1138" t="s">
        <v>1349</v>
      </c>
      <c r="GI833" s="1138" t="s">
        <v>1349</v>
      </c>
      <c r="GJ833" s="1138" t="s">
        <v>1349</v>
      </c>
      <c r="GK833" s="1138" t="s">
        <v>1349</v>
      </c>
      <c r="GL833" s="1138" t="s">
        <v>1349</v>
      </c>
      <c r="GM833" s="1138" t="s">
        <v>1349</v>
      </c>
      <c r="GN833" s="1138" t="s">
        <v>1349</v>
      </c>
      <c r="GO833" s="1138" t="s">
        <v>1349</v>
      </c>
      <c r="GP833" s="1138" t="s">
        <v>1349</v>
      </c>
      <c r="GQ833" s="1138" t="s">
        <v>1349</v>
      </c>
      <c r="GR833" s="1138" t="s">
        <v>1349</v>
      </c>
      <c r="GS833" s="1138" t="s">
        <v>1349</v>
      </c>
      <c r="GT833" s="1138" t="s">
        <v>1349</v>
      </c>
      <c r="GU833" s="1138" t="s">
        <v>1349</v>
      </c>
      <c r="GV833" s="1138" t="s">
        <v>1349</v>
      </c>
    </row>
    <row r="834" spans="1:204" x14ac:dyDescent="0.2">
      <c r="A834" s="1136"/>
      <c r="B834" s="1137"/>
      <c r="GG834" s="1138" t="s">
        <v>1349</v>
      </c>
      <c r="GH834" s="1138" t="s">
        <v>1349</v>
      </c>
      <c r="GI834" s="1138" t="s">
        <v>1349</v>
      </c>
      <c r="GJ834" s="1138" t="s">
        <v>1349</v>
      </c>
      <c r="GK834" s="1138" t="s">
        <v>1349</v>
      </c>
      <c r="GL834" s="1138" t="s">
        <v>1349</v>
      </c>
      <c r="GM834" s="1138" t="s">
        <v>1349</v>
      </c>
      <c r="GN834" s="1138" t="s">
        <v>1349</v>
      </c>
      <c r="GO834" s="1138" t="s">
        <v>1349</v>
      </c>
      <c r="GP834" s="1138" t="s">
        <v>1349</v>
      </c>
      <c r="GQ834" s="1138" t="s">
        <v>1349</v>
      </c>
      <c r="GR834" s="1138" t="s">
        <v>1349</v>
      </c>
      <c r="GS834" s="1138" t="s">
        <v>1349</v>
      </c>
      <c r="GT834" s="1138" t="s">
        <v>1349</v>
      </c>
      <c r="GU834" s="1138" t="s">
        <v>1349</v>
      </c>
      <c r="GV834" s="1138" t="s">
        <v>1349</v>
      </c>
    </row>
    <row r="835" spans="1:204" x14ac:dyDescent="0.2">
      <c r="A835" s="1136"/>
      <c r="B835" s="1137"/>
      <c r="GG835" s="1138" t="s">
        <v>1349</v>
      </c>
      <c r="GH835" s="1138" t="s">
        <v>1349</v>
      </c>
      <c r="GI835" s="1138" t="s">
        <v>1349</v>
      </c>
      <c r="GJ835" s="1138" t="s">
        <v>1349</v>
      </c>
      <c r="GK835" s="1138" t="s">
        <v>1349</v>
      </c>
      <c r="GL835" s="1138" t="s">
        <v>1349</v>
      </c>
      <c r="GM835" s="1138" t="s">
        <v>1349</v>
      </c>
      <c r="GN835" s="1138" t="s">
        <v>1349</v>
      </c>
      <c r="GO835" s="1138" t="s">
        <v>1349</v>
      </c>
      <c r="GP835" s="1138" t="s">
        <v>1349</v>
      </c>
      <c r="GQ835" s="1138" t="s">
        <v>1349</v>
      </c>
      <c r="GR835" s="1138" t="s">
        <v>1349</v>
      </c>
      <c r="GS835" s="1138" t="s">
        <v>1349</v>
      </c>
      <c r="GT835" s="1138" t="s">
        <v>1349</v>
      </c>
      <c r="GU835" s="1138" t="s">
        <v>1349</v>
      </c>
      <c r="GV835" s="1138" t="s">
        <v>1349</v>
      </c>
    </row>
    <row r="836" spans="1:204" x14ac:dyDescent="0.2">
      <c r="A836" s="1136"/>
      <c r="B836" s="1137"/>
      <c r="GG836" s="1138" t="s">
        <v>1349</v>
      </c>
      <c r="GH836" s="1138" t="s">
        <v>1349</v>
      </c>
      <c r="GI836" s="1138" t="s">
        <v>1349</v>
      </c>
      <c r="GJ836" s="1138" t="s">
        <v>1349</v>
      </c>
      <c r="GK836" s="1138" t="s">
        <v>1349</v>
      </c>
      <c r="GL836" s="1138" t="s">
        <v>1349</v>
      </c>
      <c r="GM836" s="1138" t="s">
        <v>1349</v>
      </c>
      <c r="GN836" s="1138" t="s">
        <v>1349</v>
      </c>
      <c r="GO836" s="1138" t="s">
        <v>1349</v>
      </c>
      <c r="GP836" s="1138" t="s">
        <v>1349</v>
      </c>
      <c r="GQ836" s="1138" t="s">
        <v>1349</v>
      </c>
      <c r="GR836" s="1138" t="s">
        <v>1349</v>
      </c>
      <c r="GS836" s="1138" t="s">
        <v>1349</v>
      </c>
      <c r="GT836" s="1138" t="s">
        <v>1349</v>
      </c>
      <c r="GU836" s="1138" t="s">
        <v>1349</v>
      </c>
      <c r="GV836" s="1138" t="s">
        <v>1349</v>
      </c>
    </row>
    <row r="837" spans="1:204" x14ac:dyDescent="0.2">
      <c r="A837" s="1136"/>
      <c r="B837" s="1137"/>
      <c r="GG837" s="1138" t="s">
        <v>1349</v>
      </c>
      <c r="GH837" s="1138" t="s">
        <v>1349</v>
      </c>
      <c r="GI837" s="1138" t="s">
        <v>1349</v>
      </c>
      <c r="GJ837" s="1138" t="s">
        <v>1349</v>
      </c>
      <c r="GK837" s="1138" t="s">
        <v>1349</v>
      </c>
      <c r="GL837" s="1138" t="s">
        <v>1349</v>
      </c>
      <c r="GM837" s="1138" t="s">
        <v>1349</v>
      </c>
      <c r="GN837" s="1138" t="s">
        <v>1349</v>
      </c>
      <c r="GO837" s="1138" t="s">
        <v>1349</v>
      </c>
      <c r="GP837" s="1138" t="s">
        <v>1349</v>
      </c>
      <c r="GQ837" s="1138" t="s">
        <v>1349</v>
      </c>
      <c r="GR837" s="1138" t="s">
        <v>1349</v>
      </c>
      <c r="GS837" s="1138" t="s">
        <v>1349</v>
      </c>
      <c r="GT837" s="1138" t="s">
        <v>1349</v>
      </c>
      <c r="GU837" s="1138" t="s">
        <v>1349</v>
      </c>
      <c r="GV837" s="1138" t="s">
        <v>1349</v>
      </c>
    </row>
    <row r="838" spans="1:204" x14ac:dyDescent="0.2">
      <c r="A838" s="1136"/>
      <c r="B838" s="1137"/>
      <c r="GG838" s="1138" t="s">
        <v>1349</v>
      </c>
      <c r="GH838" s="1138" t="s">
        <v>1349</v>
      </c>
      <c r="GI838" s="1138" t="s">
        <v>1349</v>
      </c>
      <c r="GJ838" s="1138" t="s">
        <v>1349</v>
      </c>
      <c r="GK838" s="1138" t="s">
        <v>1349</v>
      </c>
      <c r="GL838" s="1138" t="s">
        <v>1349</v>
      </c>
      <c r="GM838" s="1138" t="s">
        <v>1349</v>
      </c>
      <c r="GN838" s="1138" t="s">
        <v>1349</v>
      </c>
      <c r="GO838" s="1138" t="s">
        <v>1349</v>
      </c>
      <c r="GP838" s="1138" t="s">
        <v>1349</v>
      </c>
      <c r="GQ838" s="1138" t="s">
        <v>1349</v>
      </c>
      <c r="GR838" s="1138" t="s">
        <v>1349</v>
      </c>
      <c r="GS838" s="1138" t="s">
        <v>1349</v>
      </c>
      <c r="GT838" s="1138" t="s">
        <v>1349</v>
      </c>
      <c r="GU838" s="1138" t="s">
        <v>1349</v>
      </c>
      <c r="GV838" s="1138" t="s">
        <v>1349</v>
      </c>
    </row>
    <row r="839" spans="1:204" x14ac:dyDescent="0.2">
      <c r="A839" s="1136"/>
      <c r="B839" s="1137"/>
      <c r="GG839" s="1138" t="s">
        <v>1349</v>
      </c>
      <c r="GH839" s="1138" t="s">
        <v>1349</v>
      </c>
      <c r="GI839" s="1138" t="s">
        <v>1349</v>
      </c>
      <c r="GJ839" s="1138" t="s">
        <v>1349</v>
      </c>
      <c r="GK839" s="1138" t="s">
        <v>1349</v>
      </c>
      <c r="GL839" s="1138" t="s">
        <v>1349</v>
      </c>
      <c r="GM839" s="1138" t="s">
        <v>1349</v>
      </c>
      <c r="GN839" s="1138" t="s">
        <v>1349</v>
      </c>
      <c r="GO839" s="1138" t="s">
        <v>1349</v>
      </c>
      <c r="GP839" s="1138" t="s">
        <v>1349</v>
      </c>
      <c r="GQ839" s="1138" t="s">
        <v>1349</v>
      </c>
      <c r="GR839" s="1138" t="s">
        <v>1349</v>
      </c>
      <c r="GS839" s="1138" t="s">
        <v>1349</v>
      </c>
      <c r="GT839" s="1138" t="s">
        <v>1349</v>
      </c>
      <c r="GU839" s="1138" t="s">
        <v>1349</v>
      </c>
      <c r="GV839" s="1138" t="s">
        <v>1349</v>
      </c>
    </row>
    <row r="840" spans="1:204" x14ac:dyDescent="0.2">
      <c r="A840" s="1136"/>
      <c r="B840" s="1137"/>
      <c r="GG840" s="1138" t="s">
        <v>1349</v>
      </c>
      <c r="GH840" s="1138" t="s">
        <v>1349</v>
      </c>
      <c r="GI840" s="1138" t="s">
        <v>1349</v>
      </c>
      <c r="GJ840" s="1138" t="s">
        <v>1349</v>
      </c>
      <c r="GK840" s="1138" t="s">
        <v>1349</v>
      </c>
      <c r="GL840" s="1138" t="s">
        <v>1349</v>
      </c>
      <c r="GM840" s="1138" t="s">
        <v>1349</v>
      </c>
      <c r="GN840" s="1138" t="s">
        <v>1349</v>
      </c>
      <c r="GO840" s="1138" t="s">
        <v>1349</v>
      </c>
      <c r="GP840" s="1138" t="s">
        <v>1349</v>
      </c>
      <c r="GQ840" s="1138" t="s">
        <v>1349</v>
      </c>
      <c r="GR840" s="1138" t="s">
        <v>1349</v>
      </c>
      <c r="GS840" s="1138" t="s">
        <v>1349</v>
      </c>
      <c r="GT840" s="1138" t="s">
        <v>1349</v>
      </c>
      <c r="GU840" s="1138" t="s">
        <v>1349</v>
      </c>
      <c r="GV840" s="1138" t="s">
        <v>1349</v>
      </c>
    </row>
    <row r="841" spans="1:204" x14ac:dyDescent="0.2">
      <c r="A841" s="1136"/>
      <c r="B841" s="1137"/>
      <c r="GG841" s="1138" t="s">
        <v>1349</v>
      </c>
      <c r="GH841" s="1138" t="s">
        <v>1349</v>
      </c>
      <c r="GI841" s="1138" t="s">
        <v>1349</v>
      </c>
      <c r="GJ841" s="1138" t="s">
        <v>1349</v>
      </c>
      <c r="GK841" s="1138" t="s">
        <v>1349</v>
      </c>
      <c r="GL841" s="1138" t="s">
        <v>1349</v>
      </c>
      <c r="GM841" s="1138" t="s">
        <v>1349</v>
      </c>
      <c r="GN841" s="1138" t="s">
        <v>1349</v>
      </c>
      <c r="GO841" s="1138" t="s">
        <v>1349</v>
      </c>
      <c r="GP841" s="1138" t="s">
        <v>1349</v>
      </c>
      <c r="GQ841" s="1138" t="s">
        <v>1349</v>
      </c>
      <c r="GR841" s="1138" t="s">
        <v>1349</v>
      </c>
      <c r="GS841" s="1138" t="s">
        <v>1349</v>
      </c>
      <c r="GT841" s="1138" t="s">
        <v>1349</v>
      </c>
      <c r="GU841" s="1138" t="s">
        <v>1349</v>
      </c>
      <c r="GV841" s="1138" t="s">
        <v>1349</v>
      </c>
    </row>
    <row r="842" spans="1:204" x14ac:dyDescent="0.2">
      <c r="A842" s="1136"/>
      <c r="B842" s="1137"/>
      <c r="GG842" s="1138" t="s">
        <v>1349</v>
      </c>
      <c r="GH842" s="1138" t="s">
        <v>1349</v>
      </c>
      <c r="GI842" s="1138" t="s">
        <v>1349</v>
      </c>
      <c r="GJ842" s="1138" t="s">
        <v>1349</v>
      </c>
      <c r="GK842" s="1138" t="s">
        <v>1349</v>
      </c>
      <c r="GL842" s="1138" t="s">
        <v>1349</v>
      </c>
      <c r="GM842" s="1138" t="s">
        <v>1349</v>
      </c>
      <c r="GN842" s="1138" t="s">
        <v>1349</v>
      </c>
      <c r="GO842" s="1138" t="s">
        <v>1349</v>
      </c>
      <c r="GP842" s="1138" t="s">
        <v>1349</v>
      </c>
      <c r="GQ842" s="1138" t="s">
        <v>1349</v>
      </c>
      <c r="GR842" s="1138" t="s">
        <v>1349</v>
      </c>
      <c r="GS842" s="1138" t="s">
        <v>1349</v>
      </c>
      <c r="GT842" s="1138" t="s">
        <v>1349</v>
      </c>
      <c r="GU842" s="1138" t="s">
        <v>1349</v>
      </c>
      <c r="GV842" s="1138" t="s">
        <v>1349</v>
      </c>
    </row>
    <row r="843" spans="1:204" x14ac:dyDescent="0.2">
      <c r="A843" s="1136"/>
      <c r="B843" s="1137"/>
      <c r="GG843" s="1138" t="s">
        <v>1349</v>
      </c>
      <c r="GH843" s="1138" t="s">
        <v>1349</v>
      </c>
      <c r="GI843" s="1138" t="s">
        <v>1349</v>
      </c>
      <c r="GJ843" s="1138" t="s">
        <v>1349</v>
      </c>
      <c r="GK843" s="1138" t="s">
        <v>1349</v>
      </c>
      <c r="GL843" s="1138" t="s">
        <v>1349</v>
      </c>
      <c r="GM843" s="1138" t="s">
        <v>1349</v>
      </c>
      <c r="GN843" s="1138" t="s">
        <v>1349</v>
      </c>
      <c r="GO843" s="1138" t="s">
        <v>1349</v>
      </c>
      <c r="GP843" s="1138" t="s">
        <v>1349</v>
      </c>
      <c r="GQ843" s="1138" t="s">
        <v>1349</v>
      </c>
      <c r="GR843" s="1138" t="s">
        <v>1349</v>
      </c>
      <c r="GS843" s="1138" t="s">
        <v>1349</v>
      </c>
      <c r="GT843" s="1138" t="s">
        <v>1349</v>
      </c>
      <c r="GU843" s="1138" t="s">
        <v>1349</v>
      </c>
      <c r="GV843" s="1138" t="s">
        <v>1349</v>
      </c>
    </row>
    <row r="844" spans="1:204" x14ac:dyDescent="0.2">
      <c r="A844" s="1136"/>
      <c r="B844" s="1137"/>
      <c r="GG844" s="1138" t="s">
        <v>1349</v>
      </c>
      <c r="GH844" s="1138" t="s">
        <v>1349</v>
      </c>
      <c r="GI844" s="1138" t="s">
        <v>1349</v>
      </c>
      <c r="GJ844" s="1138" t="s">
        <v>1349</v>
      </c>
      <c r="GK844" s="1138" t="s">
        <v>1349</v>
      </c>
      <c r="GL844" s="1138" t="s">
        <v>1349</v>
      </c>
      <c r="GM844" s="1138" t="s">
        <v>1349</v>
      </c>
      <c r="GN844" s="1138" t="s">
        <v>1349</v>
      </c>
      <c r="GO844" s="1138" t="s">
        <v>1349</v>
      </c>
      <c r="GP844" s="1138" t="s">
        <v>1349</v>
      </c>
      <c r="GQ844" s="1138" t="s">
        <v>1349</v>
      </c>
      <c r="GR844" s="1138" t="s">
        <v>1349</v>
      </c>
      <c r="GS844" s="1138" t="s">
        <v>1349</v>
      </c>
      <c r="GT844" s="1138" t="s">
        <v>1349</v>
      </c>
      <c r="GU844" s="1138" t="s">
        <v>1349</v>
      </c>
      <c r="GV844" s="1138" t="s">
        <v>1349</v>
      </c>
    </row>
    <row r="845" spans="1:204" x14ac:dyDescent="0.2">
      <c r="A845" s="1136"/>
      <c r="B845" s="1137"/>
      <c r="GG845" s="1138" t="s">
        <v>1349</v>
      </c>
      <c r="GH845" s="1138" t="s">
        <v>1349</v>
      </c>
      <c r="GI845" s="1138" t="s">
        <v>1349</v>
      </c>
      <c r="GJ845" s="1138" t="s">
        <v>1349</v>
      </c>
      <c r="GK845" s="1138" t="s">
        <v>1349</v>
      </c>
      <c r="GL845" s="1138" t="s">
        <v>1349</v>
      </c>
      <c r="GM845" s="1138" t="s">
        <v>1349</v>
      </c>
      <c r="GN845" s="1138" t="s">
        <v>1349</v>
      </c>
      <c r="GO845" s="1138" t="s">
        <v>1349</v>
      </c>
      <c r="GP845" s="1138" t="s">
        <v>1349</v>
      </c>
      <c r="GQ845" s="1138" t="s">
        <v>1349</v>
      </c>
      <c r="GR845" s="1138" t="s">
        <v>1349</v>
      </c>
      <c r="GS845" s="1138" t="s">
        <v>1349</v>
      </c>
      <c r="GT845" s="1138" t="s">
        <v>1349</v>
      </c>
      <c r="GU845" s="1138" t="s">
        <v>1349</v>
      </c>
      <c r="GV845" s="1138" t="s">
        <v>1349</v>
      </c>
    </row>
    <row r="846" spans="1:204" x14ac:dyDescent="0.2">
      <c r="A846" s="1136"/>
      <c r="B846" s="1137"/>
      <c r="GG846" s="1138" t="s">
        <v>1349</v>
      </c>
      <c r="GH846" s="1138" t="s">
        <v>1349</v>
      </c>
      <c r="GI846" s="1138" t="s">
        <v>1349</v>
      </c>
      <c r="GJ846" s="1138" t="s">
        <v>1349</v>
      </c>
      <c r="GK846" s="1138" t="s">
        <v>1349</v>
      </c>
      <c r="GL846" s="1138" t="s">
        <v>1349</v>
      </c>
      <c r="GM846" s="1138" t="s">
        <v>1349</v>
      </c>
      <c r="GN846" s="1138" t="s">
        <v>1349</v>
      </c>
      <c r="GO846" s="1138" t="s">
        <v>1349</v>
      </c>
      <c r="GP846" s="1138" t="s">
        <v>1349</v>
      </c>
      <c r="GQ846" s="1138" t="s">
        <v>1349</v>
      </c>
      <c r="GR846" s="1138" t="s">
        <v>1349</v>
      </c>
      <c r="GS846" s="1138" t="s">
        <v>1349</v>
      </c>
      <c r="GT846" s="1138" t="s">
        <v>1349</v>
      </c>
      <c r="GU846" s="1138" t="s">
        <v>1349</v>
      </c>
      <c r="GV846" s="1138" t="s">
        <v>1349</v>
      </c>
    </row>
    <row r="847" spans="1:204" x14ac:dyDescent="0.2">
      <c r="A847" s="1136"/>
      <c r="B847" s="1137"/>
      <c r="GG847" s="1138" t="s">
        <v>1349</v>
      </c>
      <c r="GH847" s="1138" t="s">
        <v>1349</v>
      </c>
      <c r="GI847" s="1138" t="s">
        <v>1349</v>
      </c>
      <c r="GJ847" s="1138" t="s">
        <v>1349</v>
      </c>
      <c r="GK847" s="1138" t="s">
        <v>1349</v>
      </c>
      <c r="GL847" s="1138" t="s">
        <v>1349</v>
      </c>
      <c r="GM847" s="1138" t="s">
        <v>1349</v>
      </c>
      <c r="GN847" s="1138" t="s">
        <v>1349</v>
      </c>
      <c r="GO847" s="1138" t="s">
        <v>1349</v>
      </c>
      <c r="GP847" s="1138" t="s">
        <v>1349</v>
      </c>
      <c r="GQ847" s="1138" t="s">
        <v>1349</v>
      </c>
      <c r="GR847" s="1138" t="s">
        <v>1349</v>
      </c>
      <c r="GS847" s="1138" t="s">
        <v>1349</v>
      </c>
      <c r="GT847" s="1138" t="s">
        <v>1349</v>
      </c>
      <c r="GU847" s="1138" t="s">
        <v>1349</v>
      </c>
      <c r="GV847" s="1138" t="s">
        <v>1349</v>
      </c>
    </row>
    <row r="848" spans="1:204" x14ac:dyDescent="0.2">
      <c r="A848" s="1136"/>
      <c r="B848" s="1137"/>
      <c r="GG848" s="1138" t="s">
        <v>1349</v>
      </c>
      <c r="GH848" s="1138" t="s">
        <v>1349</v>
      </c>
      <c r="GI848" s="1138" t="s">
        <v>1349</v>
      </c>
      <c r="GJ848" s="1138" t="s">
        <v>1349</v>
      </c>
      <c r="GK848" s="1138" t="s">
        <v>1349</v>
      </c>
      <c r="GL848" s="1138" t="s">
        <v>1349</v>
      </c>
      <c r="GM848" s="1138" t="s">
        <v>1349</v>
      </c>
      <c r="GN848" s="1138" t="s">
        <v>1349</v>
      </c>
      <c r="GO848" s="1138" t="s">
        <v>1349</v>
      </c>
      <c r="GP848" s="1138" t="s">
        <v>1349</v>
      </c>
      <c r="GQ848" s="1138" t="s">
        <v>1349</v>
      </c>
      <c r="GR848" s="1138" t="s">
        <v>1349</v>
      </c>
      <c r="GS848" s="1138" t="s">
        <v>1349</v>
      </c>
      <c r="GT848" s="1138" t="s">
        <v>1349</v>
      </c>
      <c r="GU848" s="1138" t="s">
        <v>1349</v>
      </c>
      <c r="GV848" s="1138" t="s">
        <v>1349</v>
      </c>
    </row>
    <row r="849" spans="1:204" x14ac:dyDescent="0.2">
      <c r="A849" s="1136"/>
      <c r="B849" s="1137"/>
      <c r="GG849" s="1138" t="s">
        <v>1349</v>
      </c>
      <c r="GH849" s="1138" t="s">
        <v>1349</v>
      </c>
      <c r="GI849" s="1138" t="s">
        <v>1349</v>
      </c>
      <c r="GJ849" s="1138" t="s">
        <v>1349</v>
      </c>
      <c r="GK849" s="1138" t="s">
        <v>1349</v>
      </c>
      <c r="GL849" s="1138" t="s">
        <v>1349</v>
      </c>
      <c r="GM849" s="1138" t="s">
        <v>1349</v>
      </c>
      <c r="GN849" s="1138" t="s">
        <v>1349</v>
      </c>
      <c r="GO849" s="1138" t="s">
        <v>1349</v>
      </c>
      <c r="GP849" s="1138" t="s">
        <v>1349</v>
      </c>
      <c r="GQ849" s="1138" t="s">
        <v>1349</v>
      </c>
      <c r="GR849" s="1138" t="s">
        <v>1349</v>
      </c>
      <c r="GS849" s="1138" t="s">
        <v>1349</v>
      </c>
      <c r="GT849" s="1138" t="s">
        <v>1349</v>
      </c>
      <c r="GU849" s="1138" t="s">
        <v>1349</v>
      </c>
      <c r="GV849" s="1138" t="s">
        <v>1349</v>
      </c>
    </row>
    <row r="850" spans="1:204" x14ac:dyDescent="0.2">
      <c r="A850" s="1136"/>
      <c r="B850" s="1137"/>
      <c r="GG850" s="1138" t="s">
        <v>1349</v>
      </c>
      <c r="GH850" s="1138" t="s">
        <v>1349</v>
      </c>
      <c r="GI850" s="1138" t="s">
        <v>1349</v>
      </c>
      <c r="GJ850" s="1138" t="s">
        <v>1349</v>
      </c>
      <c r="GK850" s="1138" t="s">
        <v>1349</v>
      </c>
      <c r="GL850" s="1138" t="s">
        <v>1349</v>
      </c>
      <c r="GM850" s="1138" t="s">
        <v>1349</v>
      </c>
      <c r="GN850" s="1138" t="s">
        <v>1349</v>
      </c>
      <c r="GO850" s="1138" t="s">
        <v>1349</v>
      </c>
      <c r="GP850" s="1138" t="s">
        <v>1349</v>
      </c>
      <c r="GQ850" s="1138" t="s">
        <v>1349</v>
      </c>
      <c r="GR850" s="1138" t="s">
        <v>1349</v>
      </c>
      <c r="GS850" s="1138" t="s">
        <v>1349</v>
      </c>
      <c r="GT850" s="1138" t="s">
        <v>1349</v>
      </c>
      <c r="GU850" s="1138" t="s">
        <v>1349</v>
      </c>
      <c r="GV850" s="1138" t="s">
        <v>1349</v>
      </c>
    </row>
    <row r="851" spans="1:204" x14ac:dyDescent="0.2">
      <c r="A851" s="1136"/>
      <c r="B851" s="1137"/>
      <c r="GG851" s="1138" t="s">
        <v>1349</v>
      </c>
      <c r="GH851" s="1138" t="s">
        <v>1349</v>
      </c>
      <c r="GI851" s="1138" t="s">
        <v>1349</v>
      </c>
      <c r="GJ851" s="1138" t="s">
        <v>1349</v>
      </c>
      <c r="GK851" s="1138" t="s">
        <v>1349</v>
      </c>
      <c r="GL851" s="1138" t="s">
        <v>1349</v>
      </c>
      <c r="GM851" s="1138" t="s">
        <v>1349</v>
      </c>
      <c r="GN851" s="1138" t="s">
        <v>1349</v>
      </c>
      <c r="GO851" s="1138" t="s">
        <v>1349</v>
      </c>
      <c r="GP851" s="1138" t="s">
        <v>1349</v>
      </c>
      <c r="GQ851" s="1138" t="s">
        <v>1349</v>
      </c>
      <c r="GR851" s="1138" t="s">
        <v>1349</v>
      </c>
      <c r="GS851" s="1138" t="s">
        <v>1349</v>
      </c>
      <c r="GT851" s="1138" t="s">
        <v>1349</v>
      </c>
      <c r="GU851" s="1138" t="s">
        <v>1349</v>
      </c>
      <c r="GV851" s="1138" t="s">
        <v>1349</v>
      </c>
    </row>
    <row r="852" spans="1:204" x14ac:dyDescent="0.2">
      <c r="A852" s="1136"/>
      <c r="B852" s="1137"/>
      <c r="GG852" s="1138" t="s">
        <v>1349</v>
      </c>
      <c r="GH852" s="1138" t="s">
        <v>1349</v>
      </c>
      <c r="GI852" s="1138" t="s">
        <v>1349</v>
      </c>
      <c r="GJ852" s="1138" t="s">
        <v>1349</v>
      </c>
      <c r="GK852" s="1138" t="s">
        <v>1349</v>
      </c>
      <c r="GL852" s="1138" t="s">
        <v>1349</v>
      </c>
      <c r="GM852" s="1138" t="s">
        <v>1349</v>
      </c>
      <c r="GN852" s="1138" t="s">
        <v>1349</v>
      </c>
      <c r="GO852" s="1138" t="s">
        <v>1349</v>
      </c>
      <c r="GP852" s="1138" t="s">
        <v>1349</v>
      </c>
      <c r="GQ852" s="1138" t="s">
        <v>1349</v>
      </c>
      <c r="GR852" s="1138" t="s">
        <v>1349</v>
      </c>
      <c r="GS852" s="1138" t="s">
        <v>1349</v>
      </c>
      <c r="GT852" s="1138" t="s">
        <v>1349</v>
      </c>
      <c r="GU852" s="1138" t="s">
        <v>1349</v>
      </c>
      <c r="GV852" s="1138" t="s">
        <v>1349</v>
      </c>
    </row>
    <row r="853" spans="1:204" x14ac:dyDescent="0.2">
      <c r="A853" s="1136"/>
      <c r="B853" s="1137"/>
      <c r="GG853" s="1138" t="s">
        <v>1349</v>
      </c>
      <c r="GH853" s="1138" t="s">
        <v>1349</v>
      </c>
      <c r="GI853" s="1138" t="s">
        <v>1349</v>
      </c>
      <c r="GJ853" s="1138" t="s">
        <v>1349</v>
      </c>
      <c r="GK853" s="1138" t="s">
        <v>1349</v>
      </c>
      <c r="GL853" s="1138" t="s">
        <v>1349</v>
      </c>
      <c r="GM853" s="1138" t="s">
        <v>1349</v>
      </c>
      <c r="GN853" s="1138" t="s">
        <v>1349</v>
      </c>
      <c r="GO853" s="1138" t="s">
        <v>1349</v>
      </c>
      <c r="GP853" s="1138" t="s">
        <v>1349</v>
      </c>
      <c r="GQ853" s="1138" t="s">
        <v>1349</v>
      </c>
      <c r="GR853" s="1138" t="s">
        <v>1349</v>
      </c>
      <c r="GS853" s="1138" t="s">
        <v>1349</v>
      </c>
      <c r="GT853" s="1138" t="s">
        <v>1349</v>
      </c>
      <c r="GU853" s="1138" t="s">
        <v>1349</v>
      </c>
      <c r="GV853" s="1138" t="s">
        <v>1349</v>
      </c>
    </row>
    <row r="854" spans="1:204" x14ac:dyDescent="0.2">
      <c r="A854" s="1136"/>
      <c r="B854" s="1137"/>
      <c r="GG854" s="1138" t="s">
        <v>1349</v>
      </c>
      <c r="GH854" s="1138" t="s">
        <v>1349</v>
      </c>
      <c r="GI854" s="1138" t="s">
        <v>1349</v>
      </c>
      <c r="GJ854" s="1138" t="s">
        <v>1349</v>
      </c>
      <c r="GK854" s="1138" t="s">
        <v>1349</v>
      </c>
      <c r="GL854" s="1138" t="s">
        <v>1349</v>
      </c>
      <c r="GM854" s="1138" t="s">
        <v>1349</v>
      </c>
      <c r="GN854" s="1138" t="s">
        <v>1349</v>
      </c>
      <c r="GO854" s="1138" t="s">
        <v>1349</v>
      </c>
      <c r="GP854" s="1138" t="s">
        <v>1349</v>
      </c>
      <c r="GQ854" s="1138" t="s">
        <v>1349</v>
      </c>
      <c r="GR854" s="1138" t="s">
        <v>1349</v>
      </c>
      <c r="GS854" s="1138" t="s">
        <v>1349</v>
      </c>
      <c r="GT854" s="1138" t="s">
        <v>1349</v>
      </c>
      <c r="GU854" s="1138" t="s">
        <v>1349</v>
      </c>
      <c r="GV854" s="1138" t="s">
        <v>1349</v>
      </c>
    </row>
    <row r="855" spans="1:204" x14ac:dyDescent="0.2">
      <c r="A855" s="1136"/>
      <c r="B855" s="1137"/>
      <c r="GG855" s="1138" t="s">
        <v>1349</v>
      </c>
      <c r="GH855" s="1138" t="s">
        <v>1349</v>
      </c>
      <c r="GI855" s="1138" t="s">
        <v>1349</v>
      </c>
      <c r="GJ855" s="1138" t="s">
        <v>1349</v>
      </c>
      <c r="GK855" s="1138" t="s">
        <v>1349</v>
      </c>
      <c r="GL855" s="1138" t="s">
        <v>1349</v>
      </c>
      <c r="GM855" s="1138" t="s">
        <v>1349</v>
      </c>
      <c r="GN855" s="1138" t="s">
        <v>1349</v>
      </c>
      <c r="GO855" s="1138" t="s">
        <v>1349</v>
      </c>
      <c r="GP855" s="1138" t="s">
        <v>1349</v>
      </c>
      <c r="GQ855" s="1138" t="s">
        <v>1349</v>
      </c>
      <c r="GR855" s="1138" t="s">
        <v>1349</v>
      </c>
      <c r="GS855" s="1138" t="s">
        <v>1349</v>
      </c>
      <c r="GT855" s="1138" t="s">
        <v>1349</v>
      </c>
      <c r="GU855" s="1138" t="s">
        <v>1349</v>
      </c>
      <c r="GV855" s="1138" t="s">
        <v>1349</v>
      </c>
    </row>
    <row r="856" spans="1:204" x14ac:dyDescent="0.2">
      <c r="A856" s="1136"/>
      <c r="B856" s="1137"/>
      <c r="GG856" s="1138" t="s">
        <v>1349</v>
      </c>
      <c r="GH856" s="1138" t="s">
        <v>1349</v>
      </c>
      <c r="GI856" s="1138" t="s">
        <v>1349</v>
      </c>
      <c r="GJ856" s="1138" t="s">
        <v>1349</v>
      </c>
      <c r="GK856" s="1138" t="s">
        <v>1349</v>
      </c>
      <c r="GL856" s="1138" t="s">
        <v>1349</v>
      </c>
      <c r="GM856" s="1138" t="s">
        <v>1349</v>
      </c>
      <c r="GN856" s="1138" t="s">
        <v>1349</v>
      </c>
      <c r="GO856" s="1138" t="s">
        <v>1349</v>
      </c>
      <c r="GP856" s="1138" t="s">
        <v>1349</v>
      </c>
      <c r="GQ856" s="1138" t="s">
        <v>1349</v>
      </c>
      <c r="GR856" s="1138" t="s">
        <v>1349</v>
      </c>
      <c r="GS856" s="1138" t="s">
        <v>1349</v>
      </c>
      <c r="GT856" s="1138" t="s">
        <v>1349</v>
      </c>
      <c r="GU856" s="1138" t="s">
        <v>1349</v>
      </c>
      <c r="GV856" s="1138" t="s">
        <v>1349</v>
      </c>
    </row>
    <row r="857" spans="1:204" x14ac:dyDescent="0.2">
      <c r="A857" s="1136"/>
      <c r="B857" s="1137"/>
      <c r="GG857" s="1138" t="s">
        <v>1349</v>
      </c>
      <c r="GH857" s="1138" t="s">
        <v>1349</v>
      </c>
      <c r="GI857" s="1138" t="s">
        <v>1349</v>
      </c>
      <c r="GJ857" s="1138" t="s">
        <v>1349</v>
      </c>
      <c r="GK857" s="1138" t="s">
        <v>1349</v>
      </c>
      <c r="GL857" s="1138" t="s">
        <v>1349</v>
      </c>
      <c r="GM857" s="1138" t="s">
        <v>1349</v>
      </c>
      <c r="GN857" s="1138" t="s">
        <v>1349</v>
      </c>
      <c r="GO857" s="1138" t="s">
        <v>1349</v>
      </c>
      <c r="GP857" s="1138" t="s">
        <v>1349</v>
      </c>
      <c r="GQ857" s="1138" t="s">
        <v>1349</v>
      </c>
      <c r="GR857" s="1138" t="s">
        <v>1349</v>
      </c>
      <c r="GS857" s="1138" t="s">
        <v>1349</v>
      </c>
      <c r="GT857" s="1138" t="s">
        <v>1349</v>
      </c>
      <c r="GU857" s="1138" t="s">
        <v>1349</v>
      </c>
      <c r="GV857" s="1138" t="s">
        <v>1349</v>
      </c>
    </row>
    <row r="858" spans="1:204" x14ac:dyDescent="0.2">
      <c r="A858" s="1136"/>
      <c r="B858" s="1137"/>
      <c r="GG858" s="1138" t="s">
        <v>1349</v>
      </c>
      <c r="GH858" s="1138" t="s">
        <v>1349</v>
      </c>
      <c r="GI858" s="1138" t="s">
        <v>1349</v>
      </c>
      <c r="GJ858" s="1138" t="s">
        <v>1349</v>
      </c>
      <c r="GK858" s="1138" t="s">
        <v>1349</v>
      </c>
      <c r="GL858" s="1138" t="s">
        <v>1349</v>
      </c>
      <c r="GM858" s="1138" t="s">
        <v>1349</v>
      </c>
      <c r="GN858" s="1138" t="s">
        <v>1349</v>
      </c>
      <c r="GO858" s="1138" t="s">
        <v>1349</v>
      </c>
      <c r="GP858" s="1138" t="s">
        <v>1349</v>
      </c>
      <c r="GQ858" s="1138" t="s">
        <v>1349</v>
      </c>
      <c r="GR858" s="1138" t="s">
        <v>1349</v>
      </c>
      <c r="GS858" s="1138" t="s">
        <v>1349</v>
      </c>
      <c r="GT858" s="1138" t="s">
        <v>1349</v>
      </c>
      <c r="GU858" s="1138" t="s">
        <v>1349</v>
      </c>
      <c r="GV858" s="1138" t="s">
        <v>1349</v>
      </c>
    </row>
    <row r="859" spans="1:204" x14ac:dyDescent="0.2">
      <c r="A859" s="1136"/>
      <c r="B859" s="1137"/>
      <c r="GG859" s="1138" t="s">
        <v>1349</v>
      </c>
      <c r="GH859" s="1138" t="s">
        <v>1349</v>
      </c>
      <c r="GI859" s="1138" t="s">
        <v>1349</v>
      </c>
      <c r="GJ859" s="1138" t="s">
        <v>1349</v>
      </c>
      <c r="GK859" s="1138" t="s">
        <v>1349</v>
      </c>
      <c r="GL859" s="1138" t="s">
        <v>1349</v>
      </c>
      <c r="GM859" s="1138" t="s">
        <v>1349</v>
      </c>
      <c r="GN859" s="1138" t="s">
        <v>1349</v>
      </c>
      <c r="GO859" s="1138" t="s">
        <v>1349</v>
      </c>
      <c r="GP859" s="1138" t="s">
        <v>1349</v>
      </c>
      <c r="GQ859" s="1138" t="s">
        <v>1349</v>
      </c>
      <c r="GR859" s="1138" t="s">
        <v>1349</v>
      </c>
      <c r="GS859" s="1138" t="s">
        <v>1349</v>
      </c>
      <c r="GT859" s="1138" t="s">
        <v>1349</v>
      </c>
      <c r="GU859" s="1138" t="s">
        <v>1349</v>
      </c>
      <c r="GV859" s="1138" t="s">
        <v>1349</v>
      </c>
    </row>
    <row r="860" spans="1:204" x14ac:dyDescent="0.2">
      <c r="A860" s="1136"/>
      <c r="B860" s="1137"/>
      <c r="GG860" s="1138" t="s">
        <v>1349</v>
      </c>
      <c r="GH860" s="1138" t="s">
        <v>1349</v>
      </c>
      <c r="GI860" s="1138" t="s">
        <v>1349</v>
      </c>
      <c r="GJ860" s="1138" t="s">
        <v>1349</v>
      </c>
      <c r="GK860" s="1138" t="s">
        <v>1349</v>
      </c>
      <c r="GL860" s="1138" t="s">
        <v>1349</v>
      </c>
      <c r="GM860" s="1138" t="s">
        <v>1349</v>
      </c>
      <c r="GN860" s="1138" t="s">
        <v>1349</v>
      </c>
      <c r="GO860" s="1138" t="s">
        <v>1349</v>
      </c>
      <c r="GP860" s="1138" t="s">
        <v>1349</v>
      </c>
      <c r="GQ860" s="1138" t="s">
        <v>1349</v>
      </c>
      <c r="GR860" s="1138" t="s">
        <v>1349</v>
      </c>
      <c r="GS860" s="1138" t="s">
        <v>1349</v>
      </c>
      <c r="GT860" s="1138" t="s">
        <v>1349</v>
      </c>
      <c r="GU860" s="1138" t="s">
        <v>1349</v>
      </c>
      <c r="GV860" s="1138" t="s">
        <v>1349</v>
      </c>
    </row>
    <row r="861" spans="1:204" x14ac:dyDescent="0.2">
      <c r="A861" s="1136"/>
      <c r="B861" s="1137"/>
      <c r="GG861" s="1138" t="s">
        <v>1349</v>
      </c>
      <c r="GH861" s="1138" t="s">
        <v>1349</v>
      </c>
      <c r="GI861" s="1138" t="s">
        <v>1349</v>
      </c>
      <c r="GJ861" s="1138" t="s">
        <v>1349</v>
      </c>
      <c r="GK861" s="1138" t="s">
        <v>1349</v>
      </c>
      <c r="GL861" s="1138" t="s">
        <v>1349</v>
      </c>
      <c r="GM861" s="1138" t="s">
        <v>1349</v>
      </c>
      <c r="GN861" s="1138" t="s">
        <v>1349</v>
      </c>
      <c r="GO861" s="1138" t="s">
        <v>1349</v>
      </c>
      <c r="GP861" s="1138" t="s">
        <v>1349</v>
      </c>
      <c r="GQ861" s="1138" t="s">
        <v>1349</v>
      </c>
      <c r="GR861" s="1138" t="s">
        <v>1349</v>
      </c>
      <c r="GS861" s="1138" t="s">
        <v>1349</v>
      </c>
      <c r="GT861" s="1138" t="s">
        <v>1349</v>
      </c>
      <c r="GU861" s="1138" t="s">
        <v>1349</v>
      </c>
      <c r="GV861" s="1138" t="s">
        <v>1349</v>
      </c>
    </row>
    <row r="862" spans="1:204" x14ac:dyDescent="0.2">
      <c r="A862" s="1136"/>
      <c r="B862" s="1137"/>
      <c r="GG862" s="1138" t="s">
        <v>1349</v>
      </c>
      <c r="GH862" s="1138" t="s">
        <v>1349</v>
      </c>
      <c r="GI862" s="1138" t="s">
        <v>1349</v>
      </c>
      <c r="GJ862" s="1138" t="s">
        <v>1349</v>
      </c>
      <c r="GK862" s="1138" t="s">
        <v>1349</v>
      </c>
      <c r="GL862" s="1138" t="s">
        <v>1349</v>
      </c>
      <c r="GM862" s="1138" t="s">
        <v>1349</v>
      </c>
      <c r="GN862" s="1138" t="s">
        <v>1349</v>
      </c>
      <c r="GO862" s="1138" t="s">
        <v>1349</v>
      </c>
      <c r="GP862" s="1138" t="s">
        <v>1349</v>
      </c>
      <c r="GQ862" s="1138" t="s">
        <v>1349</v>
      </c>
      <c r="GR862" s="1138" t="s">
        <v>1349</v>
      </c>
      <c r="GS862" s="1138" t="s">
        <v>1349</v>
      </c>
      <c r="GT862" s="1138" t="s">
        <v>1349</v>
      </c>
      <c r="GU862" s="1138" t="s">
        <v>1349</v>
      </c>
      <c r="GV862" s="1138" t="s">
        <v>1349</v>
      </c>
    </row>
    <row r="863" spans="1:204" x14ac:dyDescent="0.2">
      <c r="A863" s="1136"/>
      <c r="B863" s="1137"/>
      <c r="GG863" s="1138" t="s">
        <v>1349</v>
      </c>
      <c r="GH863" s="1138" t="s">
        <v>1349</v>
      </c>
      <c r="GI863" s="1138" t="s">
        <v>1349</v>
      </c>
      <c r="GJ863" s="1138" t="s">
        <v>1349</v>
      </c>
      <c r="GK863" s="1138" t="s">
        <v>1349</v>
      </c>
      <c r="GL863" s="1138" t="s">
        <v>1349</v>
      </c>
      <c r="GM863" s="1138" t="s">
        <v>1349</v>
      </c>
      <c r="GN863" s="1138" t="s">
        <v>1349</v>
      </c>
      <c r="GO863" s="1138" t="s">
        <v>1349</v>
      </c>
      <c r="GP863" s="1138" t="s">
        <v>1349</v>
      </c>
      <c r="GQ863" s="1138" t="s">
        <v>1349</v>
      </c>
      <c r="GR863" s="1138" t="s">
        <v>1349</v>
      </c>
      <c r="GS863" s="1138" t="s">
        <v>1349</v>
      </c>
      <c r="GT863" s="1138" t="s">
        <v>1349</v>
      </c>
      <c r="GU863" s="1138" t="s">
        <v>1349</v>
      </c>
      <c r="GV863" s="1138" t="s">
        <v>1349</v>
      </c>
    </row>
    <row r="864" spans="1:204" x14ac:dyDescent="0.2">
      <c r="A864" s="1136"/>
      <c r="B864" s="1137"/>
      <c r="EM864" s="1142"/>
      <c r="GG864" s="1138" t="s">
        <v>1349</v>
      </c>
      <c r="GH864" s="1138" t="s">
        <v>1349</v>
      </c>
      <c r="GI864" s="1138" t="s">
        <v>1349</v>
      </c>
      <c r="GJ864" s="1138" t="s">
        <v>1349</v>
      </c>
      <c r="GK864" s="1138" t="s">
        <v>1349</v>
      </c>
      <c r="GL864" s="1138" t="s">
        <v>1349</v>
      </c>
      <c r="GM864" s="1138" t="s">
        <v>1349</v>
      </c>
      <c r="GN864" s="1138" t="s">
        <v>1349</v>
      </c>
      <c r="GO864" s="1138" t="s">
        <v>1349</v>
      </c>
      <c r="GP864" s="1138" t="s">
        <v>1349</v>
      </c>
      <c r="GQ864" s="1138" t="s">
        <v>1349</v>
      </c>
      <c r="GR864" s="1138" t="s">
        <v>1349</v>
      </c>
      <c r="GS864" s="1138" t="s">
        <v>1349</v>
      </c>
      <c r="GT864" s="1138" t="s">
        <v>1349</v>
      </c>
      <c r="GU864" s="1138" t="s">
        <v>1349</v>
      </c>
      <c r="GV864" s="1138" t="s">
        <v>1349</v>
      </c>
    </row>
    <row r="865" spans="1:204" x14ac:dyDescent="0.2">
      <c r="A865" s="1136"/>
      <c r="B865" s="1137"/>
      <c r="EM865" s="1142"/>
      <c r="GG865" s="1138" t="s">
        <v>1349</v>
      </c>
      <c r="GH865" s="1138" t="s">
        <v>1349</v>
      </c>
      <c r="GI865" s="1138" t="s">
        <v>1349</v>
      </c>
      <c r="GJ865" s="1138" t="s">
        <v>1349</v>
      </c>
      <c r="GK865" s="1138" t="s">
        <v>1349</v>
      </c>
      <c r="GL865" s="1138" t="s">
        <v>1349</v>
      </c>
      <c r="GM865" s="1138" t="s">
        <v>1349</v>
      </c>
      <c r="GN865" s="1138" t="s">
        <v>1349</v>
      </c>
      <c r="GO865" s="1138" t="s">
        <v>1349</v>
      </c>
      <c r="GP865" s="1138" t="s">
        <v>1349</v>
      </c>
      <c r="GQ865" s="1138" t="s">
        <v>1349</v>
      </c>
      <c r="GR865" s="1138" t="s">
        <v>1349</v>
      </c>
      <c r="GS865" s="1138" t="s">
        <v>1349</v>
      </c>
      <c r="GT865" s="1138" t="s">
        <v>1349</v>
      </c>
      <c r="GU865" s="1138" t="s">
        <v>1349</v>
      </c>
      <c r="GV865" s="1138" t="s">
        <v>1349</v>
      </c>
    </row>
    <row r="866" spans="1:204" x14ac:dyDescent="0.2">
      <c r="A866" s="1136"/>
      <c r="B866" s="1137"/>
      <c r="EM866" s="1142"/>
      <c r="GG866" s="1138" t="s">
        <v>1349</v>
      </c>
      <c r="GH866" s="1138" t="s">
        <v>1349</v>
      </c>
      <c r="GI866" s="1138" t="s">
        <v>1349</v>
      </c>
      <c r="GJ866" s="1138" t="s">
        <v>1349</v>
      </c>
      <c r="GK866" s="1138" t="s">
        <v>1349</v>
      </c>
      <c r="GL866" s="1138" t="s">
        <v>1349</v>
      </c>
      <c r="GM866" s="1138" t="s">
        <v>1349</v>
      </c>
      <c r="GN866" s="1138" t="s">
        <v>1349</v>
      </c>
      <c r="GO866" s="1138" t="s">
        <v>1349</v>
      </c>
      <c r="GP866" s="1138" t="s">
        <v>1349</v>
      </c>
      <c r="GQ866" s="1138" t="s">
        <v>1349</v>
      </c>
      <c r="GR866" s="1138" t="s">
        <v>1349</v>
      </c>
      <c r="GS866" s="1138" t="s">
        <v>1349</v>
      </c>
      <c r="GT866" s="1138" t="s">
        <v>1349</v>
      </c>
      <c r="GU866" s="1138" t="s">
        <v>1349</v>
      </c>
      <c r="GV866" s="1138" t="s">
        <v>1349</v>
      </c>
    </row>
    <row r="867" spans="1:204" x14ac:dyDescent="0.2">
      <c r="A867" s="1136"/>
      <c r="B867" s="1137"/>
      <c r="EM867" s="1142"/>
      <c r="GG867" s="1138" t="s">
        <v>1349</v>
      </c>
      <c r="GH867" s="1138" t="s">
        <v>1349</v>
      </c>
      <c r="GI867" s="1138" t="s">
        <v>1349</v>
      </c>
      <c r="GJ867" s="1138" t="s">
        <v>1349</v>
      </c>
      <c r="GK867" s="1138" t="s">
        <v>1349</v>
      </c>
      <c r="GL867" s="1138" t="s">
        <v>1349</v>
      </c>
      <c r="GM867" s="1138" t="s">
        <v>1349</v>
      </c>
      <c r="GN867" s="1138" t="s">
        <v>1349</v>
      </c>
      <c r="GO867" s="1138" t="s">
        <v>1349</v>
      </c>
      <c r="GP867" s="1138" t="s">
        <v>1349</v>
      </c>
      <c r="GQ867" s="1138" t="s">
        <v>1349</v>
      </c>
      <c r="GR867" s="1138" t="s">
        <v>1349</v>
      </c>
      <c r="GS867" s="1138" t="s">
        <v>1349</v>
      </c>
      <c r="GT867" s="1138" t="s">
        <v>1349</v>
      </c>
      <c r="GU867" s="1138" t="s">
        <v>1349</v>
      </c>
      <c r="GV867" s="1138" t="s">
        <v>1349</v>
      </c>
    </row>
    <row r="868" spans="1:204" x14ac:dyDescent="0.2">
      <c r="A868" s="1136"/>
      <c r="B868" s="1137"/>
      <c r="EM868" s="1142"/>
      <c r="GG868" s="1138" t="s">
        <v>1349</v>
      </c>
      <c r="GH868" s="1138" t="s">
        <v>1349</v>
      </c>
      <c r="GI868" s="1138" t="s">
        <v>1349</v>
      </c>
      <c r="GJ868" s="1138" t="s">
        <v>1349</v>
      </c>
      <c r="GK868" s="1138" t="s">
        <v>1349</v>
      </c>
      <c r="GL868" s="1138" t="s">
        <v>1349</v>
      </c>
      <c r="GM868" s="1138" t="s">
        <v>1349</v>
      </c>
      <c r="GN868" s="1138" t="s">
        <v>1349</v>
      </c>
      <c r="GO868" s="1138" t="s">
        <v>1349</v>
      </c>
      <c r="GP868" s="1138" t="s">
        <v>1349</v>
      </c>
      <c r="GQ868" s="1138" t="s">
        <v>1349</v>
      </c>
      <c r="GR868" s="1138" t="s">
        <v>1349</v>
      </c>
      <c r="GS868" s="1138" t="s">
        <v>1349</v>
      </c>
      <c r="GT868" s="1138" t="s">
        <v>1349</v>
      </c>
      <c r="GU868" s="1138" t="s">
        <v>1349</v>
      </c>
      <c r="GV868" s="1138" t="s">
        <v>1349</v>
      </c>
    </row>
    <row r="869" spans="1:204" x14ac:dyDescent="0.2">
      <c r="A869" s="1136"/>
      <c r="B869" s="1137"/>
      <c r="EM869" s="1142"/>
      <c r="GG869" s="1138" t="s">
        <v>1349</v>
      </c>
      <c r="GH869" s="1138" t="s">
        <v>1349</v>
      </c>
      <c r="GI869" s="1138" t="s">
        <v>1349</v>
      </c>
      <c r="GJ869" s="1138" t="s">
        <v>1349</v>
      </c>
      <c r="GK869" s="1138" t="s">
        <v>1349</v>
      </c>
      <c r="GL869" s="1138" t="s">
        <v>1349</v>
      </c>
      <c r="GM869" s="1138" t="s">
        <v>1349</v>
      </c>
      <c r="GN869" s="1138" t="s">
        <v>1349</v>
      </c>
      <c r="GO869" s="1138" t="s">
        <v>1349</v>
      </c>
      <c r="GP869" s="1138" t="s">
        <v>1349</v>
      </c>
      <c r="GQ869" s="1138" t="s">
        <v>1349</v>
      </c>
      <c r="GR869" s="1138" t="s">
        <v>1349</v>
      </c>
      <c r="GS869" s="1138" t="s">
        <v>1349</v>
      </c>
      <c r="GT869" s="1138" t="s">
        <v>1349</v>
      </c>
      <c r="GU869" s="1138" t="s">
        <v>1349</v>
      </c>
      <c r="GV869" s="1138" t="s">
        <v>1349</v>
      </c>
    </row>
    <row r="870" spans="1:204" x14ac:dyDescent="0.2">
      <c r="A870" s="1136"/>
      <c r="B870" s="1137"/>
      <c r="GG870" s="1138" t="s">
        <v>1349</v>
      </c>
      <c r="GH870" s="1138" t="s">
        <v>1349</v>
      </c>
      <c r="GI870" s="1138" t="s">
        <v>1349</v>
      </c>
      <c r="GJ870" s="1138" t="s">
        <v>1349</v>
      </c>
      <c r="GK870" s="1138" t="s">
        <v>1349</v>
      </c>
      <c r="GL870" s="1138" t="s">
        <v>1349</v>
      </c>
      <c r="GM870" s="1138" t="s">
        <v>1349</v>
      </c>
      <c r="GN870" s="1138" t="s">
        <v>1349</v>
      </c>
      <c r="GO870" s="1138" t="s">
        <v>1349</v>
      </c>
      <c r="GP870" s="1138" t="s">
        <v>1349</v>
      </c>
      <c r="GQ870" s="1138" t="s">
        <v>1349</v>
      </c>
      <c r="GR870" s="1138" t="s">
        <v>1349</v>
      </c>
      <c r="GS870" s="1138" t="s">
        <v>1349</v>
      </c>
      <c r="GT870" s="1138" t="s">
        <v>1349</v>
      </c>
      <c r="GU870" s="1138" t="s">
        <v>1349</v>
      </c>
      <c r="GV870" s="1138" t="s">
        <v>1349</v>
      </c>
    </row>
    <row r="871" spans="1:204" x14ac:dyDescent="0.2">
      <c r="A871" s="1136"/>
      <c r="B871" s="1137"/>
      <c r="GG871" s="1138" t="s">
        <v>1349</v>
      </c>
      <c r="GH871" s="1138" t="s">
        <v>1349</v>
      </c>
      <c r="GI871" s="1138" t="s">
        <v>1349</v>
      </c>
      <c r="GJ871" s="1138" t="s">
        <v>1349</v>
      </c>
      <c r="GK871" s="1138" t="s">
        <v>1349</v>
      </c>
      <c r="GL871" s="1138" t="s">
        <v>1349</v>
      </c>
      <c r="GM871" s="1138" t="s">
        <v>1349</v>
      </c>
      <c r="GN871" s="1138" t="s">
        <v>1349</v>
      </c>
      <c r="GO871" s="1138" t="s">
        <v>1349</v>
      </c>
      <c r="GP871" s="1138" t="s">
        <v>1349</v>
      </c>
      <c r="GQ871" s="1138" t="s">
        <v>1349</v>
      </c>
      <c r="GR871" s="1138" t="s">
        <v>1349</v>
      </c>
      <c r="GS871" s="1138" t="s">
        <v>1349</v>
      </c>
      <c r="GT871" s="1138" t="s">
        <v>1349</v>
      </c>
      <c r="GU871" s="1138" t="s">
        <v>1349</v>
      </c>
      <c r="GV871" s="1138" t="s">
        <v>1349</v>
      </c>
    </row>
    <row r="872" spans="1:204" x14ac:dyDescent="0.2">
      <c r="A872" s="1136"/>
      <c r="B872" s="1137"/>
      <c r="GG872" s="1138" t="s">
        <v>1349</v>
      </c>
      <c r="GH872" s="1138" t="s">
        <v>1349</v>
      </c>
      <c r="GI872" s="1138" t="s">
        <v>1349</v>
      </c>
      <c r="GJ872" s="1138" t="s">
        <v>1349</v>
      </c>
      <c r="GK872" s="1138" t="s">
        <v>1349</v>
      </c>
      <c r="GL872" s="1138" t="s">
        <v>1349</v>
      </c>
      <c r="GM872" s="1138" t="s">
        <v>1349</v>
      </c>
      <c r="GN872" s="1138" t="s">
        <v>1349</v>
      </c>
      <c r="GO872" s="1138" t="s">
        <v>1349</v>
      </c>
      <c r="GP872" s="1138" t="s">
        <v>1349</v>
      </c>
      <c r="GQ872" s="1138" t="s">
        <v>1349</v>
      </c>
      <c r="GR872" s="1138" t="s">
        <v>1349</v>
      </c>
      <c r="GS872" s="1138" t="s">
        <v>1349</v>
      </c>
      <c r="GT872" s="1138" t="s">
        <v>1349</v>
      </c>
      <c r="GU872" s="1138" t="s">
        <v>1349</v>
      </c>
      <c r="GV872" s="1138" t="s">
        <v>1349</v>
      </c>
    </row>
    <row r="873" spans="1:204" x14ac:dyDescent="0.2">
      <c r="A873" s="1136"/>
      <c r="B873" s="1137"/>
      <c r="GG873" s="1138" t="s">
        <v>1349</v>
      </c>
      <c r="GH873" s="1138" t="s">
        <v>1349</v>
      </c>
      <c r="GI873" s="1138" t="s">
        <v>1349</v>
      </c>
      <c r="GJ873" s="1138" t="s">
        <v>1349</v>
      </c>
      <c r="GK873" s="1138" t="s">
        <v>1349</v>
      </c>
      <c r="GL873" s="1138" t="s">
        <v>1349</v>
      </c>
      <c r="GM873" s="1138" t="s">
        <v>1349</v>
      </c>
      <c r="GN873" s="1138" t="s">
        <v>1349</v>
      </c>
      <c r="GO873" s="1138" t="s">
        <v>1349</v>
      </c>
      <c r="GP873" s="1138" t="s">
        <v>1349</v>
      </c>
      <c r="GQ873" s="1138" t="s">
        <v>1349</v>
      </c>
      <c r="GR873" s="1138" t="s">
        <v>1349</v>
      </c>
      <c r="GS873" s="1138" t="s">
        <v>1349</v>
      </c>
      <c r="GT873" s="1138" t="s">
        <v>1349</v>
      </c>
      <c r="GU873" s="1138" t="s">
        <v>1349</v>
      </c>
      <c r="GV873" s="1138" t="s">
        <v>1349</v>
      </c>
    </row>
    <row r="874" spans="1:204" x14ac:dyDescent="0.2">
      <c r="A874" s="1136"/>
      <c r="B874" s="1137"/>
      <c r="GG874" s="1138" t="s">
        <v>1349</v>
      </c>
      <c r="GH874" s="1138" t="s">
        <v>1349</v>
      </c>
      <c r="GI874" s="1138" t="s">
        <v>1349</v>
      </c>
      <c r="GJ874" s="1138" t="s">
        <v>1349</v>
      </c>
      <c r="GK874" s="1138" t="s">
        <v>1349</v>
      </c>
      <c r="GL874" s="1138" t="s">
        <v>1349</v>
      </c>
      <c r="GM874" s="1138" t="s">
        <v>1349</v>
      </c>
      <c r="GN874" s="1138" t="s">
        <v>1349</v>
      </c>
      <c r="GO874" s="1138" t="s">
        <v>1349</v>
      </c>
      <c r="GP874" s="1138" t="s">
        <v>1349</v>
      </c>
      <c r="GQ874" s="1138" t="s">
        <v>1349</v>
      </c>
      <c r="GR874" s="1138" t="s">
        <v>1349</v>
      </c>
      <c r="GS874" s="1138" t="s">
        <v>1349</v>
      </c>
      <c r="GT874" s="1138" t="s">
        <v>1349</v>
      </c>
      <c r="GU874" s="1138" t="s">
        <v>1349</v>
      </c>
      <c r="GV874" s="1138" t="s">
        <v>1349</v>
      </c>
    </row>
    <row r="875" spans="1:204" x14ac:dyDescent="0.2">
      <c r="A875" s="1136"/>
      <c r="B875" s="1137"/>
      <c r="GG875" s="1138" t="s">
        <v>1349</v>
      </c>
      <c r="GH875" s="1138" t="s">
        <v>1349</v>
      </c>
      <c r="GI875" s="1138" t="s">
        <v>1349</v>
      </c>
      <c r="GJ875" s="1138" t="s">
        <v>1349</v>
      </c>
      <c r="GK875" s="1138" t="s">
        <v>1349</v>
      </c>
      <c r="GL875" s="1138" t="s">
        <v>1349</v>
      </c>
      <c r="GM875" s="1138" t="s">
        <v>1349</v>
      </c>
      <c r="GN875" s="1138" t="s">
        <v>1349</v>
      </c>
      <c r="GO875" s="1138" t="s">
        <v>1349</v>
      </c>
      <c r="GP875" s="1138" t="s">
        <v>1349</v>
      </c>
      <c r="GQ875" s="1138" t="s">
        <v>1349</v>
      </c>
      <c r="GR875" s="1138" t="s">
        <v>1349</v>
      </c>
      <c r="GS875" s="1138" t="s">
        <v>1349</v>
      </c>
      <c r="GT875" s="1138" t="s">
        <v>1349</v>
      </c>
      <c r="GU875" s="1138" t="s">
        <v>1349</v>
      </c>
      <c r="GV875" s="1138" t="s">
        <v>1349</v>
      </c>
    </row>
    <row r="876" spans="1:204" x14ac:dyDescent="0.2">
      <c r="A876" s="1136"/>
      <c r="B876" s="1137"/>
      <c r="GG876" s="1138" t="s">
        <v>1349</v>
      </c>
      <c r="GH876" s="1138" t="s">
        <v>1349</v>
      </c>
      <c r="GI876" s="1138" t="s">
        <v>1349</v>
      </c>
      <c r="GJ876" s="1138" t="s">
        <v>1349</v>
      </c>
      <c r="GK876" s="1138" t="s">
        <v>1349</v>
      </c>
      <c r="GL876" s="1138" t="s">
        <v>1349</v>
      </c>
      <c r="GM876" s="1138" t="s">
        <v>1349</v>
      </c>
      <c r="GN876" s="1138" t="s">
        <v>1349</v>
      </c>
      <c r="GO876" s="1138" t="s">
        <v>1349</v>
      </c>
      <c r="GP876" s="1138" t="s">
        <v>1349</v>
      </c>
      <c r="GQ876" s="1138" t="s">
        <v>1349</v>
      </c>
      <c r="GR876" s="1138" t="s">
        <v>1349</v>
      </c>
      <c r="GS876" s="1138" t="s">
        <v>1349</v>
      </c>
      <c r="GT876" s="1138" t="s">
        <v>1349</v>
      </c>
      <c r="GU876" s="1138" t="s">
        <v>1349</v>
      </c>
      <c r="GV876" s="1138" t="s">
        <v>1349</v>
      </c>
    </row>
    <row r="877" spans="1:204" x14ac:dyDescent="0.2">
      <c r="A877" s="1136"/>
      <c r="B877" s="1137"/>
      <c r="EM877" s="1230"/>
      <c r="FA877" s="1183"/>
      <c r="GG877" s="1138" t="s">
        <v>1349</v>
      </c>
      <c r="GH877" s="1138" t="s">
        <v>1349</v>
      </c>
      <c r="GI877" s="1138" t="s">
        <v>1349</v>
      </c>
      <c r="GJ877" s="1138" t="s">
        <v>1349</v>
      </c>
      <c r="GK877" s="1138" t="s">
        <v>1349</v>
      </c>
      <c r="GL877" s="1138" t="s">
        <v>1349</v>
      </c>
      <c r="GM877" s="1138" t="s">
        <v>1349</v>
      </c>
      <c r="GN877" s="1138" t="s">
        <v>1349</v>
      </c>
      <c r="GO877" s="1138" t="s">
        <v>1349</v>
      </c>
      <c r="GP877" s="1138" t="s">
        <v>1349</v>
      </c>
      <c r="GQ877" s="1138" t="s">
        <v>1349</v>
      </c>
      <c r="GR877" s="1138" t="s">
        <v>1349</v>
      </c>
      <c r="GS877" s="1138" t="s">
        <v>1349</v>
      </c>
      <c r="GT877" s="1138" t="s">
        <v>1349</v>
      </c>
      <c r="GU877" s="1138" t="s">
        <v>1349</v>
      </c>
      <c r="GV877" s="1138" t="s">
        <v>1349</v>
      </c>
    </row>
    <row r="878" spans="1:204" x14ac:dyDescent="0.2">
      <c r="A878" s="1136"/>
      <c r="B878" s="1137"/>
      <c r="EM878" s="1230"/>
      <c r="FA878" s="1183"/>
      <c r="GG878" s="1138" t="s">
        <v>1349</v>
      </c>
      <c r="GH878" s="1138" t="s">
        <v>1349</v>
      </c>
      <c r="GI878" s="1138" t="s">
        <v>1349</v>
      </c>
      <c r="GJ878" s="1138" t="s">
        <v>1349</v>
      </c>
      <c r="GK878" s="1138" t="s">
        <v>1349</v>
      </c>
      <c r="GL878" s="1138" t="s">
        <v>1349</v>
      </c>
      <c r="GM878" s="1138" t="s">
        <v>1349</v>
      </c>
      <c r="GN878" s="1138" t="s">
        <v>1349</v>
      </c>
      <c r="GO878" s="1138" t="s">
        <v>1349</v>
      </c>
      <c r="GP878" s="1138" t="s">
        <v>1349</v>
      </c>
      <c r="GQ878" s="1138" t="s">
        <v>1349</v>
      </c>
      <c r="GR878" s="1138" t="s">
        <v>1349</v>
      </c>
      <c r="GS878" s="1138" t="s">
        <v>1349</v>
      </c>
      <c r="GT878" s="1138" t="s">
        <v>1349</v>
      </c>
      <c r="GU878" s="1138" t="s">
        <v>1349</v>
      </c>
      <c r="GV878" s="1138" t="s">
        <v>1349</v>
      </c>
    </row>
    <row r="879" spans="1:204" x14ac:dyDescent="0.2">
      <c r="A879" s="1136"/>
      <c r="B879" s="1137"/>
      <c r="EM879" s="1230"/>
      <c r="FA879" s="1183"/>
      <c r="GG879" s="1138" t="s">
        <v>1349</v>
      </c>
      <c r="GH879" s="1138" t="s">
        <v>1349</v>
      </c>
      <c r="GI879" s="1138" t="s">
        <v>1349</v>
      </c>
      <c r="GJ879" s="1138" t="s">
        <v>1349</v>
      </c>
      <c r="GK879" s="1138" t="s">
        <v>1349</v>
      </c>
      <c r="GL879" s="1138" t="s">
        <v>1349</v>
      </c>
      <c r="GM879" s="1138" t="s">
        <v>1349</v>
      </c>
      <c r="GN879" s="1138" t="s">
        <v>1349</v>
      </c>
      <c r="GO879" s="1138" t="s">
        <v>1349</v>
      </c>
      <c r="GP879" s="1138" t="s">
        <v>1349</v>
      </c>
      <c r="GQ879" s="1138" t="s">
        <v>1349</v>
      </c>
      <c r="GR879" s="1138" t="s">
        <v>1349</v>
      </c>
      <c r="GS879" s="1138" t="s">
        <v>1349</v>
      </c>
      <c r="GT879" s="1138" t="s">
        <v>1349</v>
      </c>
      <c r="GU879" s="1138" t="s">
        <v>1349</v>
      </c>
      <c r="GV879" s="1138" t="s">
        <v>1349</v>
      </c>
    </row>
    <row r="880" spans="1:204" x14ac:dyDescent="0.2">
      <c r="A880" s="1136"/>
      <c r="B880" s="1137"/>
      <c r="EM880" s="1230"/>
      <c r="FA880" s="1183"/>
      <c r="GG880" s="1138" t="s">
        <v>1349</v>
      </c>
      <c r="GH880" s="1138" t="s">
        <v>1349</v>
      </c>
      <c r="GI880" s="1138" t="s">
        <v>1349</v>
      </c>
      <c r="GJ880" s="1138" t="s">
        <v>1349</v>
      </c>
      <c r="GK880" s="1138" t="s">
        <v>1349</v>
      </c>
      <c r="GL880" s="1138" t="s">
        <v>1349</v>
      </c>
      <c r="GM880" s="1138" t="s">
        <v>1349</v>
      </c>
      <c r="GN880" s="1138" t="s">
        <v>1349</v>
      </c>
      <c r="GO880" s="1138" t="s">
        <v>1349</v>
      </c>
      <c r="GP880" s="1138" t="s">
        <v>1349</v>
      </c>
      <c r="GQ880" s="1138" t="s">
        <v>1349</v>
      </c>
      <c r="GR880" s="1138" t="s">
        <v>1349</v>
      </c>
      <c r="GS880" s="1138" t="s">
        <v>1349</v>
      </c>
      <c r="GT880" s="1138" t="s">
        <v>1349</v>
      </c>
      <c r="GU880" s="1138" t="s">
        <v>1349</v>
      </c>
      <c r="GV880" s="1138" t="s">
        <v>1349</v>
      </c>
    </row>
    <row r="881" spans="1:204" x14ac:dyDescent="0.2">
      <c r="A881" s="1136"/>
      <c r="B881" s="1137"/>
      <c r="EM881" s="1230"/>
      <c r="FA881" s="1183"/>
      <c r="GG881" s="1138" t="s">
        <v>1349</v>
      </c>
      <c r="GH881" s="1138" t="s">
        <v>1349</v>
      </c>
      <c r="GI881" s="1138" t="s">
        <v>1349</v>
      </c>
      <c r="GJ881" s="1138" t="s">
        <v>1349</v>
      </c>
      <c r="GK881" s="1138" t="s">
        <v>1349</v>
      </c>
      <c r="GL881" s="1138" t="s">
        <v>1349</v>
      </c>
      <c r="GM881" s="1138" t="s">
        <v>1349</v>
      </c>
      <c r="GN881" s="1138" t="s">
        <v>1349</v>
      </c>
      <c r="GO881" s="1138" t="s">
        <v>1349</v>
      </c>
      <c r="GP881" s="1138" t="s">
        <v>1349</v>
      </c>
      <c r="GQ881" s="1138" t="s">
        <v>1349</v>
      </c>
      <c r="GR881" s="1138" t="s">
        <v>1349</v>
      </c>
      <c r="GS881" s="1138" t="s">
        <v>1349</v>
      </c>
      <c r="GT881" s="1138" t="s">
        <v>1349</v>
      </c>
      <c r="GU881" s="1138" t="s">
        <v>1349</v>
      </c>
      <c r="GV881" s="1138" t="s">
        <v>1349</v>
      </c>
    </row>
    <row r="882" spans="1:204" x14ac:dyDescent="0.2">
      <c r="A882" s="1136"/>
      <c r="B882" s="1137"/>
      <c r="EM882" s="1230"/>
      <c r="FA882" s="1183"/>
      <c r="GG882" s="1138" t="s">
        <v>1349</v>
      </c>
      <c r="GH882" s="1138" t="s">
        <v>1349</v>
      </c>
      <c r="GI882" s="1138" t="s">
        <v>1349</v>
      </c>
      <c r="GJ882" s="1138" t="s">
        <v>1349</v>
      </c>
      <c r="GK882" s="1138" t="s">
        <v>1349</v>
      </c>
      <c r="GL882" s="1138" t="s">
        <v>1349</v>
      </c>
      <c r="GM882" s="1138" t="s">
        <v>1349</v>
      </c>
      <c r="GN882" s="1138" t="s">
        <v>1349</v>
      </c>
      <c r="GO882" s="1138" t="s">
        <v>1349</v>
      </c>
      <c r="GP882" s="1138" t="s">
        <v>1349</v>
      </c>
      <c r="GQ882" s="1138" t="s">
        <v>1349</v>
      </c>
      <c r="GR882" s="1138" t="s">
        <v>1349</v>
      </c>
      <c r="GS882" s="1138" t="s">
        <v>1349</v>
      </c>
      <c r="GT882" s="1138" t="s">
        <v>1349</v>
      </c>
      <c r="GU882" s="1138" t="s">
        <v>1349</v>
      </c>
      <c r="GV882" s="1138" t="s">
        <v>1349</v>
      </c>
    </row>
    <row r="883" spans="1:204" x14ac:dyDescent="0.2">
      <c r="A883" s="1136"/>
      <c r="B883" s="1137"/>
      <c r="GG883" s="1138" t="s">
        <v>1349</v>
      </c>
      <c r="GH883" s="1138" t="s">
        <v>1349</v>
      </c>
      <c r="GI883" s="1138" t="s">
        <v>1349</v>
      </c>
      <c r="GJ883" s="1138" t="s">
        <v>1349</v>
      </c>
      <c r="GK883" s="1138" t="s">
        <v>1349</v>
      </c>
      <c r="GL883" s="1138" t="s">
        <v>1349</v>
      </c>
      <c r="GM883" s="1138" t="s">
        <v>1349</v>
      </c>
      <c r="GN883" s="1138" t="s">
        <v>1349</v>
      </c>
      <c r="GO883" s="1138" t="s">
        <v>1349</v>
      </c>
      <c r="GP883" s="1138" t="s">
        <v>1349</v>
      </c>
      <c r="GQ883" s="1138" t="s">
        <v>1349</v>
      </c>
      <c r="GR883" s="1138" t="s">
        <v>1349</v>
      </c>
      <c r="GS883" s="1138" t="s">
        <v>1349</v>
      </c>
      <c r="GT883" s="1138" t="s">
        <v>1349</v>
      </c>
      <c r="GU883" s="1138" t="s">
        <v>1349</v>
      </c>
      <c r="GV883" s="1138" t="s">
        <v>1349</v>
      </c>
    </row>
    <row r="884" spans="1:204" x14ac:dyDescent="0.2">
      <c r="A884" s="1136"/>
      <c r="B884" s="1137"/>
      <c r="GG884" s="1138" t="s">
        <v>1349</v>
      </c>
      <c r="GH884" s="1138" t="s">
        <v>1349</v>
      </c>
      <c r="GI884" s="1138" t="s">
        <v>1349</v>
      </c>
      <c r="GJ884" s="1138" t="s">
        <v>1349</v>
      </c>
      <c r="GK884" s="1138" t="s">
        <v>1349</v>
      </c>
      <c r="GL884" s="1138" t="s">
        <v>1349</v>
      </c>
      <c r="GM884" s="1138" t="s">
        <v>1349</v>
      </c>
      <c r="GN884" s="1138" t="s">
        <v>1349</v>
      </c>
      <c r="GO884" s="1138" t="s">
        <v>1349</v>
      </c>
      <c r="GP884" s="1138" t="s">
        <v>1349</v>
      </c>
      <c r="GQ884" s="1138" t="s">
        <v>1349</v>
      </c>
      <c r="GR884" s="1138" t="s">
        <v>1349</v>
      </c>
      <c r="GS884" s="1138" t="s">
        <v>1349</v>
      </c>
      <c r="GT884" s="1138" t="s">
        <v>1349</v>
      </c>
      <c r="GU884" s="1138" t="s">
        <v>1349</v>
      </c>
      <c r="GV884" s="1138" t="s">
        <v>1349</v>
      </c>
    </row>
    <row r="885" spans="1:204" x14ac:dyDescent="0.2">
      <c r="A885" s="1136"/>
      <c r="B885" s="1137"/>
      <c r="GG885" s="1138" t="s">
        <v>1349</v>
      </c>
      <c r="GH885" s="1138" t="s">
        <v>1349</v>
      </c>
      <c r="GI885" s="1138" t="s">
        <v>1349</v>
      </c>
      <c r="GJ885" s="1138" t="s">
        <v>1349</v>
      </c>
      <c r="GK885" s="1138" t="s">
        <v>1349</v>
      </c>
      <c r="GL885" s="1138" t="s">
        <v>1349</v>
      </c>
      <c r="GM885" s="1138" t="s">
        <v>1349</v>
      </c>
      <c r="GN885" s="1138" t="s">
        <v>1349</v>
      </c>
      <c r="GO885" s="1138" t="s">
        <v>1349</v>
      </c>
      <c r="GP885" s="1138" t="s">
        <v>1349</v>
      </c>
      <c r="GQ885" s="1138" t="s">
        <v>1349</v>
      </c>
      <c r="GR885" s="1138" t="s">
        <v>1349</v>
      </c>
      <c r="GS885" s="1138" t="s">
        <v>1349</v>
      </c>
      <c r="GT885" s="1138" t="s">
        <v>1349</v>
      </c>
      <c r="GU885" s="1138" t="s">
        <v>1349</v>
      </c>
      <c r="GV885" s="1138" t="s">
        <v>1349</v>
      </c>
    </row>
    <row r="886" spans="1:204" x14ac:dyDescent="0.2">
      <c r="A886" s="1136"/>
      <c r="B886" s="1137"/>
      <c r="GG886" s="1138" t="s">
        <v>1349</v>
      </c>
      <c r="GH886" s="1138" t="s">
        <v>1349</v>
      </c>
      <c r="GI886" s="1138" t="s">
        <v>1349</v>
      </c>
      <c r="GJ886" s="1138" t="s">
        <v>1349</v>
      </c>
      <c r="GK886" s="1138" t="s">
        <v>1349</v>
      </c>
      <c r="GL886" s="1138" t="s">
        <v>1349</v>
      </c>
      <c r="GM886" s="1138" t="s">
        <v>1349</v>
      </c>
      <c r="GN886" s="1138" t="s">
        <v>1349</v>
      </c>
      <c r="GO886" s="1138" t="s">
        <v>1349</v>
      </c>
      <c r="GP886" s="1138" t="s">
        <v>1349</v>
      </c>
      <c r="GQ886" s="1138" t="s">
        <v>1349</v>
      </c>
      <c r="GR886" s="1138" t="s">
        <v>1349</v>
      </c>
      <c r="GS886" s="1138" t="s">
        <v>1349</v>
      </c>
      <c r="GT886" s="1138" t="s">
        <v>1349</v>
      </c>
      <c r="GU886" s="1138" t="s">
        <v>1349</v>
      </c>
      <c r="GV886" s="1138" t="s">
        <v>1349</v>
      </c>
    </row>
    <row r="887" spans="1:204" x14ac:dyDescent="0.2">
      <c r="A887" s="1136"/>
      <c r="B887" s="1137"/>
      <c r="GG887" s="1138" t="s">
        <v>1349</v>
      </c>
      <c r="GH887" s="1138" t="s">
        <v>1349</v>
      </c>
      <c r="GI887" s="1138" t="s">
        <v>1349</v>
      </c>
      <c r="GJ887" s="1138" t="s">
        <v>1349</v>
      </c>
      <c r="GK887" s="1138" t="s">
        <v>1349</v>
      </c>
      <c r="GL887" s="1138" t="s">
        <v>1349</v>
      </c>
      <c r="GM887" s="1138" t="s">
        <v>1349</v>
      </c>
      <c r="GN887" s="1138" t="s">
        <v>1349</v>
      </c>
      <c r="GO887" s="1138" t="s">
        <v>1349</v>
      </c>
      <c r="GP887" s="1138" t="s">
        <v>1349</v>
      </c>
      <c r="GQ887" s="1138" t="s">
        <v>1349</v>
      </c>
      <c r="GR887" s="1138" t="s">
        <v>1349</v>
      </c>
      <c r="GS887" s="1138" t="s">
        <v>1349</v>
      </c>
      <c r="GT887" s="1138" t="s">
        <v>1349</v>
      </c>
      <c r="GU887" s="1138" t="s">
        <v>1349</v>
      </c>
      <c r="GV887" s="1138" t="s">
        <v>1349</v>
      </c>
    </row>
    <row r="888" spans="1:204" x14ac:dyDescent="0.2">
      <c r="A888" s="1136"/>
      <c r="B888" s="1137"/>
      <c r="GG888" s="1138" t="s">
        <v>1349</v>
      </c>
      <c r="GH888" s="1138" t="s">
        <v>1349</v>
      </c>
      <c r="GI888" s="1138" t="s">
        <v>1349</v>
      </c>
      <c r="GJ888" s="1138" t="s">
        <v>1349</v>
      </c>
      <c r="GK888" s="1138" t="s">
        <v>1349</v>
      </c>
      <c r="GL888" s="1138" t="s">
        <v>1349</v>
      </c>
      <c r="GM888" s="1138" t="s">
        <v>1349</v>
      </c>
      <c r="GN888" s="1138" t="s">
        <v>1349</v>
      </c>
      <c r="GO888" s="1138" t="s">
        <v>1349</v>
      </c>
      <c r="GP888" s="1138" t="s">
        <v>1349</v>
      </c>
      <c r="GQ888" s="1138" t="s">
        <v>1349</v>
      </c>
      <c r="GR888" s="1138" t="s">
        <v>1349</v>
      </c>
      <c r="GS888" s="1138" t="s">
        <v>1349</v>
      </c>
      <c r="GT888" s="1138" t="s">
        <v>1349</v>
      </c>
      <c r="GU888" s="1138" t="s">
        <v>1349</v>
      </c>
      <c r="GV888" s="1138" t="s">
        <v>1349</v>
      </c>
    </row>
    <row r="889" spans="1:204" x14ac:dyDescent="0.2">
      <c r="A889" s="1136"/>
      <c r="B889" s="1137"/>
      <c r="GG889" s="1138" t="s">
        <v>1349</v>
      </c>
      <c r="GH889" s="1138" t="s">
        <v>1349</v>
      </c>
      <c r="GI889" s="1138" t="s">
        <v>1349</v>
      </c>
      <c r="GJ889" s="1138" t="s">
        <v>1349</v>
      </c>
      <c r="GK889" s="1138" t="s">
        <v>1349</v>
      </c>
      <c r="GL889" s="1138" t="s">
        <v>1349</v>
      </c>
      <c r="GM889" s="1138" t="s">
        <v>1349</v>
      </c>
      <c r="GN889" s="1138" t="s">
        <v>1349</v>
      </c>
      <c r="GO889" s="1138" t="s">
        <v>1349</v>
      </c>
      <c r="GP889" s="1138" t="s">
        <v>1349</v>
      </c>
      <c r="GQ889" s="1138" t="s">
        <v>1349</v>
      </c>
      <c r="GR889" s="1138" t="s">
        <v>1349</v>
      </c>
      <c r="GS889" s="1138" t="s">
        <v>1349</v>
      </c>
      <c r="GT889" s="1138" t="s">
        <v>1349</v>
      </c>
      <c r="GU889" s="1138" t="s">
        <v>1349</v>
      </c>
      <c r="GV889" s="1138" t="s">
        <v>1349</v>
      </c>
    </row>
    <row r="890" spans="1:204" x14ac:dyDescent="0.2">
      <c r="A890" s="1136"/>
      <c r="B890" s="1137"/>
      <c r="ET890" s="1142"/>
      <c r="FA890" s="1259"/>
      <c r="GG890" s="1138" t="s">
        <v>1349</v>
      </c>
      <c r="GH890" s="1138" t="s">
        <v>1349</v>
      </c>
      <c r="GI890" s="1138" t="s">
        <v>1349</v>
      </c>
      <c r="GJ890" s="1138" t="s">
        <v>1349</v>
      </c>
      <c r="GK890" s="1138" t="s">
        <v>1349</v>
      </c>
      <c r="GL890" s="1138" t="s">
        <v>1349</v>
      </c>
      <c r="GM890" s="1138" t="s">
        <v>1349</v>
      </c>
      <c r="GN890" s="1138" t="s">
        <v>1349</v>
      </c>
      <c r="GO890" s="1138" t="s">
        <v>1349</v>
      </c>
      <c r="GP890" s="1138" t="s">
        <v>1349</v>
      </c>
      <c r="GQ890" s="1138" t="s">
        <v>1349</v>
      </c>
      <c r="GR890" s="1138" t="s">
        <v>1349</v>
      </c>
      <c r="GS890" s="1138" t="s">
        <v>1349</v>
      </c>
      <c r="GT890" s="1138" t="s">
        <v>1349</v>
      </c>
      <c r="GU890" s="1138" t="s">
        <v>1349</v>
      </c>
      <c r="GV890" s="1138" t="s">
        <v>1349</v>
      </c>
    </row>
    <row r="891" spans="1:204" x14ac:dyDescent="0.2">
      <c r="A891" s="1136"/>
      <c r="B891" s="1137"/>
      <c r="ET891" s="1142"/>
      <c r="FA891" s="1259"/>
      <c r="GG891" s="1138" t="s">
        <v>1349</v>
      </c>
      <c r="GH891" s="1138" t="s">
        <v>1349</v>
      </c>
      <c r="GI891" s="1138" t="s">
        <v>1349</v>
      </c>
      <c r="GJ891" s="1138" t="s">
        <v>1349</v>
      </c>
      <c r="GK891" s="1138" t="s">
        <v>1349</v>
      </c>
      <c r="GL891" s="1138" t="s">
        <v>1349</v>
      </c>
      <c r="GM891" s="1138" t="s">
        <v>1349</v>
      </c>
      <c r="GN891" s="1138" t="s">
        <v>1349</v>
      </c>
      <c r="GO891" s="1138" t="s">
        <v>1349</v>
      </c>
      <c r="GP891" s="1138" t="s">
        <v>1349</v>
      </c>
      <c r="GQ891" s="1138" t="s">
        <v>1349</v>
      </c>
      <c r="GR891" s="1138" t="s">
        <v>1349</v>
      </c>
      <c r="GS891" s="1138" t="s">
        <v>1349</v>
      </c>
      <c r="GT891" s="1138" t="s">
        <v>1349</v>
      </c>
      <c r="GU891" s="1138" t="s">
        <v>1349</v>
      </c>
      <c r="GV891" s="1138" t="s">
        <v>1349</v>
      </c>
    </row>
    <row r="892" spans="1:204" x14ac:dyDescent="0.2">
      <c r="A892" s="1136"/>
      <c r="B892" s="1137"/>
      <c r="ET892" s="1142"/>
      <c r="FA892" s="1259"/>
      <c r="GG892" s="1138" t="s">
        <v>1349</v>
      </c>
      <c r="GH892" s="1138" t="s">
        <v>1349</v>
      </c>
      <c r="GI892" s="1138" t="s">
        <v>1349</v>
      </c>
      <c r="GJ892" s="1138" t="s">
        <v>1349</v>
      </c>
      <c r="GK892" s="1138" t="s">
        <v>1349</v>
      </c>
      <c r="GL892" s="1138" t="s">
        <v>1349</v>
      </c>
      <c r="GM892" s="1138" t="s">
        <v>1349</v>
      </c>
      <c r="GN892" s="1138" t="s">
        <v>1349</v>
      </c>
      <c r="GO892" s="1138" t="s">
        <v>1349</v>
      </c>
      <c r="GP892" s="1138" t="s">
        <v>1349</v>
      </c>
      <c r="GQ892" s="1138" t="s">
        <v>1349</v>
      </c>
      <c r="GR892" s="1138" t="s">
        <v>1349</v>
      </c>
      <c r="GS892" s="1138" t="s">
        <v>1349</v>
      </c>
      <c r="GT892" s="1138" t="s">
        <v>1349</v>
      </c>
      <c r="GU892" s="1138" t="s">
        <v>1349</v>
      </c>
      <c r="GV892" s="1138" t="s">
        <v>1349</v>
      </c>
    </row>
    <row r="893" spans="1:204" x14ac:dyDescent="0.2">
      <c r="A893" s="1136"/>
      <c r="B893" s="1137"/>
      <c r="ET893" s="1142"/>
      <c r="FA893" s="1259"/>
      <c r="GG893" s="1138" t="s">
        <v>1349</v>
      </c>
      <c r="GH893" s="1138" t="s">
        <v>1349</v>
      </c>
      <c r="GI893" s="1138" t="s">
        <v>1349</v>
      </c>
      <c r="GJ893" s="1138" t="s">
        <v>1349</v>
      </c>
      <c r="GK893" s="1138" t="s">
        <v>1349</v>
      </c>
      <c r="GL893" s="1138" t="s">
        <v>1349</v>
      </c>
      <c r="GM893" s="1138" t="s">
        <v>1349</v>
      </c>
      <c r="GN893" s="1138" t="s">
        <v>1349</v>
      </c>
      <c r="GO893" s="1138" t="s">
        <v>1349</v>
      </c>
      <c r="GP893" s="1138" t="s">
        <v>1349</v>
      </c>
      <c r="GQ893" s="1138" t="s">
        <v>1349</v>
      </c>
      <c r="GR893" s="1138" t="s">
        <v>1349</v>
      </c>
      <c r="GS893" s="1138" t="s">
        <v>1349</v>
      </c>
      <c r="GT893" s="1138" t="s">
        <v>1349</v>
      </c>
      <c r="GU893" s="1138" t="s">
        <v>1349</v>
      </c>
      <c r="GV893" s="1138" t="s">
        <v>1349</v>
      </c>
    </row>
    <row r="894" spans="1:204" x14ac:dyDescent="0.2">
      <c r="A894" s="1136"/>
      <c r="B894" s="1137"/>
      <c r="ET894" s="1142"/>
      <c r="FA894" s="1259"/>
      <c r="GG894" s="1138" t="s">
        <v>1349</v>
      </c>
      <c r="GH894" s="1138" t="s">
        <v>1349</v>
      </c>
      <c r="GI894" s="1138" t="s">
        <v>1349</v>
      </c>
      <c r="GJ894" s="1138" t="s">
        <v>1349</v>
      </c>
      <c r="GK894" s="1138" t="s">
        <v>1349</v>
      </c>
      <c r="GL894" s="1138" t="s">
        <v>1349</v>
      </c>
      <c r="GM894" s="1138" t="s">
        <v>1349</v>
      </c>
      <c r="GN894" s="1138" t="s">
        <v>1349</v>
      </c>
      <c r="GO894" s="1138" t="s">
        <v>1349</v>
      </c>
      <c r="GP894" s="1138" t="s">
        <v>1349</v>
      </c>
      <c r="GQ894" s="1138" t="s">
        <v>1349</v>
      </c>
      <c r="GR894" s="1138" t="s">
        <v>1349</v>
      </c>
      <c r="GS894" s="1138" t="s">
        <v>1349</v>
      </c>
      <c r="GT894" s="1138" t="s">
        <v>1349</v>
      </c>
      <c r="GU894" s="1138" t="s">
        <v>1349</v>
      </c>
      <c r="GV894" s="1138" t="s">
        <v>1349</v>
      </c>
    </row>
    <row r="895" spans="1:204" x14ac:dyDescent="0.2">
      <c r="A895" s="1136"/>
      <c r="B895" s="1137"/>
      <c r="ET895" s="1142"/>
      <c r="FA895" s="1259"/>
      <c r="GG895" s="1138" t="s">
        <v>1349</v>
      </c>
      <c r="GH895" s="1138" t="s">
        <v>1349</v>
      </c>
      <c r="GI895" s="1138" t="s">
        <v>1349</v>
      </c>
      <c r="GJ895" s="1138" t="s">
        <v>1349</v>
      </c>
      <c r="GK895" s="1138" t="s">
        <v>1349</v>
      </c>
      <c r="GL895" s="1138" t="s">
        <v>1349</v>
      </c>
      <c r="GM895" s="1138" t="s">
        <v>1349</v>
      </c>
      <c r="GN895" s="1138" t="s">
        <v>1349</v>
      </c>
      <c r="GO895" s="1138" t="s">
        <v>1349</v>
      </c>
      <c r="GP895" s="1138" t="s">
        <v>1349</v>
      </c>
      <c r="GQ895" s="1138" t="s">
        <v>1349</v>
      </c>
      <c r="GR895" s="1138" t="s">
        <v>1349</v>
      </c>
      <c r="GS895" s="1138" t="s">
        <v>1349</v>
      </c>
      <c r="GT895" s="1138" t="s">
        <v>1349</v>
      </c>
      <c r="GU895" s="1138" t="s">
        <v>1349</v>
      </c>
      <c r="GV895" s="1138" t="s">
        <v>1349</v>
      </c>
    </row>
    <row r="896" spans="1:204" x14ac:dyDescent="0.2">
      <c r="A896" s="1136"/>
      <c r="B896" s="1137"/>
      <c r="GG896" s="1138" t="s">
        <v>1349</v>
      </c>
      <c r="GH896" s="1138" t="s">
        <v>1349</v>
      </c>
      <c r="GI896" s="1138" t="s">
        <v>1349</v>
      </c>
      <c r="GJ896" s="1138" t="s">
        <v>1349</v>
      </c>
      <c r="GK896" s="1138" t="s">
        <v>1349</v>
      </c>
      <c r="GL896" s="1138" t="s">
        <v>1349</v>
      </c>
      <c r="GM896" s="1138" t="s">
        <v>1349</v>
      </c>
      <c r="GN896" s="1138" t="s">
        <v>1349</v>
      </c>
      <c r="GO896" s="1138" t="s">
        <v>1349</v>
      </c>
      <c r="GP896" s="1138" t="s">
        <v>1349</v>
      </c>
      <c r="GQ896" s="1138" t="s">
        <v>1349</v>
      </c>
      <c r="GR896" s="1138" t="s">
        <v>1349</v>
      </c>
      <c r="GS896" s="1138" t="s">
        <v>1349</v>
      </c>
      <c r="GT896" s="1138" t="s">
        <v>1349</v>
      </c>
      <c r="GU896" s="1138" t="s">
        <v>1349</v>
      </c>
      <c r="GV896" s="1138" t="s">
        <v>1349</v>
      </c>
    </row>
    <row r="897" spans="1:204" x14ac:dyDescent="0.2">
      <c r="A897" s="1136"/>
      <c r="B897" s="1137"/>
      <c r="GG897" s="1138" t="s">
        <v>1349</v>
      </c>
      <c r="GH897" s="1138" t="s">
        <v>1349</v>
      </c>
      <c r="GI897" s="1138" t="s">
        <v>1349</v>
      </c>
      <c r="GJ897" s="1138" t="s">
        <v>1349</v>
      </c>
      <c r="GK897" s="1138" t="s">
        <v>1349</v>
      </c>
      <c r="GL897" s="1138" t="s">
        <v>1349</v>
      </c>
      <c r="GM897" s="1138" t="s">
        <v>1349</v>
      </c>
      <c r="GN897" s="1138" t="s">
        <v>1349</v>
      </c>
      <c r="GO897" s="1138" t="s">
        <v>1349</v>
      </c>
      <c r="GP897" s="1138" t="s">
        <v>1349</v>
      </c>
      <c r="GQ897" s="1138" t="s">
        <v>1349</v>
      </c>
      <c r="GR897" s="1138" t="s">
        <v>1349</v>
      </c>
      <c r="GS897" s="1138" t="s">
        <v>1349</v>
      </c>
      <c r="GT897" s="1138" t="s">
        <v>1349</v>
      </c>
      <c r="GU897" s="1138" t="s">
        <v>1349</v>
      </c>
      <c r="GV897" s="1138" t="s">
        <v>1349</v>
      </c>
    </row>
    <row r="898" spans="1:204" x14ac:dyDescent="0.2">
      <c r="A898" s="1136"/>
      <c r="B898" s="1137"/>
      <c r="GG898" s="1138" t="s">
        <v>1349</v>
      </c>
      <c r="GH898" s="1138" t="s">
        <v>1349</v>
      </c>
      <c r="GI898" s="1138" t="s">
        <v>1349</v>
      </c>
      <c r="GJ898" s="1138" t="s">
        <v>1349</v>
      </c>
      <c r="GK898" s="1138" t="s">
        <v>1349</v>
      </c>
      <c r="GL898" s="1138" t="s">
        <v>1349</v>
      </c>
      <c r="GM898" s="1138" t="s">
        <v>1349</v>
      </c>
      <c r="GN898" s="1138" t="s">
        <v>1349</v>
      </c>
      <c r="GO898" s="1138" t="s">
        <v>1349</v>
      </c>
      <c r="GP898" s="1138" t="s">
        <v>1349</v>
      </c>
      <c r="GQ898" s="1138" t="s">
        <v>1349</v>
      </c>
      <c r="GR898" s="1138" t="s">
        <v>1349</v>
      </c>
      <c r="GS898" s="1138" t="s">
        <v>1349</v>
      </c>
      <c r="GT898" s="1138" t="s">
        <v>1349</v>
      </c>
      <c r="GU898" s="1138" t="s">
        <v>1349</v>
      </c>
      <c r="GV898" s="1138" t="s">
        <v>1349</v>
      </c>
    </row>
    <row r="899" spans="1:204" x14ac:dyDescent="0.2">
      <c r="A899" s="1136"/>
      <c r="B899" s="1137"/>
      <c r="GG899" s="1138" t="s">
        <v>1349</v>
      </c>
      <c r="GH899" s="1138" t="s">
        <v>1349</v>
      </c>
      <c r="GI899" s="1138" t="s">
        <v>1349</v>
      </c>
      <c r="GJ899" s="1138" t="s">
        <v>1349</v>
      </c>
      <c r="GK899" s="1138" t="s">
        <v>1349</v>
      </c>
      <c r="GL899" s="1138" t="s">
        <v>1349</v>
      </c>
      <c r="GM899" s="1138" t="s">
        <v>1349</v>
      </c>
      <c r="GN899" s="1138" t="s">
        <v>1349</v>
      </c>
      <c r="GO899" s="1138" t="s">
        <v>1349</v>
      </c>
      <c r="GP899" s="1138" t="s">
        <v>1349</v>
      </c>
      <c r="GQ899" s="1138" t="s">
        <v>1349</v>
      </c>
      <c r="GR899" s="1138" t="s">
        <v>1349</v>
      </c>
      <c r="GS899" s="1138" t="s">
        <v>1349</v>
      </c>
      <c r="GT899" s="1138" t="s">
        <v>1349</v>
      </c>
      <c r="GU899" s="1138" t="s">
        <v>1349</v>
      </c>
      <c r="GV899" s="1138" t="s">
        <v>1349</v>
      </c>
    </row>
    <row r="900" spans="1:204" x14ac:dyDescent="0.2">
      <c r="A900" s="1136"/>
      <c r="B900" s="1137"/>
      <c r="GG900" s="1138" t="s">
        <v>1349</v>
      </c>
      <c r="GH900" s="1138" t="s">
        <v>1349</v>
      </c>
      <c r="GI900" s="1138" t="s">
        <v>1349</v>
      </c>
      <c r="GJ900" s="1138" t="s">
        <v>1349</v>
      </c>
      <c r="GK900" s="1138" t="s">
        <v>1349</v>
      </c>
      <c r="GL900" s="1138" t="s">
        <v>1349</v>
      </c>
      <c r="GM900" s="1138" t="s">
        <v>1349</v>
      </c>
      <c r="GN900" s="1138" t="s">
        <v>1349</v>
      </c>
      <c r="GO900" s="1138" t="s">
        <v>1349</v>
      </c>
      <c r="GP900" s="1138" t="s">
        <v>1349</v>
      </c>
      <c r="GQ900" s="1138" t="s">
        <v>1349</v>
      </c>
      <c r="GR900" s="1138" t="s">
        <v>1349</v>
      </c>
      <c r="GS900" s="1138" t="s">
        <v>1349</v>
      </c>
      <c r="GT900" s="1138" t="s">
        <v>1349</v>
      </c>
      <c r="GU900" s="1138" t="s">
        <v>1349</v>
      </c>
      <c r="GV900" s="1138" t="s">
        <v>1349</v>
      </c>
    </row>
    <row r="901" spans="1:204" x14ac:dyDescent="0.2">
      <c r="A901" s="1136"/>
      <c r="B901" s="1137"/>
      <c r="GG901" s="1138" t="s">
        <v>1349</v>
      </c>
      <c r="GH901" s="1138" t="s">
        <v>1349</v>
      </c>
      <c r="GI901" s="1138" t="s">
        <v>1349</v>
      </c>
      <c r="GJ901" s="1138" t="s">
        <v>1349</v>
      </c>
      <c r="GK901" s="1138" t="s">
        <v>1349</v>
      </c>
      <c r="GL901" s="1138" t="s">
        <v>1349</v>
      </c>
      <c r="GM901" s="1138" t="s">
        <v>1349</v>
      </c>
      <c r="GN901" s="1138" t="s">
        <v>1349</v>
      </c>
      <c r="GO901" s="1138" t="s">
        <v>1349</v>
      </c>
      <c r="GP901" s="1138" t="s">
        <v>1349</v>
      </c>
      <c r="GQ901" s="1138" t="s">
        <v>1349</v>
      </c>
      <c r="GR901" s="1138" t="s">
        <v>1349</v>
      </c>
      <c r="GS901" s="1138" t="s">
        <v>1349</v>
      </c>
      <c r="GT901" s="1138" t="s">
        <v>1349</v>
      </c>
      <c r="GU901" s="1138" t="s">
        <v>1349</v>
      </c>
      <c r="GV901" s="1138" t="s">
        <v>1349</v>
      </c>
    </row>
    <row r="902" spans="1:204" x14ac:dyDescent="0.2">
      <c r="A902" s="1136"/>
      <c r="B902" s="1137"/>
      <c r="GG902" s="1138" t="s">
        <v>1349</v>
      </c>
      <c r="GH902" s="1138" t="s">
        <v>1349</v>
      </c>
      <c r="GI902" s="1138" t="s">
        <v>1349</v>
      </c>
      <c r="GJ902" s="1138" t="s">
        <v>1349</v>
      </c>
      <c r="GK902" s="1138" t="s">
        <v>1349</v>
      </c>
      <c r="GL902" s="1138" t="s">
        <v>1349</v>
      </c>
      <c r="GM902" s="1138" t="s">
        <v>1349</v>
      </c>
      <c r="GN902" s="1138" t="s">
        <v>1349</v>
      </c>
      <c r="GO902" s="1138" t="s">
        <v>1349</v>
      </c>
      <c r="GP902" s="1138" t="s">
        <v>1349</v>
      </c>
      <c r="GQ902" s="1138" t="s">
        <v>1349</v>
      </c>
      <c r="GR902" s="1138" t="s">
        <v>1349</v>
      </c>
      <c r="GS902" s="1138" t="s">
        <v>1349</v>
      </c>
      <c r="GT902" s="1138" t="s">
        <v>1349</v>
      </c>
      <c r="GU902" s="1138" t="s">
        <v>1349</v>
      </c>
      <c r="GV902" s="1138" t="s">
        <v>1349</v>
      </c>
    </row>
    <row r="903" spans="1:204" x14ac:dyDescent="0.2">
      <c r="A903" s="1136"/>
      <c r="B903" s="1137"/>
      <c r="ET903" s="1230"/>
      <c r="GG903" s="1138" t="s">
        <v>1349</v>
      </c>
      <c r="GH903" s="1138" t="s">
        <v>1349</v>
      </c>
      <c r="GI903" s="1138" t="s">
        <v>1349</v>
      </c>
      <c r="GJ903" s="1138" t="s">
        <v>1349</v>
      </c>
      <c r="GK903" s="1138" t="s">
        <v>1349</v>
      </c>
      <c r="GL903" s="1138" t="s">
        <v>1349</v>
      </c>
      <c r="GM903" s="1138" t="s">
        <v>1349</v>
      </c>
      <c r="GN903" s="1138" t="s">
        <v>1349</v>
      </c>
      <c r="GO903" s="1138" t="s">
        <v>1349</v>
      </c>
      <c r="GP903" s="1138" t="s">
        <v>1349</v>
      </c>
      <c r="GQ903" s="1138" t="s">
        <v>1349</v>
      </c>
      <c r="GR903" s="1138" t="s">
        <v>1349</v>
      </c>
      <c r="GS903" s="1138" t="s">
        <v>1349</v>
      </c>
      <c r="GT903" s="1138" t="s">
        <v>1349</v>
      </c>
      <c r="GU903" s="1138" t="s">
        <v>1349</v>
      </c>
      <c r="GV903" s="1138" t="s">
        <v>1349</v>
      </c>
    </row>
    <row r="904" spans="1:204" x14ac:dyDescent="0.2">
      <c r="A904" s="1136"/>
      <c r="ET904" s="1230"/>
      <c r="GG904" s="1138" t="s">
        <v>1349</v>
      </c>
      <c r="GH904" s="1138" t="s">
        <v>1349</v>
      </c>
      <c r="GI904" s="1138" t="s">
        <v>1349</v>
      </c>
      <c r="GJ904" s="1138" t="s">
        <v>1349</v>
      </c>
      <c r="GK904" s="1138" t="s">
        <v>1349</v>
      </c>
      <c r="GL904" s="1138" t="s">
        <v>1349</v>
      </c>
      <c r="GM904" s="1138" t="s">
        <v>1349</v>
      </c>
      <c r="GN904" s="1138" t="s">
        <v>1349</v>
      </c>
      <c r="GO904" s="1138" t="s">
        <v>1349</v>
      </c>
      <c r="GP904" s="1138" t="s">
        <v>1349</v>
      </c>
      <c r="GQ904" s="1138" t="s">
        <v>1349</v>
      </c>
      <c r="GR904" s="1138" t="s">
        <v>1349</v>
      </c>
      <c r="GS904" s="1138" t="s">
        <v>1349</v>
      </c>
      <c r="GT904" s="1138" t="s">
        <v>1349</v>
      </c>
      <c r="GU904" s="1138" t="s">
        <v>1349</v>
      </c>
      <c r="GV904" s="1138" t="s">
        <v>1349</v>
      </c>
    </row>
    <row r="905" spans="1:204" x14ac:dyDescent="0.2">
      <c r="A905" s="1136"/>
      <c r="B905" s="1137"/>
      <c r="ET905" s="1230"/>
      <c r="GG905" s="1138" t="s">
        <v>1349</v>
      </c>
      <c r="GH905" s="1138" t="s">
        <v>1349</v>
      </c>
      <c r="GI905" s="1138" t="s">
        <v>1349</v>
      </c>
      <c r="GJ905" s="1138" t="s">
        <v>1349</v>
      </c>
      <c r="GK905" s="1138" t="s">
        <v>1349</v>
      </c>
      <c r="GL905" s="1138" t="s">
        <v>1349</v>
      </c>
      <c r="GM905" s="1138" t="s">
        <v>1349</v>
      </c>
      <c r="GN905" s="1138" t="s">
        <v>1349</v>
      </c>
      <c r="GO905" s="1138" t="s">
        <v>1349</v>
      </c>
      <c r="GP905" s="1138" t="s">
        <v>1349</v>
      </c>
      <c r="GQ905" s="1138" t="s">
        <v>1349</v>
      </c>
      <c r="GR905" s="1138" t="s">
        <v>1349</v>
      </c>
      <c r="GS905" s="1138" t="s">
        <v>1349</v>
      </c>
      <c r="GT905" s="1138" t="s">
        <v>1349</v>
      </c>
      <c r="GU905" s="1138" t="s">
        <v>1349</v>
      </c>
      <c r="GV905" s="1138" t="s">
        <v>1349</v>
      </c>
    </row>
    <row r="906" spans="1:204" x14ac:dyDescent="0.2">
      <c r="A906" s="1136"/>
      <c r="ET906" s="1230"/>
      <c r="GG906" s="1138" t="s">
        <v>1349</v>
      </c>
      <c r="GH906" s="1138" t="s">
        <v>1349</v>
      </c>
      <c r="GI906" s="1138" t="s">
        <v>1349</v>
      </c>
      <c r="GJ906" s="1138" t="s">
        <v>1349</v>
      </c>
      <c r="GK906" s="1138" t="s">
        <v>1349</v>
      </c>
      <c r="GL906" s="1138" t="s">
        <v>1349</v>
      </c>
      <c r="GM906" s="1138" t="s">
        <v>1349</v>
      </c>
      <c r="GN906" s="1138" t="s">
        <v>1349</v>
      </c>
      <c r="GO906" s="1138" t="s">
        <v>1349</v>
      </c>
      <c r="GP906" s="1138" t="s">
        <v>1349</v>
      </c>
      <c r="GQ906" s="1138" t="s">
        <v>1349</v>
      </c>
      <c r="GR906" s="1138" t="s">
        <v>1349</v>
      </c>
      <c r="GS906" s="1138" t="s">
        <v>1349</v>
      </c>
      <c r="GT906" s="1138" t="s">
        <v>1349</v>
      </c>
      <c r="GU906" s="1138" t="s">
        <v>1349</v>
      </c>
      <c r="GV906" s="1138" t="s">
        <v>1349</v>
      </c>
    </row>
    <row r="907" spans="1:204" x14ac:dyDescent="0.2">
      <c r="A907" s="1136"/>
      <c r="ET907" s="1230"/>
      <c r="GG907" s="1138" t="s">
        <v>1349</v>
      </c>
      <c r="GH907" s="1138" t="s">
        <v>1349</v>
      </c>
      <c r="GI907" s="1138" t="s">
        <v>1349</v>
      </c>
      <c r="GJ907" s="1138" t="s">
        <v>1349</v>
      </c>
      <c r="GK907" s="1138" t="s">
        <v>1349</v>
      </c>
      <c r="GL907" s="1138" t="s">
        <v>1349</v>
      </c>
      <c r="GM907" s="1138" t="s">
        <v>1349</v>
      </c>
      <c r="GN907" s="1138" t="s">
        <v>1349</v>
      </c>
      <c r="GO907" s="1138" t="s">
        <v>1349</v>
      </c>
      <c r="GP907" s="1138" t="s">
        <v>1349</v>
      </c>
      <c r="GQ907" s="1138" t="s">
        <v>1349</v>
      </c>
      <c r="GR907" s="1138" t="s">
        <v>1349</v>
      </c>
      <c r="GS907" s="1138" t="s">
        <v>1349</v>
      </c>
      <c r="GT907" s="1138" t="s">
        <v>1349</v>
      </c>
      <c r="GU907" s="1138" t="s">
        <v>1349</v>
      </c>
      <c r="GV907" s="1138" t="s">
        <v>1349</v>
      </c>
    </row>
    <row r="908" spans="1:204" x14ac:dyDescent="0.2">
      <c r="A908" s="1136"/>
      <c r="ET908" s="1230"/>
      <c r="GG908" s="1138" t="s">
        <v>1349</v>
      </c>
      <c r="GH908" s="1138" t="s">
        <v>1349</v>
      </c>
      <c r="GI908" s="1138" t="s">
        <v>1349</v>
      </c>
      <c r="GJ908" s="1138" t="s">
        <v>1349</v>
      </c>
      <c r="GK908" s="1138" t="s">
        <v>1349</v>
      </c>
      <c r="GL908" s="1138" t="s">
        <v>1349</v>
      </c>
      <c r="GM908" s="1138" t="s">
        <v>1349</v>
      </c>
      <c r="GN908" s="1138" t="s">
        <v>1349</v>
      </c>
      <c r="GO908" s="1138" t="s">
        <v>1349</v>
      </c>
      <c r="GP908" s="1138" t="s">
        <v>1349</v>
      </c>
      <c r="GQ908" s="1138" t="s">
        <v>1349</v>
      </c>
      <c r="GR908" s="1138" t="s">
        <v>1349</v>
      </c>
      <c r="GS908" s="1138" t="s">
        <v>1349</v>
      </c>
      <c r="GT908" s="1138" t="s">
        <v>1349</v>
      </c>
      <c r="GU908" s="1138" t="s">
        <v>1349</v>
      </c>
      <c r="GV908" s="1138" t="s">
        <v>1349</v>
      </c>
    </row>
    <row r="909" spans="1:204" x14ac:dyDescent="0.2">
      <c r="A909" s="1136"/>
      <c r="GG909" s="1138" t="s">
        <v>1349</v>
      </c>
      <c r="GH909" s="1138" t="s">
        <v>1349</v>
      </c>
      <c r="GI909" s="1138" t="s">
        <v>1349</v>
      </c>
      <c r="GJ909" s="1138" t="s">
        <v>1349</v>
      </c>
      <c r="GK909" s="1138" t="s">
        <v>1349</v>
      </c>
      <c r="GL909" s="1138" t="s">
        <v>1349</v>
      </c>
      <c r="GM909" s="1138" t="s">
        <v>1349</v>
      </c>
      <c r="GN909" s="1138" t="s">
        <v>1349</v>
      </c>
      <c r="GO909" s="1138" t="s">
        <v>1349</v>
      </c>
      <c r="GP909" s="1138" t="s">
        <v>1349</v>
      </c>
      <c r="GQ909" s="1138" t="s">
        <v>1349</v>
      </c>
      <c r="GR909" s="1138" t="s">
        <v>1349</v>
      </c>
      <c r="GS909" s="1138" t="s">
        <v>1349</v>
      </c>
      <c r="GT909" s="1138" t="s">
        <v>1349</v>
      </c>
      <c r="GU909" s="1138" t="s">
        <v>1349</v>
      </c>
      <c r="GV909" s="1138" t="s">
        <v>1349</v>
      </c>
    </row>
    <row r="910" spans="1:204" x14ac:dyDescent="0.2">
      <c r="A910" s="1136"/>
      <c r="F910" s="1142"/>
      <c r="G910" s="1142"/>
      <c r="GG910" s="1138" t="s">
        <v>1349</v>
      </c>
      <c r="GH910" s="1138" t="s">
        <v>1349</v>
      </c>
      <c r="GI910" s="1138" t="s">
        <v>1349</v>
      </c>
      <c r="GJ910" s="1138" t="s">
        <v>1349</v>
      </c>
      <c r="GK910" s="1138" t="s">
        <v>1349</v>
      </c>
      <c r="GL910" s="1138" t="s">
        <v>1349</v>
      </c>
      <c r="GM910" s="1138" t="s">
        <v>1349</v>
      </c>
      <c r="GN910" s="1138" t="s">
        <v>1349</v>
      </c>
      <c r="GO910" s="1138" t="s">
        <v>1349</v>
      </c>
      <c r="GP910" s="1138" t="s">
        <v>1349</v>
      </c>
      <c r="GQ910" s="1138" t="s">
        <v>1349</v>
      </c>
      <c r="GR910" s="1138" t="s">
        <v>1349</v>
      </c>
      <c r="GS910" s="1138" t="s">
        <v>1349</v>
      </c>
      <c r="GT910" s="1138" t="s">
        <v>1349</v>
      </c>
      <c r="GU910" s="1138" t="s">
        <v>1349</v>
      </c>
      <c r="GV910" s="1138" t="s">
        <v>1349</v>
      </c>
    </row>
    <row r="911" spans="1:204" x14ac:dyDescent="0.2">
      <c r="A911" s="1136"/>
      <c r="B911" s="1137"/>
      <c r="F911" s="1142"/>
      <c r="G911" s="1142"/>
      <c r="GG911" s="1138" t="s">
        <v>1349</v>
      </c>
      <c r="GH911" s="1138" t="s">
        <v>1349</v>
      </c>
      <c r="GI911" s="1138" t="s">
        <v>1349</v>
      </c>
      <c r="GJ911" s="1138" t="s">
        <v>1349</v>
      </c>
      <c r="GK911" s="1138" t="s">
        <v>1349</v>
      </c>
      <c r="GL911" s="1138" t="s">
        <v>1349</v>
      </c>
      <c r="GM911" s="1138" t="s">
        <v>1349</v>
      </c>
      <c r="GN911" s="1138" t="s">
        <v>1349</v>
      </c>
      <c r="GO911" s="1138" t="s">
        <v>1349</v>
      </c>
      <c r="GP911" s="1138" t="s">
        <v>1349</v>
      </c>
      <c r="GQ911" s="1138" t="s">
        <v>1349</v>
      </c>
      <c r="GR911" s="1138" t="s">
        <v>1349</v>
      </c>
      <c r="GS911" s="1138" t="s">
        <v>1349</v>
      </c>
      <c r="GT911" s="1138" t="s">
        <v>1349</v>
      </c>
      <c r="GU911" s="1138" t="s">
        <v>1349</v>
      </c>
      <c r="GV911" s="1138" t="s">
        <v>1349</v>
      </c>
    </row>
    <row r="912" spans="1:204" x14ac:dyDescent="0.2">
      <c r="A912" s="1136"/>
      <c r="B912" s="1137"/>
      <c r="F912" s="1142"/>
      <c r="G912" s="1142"/>
      <c r="GG912" s="1138" t="s">
        <v>1349</v>
      </c>
      <c r="GH912" s="1138" t="s">
        <v>1349</v>
      </c>
      <c r="GI912" s="1138" t="s">
        <v>1349</v>
      </c>
      <c r="GJ912" s="1138" t="s">
        <v>1349</v>
      </c>
      <c r="GK912" s="1138" t="s">
        <v>1349</v>
      </c>
      <c r="GL912" s="1138" t="s">
        <v>1349</v>
      </c>
      <c r="GM912" s="1138" t="s">
        <v>1349</v>
      </c>
      <c r="GN912" s="1138" t="s">
        <v>1349</v>
      </c>
      <c r="GO912" s="1138" t="s">
        <v>1349</v>
      </c>
      <c r="GP912" s="1138" t="s">
        <v>1349</v>
      </c>
      <c r="GQ912" s="1138" t="s">
        <v>1349</v>
      </c>
      <c r="GR912" s="1138" t="s">
        <v>1349</v>
      </c>
      <c r="GS912" s="1138" t="s">
        <v>1349</v>
      </c>
      <c r="GT912" s="1138" t="s">
        <v>1349</v>
      </c>
      <c r="GU912" s="1138" t="s">
        <v>1349</v>
      </c>
      <c r="GV912" s="1138" t="s">
        <v>1349</v>
      </c>
    </row>
    <row r="913" spans="1:204" x14ac:dyDescent="0.2">
      <c r="A913" s="1136"/>
      <c r="B913" s="1137"/>
      <c r="F913" s="1142"/>
      <c r="G913" s="1142"/>
      <c r="GG913" s="1138" t="s">
        <v>1349</v>
      </c>
      <c r="GH913" s="1138" t="s">
        <v>1349</v>
      </c>
      <c r="GI913" s="1138" t="s">
        <v>1349</v>
      </c>
      <c r="GJ913" s="1138" t="s">
        <v>1349</v>
      </c>
      <c r="GK913" s="1138" t="s">
        <v>1349</v>
      </c>
      <c r="GL913" s="1138" t="s">
        <v>1349</v>
      </c>
      <c r="GM913" s="1138" t="s">
        <v>1349</v>
      </c>
      <c r="GN913" s="1138" t="s">
        <v>1349</v>
      </c>
      <c r="GO913" s="1138" t="s">
        <v>1349</v>
      </c>
      <c r="GP913" s="1138" t="s">
        <v>1349</v>
      </c>
      <c r="GQ913" s="1138" t="s">
        <v>1349</v>
      </c>
      <c r="GR913" s="1138" t="s">
        <v>1349</v>
      </c>
      <c r="GS913" s="1138" t="s">
        <v>1349</v>
      </c>
      <c r="GT913" s="1138" t="s">
        <v>1349</v>
      </c>
      <c r="GU913" s="1138" t="s">
        <v>1349</v>
      </c>
      <c r="GV913" s="1138" t="s">
        <v>1349</v>
      </c>
    </row>
    <row r="914" spans="1:204" x14ac:dyDescent="0.2">
      <c r="A914" s="1136"/>
      <c r="B914" s="1137"/>
      <c r="F914" s="1142"/>
      <c r="G914" s="1142"/>
      <c r="GG914" s="1138" t="s">
        <v>1349</v>
      </c>
      <c r="GH914" s="1138" t="s">
        <v>1349</v>
      </c>
      <c r="GI914" s="1138" t="s">
        <v>1349</v>
      </c>
      <c r="GJ914" s="1138" t="s">
        <v>1349</v>
      </c>
      <c r="GK914" s="1138" t="s">
        <v>1349</v>
      </c>
      <c r="GL914" s="1138" t="s">
        <v>1349</v>
      </c>
      <c r="GM914" s="1138" t="s">
        <v>1349</v>
      </c>
      <c r="GN914" s="1138" t="s">
        <v>1349</v>
      </c>
      <c r="GO914" s="1138" t="s">
        <v>1349</v>
      </c>
      <c r="GP914" s="1138" t="s">
        <v>1349</v>
      </c>
      <c r="GQ914" s="1138" t="s">
        <v>1349</v>
      </c>
      <c r="GR914" s="1138" t="s">
        <v>1349</v>
      </c>
      <c r="GS914" s="1138" t="s">
        <v>1349</v>
      </c>
      <c r="GT914" s="1138" t="s">
        <v>1349</v>
      </c>
      <c r="GU914" s="1138" t="s">
        <v>1349</v>
      </c>
      <c r="GV914" s="1138" t="s">
        <v>1349</v>
      </c>
    </row>
    <row r="915" spans="1:204" x14ac:dyDescent="0.2">
      <c r="A915" s="1136"/>
      <c r="B915" s="1137"/>
      <c r="F915" s="1142"/>
      <c r="G915" s="1142"/>
      <c r="GG915" s="1138" t="s">
        <v>1349</v>
      </c>
      <c r="GH915" s="1138" t="s">
        <v>1349</v>
      </c>
      <c r="GI915" s="1138" t="s">
        <v>1349</v>
      </c>
      <c r="GJ915" s="1138" t="s">
        <v>1349</v>
      </c>
      <c r="GK915" s="1138" t="s">
        <v>1349</v>
      </c>
      <c r="GL915" s="1138" t="s">
        <v>1349</v>
      </c>
      <c r="GM915" s="1138" t="s">
        <v>1349</v>
      </c>
      <c r="GN915" s="1138" t="s">
        <v>1349</v>
      </c>
      <c r="GO915" s="1138" t="s">
        <v>1349</v>
      </c>
      <c r="GP915" s="1138" t="s">
        <v>1349</v>
      </c>
      <c r="GQ915" s="1138" t="s">
        <v>1349</v>
      </c>
      <c r="GR915" s="1138" t="s">
        <v>1349</v>
      </c>
      <c r="GS915" s="1138" t="s">
        <v>1349</v>
      </c>
      <c r="GT915" s="1138" t="s">
        <v>1349</v>
      </c>
      <c r="GU915" s="1138" t="s">
        <v>1349</v>
      </c>
      <c r="GV915" s="1138" t="s">
        <v>1349</v>
      </c>
    </row>
    <row r="916" spans="1:204" x14ac:dyDescent="0.2">
      <c r="A916" s="1136"/>
      <c r="B916" s="1137"/>
      <c r="GG916" s="1138" t="s">
        <v>1349</v>
      </c>
      <c r="GH916" s="1138" t="s">
        <v>1349</v>
      </c>
      <c r="GI916" s="1138" t="s">
        <v>1349</v>
      </c>
      <c r="GJ916" s="1138" t="s">
        <v>1349</v>
      </c>
      <c r="GK916" s="1138" t="s">
        <v>1349</v>
      </c>
      <c r="GL916" s="1138" t="s">
        <v>1349</v>
      </c>
      <c r="GM916" s="1138" t="s">
        <v>1349</v>
      </c>
      <c r="GN916" s="1138" t="s">
        <v>1349</v>
      </c>
      <c r="GO916" s="1138" t="s">
        <v>1349</v>
      </c>
      <c r="GP916" s="1138" t="s">
        <v>1349</v>
      </c>
      <c r="GQ916" s="1138" t="s">
        <v>1349</v>
      </c>
      <c r="GR916" s="1138" t="s">
        <v>1349</v>
      </c>
      <c r="GS916" s="1138" t="s">
        <v>1349</v>
      </c>
      <c r="GT916" s="1138" t="s">
        <v>1349</v>
      </c>
      <c r="GU916" s="1138" t="s">
        <v>1349</v>
      </c>
      <c r="GV916" s="1138" t="s">
        <v>1349</v>
      </c>
    </row>
    <row r="917" spans="1:204" x14ac:dyDescent="0.2">
      <c r="A917" s="1136"/>
      <c r="B917" s="1137"/>
      <c r="GG917" s="1138" t="s">
        <v>1349</v>
      </c>
      <c r="GH917" s="1138" t="s">
        <v>1349</v>
      </c>
      <c r="GI917" s="1138" t="s">
        <v>1349</v>
      </c>
      <c r="GJ917" s="1138" t="s">
        <v>1349</v>
      </c>
      <c r="GK917" s="1138" t="s">
        <v>1349</v>
      </c>
      <c r="GL917" s="1138" t="s">
        <v>1349</v>
      </c>
      <c r="GM917" s="1138" t="s">
        <v>1349</v>
      </c>
      <c r="GN917" s="1138" t="s">
        <v>1349</v>
      </c>
      <c r="GO917" s="1138" t="s">
        <v>1349</v>
      </c>
      <c r="GP917" s="1138" t="s">
        <v>1349</v>
      </c>
      <c r="GQ917" s="1138" t="s">
        <v>1349</v>
      </c>
      <c r="GR917" s="1138" t="s">
        <v>1349</v>
      </c>
      <c r="GS917" s="1138" t="s">
        <v>1349</v>
      </c>
      <c r="GT917" s="1138" t="s">
        <v>1349</v>
      </c>
      <c r="GU917" s="1138" t="s">
        <v>1349</v>
      </c>
      <c r="GV917" s="1138" t="s">
        <v>1349</v>
      </c>
    </row>
    <row r="918" spans="1:204" x14ac:dyDescent="0.2">
      <c r="A918" s="1136"/>
      <c r="B918" s="1137"/>
      <c r="GG918" s="1138" t="s">
        <v>1349</v>
      </c>
      <c r="GH918" s="1138" t="s">
        <v>1349</v>
      </c>
      <c r="GI918" s="1138" t="s">
        <v>1349</v>
      </c>
      <c r="GJ918" s="1138" t="s">
        <v>1349</v>
      </c>
      <c r="GK918" s="1138" t="s">
        <v>1349</v>
      </c>
      <c r="GL918" s="1138" t="s">
        <v>1349</v>
      </c>
      <c r="GM918" s="1138" t="s">
        <v>1349</v>
      </c>
      <c r="GN918" s="1138" t="s">
        <v>1349</v>
      </c>
      <c r="GO918" s="1138" t="s">
        <v>1349</v>
      </c>
      <c r="GP918" s="1138" t="s">
        <v>1349</v>
      </c>
      <c r="GQ918" s="1138" t="s">
        <v>1349</v>
      </c>
      <c r="GR918" s="1138" t="s">
        <v>1349</v>
      </c>
      <c r="GS918" s="1138" t="s">
        <v>1349</v>
      </c>
      <c r="GT918" s="1138" t="s">
        <v>1349</v>
      </c>
      <c r="GU918" s="1138" t="s">
        <v>1349</v>
      </c>
      <c r="GV918" s="1138" t="s">
        <v>1349</v>
      </c>
    </row>
    <row r="919" spans="1:204" x14ac:dyDescent="0.2">
      <c r="A919" s="1136"/>
      <c r="B919" s="1137"/>
      <c r="GG919" s="1138" t="s">
        <v>1349</v>
      </c>
      <c r="GH919" s="1138" t="s">
        <v>1349</v>
      </c>
      <c r="GI919" s="1138" t="s">
        <v>1349</v>
      </c>
      <c r="GJ919" s="1138" t="s">
        <v>1349</v>
      </c>
      <c r="GK919" s="1138" t="s">
        <v>1349</v>
      </c>
      <c r="GL919" s="1138" t="s">
        <v>1349</v>
      </c>
      <c r="GM919" s="1138" t="s">
        <v>1349</v>
      </c>
      <c r="GN919" s="1138" t="s">
        <v>1349</v>
      </c>
      <c r="GO919" s="1138" t="s">
        <v>1349</v>
      </c>
      <c r="GP919" s="1138" t="s">
        <v>1349</v>
      </c>
      <c r="GQ919" s="1138" t="s">
        <v>1349</v>
      </c>
      <c r="GR919" s="1138" t="s">
        <v>1349</v>
      </c>
      <c r="GS919" s="1138" t="s">
        <v>1349</v>
      </c>
      <c r="GT919" s="1138" t="s">
        <v>1349</v>
      </c>
      <c r="GU919" s="1138" t="s">
        <v>1349</v>
      </c>
      <c r="GV919" s="1138" t="s">
        <v>1349</v>
      </c>
    </row>
    <row r="920" spans="1:204" x14ac:dyDescent="0.2">
      <c r="A920" s="1136"/>
      <c r="B920" s="1137"/>
      <c r="GG920" s="1138" t="s">
        <v>1349</v>
      </c>
      <c r="GH920" s="1138" t="s">
        <v>1349</v>
      </c>
      <c r="GI920" s="1138" t="s">
        <v>1349</v>
      </c>
      <c r="GJ920" s="1138" t="s">
        <v>1349</v>
      </c>
      <c r="GK920" s="1138" t="s">
        <v>1349</v>
      </c>
      <c r="GL920" s="1138" t="s">
        <v>1349</v>
      </c>
      <c r="GM920" s="1138" t="s">
        <v>1349</v>
      </c>
      <c r="GN920" s="1138" t="s">
        <v>1349</v>
      </c>
      <c r="GO920" s="1138" t="s">
        <v>1349</v>
      </c>
      <c r="GP920" s="1138" t="s">
        <v>1349</v>
      </c>
      <c r="GQ920" s="1138" t="s">
        <v>1349</v>
      </c>
      <c r="GR920" s="1138" t="s">
        <v>1349</v>
      </c>
      <c r="GS920" s="1138" t="s">
        <v>1349</v>
      </c>
      <c r="GT920" s="1138" t="s">
        <v>1349</v>
      </c>
      <c r="GU920" s="1138" t="s">
        <v>1349</v>
      </c>
      <c r="GV920" s="1138" t="s">
        <v>1349</v>
      </c>
    </row>
    <row r="921" spans="1:204" x14ac:dyDescent="0.2">
      <c r="A921" s="1136"/>
      <c r="B921" s="1137"/>
      <c r="GG921" s="1138" t="s">
        <v>1349</v>
      </c>
      <c r="GH921" s="1138" t="s">
        <v>1349</v>
      </c>
      <c r="GI921" s="1138" t="s">
        <v>1349</v>
      </c>
      <c r="GJ921" s="1138" t="s">
        <v>1349</v>
      </c>
      <c r="GK921" s="1138" t="s">
        <v>1349</v>
      </c>
      <c r="GL921" s="1138" t="s">
        <v>1349</v>
      </c>
      <c r="GM921" s="1138" t="s">
        <v>1349</v>
      </c>
      <c r="GN921" s="1138" t="s">
        <v>1349</v>
      </c>
      <c r="GO921" s="1138" t="s">
        <v>1349</v>
      </c>
      <c r="GP921" s="1138" t="s">
        <v>1349</v>
      </c>
      <c r="GQ921" s="1138" t="s">
        <v>1349</v>
      </c>
      <c r="GR921" s="1138" t="s">
        <v>1349</v>
      </c>
      <c r="GS921" s="1138" t="s">
        <v>1349</v>
      </c>
      <c r="GT921" s="1138" t="s">
        <v>1349</v>
      </c>
      <c r="GU921" s="1138" t="s">
        <v>1349</v>
      </c>
      <c r="GV921" s="1138" t="s">
        <v>1349</v>
      </c>
    </row>
    <row r="922" spans="1:204" x14ac:dyDescent="0.2">
      <c r="A922" s="1136"/>
      <c r="B922" s="1137"/>
      <c r="GG922" s="1138" t="s">
        <v>1349</v>
      </c>
      <c r="GH922" s="1138" t="s">
        <v>1349</v>
      </c>
      <c r="GI922" s="1138" t="s">
        <v>1349</v>
      </c>
      <c r="GJ922" s="1138" t="s">
        <v>1349</v>
      </c>
      <c r="GK922" s="1138" t="s">
        <v>1349</v>
      </c>
      <c r="GL922" s="1138" t="s">
        <v>1349</v>
      </c>
      <c r="GM922" s="1138" t="s">
        <v>1349</v>
      </c>
      <c r="GN922" s="1138" t="s">
        <v>1349</v>
      </c>
      <c r="GO922" s="1138" t="s">
        <v>1349</v>
      </c>
      <c r="GP922" s="1138" t="s">
        <v>1349</v>
      </c>
      <c r="GQ922" s="1138" t="s">
        <v>1349</v>
      </c>
      <c r="GR922" s="1138" t="s">
        <v>1349</v>
      </c>
      <c r="GS922" s="1138" t="s">
        <v>1349</v>
      </c>
      <c r="GT922" s="1138" t="s">
        <v>1349</v>
      </c>
      <c r="GU922" s="1138" t="s">
        <v>1349</v>
      </c>
      <c r="GV922" s="1138" t="s">
        <v>1349</v>
      </c>
    </row>
    <row r="923" spans="1:204" x14ac:dyDescent="0.2">
      <c r="A923" s="1136"/>
      <c r="B923" s="1137"/>
      <c r="F923" s="1230"/>
      <c r="G923" s="1230"/>
      <c r="GG923" s="1138" t="s">
        <v>1349</v>
      </c>
      <c r="GH923" s="1138" t="s">
        <v>1349</v>
      </c>
      <c r="GI923" s="1138" t="s">
        <v>1349</v>
      </c>
      <c r="GJ923" s="1138" t="s">
        <v>1349</v>
      </c>
      <c r="GK923" s="1138" t="s">
        <v>1349</v>
      </c>
      <c r="GL923" s="1138" t="s">
        <v>1349</v>
      </c>
      <c r="GM923" s="1138" t="s">
        <v>1349</v>
      </c>
      <c r="GN923" s="1138" t="s">
        <v>1349</v>
      </c>
      <c r="GO923" s="1138" t="s">
        <v>1349</v>
      </c>
      <c r="GP923" s="1138" t="s">
        <v>1349</v>
      </c>
      <c r="GQ923" s="1138" t="s">
        <v>1349</v>
      </c>
      <c r="GR923" s="1138" t="s">
        <v>1349</v>
      </c>
      <c r="GS923" s="1138" t="s">
        <v>1349</v>
      </c>
      <c r="GT923" s="1138" t="s">
        <v>1349</v>
      </c>
      <c r="GU923" s="1138" t="s">
        <v>1349</v>
      </c>
      <c r="GV923" s="1138" t="s">
        <v>1349</v>
      </c>
    </row>
    <row r="924" spans="1:204" x14ac:dyDescent="0.2">
      <c r="A924" s="1136"/>
      <c r="B924" s="1137"/>
      <c r="F924" s="1230"/>
      <c r="G924" s="1230"/>
      <c r="GG924" s="1138" t="s">
        <v>1349</v>
      </c>
      <c r="GH924" s="1138" t="s">
        <v>1349</v>
      </c>
      <c r="GI924" s="1138" t="s">
        <v>1349</v>
      </c>
      <c r="GJ924" s="1138" t="s">
        <v>1349</v>
      </c>
      <c r="GK924" s="1138" t="s">
        <v>1349</v>
      </c>
      <c r="GL924" s="1138" t="s">
        <v>1349</v>
      </c>
      <c r="GM924" s="1138" t="s">
        <v>1349</v>
      </c>
      <c r="GN924" s="1138" t="s">
        <v>1349</v>
      </c>
      <c r="GO924" s="1138" t="s">
        <v>1349</v>
      </c>
      <c r="GP924" s="1138" t="s">
        <v>1349</v>
      </c>
      <c r="GQ924" s="1138" t="s">
        <v>1349</v>
      </c>
      <c r="GR924" s="1138" t="s">
        <v>1349</v>
      </c>
      <c r="GS924" s="1138" t="s">
        <v>1349</v>
      </c>
      <c r="GT924" s="1138" t="s">
        <v>1349</v>
      </c>
      <c r="GU924" s="1138" t="s">
        <v>1349</v>
      </c>
      <c r="GV924" s="1138" t="s">
        <v>1349</v>
      </c>
    </row>
    <row r="925" spans="1:204" x14ac:dyDescent="0.2">
      <c r="A925" s="1136"/>
      <c r="B925" s="1137"/>
      <c r="F925" s="1230"/>
      <c r="G925" s="1230"/>
      <c r="GG925" s="1138" t="s">
        <v>1349</v>
      </c>
      <c r="GH925" s="1138" t="s">
        <v>1349</v>
      </c>
      <c r="GI925" s="1138" t="s">
        <v>1349</v>
      </c>
      <c r="GJ925" s="1138" t="s">
        <v>1349</v>
      </c>
      <c r="GK925" s="1138" t="s">
        <v>1349</v>
      </c>
      <c r="GL925" s="1138" t="s">
        <v>1349</v>
      </c>
      <c r="GM925" s="1138" t="s">
        <v>1349</v>
      </c>
      <c r="GN925" s="1138" t="s">
        <v>1349</v>
      </c>
      <c r="GO925" s="1138" t="s">
        <v>1349</v>
      </c>
      <c r="GP925" s="1138" t="s">
        <v>1349</v>
      </c>
      <c r="GQ925" s="1138" t="s">
        <v>1349</v>
      </c>
      <c r="GR925" s="1138" t="s">
        <v>1349</v>
      </c>
      <c r="GS925" s="1138" t="s">
        <v>1349</v>
      </c>
      <c r="GT925" s="1138" t="s">
        <v>1349</v>
      </c>
      <c r="GU925" s="1138" t="s">
        <v>1349</v>
      </c>
      <c r="GV925" s="1138" t="s">
        <v>1349</v>
      </c>
    </row>
    <row r="926" spans="1:204" x14ac:dyDescent="0.2">
      <c r="A926" s="1136"/>
      <c r="B926" s="1137"/>
      <c r="F926" s="1230"/>
      <c r="G926" s="1230"/>
      <c r="GG926" s="1138" t="s">
        <v>1349</v>
      </c>
      <c r="GH926" s="1138" t="s">
        <v>1349</v>
      </c>
      <c r="GI926" s="1138" t="s">
        <v>1349</v>
      </c>
      <c r="GJ926" s="1138" t="s">
        <v>1349</v>
      </c>
      <c r="GK926" s="1138" t="s">
        <v>1349</v>
      </c>
      <c r="GL926" s="1138" t="s">
        <v>1349</v>
      </c>
      <c r="GM926" s="1138" t="s">
        <v>1349</v>
      </c>
      <c r="GN926" s="1138" t="s">
        <v>1349</v>
      </c>
      <c r="GO926" s="1138" t="s">
        <v>1349</v>
      </c>
      <c r="GP926" s="1138" t="s">
        <v>1349</v>
      </c>
      <c r="GQ926" s="1138" t="s">
        <v>1349</v>
      </c>
      <c r="GR926" s="1138" t="s">
        <v>1349</v>
      </c>
      <c r="GS926" s="1138" t="s">
        <v>1349</v>
      </c>
      <c r="GT926" s="1138" t="s">
        <v>1349</v>
      </c>
      <c r="GU926" s="1138" t="s">
        <v>1349</v>
      </c>
      <c r="GV926" s="1138" t="s">
        <v>1349</v>
      </c>
    </row>
    <row r="927" spans="1:204" x14ac:dyDescent="0.2">
      <c r="A927" s="1136"/>
      <c r="B927" s="1137"/>
      <c r="F927" s="1230"/>
      <c r="G927" s="1230"/>
      <c r="GG927" s="1138" t="s">
        <v>1349</v>
      </c>
      <c r="GH927" s="1138" t="s">
        <v>1349</v>
      </c>
      <c r="GI927" s="1138" t="s">
        <v>1349</v>
      </c>
      <c r="GJ927" s="1138" t="s">
        <v>1349</v>
      </c>
      <c r="GK927" s="1138" t="s">
        <v>1349</v>
      </c>
      <c r="GL927" s="1138" t="s">
        <v>1349</v>
      </c>
      <c r="GM927" s="1138" t="s">
        <v>1349</v>
      </c>
      <c r="GN927" s="1138" t="s">
        <v>1349</v>
      </c>
      <c r="GO927" s="1138" t="s">
        <v>1349</v>
      </c>
      <c r="GP927" s="1138" t="s">
        <v>1349</v>
      </c>
      <c r="GQ927" s="1138" t="s">
        <v>1349</v>
      </c>
      <c r="GR927" s="1138" t="s">
        <v>1349</v>
      </c>
      <c r="GS927" s="1138" t="s">
        <v>1349</v>
      </c>
      <c r="GT927" s="1138" t="s">
        <v>1349</v>
      </c>
      <c r="GU927" s="1138" t="s">
        <v>1349</v>
      </c>
      <c r="GV927" s="1138" t="s">
        <v>1349</v>
      </c>
    </row>
    <row r="928" spans="1:204" x14ac:dyDescent="0.2">
      <c r="A928" s="1136"/>
      <c r="B928" s="1137"/>
      <c r="F928" s="1230"/>
      <c r="G928" s="1230"/>
      <c r="GG928" s="1138" t="s">
        <v>1349</v>
      </c>
      <c r="GH928" s="1138" t="s">
        <v>1349</v>
      </c>
      <c r="GI928" s="1138" t="s">
        <v>1349</v>
      </c>
      <c r="GJ928" s="1138" t="s">
        <v>1349</v>
      </c>
      <c r="GK928" s="1138" t="s">
        <v>1349</v>
      </c>
      <c r="GL928" s="1138" t="s">
        <v>1349</v>
      </c>
      <c r="GM928" s="1138" t="s">
        <v>1349</v>
      </c>
      <c r="GN928" s="1138" t="s">
        <v>1349</v>
      </c>
      <c r="GO928" s="1138" t="s">
        <v>1349</v>
      </c>
      <c r="GP928" s="1138" t="s">
        <v>1349</v>
      </c>
      <c r="GQ928" s="1138" t="s">
        <v>1349</v>
      </c>
      <c r="GR928" s="1138" t="s">
        <v>1349</v>
      </c>
      <c r="GS928" s="1138" t="s">
        <v>1349</v>
      </c>
      <c r="GT928" s="1138" t="s">
        <v>1349</v>
      </c>
      <c r="GU928" s="1138" t="s">
        <v>1349</v>
      </c>
      <c r="GV928" s="1138" t="s">
        <v>1349</v>
      </c>
    </row>
    <row r="929" spans="1:204" x14ac:dyDescent="0.2">
      <c r="A929" s="1136"/>
      <c r="B929" s="1137"/>
      <c r="GG929" s="1138" t="s">
        <v>1349</v>
      </c>
      <c r="GH929" s="1138" t="s">
        <v>1349</v>
      </c>
      <c r="GI929" s="1138" t="s">
        <v>1349</v>
      </c>
      <c r="GJ929" s="1138" t="s">
        <v>1349</v>
      </c>
      <c r="GK929" s="1138" t="s">
        <v>1349</v>
      </c>
      <c r="GL929" s="1138" t="s">
        <v>1349</v>
      </c>
      <c r="GM929" s="1138" t="s">
        <v>1349</v>
      </c>
      <c r="GN929" s="1138" t="s">
        <v>1349</v>
      </c>
      <c r="GO929" s="1138" t="s">
        <v>1349</v>
      </c>
      <c r="GP929" s="1138" t="s">
        <v>1349</v>
      </c>
      <c r="GQ929" s="1138" t="s">
        <v>1349</v>
      </c>
      <c r="GR929" s="1138" t="s">
        <v>1349</v>
      </c>
      <c r="GS929" s="1138" t="s">
        <v>1349</v>
      </c>
      <c r="GT929" s="1138" t="s">
        <v>1349</v>
      </c>
      <c r="GU929" s="1138" t="s">
        <v>1349</v>
      </c>
      <c r="GV929" s="1138" t="s">
        <v>1349</v>
      </c>
    </row>
    <row r="930" spans="1:204" x14ac:dyDescent="0.2">
      <c r="A930" s="1136"/>
      <c r="B930" s="1137"/>
      <c r="GG930" s="1138" t="s">
        <v>1349</v>
      </c>
      <c r="GH930" s="1138" t="s">
        <v>1349</v>
      </c>
      <c r="GI930" s="1138" t="s">
        <v>1349</v>
      </c>
      <c r="GJ930" s="1138" t="s">
        <v>1349</v>
      </c>
      <c r="GK930" s="1138" t="s">
        <v>1349</v>
      </c>
      <c r="GL930" s="1138" t="s">
        <v>1349</v>
      </c>
      <c r="GM930" s="1138" t="s">
        <v>1349</v>
      </c>
      <c r="GN930" s="1138" t="s">
        <v>1349</v>
      </c>
      <c r="GO930" s="1138" t="s">
        <v>1349</v>
      </c>
      <c r="GP930" s="1138" t="s">
        <v>1349</v>
      </c>
      <c r="GQ930" s="1138" t="s">
        <v>1349</v>
      </c>
      <c r="GR930" s="1138" t="s">
        <v>1349</v>
      </c>
      <c r="GS930" s="1138" t="s">
        <v>1349</v>
      </c>
      <c r="GT930" s="1138" t="s">
        <v>1349</v>
      </c>
      <c r="GU930" s="1138" t="s">
        <v>1349</v>
      </c>
      <c r="GV930" s="1138" t="s">
        <v>1349</v>
      </c>
    </row>
    <row r="931" spans="1:204" x14ac:dyDescent="0.2">
      <c r="A931" s="1136"/>
      <c r="B931" s="1137"/>
      <c r="GG931" s="1138" t="s">
        <v>1349</v>
      </c>
      <c r="GH931" s="1138" t="s">
        <v>1349</v>
      </c>
      <c r="GI931" s="1138" t="s">
        <v>1349</v>
      </c>
      <c r="GJ931" s="1138" t="s">
        <v>1349</v>
      </c>
      <c r="GK931" s="1138" t="s">
        <v>1349</v>
      </c>
      <c r="GL931" s="1138" t="s">
        <v>1349</v>
      </c>
      <c r="GM931" s="1138" t="s">
        <v>1349</v>
      </c>
      <c r="GN931" s="1138" t="s">
        <v>1349</v>
      </c>
      <c r="GO931" s="1138" t="s">
        <v>1349</v>
      </c>
      <c r="GP931" s="1138" t="s">
        <v>1349</v>
      </c>
      <c r="GQ931" s="1138" t="s">
        <v>1349</v>
      </c>
      <c r="GR931" s="1138" t="s">
        <v>1349</v>
      </c>
      <c r="GS931" s="1138" t="s">
        <v>1349</v>
      </c>
      <c r="GT931" s="1138" t="s">
        <v>1349</v>
      </c>
      <c r="GU931" s="1138" t="s">
        <v>1349</v>
      </c>
      <c r="GV931" s="1138" t="s">
        <v>1349</v>
      </c>
    </row>
    <row r="932" spans="1:204" x14ac:dyDescent="0.2">
      <c r="A932" s="1136"/>
      <c r="B932" s="1137"/>
      <c r="GG932" s="1138" t="s">
        <v>1349</v>
      </c>
      <c r="GH932" s="1138" t="s">
        <v>1349</v>
      </c>
      <c r="GI932" s="1138" t="s">
        <v>1349</v>
      </c>
      <c r="GJ932" s="1138" t="s">
        <v>1349</v>
      </c>
      <c r="GK932" s="1138" t="s">
        <v>1349</v>
      </c>
      <c r="GL932" s="1138" t="s">
        <v>1349</v>
      </c>
      <c r="GM932" s="1138" t="s">
        <v>1349</v>
      </c>
      <c r="GN932" s="1138" t="s">
        <v>1349</v>
      </c>
      <c r="GO932" s="1138" t="s">
        <v>1349</v>
      </c>
      <c r="GP932" s="1138" t="s">
        <v>1349</v>
      </c>
      <c r="GQ932" s="1138" t="s">
        <v>1349</v>
      </c>
      <c r="GR932" s="1138" t="s">
        <v>1349</v>
      </c>
      <c r="GS932" s="1138" t="s">
        <v>1349</v>
      </c>
      <c r="GT932" s="1138" t="s">
        <v>1349</v>
      </c>
      <c r="GU932" s="1138" t="s">
        <v>1349</v>
      </c>
      <c r="GV932" s="1138" t="s">
        <v>1349</v>
      </c>
    </row>
    <row r="933" spans="1:204" x14ac:dyDescent="0.2">
      <c r="A933" s="1136"/>
      <c r="B933" s="1137"/>
      <c r="GG933" s="1138" t="s">
        <v>1349</v>
      </c>
      <c r="GH933" s="1138" t="s">
        <v>1349</v>
      </c>
      <c r="GI933" s="1138" t="s">
        <v>1349</v>
      </c>
      <c r="GJ933" s="1138" t="s">
        <v>1349</v>
      </c>
      <c r="GK933" s="1138" t="s">
        <v>1349</v>
      </c>
      <c r="GL933" s="1138" t="s">
        <v>1349</v>
      </c>
      <c r="GM933" s="1138" t="s">
        <v>1349</v>
      </c>
      <c r="GN933" s="1138" t="s">
        <v>1349</v>
      </c>
      <c r="GO933" s="1138" t="s">
        <v>1349</v>
      </c>
      <c r="GP933" s="1138" t="s">
        <v>1349</v>
      </c>
      <c r="GQ933" s="1138" t="s">
        <v>1349</v>
      </c>
      <c r="GR933" s="1138" t="s">
        <v>1349</v>
      </c>
      <c r="GS933" s="1138" t="s">
        <v>1349</v>
      </c>
      <c r="GT933" s="1138" t="s">
        <v>1349</v>
      </c>
      <c r="GU933" s="1138" t="s">
        <v>1349</v>
      </c>
      <c r="GV933" s="1138" t="s">
        <v>1349</v>
      </c>
    </row>
    <row r="934" spans="1:204" x14ac:dyDescent="0.2">
      <c r="A934" s="1136"/>
      <c r="B934" s="1137"/>
      <c r="GG934" s="1138" t="s">
        <v>1349</v>
      </c>
      <c r="GH934" s="1138" t="s">
        <v>1349</v>
      </c>
      <c r="GI934" s="1138" t="s">
        <v>1349</v>
      </c>
      <c r="GJ934" s="1138" t="s">
        <v>1349</v>
      </c>
      <c r="GK934" s="1138" t="s">
        <v>1349</v>
      </c>
      <c r="GL934" s="1138" t="s">
        <v>1349</v>
      </c>
      <c r="GM934" s="1138" t="s">
        <v>1349</v>
      </c>
      <c r="GN934" s="1138" t="s">
        <v>1349</v>
      </c>
      <c r="GO934" s="1138" t="s">
        <v>1349</v>
      </c>
      <c r="GP934" s="1138" t="s">
        <v>1349</v>
      </c>
      <c r="GQ934" s="1138" t="s">
        <v>1349</v>
      </c>
      <c r="GR934" s="1138" t="s">
        <v>1349</v>
      </c>
      <c r="GS934" s="1138" t="s">
        <v>1349</v>
      </c>
      <c r="GT934" s="1138" t="s">
        <v>1349</v>
      </c>
      <c r="GU934" s="1138" t="s">
        <v>1349</v>
      </c>
      <c r="GV934" s="1138" t="s">
        <v>1349</v>
      </c>
    </row>
    <row r="935" spans="1:204" x14ac:dyDescent="0.2">
      <c r="A935" s="1136"/>
      <c r="B935" s="1137"/>
      <c r="GG935" s="1138" t="s">
        <v>1349</v>
      </c>
      <c r="GH935" s="1138" t="s">
        <v>1349</v>
      </c>
      <c r="GI935" s="1138" t="s">
        <v>1349</v>
      </c>
      <c r="GJ935" s="1138" t="s">
        <v>1349</v>
      </c>
      <c r="GK935" s="1138" t="s">
        <v>1349</v>
      </c>
      <c r="GL935" s="1138" t="s">
        <v>1349</v>
      </c>
      <c r="GM935" s="1138" t="s">
        <v>1349</v>
      </c>
      <c r="GN935" s="1138" t="s">
        <v>1349</v>
      </c>
      <c r="GO935" s="1138" t="s">
        <v>1349</v>
      </c>
      <c r="GP935" s="1138" t="s">
        <v>1349</v>
      </c>
      <c r="GQ935" s="1138" t="s">
        <v>1349</v>
      </c>
      <c r="GR935" s="1138" t="s">
        <v>1349</v>
      </c>
      <c r="GS935" s="1138" t="s">
        <v>1349</v>
      </c>
      <c r="GT935" s="1138" t="s">
        <v>1349</v>
      </c>
      <c r="GU935" s="1138" t="s">
        <v>1349</v>
      </c>
      <c r="GV935" s="1138" t="s">
        <v>1349</v>
      </c>
    </row>
    <row r="936" spans="1:204" x14ac:dyDescent="0.2">
      <c r="A936" s="1136"/>
      <c r="B936" s="1137"/>
      <c r="GG936" s="1138" t="s">
        <v>1349</v>
      </c>
      <c r="GH936" s="1138" t="s">
        <v>1349</v>
      </c>
      <c r="GI936" s="1138" t="s">
        <v>1349</v>
      </c>
      <c r="GJ936" s="1138" t="s">
        <v>1349</v>
      </c>
      <c r="GK936" s="1138" t="s">
        <v>1349</v>
      </c>
      <c r="GL936" s="1138" t="s">
        <v>1349</v>
      </c>
      <c r="GM936" s="1138" t="s">
        <v>1349</v>
      </c>
      <c r="GN936" s="1138" t="s">
        <v>1349</v>
      </c>
      <c r="GO936" s="1138" t="s">
        <v>1349</v>
      </c>
      <c r="GP936" s="1138" t="s">
        <v>1349</v>
      </c>
      <c r="GQ936" s="1138" t="s">
        <v>1349</v>
      </c>
      <c r="GR936" s="1138" t="s">
        <v>1349</v>
      </c>
      <c r="GS936" s="1138" t="s">
        <v>1349</v>
      </c>
      <c r="GT936" s="1138" t="s">
        <v>1349</v>
      </c>
      <c r="GU936" s="1138" t="s">
        <v>1349</v>
      </c>
      <c r="GV936" s="1138" t="s">
        <v>1349</v>
      </c>
    </row>
    <row r="937" spans="1:204" x14ac:dyDescent="0.2">
      <c r="A937" s="1136"/>
      <c r="B937" s="1137"/>
      <c r="GG937" s="1138" t="s">
        <v>1349</v>
      </c>
      <c r="GH937" s="1138" t="s">
        <v>1349</v>
      </c>
      <c r="GI937" s="1138" t="s">
        <v>1349</v>
      </c>
      <c r="GJ937" s="1138" t="s">
        <v>1349</v>
      </c>
      <c r="GK937" s="1138" t="s">
        <v>1349</v>
      </c>
      <c r="GL937" s="1138" t="s">
        <v>1349</v>
      </c>
      <c r="GM937" s="1138" t="s">
        <v>1349</v>
      </c>
      <c r="GN937" s="1138" t="s">
        <v>1349</v>
      </c>
      <c r="GO937" s="1138" t="s">
        <v>1349</v>
      </c>
      <c r="GP937" s="1138" t="s">
        <v>1349</v>
      </c>
      <c r="GQ937" s="1138" t="s">
        <v>1349</v>
      </c>
      <c r="GR937" s="1138" t="s">
        <v>1349</v>
      </c>
      <c r="GS937" s="1138" t="s">
        <v>1349</v>
      </c>
      <c r="GT937" s="1138" t="s">
        <v>1349</v>
      </c>
      <c r="GU937" s="1138" t="s">
        <v>1349</v>
      </c>
      <c r="GV937" s="1138" t="s">
        <v>1349</v>
      </c>
    </row>
    <row r="938" spans="1:204" x14ac:dyDescent="0.2">
      <c r="A938" s="1136"/>
      <c r="B938" s="1137"/>
      <c r="GG938" s="1138" t="s">
        <v>1349</v>
      </c>
      <c r="GH938" s="1138" t="s">
        <v>1349</v>
      </c>
      <c r="GI938" s="1138" t="s">
        <v>1349</v>
      </c>
      <c r="GJ938" s="1138" t="s">
        <v>1349</v>
      </c>
      <c r="GK938" s="1138" t="s">
        <v>1349</v>
      </c>
      <c r="GL938" s="1138" t="s">
        <v>1349</v>
      </c>
      <c r="GM938" s="1138" t="s">
        <v>1349</v>
      </c>
      <c r="GN938" s="1138" t="s">
        <v>1349</v>
      </c>
      <c r="GO938" s="1138" t="s">
        <v>1349</v>
      </c>
      <c r="GP938" s="1138" t="s">
        <v>1349</v>
      </c>
      <c r="GQ938" s="1138" t="s">
        <v>1349</v>
      </c>
      <c r="GR938" s="1138" t="s">
        <v>1349</v>
      </c>
      <c r="GS938" s="1138" t="s">
        <v>1349</v>
      </c>
      <c r="GT938" s="1138" t="s">
        <v>1349</v>
      </c>
      <c r="GU938" s="1138" t="s">
        <v>1349</v>
      </c>
      <c r="GV938" s="1138" t="s">
        <v>1349</v>
      </c>
    </row>
    <row r="939" spans="1:204" x14ac:dyDescent="0.2">
      <c r="A939" s="1136"/>
      <c r="B939" s="1137"/>
      <c r="GG939" s="1138" t="s">
        <v>1349</v>
      </c>
      <c r="GH939" s="1138" t="s">
        <v>1349</v>
      </c>
      <c r="GI939" s="1138" t="s">
        <v>1349</v>
      </c>
      <c r="GJ939" s="1138" t="s">
        <v>1349</v>
      </c>
      <c r="GK939" s="1138" t="s">
        <v>1349</v>
      </c>
      <c r="GL939" s="1138" t="s">
        <v>1349</v>
      </c>
      <c r="GM939" s="1138" t="s">
        <v>1349</v>
      </c>
      <c r="GN939" s="1138" t="s">
        <v>1349</v>
      </c>
      <c r="GO939" s="1138" t="s">
        <v>1349</v>
      </c>
      <c r="GP939" s="1138" t="s">
        <v>1349</v>
      </c>
      <c r="GQ939" s="1138" t="s">
        <v>1349</v>
      </c>
      <c r="GR939" s="1138" t="s">
        <v>1349</v>
      </c>
      <c r="GS939" s="1138" t="s">
        <v>1349</v>
      </c>
      <c r="GT939" s="1138" t="s">
        <v>1349</v>
      </c>
      <c r="GU939" s="1138" t="s">
        <v>1349</v>
      </c>
      <c r="GV939" s="1138" t="s">
        <v>1349</v>
      </c>
    </row>
    <row r="940" spans="1:204" x14ac:dyDescent="0.2">
      <c r="A940" s="1136"/>
      <c r="B940" s="1137"/>
      <c r="GG940" s="1138" t="s">
        <v>1349</v>
      </c>
      <c r="GH940" s="1138" t="s">
        <v>1349</v>
      </c>
      <c r="GI940" s="1138" t="s">
        <v>1349</v>
      </c>
      <c r="GJ940" s="1138" t="s">
        <v>1349</v>
      </c>
      <c r="GK940" s="1138" t="s">
        <v>1349</v>
      </c>
      <c r="GL940" s="1138" t="s">
        <v>1349</v>
      </c>
      <c r="GM940" s="1138" t="s">
        <v>1349</v>
      </c>
      <c r="GN940" s="1138" t="s">
        <v>1349</v>
      </c>
      <c r="GO940" s="1138" t="s">
        <v>1349</v>
      </c>
      <c r="GP940" s="1138" t="s">
        <v>1349</v>
      </c>
      <c r="GQ940" s="1138" t="s">
        <v>1349</v>
      </c>
      <c r="GR940" s="1138" t="s">
        <v>1349</v>
      </c>
      <c r="GS940" s="1138" t="s">
        <v>1349</v>
      </c>
      <c r="GT940" s="1138" t="s">
        <v>1349</v>
      </c>
      <c r="GU940" s="1138" t="s">
        <v>1349</v>
      </c>
      <c r="GV940" s="1138" t="s">
        <v>1349</v>
      </c>
    </row>
    <row r="941" spans="1:204" x14ac:dyDescent="0.2">
      <c r="A941" s="1136"/>
      <c r="B941" s="1137"/>
      <c r="GG941" s="1138" t="s">
        <v>1349</v>
      </c>
      <c r="GH941" s="1138" t="s">
        <v>1349</v>
      </c>
      <c r="GI941" s="1138" t="s">
        <v>1349</v>
      </c>
      <c r="GJ941" s="1138" t="s">
        <v>1349</v>
      </c>
      <c r="GK941" s="1138" t="s">
        <v>1349</v>
      </c>
      <c r="GL941" s="1138" t="s">
        <v>1349</v>
      </c>
      <c r="GM941" s="1138" t="s">
        <v>1349</v>
      </c>
      <c r="GN941" s="1138" t="s">
        <v>1349</v>
      </c>
      <c r="GO941" s="1138" t="s">
        <v>1349</v>
      </c>
      <c r="GP941" s="1138" t="s">
        <v>1349</v>
      </c>
      <c r="GQ941" s="1138" t="s">
        <v>1349</v>
      </c>
      <c r="GR941" s="1138" t="s">
        <v>1349</v>
      </c>
      <c r="GS941" s="1138" t="s">
        <v>1349</v>
      </c>
      <c r="GT941" s="1138" t="s">
        <v>1349</v>
      </c>
      <c r="GU941" s="1138" t="s">
        <v>1349</v>
      </c>
      <c r="GV941" s="1138" t="s">
        <v>1349</v>
      </c>
    </row>
    <row r="942" spans="1:204" x14ac:dyDescent="0.2">
      <c r="A942" s="1136"/>
      <c r="B942" s="1137"/>
      <c r="GG942" s="1138" t="s">
        <v>1349</v>
      </c>
      <c r="GH942" s="1138" t="s">
        <v>1349</v>
      </c>
      <c r="GI942" s="1138" t="s">
        <v>1349</v>
      </c>
      <c r="GJ942" s="1138" t="s">
        <v>1349</v>
      </c>
      <c r="GK942" s="1138" t="s">
        <v>1349</v>
      </c>
      <c r="GL942" s="1138" t="s">
        <v>1349</v>
      </c>
      <c r="GM942" s="1138" t="s">
        <v>1349</v>
      </c>
      <c r="GN942" s="1138" t="s">
        <v>1349</v>
      </c>
      <c r="GO942" s="1138" t="s">
        <v>1349</v>
      </c>
      <c r="GP942" s="1138" t="s">
        <v>1349</v>
      </c>
      <c r="GQ942" s="1138" t="s">
        <v>1349</v>
      </c>
      <c r="GR942" s="1138" t="s">
        <v>1349</v>
      </c>
      <c r="GS942" s="1138" t="s">
        <v>1349</v>
      </c>
      <c r="GT942" s="1138" t="s">
        <v>1349</v>
      </c>
      <c r="GU942" s="1138" t="s">
        <v>1349</v>
      </c>
      <c r="GV942" s="1138" t="s">
        <v>1349</v>
      </c>
    </row>
    <row r="943" spans="1:204" x14ac:dyDescent="0.2">
      <c r="A943" s="1136"/>
      <c r="B943" s="1137"/>
      <c r="GG943" s="1138" t="s">
        <v>1349</v>
      </c>
      <c r="GH943" s="1138" t="s">
        <v>1349</v>
      </c>
      <c r="GI943" s="1138" t="s">
        <v>1349</v>
      </c>
      <c r="GJ943" s="1138" t="s">
        <v>1349</v>
      </c>
      <c r="GK943" s="1138" t="s">
        <v>1349</v>
      </c>
      <c r="GL943" s="1138" t="s">
        <v>1349</v>
      </c>
      <c r="GM943" s="1138" t="s">
        <v>1349</v>
      </c>
      <c r="GN943" s="1138" t="s">
        <v>1349</v>
      </c>
      <c r="GO943" s="1138" t="s">
        <v>1349</v>
      </c>
      <c r="GP943" s="1138" t="s">
        <v>1349</v>
      </c>
      <c r="GQ943" s="1138" t="s">
        <v>1349</v>
      </c>
      <c r="GR943" s="1138" t="s">
        <v>1349</v>
      </c>
      <c r="GS943" s="1138" t="s">
        <v>1349</v>
      </c>
      <c r="GT943" s="1138" t="s">
        <v>1349</v>
      </c>
      <c r="GU943" s="1138" t="s">
        <v>1349</v>
      </c>
      <c r="GV943" s="1138" t="s">
        <v>1349</v>
      </c>
    </row>
    <row r="944" spans="1:204" x14ac:dyDescent="0.2">
      <c r="A944" s="1136"/>
      <c r="B944" s="1137"/>
      <c r="GG944" s="1138" t="s">
        <v>1349</v>
      </c>
      <c r="GH944" s="1138" t="s">
        <v>1349</v>
      </c>
      <c r="GI944" s="1138" t="s">
        <v>1349</v>
      </c>
      <c r="GJ944" s="1138" t="s">
        <v>1349</v>
      </c>
      <c r="GK944" s="1138" t="s">
        <v>1349</v>
      </c>
      <c r="GL944" s="1138" t="s">
        <v>1349</v>
      </c>
      <c r="GM944" s="1138" t="s">
        <v>1349</v>
      </c>
      <c r="GN944" s="1138" t="s">
        <v>1349</v>
      </c>
      <c r="GO944" s="1138" t="s">
        <v>1349</v>
      </c>
      <c r="GP944" s="1138" t="s">
        <v>1349</v>
      </c>
      <c r="GQ944" s="1138" t="s">
        <v>1349</v>
      </c>
      <c r="GR944" s="1138" t="s">
        <v>1349</v>
      </c>
      <c r="GS944" s="1138" t="s">
        <v>1349</v>
      </c>
      <c r="GT944" s="1138" t="s">
        <v>1349</v>
      </c>
      <c r="GU944" s="1138" t="s">
        <v>1349</v>
      </c>
      <c r="GV944" s="1138" t="s">
        <v>1349</v>
      </c>
    </row>
    <row r="945" spans="1:204" x14ac:dyDescent="0.2">
      <c r="A945" s="1136"/>
      <c r="B945" s="1137"/>
      <c r="GG945" s="1138" t="s">
        <v>1349</v>
      </c>
      <c r="GH945" s="1138" t="s">
        <v>1349</v>
      </c>
      <c r="GI945" s="1138" t="s">
        <v>1349</v>
      </c>
      <c r="GJ945" s="1138" t="s">
        <v>1349</v>
      </c>
      <c r="GK945" s="1138" t="s">
        <v>1349</v>
      </c>
      <c r="GL945" s="1138" t="s">
        <v>1349</v>
      </c>
      <c r="GM945" s="1138" t="s">
        <v>1349</v>
      </c>
      <c r="GN945" s="1138" t="s">
        <v>1349</v>
      </c>
      <c r="GO945" s="1138" t="s">
        <v>1349</v>
      </c>
      <c r="GP945" s="1138" t="s">
        <v>1349</v>
      </c>
      <c r="GQ945" s="1138" t="s">
        <v>1349</v>
      </c>
      <c r="GR945" s="1138" t="s">
        <v>1349</v>
      </c>
      <c r="GS945" s="1138" t="s">
        <v>1349</v>
      </c>
      <c r="GT945" s="1138" t="s">
        <v>1349</v>
      </c>
      <c r="GU945" s="1138" t="s">
        <v>1349</v>
      </c>
      <c r="GV945" s="1138" t="s">
        <v>1349</v>
      </c>
    </row>
    <row r="946" spans="1:204" x14ac:dyDescent="0.2">
      <c r="A946" s="1136"/>
      <c r="B946" s="1137"/>
      <c r="GG946" s="1138" t="s">
        <v>1349</v>
      </c>
      <c r="GH946" s="1138" t="s">
        <v>1349</v>
      </c>
      <c r="GI946" s="1138" t="s">
        <v>1349</v>
      </c>
      <c r="GJ946" s="1138" t="s">
        <v>1349</v>
      </c>
      <c r="GK946" s="1138" t="s">
        <v>1349</v>
      </c>
      <c r="GL946" s="1138" t="s">
        <v>1349</v>
      </c>
      <c r="GM946" s="1138" t="s">
        <v>1349</v>
      </c>
      <c r="GN946" s="1138" t="s">
        <v>1349</v>
      </c>
      <c r="GO946" s="1138" t="s">
        <v>1349</v>
      </c>
      <c r="GP946" s="1138" t="s">
        <v>1349</v>
      </c>
      <c r="GQ946" s="1138" t="s">
        <v>1349</v>
      </c>
      <c r="GR946" s="1138" t="s">
        <v>1349</v>
      </c>
      <c r="GS946" s="1138" t="s">
        <v>1349</v>
      </c>
      <c r="GT946" s="1138" t="s">
        <v>1349</v>
      </c>
      <c r="GU946" s="1138" t="s">
        <v>1349</v>
      </c>
      <c r="GV946" s="1138" t="s">
        <v>1349</v>
      </c>
    </row>
    <row r="947" spans="1:204" x14ac:dyDescent="0.2">
      <c r="A947" s="1136"/>
      <c r="B947" s="1137"/>
      <c r="GG947" s="1138" t="s">
        <v>1349</v>
      </c>
      <c r="GH947" s="1138" t="s">
        <v>1349</v>
      </c>
      <c r="GI947" s="1138" t="s">
        <v>1349</v>
      </c>
      <c r="GJ947" s="1138" t="s">
        <v>1349</v>
      </c>
      <c r="GK947" s="1138" t="s">
        <v>1349</v>
      </c>
      <c r="GL947" s="1138" t="s">
        <v>1349</v>
      </c>
      <c r="GM947" s="1138" t="s">
        <v>1349</v>
      </c>
      <c r="GN947" s="1138" t="s">
        <v>1349</v>
      </c>
      <c r="GO947" s="1138" t="s">
        <v>1349</v>
      </c>
      <c r="GP947" s="1138" t="s">
        <v>1349</v>
      </c>
      <c r="GQ947" s="1138" t="s">
        <v>1349</v>
      </c>
      <c r="GR947" s="1138" t="s">
        <v>1349</v>
      </c>
      <c r="GS947" s="1138" t="s">
        <v>1349</v>
      </c>
      <c r="GT947" s="1138" t="s">
        <v>1349</v>
      </c>
      <c r="GU947" s="1138" t="s">
        <v>1349</v>
      </c>
      <c r="GV947" s="1138" t="s">
        <v>1349</v>
      </c>
    </row>
    <row r="948" spans="1:204" x14ac:dyDescent="0.2">
      <c r="A948" s="1136"/>
      <c r="B948" s="1137"/>
      <c r="GG948" s="1138" t="s">
        <v>1349</v>
      </c>
      <c r="GH948" s="1138" t="s">
        <v>1349</v>
      </c>
      <c r="GI948" s="1138" t="s">
        <v>1349</v>
      </c>
      <c r="GJ948" s="1138" t="s">
        <v>1349</v>
      </c>
      <c r="GK948" s="1138" t="s">
        <v>1349</v>
      </c>
      <c r="GL948" s="1138" t="s">
        <v>1349</v>
      </c>
      <c r="GM948" s="1138" t="s">
        <v>1349</v>
      </c>
      <c r="GN948" s="1138" t="s">
        <v>1349</v>
      </c>
      <c r="GO948" s="1138" t="s">
        <v>1349</v>
      </c>
      <c r="GP948" s="1138" t="s">
        <v>1349</v>
      </c>
      <c r="GQ948" s="1138" t="s">
        <v>1349</v>
      </c>
      <c r="GR948" s="1138" t="s">
        <v>1349</v>
      </c>
      <c r="GS948" s="1138" t="s">
        <v>1349</v>
      </c>
      <c r="GT948" s="1138" t="s">
        <v>1349</v>
      </c>
      <c r="GU948" s="1138" t="s">
        <v>1349</v>
      </c>
      <c r="GV948" s="1138" t="s">
        <v>1349</v>
      </c>
    </row>
    <row r="949" spans="1:204" x14ac:dyDescent="0.2">
      <c r="A949" s="1136"/>
      <c r="B949" s="1137"/>
      <c r="GG949" s="1138" t="s">
        <v>1349</v>
      </c>
      <c r="GH949" s="1138" t="s">
        <v>1349</v>
      </c>
      <c r="GI949" s="1138" t="s">
        <v>1349</v>
      </c>
      <c r="GJ949" s="1138" t="s">
        <v>1349</v>
      </c>
      <c r="GK949" s="1138" t="s">
        <v>1349</v>
      </c>
      <c r="GL949" s="1138" t="s">
        <v>1349</v>
      </c>
      <c r="GM949" s="1138" t="s">
        <v>1349</v>
      </c>
      <c r="GN949" s="1138" t="s">
        <v>1349</v>
      </c>
      <c r="GO949" s="1138" t="s">
        <v>1349</v>
      </c>
      <c r="GP949" s="1138" t="s">
        <v>1349</v>
      </c>
      <c r="GQ949" s="1138" t="s">
        <v>1349</v>
      </c>
      <c r="GR949" s="1138" t="s">
        <v>1349</v>
      </c>
      <c r="GS949" s="1138" t="s">
        <v>1349</v>
      </c>
      <c r="GT949" s="1138" t="s">
        <v>1349</v>
      </c>
      <c r="GU949" s="1138" t="s">
        <v>1349</v>
      </c>
      <c r="GV949" s="1138" t="s">
        <v>1349</v>
      </c>
    </row>
    <row r="950" spans="1:204" x14ac:dyDescent="0.2">
      <c r="A950" s="1136"/>
      <c r="B950" s="1137"/>
      <c r="GG950" s="1138" t="s">
        <v>1349</v>
      </c>
      <c r="GH950" s="1138" t="s">
        <v>1349</v>
      </c>
      <c r="GI950" s="1138" t="s">
        <v>1349</v>
      </c>
      <c r="GJ950" s="1138" t="s">
        <v>1349</v>
      </c>
      <c r="GK950" s="1138" t="s">
        <v>1349</v>
      </c>
      <c r="GL950" s="1138" t="s">
        <v>1349</v>
      </c>
      <c r="GM950" s="1138" t="s">
        <v>1349</v>
      </c>
      <c r="GN950" s="1138" t="s">
        <v>1349</v>
      </c>
      <c r="GO950" s="1138" t="s">
        <v>1349</v>
      </c>
      <c r="GP950" s="1138" t="s">
        <v>1349</v>
      </c>
      <c r="GQ950" s="1138" t="s">
        <v>1349</v>
      </c>
      <c r="GR950" s="1138" t="s">
        <v>1349</v>
      </c>
      <c r="GS950" s="1138" t="s">
        <v>1349</v>
      </c>
      <c r="GT950" s="1138" t="s">
        <v>1349</v>
      </c>
      <c r="GU950" s="1138" t="s">
        <v>1349</v>
      </c>
      <c r="GV950" s="1138" t="s">
        <v>1349</v>
      </c>
    </row>
    <row r="951" spans="1:204" x14ac:dyDescent="0.2">
      <c r="A951" s="1136"/>
      <c r="B951" s="1137"/>
      <c r="GG951" s="1138" t="s">
        <v>1349</v>
      </c>
      <c r="GH951" s="1138" t="s">
        <v>1349</v>
      </c>
      <c r="GI951" s="1138" t="s">
        <v>1349</v>
      </c>
      <c r="GJ951" s="1138" t="s">
        <v>1349</v>
      </c>
      <c r="GK951" s="1138" t="s">
        <v>1349</v>
      </c>
      <c r="GL951" s="1138" t="s">
        <v>1349</v>
      </c>
      <c r="GM951" s="1138" t="s">
        <v>1349</v>
      </c>
      <c r="GN951" s="1138" t="s">
        <v>1349</v>
      </c>
      <c r="GO951" s="1138" t="s">
        <v>1349</v>
      </c>
      <c r="GP951" s="1138" t="s">
        <v>1349</v>
      </c>
      <c r="GQ951" s="1138" t="s">
        <v>1349</v>
      </c>
      <c r="GR951" s="1138" t="s">
        <v>1349</v>
      </c>
      <c r="GS951" s="1138" t="s">
        <v>1349</v>
      </c>
      <c r="GT951" s="1138" t="s">
        <v>1349</v>
      </c>
      <c r="GU951" s="1138" t="s">
        <v>1349</v>
      </c>
      <c r="GV951" s="1138" t="s">
        <v>1349</v>
      </c>
    </row>
    <row r="952" spans="1:204" x14ac:dyDescent="0.2">
      <c r="A952" s="1136"/>
      <c r="B952" s="1137"/>
      <c r="GG952" s="1138" t="s">
        <v>1349</v>
      </c>
      <c r="GH952" s="1138" t="s">
        <v>1349</v>
      </c>
      <c r="GI952" s="1138" t="s">
        <v>1349</v>
      </c>
      <c r="GJ952" s="1138" t="s">
        <v>1349</v>
      </c>
      <c r="GK952" s="1138" t="s">
        <v>1349</v>
      </c>
      <c r="GL952" s="1138" t="s">
        <v>1349</v>
      </c>
      <c r="GM952" s="1138" t="s">
        <v>1349</v>
      </c>
      <c r="GN952" s="1138" t="s">
        <v>1349</v>
      </c>
      <c r="GO952" s="1138" t="s">
        <v>1349</v>
      </c>
      <c r="GP952" s="1138" t="s">
        <v>1349</v>
      </c>
      <c r="GQ952" s="1138" t="s">
        <v>1349</v>
      </c>
      <c r="GR952" s="1138" t="s">
        <v>1349</v>
      </c>
      <c r="GS952" s="1138" t="s">
        <v>1349</v>
      </c>
      <c r="GT952" s="1138" t="s">
        <v>1349</v>
      </c>
      <c r="GU952" s="1138" t="s">
        <v>1349</v>
      </c>
      <c r="GV952" s="1138" t="s">
        <v>1349</v>
      </c>
    </row>
    <row r="953" spans="1:204" x14ac:dyDescent="0.2">
      <c r="A953" s="1136"/>
      <c r="B953" s="1137"/>
      <c r="GG953" s="1138" t="s">
        <v>1349</v>
      </c>
      <c r="GH953" s="1138" t="s">
        <v>1349</v>
      </c>
      <c r="GI953" s="1138" t="s">
        <v>1349</v>
      </c>
      <c r="GJ953" s="1138" t="s">
        <v>1349</v>
      </c>
      <c r="GK953" s="1138" t="s">
        <v>1349</v>
      </c>
      <c r="GL953" s="1138" t="s">
        <v>1349</v>
      </c>
      <c r="GM953" s="1138" t="s">
        <v>1349</v>
      </c>
      <c r="GN953" s="1138" t="s">
        <v>1349</v>
      </c>
      <c r="GO953" s="1138" t="s">
        <v>1349</v>
      </c>
      <c r="GP953" s="1138" t="s">
        <v>1349</v>
      </c>
      <c r="GQ953" s="1138" t="s">
        <v>1349</v>
      </c>
      <c r="GR953" s="1138" t="s">
        <v>1349</v>
      </c>
      <c r="GS953" s="1138" t="s">
        <v>1349</v>
      </c>
      <c r="GT953" s="1138" t="s">
        <v>1349</v>
      </c>
      <c r="GU953" s="1138" t="s">
        <v>1349</v>
      </c>
      <c r="GV953" s="1138" t="s">
        <v>1349</v>
      </c>
    </row>
    <row r="954" spans="1:204" x14ac:dyDescent="0.2">
      <c r="A954" s="1136"/>
      <c r="B954" s="1137"/>
      <c r="GG954" s="1138" t="s">
        <v>1349</v>
      </c>
      <c r="GH954" s="1138" t="s">
        <v>1349</v>
      </c>
      <c r="GI954" s="1138" t="s">
        <v>1349</v>
      </c>
      <c r="GJ954" s="1138" t="s">
        <v>1349</v>
      </c>
      <c r="GK954" s="1138" t="s">
        <v>1349</v>
      </c>
      <c r="GL954" s="1138" t="s">
        <v>1349</v>
      </c>
      <c r="GM954" s="1138" t="s">
        <v>1349</v>
      </c>
      <c r="GN954" s="1138" t="s">
        <v>1349</v>
      </c>
      <c r="GO954" s="1138" t="s">
        <v>1349</v>
      </c>
      <c r="GP954" s="1138" t="s">
        <v>1349</v>
      </c>
      <c r="GQ954" s="1138" t="s">
        <v>1349</v>
      </c>
      <c r="GR954" s="1138" t="s">
        <v>1349</v>
      </c>
      <c r="GS954" s="1138" t="s">
        <v>1349</v>
      </c>
      <c r="GT954" s="1138" t="s">
        <v>1349</v>
      </c>
      <c r="GU954" s="1138" t="s">
        <v>1349</v>
      </c>
      <c r="GV954" s="1138" t="s">
        <v>1349</v>
      </c>
    </row>
    <row r="955" spans="1:204" x14ac:dyDescent="0.2">
      <c r="A955" s="1136"/>
      <c r="B955" s="1137"/>
      <c r="H955" s="1142"/>
      <c r="GG955" s="1138" t="s">
        <v>1349</v>
      </c>
      <c r="GH955" s="1138" t="s">
        <v>1349</v>
      </c>
      <c r="GI955" s="1138" t="s">
        <v>1349</v>
      </c>
      <c r="GJ955" s="1138" t="s">
        <v>1349</v>
      </c>
      <c r="GK955" s="1138" t="s">
        <v>1349</v>
      </c>
      <c r="GL955" s="1138" t="s">
        <v>1349</v>
      </c>
      <c r="GM955" s="1138" t="s">
        <v>1349</v>
      </c>
      <c r="GN955" s="1138" t="s">
        <v>1349</v>
      </c>
      <c r="GO955" s="1138" t="s">
        <v>1349</v>
      </c>
      <c r="GP955" s="1138" t="s">
        <v>1349</v>
      </c>
      <c r="GQ955" s="1138" t="s">
        <v>1349</v>
      </c>
      <c r="GR955" s="1138" t="s">
        <v>1349</v>
      </c>
      <c r="GS955" s="1138" t="s">
        <v>1349</v>
      </c>
      <c r="GT955" s="1138" t="s">
        <v>1349</v>
      </c>
      <c r="GU955" s="1138" t="s">
        <v>1349</v>
      </c>
      <c r="GV955" s="1138" t="s">
        <v>1349</v>
      </c>
    </row>
    <row r="956" spans="1:204" x14ac:dyDescent="0.2">
      <c r="A956" s="1136"/>
      <c r="B956" s="1137"/>
      <c r="H956" s="1142"/>
      <c r="GG956" s="1138" t="s">
        <v>1349</v>
      </c>
      <c r="GH956" s="1138" t="s">
        <v>1349</v>
      </c>
      <c r="GI956" s="1138" t="s">
        <v>1349</v>
      </c>
      <c r="GJ956" s="1138" t="s">
        <v>1349</v>
      </c>
      <c r="GK956" s="1138" t="s">
        <v>1349</v>
      </c>
      <c r="GL956" s="1138" t="s">
        <v>1349</v>
      </c>
      <c r="GM956" s="1138" t="s">
        <v>1349</v>
      </c>
      <c r="GN956" s="1138" t="s">
        <v>1349</v>
      </c>
      <c r="GO956" s="1138" t="s">
        <v>1349</v>
      </c>
      <c r="GP956" s="1138" t="s">
        <v>1349</v>
      </c>
      <c r="GQ956" s="1138" t="s">
        <v>1349</v>
      </c>
      <c r="GR956" s="1138" t="s">
        <v>1349</v>
      </c>
      <c r="GS956" s="1138" t="s">
        <v>1349</v>
      </c>
      <c r="GT956" s="1138" t="s">
        <v>1349</v>
      </c>
      <c r="GU956" s="1138" t="s">
        <v>1349</v>
      </c>
      <c r="GV956" s="1138" t="s">
        <v>1349</v>
      </c>
    </row>
    <row r="957" spans="1:204" x14ac:dyDescent="0.2">
      <c r="A957" s="1136"/>
      <c r="B957" s="1137"/>
      <c r="H957" s="1142"/>
      <c r="GG957" s="1138" t="s">
        <v>1349</v>
      </c>
      <c r="GH957" s="1138" t="s">
        <v>1349</v>
      </c>
      <c r="GI957" s="1138" t="s">
        <v>1349</v>
      </c>
      <c r="GJ957" s="1138" t="s">
        <v>1349</v>
      </c>
      <c r="GK957" s="1138" t="s">
        <v>1349</v>
      </c>
      <c r="GL957" s="1138" t="s">
        <v>1349</v>
      </c>
      <c r="GM957" s="1138" t="s">
        <v>1349</v>
      </c>
      <c r="GN957" s="1138" t="s">
        <v>1349</v>
      </c>
      <c r="GO957" s="1138" t="s">
        <v>1349</v>
      </c>
      <c r="GP957" s="1138" t="s">
        <v>1349</v>
      </c>
      <c r="GQ957" s="1138" t="s">
        <v>1349</v>
      </c>
      <c r="GR957" s="1138" t="s">
        <v>1349</v>
      </c>
      <c r="GS957" s="1138" t="s">
        <v>1349</v>
      </c>
      <c r="GT957" s="1138" t="s">
        <v>1349</v>
      </c>
      <c r="GU957" s="1138" t="s">
        <v>1349</v>
      </c>
      <c r="GV957" s="1138" t="s">
        <v>1349</v>
      </c>
    </row>
    <row r="958" spans="1:204" x14ac:dyDescent="0.2">
      <c r="A958" s="1136"/>
      <c r="B958" s="1137"/>
      <c r="H958" s="1142"/>
      <c r="GG958" s="1138" t="s">
        <v>1349</v>
      </c>
      <c r="GH958" s="1138" t="s">
        <v>1349</v>
      </c>
      <c r="GI958" s="1138" t="s">
        <v>1349</v>
      </c>
      <c r="GJ958" s="1138" t="s">
        <v>1349</v>
      </c>
      <c r="GK958" s="1138" t="s">
        <v>1349</v>
      </c>
      <c r="GL958" s="1138" t="s">
        <v>1349</v>
      </c>
      <c r="GM958" s="1138" t="s">
        <v>1349</v>
      </c>
      <c r="GN958" s="1138" t="s">
        <v>1349</v>
      </c>
      <c r="GO958" s="1138" t="s">
        <v>1349</v>
      </c>
      <c r="GP958" s="1138" t="s">
        <v>1349</v>
      </c>
      <c r="GQ958" s="1138" t="s">
        <v>1349</v>
      </c>
      <c r="GR958" s="1138" t="s">
        <v>1349</v>
      </c>
      <c r="GS958" s="1138" t="s">
        <v>1349</v>
      </c>
      <c r="GT958" s="1138" t="s">
        <v>1349</v>
      </c>
      <c r="GU958" s="1138" t="s">
        <v>1349</v>
      </c>
      <c r="GV958" s="1138" t="s">
        <v>1349</v>
      </c>
    </row>
    <row r="959" spans="1:204" x14ac:dyDescent="0.2">
      <c r="A959" s="1136"/>
      <c r="B959" s="1137"/>
      <c r="H959" s="1142"/>
      <c r="GG959" s="1138" t="s">
        <v>1349</v>
      </c>
      <c r="GH959" s="1138" t="s">
        <v>1349</v>
      </c>
      <c r="GI959" s="1138" t="s">
        <v>1349</v>
      </c>
      <c r="GJ959" s="1138" t="s">
        <v>1349</v>
      </c>
      <c r="GK959" s="1138" t="s">
        <v>1349</v>
      </c>
      <c r="GL959" s="1138" t="s">
        <v>1349</v>
      </c>
      <c r="GM959" s="1138" t="s">
        <v>1349</v>
      </c>
      <c r="GN959" s="1138" t="s">
        <v>1349</v>
      </c>
      <c r="GO959" s="1138" t="s">
        <v>1349</v>
      </c>
      <c r="GP959" s="1138" t="s">
        <v>1349</v>
      </c>
      <c r="GQ959" s="1138" t="s">
        <v>1349</v>
      </c>
      <c r="GR959" s="1138" t="s">
        <v>1349</v>
      </c>
      <c r="GS959" s="1138" t="s">
        <v>1349</v>
      </c>
      <c r="GT959" s="1138" t="s">
        <v>1349</v>
      </c>
      <c r="GU959" s="1138" t="s">
        <v>1349</v>
      </c>
      <c r="GV959" s="1138" t="s">
        <v>1349</v>
      </c>
    </row>
    <row r="960" spans="1:204" x14ac:dyDescent="0.2">
      <c r="A960" s="1136"/>
      <c r="B960" s="1137"/>
      <c r="H960" s="1142"/>
      <c r="GG960" s="1138" t="s">
        <v>1349</v>
      </c>
      <c r="GH960" s="1138" t="s">
        <v>1349</v>
      </c>
      <c r="GI960" s="1138" t="s">
        <v>1349</v>
      </c>
      <c r="GJ960" s="1138" t="s">
        <v>1349</v>
      </c>
      <c r="GK960" s="1138" t="s">
        <v>1349</v>
      </c>
      <c r="GL960" s="1138" t="s">
        <v>1349</v>
      </c>
      <c r="GM960" s="1138" t="s">
        <v>1349</v>
      </c>
      <c r="GN960" s="1138" t="s">
        <v>1349</v>
      </c>
      <c r="GO960" s="1138" t="s">
        <v>1349</v>
      </c>
      <c r="GP960" s="1138" t="s">
        <v>1349</v>
      </c>
      <c r="GQ960" s="1138" t="s">
        <v>1349</v>
      </c>
      <c r="GR960" s="1138" t="s">
        <v>1349</v>
      </c>
      <c r="GS960" s="1138" t="s">
        <v>1349</v>
      </c>
      <c r="GT960" s="1138" t="s">
        <v>1349</v>
      </c>
      <c r="GU960" s="1138" t="s">
        <v>1349</v>
      </c>
      <c r="GV960" s="1138" t="s">
        <v>1349</v>
      </c>
    </row>
    <row r="961" spans="1:210" x14ac:dyDescent="0.2">
      <c r="A961" s="1136"/>
      <c r="B961" s="1137"/>
      <c r="GG961" s="1138" t="s">
        <v>1349</v>
      </c>
      <c r="GH961" s="1138" t="s">
        <v>1349</v>
      </c>
      <c r="GI961" s="1138" t="s">
        <v>1349</v>
      </c>
      <c r="GJ961" s="1138" t="s">
        <v>1349</v>
      </c>
      <c r="GK961" s="1138" t="s">
        <v>1349</v>
      </c>
      <c r="GL961" s="1138" t="s">
        <v>1349</v>
      </c>
      <c r="GM961" s="1138" t="s">
        <v>1349</v>
      </c>
      <c r="GN961" s="1138" t="s">
        <v>1349</v>
      </c>
      <c r="GO961" s="1138" t="s">
        <v>1349</v>
      </c>
      <c r="GP961" s="1138" t="s">
        <v>1349</v>
      </c>
      <c r="GQ961" s="1138" t="s">
        <v>1349</v>
      </c>
      <c r="GR961" s="1138" t="s">
        <v>1349</v>
      </c>
      <c r="GS961" s="1138" t="s">
        <v>1349</v>
      </c>
      <c r="GT961" s="1138" t="s">
        <v>1349</v>
      </c>
      <c r="GU961" s="1138" t="s">
        <v>1349</v>
      </c>
      <c r="GV961" s="1138" t="s">
        <v>1349</v>
      </c>
    </row>
    <row r="962" spans="1:210" x14ac:dyDescent="0.2">
      <c r="A962" s="1136"/>
      <c r="B962" s="1137"/>
      <c r="GG962" s="1138" t="s">
        <v>1349</v>
      </c>
      <c r="GH962" s="1138" t="s">
        <v>1349</v>
      </c>
      <c r="GI962" s="1138" t="s">
        <v>1349</v>
      </c>
      <c r="GJ962" s="1138" t="s">
        <v>1349</v>
      </c>
      <c r="GK962" s="1138" t="s">
        <v>1349</v>
      </c>
      <c r="GL962" s="1138" t="s">
        <v>1349</v>
      </c>
      <c r="GM962" s="1138" t="s">
        <v>1349</v>
      </c>
      <c r="GN962" s="1138" t="s">
        <v>1349</v>
      </c>
      <c r="GO962" s="1138" t="s">
        <v>1349</v>
      </c>
      <c r="GP962" s="1138" t="s">
        <v>1349</v>
      </c>
      <c r="GQ962" s="1138" t="s">
        <v>1349</v>
      </c>
      <c r="GR962" s="1138" t="s">
        <v>1349</v>
      </c>
      <c r="GS962" s="1138" t="s">
        <v>1349</v>
      </c>
      <c r="GT962" s="1138" t="s">
        <v>1349</v>
      </c>
      <c r="GU962" s="1138" t="s">
        <v>1349</v>
      </c>
      <c r="GV962" s="1138" t="s">
        <v>1349</v>
      </c>
    </row>
    <row r="963" spans="1:210" x14ac:dyDescent="0.2">
      <c r="A963" s="1136"/>
      <c r="B963" s="1137"/>
      <c r="E963" s="1142"/>
      <c r="GG963" s="1138" t="s">
        <v>1349</v>
      </c>
      <c r="GH963" s="1138" t="s">
        <v>1349</v>
      </c>
      <c r="GI963" s="1138" t="s">
        <v>1349</v>
      </c>
      <c r="GJ963" s="1138" t="s">
        <v>1349</v>
      </c>
      <c r="GK963" s="1138" t="s">
        <v>1349</v>
      </c>
      <c r="GL963" s="1138" t="s">
        <v>1349</v>
      </c>
      <c r="GM963" s="1138" t="s">
        <v>1349</v>
      </c>
      <c r="GN963" s="1138" t="s">
        <v>1349</v>
      </c>
      <c r="GO963" s="1138" t="s">
        <v>1349</v>
      </c>
      <c r="GP963" s="1138" t="s">
        <v>1349</v>
      </c>
      <c r="GQ963" s="1138" t="s">
        <v>1349</v>
      </c>
      <c r="GR963" s="1138" t="s">
        <v>1349</v>
      </c>
      <c r="GS963" s="1138" t="s">
        <v>1349</v>
      </c>
      <c r="GT963" s="1138" t="s">
        <v>1349</v>
      </c>
      <c r="GU963" s="1138" t="s">
        <v>1349</v>
      </c>
      <c r="GV963" s="1138" t="s">
        <v>1349</v>
      </c>
    </row>
    <row r="964" spans="1:210" x14ac:dyDescent="0.2">
      <c r="A964" s="1136"/>
      <c r="B964" s="1137"/>
      <c r="E964" s="1142"/>
      <c r="GG964" s="1138" t="s">
        <v>1349</v>
      </c>
      <c r="GH964" s="1138" t="s">
        <v>1349</v>
      </c>
      <c r="GI964" s="1138" t="s">
        <v>1349</v>
      </c>
      <c r="GJ964" s="1138" t="s">
        <v>1349</v>
      </c>
      <c r="GK964" s="1138" t="s">
        <v>1349</v>
      </c>
      <c r="GL964" s="1138" t="s">
        <v>1349</v>
      </c>
      <c r="GM964" s="1138" t="s">
        <v>1349</v>
      </c>
      <c r="GN964" s="1138" t="s">
        <v>1349</v>
      </c>
      <c r="GO964" s="1138" t="s">
        <v>1349</v>
      </c>
      <c r="GP964" s="1138" t="s">
        <v>1349</v>
      </c>
      <c r="GQ964" s="1138" t="s">
        <v>1349</v>
      </c>
      <c r="GR964" s="1138" t="s">
        <v>1349</v>
      </c>
      <c r="GS964" s="1138" t="s">
        <v>1349</v>
      </c>
      <c r="GT964" s="1138" t="s">
        <v>1349</v>
      </c>
      <c r="GU964" s="1138" t="s">
        <v>1349</v>
      </c>
      <c r="GV964" s="1138" t="s">
        <v>1349</v>
      </c>
    </row>
    <row r="965" spans="1:210" x14ac:dyDescent="0.2">
      <c r="A965" s="1136"/>
      <c r="B965" s="1137"/>
      <c r="E965" s="1142"/>
      <c r="GG965" s="1138" t="s">
        <v>1349</v>
      </c>
      <c r="GH965" s="1138" t="s">
        <v>1349</v>
      </c>
      <c r="GI965" s="1138" t="s">
        <v>1349</v>
      </c>
      <c r="GJ965" s="1138" t="s">
        <v>1349</v>
      </c>
      <c r="GK965" s="1138" t="s">
        <v>1349</v>
      </c>
      <c r="GL965" s="1138" t="s">
        <v>1349</v>
      </c>
      <c r="GM965" s="1138" t="s">
        <v>1349</v>
      </c>
      <c r="GN965" s="1138" t="s">
        <v>1349</v>
      </c>
      <c r="GO965" s="1138" t="s">
        <v>1349</v>
      </c>
      <c r="GP965" s="1138" t="s">
        <v>1349</v>
      </c>
      <c r="GQ965" s="1138" t="s">
        <v>1349</v>
      </c>
      <c r="GR965" s="1138" t="s">
        <v>1349</v>
      </c>
      <c r="GS965" s="1138" t="s">
        <v>1349</v>
      </c>
      <c r="GT965" s="1138" t="s">
        <v>1349</v>
      </c>
      <c r="GU965" s="1138" t="s">
        <v>1349</v>
      </c>
      <c r="GV965" s="1138" t="s">
        <v>1349</v>
      </c>
    </row>
    <row r="966" spans="1:210" x14ac:dyDescent="0.2">
      <c r="A966" s="1136"/>
      <c r="B966" s="1137"/>
      <c r="E966" s="1142"/>
      <c r="GG966" s="1138" t="s">
        <v>1349</v>
      </c>
      <c r="GH966" s="1138" t="s">
        <v>1349</v>
      </c>
      <c r="GI966" s="1138" t="s">
        <v>1349</v>
      </c>
      <c r="GJ966" s="1138" t="s">
        <v>1349</v>
      </c>
      <c r="GK966" s="1138" t="s">
        <v>1349</v>
      </c>
      <c r="GL966" s="1138" t="s">
        <v>1349</v>
      </c>
      <c r="GM966" s="1138" t="s">
        <v>1349</v>
      </c>
      <c r="GN966" s="1138" t="s">
        <v>1349</v>
      </c>
      <c r="GO966" s="1138" t="s">
        <v>1349</v>
      </c>
      <c r="GP966" s="1138" t="s">
        <v>1349</v>
      </c>
      <c r="GQ966" s="1138" t="s">
        <v>1349</v>
      </c>
      <c r="GR966" s="1138" t="s">
        <v>1349</v>
      </c>
      <c r="GS966" s="1138" t="s">
        <v>1349</v>
      </c>
      <c r="GT966" s="1138" t="s">
        <v>1349</v>
      </c>
      <c r="GU966" s="1138" t="s">
        <v>1349</v>
      </c>
      <c r="GV966" s="1138" t="s">
        <v>1349</v>
      </c>
    </row>
    <row r="967" spans="1:210" x14ac:dyDescent="0.2">
      <c r="A967" s="1136"/>
      <c r="B967" s="1137"/>
      <c r="E967" s="1142"/>
      <c r="GG967" s="1138" t="s">
        <v>1349</v>
      </c>
      <c r="GH967" s="1138" t="s">
        <v>1349</v>
      </c>
      <c r="GI967" s="1138" t="s">
        <v>1349</v>
      </c>
      <c r="GJ967" s="1138" t="s">
        <v>1349</v>
      </c>
      <c r="GK967" s="1138" t="s">
        <v>1349</v>
      </c>
      <c r="GL967" s="1138" t="s">
        <v>1349</v>
      </c>
      <c r="GM967" s="1138" t="s">
        <v>1349</v>
      </c>
      <c r="GN967" s="1138" t="s">
        <v>1349</v>
      </c>
      <c r="GO967" s="1138" t="s">
        <v>1349</v>
      </c>
      <c r="GP967" s="1138" t="s">
        <v>1349</v>
      </c>
      <c r="GQ967" s="1138" t="s">
        <v>1349</v>
      </c>
      <c r="GR967" s="1138" t="s">
        <v>1349</v>
      </c>
      <c r="GS967" s="1138" t="s">
        <v>1349</v>
      </c>
      <c r="GT967" s="1138" t="s">
        <v>1349</v>
      </c>
      <c r="GU967" s="1138" t="s">
        <v>1349</v>
      </c>
      <c r="GV967" s="1138" t="s">
        <v>1349</v>
      </c>
    </row>
    <row r="968" spans="1:210" x14ac:dyDescent="0.2">
      <c r="A968" s="1136"/>
      <c r="B968" s="1137"/>
      <c r="E968" s="1142"/>
      <c r="H968" s="1230"/>
      <c r="GG968" s="1138" t="s">
        <v>1349</v>
      </c>
      <c r="GH968" s="1138" t="s">
        <v>1349</v>
      </c>
      <c r="GI968" s="1138" t="s">
        <v>1349</v>
      </c>
      <c r="GJ968" s="1138" t="s">
        <v>1349</v>
      </c>
      <c r="GK968" s="1138" t="s">
        <v>1349</v>
      </c>
      <c r="GL968" s="1138" t="s">
        <v>1349</v>
      </c>
      <c r="GM968" s="1138" t="s">
        <v>1349</v>
      </c>
      <c r="GN968" s="1138" t="s">
        <v>1349</v>
      </c>
      <c r="GO968" s="1138" t="s">
        <v>1349</v>
      </c>
      <c r="GP968" s="1138" t="s">
        <v>1349</v>
      </c>
      <c r="GQ968" s="1138" t="s">
        <v>1349</v>
      </c>
      <c r="GR968" s="1138" t="s">
        <v>1349</v>
      </c>
      <c r="GS968" s="1138" t="s">
        <v>1349</v>
      </c>
      <c r="GT968" s="1138" t="s">
        <v>1349</v>
      </c>
      <c r="GU968" s="1138" t="s">
        <v>1349</v>
      </c>
      <c r="GV968" s="1138" t="s">
        <v>1349</v>
      </c>
    </row>
    <row r="969" spans="1:210" x14ac:dyDescent="0.2">
      <c r="A969" s="1136"/>
      <c r="B969" s="1137"/>
      <c r="H969" s="1230"/>
      <c r="GG969" s="1138" t="s">
        <v>1349</v>
      </c>
      <c r="GH969" s="1138" t="s">
        <v>1349</v>
      </c>
      <c r="GI969" s="1138" t="s">
        <v>1349</v>
      </c>
      <c r="GJ969" s="1138" t="s">
        <v>1349</v>
      </c>
      <c r="GK969" s="1138" t="s">
        <v>1349</v>
      </c>
      <c r="GL969" s="1138" t="s">
        <v>1349</v>
      </c>
      <c r="GM969" s="1138" t="s">
        <v>1349</v>
      </c>
      <c r="GN969" s="1138" t="s">
        <v>1349</v>
      </c>
      <c r="GO969" s="1138" t="s">
        <v>1349</v>
      </c>
      <c r="GP969" s="1138" t="s">
        <v>1349</v>
      </c>
      <c r="GQ969" s="1138" t="s">
        <v>1349</v>
      </c>
      <c r="GR969" s="1138" t="s">
        <v>1349</v>
      </c>
      <c r="GS969" s="1138" t="s">
        <v>1349</v>
      </c>
      <c r="GT969" s="1138" t="s">
        <v>1349</v>
      </c>
      <c r="GU969" s="1138" t="s">
        <v>1349</v>
      </c>
      <c r="GV969" s="1138" t="s">
        <v>1349</v>
      </c>
    </row>
    <row r="970" spans="1:210" x14ac:dyDescent="0.2">
      <c r="A970" s="1136"/>
      <c r="B970" s="1137"/>
      <c r="H970" s="1230"/>
      <c r="EF970" s="1142"/>
      <c r="EL970" s="1183"/>
      <c r="GG970" s="1138" t="s">
        <v>1349</v>
      </c>
      <c r="GH970" s="1138" t="s">
        <v>1349</v>
      </c>
      <c r="GI970" s="1138" t="s">
        <v>1349</v>
      </c>
      <c r="GJ970" s="1138" t="s">
        <v>1349</v>
      </c>
      <c r="GK970" s="1138" t="s">
        <v>1349</v>
      </c>
      <c r="GL970" s="1138" t="s">
        <v>1349</v>
      </c>
      <c r="GM970" s="1138" t="s">
        <v>1349</v>
      </c>
      <c r="GN970" s="1138" t="s">
        <v>1349</v>
      </c>
      <c r="GO970" s="1138" t="s">
        <v>1349</v>
      </c>
      <c r="GP970" s="1138" t="s">
        <v>1349</v>
      </c>
      <c r="GQ970" s="1138" t="s">
        <v>1349</v>
      </c>
      <c r="GR970" s="1138" t="s">
        <v>1349</v>
      </c>
      <c r="GS970" s="1138" t="s">
        <v>1349</v>
      </c>
      <c r="GT970" s="1138" t="s">
        <v>1349</v>
      </c>
      <c r="GU970" s="1138" t="s">
        <v>1349</v>
      </c>
      <c r="GV970" s="1138" t="s">
        <v>1349</v>
      </c>
      <c r="GY970" s="1142"/>
      <c r="GZ970" s="1142"/>
      <c r="HA970" s="1142"/>
      <c r="HB970" s="1142"/>
    </row>
    <row r="971" spans="1:210" x14ac:dyDescent="0.2">
      <c r="A971" s="1136"/>
      <c r="B971" s="1137"/>
      <c r="H971" s="1230"/>
      <c r="EF971" s="1142"/>
      <c r="EL971" s="1183"/>
      <c r="GG971" s="1138" t="s">
        <v>1349</v>
      </c>
      <c r="GH971" s="1138" t="s">
        <v>1349</v>
      </c>
      <c r="GI971" s="1138" t="s">
        <v>1349</v>
      </c>
      <c r="GJ971" s="1138" t="s">
        <v>1349</v>
      </c>
      <c r="GK971" s="1138" t="s">
        <v>1349</v>
      </c>
      <c r="GL971" s="1138" t="s">
        <v>1349</v>
      </c>
      <c r="GM971" s="1138" t="s">
        <v>1349</v>
      </c>
      <c r="GN971" s="1138" t="s">
        <v>1349</v>
      </c>
      <c r="GO971" s="1138" t="s">
        <v>1349</v>
      </c>
      <c r="GP971" s="1138" t="s">
        <v>1349</v>
      </c>
      <c r="GQ971" s="1138" t="s">
        <v>1349</v>
      </c>
      <c r="GR971" s="1138" t="s">
        <v>1349</v>
      </c>
      <c r="GS971" s="1138" t="s">
        <v>1349</v>
      </c>
      <c r="GT971" s="1138" t="s">
        <v>1349</v>
      </c>
      <c r="GU971" s="1138" t="s">
        <v>1349</v>
      </c>
      <c r="GV971" s="1138" t="s">
        <v>1349</v>
      </c>
      <c r="GY971" s="1142"/>
      <c r="GZ971" s="1142"/>
      <c r="HA971" s="1142"/>
      <c r="HB971" s="1142"/>
    </row>
    <row r="972" spans="1:210" x14ac:dyDescent="0.2">
      <c r="A972" s="1136"/>
      <c r="B972" s="1137"/>
      <c r="H972" s="1230"/>
      <c r="EF972" s="1142"/>
      <c r="EL972" s="1183"/>
      <c r="GG972" s="1138" t="s">
        <v>1349</v>
      </c>
      <c r="GH972" s="1138" t="s">
        <v>1349</v>
      </c>
      <c r="GI972" s="1138" t="s">
        <v>1349</v>
      </c>
      <c r="GJ972" s="1138" t="s">
        <v>1349</v>
      </c>
      <c r="GK972" s="1138" t="s">
        <v>1349</v>
      </c>
      <c r="GL972" s="1138" t="s">
        <v>1349</v>
      </c>
      <c r="GM972" s="1138" t="s">
        <v>1349</v>
      </c>
      <c r="GN972" s="1138" t="s">
        <v>1349</v>
      </c>
      <c r="GO972" s="1138" t="s">
        <v>1349</v>
      </c>
      <c r="GP972" s="1138" t="s">
        <v>1349</v>
      </c>
      <c r="GQ972" s="1138" t="s">
        <v>1349</v>
      </c>
      <c r="GR972" s="1138" t="s">
        <v>1349</v>
      </c>
      <c r="GS972" s="1138" t="s">
        <v>1349</v>
      </c>
      <c r="GT972" s="1138" t="s">
        <v>1349</v>
      </c>
      <c r="GU972" s="1138" t="s">
        <v>1349</v>
      </c>
      <c r="GV972" s="1138" t="s">
        <v>1349</v>
      </c>
      <c r="GY972" s="1142"/>
      <c r="GZ972" s="1142"/>
      <c r="HA972" s="1142"/>
      <c r="HB972" s="1142"/>
    </row>
    <row r="973" spans="1:210" x14ac:dyDescent="0.2">
      <c r="A973" s="1136"/>
      <c r="B973" s="1137"/>
      <c r="H973" s="1230"/>
      <c r="T973" s="1142"/>
      <c r="U973" s="1142"/>
      <c r="V973" s="1142"/>
      <c r="W973" s="1142"/>
      <c r="EF973" s="1142"/>
      <c r="EL973" s="1183"/>
      <c r="GG973" s="1138" t="s">
        <v>1349</v>
      </c>
      <c r="GH973" s="1138" t="s">
        <v>1349</v>
      </c>
      <c r="GI973" s="1138" t="s">
        <v>1349</v>
      </c>
      <c r="GJ973" s="1138" t="s">
        <v>1349</v>
      </c>
      <c r="GK973" s="1138" t="s">
        <v>1349</v>
      </c>
      <c r="GL973" s="1138" t="s">
        <v>1349</v>
      </c>
      <c r="GM973" s="1138" t="s">
        <v>1349</v>
      </c>
      <c r="GN973" s="1138" t="s">
        <v>1349</v>
      </c>
      <c r="GO973" s="1138" t="s">
        <v>1349</v>
      </c>
      <c r="GP973" s="1138" t="s">
        <v>1349</v>
      </c>
      <c r="GQ973" s="1138" t="s">
        <v>1349</v>
      </c>
      <c r="GR973" s="1138" t="s">
        <v>1349</v>
      </c>
      <c r="GS973" s="1138" t="s">
        <v>1349</v>
      </c>
      <c r="GT973" s="1138" t="s">
        <v>1349</v>
      </c>
      <c r="GU973" s="1138" t="s">
        <v>1349</v>
      </c>
      <c r="GV973" s="1138" t="s">
        <v>1349</v>
      </c>
      <c r="GY973" s="1142"/>
      <c r="GZ973" s="1142"/>
      <c r="HA973" s="1142"/>
      <c r="HB973" s="1142"/>
    </row>
    <row r="974" spans="1:210" x14ac:dyDescent="0.2">
      <c r="A974" s="1136"/>
      <c r="B974" s="1137"/>
      <c r="T974" s="1142"/>
      <c r="U974" s="1142"/>
      <c r="V974" s="1142"/>
      <c r="W974" s="1142"/>
      <c r="EF974" s="1142"/>
      <c r="EL974" s="1183"/>
      <c r="GG974" s="1138" t="s">
        <v>1349</v>
      </c>
      <c r="GH974" s="1138" t="s">
        <v>1349</v>
      </c>
      <c r="GI974" s="1138" t="s">
        <v>1349</v>
      </c>
      <c r="GJ974" s="1138" t="s">
        <v>1349</v>
      </c>
      <c r="GK974" s="1138" t="s">
        <v>1349</v>
      </c>
      <c r="GL974" s="1138" t="s">
        <v>1349</v>
      </c>
      <c r="GM974" s="1138" t="s">
        <v>1349</v>
      </c>
      <c r="GN974" s="1138" t="s">
        <v>1349</v>
      </c>
      <c r="GO974" s="1138" t="s">
        <v>1349</v>
      </c>
      <c r="GP974" s="1138" t="s">
        <v>1349</v>
      </c>
      <c r="GQ974" s="1138" t="s">
        <v>1349</v>
      </c>
      <c r="GR974" s="1138" t="s">
        <v>1349</v>
      </c>
      <c r="GS974" s="1138" t="s">
        <v>1349</v>
      </c>
      <c r="GT974" s="1138" t="s">
        <v>1349</v>
      </c>
      <c r="GU974" s="1138" t="s">
        <v>1349</v>
      </c>
      <c r="GV974" s="1138" t="s">
        <v>1349</v>
      </c>
      <c r="GY974" s="1142"/>
      <c r="GZ974" s="1142"/>
      <c r="HA974" s="1142"/>
      <c r="HB974" s="1142"/>
    </row>
    <row r="975" spans="1:210" x14ac:dyDescent="0.2">
      <c r="A975" s="1136"/>
      <c r="B975" s="1137"/>
      <c r="T975" s="1142"/>
      <c r="U975" s="1142"/>
      <c r="V975" s="1142"/>
      <c r="W975" s="1142"/>
      <c r="EF975" s="1142"/>
      <c r="EL975" s="1183"/>
      <c r="GG975" s="1138" t="s">
        <v>1349</v>
      </c>
      <c r="GH975" s="1138" t="s">
        <v>1349</v>
      </c>
      <c r="GI975" s="1138" t="s">
        <v>1349</v>
      </c>
      <c r="GJ975" s="1138" t="s">
        <v>1349</v>
      </c>
      <c r="GK975" s="1138" t="s">
        <v>1349</v>
      </c>
      <c r="GL975" s="1138" t="s">
        <v>1349</v>
      </c>
      <c r="GM975" s="1138" t="s">
        <v>1349</v>
      </c>
      <c r="GN975" s="1138" t="s">
        <v>1349</v>
      </c>
      <c r="GO975" s="1138" t="s">
        <v>1349</v>
      </c>
      <c r="GP975" s="1138" t="s">
        <v>1349</v>
      </c>
      <c r="GQ975" s="1138" t="s">
        <v>1349</v>
      </c>
      <c r="GR975" s="1138" t="s">
        <v>1349</v>
      </c>
      <c r="GS975" s="1138" t="s">
        <v>1349</v>
      </c>
      <c r="GT975" s="1138" t="s">
        <v>1349</v>
      </c>
      <c r="GU975" s="1138" t="s">
        <v>1349</v>
      </c>
      <c r="GV975" s="1138" t="s">
        <v>1349</v>
      </c>
      <c r="GY975" s="1142"/>
      <c r="GZ975" s="1142"/>
      <c r="HA975" s="1142"/>
      <c r="HB975" s="1142"/>
    </row>
    <row r="976" spans="1:210" x14ac:dyDescent="0.2">
      <c r="A976" s="1136"/>
      <c r="B976" s="1137"/>
      <c r="E976" s="1230"/>
      <c r="R976" s="1142"/>
      <c r="T976" s="1142"/>
      <c r="U976" s="1142"/>
      <c r="V976" s="1142"/>
      <c r="W976" s="1142"/>
      <c r="AZ976" s="1142"/>
      <c r="GG976" s="1138" t="s">
        <v>1349</v>
      </c>
      <c r="GH976" s="1138" t="s">
        <v>1349</v>
      </c>
      <c r="GI976" s="1138" t="s">
        <v>1349</v>
      </c>
      <c r="GJ976" s="1138" t="s">
        <v>1349</v>
      </c>
      <c r="GK976" s="1138" t="s">
        <v>1349</v>
      </c>
      <c r="GL976" s="1138" t="s">
        <v>1349</v>
      </c>
      <c r="GM976" s="1138" t="s">
        <v>1349</v>
      </c>
      <c r="GN976" s="1138" t="s">
        <v>1349</v>
      </c>
      <c r="GO976" s="1138" t="s">
        <v>1349</v>
      </c>
      <c r="GP976" s="1138" t="s">
        <v>1349</v>
      </c>
      <c r="GQ976" s="1138" t="s">
        <v>1349</v>
      </c>
      <c r="GR976" s="1138" t="s">
        <v>1349</v>
      </c>
      <c r="GS976" s="1138" t="s">
        <v>1349</v>
      </c>
      <c r="GT976" s="1138" t="s">
        <v>1349</v>
      </c>
      <c r="GU976" s="1138" t="s">
        <v>1349</v>
      </c>
      <c r="GV976" s="1138" t="s">
        <v>1349</v>
      </c>
    </row>
    <row r="977" spans="1:260" x14ac:dyDescent="0.2">
      <c r="A977" s="1136"/>
      <c r="B977" s="1137"/>
      <c r="E977" s="1230"/>
      <c r="R977" s="1142"/>
      <c r="S977" s="1142"/>
      <c r="T977" s="1142"/>
      <c r="U977" s="1142"/>
      <c r="V977" s="1142"/>
      <c r="W977" s="1142"/>
      <c r="AZ977" s="1142"/>
      <c r="GG977" s="1138" t="s">
        <v>1349</v>
      </c>
      <c r="GH977" s="1138" t="s">
        <v>1349</v>
      </c>
      <c r="GI977" s="1138" t="s">
        <v>1349</v>
      </c>
      <c r="GJ977" s="1138" t="s">
        <v>1349</v>
      </c>
      <c r="GK977" s="1138" t="s">
        <v>1349</v>
      </c>
      <c r="GL977" s="1138" t="s">
        <v>1349</v>
      </c>
      <c r="GM977" s="1138" t="s">
        <v>1349</v>
      </c>
      <c r="GN977" s="1138" t="s">
        <v>1349</v>
      </c>
      <c r="GO977" s="1138" t="s">
        <v>1349</v>
      </c>
      <c r="GP977" s="1138" t="s">
        <v>1349</v>
      </c>
      <c r="GQ977" s="1138" t="s">
        <v>1349</v>
      </c>
      <c r="GR977" s="1138" t="s">
        <v>1349</v>
      </c>
      <c r="GS977" s="1138" t="s">
        <v>1349</v>
      </c>
      <c r="GT977" s="1138" t="s">
        <v>1349</v>
      </c>
      <c r="GU977" s="1138" t="s">
        <v>1349</v>
      </c>
      <c r="GV977" s="1138" t="s">
        <v>1349</v>
      </c>
    </row>
    <row r="978" spans="1:260" x14ac:dyDescent="0.2">
      <c r="A978" s="1136"/>
      <c r="B978" s="1137"/>
      <c r="E978" s="1230"/>
      <c r="R978" s="1142"/>
      <c r="S978" s="1142"/>
      <c r="T978" s="1142"/>
      <c r="U978" s="1142"/>
      <c r="V978" s="1142"/>
      <c r="W978" s="1142"/>
      <c r="AZ978" s="1142"/>
      <c r="GG978" s="1138" t="s">
        <v>1349</v>
      </c>
      <c r="GH978" s="1138" t="s">
        <v>1349</v>
      </c>
      <c r="GI978" s="1138" t="s">
        <v>1349</v>
      </c>
      <c r="GJ978" s="1138" t="s">
        <v>1349</v>
      </c>
      <c r="GK978" s="1138" t="s">
        <v>1349</v>
      </c>
      <c r="GL978" s="1138" t="s">
        <v>1349</v>
      </c>
      <c r="GM978" s="1138" t="s">
        <v>1349</v>
      </c>
      <c r="GN978" s="1138" t="s">
        <v>1349</v>
      </c>
      <c r="GO978" s="1138" t="s">
        <v>1349</v>
      </c>
      <c r="GP978" s="1138" t="s">
        <v>1349</v>
      </c>
      <c r="GQ978" s="1138" t="s">
        <v>1349</v>
      </c>
      <c r="GR978" s="1138" t="s">
        <v>1349</v>
      </c>
      <c r="GS978" s="1138" t="s">
        <v>1349</v>
      </c>
      <c r="GT978" s="1138" t="s">
        <v>1349</v>
      </c>
      <c r="GU978" s="1138" t="s">
        <v>1349</v>
      </c>
      <c r="GV978" s="1138" t="s">
        <v>1349</v>
      </c>
      <c r="HK978" s="1142"/>
      <c r="HL978" s="1142"/>
    </row>
    <row r="979" spans="1:260" x14ac:dyDescent="0.2">
      <c r="A979" s="1136"/>
      <c r="B979" s="1137"/>
      <c r="D979" s="1142"/>
      <c r="E979" s="1230"/>
      <c r="R979" s="1142"/>
      <c r="S979" s="1142"/>
      <c r="AZ979" s="1142"/>
      <c r="GC979" s="1142"/>
      <c r="GD979" s="1142"/>
      <c r="GG979" s="1142" t="s">
        <v>1349</v>
      </c>
      <c r="GH979" s="1142" t="s">
        <v>1349</v>
      </c>
      <c r="GI979" s="1142" t="s">
        <v>1349</v>
      </c>
      <c r="GJ979" s="1142" t="s">
        <v>1349</v>
      </c>
      <c r="GK979" s="1142" t="s">
        <v>1349</v>
      </c>
      <c r="GL979" s="1142" t="s">
        <v>1349</v>
      </c>
      <c r="GM979" s="1142" t="s">
        <v>1349</v>
      </c>
      <c r="GN979" s="1142" t="s">
        <v>1349</v>
      </c>
      <c r="GO979" s="1142" t="s">
        <v>1349</v>
      </c>
      <c r="GP979" s="1142" t="s">
        <v>1349</v>
      </c>
      <c r="GQ979" s="1142" t="s">
        <v>1349</v>
      </c>
      <c r="GR979" s="1142" t="s">
        <v>1349</v>
      </c>
      <c r="GS979" s="1142" t="s">
        <v>1349</v>
      </c>
      <c r="GT979" s="1142" t="s">
        <v>1349</v>
      </c>
      <c r="GU979" s="1142" t="s">
        <v>1349</v>
      </c>
      <c r="GV979" s="1142" t="s">
        <v>1349</v>
      </c>
      <c r="GW979" s="1142"/>
      <c r="GX979" s="1142"/>
      <c r="HC979" s="1142"/>
      <c r="HD979" s="1142"/>
      <c r="HE979" s="1142"/>
      <c r="HF979" s="1142"/>
      <c r="HG979" s="1142"/>
      <c r="HH979" s="1142"/>
      <c r="HI979" s="1142"/>
      <c r="HJ979" s="1142"/>
      <c r="HK979" s="1142"/>
      <c r="HL979" s="1142"/>
      <c r="HM979" s="1142"/>
      <c r="HN979" s="1142"/>
      <c r="HO979" s="1142"/>
      <c r="HP979" s="1142"/>
      <c r="HQ979" s="1142"/>
      <c r="HR979" s="1142"/>
      <c r="HS979" s="1142"/>
      <c r="HT979" s="1142"/>
      <c r="HU979" s="1142"/>
      <c r="HV979" s="1142"/>
      <c r="HW979" s="1142"/>
      <c r="HX979" s="1142"/>
      <c r="HY979" s="1142"/>
      <c r="HZ979" s="1142"/>
      <c r="IA979" s="1142"/>
      <c r="IB979" s="1142"/>
      <c r="IC979" s="1142"/>
      <c r="ID979" s="1142"/>
      <c r="IE979" s="1142"/>
      <c r="IF979" s="1142"/>
      <c r="IG979" s="1142"/>
      <c r="IH979" s="1142"/>
      <c r="II979" s="1142"/>
      <c r="IJ979" s="1142"/>
      <c r="IK979" s="1142"/>
      <c r="IL979" s="1142"/>
      <c r="IM979" s="1142"/>
      <c r="IN979" s="1142"/>
      <c r="IO979" s="1142"/>
      <c r="IP979" s="1142"/>
      <c r="IQ979" s="1142"/>
      <c r="IR979" s="1142"/>
      <c r="IS979" s="1142"/>
      <c r="IT979" s="1142"/>
      <c r="IU979" s="1142"/>
      <c r="IV979" s="1142"/>
      <c r="IW979" s="1142"/>
      <c r="IX979" s="1142"/>
      <c r="IY979" s="1142"/>
      <c r="IZ979" s="1142"/>
    </row>
    <row r="980" spans="1:260" x14ac:dyDescent="0.2">
      <c r="A980" s="1136"/>
      <c r="B980" s="1137"/>
      <c r="D980" s="1142"/>
      <c r="E980" s="1230"/>
      <c r="R980" s="1142"/>
      <c r="S980" s="1142"/>
      <c r="AZ980" s="1142"/>
      <c r="CY980" s="1142"/>
      <c r="DE980" s="1142"/>
      <c r="GC980" s="1142"/>
      <c r="GD980" s="1142"/>
      <c r="GG980" s="1142" t="s">
        <v>1349</v>
      </c>
      <c r="GH980" s="1142" t="s">
        <v>1349</v>
      </c>
      <c r="GI980" s="1142" t="s">
        <v>1349</v>
      </c>
      <c r="GJ980" s="1142" t="s">
        <v>1349</v>
      </c>
      <c r="GK980" s="1142" t="s">
        <v>1349</v>
      </c>
      <c r="GL980" s="1142" t="s">
        <v>1349</v>
      </c>
      <c r="GM980" s="1142" t="s">
        <v>1349</v>
      </c>
      <c r="GN980" s="1142" t="s">
        <v>1349</v>
      </c>
      <c r="GO980" s="1142" t="s">
        <v>1349</v>
      </c>
      <c r="GP980" s="1142" t="s">
        <v>1349</v>
      </c>
      <c r="GQ980" s="1142" t="s">
        <v>1349</v>
      </c>
      <c r="GR980" s="1142" t="s">
        <v>1349</v>
      </c>
      <c r="GS980" s="1142" t="s">
        <v>1349</v>
      </c>
      <c r="GT980" s="1142" t="s">
        <v>1349</v>
      </c>
      <c r="GU980" s="1142" t="s">
        <v>1349</v>
      </c>
      <c r="GV980" s="1142" t="s">
        <v>1349</v>
      </c>
      <c r="GW980" s="1142"/>
      <c r="GX980" s="1142"/>
      <c r="HC980" s="1142"/>
      <c r="HD980" s="1142"/>
      <c r="HE980" s="1142"/>
      <c r="HF980" s="1142"/>
      <c r="HG980" s="1142"/>
      <c r="HH980" s="1142"/>
      <c r="HI980" s="1142"/>
      <c r="HJ980" s="1142"/>
      <c r="HK980" s="1142"/>
      <c r="HL980" s="1142"/>
      <c r="HM980" s="1142"/>
      <c r="HN980" s="1142"/>
      <c r="HO980" s="1142"/>
      <c r="HP980" s="1142"/>
      <c r="HQ980" s="1142"/>
      <c r="HR980" s="1142"/>
      <c r="HS980" s="1142"/>
      <c r="HT980" s="1142"/>
      <c r="HU980" s="1142"/>
      <c r="HV980" s="1142"/>
      <c r="HW980" s="1142"/>
      <c r="HX980" s="1142"/>
      <c r="HY980" s="1142"/>
      <c r="HZ980" s="1142"/>
      <c r="IA980" s="1142"/>
      <c r="IB980" s="1142"/>
      <c r="IC980" s="1142"/>
      <c r="ID980" s="1142"/>
      <c r="IE980" s="1142"/>
      <c r="IF980" s="1142"/>
      <c r="IG980" s="1142"/>
      <c r="IH980" s="1142"/>
      <c r="II980" s="1142"/>
      <c r="IJ980" s="1142"/>
      <c r="IK980" s="1142"/>
      <c r="IL980" s="1142"/>
      <c r="IM980" s="1142"/>
      <c r="IN980" s="1142"/>
      <c r="IO980" s="1142"/>
      <c r="IP980" s="1142"/>
      <c r="IQ980" s="1142"/>
      <c r="IR980" s="1142"/>
      <c r="IS980" s="1142"/>
      <c r="IT980" s="1142"/>
      <c r="IU980" s="1142"/>
      <c r="IV980" s="1142"/>
      <c r="IW980" s="1142"/>
      <c r="IX980" s="1142"/>
      <c r="IY980" s="1142"/>
      <c r="IZ980" s="1142"/>
    </row>
    <row r="981" spans="1:260" x14ac:dyDescent="0.2">
      <c r="A981" s="1136"/>
      <c r="B981" s="1137"/>
      <c r="D981" s="1142"/>
      <c r="E981" s="1230"/>
      <c r="R981" s="1142"/>
      <c r="S981" s="1142"/>
      <c r="AZ981" s="1142"/>
      <c r="CY981" s="1142"/>
      <c r="DE981" s="1142"/>
      <c r="GC981" s="1142"/>
      <c r="GD981" s="1142"/>
      <c r="GG981" s="1142" t="s">
        <v>1349</v>
      </c>
      <c r="GH981" s="1142" t="s">
        <v>1349</v>
      </c>
      <c r="GI981" s="1142" t="s">
        <v>1349</v>
      </c>
      <c r="GJ981" s="1142" t="s">
        <v>1349</v>
      </c>
      <c r="GK981" s="1142" t="s">
        <v>1349</v>
      </c>
      <c r="GL981" s="1142" t="s">
        <v>1349</v>
      </c>
      <c r="GM981" s="1142" t="s">
        <v>1349</v>
      </c>
      <c r="GN981" s="1142" t="s">
        <v>1349</v>
      </c>
      <c r="GO981" s="1142" t="s">
        <v>1349</v>
      </c>
      <c r="GP981" s="1142" t="s">
        <v>1349</v>
      </c>
      <c r="GQ981" s="1142" t="s">
        <v>1349</v>
      </c>
      <c r="GR981" s="1142" t="s">
        <v>1349</v>
      </c>
      <c r="GS981" s="1142" t="s">
        <v>1349</v>
      </c>
      <c r="GT981" s="1142" t="s">
        <v>1349</v>
      </c>
      <c r="GU981" s="1142" t="s">
        <v>1349</v>
      </c>
      <c r="GV981" s="1142" t="s">
        <v>1349</v>
      </c>
      <c r="GW981" s="1142"/>
      <c r="GX981" s="1142"/>
      <c r="HC981" s="1142"/>
      <c r="HD981" s="1142"/>
      <c r="HE981" s="1142"/>
      <c r="HF981" s="1142"/>
      <c r="HG981" s="1142"/>
      <c r="HH981" s="1142"/>
      <c r="HI981" s="1142"/>
      <c r="HJ981" s="1142"/>
      <c r="HK981" s="1142"/>
      <c r="HL981" s="1142"/>
      <c r="HM981" s="1142"/>
      <c r="HN981" s="1142"/>
      <c r="HO981" s="1142"/>
      <c r="HP981" s="1142"/>
      <c r="HQ981" s="1142"/>
      <c r="HR981" s="1142"/>
      <c r="HS981" s="1142"/>
      <c r="HT981" s="1142"/>
      <c r="HU981" s="1142"/>
      <c r="HV981" s="1142"/>
      <c r="HW981" s="1142"/>
      <c r="HX981" s="1142"/>
      <c r="HY981" s="1142"/>
      <c r="HZ981" s="1142"/>
      <c r="IA981" s="1142"/>
      <c r="IB981" s="1142"/>
      <c r="IC981" s="1142"/>
      <c r="ID981" s="1142"/>
      <c r="IE981" s="1142"/>
      <c r="IF981" s="1142"/>
      <c r="IG981" s="1142"/>
      <c r="IH981" s="1142"/>
      <c r="II981" s="1142"/>
      <c r="IJ981" s="1142"/>
      <c r="IK981" s="1142"/>
      <c r="IL981" s="1142"/>
      <c r="IM981" s="1142"/>
      <c r="IN981" s="1142"/>
      <c r="IO981" s="1142"/>
      <c r="IP981" s="1142"/>
      <c r="IQ981" s="1142"/>
      <c r="IR981" s="1142"/>
      <c r="IS981" s="1142"/>
      <c r="IT981" s="1142"/>
      <c r="IU981" s="1142"/>
      <c r="IV981" s="1142"/>
      <c r="IW981" s="1142"/>
      <c r="IX981" s="1142"/>
      <c r="IY981" s="1142"/>
      <c r="IZ981" s="1142"/>
    </row>
    <row r="982" spans="1:260" x14ac:dyDescent="0.2">
      <c r="A982" s="1136"/>
      <c r="B982" s="1137"/>
      <c r="C982" s="1142"/>
      <c r="D982" s="1142"/>
      <c r="S982" s="1142"/>
      <c r="AO982" s="1142"/>
      <c r="AP982" s="1142"/>
      <c r="AQ982" s="1142"/>
      <c r="AR982" s="1142"/>
      <c r="AS982" s="1142"/>
      <c r="AT982" s="1142"/>
      <c r="AU982" s="1142"/>
      <c r="AV982" s="1142"/>
      <c r="AW982" s="1142"/>
      <c r="AX982" s="1142"/>
      <c r="AY982" s="1142"/>
      <c r="BA982" s="1142"/>
      <c r="CY982" s="1142"/>
      <c r="DE982" s="1142"/>
      <c r="GC982" s="1142"/>
      <c r="GD982" s="1142"/>
      <c r="GG982" s="1142" t="s">
        <v>1349</v>
      </c>
      <c r="GH982" s="1142" t="s">
        <v>1349</v>
      </c>
      <c r="GI982" s="1142" t="s">
        <v>1349</v>
      </c>
      <c r="GJ982" s="1142" t="s">
        <v>1349</v>
      </c>
      <c r="GK982" s="1142" t="s">
        <v>1349</v>
      </c>
      <c r="GL982" s="1142" t="s">
        <v>1349</v>
      </c>
      <c r="GM982" s="1142" t="s">
        <v>1349</v>
      </c>
      <c r="GN982" s="1142" t="s">
        <v>1349</v>
      </c>
      <c r="GO982" s="1142" t="s">
        <v>1349</v>
      </c>
      <c r="GP982" s="1142" t="s">
        <v>1349</v>
      </c>
      <c r="GQ982" s="1142" t="s">
        <v>1349</v>
      </c>
      <c r="GR982" s="1142" t="s">
        <v>1349</v>
      </c>
      <c r="GS982" s="1142" t="s">
        <v>1349</v>
      </c>
      <c r="GT982" s="1142" t="s">
        <v>1349</v>
      </c>
      <c r="GU982" s="1142" t="s">
        <v>1349</v>
      </c>
      <c r="GV982" s="1142" t="s">
        <v>1349</v>
      </c>
      <c r="GW982" s="1142"/>
      <c r="GX982" s="1142"/>
      <c r="HC982" s="1142"/>
      <c r="HD982" s="1142"/>
      <c r="HE982" s="1142"/>
      <c r="HF982" s="1142"/>
      <c r="HG982" s="1142"/>
      <c r="HH982" s="1142"/>
      <c r="HI982" s="1142"/>
      <c r="HJ982" s="1142"/>
      <c r="HK982" s="1142"/>
      <c r="HL982" s="1142"/>
      <c r="HM982" s="1142"/>
      <c r="HN982" s="1142"/>
      <c r="HO982" s="1142"/>
      <c r="HP982" s="1142"/>
      <c r="HQ982" s="1142"/>
      <c r="HR982" s="1142"/>
      <c r="HS982" s="1142"/>
      <c r="HT982" s="1142"/>
      <c r="HU982" s="1142"/>
      <c r="HV982" s="1142"/>
      <c r="HW982" s="1142"/>
      <c r="HX982" s="1142"/>
      <c r="HY982" s="1142"/>
      <c r="HZ982" s="1142"/>
      <c r="IA982" s="1142"/>
      <c r="IB982" s="1142"/>
      <c r="IC982" s="1142"/>
      <c r="ID982" s="1142"/>
      <c r="IE982" s="1142"/>
      <c r="IF982" s="1142"/>
      <c r="IG982" s="1142"/>
      <c r="IH982" s="1142"/>
      <c r="II982" s="1142"/>
      <c r="IJ982" s="1142"/>
      <c r="IK982" s="1142"/>
      <c r="IL982" s="1142"/>
      <c r="IM982" s="1142"/>
      <c r="IN982" s="1142"/>
      <c r="IO982" s="1142"/>
      <c r="IP982" s="1142"/>
      <c r="IQ982" s="1142"/>
      <c r="IR982" s="1142"/>
      <c r="IS982" s="1142"/>
      <c r="IT982" s="1142"/>
      <c r="IU982" s="1142"/>
      <c r="IV982" s="1142"/>
      <c r="IW982" s="1142"/>
      <c r="IX982" s="1142"/>
      <c r="IY982" s="1142"/>
      <c r="IZ982" s="1142"/>
    </row>
    <row r="983" spans="1:260" x14ac:dyDescent="0.2">
      <c r="A983" s="1136"/>
      <c r="B983" s="1137"/>
      <c r="C983" s="1142"/>
      <c r="D983" s="1142"/>
      <c r="AM983" s="1142"/>
      <c r="AN983" s="1142"/>
      <c r="AO983" s="1142"/>
      <c r="AP983" s="1142"/>
      <c r="AQ983" s="1142"/>
      <c r="AR983" s="1142"/>
      <c r="AS983" s="1142"/>
      <c r="AT983" s="1142"/>
      <c r="AU983" s="1142"/>
      <c r="AV983" s="1142"/>
      <c r="AW983" s="1142"/>
      <c r="AX983" s="1142"/>
      <c r="AY983" s="1142"/>
      <c r="BA983" s="1142"/>
      <c r="CY983" s="1142"/>
      <c r="DE983" s="1142"/>
      <c r="EF983" s="1230"/>
      <c r="EL983" s="1259"/>
      <c r="GC983" s="1142"/>
      <c r="GD983" s="1142"/>
      <c r="GG983" s="1142" t="s">
        <v>1349</v>
      </c>
      <c r="GH983" s="1142" t="s">
        <v>1349</v>
      </c>
      <c r="GI983" s="1142" t="s">
        <v>1349</v>
      </c>
      <c r="GJ983" s="1142" t="s">
        <v>1349</v>
      </c>
      <c r="GK983" s="1142" t="s">
        <v>1349</v>
      </c>
      <c r="GL983" s="1142" t="s">
        <v>1349</v>
      </c>
      <c r="GM983" s="1142" t="s">
        <v>1349</v>
      </c>
      <c r="GN983" s="1142" t="s">
        <v>1349</v>
      </c>
      <c r="GO983" s="1142" t="s">
        <v>1349</v>
      </c>
      <c r="GP983" s="1142" t="s">
        <v>1349</v>
      </c>
      <c r="GQ983" s="1142" t="s">
        <v>1349</v>
      </c>
      <c r="GR983" s="1142" t="s">
        <v>1349</v>
      </c>
      <c r="GS983" s="1142" t="s">
        <v>1349</v>
      </c>
      <c r="GT983" s="1142" t="s">
        <v>1349</v>
      </c>
      <c r="GU983" s="1142" t="s">
        <v>1349</v>
      </c>
      <c r="GV983" s="1142" t="s">
        <v>1349</v>
      </c>
      <c r="GW983" s="1142"/>
      <c r="GX983" s="1142"/>
      <c r="GY983" s="1230"/>
      <c r="GZ983" s="1230"/>
      <c r="HA983" s="1230"/>
      <c r="HB983" s="1230"/>
      <c r="HC983" s="1142"/>
      <c r="HD983" s="1142"/>
      <c r="HE983" s="1142"/>
      <c r="HF983" s="1142"/>
      <c r="HG983" s="1142"/>
      <c r="HH983" s="1142"/>
      <c r="HI983" s="1142"/>
      <c r="HJ983" s="1142"/>
      <c r="HK983" s="1142"/>
      <c r="HL983" s="1142"/>
      <c r="HM983" s="1142"/>
      <c r="HN983" s="1142"/>
      <c r="HO983" s="1142"/>
      <c r="HP983" s="1142"/>
      <c r="HQ983" s="1142"/>
      <c r="HR983" s="1142"/>
      <c r="HS983" s="1142"/>
      <c r="HT983" s="1142"/>
      <c r="HU983" s="1142"/>
      <c r="HV983" s="1142"/>
      <c r="HW983" s="1142"/>
      <c r="HX983" s="1142"/>
      <c r="HY983" s="1142"/>
      <c r="HZ983" s="1142"/>
      <c r="IA983" s="1142"/>
      <c r="IB983" s="1142"/>
      <c r="IC983" s="1142"/>
      <c r="ID983" s="1142"/>
      <c r="IE983" s="1142"/>
      <c r="IF983" s="1142"/>
      <c r="IG983" s="1142"/>
      <c r="IH983" s="1142"/>
      <c r="II983" s="1142"/>
      <c r="IJ983" s="1142"/>
      <c r="IK983" s="1142"/>
      <c r="IL983" s="1142"/>
      <c r="IM983" s="1142"/>
      <c r="IN983" s="1142"/>
      <c r="IO983" s="1142"/>
      <c r="IP983" s="1142"/>
      <c r="IQ983" s="1142"/>
      <c r="IR983" s="1142"/>
      <c r="IS983" s="1142"/>
      <c r="IT983" s="1142"/>
      <c r="IU983" s="1142"/>
      <c r="IV983" s="1142"/>
      <c r="IW983" s="1142"/>
      <c r="IX983" s="1142"/>
      <c r="IY983" s="1142"/>
      <c r="IZ983" s="1142"/>
    </row>
    <row r="984" spans="1:260" x14ac:dyDescent="0.2">
      <c r="A984" s="1136"/>
      <c r="B984" s="1137"/>
      <c r="C984" s="1142"/>
      <c r="D984" s="1142"/>
      <c r="AM984" s="1142"/>
      <c r="AN984" s="1142"/>
      <c r="AO984" s="1142"/>
      <c r="AP984" s="1142"/>
      <c r="AQ984" s="1142"/>
      <c r="AR984" s="1142"/>
      <c r="AS984" s="1142"/>
      <c r="AT984" s="1142"/>
      <c r="AU984" s="1142"/>
      <c r="AV984" s="1142"/>
      <c r="AW984" s="1142"/>
      <c r="AX984" s="1142"/>
      <c r="AY984" s="1142"/>
      <c r="BA984" s="1142"/>
      <c r="CY984" s="1142"/>
      <c r="DE984" s="1142"/>
      <c r="EF984" s="1230"/>
      <c r="EL984" s="1259"/>
      <c r="GC984" s="1142"/>
      <c r="GD984" s="1142"/>
      <c r="GG984" s="1142" t="s">
        <v>1349</v>
      </c>
      <c r="GH984" s="1142" t="s">
        <v>1349</v>
      </c>
      <c r="GI984" s="1142" t="s">
        <v>1349</v>
      </c>
      <c r="GJ984" s="1142" t="s">
        <v>1349</v>
      </c>
      <c r="GK984" s="1142" t="s">
        <v>1349</v>
      </c>
      <c r="GL984" s="1142" t="s">
        <v>1349</v>
      </c>
      <c r="GM984" s="1142" t="s">
        <v>1349</v>
      </c>
      <c r="GN984" s="1142" t="s">
        <v>1349</v>
      </c>
      <c r="GO984" s="1142" t="s">
        <v>1349</v>
      </c>
      <c r="GP984" s="1142" t="s">
        <v>1349</v>
      </c>
      <c r="GQ984" s="1142" t="s">
        <v>1349</v>
      </c>
      <c r="GR984" s="1142" t="s">
        <v>1349</v>
      </c>
      <c r="GS984" s="1142" t="s">
        <v>1349</v>
      </c>
      <c r="GT984" s="1142" t="s">
        <v>1349</v>
      </c>
      <c r="GU984" s="1142" t="s">
        <v>1349</v>
      </c>
      <c r="GV984" s="1142" t="s">
        <v>1349</v>
      </c>
      <c r="GW984" s="1142"/>
      <c r="GX984" s="1142"/>
      <c r="GY984" s="1230"/>
      <c r="GZ984" s="1230"/>
      <c r="HA984" s="1230"/>
      <c r="HB984" s="1230"/>
      <c r="HC984" s="1142"/>
      <c r="HD984" s="1142"/>
      <c r="HE984" s="1142"/>
      <c r="HF984" s="1142"/>
      <c r="HG984" s="1142"/>
      <c r="HH984" s="1142"/>
      <c r="HI984" s="1142"/>
      <c r="HJ984" s="1142"/>
      <c r="HM984" s="1142"/>
      <c r="HN984" s="1142"/>
      <c r="HO984" s="1142"/>
      <c r="HP984" s="1142"/>
      <c r="HQ984" s="1142"/>
      <c r="HR984" s="1142"/>
      <c r="HS984" s="1142"/>
      <c r="HT984" s="1142"/>
      <c r="HU984" s="1142"/>
      <c r="HV984" s="1142"/>
      <c r="HW984" s="1142"/>
      <c r="HX984" s="1142"/>
      <c r="HY984" s="1142"/>
      <c r="HZ984" s="1142"/>
      <c r="IA984" s="1142"/>
      <c r="IB984" s="1142"/>
      <c r="IC984" s="1142"/>
      <c r="ID984" s="1142"/>
      <c r="IE984" s="1142"/>
      <c r="IF984" s="1142"/>
      <c r="IG984" s="1142"/>
      <c r="IH984" s="1142"/>
      <c r="II984" s="1142"/>
      <c r="IJ984" s="1142"/>
      <c r="IK984" s="1142"/>
      <c r="IL984" s="1142"/>
      <c r="IM984" s="1142"/>
      <c r="IN984" s="1142"/>
      <c r="IO984" s="1142"/>
      <c r="IP984" s="1142"/>
      <c r="IQ984" s="1142"/>
      <c r="IR984" s="1142"/>
      <c r="IS984" s="1142"/>
      <c r="IT984" s="1142"/>
      <c r="IU984" s="1142"/>
      <c r="IV984" s="1142"/>
      <c r="IW984" s="1142"/>
      <c r="IX984" s="1142"/>
      <c r="IY984" s="1142"/>
      <c r="IZ984" s="1142"/>
    </row>
    <row r="985" spans="1:260" x14ac:dyDescent="0.2">
      <c r="A985" s="1136"/>
      <c r="B985" s="1137"/>
      <c r="C985" s="1142"/>
      <c r="AM985" s="1142"/>
      <c r="AN985" s="1142"/>
      <c r="AO985" s="1142"/>
      <c r="AP985" s="1142"/>
      <c r="AQ985" s="1142"/>
      <c r="AR985" s="1142"/>
      <c r="AS985" s="1142"/>
      <c r="AT985" s="1142"/>
      <c r="AU985" s="1142"/>
      <c r="AV985" s="1142"/>
      <c r="AW985" s="1142"/>
      <c r="AX985" s="1142"/>
      <c r="AY985" s="1142"/>
      <c r="BA985" s="1142"/>
      <c r="BL985" s="1183"/>
      <c r="CY985" s="1142"/>
      <c r="DE985" s="1142"/>
      <c r="EF985" s="1230"/>
      <c r="EL985" s="1259"/>
      <c r="GG985" s="1138" t="s">
        <v>1349</v>
      </c>
      <c r="GH985" s="1138" t="s">
        <v>1349</v>
      </c>
      <c r="GI985" s="1138" t="s">
        <v>1349</v>
      </c>
      <c r="GJ985" s="1138" t="s">
        <v>1349</v>
      </c>
      <c r="GK985" s="1138" t="s">
        <v>1349</v>
      </c>
      <c r="GL985" s="1138" t="s">
        <v>1349</v>
      </c>
      <c r="GM985" s="1138" t="s">
        <v>1349</v>
      </c>
      <c r="GN985" s="1138" t="s">
        <v>1349</v>
      </c>
      <c r="GO985" s="1138" t="s">
        <v>1349</v>
      </c>
      <c r="GP985" s="1138" t="s">
        <v>1349</v>
      </c>
      <c r="GQ985" s="1138" t="s">
        <v>1349</v>
      </c>
      <c r="GR985" s="1138" t="s">
        <v>1349</v>
      </c>
      <c r="GS985" s="1138" t="s">
        <v>1349</v>
      </c>
      <c r="GT985" s="1138" t="s">
        <v>1349</v>
      </c>
      <c r="GU985" s="1138" t="s">
        <v>1349</v>
      </c>
      <c r="GV985" s="1138" t="s">
        <v>1349</v>
      </c>
      <c r="GY985" s="1230"/>
      <c r="GZ985" s="1230"/>
      <c r="HA985" s="1230"/>
      <c r="HB985" s="1230"/>
    </row>
    <row r="986" spans="1:260" x14ac:dyDescent="0.2">
      <c r="A986" s="1136"/>
      <c r="B986" s="1137"/>
      <c r="C986" s="1142"/>
      <c r="T986" s="1230"/>
      <c r="U986" s="1230"/>
      <c r="V986" s="1230"/>
      <c r="W986" s="1230"/>
      <c r="AM986" s="1142"/>
      <c r="AN986" s="1142"/>
      <c r="AO986" s="1142"/>
      <c r="AP986" s="1142"/>
      <c r="AQ986" s="1142"/>
      <c r="AR986" s="1142"/>
      <c r="AS986" s="1142"/>
      <c r="AT986" s="1142"/>
      <c r="AU986" s="1142"/>
      <c r="AV986" s="1142"/>
      <c r="AW986" s="1142"/>
      <c r="AX986" s="1142"/>
      <c r="AY986" s="1142"/>
      <c r="BA986" s="1142"/>
      <c r="BL986" s="1183"/>
      <c r="EF986" s="1230"/>
      <c r="EL986" s="1259"/>
      <c r="GG986" s="1138" t="s">
        <v>1349</v>
      </c>
      <c r="GH986" s="1138" t="s">
        <v>1349</v>
      </c>
      <c r="GI986" s="1138" t="s">
        <v>1349</v>
      </c>
      <c r="GJ986" s="1138" t="s">
        <v>1349</v>
      </c>
      <c r="GK986" s="1138" t="s">
        <v>1349</v>
      </c>
      <c r="GL986" s="1138" t="s">
        <v>1349</v>
      </c>
      <c r="GM986" s="1138" t="s">
        <v>1349</v>
      </c>
      <c r="GN986" s="1138" t="s">
        <v>1349</v>
      </c>
      <c r="GO986" s="1138" t="s">
        <v>1349</v>
      </c>
      <c r="GP986" s="1138" t="s">
        <v>1349</v>
      </c>
      <c r="GQ986" s="1138" t="s">
        <v>1349</v>
      </c>
      <c r="GR986" s="1138" t="s">
        <v>1349</v>
      </c>
      <c r="GS986" s="1138" t="s">
        <v>1349</v>
      </c>
      <c r="GT986" s="1138" t="s">
        <v>1349</v>
      </c>
      <c r="GU986" s="1138" t="s">
        <v>1349</v>
      </c>
      <c r="GV986" s="1138" t="s">
        <v>1349</v>
      </c>
      <c r="GY986" s="1230"/>
      <c r="GZ986" s="1230"/>
      <c r="HA986" s="1230"/>
      <c r="HB986" s="1230"/>
    </row>
    <row r="987" spans="1:260" x14ac:dyDescent="0.2">
      <c r="A987" s="1136"/>
      <c r="B987" s="1137"/>
      <c r="C987" s="1142"/>
      <c r="T987" s="1230"/>
      <c r="U987" s="1230"/>
      <c r="V987" s="1230"/>
      <c r="W987" s="1230"/>
      <c r="AM987" s="1142"/>
      <c r="AN987" s="1142"/>
      <c r="AO987" s="1142"/>
      <c r="AP987" s="1142"/>
      <c r="AQ987" s="1142"/>
      <c r="AR987" s="1142"/>
      <c r="AS987" s="1142"/>
      <c r="AT987" s="1142"/>
      <c r="AU987" s="1142"/>
      <c r="AV987" s="1142"/>
      <c r="AW987" s="1142"/>
      <c r="AX987" s="1142"/>
      <c r="AY987" s="1142"/>
      <c r="BA987" s="1142"/>
      <c r="BL987" s="1183"/>
      <c r="EF987" s="1230"/>
      <c r="EL987" s="1259"/>
      <c r="GG987" s="1138" t="s">
        <v>1349</v>
      </c>
      <c r="GH987" s="1138" t="s">
        <v>1349</v>
      </c>
      <c r="GI987" s="1138" t="s">
        <v>1349</v>
      </c>
      <c r="GJ987" s="1138" t="s">
        <v>1349</v>
      </c>
      <c r="GK987" s="1138" t="s">
        <v>1349</v>
      </c>
      <c r="GL987" s="1138" t="s">
        <v>1349</v>
      </c>
      <c r="GM987" s="1138" t="s">
        <v>1349</v>
      </c>
      <c r="GN987" s="1138" t="s">
        <v>1349</v>
      </c>
      <c r="GO987" s="1138" t="s">
        <v>1349</v>
      </c>
      <c r="GP987" s="1138" t="s">
        <v>1349</v>
      </c>
      <c r="GQ987" s="1138" t="s">
        <v>1349</v>
      </c>
      <c r="GR987" s="1138" t="s">
        <v>1349</v>
      </c>
      <c r="GS987" s="1138" t="s">
        <v>1349</v>
      </c>
      <c r="GT987" s="1138" t="s">
        <v>1349</v>
      </c>
      <c r="GU987" s="1138" t="s">
        <v>1349</v>
      </c>
      <c r="GV987" s="1138" t="s">
        <v>1349</v>
      </c>
      <c r="GY987" s="1230"/>
      <c r="GZ987" s="1230"/>
      <c r="HA987" s="1230"/>
      <c r="HB987" s="1230"/>
    </row>
    <row r="988" spans="1:260" x14ac:dyDescent="0.2">
      <c r="A988" s="1136"/>
      <c r="B988" s="1137"/>
      <c r="T988" s="1230"/>
      <c r="U988" s="1230"/>
      <c r="V988" s="1230"/>
      <c r="W988" s="1230"/>
      <c r="AM988" s="1142"/>
      <c r="AN988" s="1142"/>
      <c r="BL988" s="1183"/>
      <c r="EF988" s="1230"/>
      <c r="EL988" s="1259"/>
      <c r="GG988" s="1138" t="s">
        <v>1349</v>
      </c>
      <c r="GH988" s="1138" t="s">
        <v>1349</v>
      </c>
      <c r="GI988" s="1138" t="s">
        <v>1349</v>
      </c>
      <c r="GJ988" s="1138" t="s">
        <v>1349</v>
      </c>
      <c r="GK988" s="1138" t="s">
        <v>1349</v>
      </c>
      <c r="GL988" s="1138" t="s">
        <v>1349</v>
      </c>
      <c r="GM988" s="1138" t="s">
        <v>1349</v>
      </c>
      <c r="GN988" s="1138" t="s">
        <v>1349</v>
      </c>
      <c r="GO988" s="1138" t="s">
        <v>1349</v>
      </c>
      <c r="GP988" s="1138" t="s">
        <v>1349</v>
      </c>
      <c r="GQ988" s="1138" t="s">
        <v>1349</v>
      </c>
      <c r="GR988" s="1138" t="s">
        <v>1349</v>
      </c>
      <c r="GS988" s="1138" t="s">
        <v>1349</v>
      </c>
      <c r="GT988" s="1138" t="s">
        <v>1349</v>
      </c>
      <c r="GU988" s="1138" t="s">
        <v>1349</v>
      </c>
      <c r="GV988" s="1138" t="s">
        <v>1349</v>
      </c>
      <c r="GY988" s="1230"/>
      <c r="GZ988" s="1230"/>
      <c r="HA988" s="1230"/>
      <c r="HB988" s="1230"/>
    </row>
    <row r="989" spans="1:260" x14ac:dyDescent="0.2">
      <c r="A989" s="1136"/>
      <c r="B989" s="1137"/>
      <c r="R989" s="1230"/>
      <c r="T989" s="1230"/>
      <c r="U989" s="1230"/>
      <c r="V989" s="1230"/>
      <c r="W989" s="1230"/>
      <c r="X989" s="1142"/>
      <c r="Y989" s="1142"/>
      <c r="Z989" s="1142"/>
      <c r="AA989" s="1142"/>
      <c r="AB989" s="1142"/>
      <c r="AJ989" s="1142"/>
      <c r="AK989" s="1142"/>
      <c r="AL989" s="1142"/>
      <c r="AZ989" s="1230"/>
      <c r="BL989" s="1183"/>
      <c r="GG989" s="1138" t="s">
        <v>1349</v>
      </c>
      <c r="GH989" s="1138" t="s">
        <v>1349</v>
      </c>
      <c r="GI989" s="1138" t="s">
        <v>1349</v>
      </c>
      <c r="GJ989" s="1138" t="s">
        <v>1349</v>
      </c>
      <c r="GK989" s="1138" t="s">
        <v>1349</v>
      </c>
      <c r="GL989" s="1138" t="s">
        <v>1349</v>
      </c>
      <c r="GM989" s="1138" t="s">
        <v>1349</v>
      </c>
      <c r="GN989" s="1138" t="s">
        <v>1349</v>
      </c>
      <c r="GO989" s="1138" t="s">
        <v>1349</v>
      </c>
      <c r="GP989" s="1138" t="s">
        <v>1349</v>
      </c>
      <c r="GQ989" s="1138" t="s">
        <v>1349</v>
      </c>
      <c r="GR989" s="1138" t="s">
        <v>1349</v>
      </c>
      <c r="GS989" s="1138" t="s">
        <v>1349</v>
      </c>
      <c r="GT989" s="1138" t="s">
        <v>1349</v>
      </c>
      <c r="GU989" s="1138" t="s">
        <v>1349</v>
      </c>
      <c r="GV989" s="1138" t="s">
        <v>1349</v>
      </c>
    </row>
    <row r="990" spans="1:260" x14ac:dyDescent="0.2">
      <c r="A990" s="1136"/>
      <c r="B990" s="1137"/>
      <c r="R990" s="1230"/>
      <c r="S990" s="1230"/>
      <c r="T990" s="1230"/>
      <c r="U990" s="1230"/>
      <c r="V990" s="1230"/>
      <c r="W990" s="1230"/>
      <c r="X990" s="1142"/>
      <c r="Y990" s="1142"/>
      <c r="Z990" s="1142"/>
      <c r="AA990" s="1142"/>
      <c r="AB990" s="1142"/>
      <c r="AJ990" s="1142"/>
      <c r="AK990" s="1142"/>
      <c r="AL990" s="1142"/>
      <c r="AZ990" s="1230"/>
      <c r="BL990" s="1183"/>
      <c r="GG990" s="1138" t="s">
        <v>1349</v>
      </c>
      <c r="GH990" s="1138" t="s">
        <v>1349</v>
      </c>
      <c r="GI990" s="1138" t="s">
        <v>1349</v>
      </c>
      <c r="GJ990" s="1138" t="s">
        <v>1349</v>
      </c>
      <c r="GK990" s="1138" t="s">
        <v>1349</v>
      </c>
      <c r="GL990" s="1138" t="s">
        <v>1349</v>
      </c>
      <c r="GM990" s="1138" t="s">
        <v>1349</v>
      </c>
      <c r="GN990" s="1138" t="s">
        <v>1349</v>
      </c>
      <c r="GO990" s="1138" t="s">
        <v>1349</v>
      </c>
      <c r="GP990" s="1138" t="s">
        <v>1349</v>
      </c>
      <c r="GQ990" s="1138" t="s">
        <v>1349</v>
      </c>
      <c r="GR990" s="1138" t="s">
        <v>1349</v>
      </c>
      <c r="GS990" s="1138" t="s">
        <v>1349</v>
      </c>
      <c r="GT990" s="1138" t="s">
        <v>1349</v>
      </c>
      <c r="GU990" s="1138" t="s">
        <v>1349</v>
      </c>
      <c r="GV990" s="1138" t="s">
        <v>1349</v>
      </c>
    </row>
    <row r="991" spans="1:260" x14ac:dyDescent="0.2">
      <c r="A991" s="1136"/>
      <c r="B991" s="1137"/>
      <c r="R991" s="1230"/>
      <c r="S991" s="1230"/>
      <c r="T991" s="1230"/>
      <c r="U991" s="1230"/>
      <c r="V991" s="1230"/>
      <c r="W991" s="1230"/>
      <c r="X991" s="1142"/>
      <c r="Y991" s="1142"/>
      <c r="Z991" s="1142"/>
      <c r="AA991" s="1142"/>
      <c r="AB991" s="1142"/>
      <c r="AC991" s="1142"/>
      <c r="AD991" s="1142"/>
      <c r="AE991" s="1142"/>
      <c r="AF991" s="1142"/>
      <c r="AG991" s="1142"/>
      <c r="AH991" s="1142"/>
      <c r="AI991" s="1142"/>
      <c r="AJ991" s="1142"/>
      <c r="AK991" s="1142"/>
      <c r="AL991" s="1142"/>
      <c r="AZ991" s="1230"/>
      <c r="GG991" s="1138" t="s">
        <v>1349</v>
      </c>
      <c r="GH991" s="1138" t="s">
        <v>1349</v>
      </c>
      <c r="GI991" s="1138" t="s">
        <v>1349</v>
      </c>
      <c r="GJ991" s="1138" t="s">
        <v>1349</v>
      </c>
      <c r="GK991" s="1138" t="s">
        <v>1349</v>
      </c>
      <c r="GL991" s="1138" t="s">
        <v>1349</v>
      </c>
      <c r="GM991" s="1138" t="s">
        <v>1349</v>
      </c>
      <c r="GN991" s="1138" t="s">
        <v>1349</v>
      </c>
      <c r="GO991" s="1138" t="s">
        <v>1349</v>
      </c>
      <c r="GP991" s="1138" t="s">
        <v>1349</v>
      </c>
      <c r="GQ991" s="1138" t="s">
        <v>1349</v>
      </c>
      <c r="GR991" s="1138" t="s">
        <v>1349</v>
      </c>
      <c r="GS991" s="1138" t="s">
        <v>1349</v>
      </c>
      <c r="GT991" s="1138" t="s">
        <v>1349</v>
      </c>
      <c r="GU991" s="1138" t="s">
        <v>1349</v>
      </c>
      <c r="GV991" s="1138" t="s">
        <v>1349</v>
      </c>
      <c r="HK991" s="1230"/>
      <c r="HL991" s="1230"/>
    </row>
    <row r="992" spans="1:260" s="1142" customFormat="1" x14ac:dyDescent="0.2">
      <c r="A992" s="1136"/>
      <c r="B992" s="1137"/>
      <c r="C992" s="1138"/>
      <c r="D992" s="1230"/>
      <c r="E992" s="1138"/>
      <c r="F992" s="1138"/>
      <c r="G992" s="1138"/>
      <c r="H992" s="1138"/>
      <c r="I992" s="1138"/>
      <c r="J992" s="1138"/>
      <c r="K992" s="1138"/>
      <c r="L992" s="1138"/>
      <c r="M992" s="1138"/>
      <c r="N992" s="1138"/>
      <c r="O992" s="1138"/>
      <c r="P992" s="1138"/>
      <c r="Q992" s="1138"/>
      <c r="R992" s="1230"/>
      <c r="S992" s="1230"/>
      <c r="T992" s="1138"/>
      <c r="U992" s="1138"/>
      <c r="V992" s="1138"/>
      <c r="W992" s="1138"/>
      <c r="AM992" s="1138"/>
      <c r="AN992" s="1138"/>
      <c r="AO992" s="1138"/>
      <c r="AP992" s="1138"/>
      <c r="AQ992" s="1138"/>
      <c r="AR992" s="1138"/>
      <c r="AS992" s="1138"/>
      <c r="AT992" s="1138"/>
      <c r="AU992" s="1138"/>
      <c r="AV992" s="1138"/>
      <c r="AW992" s="1138"/>
      <c r="AX992" s="1138"/>
      <c r="AY992" s="1138"/>
      <c r="AZ992" s="1230"/>
      <c r="BA992" s="1138"/>
      <c r="BB992" s="1138"/>
      <c r="BC992" s="1138"/>
      <c r="BD992" s="1138"/>
      <c r="BE992" s="1138"/>
      <c r="BF992" s="1138"/>
      <c r="BG992" s="1138"/>
      <c r="BH992" s="1138"/>
      <c r="BI992" s="1138"/>
      <c r="BJ992" s="1138"/>
      <c r="BK992" s="1140"/>
      <c r="BL992" s="1140"/>
      <c r="BM992" s="1141"/>
      <c r="BN992" s="1138"/>
      <c r="BO992" s="1138"/>
      <c r="BP992" s="1138"/>
      <c r="BQ992" s="1138"/>
      <c r="BR992" s="1138"/>
      <c r="BS992" s="1138"/>
      <c r="BT992" s="1138"/>
      <c r="BU992" s="1138"/>
      <c r="BV992" s="1140"/>
      <c r="BW992" s="1140"/>
      <c r="BX992" s="1138"/>
      <c r="BY992" s="1138"/>
      <c r="BZ992" s="1138"/>
      <c r="CA992" s="1138"/>
      <c r="CB992" s="1138"/>
      <c r="CC992" s="1138"/>
      <c r="CD992" s="1140"/>
      <c r="CE992" s="1140"/>
      <c r="CF992" s="1140"/>
      <c r="CG992" s="1140"/>
      <c r="CH992" s="1140"/>
      <c r="CI992" s="1138"/>
      <c r="CK992" s="1138"/>
      <c r="CL992" s="1138"/>
      <c r="CM992" s="1138"/>
      <c r="CN992" s="1138"/>
      <c r="CO992" s="1138"/>
      <c r="CP992" s="1138"/>
      <c r="CQ992" s="1138"/>
      <c r="CR992" s="1138"/>
      <c r="CS992" s="1138"/>
      <c r="CT992" s="1138"/>
      <c r="CU992" s="1138"/>
      <c r="CV992" s="1138"/>
      <c r="CW992" s="1138"/>
      <c r="CX992" s="1138"/>
      <c r="CY992" s="1138"/>
      <c r="CZ992" s="1138"/>
      <c r="DA992" s="1138"/>
      <c r="DB992" s="1138"/>
      <c r="DC992" s="1138"/>
      <c r="DD992" s="1138"/>
      <c r="DE992" s="1138"/>
      <c r="DF992" s="1138"/>
      <c r="DG992" s="1138"/>
      <c r="DH992" s="1138"/>
      <c r="DI992" s="1138"/>
      <c r="DJ992" s="1138"/>
      <c r="DK992" s="1138"/>
      <c r="DL992" s="1138"/>
      <c r="DM992" s="1138"/>
      <c r="DN992" s="1138"/>
      <c r="DO992" s="1138"/>
      <c r="DP992" s="1138"/>
      <c r="DQ992" s="1138"/>
      <c r="DR992" s="1138"/>
      <c r="DS992" s="1140"/>
      <c r="DT992" s="1141"/>
      <c r="DU992" s="1141"/>
      <c r="DV992" s="1138"/>
      <c r="DW992" s="1138"/>
      <c r="DX992" s="1138"/>
      <c r="DY992" s="1138"/>
      <c r="DZ992" s="1138"/>
      <c r="EA992" s="1138"/>
      <c r="EB992" s="1138"/>
      <c r="EC992" s="1138"/>
      <c r="ED992" s="1140"/>
      <c r="EE992" s="1140"/>
      <c r="EF992" s="1138"/>
      <c r="EG992" s="1138"/>
      <c r="EH992" s="1138"/>
      <c r="EI992" s="1138"/>
      <c r="EJ992" s="1138"/>
      <c r="EK992" s="1140"/>
      <c r="EL992" s="1140"/>
      <c r="EM992" s="1138"/>
      <c r="EN992" s="1138"/>
      <c r="EO992" s="1138"/>
      <c r="EP992" s="1138"/>
      <c r="EQ992" s="1138"/>
      <c r="ER992" s="1140"/>
      <c r="ES992" s="1140"/>
      <c r="ET992" s="1138"/>
      <c r="EU992" s="1138"/>
      <c r="EV992" s="1138"/>
      <c r="EW992" s="1138"/>
      <c r="EX992" s="1138"/>
      <c r="EY992" s="1138"/>
      <c r="EZ992" s="1140"/>
      <c r="FA992" s="1140"/>
      <c r="FB992" s="1140"/>
      <c r="FC992" s="1138"/>
      <c r="FD992" s="1138"/>
      <c r="FE992" s="1138"/>
      <c r="FF992" s="1138"/>
      <c r="FG992" s="1138"/>
      <c r="FH992" s="1138"/>
      <c r="FI992" s="1140"/>
      <c r="FJ992" s="1140"/>
      <c r="FK992" s="1140"/>
      <c r="FL992" s="1140"/>
      <c r="FM992" s="1138"/>
      <c r="FN992" s="1138"/>
      <c r="FO992" s="1138"/>
      <c r="FP992" s="1138"/>
      <c r="FQ992" s="1138"/>
      <c r="FR992" s="1138"/>
      <c r="FS992" s="1140"/>
      <c r="FT992" s="1140"/>
      <c r="FU992" s="1140"/>
      <c r="FV992" s="1140"/>
      <c r="FW992" s="1138"/>
      <c r="FX992" s="1138"/>
      <c r="FY992" s="1138"/>
      <c r="FZ992" s="1138"/>
      <c r="GA992" s="1140"/>
      <c r="GB992" s="1138"/>
      <c r="GC992" s="1230"/>
      <c r="GD992" s="1230"/>
      <c r="GE992" s="1138"/>
      <c r="GF992" s="1138"/>
      <c r="GG992" s="1230" t="s">
        <v>1349</v>
      </c>
      <c r="GH992" s="1230" t="s">
        <v>1349</v>
      </c>
      <c r="GI992" s="1230" t="s">
        <v>1349</v>
      </c>
      <c r="GJ992" s="1230" t="s">
        <v>1349</v>
      </c>
      <c r="GK992" s="1230" t="s">
        <v>1349</v>
      </c>
      <c r="GL992" s="1230" t="s">
        <v>1349</v>
      </c>
      <c r="GM992" s="1230" t="s">
        <v>1349</v>
      </c>
      <c r="GN992" s="1230" t="s">
        <v>1349</v>
      </c>
      <c r="GO992" s="1230" t="s">
        <v>1349</v>
      </c>
      <c r="GP992" s="1230" t="s">
        <v>1349</v>
      </c>
      <c r="GQ992" s="1230" t="s">
        <v>1349</v>
      </c>
      <c r="GR992" s="1230" t="s">
        <v>1349</v>
      </c>
      <c r="GS992" s="1230" t="s">
        <v>1349</v>
      </c>
      <c r="GT992" s="1230" t="s">
        <v>1349</v>
      </c>
      <c r="GU992" s="1230" t="s">
        <v>1349</v>
      </c>
      <c r="GV992" s="1230" t="s">
        <v>1349</v>
      </c>
      <c r="GW992" s="1230"/>
      <c r="GX992" s="1230"/>
      <c r="GY992" s="1138"/>
      <c r="GZ992" s="1138"/>
      <c r="HA992" s="1138"/>
      <c r="HB992" s="1138"/>
      <c r="HC992" s="1230"/>
      <c r="HD992" s="1230"/>
      <c r="HE992" s="1230"/>
      <c r="HF992" s="1230"/>
      <c r="HG992" s="1230"/>
      <c r="HH992" s="1230"/>
      <c r="HI992" s="1230"/>
      <c r="HJ992" s="1230"/>
      <c r="HK992" s="1230"/>
      <c r="HL992" s="1230"/>
      <c r="HM992" s="1230"/>
      <c r="HN992" s="1230"/>
      <c r="HO992" s="1230"/>
      <c r="HP992" s="1230"/>
      <c r="HQ992" s="1230"/>
      <c r="HR992" s="1230"/>
      <c r="HS992" s="1230"/>
      <c r="HT992" s="1230"/>
      <c r="HU992" s="1230"/>
      <c r="HV992" s="1230"/>
      <c r="HW992" s="1230"/>
      <c r="HX992" s="1230"/>
      <c r="HY992" s="1230"/>
      <c r="HZ992" s="1230"/>
      <c r="IA992" s="1230"/>
      <c r="IB992" s="1230"/>
      <c r="IC992" s="1230"/>
      <c r="ID992" s="1230"/>
      <c r="IE992" s="1230"/>
      <c r="IF992" s="1230"/>
      <c r="IG992" s="1230"/>
      <c r="IH992" s="1230"/>
      <c r="II992" s="1230"/>
      <c r="IJ992" s="1230"/>
      <c r="IK992" s="1230"/>
      <c r="IL992" s="1230"/>
      <c r="IM992" s="1230"/>
      <c r="IN992" s="1230"/>
      <c r="IO992" s="1230"/>
      <c r="IP992" s="1230"/>
      <c r="IQ992" s="1230"/>
      <c r="IR992" s="1230"/>
      <c r="IS992" s="1230"/>
      <c r="IT992" s="1230"/>
      <c r="IU992" s="1230"/>
      <c r="IV992" s="1230"/>
      <c r="IW992" s="1230"/>
      <c r="IX992" s="1230"/>
      <c r="IY992" s="1230"/>
      <c r="IZ992" s="1230"/>
    </row>
    <row r="993" spans="1:260" s="1142" customFormat="1" x14ac:dyDescent="0.2">
      <c r="A993" s="1136"/>
      <c r="B993" s="1137"/>
      <c r="C993" s="1138"/>
      <c r="D993" s="1230"/>
      <c r="E993" s="1138"/>
      <c r="F993" s="1138"/>
      <c r="G993" s="1138"/>
      <c r="H993" s="1138"/>
      <c r="I993" s="1138"/>
      <c r="J993" s="1138"/>
      <c r="K993" s="1138"/>
      <c r="L993" s="1138"/>
      <c r="M993" s="1138"/>
      <c r="N993" s="1138"/>
      <c r="O993" s="1138"/>
      <c r="P993" s="1138"/>
      <c r="Q993" s="1138"/>
      <c r="R993" s="1230"/>
      <c r="S993" s="1230"/>
      <c r="T993" s="1138"/>
      <c r="U993" s="1138"/>
      <c r="V993" s="1138"/>
      <c r="W993" s="1138"/>
      <c r="AM993" s="1138"/>
      <c r="AN993" s="1138"/>
      <c r="AO993" s="1138"/>
      <c r="AP993" s="1138"/>
      <c r="AQ993" s="1138"/>
      <c r="AR993" s="1138"/>
      <c r="AS993" s="1138"/>
      <c r="AT993" s="1138"/>
      <c r="AU993" s="1138"/>
      <c r="AV993" s="1138"/>
      <c r="AW993" s="1138"/>
      <c r="AX993" s="1138"/>
      <c r="AY993" s="1138"/>
      <c r="AZ993" s="1230"/>
      <c r="BA993" s="1138"/>
      <c r="BB993" s="1138"/>
      <c r="BC993" s="1138"/>
      <c r="BD993" s="1138"/>
      <c r="BE993" s="1138"/>
      <c r="BF993" s="1138"/>
      <c r="BG993" s="1138"/>
      <c r="BH993" s="1138"/>
      <c r="BI993" s="1138"/>
      <c r="BJ993" s="1138"/>
      <c r="BK993" s="1140"/>
      <c r="BL993" s="1140"/>
      <c r="BM993" s="1141"/>
      <c r="BN993" s="1138"/>
      <c r="BO993" s="1138"/>
      <c r="BP993" s="1138"/>
      <c r="BQ993" s="1138"/>
      <c r="BR993" s="1138"/>
      <c r="BS993" s="1138"/>
      <c r="BT993" s="1138"/>
      <c r="BU993" s="1138"/>
      <c r="BV993" s="1140"/>
      <c r="BW993" s="1140"/>
      <c r="BX993" s="1138"/>
      <c r="BY993" s="1138"/>
      <c r="BZ993" s="1138"/>
      <c r="CA993" s="1138"/>
      <c r="CB993" s="1138"/>
      <c r="CC993" s="1138"/>
      <c r="CD993" s="1140"/>
      <c r="CE993" s="1140"/>
      <c r="CF993" s="1140"/>
      <c r="CG993" s="1140"/>
      <c r="CH993" s="1140"/>
      <c r="CI993" s="1138"/>
      <c r="CK993" s="1138"/>
      <c r="CL993" s="1138"/>
      <c r="CM993" s="1138"/>
      <c r="CN993" s="1138"/>
      <c r="CO993" s="1138"/>
      <c r="CP993" s="1138"/>
      <c r="CQ993" s="1138"/>
      <c r="CR993" s="1138"/>
      <c r="CS993" s="1138"/>
      <c r="CT993" s="1138"/>
      <c r="CU993" s="1138"/>
      <c r="CV993" s="1138"/>
      <c r="CW993" s="1138"/>
      <c r="CX993" s="1138"/>
      <c r="CY993" s="1230"/>
      <c r="CZ993" s="1138"/>
      <c r="DA993" s="1138"/>
      <c r="DB993" s="1138"/>
      <c r="DC993" s="1138"/>
      <c r="DD993" s="1138"/>
      <c r="DE993" s="1230"/>
      <c r="DF993" s="1138"/>
      <c r="DG993" s="1138"/>
      <c r="DH993" s="1138"/>
      <c r="DI993" s="1138"/>
      <c r="DJ993" s="1138"/>
      <c r="DK993" s="1138"/>
      <c r="DL993" s="1138"/>
      <c r="DM993" s="1138"/>
      <c r="DN993" s="1138"/>
      <c r="DO993" s="1138"/>
      <c r="DP993" s="1138"/>
      <c r="DQ993" s="1138"/>
      <c r="DR993" s="1138"/>
      <c r="DS993" s="1140"/>
      <c r="DT993" s="1141"/>
      <c r="DU993" s="1141"/>
      <c r="DV993" s="1138"/>
      <c r="DW993" s="1138"/>
      <c r="DX993" s="1138"/>
      <c r="DY993" s="1138"/>
      <c r="DZ993" s="1138"/>
      <c r="EA993" s="1138"/>
      <c r="EB993" s="1138"/>
      <c r="EC993" s="1138"/>
      <c r="ED993" s="1140"/>
      <c r="EE993" s="1140"/>
      <c r="EF993" s="1138"/>
      <c r="EG993" s="1138"/>
      <c r="EH993" s="1138"/>
      <c r="EI993" s="1138"/>
      <c r="EJ993" s="1138"/>
      <c r="EK993" s="1140"/>
      <c r="EL993" s="1140"/>
      <c r="EM993" s="1138"/>
      <c r="EN993" s="1138"/>
      <c r="EO993" s="1138"/>
      <c r="EP993" s="1138"/>
      <c r="EQ993" s="1138"/>
      <c r="ER993" s="1140"/>
      <c r="ES993" s="1140"/>
      <c r="ET993" s="1138"/>
      <c r="EU993" s="1138"/>
      <c r="EV993" s="1138"/>
      <c r="EW993" s="1138"/>
      <c r="EX993" s="1138"/>
      <c r="EY993" s="1138"/>
      <c r="EZ993" s="1140"/>
      <c r="FA993" s="1140"/>
      <c r="FB993" s="1140"/>
      <c r="FC993" s="1138"/>
      <c r="FD993" s="1138"/>
      <c r="FE993" s="1138"/>
      <c r="FF993" s="1138"/>
      <c r="FG993" s="1138"/>
      <c r="FH993" s="1138"/>
      <c r="FI993" s="1140"/>
      <c r="FJ993" s="1140"/>
      <c r="FK993" s="1140"/>
      <c r="FL993" s="1140"/>
      <c r="FM993" s="1138"/>
      <c r="FN993" s="1138"/>
      <c r="FO993" s="1138"/>
      <c r="FP993" s="1138"/>
      <c r="FQ993" s="1138"/>
      <c r="FR993" s="1138"/>
      <c r="FS993" s="1140"/>
      <c r="FT993" s="1140"/>
      <c r="FU993" s="1140"/>
      <c r="FV993" s="1140"/>
      <c r="FW993" s="1138"/>
      <c r="FX993" s="1138"/>
      <c r="FY993" s="1138"/>
      <c r="FZ993" s="1138"/>
      <c r="GA993" s="1140"/>
      <c r="GB993" s="1138"/>
      <c r="GC993" s="1230"/>
      <c r="GD993" s="1230"/>
      <c r="GE993" s="1138"/>
      <c r="GF993" s="1138"/>
      <c r="GG993" s="1230" t="s">
        <v>1349</v>
      </c>
      <c r="GH993" s="1230" t="s">
        <v>1349</v>
      </c>
      <c r="GI993" s="1230" t="s">
        <v>1349</v>
      </c>
      <c r="GJ993" s="1230" t="s">
        <v>1349</v>
      </c>
      <c r="GK993" s="1230" t="s">
        <v>1349</v>
      </c>
      <c r="GL993" s="1230" t="s">
        <v>1349</v>
      </c>
      <c r="GM993" s="1230" t="s">
        <v>1349</v>
      </c>
      <c r="GN993" s="1230" t="s">
        <v>1349</v>
      </c>
      <c r="GO993" s="1230" t="s">
        <v>1349</v>
      </c>
      <c r="GP993" s="1230" t="s">
        <v>1349</v>
      </c>
      <c r="GQ993" s="1230" t="s">
        <v>1349</v>
      </c>
      <c r="GR993" s="1230" t="s">
        <v>1349</v>
      </c>
      <c r="GS993" s="1230" t="s">
        <v>1349</v>
      </c>
      <c r="GT993" s="1230" t="s">
        <v>1349</v>
      </c>
      <c r="GU993" s="1230" t="s">
        <v>1349</v>
      </c>
      <c r="GV993" s="1230" t="s">
        <v>1349</v>
      </c>
      <c r="GW993" s="1230"/>
      <c r="GX993" s="1230"/>
      <c r="GY993" s="1138"/>
      <c r="GZ993" s="1138"/>
      <c r="HA993" s="1138"/>
      <c r="HB993" s="1138"/>
      <c r="HC993" s="1230"/>
      <c r="HD993" s="1230"/>
      <c r="HE993" s="1230"/>
      <c r="HF993" s="1230"/>
      <c r="HG993" s="1230"/>
      <c r="HH993" s="1230"/>
      <c r="HI993" s="1230"/>
      <c r="HJ993" s="1230"/>
      <c r="HK993" s="1230"/>
      <c r="HL993" s="1230"/>
      <c r="HM993" s="1230"/>
      <c r="HN993" s="1230"/>
      <c r="HO993" s="1230"/>
      <c r="HP993" s="1230"/>
      <c r="HQ993" s="1230"/>
      <c r="HR993" s="1230"/>
      <c r="HS993" s="1230"/>
      <c r="HT993" s="1230"/>
      <c r="HU993" s="1230"/>
      <c r="HV993" s="1230"/>
      <c r="HW993" s="1230"/>
      <c r="HX993" s="1230"/>
      <c r="HY993" s="1230"/>
      <c r="HZ993" s="1230"/>
      <c r="IA993" s="1230"/>
      <c r="IB993" s="1230"/>
      <c r="IC993" s="1230"/>
      <c r="ID993" s="1230"/>
      <c r="IE993" s="1230"/>
      <c r="IF993" s="1230"/>
      <c r="IG993" s="1230"/>
      <c r="IH993" s="1230"/>
      <c r="II993" s="1230"/>
      <c r="IJ993" s="1230"/>
      <c r="IK993" s="1230"/>
      <c r="IL993" s="1230"/>
      <c r="IM993" s="1230"/>
      <c r="IN993" s="1230"/>
      <c r="IO993" s="1230"/>
      <c r="IP993" s="1230"/>
      <c r="IQ993" s="1230"/>
      <c r="IR993" s="1230"/>
      <c r="IS993" s="1230"/>
      <c r="IT993" s="1230"/>
      <c r="IU993" s="1230"/>
      <c r="IV993" s="1230"/>
      <c r="IW993" s="1230"/>
      <c r="IX993" s="1230"/>
      <c r="IY993" s="1230"/>
      <c r="IZ993" s="1230"/>
    </row>
    <row r="994" spans="1:260" s="1142" customFormat="1" x14ac:dyDescent="0.2">
      <c r="A994" s="1136"/>
      <c r="B994" s="1137"/>
      <c r="C994" s="1138"/>
      <c r="D994" s="1230"/>
      <c r="E994" s="1138"/>
      <c r="F994" s="1138"/>
      <c r="G994" s="1138"/>
      <c r="H994" s="1138"/>
      <c r="I994" s="1138"/>
      <c r="J994" s="1138"/>
      <c r="K994" s="1138"/>
      <c r="L994" s="1138"/>
      <c r="M994" s="1138"/>
      <c r="N994" s="1138"/>
      <c r="O994" s="1138"/>
      <c r="P994" s="1138"/>
      <c r="Q994" s="1138"/>
      <c r="R994" s="1230"/>
      <c r="S994" s="1230"/>
      <c r="T994" s="1138"/>
      <c r="U994" s="1138"/>
      <c r="V994" s="1138"/>
      <c r="W994" s="1138"/>
      <c r="AM994" s="1138"/>
      <c r="AN994" s="1138"/>
      <c r="AO994" s="1138"/>
      <c r="AP994" s="1138"/>
      <c r="AQ994" s="1138"/>
      <c r="AR994" s="1138"/>
      <c r="AS994" s="1138"/>
      <c r="AT994" s="1138"/>
      <c r="AU994" s="1138"/>
      <c r="AV994" s="1138"/>
      <c r="AW994" s="1138"/>
      <c r="AX994" s="1138"/>
      <c r="AY994" s="1138"/>
      <c r="AZ994" s="1230"/>
      <c r="BA994" s="1138"/>
      <c r="BB994" s="1138"/>
      <c r="BC994" s="1138"/>
      <c r="BD994" s="1138"/>
      <c r="BE994" s="1138"/>
      <c r="BF994" s="1138"/>
      <c r="BG994" s="1138"/>
      <c r="BH994" s="1138"/>
      <c r="BI994" s="1138"/>
      <c r="BJ994" s="1138"/>
      <c r="BK994" s="1140"/>
      <c r="BL994" s="1140"/>
      <c r="BM994" s="1141"/>
      <c r="BN994" s="1138"/>
      <c r="BO994" s="1138"/>
      <c r="BP994" s="1138"/>
      <c r="BQ994" s="1138"/>
      <c r="BR994" s="1138"/>
      <c r="BS994" s="1138"/>
      <c r="BT994" s="1138"/>
      <c r="BU994" s="1138"/>
      <c r="BV994" s="1140"/>
      <c r="BW994" s="1140"/>
      <c r="BX994" s="1138"/>
      <c r="BY994" s="1138"/>
      <c r="BZ994" s="1138"/>
      <c r="CA994" s="1138"/>
      <c r="CB994" s="1138"/>
      <c r="CC994" s="1138"/>
      <c r="CD994" s="1140"/>
      <c r="CE994" s="1140"/>
      <c r="CF994" s="1140"/>
      <c r="CG994" s="1140"/>
      <c r="CH994" s="1140"/>
      <c r="CI994" s="1138"/>
      <c r="CK994" s="1138"/>
      <c r="CL994" s="1138"/>
      <c r="CM994" s="1138"/>
      <c r="CN994" s="1138"/>
      <c r="CO994" s="1138"/>
      <c r="CP994" s="1138"/>
      <c r="CQ994" s="1138"/>
      <c r="CR994" s="1138"/>
      <c r="CS994" s="1138"/>
      <c r="CT994" s="1138"/>
      <c r="CU994" s="1138"/>
      <c r="CV994" s="1138"/>
      <c r="CW994" s="1138"/>
      <c r="CX994" s="1138"/>
      <c r="CY994" s="1230"/>
      <c r="CZ994" s="1138"/>
      <c r="DA994" s="1138"/>
      <c r="DB994" s="1138"/>
      <c r="DC994" s="1138"/>
      <c r="DD994" s="1138"/>
      <c r="DE994" s="1230"/>
      <c r="DF994" s="1138"/>
      <c r="DG994" s="1138"/>
      <c r="DH994" s="1138"/>
      <c r="DI994" s="1138"/>
      <c r="DJ994" s="1138"/>
      <c r="DK994" s="1138"/>
      <c r="DL994" s="1138"/>
      <c r="DM994" s="1138"/>
      <c r="DN994" s="1138"/>
      <c r="DO994" s="1138"/>
      <c r="DP994" s="1138"/>
      <c r="DQ994" s="1138"/>
      <c r="DR994" s="1138"/>
      <c r="DS994" s="1140"/>
      <c r="DT994" s="1141"/>
      <c r="DU994" s="1141"/>
      <c r="DV994" s="1138"/>
      <c r="DW994" s="1138"/>
      <c r="DX994" s="1138"/>
      <c r="DY994" s="1138"/>
      <c r="DZ994" s="1138"/>
      <c r="EA994" s="1138"/>
      <c r="EB994" s="1138"/>
      <c r="EC994" s="1138"/>
      <c r="ED994" s="1140"/>
      <c r="EE994" s="1140"/>
      <c r="EF994" s="1138"/>
      <c r="EG994" s="1138"/>
      <c r="EH994" s="1138"/>
      <c r="EI994" s="1138"/>
      <c r="EJ994" s="1138"/>
      <c r="EK994" s="1140"/>
      <c r="EL994" s="1140"/>
      <c r="EM994" s="1138"/>
      <c r="EN994" s="1138"/>
      <c r="EO994" s="1138"/>
      <c r="EP994" s="1138"/>
      <c r="EQ994" s="1138"/>
      <c r="ER994" s="1140"/>
      <c r="ES994" s="1140"/>
      <c r="ET994" s="1138"/>
      <c r="EU994" s="1138"/>
      <c r="EV994" s="1138"/>
      <c r="EW994" s="1138"/>
      <c r="EX994" s="1138"/>
      <c r="EY994" s="1138"/>
      <c r="EZ994" s="1140"/>
      <c r="FA994" s="1140"/>
      <c r="FB994" s="1140"/>
      <c r="FC994" s="1138"/>
      <c r="FD994" s="1138"/>
      <c r="FE994" s="1138"/>
      <c r="FF994" s="1138"/>
      <c r="FG994" s="1138"/>
      <c r="FH994" s="1138"/>
      <c r="FI994" s="1140"/>
      <c r="FJ994" s="1140"/>
      <c r="FK994" s="1140"/>
      <c r="FL994" s="1140"/>
      <c r="FM994" s="1138"/>
      <c r="FN994" s="1138"/>
      <c r="FO994" s="1138"/>
      <c r="FP994" s="1138"/>
      <c r="FQ994" s="1138"/>
      <c r="FR994" s="1138"/>
      <c r="FS994" s="1140"/>
      <c r="FT994" s="1140"/>
      <c r="FU994" s="1140"/>
      <c r="FV994" s="1140"/>
      <c r="FW994" s="1138"/>
      <c r="FX994" s="1138"/>
      <c r="FY994" s="1138"/>
      <c r="FZ994" s="1138"/>
      <c r="GA994" s="1140"/>
      <c r="GB994" s="1138"/>
      <c r="GC994" s="1230"/>
      <c r="GD994" s="1230"/>
      <c r="GE994" s="1138"/>
      <c r="GF994" s="1138"/>
      <c r="GG994" s="1230" t="s">
        <v>1349</v>
      </c>
      <c r="GH994" s="1230" t="s">
        <v>1349</v>
      </c>
      <c r="GI994" s="1230" t="s">
        <v>1349</v>
      </c>
      <c r="GJ994" s="1230" t="s">
        <v>1349</v>
      </c>
      <c r="GK994" s="1230" t="s">
        <v>1349</v>
      </c>
      <c r="GL994" s="1230" t="s">
        <v>1349</v>
      </c>
      <c r="GM994" s="1230" t="s">
        <v>1349</v>
      </c>
      <c r="GN994" s="1230" t="s">
        <v>1349</v>
      </c>
      <c r="GO994" s="1230" t="s">
        <v>1349</v>
      </c>
      <c r="GP994" s="1230" t="s">
        <v>1349</v>
      </c>
      <c r="GQ994" s="1230" t="s">
        <v>1349</v>
      </c>
      <c r="GR994" s="1230" t="s">
        <v>1349</v>
      </c>
      <c r="GS994" s="1230" t="s">
        <v>1349</v>
      </c>
      <c r="GT994" s="1230" t="s">
        <v>1349</v>
      </c>
      <c r="GU994" s="1230" t="s">
        <v>1349</v>
      </c>
      <c r="GV994" s="1230" t="s">
        <v>1349</v>
      </c>
      <c r="GW994" s="1230"/>
      <c r="GX994" s="1230"/>
      <c r="GY994" s="1138"/>
      <c r="GZ994" s="1138"/>
      <c r="HA994" s="1138"/>
      <c r="HB994" s="1138"/>
      <c r="HC994" s="1230"/>
      <c r="HD994" s="1230"/>
      <c r="HE994" s="1230"/>
      <c r="HF994" s="1230"/>
      <c r="HG994" s="1230"/>
      <c r="HH994" s="1230"/>
      <c r="HI994" s="1230"/>
      <c r="HJ994" s="1230"/>
      <c r="HK994" s="1230"/>
      <c r="HL994" s="1230"/>
      <c r="HM994" s="1230"/>
      <c r="HN994" s="1230"/>
      <c r="HO994" s="1230"/>
      <c r="HP994" s="1230"/>
      <c r="HQ994" s="1230"/>
      <c r="HR994" s="1230"/>
      <c r="HS994" s="1230"/>
      <c r="HT994" s="1230"/>
      <c r="HU994" s="1230"/>
      <c r="HV994" s="1230"/>
      <c r="HW994" s="1230"/>
      <c r="HX994" s="1230"/>
      <c r="HY994" s="1230"/>
      <c r="HZ994" s="1230"/>
      <c r="IA994" s="1230"/>
      <c r="IB994" s="1230"/>
      <c r="IC994" s="1230"/>
      <c r="ID994" s="1230"/>
      <c r="IE994" s="1230"/>
      <c r="IF994" s="1230"/>
      <c r="IG994" s="1230"/>
      <c r="IH994" s="1230"/>
      <c r="II994" s="1230"/>
      <c r="IJ994" s="1230"/>
      <c r="IK994" s="1230"/>
      <c r="IL994" s="1230"/>
      <c r="IM994" s="1230"/>
      <c r="IN994" s="1230"/>
      <c r="IO994" s="1230"/>
      <c r="IP994" s="1230"/>
      <c r="IQ994" s="1230"/>
      <c r="IR994" s="1230"/>
      <c r="IS994" s="1230"/>
      <c r="IT994" s="1230"/>
      <c r="IU994" s="1230"/>
      <c r="IV994" s="1230"/>
      <c r="IW994" s="1230"/>
      <c r="IX994" s="1230"/>
      <c r="IY994" s="1230"/>
      <c r="IZ994" s="1230"/>
    </row>
    <row r="995" spans="1:260" s="1142" customFormat="1" x14ac:dyDescent="0.2">
      <c r="A995" s="1136"/>
      <c r="B995" s="1137"/>
      <c r="C995" s="1230"/>
      <c r="D995" s="1230"/>
      <c r="E995" s="1138"/>
      <c r="F995" s="1138"/>
      <c r="G995" s="1138"/>
      <c r="H995" s="1138"/>
      <c r="I995" s="1138"/>
      <c r="J995" s="1138"/>
      <c r="K995" s="1138"/>
      <c r="L995" s="1138"/>
      <c r="M995" s="1138"/>
      <c r="N995" s="1138"/>
      <c r="O995" s="1138"/>
      <c r="P995" s="1138"/>
      <c r="Q995" s="1138"/>
      <c r="R995" s="1138"/>
      <c r="S995" s="1230"/>
      <c r="T995" s="1138"/>
      <c r="U995" s="1138"/>
      <c r="V995" s="1138"/>
      <c r="W995" s="1138"/>
      <c r="X995" s="1138"/>
      <c r="Y995" s="1138"/>
      <c r="Z995" s="1138"/>
      <c r="AA995" s="1138"/>
      <c r="AB995" s="1138"/>
      <c r="AJ995" s="1138"/>
      <c r="AK995" s="1138"/>
      <c r="AL995" s="1138"/>
      <c r="AM995" s="1138"/>
      <c r="AN995" s="1138"/>
      <c r="AO995" s="1230"/>
      <c r="AP995" s="1230"/>
      <c r="AQ995" s="1230"/>
      <c r="AR995" s="1230"/>
      <c r="AS995" s="1230"/>
      <c r="AT995" s="1230"/>
      <c r="AU995" s="1230"/>
      <c r="AV995" s="1230"/>
      <c r="AW995" s="1230"/>
      <c r="AX995" s="1230"/>
      <c r="AY995" s="1230"/>
      <c r="AZ995" s="1138"/>
      <c r="BA995" s="1230"/>
      <c r="BB995" s="1138"/>
      <c r="BC995" s="1138"/>
      <c r="BD995" s="1138"/>
      <c r="BE995" s="1138"/>
      <c r="BF995" s="1138"/>
      <c r="BG995" s="1138"/>
      <c r="BH995" s="1138"/>
      <c r="BI995" s="1138"/>
      <c r="BJ995" s="1138"/>
      <c r="BK995" s="1140"/>
      <c r="BL995" s="1140"/>
      <c r="BM995" s="1141"/>
      <c r="BN995" s="1138"/>
      <c r="BO995" s="1138"/>
      <c r="BP995" s="1138"/>
      <c r="BQ995" s="1138"/>
      <c r="BR995" s="1138"/>
      <c r="BS995" s="1138"/>
      <c r="BT995" s="1138"/>
      <c r="BU995" s="1138"/>
      <c r="BV995" s="1140"/>
      <c r="BW995" s="1140"/>
      <c r="BX995" s="1138"/>
      <c r="BY995" s="1138"/>
      <c r="BZ995" s="1138"/>
      <c r="CA995" s="1138"/>
      <c r="CB995" s="1138"/>
      <c r="CC995" s="1138"/>
      <c r="CD995" s="1140"/>
      <c r="CE995" s="1140"/>
      <c r="CF995" s="1140"/>
      <c r="CG995" s="1140"/>
      <c r="CH995" s="1140"/>
      <c r="CI995" s="1138"/>
      <c r="CK995" s="1138"/>
      <c r="CL995" s="1138"/>
      <c r="CM995" s="1138"/>
      <c r="CN995" s="1138"/>
      <c r="CO995" s="1138"/>
      <c r="CP995" s="1138"/>
      <c r="CQ995" s="1138"/>
      <c r="CR995" s="1138"/>
      <c r="CS995" s="1138"/>
      <c r="CT995" s="1138"/>
      <c r="CU995" s="1138"/>
      <c r="CV995" s="1138"/>
      <c r="CW995" s="1138"/>
      <c r="CX995" s="1138"/>
      <c r="CY995" s="1230"/>
      <c r="CZ995" s="1138"/>
      <c r="DA995" s="1138"/>
      <c r="DB995" s="1138"/>
      <c r="DC995" s="1138"/>
      <c r="DD995" s="1138"/>
      <c r="DE995" s="1230"/>
      <c r="DF995" s="1138"/>
      <c r="DG995" s="1138"/>
      <c r="DH995" s="1138"/>
      <c r="DI995" s="1138"/>
      <c r="DJ995" s="1138"/>
      <c r="DK995" s="1138"/>
      <c r="DL995" s="1138"/>
      <c r="DM995" s="1138"/>
      <c r="DN995" s="1138"/>
      <c r="DO995" s="1138"/>
      <c r="DP995" s="1138"/>
      <c r="DQ995" s="1138"/>
      <c r="DR995" s="1138"/>
      <c r="DS995" s="1140"/>
      <c r="DT995" s="1141"/>
      <c r="DU995" s="1141"/>
      <c r="DV995" s="1138"/>
      <c r="DW995" s="1138"/>
      <c r="DX995" s="1138"/>
      <c r="DY995" s="1138"/>
      <c r="DZ995" s="1138"/>
      <c r="EA995" s="1138"/>
      <c r="EB995" s="1138"/>
      <c r="EC995" s="1138"/>
      <c r="ED995" s="1140"/>
      <c r="EE995" s="1140"/>
      <c r="EF995" s="1138"/>
      <c r="EG995" s="1138"/>
      <c r="EH995" s="1138"/>
      <c r="EI995" s="1138"/>
      <c r="EJ995" s="1138"/>
      <c r="EK995" s="1140"/>
      <c r="EL995" s="1140"/>
      <c r="EM995" s="1138"/>
      <c r="EN995" s="1138"/>
      <c r="EO995" s="1138"/>
      <c r="EP995" s="1138"/>
      <c r="EQ995" s="1138"/>
      <c r="ER995" s="1140"/>
      <c r="ES995" s="1140"/>
      <c r="ET995" s="1138"/>
      <c r="EU995" s="1138"/>
      <c r="EV995" s="1138"/>
      <c r="EW995" s="1138"/>
      <c r="EX995" s="1138"/>
      <c r="EY995" s="1138"/>
      <c r="EZ995" s="1140"/>
      <c r="FA995" s="1140"/>
      <c r="FB995" s="1140"/>
      <c r="FC995" s="1138"/>
      <c r="FD995" s="1138"/>
      <c r="FE995" s="1138"/>
      <c r="FF995" s="1138"/>
      <c r="FG995" s="1138"/>
      <c r="FH995" s="1138"/>
      <c r="FI995" s="1140"/>
      <c r="FJ995" s="1140"/>
      <c r="FK995" s="1140"/>
      <c r="FL995" s="1140"/>
      <c r="FM995" s="1138"/>
      <c r="FN995" s="1138"/>
      <c r="FO995" s="1138"/>
      <c r="FP995" s="1138"/>
      <c r="FQ995" s="1138"/>
      <c r="FR995" s="1138"/>
      <c r="FS995" s="1140"/>
      <c r="FT995" s="1140"/>
      <c r="FU995" s="1140"/>
      <c r="FV995" s="1140"/>
      <c r="FW995" s="1138"/>
      <c r="FX995" s="1138"/>
      <c r="FY995" s="1138"/>
      <c r="FZ995" s="1138"/>
      <c r="GA995" s="1140"/>
      <c r="GB995" s="1138"/>
      <c r="GC995" s="1230"/>
      <c r="GD995" s="1230"/>
      <c r="GE995" s="1138"/>
      <c r="GF995" s="1138"/>
      <c r="GG995" s="1230" t="s">
        <v>1349</v>
      </c>
      <c r="GH995" s="1230" t="s">
        <v>1349</v>
      </c>
      <c r="GI995" s="1230" t="s">
        <v>1349</v>
      </c>
      <c r="GJ995" s="1230" t="s">
        <v>1349</v>
      </c>
      <c r="GK995" s="1230" t="s">
        <v>1349</v>
      </c>
      <c r="GL995" s="1230" t="s">
        <v>1349</v>
      </c>
      <c r="GM995" s="1230" t="s">
        <v>1349</v>
      </c>
      <c r="GN995" s="1230" t="s">
        <v>1349</v>
      </c>
      <c r="GO995" s="1230" t="s">
        <v>1349</v>
      </c>
      <c r="GP995" s="1230" t="s">
        <v>1349</v>
      </c>
      <c r="GQ995" s="1230" t="s">
        <v>1349</v>
      </c>
      <c r="GR995" s="1230" t="s">
        <v>1349</v>
      </c>
      <c r="GS995" s="1230" t="s">
        <v>1349</v>
      </c>
      <c r="GT995" s="1230" t="s">
        <v>1349</v>
      </c>
      <c r="GU995" s="1230" t="s">
        <v>1349</v>
      </c>
      <c r="GV995" s="1230" t="s">
        <v>1349</v>
      </c>
      <c r="GW995" s="1230"/>
      <c r="GX995" s="1230"/>
      <c r="GY995" s="1138"/>
      <c r="GZ995" s="1138"/>
      <c r="HA995" s="1138"/>
      <c r="HB995" s="1138"/>
      <c r="HC995" s="1230"/>
      <c r="HD995" s="1230"/>
      <c r="HE995" s="1230"/>
      <c r="HF995" s="1230"/>
      <c r="HG995" s="1230"/>
      <c r="HH995" s="1230"/>
      <c r="HI995" s="1230"/>
      <c r="HJ995" s="1230"/>
      <c r="HK995" s="1230"/>
      <c r="HL995" s="1230"/>
      <c r="HM995" s="1230"/>
      <c r="HN995" s="1230"/>
      <c r="HO995" s="1230"/>
      <c r="HP995" s="1230"/>
      <c r="HQ995" s="1230"/>
      <c r="HR995" s="1230"/>
      <c r="HS995" s="1230"/>
      <c r="HT995" s="1230"/>
      <c r="HU995" s="1230"/>
      <c r="HV995" s="1230"/>
      <c r="HW995" s="1230"/>
      <c r="HX995" s="1230"/>
      <c r="HY995" s="1230"/>
      <c r="HZ995" s="1230"/>
      <c r="IA995" s="1230"/>
      <c r="IB995" s="1230"/>
      <c r="IC995" s="1230"/>
      <c r="ID995" s="1230"/>
      <c r="IE995" s="1230"/>
      <c r="IF995" s="1230"/>
      <c r="IG995" s="1230"/>
      <c r="IH995" s="1230"/>
      <c r="II995" s="1230"/>
      <c r="IJ995" s="1230"/>
      <c r="IK995" s="1230"/>
      <c r="IL995" s="1230"/>
      <c r="IM995" s="1230"/>
      <c r="IN995" s="1230"/>
      <c r="IO995" s="1230"/>
      <c r="IP995" s="1230"/>
      <c r="IQ995" s="1230"/>
      <c r="IR995" s="1230"/>
      <c r="IS995" s="1230"/>
      <c r="IT995" s="1230"/>
      <c r="IU995" s="1230"/>
      <c r="IV995" s="1230"/>
      <c r="IW995" s="1230"/>
      <c r="IX995" s="1230"/>
      <c r="IY995" s="1230"/>
      <c r="IZ995" s="1230"/>
    </row>
    <row r="996" spans="1:260" s="1142" customFormat="1" x14ac:dyDescent="0.2">
      <c r="A996" s="1136"/>
      <c r="B996" s="1137"/>
      <c r="C996" s="1230"/>
      <c r="D996" s="1230"/>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J996" s="1138"/>
      <c r="AK996" s="1138"/>
      <c r="AL996" s="1138"/>
      <c r="AM996" s="1230"/>
      <c r="AN996" s="1230"/>
      <c r="AO996" s="1230"/>
      <c r="AP996" s="1230"/>
      <c r="AQ996" s="1230"/>
      <c r="AR996" s="1230"/>
      <c r="AS996" s="1230"/>
      <c r="AT996" s="1230"/>
      <c r="AU996" s="1230"/>
      <c r="AV996" s="1230"/>
      <c r="AW996" s="1230"/>
      <c r="AX996" s="1230"/>
      <c r="AY996" s="1230"/>
      <c r="AZ996" s="1138"/>
      <c r="BA996" s="1230"/>
      <c r="BB996" s="1138"/>
      <c r="BC996" s="1138"/>
      <c r="BD996" s="1138"/>
      <c r="BE996" s="1138"/>
      <c r="BF996" s="1138"/>
      <c r="BG996" s="1138"/>
      <c r="BH996" s="1138"/>
      <c r="BI996" s="1138"/>
      <c r="BJ996" s="1138"/>
      <c r="BK996" s="1140"/>
      <c r="BL996" s="1140"/>
      <c r="BM996" s="1141"/>
      <c r="BN996" s="1138"/>
      <c r="BO996" s="1138"/>
      <c r="BP996" s="1138"/>
      <c r="BQ996" s="1138"/>
      <c r="BR996" s="1138"/>
      <c r="BS996" s="1138"/>
      <c r="BT996" s="1138"/>
      <c r="BU996" s="1138"/>
      <c r="BV996" s="1140"/>
      <c r="BW996" s="1140"/>
      <c r="BX996" s="1138"/>
      <c r="BY996" s="1138"/>
      <c r="BZ996" s="1138"/>
      <c r="CA996" s="1138"/>
      <c r="CB996" s="1138"/>
      <c r="CC996" s="1138"/>
      <c r="CD996" s="1140"/>
      <c r="CE996" s="1140"/>
      <c r="CF996" s="1140"/>
      <c r="CG996" s="1140"/>
      <c r="CH996" s="1140"/>
      <c r="CI996" s="1138"/>
      <c r="CK996" s="1138"/>
      <c r="CL996" s="1138"/>
      <c r="CM996" s="1138"/>
      <c r="CN996" s="1138"/>
      <c r="CO996" s="1138"/>
      <c r="CP996" s="1138"/>
      <c r="CQ996" s="1138"/>
      <c r="CR996" s="1138"/>
      <c r="CS996" s="1138"/>
      <c r="CT996" s="1138"/>
      <c r="CU996" s="1138"/>
      <c r="CV996" s="1138"/>
      <c r="CW996" s="1138"/>
      <c r="CX996" s="1138"/>
      <c r="CY996" s="1230"/>
      <c r="CZ996" s="1138"/>
      <c r="DA996" s="1138"/>
      <c r="DB996" s="1138"/>
      <c r="DC996" s="1138"/>
      <c r="DD996" s="1138"/>
      <c r="DE996" s="1230"/>
      <c r="DF996" s="1138"/>
      <c r="DG996" s="1138"/>
      <c r="DH996" s="1138"/>
      <c r="DI996" s="1138"/>
      <c r="DJ996" s="1138"/>
      <c r="DK996" s="1138"/>
      <c r="DL996" s="1138"/>
      <c r="DM996" s="1138"/>
      <c r="DN996" s="1138"/>
      <c r="DO996" s="1138"/>
      <c r="DP996" s="1138"/>
      <c r="DQ996" s="1138"/>
      <c r="DR996" s="1138"/>
      <c r="DS996" s="1140"/>
      <c r="DT996" s="1141"/>
      <c r="DU996" s="1141"/>
      <c r="DV996" s="1138"/>
      <c r="DW996" s="1138"/>
      <c r="DX996" s="1138"/>
      <c r="DY996" s="1138"/>
      <c r="DZ996" s="1138"/>
      <c r="EA996" s="1138"/>
      <c r="EB996" s="1138"/>
      <c r="EC996" s="1138"/>
      <c r="ED996" s="1140"/>
      <c r="EE996" s="1140"/>
      <c r="EF996" s="1138"/>
      <c r="EG996" s="1138"/>
      <c r="EH996" s="1138"/>
      <c r="EI996" s="1138"/>
      <c r="EJ996" s="1138"/>
      <c r="EK996" s="1140"/>
      <c r="EL996" s="1140"/>
      <c r="EM996" s="1138"/>
      <c r="EN996" s="1138"/>
      <c r="EO996" s="1138"/>
      <c r="EP996" s="1138"/>
      <c r="EQ996" s="1138"/>
      <c r="ER996" s="1140"/>
      <c r="ES996" s="1140"/>
      <c r="ET996" s="1138"/>
      <c r="EU996" s="1138"/>
      <c r="EV996" s="1138"/>
      <c r="EW996" s="1138"/>
      <c r="EX996" s="1138"/>
      <c r="EY996" s="1138"/>
      <c r="EZ996" s="1140"/>
      <c r="FA996" s="1140"/>
      <c r="FB996" s="1140"/>
      <c r="FC996" s="1138"/>
      <c r="FD996" s="1138"/>
      <c r="FE996" s="1138"/>
      <c r="FF996" s="1138"/>
      <c r="FG996" s="1138"/>
      <c r="FH996" s="1138"/>
      <c r="FI996" s="1140"/>
      <c r="FJ996" s="1140"/>
      <c r="FK996" s="1140"/>
      <c r="FL996" s="1140"/>
      <c r="FM996" s="1138"/>
      <c r="FN996" s="1138"/>
      <c r="FO996" s="1138"/>
      <c r="FP996" s="1138"/>
      <c r="FQ996" s="1138"/>
      <c r="FR996" s="1138"/>
      <c r="FS996" s="1140"/>
      <c r="FT996" s="1140"/>
      <c r="FU996" s="1140"/>
      <c r="FV996" s="1140"/>
      <c r="FW996" s="1138"/>
      <c r="FX996" s="1138"/>
      <c r="FY996" s="1138"/>
      <c r="FZ996" s="1138"/>
      <c r="GA996" s="1140"/>
      <c r="GB996" s="1138"/>
      <c r="GC996" s="1230"/>
      <c r="GD996" s="1230"/>
      <c r="GE996" s="1138"/>
      <c r="GF996" s="1138"/>
      <c r="GG996" s="1230" t="s">
        <v>1349</v>
      </c>
      <c r="GH996" s="1230" t="s">
        <v>1349</v>
      </c>
      <c r="GI996" s="1230" t="s">
        <v>1349</v>
      </c>
      <c r="GJ996" s="1230" t="s">
        <v>1349</v>
      </c>
      <c r="GK996" s="1230" t="s">
        <v>1349</v>
      </c>
      <c r="GL996" s="1230" t="s">
        <v>1349</v>
      </c>
      <c r="GM996" s="1230" t="s">
        <v>1349</v>
      </c>
      <c r="GN996" s="1230" t="s">
        <v>1349</v>
      </c>
      <c r="GO996" s="1230" t="s">
        <v>1349</v>
      </c>
      <c r="GP996" s="1230" t="s">
        <v>1349</v>
      </c>
      <c r="GQ996" s="1230" t="s">
        <v>1349</v>
      </c>
      <c r="GR996" s="1230" t="s">
        <v>1349</v>
      </c>
      <c r="GS996" s="1230" t="s">
        <v>1349</v>
      </c>
      <c r="GT996" s="1230" t="s">
        <v>1349</v>
      </c>
      <c r="GU996" s="1230" t="s">
        <v>1349</v>
      </c>
      <c r="GV996" s="1230" t="s">
        <v>1349</v>
      </c>
      <c r="GW996" s="1230"/>
      <c r="GX996" s="1230"/>
      <c r="GY996" s="1138"/>
      <c r="GZ996" s="1138"/>
      <c r="HA996" s="1138"/>
      <c r="HB996" s="1138"/>
      <c r="HC996" s="1230"/>
      <c r="HD996" s="1230"/>
      <c r="HE996" s="1230"/>
      <c r="HF996" s="1230"/>
      <c r="HG996" s="1230"/>
      <c r="HH996" s="1230"/>
      <c r="HI996" s="1230"/>
      <c r="HJ996" s="1230"/>
      <c r="HK996" s="1230"/>
      <c r="HL996" s="1230"/>
      <c r="HM996" s="1230"/>
      <c r="HN996" s="1230"/>
      <c r="HO996" s="1230"/>
      <c r="HP996" s="1230"/>
      <c r="HQ996" s="1230"/>
      <c r="HR996" s="1230"/>
      <c r="HS996" s="1230"/>
      <c r="HT996" s="1230"/>
      <c r="HU996" s="1230"/>
      <c r="HV996" s="1230"/>
      <c r="HW996" s="1230"/>
      <c r="HX996" s="1230"/>
      <c r="HY996" s="1230"/>
      <c r="HZ996" s="1230"/>
      <c r="IA996" s="1230"/>
      <c r="IB996" s="1230"/>
      <c r="IC996" s="1230"/>
      <c r="ID996" s="1230"/>
      <c r="IE996" s="1230"/>
      <c r="IF996" s="1230"/>
      <c r="IG996" s="1230"/>
      <c r="IH996" s="1230"/>
      <c r="II996" s="1230"/>
      <c r="IJ996" s="1230"/>
      <c r="IK996" s="1230"/>
      <c r="IL996" s="1230"/>
      <c r="IM996" s="1230"/>
      <c r="IN996" s="1230"/>
      <c r="IO996" s="1230"/>
      <c r="IP996" s="1230"/>
      <c r="IQ996" s="1230"/>
      <c r="IR996" s="1230"/>
      <c r="IS996" s="1230"/>
      <c r="IT996" s="1230"/>
      <c r="IU996" s="1230"/>
      <c r="IV996" s="1230"/>
      <c r="IW996" s="1230"/>
      <c r="IX996" s="1230"/>
      <c r="IY996" s="1230"/>
      <c r="IZ996" s="1230"/>
    </row>
    <row r="997" spans="1:260" s="1142" customFormat="1" x14ac:dyDescent="0.2">
      <c r="A997" s="1136"/>
      <c r="B997" s="1137"/>
      <c r="C997" s="1230"/>
      <c r="D997" s="1230"/>
      <c r="E997" s="1138"/>
      <c r="F997" s="1138"/>
      <c r="G997" s="1138"/>
      <c r="H997" s="1138"/>
      <c r="I997" s="1138"/>
      <c r="J997" s="1138"/>
      <c r="K997" s="1138"/>
      <c r="L997" s="1138"/>
      <c r="M997" s="1138"/>
      <c r="N997" s="1138"/>
      <c r="O997" s="1138"/>
      <c r="P997" s="1138"/>
      <c r="Q997" s="1138"/>
      <c r="R997" s="1138"/>
      <c r="S997" s="1138"/>
      <c r="T997" s="1138"/>
      <c r="U997" s="1138"/>
      <c r="V997" s="1138"/>
      <c r="W997" s="1138"/>
      <c r="X997" s="1138"/>
      <c r="Y997" s="1138"/>
      <c r="Z997" s="1138"/>
      <c r="AA997" s="1138"/>
      <c r="AB997" s="1138"/>
      <c r="AC997" s="1138"/>
      <c r="AD997" s="1138"/>
      <c r="AE997" s="1138"/>
      <c r="AF997" s="1138"/>
      <c r="AG997" s="1138"/>
      <c r="AH997" s="1138"/>
      <c r="AI997" s="1138"/>
      <c r="AJ997" s="1138"/>
      <c r="AK997" s="1138"/>
      <c r="AL997" s="1138"/>
      <c r="AM997" s="1230"/>
      <c r="AN997" s="1230"/>
      <c r="AO997" s="1230"/>
      <c r="AP997" s="1230"/>
      <c r="AQ997" s="1230"/>
      <c r="AR997" s="1230"/>
      <c r="AS997" s="1230"/>
      <c r="AT997" s="1230"/>
      <c r="AU997" s="1230"/>
      <c r="AV997" s="1230"/>
      <c r="AW997" s="1230"/>
      <c r="AX997" s="1230"/>
      <c r="AY997" s="1230"/>
      <c r="AZ997" s="1138"/>
      <c r="BA997" s="1230"/>
      <c r="BB997" s="1138"/>
      <c r="BC997" s="1138"/>
      <c r="BD997" s="1138"/>
      <c r="BE997" s="1138"/>
      <c r="BF997" s="1138"/>
      <c r="BG997" s="1138"/>
      <c r="BH997" s="1138"/>
      <c r="BI997" s="1138"/>
      <c r="BJ997" s="1138"/>
      <c r="BK997" s="1140"/>
      <c r="BL997" s="1140"/>
      <c r="BM997" s="1141"/>
      <c r="BN997" s="1138"/>
      <c r="BO997" s="1138"/>
      <c r="BP997" s="1138"/>
      <c r="BQ997" s="1138"/>
      <c r="BR997" s="1138"/>
      <c r="BS997" s="1138"/>
      <c r="BT997" s="1138"/>
      <c r="BU997" s="1138"/>
      <c r="BV997" s="1140"/>
      <c r="BW997" s="1140"/>
      <c r="BX997" s="1138"/>
      <c r="BY997" s="1138"/>
      <c r="BZ997" s="1138"/>
      <c r="CA997" s="1138"/>
      <c r="CB997" s="1138"/>
      <c r="CC997" s="1138"/>
      <c r="CD997" s="1140"/>
      <c r="CE997" s="1140"/>
      <c r="CF997" s="1140"/>
      <c r="CG997" s="1140"/>
      <c r="CH997" s="1140"/>
      <c r="CI997" s="1138"/>
      <c r="CK997" s="1138"/>
      <c r="CL997" s="1138"/>
      <c r="CM997" s="1138"/>
      <c r="CN997" s="1138"/>
      <c r="CO997" s="1138"/>
      <c r="CP997" s="1138"/>
      <c r="CQ997" s="1138"/>
      <c r="CR997" s="1138"/>
      <c r="CS997" s="1138"/>
      <c r="CT997" s="1138"/>
      <c r="CU997" s="1138"/>
      <c r="CV997" s="1138"/>
      <c r="CW997" s="1138"/>
      <c r="CX997" s="1138"/>
      <c r="CY997" s="1230"/>
      <c r="CZ997" s="1138"/>
      <c r="DA997" s="1138"/>
      <c r="DB997" s="1138"/>
      <c r="DC997" s="1138"/>
      <c r="DD997" s="1138"/>
      <c r="DE997" s="1230"/>
      <c r="DF997" s="1138"/>
      <c r="DG997" s="1138"/>
      <c r="DH997" s="1138"/>
      <c r="DI997" s="1138"/>
      <c r="DJ997" s="1138"/>
      <c r="DK997" s="1138"/>
      <c r="DL997" s="1138"/>
      <c r="DM997" s="1138"/>
      <c r="DN997" s="1138"/>
      <c r="DO997" s="1138"/>
      <c r="DP997" s="1138"/>
      <c r="DQ997" s="1138"/>
      <c r="DR997" s="1138"/>
      <c r="DS997" s="1140"/>
      <c r="DT997" s="1141"/>
      <c r="DU997" s="1141"/>
      <c r="DV997" s="1138"/>
      <c r="DW997" s="1138"/>
      <c r="DX997" s="1138"/>
      <c r="DY997" s="1138"/>
      <c r="DZ997" s="1138"/>
      <c r="EA997" s="1138"/>
      <c r="EB997" s="1138"/>
      <c r="EC997" s="1138"/>
      <c r="ED997" s="1140"/>
      <c r="EE997" s="1140"/>
      <c r="EF997" s="1138"/>
      <c r="EG997" s="1138"/>
      <c r="EH997" s="1138"/>
      <c r="EI997" s="1138"/>
      <c r="EJ997" s="1138"/>
      <c r="EK997" s="1140"/>
      <c r="EL997" s="1140"/>
      <c r="EM997" s="1138"/>
      <c r="EN997" s="1138"/>
      <c r="EO997" s="1138"/>
      <c r="EP997" s="1138"/>
      <c r="EQ997" s="1138"/>
      <c r="ER997" s="1140"/>
      <c r="ES997" s="1140"/>
      <c r="ET997" s="1138"/>
      <c r="EU997" s="1138"/>
      <c r="EV997" s="1138"/>
      <c r="EW997" s="1138"/>
      <c r="EX997" s="1138"/>
      <c r="EY997" s="1138"/>
      <c r="EZ997" s="1140"/>
      <c r="FA997" s="1140"/>
      <c r="FB997" s="1140"/>
      <c r="FC997" s="1138"/>
      <c r="FD997" s="1138"/>
      <c r="FE997" s="1138"/>
      <c r="FF997" s="1138"/>
      <c r="FG997" s="1138"/>
      <c r="FH997" s="1138"/>
      <c r="FI997" s="1140"/>
      <c r="FJ997" s="1140"/>
      <c r="FK997" s="1140"/>
      <c r="FL997" s="1140"/>
      <c r="FM997" s="1138"/>
      <c r="FN997" s="1138"/>
      <c r="FO997" s="1138"/>
      <c r="FP997" s="1138"/>
      <c r="FQ997" s="1138"/>
      <c r="FR997" s="1138"/>
      <c r="FS997" s="1140"/>
      <c r="FT997" s="1140"/>
      <c r="FU997" s="1140"/>
      <c r="FV997" s="1140"/>
      <c r="FW997" s="1138"/>
      <c r="FX997" s="1138"/>
      <c r="FY997" s="1138"/>
      <c r="FZ997" s="1138"/>
      <c r="GA997" s="1140"/>
      <c r="GB997" s="1138"/>
      <c r="GC997" s="1230"/>
      <c r="GD997" s="1230"/>
      <c r="GE997" s="1138"/>
      <c r="GF997" s="1138"/>
      <c r="GG997" s="1230" t="s">
        <v>1349</v>
      </c>
      <c r="GH997" s="1230" t="s">
        <v>1349</v>
      </c>
      <c r="GI997" s="1230" t="s">
        <v>1349</v>
      </c>
      <c r="GJ997" s="1230" t="s">
        <v>1349</v>
      </c>
      <c r="GK997" s="1230" t="s">
        <v>1349</v>
      </c>
      <c r="GL997" s="1230" t="s">
        <v>1349</v>
      </c>
      <c r="GM997" s="1230" t="s">
        <v>1349</v>
      </c>
      <c r="GN997" s="1230" t="s">
        <v>1349</v>
      </c>
      <c r="GO997" s="1230" t="s">
        <v>1349</v>
      </c>
      <c r="GP997" s="1230" t="s">
        <v>1349</v>
      </c>
      <c r="GQ997" s="1230" t="s">
        <v>1349</v>
      </c>
      <c r="GR997" s="1230" t="s">
        <v>1349</v>
      </c>
      <c r="GS997" s="1230" t="s">
        <v>1349</v>
      </c>
      <c r="GT997" s="1230" t="s">
        <v>1349</v>
      </c>
      <c r="GU997" s="1230" t="s">
        <v>1349</v>
      </c>
      <c r="GV997" s="1230" t="s">
        <v>1349</v>
      </c>
      <c r="GW997" s="1230"/>
      <c r="GX997" s="1230"/>
      <c r="GY997" s="1138"/>
      <c r="GZ997" s="1138"/>
      <c r="HA997" s="1138"/>
      <c r="HB997" s="1138"/>
      <c r="HC997" s="1230"/>
      <c r="HD997" s="1230"/>
      <c r="HE997" s="1230"/>
      <c r="HF997" s="1230"/>
      <c r="HG997" s="1230"/>
      <c r="HH997" s="1230"/>
      <c r="HI997" s="1230"/>
      <c r="HJ997" s="1230"/>
      <c r="HK997" s="1138"/>
      <c r="HL997" s="1138"/>
      <c r="HM997" s="1230"/>
      <c r="HN997" s="1230"/>
      <c r="HO997" s="1230"/>
      <c r="HP997" s="1230"/>
      <c r="HQ997" s="1230"/>
      <c r="HR997" s="1230"/>
      <c r="HS997" s="1230"/>
      <c r="HT997" s="1230"/>
      <c r="HU997" s="1230"/>
      <c r="HV997" s="1230"/>
      <c r="HW997" s="1230"/>
      <c r="HX997" s="1230"/>
      <c r="HY997" s="1230"/>
      <c r="HZ997" s="1230"/>
      <c r="IA997" s="1230"/>
      <c r="IB997" s="1230"/>
      <c r="IC997" s="1230"/>
      <c r="ID997" s="1230"/>
      <c r="IE997" s="1230"/>
      <c r="IF997" s="1230"/>
      <c r="IG997" s="1230"/>
      <c r="IH997" s="1230"/>
      <c r="II997" s="1230"/>
      <c r="IJ997" s="1230"/>
      <c r="IK997" s="1230"/>
      <c r="IL997" s="1230"/>
      <c r="IM997" s="1230"/>
      <c r="IN997" s="1230"/>
      <c r="IO997" s="1230"/>
      <c r="IP997" s="1230"/>
      <c r="IQ997" s="1230"/>
      <c r="IR997" s="1230"/>
      <c r="IS997" s="1230"/>
      <c r="IT997" s="1230"/>
      <c r="IU997" s="1230"/>
      <c r="IV997" s="1230"/>
      <c r="IW997" s="1230"/>
      <c r="IX997" s="1230"/>
      <c r="IY997" s="1230"/>
      <c r="IZ997" s="1230"/>
    </row>
    <row r="998" spans="1:260" x14ac:dyDescent="0.2">
      <c r="A998" s="1136"/>
      <c r="B998" s="1137"/>
      <c r="C998" s="1230"/>
      <c r="AM998" s="1230"/>
      <c r="AN998" s="1230"/>
      <c r="AO998" s="1230"/>
      <c r="AP998" s="1230"/>
      <c r="AQ998" s="1230"/>
      <c r="AR998" s="1230"/>
      <c r="AS998" s="1230"/>
      <c r="AT998" s="1230"/>
      <c r="AU998" s="1230"/>
      <c r="AV998" s="1230"/>
      <c r="AW998" s="1230"/>
      <c r="AX998" s="1230"/>
      <c r="AY998" s="1230"/>
      <c r="BA998" s="1230"/>
      <c r="BL998" s="1259"/>
      <c r="CY998" s="1230"/>
      <c r="DE998" s="1230"/>
      <c r="GG998" s="1138" t="s">
        <v>1349</v>
      </c>
      <c r="GH998" s="1138" t="s">
        <v>1349</v>
      </c>
      <c r="GI998" s="1138" t="s">
        <v>1349</v>
      </c>
      <c r="GJ998" s="1138" t="s">
        <v>1349</v>
      </c>
      <c r="GK998" s="1138" t="s">
        <v>1349</v>
      </c>
      <c r="GL998" s="1138" t="s">
        <v>1349</v>
      </c>
      <c r="GM998" s="1138" t="s">
        <v>1349</v>
      </c>
      <c r="GN998" s="1138" t="s">
        <v>1349</v>
      </c>
      <c r="GO998" s="1138" t="s">
        <v>1349</v>
      </c>
      <c r="GP998" s="1138" t="s">
        <v>1349</v>
      </c>
      <c r="GQ998" s="1138" t="s">
        <v>1349</v>
      </c>
      <c r="GR998" s="1138" t="s">
        <v>1349</v>
      </c>
      <c r="GS998" s="1138" t="s">
        <v>1349</v>
      </c>
      <c r="GT998" s="1138" t="s">
        <v>1349</v>
      </c>
      <c r="GU998" s="1138" t="s">
        <v>1349</v>
      </c>
      <c r="GV998" s="1138" t="s">
        <v>1349</v>
      </c>
    </row>
    <row r="999" spans="1:260" x14ac:dyDescent="0.2">
      <c r="A999" s="1136"/>
      <c r="B999" s="1137"/>
      <c r="C999" s="1230"/>
      <c r="AM999" s="1230"/>
      <c r="AN999" s="1230"/>
      <c r="AO999" s="1230"/>
      <c r="AP999" s="1230"/>
      <c r="AQ999" s="1230"/>
      <c r="AR999" s="1230"/>
      <c r="AS999" s="1230"/>
      <c r="AT999" s="1230"/>
      <c r="AU999" s="1230"/>
      <c r="AV999" s="1230"/>
      <c r="AW999" s="1230"/>
      <c r="AX999" s="1230"/>
      <c r="AY999" s="1230"/>
      <c r="BA999" s="1230"/>
      <c r="BL999" s="1259"/>
      <c r="ES999" s="1183"/>
      <c r="GG999" s="1138" t="s">
        <v>1349</v>
      </c>
      <c r="GH999" s="1138" t="s">
        <v>1349</v>
      </c>
      <c r="GI999" s="1138" t="s">
        <v>1349</v>
      </c>
      <c r="GJ999" s="1138" t="s">
        <v>1349</v>
      </c>
      <c r="GK999" s="1138" t="s">
        <v>1349</v>
      </c>
      <c r="GL999" s="1138" t="s">
        <v>1349</v>
      </c>
      <c r="GM999" s="1138" t="s">
        <v>1349</v>
      </c>
      <c r="GN999" s="1138" t="s">
        <v>1349</v>
      </c>
      <c r="GO999" s="1138" t="s">
        <v>1349</v>
      </c>
      <c r="GP999" s="1138" t="s">
        <v>1349</v>
      </c>
      <c r="GQ999" s="1138" t="s">
        <v>1349</v>
      </c>
      <c r="GR999" s="1138" t="s">
        <v>1349</v>
      </c>
      <c r="GS999" s="1138" t="s">
        <v>1349</v>
      </c>
      <c r="GT999" s="1138" t="s">
        <v>1349</v>
      </c>
      <c r="GU999" s="1138" t="s">
        <v>1349</v>
      </c>
      <c r="GV999" s="1138" t="s">
        <v>1349</v>
      </c>
    </row>
    <row r="1000" spans="1:260" x14ac:dyDescent="0.2">
      <c r="A1000" s="1136"/>
      <c r="B1000" s="1137"/>
      <c r="C1000" s="1230"/>
      <c r="I1000" s="1142"/>
      <c r="J1000" s="1142"/>
      <c r="K1000" s="1142"/>
      <c r="L1000" s="1142"/>
      <c r="M1000" s="1142"/>
      <c r="AM1000" s="1230"/>
      <c r="AN1000" s="1230"/>
      <c r="AO1000" s="1230"/>
      <c r="AP1000" s="1230"/>
      <c r="AQ1000" s="1230"/>
      <c r="AR1000" s="1230"/>
      <c r="AS1000" s="1230"/>
      <c r="AT1000" s="1230"/>
      <c r="AU1000" s="1230"/>
      <c r="AV1000" s="1230"/>
      <c r="AW1000" s="1230"/>
      <c r="AX1000" s="1230"/>
      <c r="AY1000" s="1230"/>
      <c r="BA1000" s="1230"/>
      <c r="BL1000" s="1259"/>
      <c r="ES1000" s="1183"/>
      <c r="GG1000" s="1138" t="s">
        <v>1349</v>
      </c>
      <c r="GH1000" s="1138" t="s">
        <v>1349</v>
      </c>
      <c r="GI1000" s="1138" t="s">
        <v>1349</v>
      </c>
      <c r="GJ1000" s="1138" t="s">
        <v>1349</v>
      </c>
      <c r="GK1000" s="1138" t="s">
        <v>1349</v>
      </c>
      <c r="GL1000" s="1138" t="s">
        <v>1349</v>
      </c>
      <c r="GM1000" s="1138" t="s">
        <v>1349</v>
      </c>
      <c r="GN1000" s="1138" t="s">
        <v>1349</v>
      </c>
      <c r="GO1000" s="1138" t="s">
        <v>1349</v>
      </c>
      <c r="GP1000" s="1138" t="s">
        <v>1349</v>
      </c>
      <c r="GQ1000" s="1138" t="s">
        <v>1349</v>
      </c>
      <c r="GR1000" s="1138" t="s">
        <v>1349</v>
      </c>
      <c r="GS1000" s="1138" t="s">
        <v>1349</v>
      </c>
      <c r="GT1000" s="1138" t="s">
        <v>1349</v>
      </c>
      <c r="GU1000" s="1138" t="s">
        <v>1349</v>
      </c>
      <c r="GV1000" s="1138" t="s">
        <v>1349</v>
      </c>
    </row>
    <row r="1001" spans="1:260" x14ac:dyDescent="0.2">
      <c r="A1001" s="1136"/>
      <c r="B1001" s="1137"/>
      <c r="I1001" s="1142"/>
      <c r="J1001" s="1142"/>
      <c r="K1001" s="1142"/>
      <c r="L1001" s="1142"/>
      <c r="M1001" s="1142"/>
      <c r="AM1001" s="1230"/>
      <c r="AN1001" s="1230"/>
      <c r="BL1001" s="1259"/>
      <c r="ES1001" s="1183"/>
      <c r="GG1001" s="1138" t="s">
        <v>1349</v>
      </c>
      <c r="GH1001" s="1138" t="s">
        <v>1349</v>
      </c>
      <c r="GI1001" s="1138" t="s">
        <v>1349</v>
      </c>
      <c r="GJ1001" s="1138" t="s">
        <v>1349</v>
      </c>
      <c r="GK1001" s="1138" t="s">
        <v>1349</v>
      </c>
      <c r="GL1001" s="1138" t="s">
        <v>1349</v>
      </c>
      <c r="GM1001" s="1138" t="s">
        <v>1349</v>
      </c>
      <c r="GN1001" s="1138" t="s">
        <v>1349</v>
      </c>
      <c r="GO1001" s="1138" t="s">
        <v>1349</v>
      </c>
      <c r="GP1001" s="1138" t="s">
        <v>1349</v>
      </c>
      <c r="GQ1001" s="1138" t="s">
        <v>1349</v>
      </c>
      <c r="GR1001" s="1138" t="s">
        <v>1349</v>
      </c>
      <c r="GS1001" s="1138" t="s">
        <v>1349</v>
      </c>
      <c r="GT1001" s="1138" t="s">
        <v>1349</v>
      </c>
      <c r="GU1001" s="1138" t="s">
        <v>1349</v>
      </c>
      <c r="GV1001" s="1138" t="s">
        <v>1349</v>
      </c>
    </row>
    <row r="1002" spans="1:260" x14ac:dyDescent="0.2">
      <c r="A1002" s="1136"/>
      <c r="B1002" s="1137"/>
      <c r="I1002" s="1142"/>
      <c r="J1002" s="1142"/>
      <c r="K1002" s="1142"/>
      <c r="L1002" s="1142"/>
      <c r="M1002" s="1142"/>
      <c r="X1002" s="1230"/>
      <c r="Y1002" s="1230"/>
      <c r="Z1002" s="1230"/>
      <c r="AA1002" s="1230"/>
      <c r="AB1002" s="1230"/>
      <c r="AJ1002" s="1230"/>
      <c r="AK1002" s="1230"/>
      <c r="AL1002" s="1230"/>
      <c r="BL1002" s="1259"/>
      <c r="ES1002" s="1183"/>
    </row>
    <row r="1003" spans="1:260" x14ac:dyDescent="0.2">
      <c r="A1003" s="1136"/>
      <c r="B1003" s="1137"/>
      <c r="I1003" s="1142"/>
      <c r="J1003" s="1142"/>
      <c r="K1003" s="1142"/>
      <c r="L1003" s="1142"/>
      <c r="M1003" s="1142"/>
      <c r="X1003" s="1230"/>
      <c r="Y1003" s="1230"/>
      <c r="Z1003" s="1230"/>
      <c r="AA1003" s="1230"/>
      <c r="AB1003" s="1230"/>
      <c r="AJ1003" s="1230"/>
      <c r="AK1003" s="1230"/>
      <c r="AL1003" s="1230"/>
      <c r="BL1003" s="1259"/>
      <c r="ES1003" s="1183"/>
    </row>
    <row r="1004" spans="1:260" x14ac:dyDescent="0.2">
      <c r="A1004" s="1136"/>
      <c r="B1004" s="1137"/>
      <c r="I1004" s="1142"/>
      <c r="J1004" s="1142"/>
      <c r="K1004" s="1142"/>
      <c r="L1004" s="1142"/>
      <c r="M1004" s="1142"/>
      <c r="X1004" s="1230"/>
      <c r="Y1004" s="1230"/>
      <c r="Z1004" s="1230"/>
      <c r="AA1004" s="1230"/>
      <c r="AB1004" s="1230"/>
      <c r="AC1004" s="1230"/>
      <c r="AD1004" s="1230"/>
      <c r="AE1004" s="1230"/>
      <c r="AF1004" s="1230"/>
      <c r="AG1004" s="1230"/>
      <c r="AH1004" s="1230"/>
      <c r="AI1004" s="1230"/>
      <c r="AJ1004" s="1230"/>
      <c r="AK1004" s="1230"/>
      <c r="AL1004" s="1230"/>
      <c r="ES1004" s="1183"/>
      <c r="FV1004" s="1183"/>
    </row>
    <row r="1005" spans="1:260" x14ac:dyDescent="0.2">
      <c r="A1005" s="1136"/>
      <c r="B1005" s="1137"/>
      <c r="I1005" s="1142"/>
      <c r="J1005" s="1142"/>
      <c r="K1005" s="1142"/>
      <c r="L1005" s="1142"/>
      <c r="M1005" s="1142"/>
      <c r="X1005" s="1230"/>
      <c r="Y1005" s="1230"/>
      <c r="Z1005" s="1230"/>
      <c r="AA1005" s="1230"/>
      <c r="AB1005" s="1230"/>
      <c r="AC1005" s="1230"/>
      <c r="AD1005" s="1230"/>
      <c r="AE1005" s="1230"/>
      <c r="AF1005" s="1230"/>
      <c r="AG1005" s="1230"/>
      <c r="AH1005" s="1230"/>
      <c r="AI1005" s="1230"/>
      <c r="AJ1005" s="1230"/>
      <c r="AK1005" s="1230"/>
      <c r="AL1005" s="1230"/>
      <c r="FM1005" s="1142"/>
      <c r="FU1005" s="1183"/>
      <c r="FV1005" s="1183"/>
    </row>
    <row r="1006" spans="1:260" x14ac:dyDescent="0.2">
      <c r="A1006" s="1136"/>
      <c r="B1006" s="1137"/>
      <c r="X1006" s="1230"/>
      <c r="Y1006" s="1230"/>
      <c r="Z1006" s="1230"/>
      <c r="AA1006" s="1230"/>
      <c r="AB1006" s="1230"/>
      <c r="AC1006" s="1230"/>
      <c r="AD1006" s="1230"/>
      <c r="AE1006" s="1230"/>
      <c r="AF1006" s="1230"/>
      <c r="AG1006" s="1230"/>
      <c r="AH1006" s="1230"/>
      <c r="AI1006" s="1230"/>
      <c r="AJ1006" s="1230"/>
      <c r="AK1006" s="1230"/>
      <c r="AL1006" s="1230"/>
      <c r="FM1006" s="1142"/>
      <c r="FU1006" s="1183"/>
      <c r="FV1006" s="1183"/>
    </row>
    <row r="1007" spans="1:260" x14ac:dyDescent="0.2">
      <c r="A1007" s="1136"/>
      <c r="B1007" s="1137"/>
      <c r="X1007" s="1230"/>
      <c r="Y1007" s="1230"/>
      <c r="Z1007" s="1230"/>
      <c r="AA1007" s="1230"/>
      <c r="AB1007" s="1230"/>
      <c r="AC1007" s="1230"/>
      <c r="AD1007" s="1230"/>
      <c r="AE1007" s="1230"/>
      <c r="AF1007" s="1230"/>
      <c r="AG1007" s="1230"/>
      <c r="AH1007" s="1230"/>
      <c r="AI1007" s="1230"/>
      <c r="AJ1007" s="1230"/>
      <c r="AK1007" s="1230"/>
      <c r="AL1007" s="1230"/>
      <c r="FL1007" s="1183"/>
      <c r="FM1007" s="1142"/>
      <c r="FU1007" s="1183"/>
      <c r="FV1007" s="1183"/>
    </row>
    <row r="1008" spans="1:260" x14ac:dyDescent="0.2">
      <c r="A1008" s="1136"/>
      <c r="B1008" s="1137"/>
      <c r="AC1008" s="1230"/>
      <c r="AD1008" s="1230"/>
      <c r="AE1008" s="1230"/>
      <c r="AF1008" s="1230"/>
      <c r="AG1008" s="1230"/>
      <c r="AH1008" s="1230"/>
      <c r="AI1008" s="1230"/>
      <c r="FB1008" s="1183"/>
      <c r="FC1008" s="1142"/>
      <c r="FK1008" s="1183"/>
      <c r="FL1008" s="1183"/>
      <c r="FM1008" s="1142"/>
      <c r="FU1008" s="1183"/>
      <c r="FV1008" s="1183"/>
    </row>
    <row r="1009" spans="1:178" x14ac:dyDescent="0.2">
      <c r="A1009" s="1136"/>
      <c r="B1009" s="1137"/>
      <c r="AC1009" s="1230"/>
      <c r="AD1009" s="1230"/>
      <c r="AE1009" s="1230"/>
      <c r="AF1009" s="1230"/>
      <c r="AG1009" s="1230"/>
      <c r="AH1009" s="1230"/>
      <c r="AI1009" s="1230"/>
      <c r="FB1009" s="1183"/>
      <c r="FC1009" s="1142"/>
      <c r="FK1009" s="1183"/>
      <c r="FL1009" s="1183"/>
      <c r="FM1009" s="1142"/>
      <c r="FU1009" s="1183"/>
      <c r="FV1009" s="1183"/>
    </row>
    <row r="1010" spans="1:178" x14ac:dyDescent="0.2">
      <c r="A1010" s="1136"/>
      <c r="B1010" s="1137"/>
      <c r="DM1010" s="1142"/>
      <c r="FB1010" s="1183"/>
      <c r="FC1010" s="1142"/>
      <c r="FK1010" s="1183"/>
      <c r="FL1010" s="1183"/>
      <c r="FM1010" s="1142"/>
      <c r="FU1010" s="1183"/>
    </row>
    <row r="1011" spans="1:178" x14ac:dyDescent="0.2">
      <c r="A1011" s="1136"/>
      <c r="B1011" s="1137"/>
      <c r="BK1011" s="1183"/>
      <c r="DL1011" s="1142"/>
      <c r="DM1011" s="1142"/>
      <c r="FB1011" s="1183"/>
      <c r="FC1011" s="1142"/>
      <c r="FK1011" s="1183"/>
      <c r="FL1011" s="1183"/>
    </row>
    <row r="1012" spans="1:178" x14ac:dyDescent="0.2">
      <c r="A1012" s="1136"/>
      <c r="B1012" s="1137"/>
      <c r="BK1012" s="1183"/>
      <c r="DL1012" s="1142"/>
      <c r="DM1012" s="1142"/>
      <c r="EK1012" s="1183"/>
      <c r="ES1012" s="1259"/>
      <c r="FB1012" s="1183"/>
      <c r="FC1012" s="1142"/>
      <c r="FK1012" s="1183"/>
      <c r="FL1012" s="1183"/>
    </row>
    <row r="1013" spans="1:178" x14ac:dyDescent="0.2">
      <c r="A1013" s="1136"/>
      <c r="B1013" s="1137"/>
      <c r="I1013" s="1230"/>
      <c r="J1013" s="1230"/>
      <c r="K1013" s="1230"/>
      <c r="L1013" s="1230"/>
      <c r="M1013" s="1230"/>
      <c r="BK1013" s="1183"/>
      <c r="DL1013" s="1142"/>
      <c r="DM1013" s="1142"/>
      <c r="EK1013" s="1183"/>
      <c r="ES1013" s="1259"/>
      <c r="FB1013" s="1183"/>
      <c r="FC1013" s="1142"/>
      <c r="FK1013" s="1183"/>
    </row>
    <row r="1014" spans="1:178" x14ac:dyDescent="0.2">
      <c r="A1014" s="1136"/>
      <c r="B1014" s="1137"/>
      <c r="I1014" s="1230"/>
      <c r="J1014" s="1230"/>
      <c r="K1014" s="1230"/>
      <c r="L1014" s="1230"/>
      <c r="M1014" s="1230"/>
      <c r="BK1014" s="1183"/>
      <c r="DL1014" s="1142"/>
      <c r="DM1014" s="1142"/>
      <c r="EK1014" s="1183"/>
      <c r="ES1014" s="1259"/>
    </row>
    <row r="1015" spans="1:178" x14ac:dyDescent="0.2">
      <c r="A1015" s="1136"/>
      <c r="B1015" s="1137"/>
      <c r="I1015" s="1230"/>
      <c r="J1015" s="1230"/>
      <c r="K1015" s="1230"/>
      <c r="L1015" s="1230"/>
      <c r="M1015" s="1230"/>
      <c r="BK1015" s="1183"/>
      <c r="DL1015" s="1142"/>
      <c r="DM1015" s="1142"/>
      <c r="EK1015" s="1183"/>
      <c r="ES1015" s="1259"/>
    </row>
    <row r="1016" spans="1:178" x14ac:dyDescent="0.2">
      <c r="A1016" s="1136"/>
      <c r="B1016" s="1137"/>
      <c r="I1016" s="1230"/>
      <c r="J1016" s="1230"/>
      <c r="K1016" s="1230"/>
      <c r="L1016" s="1230"/>
      <c r="M1016" s="1230"/>
      <c r="BK1016" s="1183"/>
      <c r="DL1016" s="1142"/>
      <c r="DT1016" s="1262"/>
      <c r="EK1016" s="1183"/>
      <c r="ES1016" s="1259"/>
    </row>
    <row r="1017" spans="1:178" x14ac:dyDescent="0.2">
      <c r="A1017" s="1136"/>
      <c r="B1017" s="1137"/>
      <c r="I1017" s="1230"/>
      <c r="J1017" s="1230"/>
      <c r="K1017" s="1230"/>
      <c r="L1017" s="1230"/>
      <c r="M1017" s="1230"/>
      <c r="DT1017" s="1262"/>
      <c r="EK1017" s="1183"/>
      <c r="ES1017" s="1259"/>
      <c r="FV1017" s="1259"/>
    </row>
    <row r="1018" spans="1:178" x14ac:dyDescent="0.2">
      <c r="A1018" s="1136"/>
      <c r="B1018" s="1137"/>
      <c r="I1018" s="1230"/>
      <c r="J1018" s="1230"/>
      <c r="K1018" s="1230"/>
      <c r="L1018" s="1230"/>
      <c r="M1018" s="1230"/>
      <c r="DT1018" s="1262"/>
      <c r="FM1018" s="1230"/>
      <c r="FU1018" s="1259"/>
      <c r="FV1018" s="1259"/>
    </row>
    <row r="1019" spans="1:178" x14ac:dyDescent="0.2">
      <c r="A1019" s="1136"/>
      <c r="DT1019" s="1262"/>
      <c r="FM1019" s="1230"/>
      <c r="FU1019" s="1259"/>
      <c r="FV1019" s="1259"/>
    </row>
    <row r="1020" spans="1:178" x14ac:dyDescent="0.2">
      <c r="A1020" s="1136"/>
      <c r="B1020" s="1137"/>
      <c r="DT1020" s="1262"/>
      <c r="FL1020" s="1259"/>
      <c r="FM1020" s="1230"/>
      <c r="FU1020" s="1259"/>
      <c r="FV1020" s="1259"/>
    </row>
    <row r="1021" spans="1:178" x14ac:dyDescent="0.2">
      <c r="A1021" s="1136"/>
      <c r="B1021" s="1137"/>
      <c r="O1021" s="1142"/>
      <c r="P1021" s="1142"/>
      <c r="Q1021" s="1142"/>
      <c r="DT1021" s="1262"/>
      <c r="FB1021" s="1259"/>
      <c r="FC1021" s="1230"/>
      <c r="FK1021" s="1259"/>
      <c r="FL1021" s="1259"/>
      <c r="FM1021" s="1230"/>
      <c r="FU1021" s="1259"/>
      <c r="FV1021" s="1259"/>
    </row>
    <row r="1022" spans="1:178" x14ac:dyDescent="0.2">
      <c r="A1022" s="1136"/>
      <c r="B1022" s="1137"/>
      <c r="O1022" s="1142"/>
      <c r="P1022" s="1142"/>
      <c r="Q1022" s="1142"/>
      <c r="DD1022" s="1142"/>
      <c r="FB1022" s="1259"/>
      <c r="FC1022" s="1230"/>
      <c r="FK1022" s="1259"/>
      <c r="FL1022" s="1259"/>
      <c r="FM1022" s="1230"/>
      <c r="FU1022" s="1259"/>
      <c r="FV1022" s="1259"/>
    </row>
    <row r="1023" spans="1:178" x14ac:dyDescent="0.2">
      <c r="A1023" s="1136"/>
      <c r="B1023" s="1137"/>
      <c r="O1023" s="1142"/>
      <c r="P1023" s="1142"/>
      <c r="Q1023" s="1142"/>
      <c r="DD1023" s="1142"/>
      <c r="DM1023" s="1230"/>
      <c r="FB1023" s="1259"/>
      <c r="FC1023" s="1230"/>
      <c r="FK1023" s="1259"/>
      <c r="FL1023" s="1259"/>
      <c r="FM1023" s="1230"/>
      <c r="FU1023" s="1259"/>
    </row>
    <row r="1024" spans="1:178" x14ac:dyDescent="0.2">
      <c r="A1024" s="1136"/>
      <c r="B1024" s="1137"/>
      <c r="O1024" s="1142"/>
      <c r="P1024" s="1142"/>
      <c r="Q1024" s="1142"/>
      <c r="BK1024" s="1259"/>
      <c r="DD1024" s="1142"/>
      <c r="DL1024" s="1230"/>
      <c r="DM1024" s="1230"/>
      <c r="FB1024" s="1259"/>
      <c r="FC1024" s="1230"/>
      <c r="FK1024" s="1259"/>
      <c r="FL1024" s="1259"/>
    </row>
    <row r="1025" spans="1:168" x14ac:dyDescent="0.2">
      <c r="A1025" s="1136"/>
      <c r="B1025" s="1137"/>
      <c r="O1025" s="1142"/>
      <c r="P1025" s="1142"/>
      <c r="Q1025" s="1142"/>
      <c r="BK1025" s="1259"/>
      <c r="DD1025" s="1142"/>
      <c r="DL1025" s="1230"/>
      <c r="DM1025" s="1230"/>
      <c r="EG1025" s="1142"/>
      <c r="EH1025" s="1142"/>
      <c r="EI1025" s="1142"/>
      <c r="EJ1025" s="1142"/>
      <c r="EK1025" s="1259"/>
      <c r="FB1025" s="1259"/>
      <c r="FC1025" s="1230"/>
      <c r="FK1025" s="1259"/>
      <c r="FL1025" s="1259"/>
    </row>
    <row r="1026" spans="1:168" x14ac:dyDescent="0.2">
      <c r="A1026" s="1136"/>
      <c r="B1026" s="1137"/>
      <c r="O1026" s="1142"/>
      <c r="P1026" s="1142"/>
      <c r="Q1026" s="1142"/>
      <c r="BK1026" s="1259"/>
      <c r="DD1026" s="1142"/>
      <c r="DL1026" s="1230"/>
      <c r="DM1026" s="1230"/>
      <c r="EG1026" s="1142"/>
      <c r="EH1026" s="1142"/>
      <c r="EI1026" s="1142"/>
      <c r="EJ1026" s="1142"/>
      <c r="EK1026" s="1259"/>
      <c r="FB1026" s="1259"/>
      <c r="FC1026" s="1230"/>
      <c r="FK1026" s="1259"/>
    </row>
    <row r="1027" spans="1:168" x14ac:dyDescent="0.2">
      <c r="A1027" s="1136"/>
      <c r="B1027" s="1137"/>
      <c r="BK1027" s="1259"/>
      <c r="DD1027" s="1142"/>
      <c r="DL1027" s="1230"/>
      <c r="DM1027" s="1230"/>
      <c r="EG1027" s="1142"/>
      <c r="EH1027" s="1142"/>
      <c r="EI1027" s="1142"/>
      <c r="EJ1027" s="1142"/>
      <c r="EK1027" s="1259"/>
    </row>
    <row r="1028" spans="1:168" x14ac:dyDescent="0.2">
      <c r="A1028" s="1136"/>
      <c r="B1028" s="1137"/>
      <c r="BK1028" s="1259"/>
      <c r="DL1028" s="1230"/>
      <c r="DM1028" s="1230"/>
      <c r="EG1028" s="1142"/>
      <c r="EH1028" s="1142"/>
      <c r="EI1028" s="1142"/>
      <c r="EJ1028" s="1142"/>
      <c r="EK1028" s="1259"/>
    </row>
    <row r="1029" spans="1:168" x14ac:dyDescent="0.2">
      <c r="A1029" s="1136"/>
      <c r="B1029" s="1137"/>
      <c r="BK1029" s="1259"/>
      <c r="DL1029" s="1230"/>
      <c r="DT1029" s="1263"/>
      <c r="EG1029" s="1142"/>
      <c r="EH1029" s="1142"/>
      <c r="EI1029" s="1142"/>
      <c r="EJ1029" s="1142"/>
      <c r="EK1029" s="1259"/>
    </row>
    <row r="1030" spans="1:168" x14ac:dyDescent="0.2">
      <c r="A1030" s="1136"/>
      <c r="B1030" s="1137"/>
      <c r="DT1030" s="1263"/>
      <c r="EG1030" s="1142"/>
      <c r="EH1030" s="1142"/>
      <c r="EI1030" s="1142"/>
      <c r="EJ1030" s="1142"/>
      <c r="EK1030" s="1259"/>
      <c r="EU1030" s="1142"/>
      <c r="EV1030" s="1142"/>
    </row>
    <row r="1031" spans="1:168" x14ac:dyDescent="0.2">
      <c r="A1031" s="1136"/>
      <c r="B1031" s="1137"/>
      <c r="DT1031" s="1263"/>
      <c r="EU1031" s="1142"/>
      <c r="EV1031" s="1142"/>
      <c r="EZ1031" s="1183"/>
    </row>
    <row r="1032" spans="1:168" x14ac:dyDescent="0.2">
      <c r="A1032" s="1136"/>
      <c r="B1032" s="1137"/>
      <c r="DT1032" s="1263"/>
      <c r="EU1032" s="1142"/>
      <c r="EV1032" s="1142"/>
      <c r="EW1032" s="1142"/>
      <c r="EX1032" s="1142"/>
      <c r="EZ1032" s="1183"/>
    </row>
    <row r="1033" spans="1:168" x14ac:dyDescent="0.2">
      <c r="A1033" s="1136"/>
      <c r="B1033" s="1137"/>
      <c r="DT1033" s="1263"/>
      <c r="EU1033" s="1142"/>
      <c r="EV1033" s="1142"/>
      <c r="EW1033" s="1142"/>
      <c r="EX1033" s="1142"/>
      <c r="EY1033" s="1142"/>
      <c r="EZ1033" s="1183"/>
    </row>
    <row r="1034" spans="1:168" x14ac:dyDescent="0.2">
      <c r="A1034" s="1136"/>
      <c r="B1034" s="1137"/>
      <c r="O1034" s="1230"/>
      <c r="P1034" s="1230"/>
      <c r="Q1034" s="1230"/>
      <c r="DT1034" s="1263"/>
      <c r="EU1034" s="1142"/>
      <c r="EV1034" s="1142"/>
      <c r="EW1034" s="1142"/>
      <c r="EX1034" s="1142"/>
      <c r="EY1034" s="1142"/>
      <c r="EZ1034" s="1183"/>
    </row>
    <row r="1035" spans="1:168" x14ac:dyDescent="0.2">
      <c r="A1035" s="1136"/>
      <c r="B1035" s="1137"/>
      <c r="O1035" s="1230"/>
      <c r="P1035" s="1230"/>
      <c r="Q1035" s="1230"/>
      <c r="CX1035" s="1142"/>
      <c r="DB1035" s="1142"/>
      <c r="DC1035" s="1142"/>
      <c r="DD1035" s="1230"/>
      <c r="EU1035" s="1142"/>
      <c r="EV1035" s="1142"/>
      <c r="EW1035" s="1142"/>
      <c r="EX1035" s="1142"/>
      <c r="EY1035" s="1142"/>
      <c r="EZ1035" s="1183"/>
    </row>
    <row r="1036" spans="1:168" x14ac:dyDescent="0.2">
      <c r="A1036" s="1136"/>
      <c r="B1036" s="1137"/>
      <c r="O1036" s="1230"/>
      <c r="P1036" s="1230"/>
      <c r="Q1036" s="1230"/>
      <c r="CX1036" s="1142"/>
      <c r="CZ1036" s="1142"/>
      <c r="DA1036" s="1142"/>
      <c r="DB1036" s="1142"/>
      <c r="DC1036" s="1142"/>
      <c r="DD1036" s="1230"/>
      <c r="EW1036" s="1142"/>
      <c r="EX1036" s="1142"/>
      <c r="EY1036" s="1142"/>
      <c r="EZ1036" s="1183"/>
    </row>
    <row r="1037" spans="1:168" x14ac:dyDescent="0.2">
      <c r="A1037" s="1136"/>
      <c r="B1037" s="1137"/>
      <c r="O1037" s="1230"/>
      <c r="P1037" s="1230"/>
      <c r="Q1037" s="1230"/>
      <c r="CX1037" s="1142"/>
      <c r="CZ1037" s="1142"/>
      <c r="DA1037" s="1142"/>
      <c r="DB1037" s="1142"/>
      <c r="DC1037" s="1142"/>
      <c r="DD1037" s="1230"/>
      <c r="EW1037" s="1142"/>
      <c r="EX1037" s="1142"/>
      <c r="EY1037" s="1142"/>
    </row>
    <row r="1038" spans="1:168" x14ac:dyDescent="0.2">
      <c r="A1038" s="1136"/>
      <c r="B1038" s="1137"/>
      <c r="O1038" s="1230"/>
      <c r="P1038" s="1230"/>
      <c r="Q1038" s="1230"/>
      <c r="CX1038" s="1142"/>
      <c r="CZ1038" s="1142"/>
      <c r="DA1038" s="1142"/>
      <c r="DB1038" s="1142"/>
      <c r="DC1038" s="1142"/>
      <c r="DD1038" s="1230"/>
      <c r="EG1038" s="1230"/>
      <c r="EH1038" s="1230"/>
      <c r="EI1038" s="1230"/>
      <c r="EJ1038" s="1230"/>
      <c r="EY1038" s="1142"/>
    </row>
    <row r="1039" spans="1:168" x14ac:dyDescent="0.2">
      <c r="A1039" s="1136"/>
      <c r="B1039" s="1137"/>
      <c r="O1039" s="1230"/>
      <c r="P1039" s="1230"/>
      <c r="Q1039" s="1230"/>
      <c r="CX1039" s="1142"/>
      <c r="CZ1039" s="1142"/>
      <c r="DA1039" s="1142"/>
      <c r="DB1039" s="1142"/>
      <c r="DC1039" s="1142"/>
      <c r="DD1039" s="1230"/>
      <c r="EG1039" s="1230"/>
      <c r="EH1039" s="1230"/>
      <c r="EI1039" s="1230"/>
      <c r="EJ1039" s="1230"/>
    </row>
    <row r="1040" spans="1:168" x14ac:dyDescent="0.2">
      <c r="A1040" s="1136"/>
      <c r="B1040" s="1137"/>
      <c r="CX1040" s="1142"/>
      <c r="CZ1040" s="1142"/>
      <c r="DA1040" s="1142"/>
      <c r="DB1040" s="1142"/>
      <c r="DC1040" s="1142"/>
      <c r="DD1040" s="1230"/>
      <c r="EG1040" s="1230"/>
      <c r="EH1040" s="1230"/>
      <c r="EI1040" s="1230"/>
      <c r="EJ1040" s="1230"/>
    </row>
    <row r="1041" spans="1:184" x14ac:dyDescent="0.2">
      <c r="A1041" s="1136"/>
      <c r="B1041" s="1137"/>
      <c r="CZ1041" s="1142"/>
      <c r="DA1041" s="1142"/>
      <c r="EG1041" s="1230"/>
      <c r="EH1041" s="1230"/>
      <c r="EI1041" s="1230"/>
      <c r="EJ1041" s="1230"/>
      <c r="ER1041" s="1183"/>
    </row>
    <row r="1042" spans="1:184" x14ac:dyDescent="0.2">
      <c r="A1042" s="1136"/>
      <c r="B1042" s="1137"/>
      <c r="N1042" s="1142"/>
      <c r="EG1042" s="1230"/>
      <c r="EH1042" s="1230"/>
      <c r="EI1042" s="1230"/>
      <c r="EJ1042" s="1230"/>
      <c r="ER1042" s="1183"/>
    </row>
    <row r="1043" spans="1:184" x14ac:dyDescent="0.2">
      <c r="A1043" s="1136"/>
      <c r="B1043" s="1137"/>
      <c r="N1043" s="1142"/>
      <c r="EG1043" s="1230"/>
      <c r="EH1043" s="1230"/>
      <c r="EI1043" s="1230"/>
      <c r="EJ1043" s="1230"/>
      <c r="EN1043" s="1142"/>
      <c r="EO1043" s="1142"/>
      <c r="EP1043" s="1142"/>
      <c r="EQ1043" s="1142"/>
      <c r="ER1043" s="1183"/>
      <c r="EU1043" s="1230"/>
      <c r="EV1043" s="1230"/>
    </row>
    <row r="1044" spans="1:184" x14ac:dyDescent="0.2">
      <c r="A1044" s="1136"/>
      <c r="B1044" s="1137"/>
      <c r="N1044" s="1142"/>
      <c r="EN1044" s="1142"/>
      <c r="EO1044" s="1142"/>
      <c r="EP1044" s="1142"/>
      <c r="EQ1044" s="1142"/>
      <c r="ER1044" s="1183"/>
      <c r="EU1044" s="1230"/>
      <c r="EV1044" s="1230"/>
      <c r="EZ1044" s="1259"/>
    </row>
    <row r="1045" spans="1:184" x14ac:dyDescent="0.2">
      <c r="A1045" s="1136"/>
      <c r="B1045" s="1137"/>
      <c r="N1045" s="1142"/>
      <c r="EN1045" s="1142"/>
      <c r="EO1045" s="1142"/>
      <c r="EP1045" s="1142"/>
      <c r="EQ1045" s="1142"/>
      <c r="ER1045" s="1183"/>
      <c r="EU1045" s="1230"/>
      <c r="EV1045" s="1230"/>
      <c r="EW1045" s="1230"/>
      <c r="EX1045" s="1230"/>
      <c r="EZ1045" s="1259"/>
      <c r="GB1045" s="1142"/>
    </row>
    <row r="1046" spans="1:184" x14ac:dyDescent="0.2">
      <c r="A1046" s="1136"/>
      <c r="B1046" s="1137"/>
      <c r="N1046" s="1142"/>
      <c r="EN1046" s="1142"/>
      <c r="EO1046" s="1142"/>
      <c r="EP1046" s="1142"/>
      <c r="EQ1046" s="1142"/>
      <c r="ER1046" s="1183"/>
      <c r="EU1046" s="1230"/>
      <c r="EV1046" s="1230"/>
      <c r="EW1046" s="1230"/>
      <c r="EX1046" s="1230"/>
      <c r="EY1046" s="1230"/>
      <c r="EZ1046" s="1259"/>
      <c r="GB1046" s="1142"/>
    </row>
    <row r="1047" spans="1:184" x14ac:dyDescent="0.2">
      <c r="A1047" s="1136"/>
      <c r="B1047" s="1137"/>
      <c r="N1047" s="1142"/>
      <c r="EN1047" s="1142"/>
      <c r="EO1047" s="1142"/>
      <c r="EP1047" s="1142"/>
      <c r="EQ1047" s="1142"/>
      <c r="EU1047" s="1230"/>
      <c r="EV1047" s="1230"/>
      <c r="EW1047" s="1230"/>
      <c r="EX1047" s="1230"/>
      <c r="EY1047" s="1230"/>
      <c r="EZ1047" s="1259"/>
      <c r="GB1047" s="1142"/>
    </row>
    <row r="1048" spans="1:184" x14ac:dyDescent="0.2">
      <c r="A1048" s="1136"/>
      <c r="B1048" s="1137"/>
      <c r="CX1048" s="1230"/>
      <c r="DB1048" s="1230"/>
      <c r="DC1048" s="1230"/>
      <c r="EN1048" s="1142"/>
      <c r="EO1048" s="1142"/>
      <c r="EP1048" s="1142"/>
      <c r="EQ1048" s="1142"/>
      <c r="EU1048" s="1230"/>
      <c r="EV1048" s="1230"/>
      <c r="EW1048" s="1230"/>
      <c r="EX1048" s="1230"/>
      <c r="EY1048" s="1230"/>
      <c r="EZ1048" s="1259"/>
      <c r="GB1048" s="1142"/>
    </row>
    <row r="1049" spans="1:184" x14ac:dyDescent="0.2">
      <c r="A1049" s="1136"/>
      <c r="B1049" s="1137"/>
      <c r="CX1049" s="1230"/>
      <c r="CZ1049" s="1230"/>
      <c r="DA1049" s="1230"/>
      <c r="DB1049" s="1230"/>
      <c r="DC1049" s="1230"/>
      <c r="EW1049" s="1230"/>
      <c r="EX1049" s="1230"/>
      <c r="EY1049" s="1230"/>
      <c r="EZ1049" s="1259"/>
      <c r="GB1049" s="1142"/>
    </row>
    <row r="1050" spans="1:184" x14ac:dyDescent="0.2">
      <c r="A1050" s="1136"/>
      <c r="B1050" s="1137"/>
      <c r="CX1050" s="1230"/>
      <c r="CZ1050" s="1230"/>
      <c r="DA1050" s="1230"/>
      <c r="DB1050" s="1230"/>
      <c r="DC1050" s="1230"/>
      <c r="EW1050" s="1230"/>
      <c r="EX1050" s="1230"/>
      <c r="EY1050" s="1230"/>
      <c r="GB1050" s="1142"/>
    </row>
    <row r="1051" spans="1:184" x14ac:dyDescent="0.2">
      <c r="A1051" s="1136"/>
      <c r="B1051" s="1137"/>
      <c r="CX1051" s="1230"/>
      <c r="CZ1051" s="1230"/>
      <c r="DA1051" s="1230"/>
      <c r="DB1051" s="1230"/>
      <c r="DC1051" s="1230"/>
      <c r="EY1051" s="1230"/>
    </row>
    <row r="1052" spans="1:184" x14ac:dyDescent="0.2">
      <c r="A1052" s="1136"/>
      <c r="B1052" s="1137"/>
      <c r="BV1052" s="1183"/>
      <c r="BW1052" s="1183"/>
      <c r="CX1052" s="1230"/>
      <c r="CZ1052" s="1230"/>
      <c r="DA1052" s="1230"/>
      <c r="DB1052" s="1230"/>
      <c r="DC1052" s="1230"/>
    </row>
    <row r="1053" spans="1:184" x14ac:dyDescent="0.2">
      <c r="A1053" s="1136"/>
      <c r="B1053" s="1137"/>
      <c r="BV1053" s="1183"/>
      <c r="BW1053" s="1183"/>
      <c r="CX1053" s="1230"/>
      <c r="CZ1053" s="1230"/>
      <c r="DA1053" s="1230"/>
      <c r="DB1053" s="1230"/>
      <c r="DC1053" s="1230"/>
    </row>
    <row r="1054" spans="1:184" x14ac:dyDescent="0.2">
      <c r="A1054" s="1136"/>
      <c r="B1054" s="1137"/>
      <c r="BV1054" s="1183"/>
      <c r="BW1054" s="1183"/>
      <c r="CZ1054" s="1230"/>
      <c r="DA1054" s="1230"/>
      <c r="ER1054" s="1259"/>
    </row>
    <row r="1055" spans="1:184" x14ac:dyDescent="0.2">
      <c r="A1055" s="1136"/>
      <c r="B1055" s="1137"/>
      <c r="N1055" s="1230"/>
      <c r="BV1055" s="1183"/>
      <c r="BW1055" s="1183"/>
      <c r="ER1055" s="1259"/>
    </row>
    <row r="1056" spans="1:184" x14ac:dyDescent="0.2">
      <c r="A1056" s="1136"/>
      <c r="B1056" s="1137"/>
      <c r="N1056" s="1230"/>
      <c r="BV1056" s="1183"/>
      <c r="BW1056" s="1183"/>
      <c r="EN1056" s="1230"/>
      <c r="EO1056" s="1230"/>
      <c r="EP1056" s="1230"/>
      <c r="EQ1056" s="1230"/>
      <c r="ER1056" s="1259"/>
    </row>
    <row r="1057" spans="1:184" x14ac:dyDescent="0.2">
      <c r="A1057" s="1136"/>
      <c r="B1057" s="1137"/>
      <c r="N1057" s="1230"/>
      <c r="BV1057" s="1183"/>
      <c r="BW1057" s="1183"/>
      <c r="CI1057" s="1142"/>
      <c r="EN1057" s="1230"/>
      <c r="EO1057" s="1230"/>
      <c r="EP1057" s="1230"/>
      <c r="EQ1057" s="1230"/>
      <c r="ER1057" s="1259"/>
    </row>
    <row r="1058" spans="1:184" x14ac:dyDescent="0.2">
      <c r="A1058" s="1136"/>
      <c r="B1058" s="1137"/>
      <c r="N1058" s="1230"/>
      <c r="CI1058" s="1142"/>
      <c r="CR1058" s="1142"/>
      <c r="EN1058" s="1230"/>
      <c r="EO1058" s="1230"/>
      <c r="EP1058" s="1230"/>
      <c r="EQ1058" s="1230"/>
      <c r="ER1058" s="1259"/>
      <c r="GB1058" s="1230"/>
    </row>
    <row r="1059" spans="1:184" x14ac:dyDescent="0.2">
      <c r="A1059" s="1136"/>
      <c r="B1059" s="1137"/>
      <c r="N1059" s="1230"/>
      <c r="CI1059" s="1142"/>
      <c r="CR1059" s="1142"/>
      <c r="ED1059" s="1183"/>
      <c r="EE1059" s="1183"/>
      <c r="EN1059" s="1230"/>
      <c r="EO1059" s="1230"/>
      <c r="EP1059" s="1230"/>
      <c r="EQ1059" s="1230"/>
      <c r="ER1059" s="1259"/>
      <c r="GB1059" s="1230"/>
    </row>
    <row r="1060" spans="1:184" x14ac:dyDescent="0.2">
      <c r="A1060" s="1136"/>
      <c r="B1060" s="1137"/>
      <c r="N1060" s="1230"/>
      <c r="CI1060" s="1142"/>
      <c r="CR1060" s="1142"/>
      <c r="DV1060" s="1142"/>
      <c r="DW1060" s="1142"/>
      <c r="DX1060" s="1142"/>
      <c r="DY1060" s="1142"/>
      <c r="DZ1060" s="1142"/>
      <c r="EA1060" s="1142"/>
      <c r="EB1060" s="1142"/>
      <c r="EC1060" s="1142"/>
      <c r="ED1060" s="1183"/>
      <c r="EE1060" s="1183"/>
      <c r="EN1060" s="1230"/>
      <c r="EO1060" s="1230"/>
      <c r="EP1060" s="1230"/>
      <c r="EQ1060" s="1230"/>
      <c r="GB1060" s="1230"/>
    </row>
    <row r="1061" spans="1:184" x14ac:dyDescent="0.2">
      <c r="A1061" s="1136"/>
      <c r="B1061" s="1137"/>
      <c r="CI1061" s="1142"/>
      <c r="CR1061" s="1142"/>
      <c r="DV1061" s="1142"/>
      <c r="DW1061" s="1142"/>
      <c r="DX1061" s="1142"/>
      <c r="DY1061" s="1142"/>
      <c r="DZ1061" s="1142"/>
      <c r="EA1061" s="1142"/>
      <c r="EB1061" s="1142"/>
      <c r="EC1061" s="1142"/>
      <c r="ED1061" s="1183"/>
      <c r="EE1061" s="1183"/>
      <c r="EN1061" s="1230"/>
      <c r="EO1061" s="1230"/>
      <c r="EP1061" s="1230"/>
      <c r="EQ1061" s="1230"/>
      <c r="GB1061" s="1230"/>
    </row>
    <row r="1062" spans="1:184" x14ac:dyDescent="0.2">
      <c r="A1062" s="1136"/>
      <c r="B1062" s="1137"/>
      <c r="CI1062" s="1142"/>
      <c r="CR1062" s="1142"/>
      <c r="DV1062" s="1142"/>
      <c r="DW1062" s="1142"/>
      <c r="DX1062" s="1142"/>
      <c r="DY1062" s="1142"/>
      <c r="DZ1062" s="1142"/>
      <c r="EA1062" s="1142"/>
      <c r="EB1062" s="1142"/>
      <c r="EC1062" s="1142"/>
      <c r="ED1062" s="1183"/>
      <c r="EE1062" s="1183"/>
      <c r="GB1062" s="1230"/>
    </row>
    <row r="1063" spans="1:184" x14ac:dyDescent="0.2">
      <c r="A1063" s="1136"/>
      <c r="B1063" s="1137"/>
      <c r="CR1063" s="1142"/>
      <c r="DV1063" s="1142"/>
      <c r="DW1063" s="1142"/>
      <c r="DX1063" s="1142"/>
      <c r="DY1063" s="1142"/>
      <c r="DZ1063" s="1142"/>
      <c r="EA1063" s="1142"/>
      <c r="EB1063" s="1142"/>
      <c r="EC1063" s="1142"/>
      <c r="ED1063" s="1183"/>
      <c r="EE1063" s="1183"/>
      <c r="GB1063" s="1230"/>
    </row>
    <row r="1064" spans="1:184" x14ac:dyDescent="0.2">
      <c r="A1064" s="1136"/>
      <c r="B1064" s="1137"/>
      <c r="DV1064" s="1142"/>
      <c r="DW1064" s="1142"/>
      <c r="DX1064" s="1142"/>
      <c r="DY1064" s="1142"/>
      <c r="DZ1064" s="1142"/>
      <c r="EA1064" s="1142"/>
      <c r="EB1064" s="1142"/>
      <c r="EC1064" s="1142"/>
      <c r="ED1064" s="1183"/>
      <c r="EE1064" s="1183"/>
    </row>
    <row r="1065" spans="1:184" x14ac:dyDescent="0.2">
      <c r="A1065" s="1136"/>
      <c r="B1065" s="1137"/>
      <c r="BV1065" s="1259"/>
      <c r="BW1065" s="1259"/>
      <c r="DV1065" s="1142"/>
      <c r="DW1065" s="1142"/>
      <c r="DX1065" s="1142"/>
      <c r="DY1065" s="1142"/>
      <c r="DZ1065" s="1142"/>
      <c r="EA1065" s="1142"/>
      <c r="EB1065" s="1142"/>
      <c r="EC1065" s="1142"/>
    </row>
    <row r="1066" spans="1:184" x14ac:dyDescent="0.2">
      <c r="A1066" s="1136"/>
      <c r="B1066" s="1137"/>
      <c r="BV1066" s="1259"/>
      <c r="BW1066" s="1259"/>
    </row>
    <row r="1067" spans="1:184" x14ac:dyDescent="0.2">
      <c r="A1067" s="1136"/>
      <c r="B1067" s="1137"/>
      <c r="BV1067" s="1259"/>
      <c r="BW1067" s="1259"/>
    </row>
    <row r="1068" spans="1:184" x14ac:dyDescent="0.2">
      <c r="A1068" s="1136"/>
      <c r="B1068" s="1137"/>
      <c r="BV1068" s="1259"/>
      <c r="BW1068" s="1259"/>
    </row>
    <row r="1069" spans="1:184" x14ac:dyDescent="0.2">
      <c r="A1069" s="1136"/>
      <c r="B1069" s="1137"/>
      <c r="BV1069" s="1259"/>
      <c r="BW1069" s="1259"/>
    </row>
    <row r="1070" spans="1:184" x14ac:dyDescent="0.2">
      <c r="A1070" s="1136"/>
      <c r="B1070" s="1137"/>
      <c r="BV1070" s="1259"/>
      <c r="BW1070" s="1259"/>
      <c r="CI1070" s="1230"/>
    </row>
    <row r="1071" spans="1:184" x14ac:dyDescent="0.2">
      <c r="A1071" s="1136"/>
      <c r="B1071" s="1137"/>
      <c r="CI1071" s="1230"/>
      <c r="CR1071" s="1230"/>
      <c r="FT1071" s="1183"/>
    </row>
    <row r="1072" spans="1:184" x14ac:dyDescent="0.2">
      <c r="B1072" s="1264"/>
      <c r="CI1072" s="1230"/>
      <c r="CR1072" s="1230"/>
      <c r="ED1072" s="1259"/>
      <c r="EE1072" s="1259"/>
      <c r="FT1072" s="1183"/>
    </row>
    <row r="1073" spans="2:176" x14ac:dyDescent="0.2">
      <c r="B1073" s="1264"/>
      <c r="CI1073" s="1230"/>
      <c r="CR1073" s="1230"/>
      <c r="DV1073" s="1230"/>
      <c r="DW1073" s="1230"/>
      <c r="DX1073" s="1230"/>
      <c r="DY1073" s="1230"/>
      <c r="DZ1073" s="1230"/>
      <c r="EA1073" s="1230"/>
      <c r="EB1073" s="1230"/>
      <c r="EC1073" s="1230"/>
      <c r="ED1073" s="1259"/>
      <c r="EE1073" s="1259"/>
      <c r="FT1073" s="1183"/>
    </row>
    <row r="1074" spans="2:176" x14ac:dyDescent="0.2">
      <c r="B1074" s="1264"/>
      <c r="CI1074" s="1230"/>
      <c r="CQ1074" s="1142"/>
      <c r="CR1074" s="1230"/>
      <c r="DV1074" s="1230"/>
      <c r="DW1074" s="1230"/>
      <c r="DX1074" s="1230"/>
      <c r="DY1074" s="1230"/>
      <c r="DZ1074" s="1230"/>
      <c r="EA1074" s="1230"/>
      <c r="EB1074" s="1230"/>
      <c r="EC1074" s="1230"/>
      <c r="ED1074" s="1259"/>
      <c r="EE1074" s="1259"/>
      <c r="FT1074" s="1183"/>
    </row>
    <row r="1075" spans="2:176" x14ac:dyDescent="0.2">
      <c r="B1075" s="1264"/>
      <c r="CI1075" s="1230"/>
      <c r="CQ1075" s="1142"/>
      <c r="CR1075" s="1230"/>
      <c r="DV1075" s="1230"/>
      <c r="DW1075" s="1230"/>
      <c r="DX1075" s="1230"/>
      <c r="DY1075" s="1230"/>
      <c r="DZ1075" s="1230"/>
      <c r="EA1075" s="1230"/>
      <c r="EB1075" s="1230"/>
      <c r="EC1075" s="1230"/>
      <c r="ED1075" s="1259"/>
      <c r="EE1075" s="1259"/>
      <c r="FJ1075" s="1183"/>
      <c r="FT1075" s="1183"/>
    </row>
    <row r="1076" spans="2:176" x14ac:dyDescent="0.2">
      <c r="B1076" s="1264"/>
      <c r="CQ1076" s="1142"/>
      <c r="CR1076" s="1230"/>
      <c r="DV1076" s="1230"/>
      <c r="DW1076" s="1230"/>
      <c r="DX1076" s="1230"/>
      <c r="DY1076" s="1230"/>
      <c r="DZ1076" s="1230"/>
      <c r="EA1076" s="1230"/>
      <c r="EB1076" s="1230"/>
      <c r="EC1076" s="1230"/>
      <c r="ED1076" s="1259"/>
      <c r="EE1076" s="1259"/>
      <c r="FJ1076" s="1183"/>
      <c r="FT1076" s="1183"/>
    </row>
    <row r="1077" spans="2:176" x14ac:dyDescent="0.2">
      <c r="B1077" s="1264"/>
      <c r="BM1077" s="1262"/>
      <c r="CQ1077" s="1142"/>
      <c r="DV1077" s="1230"/>
      <c r="DW1077" s="1230"/>
      <c r="DX1077" s="1230"/>
      <c r="DY1077" s="1230"/>
      <c r="DZ1077" s="1230"/>
      <c r="EA1077" s="1230"/>
      <c r="EB1077" s="1230"/>
      <c r="EC1077" s="1230"/>
      <c r="ED1077" s="1259"/>
      <c r="EE1077" s="1259"/>
      <c r="FJ1077" s="1183"/>
    </row>
    <row r="1078" spans="2:176" x14ac:dyDescent="0.2">
      <c r="B1078" s="1264"/>
      <c r="BM1078" s="1262"/>
      <c r="CQ1078" s="1142"/>
      <c r="DV1078" s="1230"/>
      <c r="DW1078" s="1230"/>
      <c r="DX1078" s="1230"/>
      <c r="DY1078" s="1230"/>
      <c r="DZ1078" s="1230"/>
      <c r="EA1078" s="1230"/>
      <c r="EB1078" s="1230"/>
      <c r="EC1078" s="1230"/>
      <c r="FJ1078" s="1183"/>
    </row>
    <row r="1079" spans="2:176" x14ac:dyDescent="0.2">
      <c r="B1079" s="1264"/>
      <c r="BM1079" s="1262"/>
      <c r="CQ1079" s="1142"/>
      <c r="FJ1079" s="1183"/>
    </row>
    <row r="1080" spans="2:176" x14ac:dyDescent="0.2">
      <c r="B1080" s="1264"/>
      <c r="BM1080" s="1262"/>
      <c r="FJ1080" s="1183"/>
    </row>
    <row r="1081" spans="2:176" x14ac:dyDescent="0.2">
      <c r="B1081" s="1264"/>
      <c r="BM1081" s="1262"/>
    </row>
    <row r="1082" spans="2:176" x14ac:dyDescent="0.2">
      <c r="B1082" s="1264"/>
      <c r="BM1082" s="1262"/>
      <c r="DU1082" s="1262"/>
    </row>
    <row r="1083" spans="2:176" x14ac:dyDescent="0.2">
      <c r="B1083" s="1264"/>
      <c r="DU1083" s="1262"/>
    </row>
    <row r="1084" spans="2:176" x14ac:dyDescent="0.2">
      <c r="B1084" s="1264"/>
      <c r="DU1084" s="1262"/>
      <c r="FT1084" s="1259"/>
    </row>
    <row r="1085" spans="2:176" x14ac:dyDescent="0.2">
      <c r="B1085" s="1264"/>
      <c r="DU1085" s="1262"/>
      <c r="FT1085" s="1259"/>
    </row>
    <row r="1086" spans="2:176" x14ac:dyDescent="0.2">
      <c r="B1086" s="1264"/>
      <c r="DU1086" s="1262"/>
      <c r="FT1086" s="1259"/>
    </row>
    <row r="1087" spans="2:176" x14ac:dyDescent="0.2">
      <c r="B1087" s="1264"/>
      <c r="CQ1087" s="1230"/>
      <c r="DU1087" s="1262"/>
      <c r="FT1087" s="1259"/>
    </row>
    <row r="1088" spans="2:176" x14ac:dyDescent="0.2">
      <c r="B1088" s="1264"/>
      <c r="CQ1088" s="1230"/>
      <c r="DF1088" s="1142"/>
      <c r="FJ1088" s="1259"/>
      <c r="FT1088" s="1259"/>
    </row>
    <row r="1089" spans="2:183" x14ac:dyDescent="0.2">
      <c r="B1089" s="1264"/>
      <c r="BN1089" s="1142"/>
      <c r="BO1089" s="1142"/>
      <c r="BP1089" s="1142"/>
      <c r="BQ1089" s="1142"/>
      <c r="BR1089" s="1142"/>
      <c r="BS1089" s="1142"/>
      <c r="BT1089" s="1142"/>
      <c r="BU1089" s="1142"/>
      <c r="CQ1089" s="1230"/>
      <c r="DF1089" s="1142"/>
      <c r="FJ1089" s="1259"/>
      <c r="FT1089" s="1259"/>
    </row>
    <row r="1090" spans="2:183" x14ac:dyDescent="0.2">
      <c r="B1090" s="1264"/>
      <c r="BM1090" s="1263"/>
      <c r="BN1090" s="1142"/>
      <c r="BO1090" s="1142"/>
      <c r="BP1090" s="1142"/>
      <c r="BQ1090" s="1142"/>
      <c r="BR1090" s="1142"/>
      <c r="BS1090" s="1142"/>
      <c r="BT1090" s="1142"/>
      <c r="BU1090" s="1142"/>
      <c r="CQ1090" s="1230"/>
      <c r="DF1090" s="1142"/>
      <c r="FJ1090" s="1259"/>
    </row>
    <row r="1091" spans="2:183" x14ac:dyDescent="0.2">
      <c r="B1091" s="1264"/>
      <c r="BM1091" s="1263"/>
      <c r="BN1091" s="1142"/>
      <c r="BO1091" s="1142"/>
      <c r="BP1091" s="1142"/>
      <c r="BQ1091" s="1142"/>
      <c r="BR1091" s="1142"/>
      <c r="BS1091" s="1142"/>
      <c r="BT1091" s="1142"/>
      <c r="BU1091" s="1142"/>
      <c r="CQ1091" s="1230"/>
      <c r="DF1091" s="1142"/>
      <c r="FJ1091" s="1259"/>
    </row>
    <row r="1092" spans="2:183" x14ac:dyDescent="0.2">
      <c r="B1092" s="1264"/>
      <c r="BM1092" s="1263"/>
      <c r="BN1092" s="1142"/>
      <c r="BO1092" s="1142"/>
      <c r="BP1092" s="1142"/>
      <c r="BQ1092" s="1142"/>
      <c r="BR1092" s="1142"/>
      <c r="BS1092" s="1142"/>
      <c r="BT1092" s="1142"/>
      <c r="BU1092" s="1142"/>
      <c r="CQ1092" s="1230"/>
      <c r="DF1092" s="1142"/>
      <c r="FJ1092" s="1259"/>
    </row>
    <row r="1093" spans="2:183" x14ac:dyDescent="0.2">
      <c r="B1093" s="1264"/>
      <c r="BM1093" s="1263"/>
      <c r="BN1093" s="1142"/>
      <c r="BO1093" s="1142"/>
      <c r="BP1093" s="1142"/>
      <c r="BQ1093" s="1142"/>
      <c r="BR1093" s="1142"/>
      <c r="BS1093" s="1142"/>
      <c r="BT1093" s="1142"/>
      <c r="BU1093" s="1142"/>
      <c r="DF1093" s="1142"/>
      <c r="FJ1093" s="1259"/>
    </row>
    <row r="1094" spans="2:183" x14ac:dyDescent="0.2">
      <c r="B1094" s="1264"/>
      <c r="BM1094" s="1263"/>
      <c r="BN1094" s="1142"/>
      <c r="BO1094" s="1142"/>
      <c r="BP1094" s="1142"/>
      <c r="BQ1094" s="1142"/>
      <c r="BR1094" s="1142"/>
      <c r="BS1094" s="1142"/>
      <c r="BT1094" s="1142"/>
      <c r="BU1094" s="1142"/>
    </row>
    <row r="1095" spans="2:183" x14ac:dyDescent="0.2">
      <c r="B1095" s="1264"/>
      <c r="BB1095" s="1142"/>
      <c r="BM1095" s="1263"/>
      <c r="DU1095" s="1263"/>
    </row>
    <row r="1096" spans="2:183" x14ac:dyDescent="0.2">
      <c r="B1096" s="1264"/>
      <c r="BB1096" s="1142"/>
      <c r="DU1096" s="1263"/>
    </row>
    <row r="1097" spans="2:183" x14ac:dyDescent="0.2">
      <c r="B1097" s="1264"/>
      <c r="BB1097" s="1142"/>
      <c r="DU1097" s="1263"/>
    </row>
    <row r="1098" spans="2:183" x14ac:dyDescent="0.2">
      <c r="B1098" s="1264"/>
      <c r="BB1098" s="1142"/>
      <c r="DU1098" s="1263"/>
    </row>
    <row r="1099" spans="2:183" x14ac:dyDescent="0.2">
      <c r="B1099" s="1264"/>
      <c r="BB1099" s="1142"/>
      <c r="DU1099" s="1263"/>
      <c r="GA1099" s="1183"/>
    </row>
    <row r="1100" spans="2:183" x14ac:dyDescent="0.2">
      <c r="B1100" s="1264"/>
      <c r="BB1100" s="1142"/>
      <c r="DU1100" s="1263"/>
      <c r="GA1100" s="1183"/>
    </row>
    <row r="1101" spans="2:183" x14ac:dyDescent="0.2">
      <c r="B1101" s="1264"/>
      <c r="DF1101" s="1230"/>
      <c r="GA1101" s="1183"/>
    </row>
    <row r="1102" spans="2:183" x14ac:dyDescent="0.2">
      <c r="B1102" s="1264"/>
      <c r="BN1102" s="1230"/>
      <c r="BO1102" s="1230"/>
      <c r="BP1102" s="1230"/>
      <c r="BQ1102" s="1230"/>
      <c r="BR1102" s="1230"/>
      <c r="BS1102" s="1230"/>
      <c r="BT1102" s="1230"/>
      <c r="BU1102" s="1230"/>
      <c r="DF1102" s="1230"/>
      <c r="GA1102" s="1183"/>
    </row>
    <row r="1103" spans="2:183" x14ac:dyDescent="0.2">
      <c r="B1103" s="1264"/>
      <c r="BN1103" s="1230"/>
      <c r="BO1103" s="1230"/>
      <c r="BP1103" s="1230"/>
      <c r="BQ1103" s="1230"/>
      <c r="BR1103" s="1230"/>
      <c r="BS1103" s="1230"/>
      <c r="BT1103" s="1230"/>
      <c r="BU1103" s="1230"/>
      <c r="DF1103" s="1230"/>
      <c r="GA1103" s="1183"/>
    </row>
    <row r="1104" spans="2:183" x14ac:dyDescent="0.2">
      <c r="B1104" s="1264"/>
      <c r="BN1104" s="1230"/>
      <c r="BO1104" s="1230"/>
      <c r="BP1104" s="1230"/>
      <c r="BQ1104" s="1230"/>
      <c r="BR1104" s="1230"/>
      <c r="BS1104" s="1230"/>
      <c r="BT1104" s="1230"/>
      <c r="BU1104" s="1230"/>
      <c r="DF1104" s="1230"/>
      <c r="GA1104" s="1183"/>
    </row>
    <row r="1105" spans="2:183" x14ac:dyDescent="0.2">
      <c r="B1105" s="1264"/>
      <c r="BN1105" s="1230"/>
      <c r="BO1105" s="1230"/>
      <c r="BP1105" s="1230"/>
      <c r="BQ1105" s="1230"/>
      <c r="BR1105" s="1230"/>
      <c r="BS1105" s="1230"/>
      <c r="BT1105" s="1230"/>
      <c r="BU1105" s="1230"/>
      <c r="DF1105" s="1230"/>
    </row>
    <row r="1106" spans="2:183" x14ac:dyDescent="0.2">
      <c r="B1106" s="1264"/>
      <c r="BN1106" s="1230"/>
      <c r="BO1106" s="1230"/>
      <c r="BP1106" s="1230"/>
      <c r="BQ1106" s="1230"/>
      <c r="BR1106" s="1230"/>
      <c r="BS1106" s="1230"/>
      <c r="BT1106" s="1230"/>
      <c r="BU1106" s="1230"/>
      <c r="DF1106" s="1230"/>
    </row>
    <row r="1107" spans="2:183" x14ac:dyDescent="0.2">
      <c r="B1107" s="1264"/>
      <c r="BN1107" s="1230"/>
      <c r="BO1107" s="1230"/>
      <c r="BP1107" s="1230"/>
      <c r="BQ1107" s="1230"/>
      <c r="BR1107" s="1230"/>
      <c r="BS1107" s="1230"/>
      <c r="BT1107" s="1230"/>
      <c r="BU1107" s="1230"/>
    </row>
    <row r="1108" spans="2:183" x14ac:dyDescent="0.2">
      <c r="B1108" s="1264"/>
      <c r="BB1108" s="1230"/>
    </row>
    <row r="1109" spans="2:183" x14ac:dyDescent="0.2">
      <c r="B1109" s="1264"/>
      <c r="BB1109" s="1230"/>
      <c r="CW1109" s="1142"/>
    </row>
    <row r="1110" spans="2:183" x14ac:dyDescent="0.2">
      <c r="B1110" s="1264"/>
      <c r="BB1110" s="1230"/>
      <c r="CW1110" s="1142"/>
    </row>
    <row r="1111" spans="2:183" x14ac:dyDescent="0.2">
      <c r="B1111" s="1264"/>
      <c r="BB1111" s="1230"/>
      <c r="CW1111" s="1142"/>
    </row>
    <row r="1112" spans="2:183" x14ac:dyDescent="0.2">
      <c r="B1112" s="1264"/>
      <c r="BB1112" s="1230"/>
      <c r="CO1112" s="1142"/>
      <c r="CP1112" s="1142"/>
      <c r="CW1112" s="1142"/>
      <c r="GA1112" s="1259"/>
    </row>
    <row r="1113" spans="2:183" x14ac:dyDescent="0.2">
      <c r="B1113" s="1264"/>
      <c r="BB1113" s="1230"/>
      <c r="CO1113" s="1142"/>
      <c r="CP1113" s="1142"/>
      <c r="CW1113" s="1142"/>
      <c r="GA1113" s="1259"/>
    </row>
    <row r="1114" spans="2:183" x14ac:dyDescent="0.2">
      <c r="B1114" s="1264"/>
      <c r="CO1114" s="1142"/>
      <c r="CP1114" s="1142"/>
      <c r="CW1114" s="1142"/>
      <c r="GA1114" s="1259"/>
    </row>
    <row r="1115" spans="2:183" x14ac:dyDescent="0.2">
      <c r="B1115" s="1264"/>
      <c r="CO1115" s="1142"/>
      <c r="CP1115" s="1142"/>
      <c r="GA1115" s="1259"/>
    </row>
    <row r="1116" spans="2:183" x14ac:dyDescent="0.2">
      <c r="B1116" s="1264"/>
      <c r="CO1116" s="1142"/>
      <c r="CP1116" s="1142"/>
      <c r="GA1116" s="1259"/>
    </row>
    <row r="1117" spans="2:183" x14ac:dyDescent="0.2">
      <c r="B1117" s="1264"/>
      <c r="CO1117" s="1142"/>
      <c r="CP1117" s="1142"/>
      <c r="GA1117" s="1259"/>
    </row>
    <row r="1118" spans="2:183" x14ac:dyDescent="0.2">
      <c r="B1118" s="1264"/>
      <c r="CH1118" s="1183"/>
      <c r="FW1118" s="1142"/>
    </row>
    <row r="1119" spans="2:183" x14ac:dyDescent="0.2">
      <c r="B1119" s="1264"/>
      <c r="CH1119" s="1183"/>
      <c r="FW1119" s="1142"/>
      <c r="FX1119" s="1142"/>
      <c r="FY1119" s="1142"/>
      <c r="FZ1119" s="1142"/>
    </row>
    <row r="1120" spans="2:183" x14ac:dyDescent="0.2">
      <c r="B1120" s="1264"/>
      <c r="CH1120" s="1183"/>
      <c r="FW1120" s="1142"/>
      <c r="FX1120" s="1142"/>
      <c r="FY1120" s="1142"/>
      <c r="FZ1120" s="1142"/>
    </row>
    <row r="1121" spans="1:182" x14ac:dyDescent="0.2">
      <c r="B1121" s="1264"/>
      <c r="CH1121" s="1183"/>
      <c r="CL1121" s="1142"/>
      <c r="CM1121" s="1142"/>
      <c r="CN1121" s="1142"/>
      <c r="FW1121" s="1142"/>
      <c r="FX1121" s="1142"/>
      <c r="FY1121" s="1142"/>
      <c r="FZ1121" s="1142"/>
    </row>
    <row r="1122" spans="1:182" x14ac:dyDescent="0.2">
      <c r="A1122" s="1183"/>
      <c r="B1122" s="1264"/>
      <c r="CH1122" s="1183"/>
      <c r="CK1122" s="1142"/>
      <c r="CL1122" s="1142"/>
      <c r="CM1122" s="1142"/>
      <c r="CN1122" s="1142"/>
      <c r="CW1122" s="1230"/>
      <c r="FW1122" s="1142"/>
      <c r="FX1122" s="1142"/>
      <c r="FY1122" s="1142"/>
      <c r="FZ1122" s="1142"/>
    </row>
    <row r="1123" spans="1:182" x14ac:dyDescent="0.2">
      <c r="B1123" s="1264"/>
      <c r="CH1123" s="1183"/>
      <c r="CK1123" s="1142"/>
      <c r="CL1123" s="1142"/>
      <c r="CM1123" s="1142"/>
      <c r="CN1123" s="1142"/>
      <c r="CW1123" s="1230"/>
      <c r="FW1123" s="1142"/>
      <c r="FX1123" s="1142"/>
      <c r="FY1123" s="1142"/>
      <c r="FZ1123" s="1142"/>
    </row>
    <row r="1124" spans="1:182" x14ac:dyDescent="0.2">
      <c r="B1124" s="1264"/>
      <c r="BZ1124" s="1142"/>
      <c r="CA1124" s="1142"/>
      <c r="CK1124" s="1142"/>
      <c r="CL1124" s="1142"/>
      <c r="CM1124" s="1142"/>
      <c r="CN1124" s="1142"/>
      <c r="CW1124" s="1230"/>
      <c r="FX1124" s="1142"/>
      <c r="FY1124" s="1142"/>
      <c r="FZ1124" s="1142"/>
    </row>
    <row r="1125" spans="1:182" x14ac:dyDescent="0.2">
      <c r="A1125" s="1230"/>
      <c r="B1125" s="1264"/>
      <c r="BZ1125" s="1142"/>
      <c r="CA1125" s="1142"/>
      <c r="CK1125" s="1142"/>
      <c r="CL1125" s="1142"/>
      <c r="CM1125" s="1142"/>
      <c r="CN1125" s="1142"/>
      <c r="CO1125" s="1230"/>
      <c r="CP1125" s="1230"/>
      <c r="CU1125" s="1142"/>
      <c r="CV1125" s="1142"/>
      <c r="CW1125" s="1230"/>
    </row>
    <row r="1126" spans="1:182" x14ac:dyDescent="0.2">
      <c r="A1126" s="1230"/>
      <c r="B1126" s="1264"/>
      <c r="BZ1126" s="1142"/>
      <c r="CA1126" s="1142"/>
      <c r="CK1126" s="1142"/>
      <c r="CL1126" s="1142"/>
      <c r="CM1126" s="1142"/>
      <c r="CN1126" s="1142"/>
      <c r="CO1126" s="1230"/>
      <c r="CP1126" s="1230"/>
      <c r="CT1126" s="1142"/>
      <c r="CU1126" s="1142"/>
      <c r="CV1126" s="1142"/>
      <c r="CW1126" s="1230"/>
    </row>
    <row r="1127" spans="1:182" x14ac:dyDescent="0.2">
      <c r="A1127" s="1230"/>
      <c r="B1127" s="1264"/>
      <c r="BZ1127" s="1142"/>
      <c r="CA1127" s="1142"/>
      <c r="CK1127" s="1142"/>
      <c r="CO1127" s="1230"/>
      <c r="CP1127" s="1230"/>
      <c r="CS1127" s="1142"/>
      <c r="CT1127" s="1142"/>
      <c r="CU1127" s="1142"/>
      <c r="CV1127" s="1142"/>
      <c r="CW1127" s="1230"/>
    </row>
    <row r="1128" spans="1:182" x14ac:dyDescent="0.2">
      <c r="A1128" s="1230"/>
      <c r="B1128" s="1264"/>
      <c r="BZ1128" s="1142"/>
      <c r="CA1128" s="1142"/>
      <c r="CO1128" s="1230"/>
      <c r="CP1128" s="1230"/>
      <c r="CS1128" s="1142"/>
      <c r="CT1128" s="1142"/>
      <c r="CU1128" s="1142"/>
      <c r="CV1128" s="1142"/>
    </row>
    <row r="1129" spans="1:182" x14ac:dyDescent="0.2">
      <c r="A1129" s="1230"/>
      <c r="B1129" s="1264"/>
      <c r="BZ1129" s="1142"/>
      <c r="CA1129" s="1142"/>
      <c r="CO1129" s="1230"/>
      <c r="CP1129" s="1230"/>
      <c r="CS1129" s="1142"/>
      <c r="CT1129" s="1142"/>
      <c r="CU1129" s="1142"/>
      <c r="CV1129" s="1142"/>
    </row>
    <row r="1130" spans="1:182" x14ac:dyDescent="0.2">
      <c r="A1130" s="1230"/>
      <c r="B1130" s="1264"/>
      <c r="CO1130" s="1230"/>
      <c r="CP1130" s="1230"/>
      <c r="CS1130" s="1142"/>
      <c r="CT1130" s="1142"/>
      <c r="CU1130" s="1142"/>
      <c r="CV1130" s="1142"/>
    </row>
    <row r="1131" spans="1:182" x14ac:dyDescent="0.2">
      <c r="B1131" s="1264"/>
      <c r="CH1131" s="1259"/>
      <c r="CS1131" s="1142"/>
      <c r="CT1131" s="1142"/>
      <c r="FW1131" s="1230"/>
    </row>
    <row r="1132" spans="1:182" x14ac:dyDescent="0.2">
      <c r="B1132" s="1264"/>
      <c r="BY1132" s="1142"/>
      <c r="CH1132" s="1259"/>
      <c r="CS1132" s="1142"/>
      <c r="DG1132" s="1142"/>
      <c r="DH1132" s="1142"/>
      <c r="DI1132" s="1142"/>
      <c r="DJ1132" s="1142"/>
      <c r="DK1132" s="1142"/>
      <c r="FW1132" s="1230"/>
      <c r="FX1132" s="1230"/>
      <c r="FY1132" s="1230"/>
      <c r="FZ1132" s="1230"/>
    </row>
    <row r="1133" spans="1:182" x14ac:dyDescent="0.2">
      <c r="B1133" s="1264"/>
      <c r="BY1133" s="1142"/>
      <c r="CH1133" s="1259"/>
      <c r="DG1133" s="1142"/>
      <c r="DH1133" s="1142"/>
      <c r="DI1133" s="1142"/>
      <c r="DJ1133" s="1142"/>
      <c r="DK1133" s="1142"/>
      <c r="FW1133" s="1230"/>
      <c r="FX1133" s="1230"/>
      <c r="FY1133" s="1230"/>
      <c r="FZ1133" s="1230"/>
    </row>
    <row r="1134" spans="1:182" x14ac:dyDescent="0.2">
      <c r="B1134" s="1264"/>
      <c r="BY1134" s="1142"/>
      <c r="CH1134" s="1259"/>
      <c r="CL1134" s="1230"/>
      <c r="CM1134" s="1230"/>
      <c r="CN1134" s="1230"/>
      <c r="DG1134" s="1142"/>
      <c r="DH1134" s="1142"/>
      <c r="DI1134" s="1142"/>
      <c r="DJ1134" s="1142"/>
      <c r="DK1134" s="1142"/>
      <c r="FW1134" s="1230"/>
      <c r="FX1134" s="1230"/>
      <c r="FY1134" s="1230"/>
      <c r="FZ1134" s="1230"/>
    </row>
    <row r="1135" spans="1:182" x14ac:dyDescent="0.2">
      <c r="B1135" s="1264"/>
      <c r="BY1135" s="1142"/>
      <c r="CH1135" s="1259"/>
      <c r="CJ1135" s="1230"/>
      <c r="CK1135" s="1230"/>
      <c r="CL1135" s="1230"/>
      <c r="CM1135" s="1230"/>
      <c r="CN1135" s="1230"/>
      <c r="DG1135" s="1142"/>
      <c r="DH1135" s="1142"/>
      <c r="DI1135" s="1142"/>
      <c r="DJ1135" s="1142"/>
      <c r="DK1135" s="1142"/>
      <c r="FW1135" s="1230"/>
      <c r="FX1135" s="1230"/>
      <c r="FY1135" s="1230"/>
      <c r="FZ1135" s="1230"/>
    </row>
    <row r="1136" spans="1:182" x14ac:dyDescent="0.2">
      <c r="B1136" s="1264"/>
      <c r="BY1136" s="1142"/>
      <c r="CH1136" s="1259"/>
      <c r="CJ1136" s="1230"/>
      <c r="CK1136" s="1230"/>
      <c r="CL1136" s="1230"/>
      <c r="CM1136" s="1230"/>
      <c r="CN1136" s="1230"/>
      <c r="DG1136" s="1142"/>
      <c r="DH1136" s="1142"/>
      <c r="DI1136" s="1142"/>
      <c r="DJ1136" s="1142"/>
      <c r="DK1136" s="1142"/>
      <c r="FW1136" s="1230"/>
      <c r="FX1136" s="1230"/>
      <c r="FY1136" s="1230"/>
      <c r="FZ1136" s="1230"/>
    </row>
    <row r="1137" spans="2:182" x14ac:dyDescent="0.2">
      <c r="B1137" s="1264"/>
      <c r="BY1137" s="1142"/>
      <c r="BZ1137" s="1230"/>
      <c r="CA1137" s="1230"/>
      <c r="CJ1137" s="1230"/>
      <c r="CK1137" s="1230"/>
      <c r="CL1137" s="1230"/>
      <c r="CM1137" s="1230"/>
      <c r="CN1137" s="1230"/>
      <c r="DG1137" s="1142"/>
      <c r="DH1137" s="1142"/>
      <c r="DI1137" s="1142"/>
      <c r="DJ1137" s="1142"/>
      <c r="DK1137" s="1142"/>
      <c r="FX1137" s="1230"/>
      <c r="FY1137" s="1230"/>
      <c r="FZ1137" s="1230"/>
    </row>
    <row r="1138" spans="2:182" x14ac:dyDescent="0.2">
      <c r="B1138" s="1264"/>
      <c r="BZ1138" s="1230"/>
      <c r="CA1138" s="1230"/>
      <c r="CJ1138" s="1230"/>
      <c r="CK1138" s="1230"/>
      <c r="CL1138" s="1230"/>
      <c r="CM1138" s="1230"/>
      <c r="CN1138" s="1230"/>
      <c r="CU1138" s="1230"/>
      <c r="CV1138" s="1230"/>
    </row>
    <row r="1139" spans="2:182" x14ac:dyDescent="0.2">
      <c r="B1139" s="1264"/>
      <c r="BZ1139" s="1230"/>
      <c r="CA1139" s="1230"/>
      <c r="CJ1139" s="1230"/>
      <c r="CK1139" s="1230"/>
      <c r="CL1139" s="1230"/>
      <c r="CM1139" s="1230"/>
      <c r="CN1139" s="1230"/>
      <c r="CT1139" s="1230"/>
      <c r="CU1139" s="1230"/>
      <c r="CV1139" s="1230"/>
    </row>
    <row r="1140" spans="2:182" x14ac:dyDescent="0.2">
      <c r="B1140" s="1264"/>
      <c r="BZ1140" s="1230"/>
      <c r="CA1140" s="1230"/>
      <c r="CJ1140" s="1230"/>
      <c r="CK1140" s="1230"/>
      <c r="CS1140" s="1230"/>
      <c r="CT1140" s="1230"/>
      <c r="CU1140" s="1230"/>
      <c r="CV1140" s="1230"/>
    </row>
    <row r="1141" spans="2:182" x14ac:dyDescent="0.2">
      <c r="B1141" s="1137"/>
      <c r="BZ1141" s="1230"/>
      <c r="CA1141" s="1230"/>
      <c r="CS1141" s="1230"/>
      <c r="CT1141" s="1230"/>
      <c r="CU1141" s="1230"/>
      <c r="CV1141" s="1230"/>
    </row>
    <row r="1142" spans="2:182" x14ac:dyDescent="0.2">
      <c r="B1142" s="1137"/>
      <c r="BX1142" s="1142"/>
      <c r="BZ1142" s="1230"/>
      <c r="CA1142" s="1230"/>
      <c r="CS1142" s="1230"/>
      <c r="CT1142" s="1230"/>
      <c r="CU1142" s="1230"/>
      <c r="CV1142" s="1230"/>
    </row>
    <row r="1143" spans="2:182" x14ac:dyDescent="0.2">
      <c r="B1143" s="1137"/>
      <c r="BX1143" s="1142"/>
      <c r="CS1143" s="1230"/>
      <c r="CT1143" s="1230"/>
      <c r="CU1143" s="1230"/>
      <c r="CV1143" s="1230"/>
    </row>
    <row r="1144" spans="2:182" x14ac:dyDescent="0.2">
      <c r="B1144" s="1137"/>
      <c r="BX1144" s="1142"/>
      <c r="CS1144" s="1230"/>
      <c r="CT1144" s="1230"/>
    </row>
    <row r="1145" spans="2:182" x14ac:dyDescent="0.2">
      <c r="B1145" s="1137"/>
      <c r="BX1145" s="1142"/>
      <c r="BY1145" s="1230"/>
      <c r="CS1145" s="1230"/>
      <c r="DG1145" s="1230"/>
      <c r="DH1145" s="1230"/>
      <c r="DI1145" s="1230"/>
      <c r="DJ1145" s="1230"/>
      <c r="DK1145" s="1230"/>
    </row>
    <row r="1146" spans="2:182" x14ac:dyDescent="0.2">
      <c r="B1146" s="1137"/>
      <c r="BX1146" s="1142"/>
      <c r="BY1146" s="1230"/>
      <c r="DG1146" s="1230"/>
      <c r="DH1146" s="1230"/>
      <c r="DI1146" s="1230"/>
      <c r="DJ1146" s="1230"/>
      <c r="DK1146" s="1230"/>
    </row>
    <row r="1147" spans="2:182" x14ac:dyDescent="0.2">
      <c r="B1147" s="1137"/>
      <c r="BX1147" s="1142"/>
      <c r="BY1147" s="1230"/>
      <c r="DG1147" s="1230"/>
      <c r="DH1147" s="1230"/>
      <c r="DI1147" s="1230"/>
      <c r="DJ1147" s="1230"/>
      <c r="DK1147" s="1230"/>
    </row>
    <row r="1148" spans="2:182" x14ac:dyDescent="0.2">
      <c r="B1148" s="1137"/>
      <c r="BY1148" s="1230"/>
      <c r="DG1148" s="1230"/>
      <c r="DH1148" s="1230"/>
      <c r="DI1148" s="1230"/>
      <c r="DJ1148" s="1230"/>
      <c r="DK1148" s="1230"/>
    </row>
    <row r="1149" spans="2:182" x14ac:dyDescent="0.2">
      <c r="B1149" s="1137"/>
      <c r="BD1149" s="1142"/>
      <c r="BG1149" s="1142"/>
      <c r="BH1149" s="1142"/>
      <c r="BI1149" s="1142"/>
      <c r="BJ1149" s="1142"/>
      <c r="BY1149" s="1230"/>
      <c r="DG1149" s="1230"/>
      <c r="DH1149" s="1230"/>
      <c r="DI1149" s="1230"/>
      <c r="DJ1149" s="1230"/>
      <c r="DK1149" s="1230"/>
    </row>
    <row r="1150" spans="2:182" x14ac:dyDescent="0.2">
      <c r="B1150" s="1137"/>
      <c r="BC1150" s="1142"/>
      <c r="BD1150" s="1142"/>
      <c r="BE1150" s="1142"/>
      <c r="BF1150" s="1142"/>
      <c r="BG1150" s="1142"/>
      <c r="BH1150" s="1142"/>
      <c r="BI1150" s="1142"/>
      <c r="BJ1150" s="1142"/>
      <c r="BY1150" s="1230"/>
      <c r="DG1150" s="1230"/>
      <c r="DH1150" s="1230"/>
      <c r="DI1150" s="1230"/>
      <c r="DJ1150" s="1230"/>
      <c r="DK1150" s="1230"/>
    </row>
    <row r="1151" spans="2:182" x14ac:dyDescent="0.2">
      <c r="B1151" s="1137"/>
      <c r="BC1151" s="1142"/>
      <c r="BD1151" s="1142"/>
      <c r="BE1151" s="1142"/>
      <c r="BF1151" s="1142"/>
      <c r="BG1151" s="1142"/>
      <c r="BH1151" s="1142"/>
      <c r="BI1151" s="1142"/>
      <c r="BJ1151" s="1142"/>
    </row>
    <row r="1152" spans="2:182" x14ac:dyDescent="0.2">
      <c r="B1152" s="1137"/>
      <c r="BC1152" s="1142"/>
      <c r="BD1152" s="1142"/>
      <c r="BE1152" s="1142"/>
      <c r="BF1152" s="1142"/>
      <c r="BG1152" s="1142"/>
      <c r="BH1152" s="1142"/>
      <c r="BI1152" s="1142"/>
      <c r="BJ1152" s="1142"/>
    </row>
    <row r="1153" spans="2:175" x14ac:dyDescent="0.2">
      <c r="B1153" s="1137"/>
      <c r="BC1153" s="1142"/>
      <c r="BD1153" s="1142"/>
      <c r="BE1153" s="1142"/>
      <c r="BF1153" s="1142"/>
      <c r="BG1153" s="1142"/>
      <c r="BH1153" s="1142"/>
      <c r="BI1153" s="1142"/>
      <c r="BJ1153" s="1142"/>
    </row>
    <row r="1154" spans="2:175" x14ac:dyDescent="0.2">
      <c r="B1154" s="1137"/>
      <c r="BC1154" s="1142"/>
      <c r="BD1154" s="1142"/>
      <c r="BE1154" s="1142"/>
      <c r="BF1154" s="1142"/>
      <c r="BG1154" s="1142"/>
      <c r="BH1154" s="1142"/>
      <c r="BI1154" s="1142"/>
      <c r="BJ1154" s="1142"/>
    </row>
    <row r="1155" spans="2:175" x14ac:dyDescent="0.2">
      <c r="B1155" s="1137"/>
      <c r="BC1155" s="1142"/>
      <c r="BE1155" s="1142"/>
      <c r="BF1155" s="1142"/>
      <c r="BX1155" s="1230"/>
    </row>
    <row r="1156" spans="2:175" x14ac:dyDescent="0.2">
      <c r="B1156" s="1137"/>
      <c r="BX1156" s="1230"/>
      <c r="CB1156" s="1142"/>
      <c r="CC1156" s="1142"/>
      <c r="CD1156" s="1183"/>
      <c r="CE1156" s="1183"/>
      <c r="CF1156" s="1183"/>
      <c r="CG1156" s="1183"/>
    </row>
    <row r="1157" spans="2:175" x14ac:dyDescent="0.2">
      <c r="B1157" s="1137"/>
      <c r="BX1157" s="1230"/>
      <c r="CB1157" s="1142"/>
      <c r="CC1157" s="1142"/>
      <c r="CD1157" s="1183"/>
      <c r="CE1157" s="1183"/>
      <c r="CF1157" s="1183"/>
      <c r="CG1157" s="1183"/>
    </row>
    <row r="1158" spans="2:175" x14ac:dyDescent="0.2">
      <c r="B1158" s="1137"/>
      <c r="BX1158" s="1230"/>
      <c r="CB1158" s="1142"/>
      <c r="CC1158" s="1142"/>
      <c r="CD1158" s="1183"/>
      <c r="CE1158" s="1183"/>
      <c r="CF1158" s="1183"/>
      <c r="CG1158" s="1183"/>
    </row>
    <row r="1159" spans="2:175" x14ac:dyDescent="0.2">
      <c r="B1159" s="1137"/>
      <c r="BX1159" s="1230"/>
      <c r="CB1159" s="1142"/>
      <c r="CC1159" s="1142"/>
      <c r="CD1159" s="1183"/>
      <c r="CE1159" s="1183"/>
      <c r="CF1159" s="1183"/>
      <c r="CG1159" s="1183"/>
    </row>
    <row r="1160" spans="2:175" x14ac:dyDescent="0.2">
      <c r="B1160" s="1137"/>
      <c r="BX1160" s="1230"/>
      <c r="CB1160" s="1142"/>
      <c r="CC1160" s="1142"/>
      <c r="CD1160" s="1183"/>
      <c r="CE1160" s="1183"/>
      <c r="CF1160" s="1183"/>
      <c r="CG1160" s="1183"/>
      <c r="FS1160" s="1183"/>
    </row>
    <row r="1161" spans="2:175" x14ac:dyDescent="0.2">
      <c r="B1161" s="1137"/>
      <c r="CB1161" s="1142"/>
      <c r="CC1161" s="1142"/>
      <c r="CD1161" s="1183"/>
      <c r="CE1161" s="1183"/>
      <c r="CF1161" s="1183"/>
      <c r="CG1161" s="1183"/>
      <c r="FS1161" s="1183"/>
    </row>
    <row r="1162" spans="2:175" x14ac:dyDescent="0.2">
      <c r="B1162" s="1137"/>
      <c r="BD1162" s="1230"/>
      <c r="BG1162" s="1230"/>
      <c r="BH1162" s="1230"/>
      <c r="BI1162" s="1230"/>
      <c r="BJ1162" s="1230"/>
      <c r="FN1162" s="1142"/>
      <c r="FO1162" s="1142"/>
      <c r="FS1162" s="1183"/>
    </row>
    <row r="1163" spans="2:175" x14ac:dyDescent="0.2">
      <c r="B1163" s="1137"/>
      <c r="BC1163" s="1230"/>
      <c r="BD1163" s="1230"/>
      <c r="BE1163" s="1230"/>
      <c r="BF1163" s="1230"/>
      <c r="BG1163" s="1230"/>
      <c r="BH1163" s="1230"/>
      <c r="BI1163" s="1230"/>
      <c r="BJ1163" s="1230"/>
      <c r="FI1163" s="1183"/>
      <c r="FN1163" s="1142"/>
      <c r="FO1163" s="1142"/>
      <c r="FS1163" s="1183"/>
    </row>
    <row r="1164" spans="2:175" x14ac:dyDescent="0.2">
      <c r="B1164" s="1137"/>
      <c r="BC1164" s="1230"/>
      <c r="BD1164" s="1230"/>
      <c r="BE1164" s="1230"/>
      <c r="BF1164" s="1230"/>
      <c r="BG1164" s="1230"/>
      <c r="BH1164" s="1230"/>
      <c r="BI1164" s="1230"/>
      <c r="BJ1164" s="1230"/>
      <c r="FI1164" s="1183"/>
      <c r="FN1164" s="1142"/>
      <c r="FO1164" s="1142"/>
      <c r="FP1164" s="1142"/>
      <c r="FQ1164" s="1142"/>
      <c r="FR1164" s="1142"/>
      <c r="FS1164" s="1183"/>
    </row>
    <row r="1165" spans="2:175" x14ac:dyDescent="0.2">
      <c r="B1165" s="1137"/>
      <c r="BC1165" s="1230"/>
      <c r="BD1165" s="1230"/>
      <c r="BE1165" s="1230"/>
      <c r="BF1165" s="1230"/>
      <c r="BG1165" s="1230"/>
      <c r="BH1165" s="1230"/>
      <c r="BI1165" s="1230"/>
      <c r="BJ1165" s="1230"/>
      <c r="FD1165" s="1142"/>
      <c r="FE1165" s="1142"/>
      <c r="FI1165" s="1183"/>
      <c r="FN1165" s="1142"/>
      <c r="FO1165" s="1142"/>
      <c r="FP1165" s="1142"/>
      <c r="FQ1165" s="1142"/>
      <c r="FR1165" s="1142"/>
      <c r="FS1165" s="1183"/>
    </row>
    <row r="1166" spans="2:175" x14ac:dyDescent="0.2">
      <c r="B1166" s="1137"/>
      <c r="BC1166" s="1230"/>
      <c r="BD1166" s="1230"/>
      <c r="BE1166" s="1230"/>
      <c r="BF1166" s="1230"/>
      <c r="BG1166" s="1230"/>
      <c r="BH1166" s="1230"/>
      <c r="BI1166" s="1230"/>
      <c r="BJ1166" s="1230"/>
      <c r="FD1166" s="1142"/>
      <c r="FE1166" s="1142"/>
      <c r="FI1166" s="1183"/>
      <c r="FN1166" s="1142"/>
      <c r="FO1166" s="1142"/>
      <c r="FP1166" s="1142"/>
      <c r="FQ1166" s="1142"/>
      <c r="FR1166" s="1142"/>
    </row>
    <row r="1167" spans="2:175" x14ac:dyDescent="0.2">
      <c r="B1167" s="1137"/>
      <c r="BC1167" s="1230"/>
      <c r="BD1167" s="1230"/>
      <c r="BE1167" s="1230"/>
      <c r="BF1167" s="1230"/>
      <c r="BG1167" s="1230"/>
      <c r="BH1167" s="1230"/>
      <c r="BI1167" s="1230"/>
      <c r="BJ1167" s="1230"/>
      <c r="FD1167" s="1142"/>
      <c r="FE1167" s="1142"/>
      <c r="FF1167" s="1142"/>
      <c r="FG1167" s="1142"/>
      <c r="FH1167" s="1142"/>
      <c r="FI1167" s="1183"/>
      <c r="FN1167" s="1142"/>
      <c r="FO1167" s="1142"/>
      <c r="FP1167" s="1142"/>
      <c r="FQ1167" s="1142"/>
      <c r="FR1167" s="1142"/>
    </row>
    <row r="1168" spans="2:175" x14ac:dyDescent="0.2">
      <c r="B1168" s="1137"/>
      <c r="BC1168" s="1230"/>
      <c r="BE1168" s="1230"/>
      <c r="BF1168" s="1230"/>
      <c r="FD1168" s="1142"/>
      <c r="FE1168" s="1142"/>
      <c r="FF1168" s="1142"/>
      <c r="FG1168" s="1142"/>
      <c r="FH1168" s="1142"/>
      <c r="FI1168" s="1183"/>
      <c r="FP1168" s="1142"/>
      <c r="FQ1168" s="1142"/>
      <c r="FR1168" s="1142"/>
    </row>
    <row r="1169" spans="2:175" x14ac:dyDescent="0.2">
      <c r="B1169" s="1137"/>
      <c r="CB1169" s="1230"/>
      <c r="CC1169" s="1230"/>
      <c r="CD1169" s="1259"/>
      <c r="CE1169" s="1259"/>
      <c r="CF1169" s="1259"/>
      <c r="CG1169" s="1259"/>
      <c r="FD1169" s="1142"/>
      <c r="FE1169" s="1142"/>
      <c r="FF1169" s="1142"/>
      <c r="FG1169" s="1142"/>
      <c r="FH1169" s="1142"/>
      <c r="FP1169" s="1142"/>
      <c r="FQ1169" s="1142"/>
      <c r="FR1169" s="1142"/>
    </row>
    <row r="1170" spans="2:175" x14ac:dyDescent="0.2">
      <c r="B1170" s="1137"/>
      <c r="CB1170" s="1230"/>
      <c r="CC1170" s="1230"/>
      <c r="CD1170" s="1259"/>
      <c r="CE1170" s="1259"/>
      <c r="CF1170" s="1259"/>
      <c r="CG1170" s="1259"/>
      <c r="FD1170" s="1142"/>
      <c r="FE1170" s="1142"/>
      <c r="FF1170" s="1142"/>
      <c r="FG1170" s="1142"/>
      <c r="FH1170" s="1142"/>
    </row>
    <row r="1171" spans="2:175" x14ac:dyDescent="0.2">
      <c r="B1171" s="1137"/>
      <c r="CB1171" s="1230"/>
      <c r="CC1171" s="1230"/>
      <c r="CD1171" s="1259"/>
      <c r="CE1171" s="1259"/>
      <c r="CF1171" s="1259"/>
      <c r="CG1171" s="1259"/>
      <c r="FF1171" s="1142"/>
      <c r="FG1171" s="1142"/>
      <c r="FH1171" s="1142"/>
    </row>
    <row r="1172" spans="2:175" x14ac:dyDescent="0.2">
      <c r="B1172" s="1137"/>
      <c r="CB1172" s="1230"/>
      <c r="CC1172" s="1230"/>
      <c r="CD1172" s="1259"/>
      <c r="CE1172" s="1259"/>
      <c r="CF1172" s="1259"/>
      <c r="CG1172" s="1259"/>
      <c r="FF1172" s="1142"/>
      <c r="FG1172" s="1142"/>
      <c r="FH1172" s="1142"/>
    </row>
    <row r="1173" spans="2:175" x14ac:dyDescent="0.2">
      <c r="B1173" s="1137"/>
      <c r="CB1173" s="1230"/>
      <c r="CC1173" s="1230"/>
      <c r="CD1173" s="1259"/>
      <c r="CE1173" s="1259"/>
      <c r="CF1173" s="1259"/>
      <c r="CG1173" s="1259"/>
      <c r="FS1173" s="1259"/>
    </row>
    <row r="1174" spans="2:175" x14ac:dyDescent="0.2">
      <c r="B1174" s="1137"/>
      <c r="CB1174" s="1230"/>
      <c r="CC1174" s="1230"/>
      <c r="CD1174" s="1259"/>
      <c r="CE1174" s="1259"/>
      <c r="CF1174" s="1259"/>
      <c r="CG1174" s="1259"/>
      <c r="FS1174" s="1259"/>
    </row>
    <row r="1175" spans="2:175" x14ac:dyDescent="0.2">
      <c r="B1175" s="1137"/>
      <c r="FN1175" s="1230"/>
      <c r="FO1175" s="1230"/>
      <c r="FS1175" s="1259"/>
    </row>
    <row r="1176" spans="2:175" x14ac:dyDescent="0.2">
      <c r="B1176" s="1137"/>
      <c r="FI1176" s="1259"/>
      <c r="FN1176" s="1230"/>
      <c r="FO1176" s="1230"/>
      <c r="FS1176" s="1259"/>
    </row>
    <row r="1177" spans="2:175" x14ac:dyDescent="0.2">
      <c r="B1177" s="1137"/>
      <c r="FI1177" s="1259"/>
      <c r="FN1177" s="1230"/>
      <c r="FO1177" s="1230"/>
      <c r="FP1177" s="1230"/>
      <c r="FQ1177" s="1230"/>
      <c r="FR1177" s="1230"/>
      <c r="FS1177" s="1259"/>
    </row>
    <row r="1178" spans="2:175" x14ac:dyDescent="0.2">
      <c r="B1178" s="1137"/>
      <c r="FD1178" s="1230"/>
      <c r="FE1178" s="1230"/>
      <c r="FI1178" s="1259"/>
      <c r="FN1178" s="1230"/>
      <c r="FO1178" s="1230"/>
      <c r="FP1178" s="1230"/>
      <c r="FQ1178" s="1230"/>
      <c r="FR1178" s="1230"/>
      <c r="FS1178" s="1259"/>
    </row>
    <row r="1179" spans="2:175" x14ac:dyDescent="0.2">
      <c r="B1179" s="1137"/>
      <c r="FD1179" s="1230"/>
      <c r="FE1179" s="1230"/>
      <c r="FI1179" s="1259"/>
      <c r="FN1179" s="1230"/>
      <c r="FO1179" s="1230"/>
      <c r="FP1179" s="1230"/>
      <c r="FQ1179" s="1230"/>
      <c r="FR1179" s="1230"/>
    </row>
    <row r="1180" spans="2:175" x14ac:dyDescent="0.2">
      <c r="B1180" s="1137"/>
      <c r="FD1180" s="1230"/>
      <c r="FE1180" s="1230"/>
      <c r="FF1180" s="1230"/>
      <c r="FG1180" s="1230"/>
      <c r="FH1180" s="1230"/>
      <c r="FI1180" s="1259"/>
      <c r="FN1180" s="1230"/>
      <c r="FO1180" s="1230"/>
      <c r="FP1180" s="1230"/>
      <c r="FQ1180" s="1230"/>
      <c r="FR1180" s="1230"/>
    </row>
    <row r="1181" spans="2:175" x14ac:dyDescent="0.2">
      <c r="B1181" s="1137"/>
      <c r="FD1181" s="1230"/>
      <c r="FE1181" s="1230"/>
      <c r="FF1181" s="1230"/>
      <c r="FG1181" s="1230"/>
      <c r="FH1181" s="1230"/>
      <c r="FI1181" s="1259"/>
      <c r="FP1181" s="1230"/>
      <c r="FQ1181" s="1230"/>
      <c r="FR1181" s="1230"/>
    </row>
    <row r="1182" spans="2:175" x14ac:dyDescent="0.2">
      <c r="B1182" s="1137"/>
      <c r="FD1182" s="1230"/>
      <c r="FE1182" s="1230"/>
      <c r="FF1182" s="1230"/>
      <c r="FG1182" s="1230"/>
      <c r="FH1182" s="1230"/>
      <c r="FP1182" s="1230"/>
      <c r="FQ1182" s="1230"/>
      <c r="FR1182" s="1230"/>
    </row>
    <row r="1183" spans="2:175" x14ac:dyDescent="0.2">
      <c r="B1183" s="1137"/>
      <c r="FD1183" s="1230"/>
      <c r="FE1183" s="1230"/>
      <c r="FF1183" s="1230"/>
      <c r="FG1183" s="1230"/>
      <c r="FH1183" s="1230"/>
    </row>
    <row r="1184" spans="2:175" x14ac:dyDescent="0.2">
      <c r="B1184" s="1137"/>
      <c r="FF1184" s="1230"/>
      <c r="FG1184" s="1230"/>
      <c r="FH1184" s="1230"/>
    </row>
    <row r="1185" spans="2:164" x14ac:dyDescent="0.2">
      <c r="B1185" s="1137"/>
      <c r="FF1185" s="1230"/>
      <c r="FG1185" s="1230"/>
      <c r="FH1185" s="1230"/>
    </row>
    <row r="1186" spans="2:164" x14ac:dyDescent="0.2">
      <c r="B1186" s="1137"/>
    </row>
    <row r="1187" spans="2:164" x14ac:dyDescent="0.2">
      <c r="B1187" s="1137"/>
    </row>
    <row r="1188" spans="2:164" x14ac:dyDescent="0.2">
      <c r="B1188" s="1137"/>
    </row>
    <row r="1189" spans="2:164" x14ac:dyDescent="0.2">
      <c r="B1189" s="1137"/>
    </row>
    <row r="1190" spans="2:164" x14ac:dyDescent="0.2">
      <c r="B1190" s="1137"/>
    </row>
    <row r="1191" spans="2:164" x14ac:dyDescent="0.2">
      <c r="B1191" s="1137"/>
    </row>
    <row r="1192" spans="2:164" x14ac:dyDescent="0.2">
      <c r="B1192" s="1137"/>
    </row>
    <row r="1193" spans="2:164" x14ac:dyDescent="0.2">
      <c r="B1193" s="1137"/>
    </row>
    <row r="1194" spans="2:164" x14ac:dyDescent="0.2">
      <c r="B1194" s="1137"/>
    </row>
    <row r="1195" spans="2:164" x14ac:dyDescent="0.2">
      <c r="B1195" s="1137"/>
    </row>
    <row r="1196" spans="2:164" x14ac:dyDescent="0.2">
      <c r="B1196" s="1137"/>
    </row>
    <row r="1197" spans="2:164" x14ac:dyDescent="0.2">
      <c r="B1197" s="1137"/>
    </row>
    <row r="1198" spans="2:164" x14ac:dyDescent="0.2">
      <c r="B1198" s="1137"/>
    </row>
    <row r="1199" spans="2:164" x14ac:dyDescent="0.2">
      <c r="B1199" s="1137"/>
    </row>
    <row r="1200" spans="2:164" x14ac:dyDescent="0.2">
      <c r="B1200" s="1137"/>
    </row>
    <row r="1201" spans="2:123" x14ac:dyDescent="0.2">
      <c r="B1201" s="1137"/>
    </row>
    <row r="1202" spans="2:123" x14ac:dyDescent="0.2">
      <c r="B1202" s="1137"/>
    </row>
    <row r="1203" spans="2:123" x14ac:dyDescent="0.2">
      <c r="B1203" s="1137"/>
    </row>
    <row r="1204" spans="2:123" x14ac:dyDescent="0.2">
      <c r="B1204" s="1137"/>
    </row>
    <row r="1205" spans="2:123" x14ac:dyDescent="0.2">
      <c r="B1205" s="1137"/>
    </row>
    <row r="1206" spans="2:123" x14ac:dyDescent="0.2">
      <c r="B1206" s="1137"/>
    </row>
    <row r="1207" spans="2:123" x14ac:dyDescent="0.2">
      <c r="B1207" s="1137"/>
    </row>
    <row r="1208" spans="2:123" x14ac:dyDescent="0.2">
      <c r="B1208" s="1137"/>
    </row>
    <row r="1209" spans="2:123" x14ac:dyDescent="0.2">
      <c r="B1209" s="1137"/>
    </row>
    <row r="1210" spans="2:123" x14ac:dyDescent="0.2">
      <c r="B1210" s="1137"/>
    </row>
    <row r="1211" spans="2:123" x14ac:dyDescent="0.2">
      <c r="B1211" s="1137"/>
    </row>
    <row r="1212" spans="2:123" x14ac:dyDescent="0.2">
      <c r="B1212" s="1137"/>
    </row>
    <row r="1213" spans="2:123" x14ac:dyDescent="0.2">
      <c r="B1213" s="1137"/>
      <c r="C1213" s="1154"/>
    </row>
    <row r="1214" spans="2:123" x14ac:dyDescent="0.2">
      <c r="B1214" s="1137"/>
    </row>
    <row r="1215" spans="2:123" x14ac:dyDescent="0.2">
      <c r="B1215" s="1137"/>
      <c r="DS1215" s="1183"/>
    </row>
    <row r="1216" spans="2:123" x14ac:dyDescent="0.2">
      <c r="B1216" s="1137"/>
      <c r="DS1216" s="1183"/>
    </row>
    <row r="1217" spans="1:123" x14ac:dyDescent="0.2">
      <c r="B1217" s="1137"/>
      <c r="DS1217" s="1183"/>
    </row>
    <row r="1218" spans="1:123" x14ac:dyDescent="0.2">
      <c r="B1218" s="1137"/>
      <c r="DS1218" s="1183"/>
    </row>
    <row r="1219" spans="1:123" x14ac:dyDescent="0.2">
      <c r="B1219" s="1137"/>
      <c r="DS1219" s="1183"/>
    </row>
    <row r="1220" spans="1:123" x14ac:dyDescent="0.2">
      <c r="B1220" s="1137"/>
      <c r="DS1220" s="1183"/>
    </row>
    <row r="1221" spans="1:123" x14ac:dyDescent="0.2">
      <c r="B1221" s="1137"/>
    </row>
    <row r="1222" spans="1:123" x14ac:dyDescent="0.2">
      <c r="B1222" s="1137"/>
    </row>
    <row r="1223" spans="1:123" x14ac:dyDescent="0.2">
      <c r="B1223" s="1137"/>
    </row>
    <row r="1224" spans="1:123" x14ac:dyDescent="0.2">
      <c r="B1224" s="1137"/>
    </row>
    <row r="1225" spans="1:123" x14ac:dyDescent="0.2">
      <c r="B1225" s="1137"/>
    </row>
    <row r="1226" spans="1:123" x14ac:dyDescent="0.2">
      <c r="B1226" s="1137"/>
    </row>
    <row r="1227" spans="1:123" x14ac:dyDescent="0.2">
      <c r="B1227" s="1137"/>
    </row>
    <row r="1228" spans="1:123" x14ac:dyDescent="0.2">
      <c r="B1228" s="1137"/>
      <c r="DS1228" s="1259"/>
    </row>
    <row r="1229" spans="1:123" x14ac:dyDescent="0.2">
      <c r="B1229" s="1137"/>
      <c r="DS1229" s="1259"/>
    </row>
    <row r="1230" spans="1:123" x14ac:dyDescent="0.2">
      <c r="A1230" s="1136"/>
      <c r="DS1230" s="1259"/>
    </row>
    <row r="1231" spans="1:123" x14ac:dyDescent="0.2">
      <c r="A1231" s="1136"/>
      <c r="B1231" s="1137"/>
      <c r="DN1231" s="1142"/>
      <c r="DS1231" s="1259"/>
    </row>
    <row r="1232" spans="1:123" x14ac:dyDescent="0.2">
      <c r="A1232" s="1136"/>
      <c r="B1232" s="1137"/>
      <c r="DN1232" s="1142"/>
      <c r="DS1232" s="1259"/>
    </row>
    <row r="1233" spans="1:123" x14ac:dyDescent="0.2">
      <c r="A1233" s="1136"/>
      <c r="B1233" s="1137"/>
      <c r="DN1233" s="1142"/>
      <c r="DS1233" s="1259"/>
    </row>
    <row r="1234" spans="1:123" x14ac:dyDescent="0.2">
      <c r="A1234" s="1136"/>
      <c r="B1234" s="1137"/>
      <c r="DN1234" s="1142"/>
      <c r="DO1234" s="1142"/>
    </row>
    <row r="1235" spans="1:123" x14ac:dyDescent="0.2">
      <c r="A1235" s="1136"/>
      <c r="B1235" s="1137"/>
      <c r="DN1235" s="1142"/>
      <c r="DO1235" s="1142"/>
    </row>
    <row r="1236" spans="1:123" x14ac:dyDescent="0.2">
      <c r="A1236" s="1136"/>
      <c r="B1236" s="1137"/>
      <c r="DN1236" s="1142"/>
      <c r="DO1236" s="1142"/>
    </row>
    <row r="1237" spans="1:123" x14ac:dyDescent="0.2">
      <c r="A1237" s="1136"/>
      <c r="B1237" s="1137"/>
      <c r="DO1237" s="1142"/>
    </row>
    <row r="1238" spans="1:123" x14ac:dyDescent="0.2">
      <c r="A1238" s="1136"/>
      <c r="B1238" s="1137"/>
      <c r="DO1238" s="1142"/>
    </row>
    <row r="1239" spans="1:123" x14ac:dyDescent="0.2">
      <c r="A1239" s="1136"/>
      <c r="B1239" s="1137"/>
      <c r="DO1239" s="1142"/>
    </row>
    <row r="1240" spans="1:123" x14ac:dyDescent="0.2">
      <c r="A1240" s="1136"/>
      <c r="B1240" s="1137"/>
    </row>
    <row r="1241" spans="1:123" x14ac:dyDescent="0.2">
      <c r="A1241" s="1136"/>
      <c r="B1241" s="1137"/>
    </row>
    <row r="1242" spans="1:123" x14ac:dyDescent="0.2">
      <c r="A1242" s="1136"/>
      <c r="B1242" s="1137"/>
    </row>
    <row r="1243" spans="1:123" x14ac:dyDescent="0.2">
      <c r="A1243" s="1136"/>
      <c r="B1243" s="1137"/>
    </row>
    <row r="1244" spans="1:123" x14ac:dyDescent="0.2">
      <c r="A1244" s="1136"/>
      <c r="B1244" s="1137"/>
      <c r="DN1244" s="1230"/>
    </row>
    <row r="1245" spans="1:123" x14ac:dyDescent="0.2">
      <c r="A1245" s="1136"/>
      <c r="B1245" s="1137"/>
      <c r="DN1245" s="1230"/>
    </row>
    <row r="1246" spans="1:123" x14ac:dyDescent="0.2">
      <c r="A1246" s="1136"/>
      <c r="B1246" s="1137"/>
      <c r="DN1246" s="1230"/>
    </row>
    <row r="1247" spans="1:123" x14ac:dyDescent="0.2">
      <c r="A1247" s="1136"/>
      <c r="B1247" s="1137"/>
      <c r="DN1247" s="1230"/>
      <c r="DO1247" s="1230"/>
    </row>
    <row r="1248" spans="1:123" x14ac:dyDescent="0.2">
      <c r="A1248" s="1136"/>
      <c r="B1248" s="1137"/>
      <c r="DN1248" s="1230"/>
      <c r="DO1248" s="1230"/>
    </row>
    <row r="1249" spans="1:119" x14ac:dyDescent="0.2">
      <c r="A1249" s="1136"/>
      <c r="B1249" s="1137"/>
      <c r="DN1249" s="1230"/>
      <c r="DO1249" s="1230"/>
    </row>
    <row r="1250" spans="1:119" x14ac:dyDescent="0.2">
      <c r="A1250" s="1136"/>
      <c r="B1250" s="1137"/>
      <c r="DO1250" s="1230"/>
    </row>
    <row r="1251" spans="1:119" x14ac:dyDescent="0.2">
      <c r="A1251" s="1136"/>
      <c r="B1251" s="1137"/>
      <c r="DO1251" s="1230"/>
    </row>
    <row r="1252" spans="1:119" x14ac:dyDescent="0.2">
      <c r="A1252" s="1136"/>
      <c r="B1252" s="1137"/>
      <c r="DO1252" s="1230"/>
    </row>
    <row r="1253" spans="1:119" x14ac:dyDescent="0.2">
      <c r="A1253" s="1136"/>
      <c r="B1253" s="1137"/>
    </row>
    <row r="1254" spans="1:119" x14ac:dyDescent="0.2">
      <c r="A1254" s="1136"/>
      <c r="B1254" s="1137"/>
    </row>
    <row r="1255" spans="1:119" x14ac:dyDescent="0.2">
      <c r="A1255" s="1136"/>
      <c r="B1255" s="1137"/>
    </row>
    <row r="1256" spans="1:119" x14ac:dyDescent="0.2">
      <c r="A1256" s="1136"/>
      <c r="B1256" s="1137"/>
    </row>
    <row r="1257" spans="1:119" x14ac:dyDescent="0.2">
      <c r="A1257" s="1136"/>
      <c r="B1257" s="1137"/>
    </row>
    <row r="1258" spans="1:119" x14ac:dyDescent="0.2">
      <c r="A1258" s="1136"/>
      <c r="B1258" s="1137"/>
    </row>
    <row r="1259" spans="1:119" x14ac:dyDescent="0.2">
      <c r="A1259" s="1136"/>
      <c r="B1259" s="1137"/>
    </row>
    <row r="1260" spans="1:119" x14ac:dyDescent="0.2">
      <c r="A1260" s="1136"/>
      <c r="B1260" s="1137"/>
    </row>
    <row r="1261" spans="1:119" x14ac:dyDescent="0.2">
      <c r="B1261" s="1137"/>
    </row>
    <row r="1262" spans="1:119" x14ac:dyDescent="0.2">
      <c r="B1262" s="1137"/>
    </row>
    <row r="1263" spans="1:119" x14ac:dyDescent="0.2">
      <c r="B1263" s="1137"/>
    </row>
    <row r="1264" spans="1:119" x14ac:dyDescent="0.2">
      <c r="B1264" s="1137"/>
    </row>
    <row r="1265" spans="1:122" x14ac:dyDescent="0.2">
      <c r="A1265" s="1136"/>
      <c r="B1265" s="1137"/>
    </row>
    <row r="1266" spans="1:122" x14ac:dyDescent="0.2">
      <c r="A1266" s="1136"/>
      <c r="B1266" s="1137"/>
    </row>
    <row r="1267" spans="1:122" x14ac:dyDescent="0.2">
      <c r="A1267" s="1136"/>
      <c r="B1267" s="1137"/>
    </row>
    <row r="1268" spans="1:122" x14ac:dyDescent="0.2">
      <c r="A1268" s="1136"/>
      <c r="B1268" s="1137"/>
      <c r="DP1268" s="1142"/>
      <c r="DQ1268" s="1142"/>
    </row>
    <row r="1269" spans="1:122" x14ac:dyDescent="0.2">
      <c r="A1269" s="1136"/>
      <c r="B1269" s="1137"/>
      <c r="DP1269" s="1142"/>
      <c r="DQ1269" s="1142"/>
      <c r="DR1269" s="1142"/>
    </row>
    <row r="1270" spans="1:122" x14ac:dyDescent="0.2">
      <c r="A1270" s="1136"/>
      <c r="B1270" s="1137"/>
      <c r="DP1270" s="1142"/>
      <c r="DQ1270" s="1142"/>
      <c r="DR1270" s="1142"/>
    </row>
    <row r="1271" spans="1:122" x14ac:dyDescent="0.2">
      <c r="A1271" s="1136"/>
      <c r="B1271" s="1137"/>
      <c r="DP1271" s="1142"/>
      <c r="DQ1271" s="1142"/>
      <c r="DR1271" s="1142"/>
    </row>
    <row r="1272" spans="1:122" x14ac:dyDescent="0.2">
      <c r="A1272" s="1136"/>
      <c r="B1272" s="1137"/>
      <c r="DP1272" s="1142"/>
      <c r="DQ1272" s="1142"/>
      <c r="DR1272" s="1142"/>
    </row>
    <row r="1273" spans="1:122" x14ac:dyDescent="0.2">
      <c r="A1273" s="1136"/>
      <c r="B1273" s="1137"/>
      <c r="DP1273" s="1142"/>
      <c r="DQ1273" s="1142"/>
      <c r="DR1273" s="1142"/>
    </row>
    <row r="1274" spans="1:122" x14ac:dyDescent="0.2">
      <c r="A1274" s="1136"/>
      <c r="B1274" s="1137"/>
      <c r="DR1274" s="1142"/>
    </row>
    <row r="1275" spans="1:122" x14ac:dyDescent="0.2">
      <c r="A1275" s="1136"/>
      <c r="B1275" s="1137"/>
    </row>
    <row r="1276" spans="1:122" x14ac:dyDescent="0.2">
      <c r="A1276" s="1136"/>
      <c r="B1276" s="1137"/>
    </row>
    <row r="1277" spans="1:122" x14ac:dyDescent="0.2">
      <c r="A1277" s="1136"/>
      <c r="B1277" s="1137"/>
    </row>
    <row r="1278" spans="1:122" x14ac:dyDescent="0.2">
      <c r="A1278" s="1136"/>
      <c r="B1278" s="1137"/>
    </row>
    <row r="1279" spans="1:122" x14ac:dyDescent="0.2">
      <c r="A1279" s="1136"/>
      <c r="B1279" s="1137"/>
    </row>
    <row r="1280" spans="1:122" x14ac:dyDescent="0.2">
      <c r="A1280" s="1136"/>
      <c r="B1280" s="1137"/>
    </row>
    <row r="1281" spans="1:122" x14ac:dyDescent="0.2">
      <c r="A1281" s="1136"/>
      <c r="B1281" s="1137"/>
      <c r="DP1281" s="1230"/>
      <c r="DQ1281" s="1230"/>
    </row>
    <row r="1282" spans="1:122" x14ac:dyDescent="0.2">
      <c r="DP1282" s="1230"/>
      <c r="DQ1282" s="1230"/>
      <c r="DR1282" s="1230"/>
    </row>
    <row r="1283" spans="1:122" x14ac:dyDescent="0.2">
      <c r="DP1283" s="1230"/>
      <c r="DQ1283" s="1230"/>
      <c r="DR1283" s="1230"/>
    </row>
    <row r="1284" spans="1:122" x14ac:dyDescent="0.2">
      <c r="DP1284" s="1230"/>
      <c r="DQ1284" s="1230"/>
      <c r="DR1284" s="1230"/>
    </row>
    <row r="1285" spans="1:122" x14ac:dyDescent="0.2">
      <c r="DP1285" s="1230"/>
      <c r="DQ1285" s="1230"/>
      <c r="DR1285" s="1230"/>
    </row>
    <row r="1286" spans="1:122" x14ac:dyDescent="0.2">
      <c r="DP1286" s="1230"/>
      <c r="DQ1286" s="1230"/>
      <c r="DR1286" s="1230"/>
    </row>
    <row r="1287" spans="1:122" x14ac:dyDescent="0.2">
      <c r="DR1287" s="1230"/>
    </row>
    <row r="1414" spans="1:1" x14ac:dyDescent="0.2">
      <c r="A1414" s="1140"/>
    </row>
    <row r="1445" spans="1:1" x14ac:dyDescent="0.2">
      <c r="A1445" s="1138"/>
    </row>
    <row r="1446" spans="1:1" x14ac:dyDescent="0.2">
      <c r="A1446" s="1138"/>
    </row>
    <row r="1447" spans="1:1" x14ac:dyDescent="0.2">
      <c r="A1447" s="1138"/>
    </row>
  </sheetData>
  <mergeCells count="28">
    <mergeCell ref="IH42:IJ42"/>
    <mergeCell ref="AG64:AH64"/>
    <mergeCell ref="AG68:AH68"/>
    <mergeCell ref="HO42:HT42"/>
    <mergeCell ref="HU42:HW42"/>
    <mergeCell ref="IB42:IG42"/>
    <mergeCell ref="AG39:AH39"/>
    <mergeCell ref="AG24:AH24"/>
    <mergeCell ref="AG32:AH32"/>
    <mergeCell ref="AG33:AH33"/>
    <mergeCell ref="AG34:AH34"/>
    <mergeCell ref="AG35:AH35"/>
    <mergeCell ref="F27:G27"/>
    <mergeCell ref="F31:G31"/>
    <mergeCell ref="AG36:AH36"/>
    <mergeCell ref="AG37:AH37"/>
    <mergeCell ref="AG38:AH38"/>
    <mergeCell ref="AG10:AH10"/>
    <mergeCell ref="AG9:AH9"/>
    <mergeCell ref="AG11:AH11"/>
    <mergeCell ref="B5:C5"/>
    <mergeCell ref="AG8:AH8"/>
    <mergeCell ref="DI7:DJ7"/>
    <mergeCell ref="AG3:AH3"/>
    <mergeCell ref="AG4:AH4"/>
    <mergeCell ref="AG7:AH7"/>
    <mergeCell ref="AG6:AH6"/>
    <mergeCell ref="AG5:AH5"/>
  </mergeCells>
  <phoneticPr fontId="0" type="noConversion"/>
  <conditionalFormatting sqref="I1013:K1018 BN1102:BT1107 BZ1137:BZ1142 DP1281:DP1286 EW1045:EW1050 EU1043:EU1048 FF1180:FF1185 FP1177:FQ1182 FN1175:FN1180 FX1132:FY1137 CB1169:CB1174 EG1038:EI1043 EN1056:EP1061 FD1178:FD1183 EB1073:EB1078 DV1073:DZ1078 GC992:GC997 BG1162:BI1167 BE1163:BE1168 CJ1135:CJ1140 CL1134:CM1139 CU1138:CU1143 DB1048:DB1053 CZ1049:CZ1054 DG1145:DJ1150 GG992:GT997 GV992:GW997 GY983:HA988 HC992:HI997 HM992:HV997 IA992:IJ997 IM992:IZ997">
    <cfRule type="expression" dxfId="145" priority="26" stopIfTrue="1">
      <formula>IF(J983&gt;0,TRUE,FALSE)</formula>
    </cfRule>
  </conditionalFormatting>
  <conditionalFormatting sqref="C995:C1000">
    <cfRule type="expression" dxfId="144" priority="131" stopIfTrue="1">
      <formula>IF(#REF!&gt;0,TRUE,FALSE)</formula>
    </cfRule>
  </conditionalFormatting>
  <conditionalFormatting sqref="F923:F928">
    <cfRule type="expression" dxfId="143" priority="143" stopIfTrue="1">
      <formula>IF(H968&gt;0,TRUE,FALSE)</formula>
    </cfRule>
  </conditionalFormatting>
  <conditionalFormatting sqref="D992:D997">
    <cfRule type="expression" dxfId="142" priority="145" stopIfTrue="1">
      <formula>IF(E976&gt;0,TRUE,FALSE)</formula>
    </cfRule>
  </conditionalFormatting>
  <conditionalFormatting sqref="E976:E981">
    <cfRule type="expression" dxfId="141" priority="146" stopIfTrue="1">
      <formula>IF(F923&gt;0,TRUE,FALSE)</formula>
    </cfRule>
  </conditionalFormatting>
  <conditionalFormatting sqref="DQ1281:DQ1286 FW1131:FW1136 BD1162:BD1167">
    <cfRule type="expression" dxfId="140" priority="148" stopIfTrue="1">
      <formula>IF(BE1132&gt;0,TRUE,FALSE)</formula>
    </cfRule>
  </conditionalFormatting>
  <conditionalFormatting sqref="BM1090:BM1095">
    <cfRule type="expression" dxfId="139" priority="150" stopIfTrue="1">
      <formula>IF(BO1102&gt;0,TRUE,FALSE)</formula>
    </cfRule>
  </conditionalFormatting>
  <conditionalFormatting sqref="BJ1162:BJ1167">
    <cfRule type="expression" dxfId="138" priority="155" stopIfTrue="1">
      <formula>IF(BK1024&gt;0,TRUE,FALSE)</formula>
    </cfRule>
  </conditionalFormatting>
  <conditionalFormatting sqref="BB1108:BB1113">
    <cfRule type="expression" dxfId="137" priority="156" stopIfTrue="1">
      <formula>IF(BC1163&gt;0,TRUE,FALSE)</formula>
    </cfRule>
  </conditionalFormatting>
  <conditionalFormatting sqref="BU1102:BU1107">
    <cfRule type="expression" dxfId="136" priority="158" stopIfTrue="1">
      <formula>IF(BX1155&gt;0,TRUE,FALSE)</formula>
    </cfRule>
  </conditionalFormatting>
  <conditionalFormatting sqref="BY1145:BY1150">
    <cfRule type="expression" dxfId="135" priority="160" stopIfTrue="1">
      <formula>IF(BZ1137&gt;0,TRUE,FALSE)</formula>
    </cfRule>
  </conditionalFormatting>
  <conditionalFormatting sqref="BX1155:BX1160">
    <cfRule type="expression" dxfId="134" priority="161" stopIfTrue="1">
      <formula>IF(BY1145&gt;0,TRUE,FALSE)</formula>
    </cfRule>
  </conditionalFormatting>
  <conditionalFormatting sqref="CA1137:CA1142">
    <cfRule type="expression" dxfId="133" priority="162" stopIfTrue="1">
      <formula>IF(CB1169&gt;0,TRUE,FALSE)</formula>
    </cfRule>
  </conditionalFormatting>
  <conditionalFormatting sqref="CS1140:CS1145 BF1163:BF1168 BC1163:BC1168 CK1135:CK1140 CT1139:CT1144 DA1049:DA1054 HJ992:HJ997">
    <cfRule type="expression" dxfId="132" priority="164" stopIfTrue="1">
      <formula>IF(BD991&gt;0,TRUE,FALSE)</formula>
    </cfRule>
  </conditionalFormatting>
  <conditionalFormatting sqref="DN1244:DN1249">
    <cfRule type="expression" dxfId="131" priority="168" stopIfTrue="1">
      <formula>IF(DO1247&gt;0,TRUE,FALSE)</formula>
    </cfRule>
  </conditionalFormatting>
  <conditionalFormatting sqref="CN1134:CN1139">
    <cfRule type="expression" dxfId="130" priority="169" stopIfTrue="1">
      <formula>IF(CO1125&gt;0,TRUE,FALSE)</formula>
    </cfRule>
  </conditionalFormatting>
  <conditionalFormatting sqref="EV1043:EV1048 FE1178:FE1183 FO1175:FO1180">
    <cfRule type="expression" dxfId="129" priority="173" stopIfTrue="1">
      <formula>IF(EW1045&gt;0,TRUE,FALSE)</formula>
    </cfRule>
  </conditionalFormatting>
  <conditionalFormatting sqref="DM1023:DM1028">
    <cfRule type="expression" dxfId="128" priority="177" stopIfTrue="1">
      <formula>IF(DO1244&gt;0,TRUE,FALSE)</formula>
    </cfRule>
  </conditionalFormatting>
  <conditionalFormatting sqref="DO1247:DO1252">
    <cfRule type="expression" dxfId="127" priority="180" stopIfTrue="1">
      <formula>IF(DP1281&gt;0,TRUE,FALSE)</formula>
    </cfRule>
  </conditionalFormatting>
  <conditionalFormatting sqref="L1013:L1018">
    <cfRule type="expression" dxfId="126" priority="181" stopIfTrue="1">
      <formula>IF(BB1108&gt;0,TRUE,FALSE)</formula>
    </cfRule>
  </conditionalFormatting>
  <conditionalFormatting sqref="EX1045:EX1050">
    <cfRule type="expression" dxfId="125" priority="194" stopIfTrue="1">
      <formula>IF(FC1021&gt;0,TRUE,FALSE)</formula>
    </cfRule>
  </conditionalFormatting>
  <conditionalFormatting sqref="ET903:ET908">
    <cfRule type="expression" dxfId="124" priority="198" stopIfTrue="1">
      <formula>IF(EU1043&gt;0,TRUE,FALSE)</formula>
    </cfRule>
  </conditionalFormatting>
  <conditionalFormatting sqref="FM1018:FM1023">
    <cfRule type="expression" dxfId="123" priority="205" stopIfTrue="1">
      <formula>IF(FN1175&gt;0,TRUE,FALSE)</formula>
    </cfRule>
  </conditionalFormatting>
  <conditionalFormatting sqref="FZ1132:FZ1137">
    <cfRule type="expression" dxfId="122" priority="206" stopIfTrue="1">
      <formula>IF(GA1112&gt;0,TRUE,FALSE)</formula>
    </cfRule>
  </conditionalFormatting>
  <conditionalFormatting sqref="BA995:BA1000">
    <cfRule type="expression" dxfId="121" priority="208" stopIfTrue="1">
      <formula>IF(BE1142&gt;0,TRUE,FALSE)</formula>
    </cfRule>
  </conditionalFormatting>
  <conditionalFormatting sqref="AY995:AY1000">
    <cfRule type="expression" dxfId="120" priority="209" stopIfTrue="1">
      <formula>IF(BE1141&gt;0,TRUE,FALSE)</formula>
    </cfRule>
  </conditionalFormatting>
  <conditionalFormatting sqref="AM996:AM1001">
    <cfRule type="expression" dxfId="119" priority="210" stopIfTrue="1">
      <formula>IF(BD1141&gt;0,TRUE,FALSE)</formula>
    </cfRule>
  </conditionalFormatting>
  <conditionalFormatting sqref="AL1002:AL1007">
    <cfRule type="expression" dxfId="118" priority="211" stopIfTrue="1">
      <formula>IF(BD1141&gt;0,TRUE,FALSE)</formula>
    </cfRule>
  </conditionalFormatting>
  <conditionalFormatting sqref="AK1002:AK1007">
    <cfRule type="expression" dxfId="117" priority="212" stopIfTrue="1">
      <formula>IF(BD1141&gt;0,TRUE,FALSE)</formula>
    </cfRule>
  </conditionalFormatting>
  <conditionalFormatting sqref="AJ1002:AJ1007">
    <cfRule type="expression" dxfId="116" priority="213" stopIfTrue="1">
      <formula>IF(BD1141&gt;0,TRUE,FALSE)</formula>
    </cfRule>
  </conditionalFormatting>
  <conditionalFormatting sqref="AH1004:AH1009">
    <cfRule type="expression" dxfId="115" priority="214" stopIfTrue="1">
      <formula>IF(BD1141&gt;0,TRUE,FALSE)</formula>
    </cfRule>
  </conditionalFormatting>
  <conditionalFormatting sqref="AG1004:AG1009">
    <cfRule type="expression" dxfId="114" priority="215" stopIfTrue="1">
      <formula>IF(BD1141&gt;0,TRUE,FALSE)</formula>
    </cfRule>
  </conditionalFormatting>
  <conditionalFormatting sqref="AF1004:AF1009">
    <cfRule type="expression" dxfId="113" priority="216" stopIfTrue="1">
      <formula>IF(BD1141&gt;0,TRUE,FALSE)</formula>
    </cfRule>
  </conditionalFormatting>
  <conditionalFormatting sqref="AE1004:AE1009">
    <cfRule type="expression" dxfId="112" priority="217" stopIfTrue="1">
      <formula>IF(BD1141&gt;0,TRUE,FALSE)</formula>
    </cfRule>
  </conditionalFormatting>
  <conditionalFormatting sqref="AD1004:AD1009">
    <cfRule type="expression" dxfId="111" priority="218" stopIfTrue="1">
      <formula>IF(BD1141&gt;0,TRUE,FALSE)</formula>
    </cfRule>
  </conditionalFormatting>
  <conditionalFormatting sqref="AC1004:AC1009">
    <cfRule type="expression" dxfId="110" priority="219" stopIfTrue="1">
      <formula>IF(BD1141&gt;0,TRUE,FALSE)</formula>
    </cfRule>
  </conditionalFormatting>
  <conditionalFormatting sqref="AB1002:AB1007">
    <cfRule type="expression" dxfId="109" priority="220" stopIfTrue="1">
      <formula>IF(BD1141&gt;0,TRUE,FALSE)</formula>
    </cfRule>
  </conditionalFormatting>
  <conditionalFormatting sqref="Z1002:Z1007">
    <cfRule type="expression" dxfId="108" priority="221" stopIfTrue="1">
      <formula>IF(BD1141&gt;0,TRUE,FALSE)</formula>
    </cfRule>
  </conditionalFormatting>
  <conditionalFormatting sqref="Y1002:Y1007">
    <cfRule type="expression" dxfId="107" priority="222" stopIfTrue="1">
      <formula>IF(BD1141&gt;0,TRUE,FALSE)</formula>
    </cfRule>
  </conditionalFormatting>
  <conditionalFormatting sqref="X1002:X1007">
    <cfRule type="expression" dxfId="106" priority="223" stopIfTrue="1">
      <formula>IF(BD1141&gt;0,TRUE,FALSE)</formula>
    </cfRule>
  </conditionalFormatting>
  <conditionalFormatting sqref="W986:W991">
    <cfRule type="expression" dxfId="105" priority="224" stopIfTrue="1">
      <formula>IF(BD1141&gt;0,TRUE,FALSE)</formula>
    </cfRule>
  </conditionalFormatting>
  <conditionalFormatting sqref="V986:V991">
    <cfRule type="expression" dxfId="104" priority="225" stopIfTrue="1">
      <formula>IF(BD1141&gt;0,TRUE,FALSE)</formula>
    </cfRule>
  </conditionalFormatting>
  <conditionalFormatting sqref="U986:U991">
    <cfRule type="expression" dxfId="103" priority="226" stopIfTrue="1">
      <formula>IF(BD1141&gt;0,TRUE,FALSE)</formula>
    </cfRule>
  </conditionalFormatting>
  <conditionalFormatting sqref="T986:T991">
    <cfRule type="expression" dxfId="102" priority="227" stopIfTrue="1">
      <formula>IF(BD1141&gt;0,TRUE,FALSE)</formula>
    </cfRule>
  </conditionalFormatting>
  <conditionalFormatting sqref="S990:S995">
    <cfRule type="expression" dxfId="101" priority="228" stopIfTrue="1">
      <formula>IF(BD1141&gt;0,TRUE,FALSE)</formula>
    </cfRule>
  </conditionalFormatting>
  <conditionalFormatting sqref="R989:R994">
    <cfRule type="expression" dxfId="100" priority="229" stopIfTrue="1">
      <formula>IF(BD1141&gt;0,TRUE,FALSE)</formula>
    </cfRule>
  </conditionalFormatting>
  <conditionalFormatting sqref="Q1034:Q1039">
    <cfRule type="expression" dxfId="99" priority="230" stopIfTrue="1">
      <formula>IF(BD1141&gt;0,TRUE,FALSE)</formula>
    </cfRule>
  </conditionalFormatting>
  <conditionalFormatting sqref="P1034:P1039">
    <cfRule type="expression" dxfId="98" priority="231" stopIfTrue="1">
      <formula>IF(BD1141&gt;0,TRUE,FALSE)</formula>
    </cfRule>
  </conditionalFormatting>
  <conditionalFormatting sqref="O1034:O1039">
    <cfRule type="expression" dxfId="97" priority="232" stopIfTrue="1">
      <formula>IF(BD1141&gt;0,TRUE,FALSE)</formula>
    </cfRule>
  </conditionalFormatting>
  <conditionalFormatting sqref="N1055:N1060">
    <cfRule type="expression" dxfId="96" priority="233" stopIfTrue="1">
      <formula>IF(BD1141&gt;0,TRUE,FALSE)</formula>
    </cfRule>
  </conditionalFormatting>
  <conditionalFormatting sqref="DR1282:DR1287">
    <cfRule type="expression" dxfId="95" priority="234" stopIfTrue="1">
      <formula>IF(DS1228&gt;0,TRUE,FALSE)</formula>
    </cfRule>
  </conditionalFormatting>
  <conditionalFormatting sqref="M1013:M1018">
    <cfRule type="expression" dxfId="94" priority="236" stopIfTrue="1">
      <formula>IF(BC1142&gt;0,TRUE,FALSE)</formula>
    </cfRule>
  </conditionalFormatting>
  <conditionalFormatting sqref="BW1065:BW1070">
    <cfRule type="expression" dxfId="93" priority="240" stopIfTrue="1">
      <formula>IF(BZ1169&gt;0,TRUE,FALSE)</formula>
    </cfRule>
  </conditionalFormatting>
  <conditionalFormatting sqref="CC1169:CC1174">
    <cfRule type="expression" dxfId="92" priority="241" stopIfTrue="1">
      <formula>IF(CI1070&gt;0,TRUE,FALSE)</formula>
    </cfRule>
  </conditionalFormatting>
  <conditionalFormatting sqref="BL998:BL1003">
    <cfRule type="expression" dxfId="91" priority="242" stopIfTrue="1">
      <formula>IF(BO1102&gt;0,TRUE,FALSE)</formula>
    </cfRule>
  </conditionalFormatting>
  <conditionalFormatting sqref="CO1125:CO1130">
    <cfRule type="expression" dxfId="90" priority="243" stopIfTrue="1">
      <formula>IF(CR1071&gt;0,TRUE,FALSE)</formula>
    </cfRule>
  </conditionalFormatting>
  <conditionalFormatting sqref="CI1070:CI1075">
    <cfRule type="expression" dxfId="89" priority="244" stopIfTrue="1">
      <formula>IF(CJ1135&gt;0,TRUE,FALSE)</formula>
    </cfRule>
  </conditionalFormatting>
  <conditionalFormatting sqref="CH1131:CH1136">
    <cfRule type="expression" dxfId="88" priority="245" stopIfTrue="1">
      <formula>IF(CK1132&gt;0,TRUE,FALSE)</formula>
    </cfRule>
  </conditionalFormatting>
  <conditionalFormatting sqref="CV1138:CV1143">
    <cfRule type="expression" dxfId="87" priority="246" stopIfTrue="1">
      <formula>IF(CW1122&gt;0,TRUE,FALSE)</formula>
    </cfRule>
  </conditionalFormatting>
  <conditionalFormatting sqref="CR1071:CR1076">
    <cfRule type="expression" dxfId="86" priority="247" stopIfTrue="1">
      <formula>IF(CS1140&gt;0,TRUE,FALSE)</formula>
    </cfRule>
  </conditionalFormatting>
  <conditionalFormatting sqref="DE993:DE998">
    <cfRule type="expression" dxfId="85" priority="248" stopIfTrue="1">
      <formula>IF(DH1145&gt;0,TRUE,FALSE)</formula>
    </cfRule>
  </conditionalFormatting>
  <conditionalFormatting sqref="CQ1087:CQ1092">
    <cfRule type="expression" dxfId="84" priority="249" stopIfTrue="1">
      <formula>IF(CT1138&gt;0,TRUE,FALSE)</formula>
    </cfRule>
  </conditionalFormatting>
  <conditionalFormatting sqref="CW1122:CW1127">
    <cfRule type="expression" dxfId="83" priority="250" stopIfTrue="1">
      <formula>IF(CY993&gt;0,TRUE,FALSE)</formula>
    </cfRule>
  </conditionalFormatting>
  <conditionalFormatting sqref="CX1048:CX1053">
    <cfRule type="expression" dxfId="82" priority="251" stopIfTrue="1">
      <formula>IF(CZ1049&gt;0,TRUE,FALSE)</formula>
    </cfRule>
  </conditionalFormatting>
  <conditionalFormatting sqref="DC1048:DC1053">
    <cfRule type="expression" dxfId="81" priority="255" stopIfTrue="1">
      <formula>IF(DF1101&gt;0,TRUE,FALSE)</formula>
    </cfRule>
  </conditionalFormatting>
  <conditionalFormatting sqref="CY993:CY998">
    <cfRule type="expression" dxfId="80" priority="256" stopIfTrue="1">
      <formula>IF(CZ1049&gt;0,TRUE,FALSE)</formula>
    </cfRule>
  </conditionalFormatting>
  <conditionalFormatting sqref="DK1145:DK1150">
    <cfRule type="expression" dxfId="79" priority="257" stopIfTrue="1">
      <formula>IF(DL1024&gt;0,TRUE,FALSE)</formula>
    </cfRule>
  </conditionalFormatting>
  <conditionalFormatting sqref="DT1029:DT1034">
    <cfRule type="expression" dxfId="78" priority="258" stopIfTrue="1">
      <formula>IF(DW1073&gt;0,TRUE,FALSE)</formula>
    </cfRule>
  </conditionalFormatting>
  <conditionalFormatting sqref="FG1180:FG1185">
    <cfRule type="expression" dxfId="77" priority="261" stopIfTrue="1">
      <formula>IF(FM1018&gt;0,TRUE,FALSE)</formula>
    </cfRule>
  </conditionalFormatting>
  <conditionalFormatting sqref="EC1073:EC1078">
    <cfRule type="expression" dxfId="76" priority="263" stopIfTrue="1">
      <formula>IF(EF983&gt;0,TRUE,FALSE)</formula>
    </cfRule>
  </conditionalFormatting>
  <conditionalFormatting sqref="EF983:EF988">
    <cfRule type="expression" dxfId="75" priority="264" stopIfTrue="1">
      <formula>IF(EG1038&gt;0,TRUE,FALSE)</formula>
    </cfRule>
  </conditionalFormatting>
  <conditionalFormatting sqref="ED1072:EE1077">
    <cfRule type="expression" dxfId="74" priority="266" stopIfTrue="1">
      <formula>IF(EG1038&gt;0,TRUE,FALSE)</formula>
    </cfRule>
  </conditionalFormatting>
  <conditionalFormatting sqref="EJ1038:EJ1043">
    <cfRule type="expression" dxfId="73" priority="268" stopIfTrue="1">
      <formula>IF(EM877&gt;0,TRUE,FALSE)</formula>
    </cfRule>
  </conditionalFormatting>
  <conditionalFormatting sqref="EM877:EM882">
    <cfRule type="expression" dxfId="72" priority="271" stopIfTrue="1">
      <formula>IF(EN1056&gt;0,TRUE,FALSE)</formula>
    </cfRule>
  </conditionalFormatting>
  <conditionalFormatting sqref="EL983:EL988">
    <cfRule type="expression" dxfId="71" priority="272" stopIfTrue="1">
      <formula>IF(EO1056&gt;0,TRUE,FALSE)</formula>
    </cfRule>
  </conditionalFormatting>
  <conditionalFormatting sqref="EQ1056:EQ1061">
    <cfRule type="expression" dxfId="70" priority="273" stopIfTrue="1">
      <formula>IF(ET903&gt;0,TRUE,FALSE)</formula>
    </cfRule>
  </conditionalFormatting>
  <conditionalFormatting sqref="ES1012:ES1017">
    <cfRule type="expression" dxfId="69" priority="274" stopIfTrue="1">
      <formula>IF(EV1047&gt;0,TRUE,FALSE)</formula>
    </cfRule>
  </conditionalFormatting>
  <conditionalFormatting sqref="EY1046:EY1051">
    <cfRule type="expression" dxfId="68" priority="275" stopIfTrue="1">
      <formula>IF(FD1178&gt;0,TRUE,FALSE)</formula>
    </cfRule>
  </conditionalFormatting>
  <conditionalFormatting sqref="FH1180:FH1185">
    <cfRule type="expression" dxfId="67" priority="277" stopIfTrue="1">
      <formula>IF(FN1175&gt;0,TRUE,FALSE)</formula>
    </cfRule>
  </conditionalFormatting>
  <conditionalFormatting sqref="GA1112:GA1117">
    <cfRule type="expression" dxfId="66" priority="280" stopIfTrue="1">
      <formula>IF(GB1058&gt;0,TRUE,FALSE)</formula>
    </cfRule>
  </conditionalFormatting>
  <conditionalFormatting sqref="AZ989:AZ994">
    <cfRule type="expression" dxfId="65" priority="281" stopIfTrue="1">
      <formula>IF(BD1141&gt;0,TRUE,FALSE)</formula>
    </cfRule>
  </conditionalFormatting>
  <conditionalFormatting sqref="BK1024:BK1029">
    <cfRule type="expression" dxfId="64" priority="284" stopIfTrue="1">
      <formula>IF(BN1102&gt;0,TRUE,FALSE)</formula>
    </cfRule>
  </conditionalFormatting>
  <conditionalFormatting sqref="BV1065:BV1070">
    <cfRule type="expression" dxfId="63" priority="286" stopIfTrue="1">
      <formula>IF(BY1169&gt;0,TRUE,FALSE)</formula>
    </cfRule>
  </conditionalFormatting>
  <conditionalFormatting sqref="DF1101:DF1106">
    <cfRule type="expression" dxfId="62" priority="287" stopIfTrue="1">
      <formula>IF(DG1145&gt;0,TRUE,FALSE)</formula>
    </cfRule>
  </conditionalFormatting>
  <conditionalFormatting sqref="DL1024:DL1029">
    <cfRule type="expression" dxfId="61" priority="290" stopIfTrue="1">
      <formula>IF(DN1244&gt;0,TRUE,FALSE)</formula>
    </cfRule>
  </conditionalFormatting>
  <conditionalFormatting sqref="DS1228:DS1233">
    <cfRule type="expression" dxfId="60" priority="292" stopIfTrue="1">
      <formula>IF(DV1073&gt;0,TRUE,FALSE)</formula>
    </cfRule>
  </conditionalFormatting>
  <conditionalFormatting sqref="EA1073:EA1078">
    <cfRule type="expression" dxfId="59" priority="294" stopIfTrue="1">
      <formula>IF(EB1073&gt;0,TRUE,FALSE)</formula>
    </cfRule>
  </conditionalFormatting>
  <conditionalFormatting sqref="DU1095:DU1100">
    <cfRule type="expression" dxfId="58" priority="296" stopIfTrue="1">
      <formula>IF(DX1073&gt;0,TRUE,FALSE)</formula>
    </cfRule>
  </conditionalFormatting>
  <conditionalFormatting sqref="FB1021:FB1026">
    <cfRule type="expression" dxfId="57" priority="298" stopIfTrue="1">
      <formula>IF(FF1178&gt;0,TRUE,FALSE)</formula>
    </cfRule>
  </conditionalFormatting>
  <conditionalFormatting sqref="FA890:FA895">
    <cfRule type="expression" dxfId="56" priority="299" stopIfTrue="1">
      <formula>IF(FF1178&gt;0,TRUE,FALSE)</formula>
    </cfRule>
  </conditionalFormatting>
  <conditionalFormatting sqref="FL1020:FL1025">
    <cfRule type="expression" dxfId="55" priority="301" stopIfTrue="1">
      <formula>IF(FP1175&gt;0,TRUE,FALSE)</formula>
    </cfRule>
  </conditionalFormatting>
  <conditionalFormatting sqref="FK1021:FK1026">
    <cfRule type="expression" dxfId="54" priority="302" stopIfTrue="1">
      <formula>IF(FP1175&gt;0,TRUE,FALSE)</formula>
    </cfRule>
  </conditionalFormatting>
  <conditionalFormatting sqref="FJ1088:FJ1093">
    <cfRule type="expression" dxfId="53" priority="303" stopIfTrue="1">
      <formula>IF(FP1175&gt;0,TRUE,FALSE)</formula>
    </cfRule>
  </conditionalFormatting>
  <conditionalFormatting sqref="FV1017:FV1022">
    <cfRule type="expression" dxfId="52" priority="305" stopIfTrue="1">
      <formula>IF(FX1127&gt;0,TRUE,FALSE)</formula>
    </cfRule>
  </conditionalFormatting>
  <conditionalFormatting sqref="FU1018:FU1023">
    <cfRule type="expression" dxfId="51" priority="306" stopIfTrue="1">
      <formula>IF(FX1127&gt;0,TRUE,FALSE)</formula>
    </cfRule>
  </conditionalFormatting>
  <conditionalFormatting sqref="FT1084:FT1089">
    <cfRule type="expression" dxfId="50" priority="307" stopIfTrue="1">
      <formula>IF(FX1127&gt;0,TRUE,FALSE)</formula>
    </cfRule>
  </conditionalFormatting>
  <conditionalFormatting sqref="EZ1044:EZ1049">
    <cfRule type="expression" dxfId="49" priority="309" stopIfTrue="1">
      <formula>IF(FE1178&gt;0,TRUE,FALSE)</formula>
    </cfRule>
  </conditionalFormatting>
  <conditionalFormatting sqref="FC1021:FC1026">
    <cfRule type="expression" dxfId="48" priority="310" stopIfTrue="1">
      <formula>IF(FD1178&gt;0,TRUE,FALSE)</formula>
    </cfRule>
  </conditionalFormatting>
  <conditionalFormatting sqref="GB1058:GB1063">
    <cfRule type="expression" dxfId="47" priority="312" stopIfTrue="1">
      <formula>IF(GC992&gt;0,TRUE,FALSE)</formula>
    </cfRule>
  </conditionalFormatting>
  <conditionalFormatting sqref="FR1177:FR1182">
    <cfRule type="expression" dxfId="46" priority="313" stopIfTrue="1">
      <formula>IF(#REF!&gt;0,TRUE,FALSE)</formula>
    </cfRule>
  </conditionalFormatting>
  <conditionalFormatting sqref="AI1004:AI1009">
    <cfRule type="expression" dxfId="45" priority="322" stopIfTrue="1">
      <formula>IF(BE1142&gt;0,TRUE,FALSE)</formula>
    </cfRule>
  </conditionalFormatting>
  <conditionalFormatting sqref="AA1002:AA1007">
    <cfRule type="expression" dxfId="44" priority="324" stopIfTrue="1">
      <formula>IF(BE1142&gt;0,TRUE,FALSE)</formula>
    </cfRule>
  </conditionalFormatting>
  <conditionalFormatting sqref="FI1176:FI1181">
    <cfRule type="expression" dxfId="43" priority="340" stopIfTrue="1">
      <formula>IF(FO1175&gt;0,TRUE,FALSE)</formula>
    </cfRule>
  </conditionalFormatting>
  <conditionalFormatting sqref="FS1173:FS1178">
    <cfRule type="expression" dxfId="42" priority="342" stopIfTrue="1">
      <formula>IF(FW1127&gt;0,TRUE,FALSE)</formula>
    </cfRule>
  </conditionalFormatting>
  <conditionalFormatting sqref="GD992:GD997">
    <cfRule type="expression" dxfId="41" priority="344" stopIfTrue="1">
      <formula>IF(#REF!&gt;0,TRUE,FALSE)</formula>
    </cfRule>
  </conditionalFormatting>
  <conditionalFormatting sqref="GU992:GU997">
    <cfRule type="expression" dxfId="40" priority="347" stopIfTrue="1">
      <formula>IF(#REF!&gt;0,TRUE,FALSE)</formula>
    </cfRule>
  </conditionalFormatting>
  <conditionalFormatting sqref="GX992:GX997">
    <cfRule type="expression" dxfId="39" priority="350" stopIfTrue="1">
      <formula>IF(GY983&gt;0,TRUE,FALSE)</formula>
    </cfRule>
  </conditionalFormatting>
  <conditionalFormatting sqref="HB983:HB988">
    <cfRule type="expression" dxfId="38" priority="351" stopIfTrue="1">
      <formula>IF(HC992&gt;0,TRUE,FALSE)</formula>
    </cfRule>
  </conditionalFormatting>
  <conditionalFormatting sqref="HK9 HK25:HK27">
    <cfRule type="cellIs" dxfId="37" priority="20" stopIfTrue="1" operator="equal">
      <formula>"N.C."</formula>
    </cfRule>
  </conditionalFormatting>
  <conditionalFormatting sqref="HN3:HO3">
    <cfRule type="cellIs" dxfId="36" priority="18" stopIfTrue="1" operator="equal">
      <formula>"N.A."</formula>
    </cfRule>
  </conditionalFormatting>
  <conditionalFormatting sqref="HN23:HN24 HN21">
    <cfRule type="cellIs" dxfId="35" priority="19" stopIfTrue="1" operator="equal">
      <formula>"N.C."</formula>
    </cfRule>
  </conditionalFormatting>
  <conditionalFormatting sqref="AX995:AX1000">
    <cfRule type="expression" dxfId="34" priority="413" stopIfTrue="1">
      <formula>IF(BE1141&gt;0,TRUE,FALSE)</formula>
    </cfRule>
  </conditionalFormatting>
  <conditionalFormatting sqref="AW995:AW1000">
    <cfRule type="expression" dxfId="33" priority="426" stopIfTrue="1">
      <formula>IF(BE1141&gt;0,TRUE,FALSE)</formula>
    </cfRule>
  </conditionalFormatting>
  <conditionalFormatting sqref="AV995:AV1000">
    <cfRule type="expression" dxfId="32" priority="439" stopIfTrue="1">
      <formula>IF(BE1141&gt;0,TRUE,FALSE)</formula>
    </cfRule>
  </conditionalFormatting>
  <conditionalFormatting sqref="AU995:AU1000">
    <cfRule type="expression" dxfId="31" priority="452" stopIfTrue="1">
      <formula>IF(BE1141&gt;0,TRUE,FALSE)</formula>
    </cfRule>
  </conditionalFormatting>
  <conditionalFormatting sqref="AT995:AT1000">
    <cfRule type="expression" dxfId="30" priority="465" stopIfTrue="1">
      <formula>IF(BE1141&gt;0,TRUE,FALSE)</formula>
    </cfRule>
  </conditionalFormatting>
  <conditionalFormatting sqref="AS995:AS1000">
    <cfRule type="expression" dxfId="29" priority="478" stopIfTrue="1">
      <formula>IF(BE1141&gt;0,TRUE,FALSE)</formula>
    </cfRule>
  </conditionalFormatting>
  <conditionalFormatting sqref="AR995:AR1000">
    <cfRule type="expression" dxfId="28" priority="491" stopIfTrue="1">
      <formula>IF(BE1141&gt;0,TRUE,FALSE)</formula>
    </cfRule>
  </conditionalFormatting>
  <conditionalFormatting sqref="AQ995:AQ1000">
    <cfRule type="expression" dxfId="27" priority="504" stopIfTrue="1">
      <formula>IF(BE1141&gt;0,TRUE,FALSE)</formula>
    </cfRule>
  </conditionalFormatting>
  <conditionalFormatting sqref="AP995:AP1000">
    <cfRule type="expression" dxfId="26" priority="517" stopIfTrue="1">
      <formula>IF(BE1141&gt;0,TRUE,FALSE)</formula>
    </cfRule>
  </conditionalFormatting>
  <conditionalFormatting sqref="AN996:AN1001">
    <cfRule type="expression" dxfId="25" priority="530" stopIfTrue="1">
      <formula>IF(BD1141&gt;0,TRUE,FALSE)</formula>
    </cfRule>
  </conditionalFormatting>
  <conditionalFormatting sqref="CG1169:CG1174">
    <cfRule type="expression" dxfId="24" priority="552" stopIfTrue="1">
      <formula>IF(CK1132&gt;0,TRUE,FALSE)</formula>
    </cfRule>
  </conditionalFormatting>
  <conditionalFormatting sqref="CF1169:CF1174">
    <cfRule type="expression" dxfId="23" priority="574" stopIfTrue="1">
      <formula>IF(CK1132&gt;0,TRUE,FALSE)</formula>
    </cfRule>
  </conditionalFormatting>
  <conditionalFormatting sqref="CD1169:CE1174">
    <cfRule type="expression" dxfId="22" priority="596" stopIfTrue="1">
      <formula>IF(CJ1132&gt;0,TRUE,FALSE)</formula>
    </cfRule>
  </conditionalFormatting>
  <conditionalFormatting sqref="CP1125:CP1130">
    <cfRule type="expression" dxfId="21" priority="622" stopIfTrue="1">
      <formula>IF(CS1138&gt;0,TRUE,FALSE)</formula>
    </cfRule>
  </conditionalFormatting>
  <conditionalFormatting sqref="DD1035:DD1040">
    <cfRule type="expression" dxfId="20" priority="648" stopIfTrue="1">
      <formula>IF(DG1145&gt;0,TRUE,FALSE)</formula>
    </cfRule>
  </conditionalFormatting>
  <conditionalFormatting sqref="EK1025:EK1030">
    <cfRule type="expression" dxfId="19" priority="674" stopIfTrue="1">
      <formula>IF(EN1056&gt;0,TRUE,FALSE)</formula>
    </cfRule>
  </conditionalFormatting>
  <conditionalFormatting sqref="AO995:AO1000">
    <cfRule type="expression" dxfId="18" priority="700" stopIfTrue="1">
      <formula>IF(BE1141&gt;0,TRUE,FALSE)</formula>
    </cfRule>
  </conditionalFormatting>
  <conditionalFormatting sqref="ER1054:ER1059">
    <cfRule type="expression" dxfId="17" priority="726" stopIfTrue="1">
      <formula>IF(EU1047&gt;0,TRUE,FALSE)</formula>
    </cfRule>
  </conditionalFormatting>
  <conditionalFormatting sqref="D167:E180 D189:E192 E181:E188">
    <cfRule type="cellIs" dxfId="16" priority="15" operator="equal">
      <formula>0</formula>
    </cfRule>
  </conditionalFormatting>
  <conditionalFormatting sqref="G923:G928">
    <cfRule type="expression" dxfId="15" priority="752" stopIfTrue="1">
      <formula>IF(I1012&gt;0,TRUE,FALSE)</formula>
    </cfRule>
  </conditionalFormatting>
  <conditionalFormatting sqref="H968:H973">
    <cfRule type="expression" dxfId="14" priority="753" stopIfTrue="1">
      <formula>IF(I1013&gt;0,TRUE,FALSE)</formula>
    </cfRule>
  </conditionalFormatting>
  <conditionalFormatting sqref="HL26:HL27">
    <cfRule type="cellIs" dxfId="13" priority="11" stopIfTrue="1" operator="equal">
      <formula>"N.C."</formula>
    </cfRule>
  </conditionalFormatting>
  <conditionalFormatting sqref="HW992:HY997">
    <cfRule type="expression" dxfId="12" priority="797" stopIfTrue="1">
      <formula>IF(IA992&gt;0,TRUE,FALSE)</formula>
    </cfRule>
  </conditionalFormatting>
  <conditionalFormatting sqref="IK992:IL997">
    <cfRule type="expression" dxfId="11" priority="10" stopIfTrue="1">
      <formula>IF(IN992&gt;0,TRUE,FALSE)</formula>
    </cfRule>
  </conditionalFormatting>
  <conditionalFormatting sqref="HK991:HK996">
    <cfRule type="expression" dxfId="10" priority="819" stopIfTrue="1">
      <formula>IF(#REF!&gt;0,TRUE,FALSE)</formula>
    </cfRule>
  </conditionalFormatting>
  <conditionalFormatting sqref="HL991:HL996">
    <cfRule type="expression" dxfId="9" priority="820" stopIfTrue="1">
      <formula>IF(#REF!&gt;0,TRUE,FALSE)</formula>
    </cfRule>
  </conditionalFormatting>
  <conditionalFormatting sqref="HZ992:HZ997">
    <cfRule type="expression" dxfId="8" priority="9" stopIfTrue="1">
      <formula>IF(ID992&gt;0,TRUE,FALSE)</formula>
    </cfRule>
  </conditionalFormatting>
  <conditionalFormatting sqref="D193:E194">
    <cfRule type="cellIs" dxfId="7" priority="8" operator="equal">
      <formula>0</formula>
    </cfRule>
  </conditionalFormatting>
  <conditionalFormatting sqref="D195:E196">
    <cfRule type="cellIs" dxfId="6" priority="7" operator="equal">
      <formula>0</formula>
    </cfRule>
  </conditionalFormatting>
  <conditionalFormatting sqref="D197:E198">
    <cfRule type="cellIs" dxfId="5" priority="6" operator="equal">
      <formula>0</formula>
    </cfRule>
  </conditionalFormatting>
  <conditionalFormatting sqref="D199:E200">
    <cfRule type="cellIs" dxfId="4" priority="5" operator="equal">
      <formula>0</formula>
    </cfRule>
  </conditionalFormatting>
  <conditionalFormatting sqref="D181:D182">
    <cfRule type="cellIs" dxfId="3" priority="4" operator="equal">
      <formula>0</formula>
    </cfRule>
  </conditionalFormatting>
  <conditionalFormatting sqref="D183:D184">
    <cfRule type="cellIs" dxfId="2" priority="3" operator="equal">
      <formula>0</formula>
    </cfRule>
  </conditionalFormatting>
  <conditionalFormatting sqref="D185:D186">
    <cfRule type="cellIs" dxfId="1" priority="2" operator="equal">
      <formula>0</formula>
    </cfRule>
  </conditionalFormatting>
  <conditionalFormatting sqref="D187:D188">
    <cfRule type="cellIs" dxfId="0" priority="1" operator="equal">
      <formula>0</formula>
    </cfRule>
  </conditionalFormatting>
  <pageMargins left="0.78740157499999996" right="0.78740157499999996" top="0.984251969" bottom="0.984251969" header="0.4921259845" footer="0.4921259845"/>
  <pageSetup paperSize="9" orientation="portrait" horizontalDpi="300" verticalDpi="300" r:id="rId1"/>
  <headerFooter alignWithMargins="0"/>
  <ignoredErrors>
    <ignoredError sqref="CK132:CK134 FX43:GA47 DH48:DJ48 FX48:GA48 DH49:DJ49 FX49:GA49 CK50:CO50 DH50:DJ50 FX50:GA50 CK51:CO51 DH51:DJ51 FX51:GA51 CK52:CO52 DH52:DJ52 EO52:EQ52 FX52:GA52 CK53:CO53 DH53:DJ53 EH53:EJ53 FX53:GA53 CK54:CO54 DH54:DJ54 EH54:EJ54 FX54:GA54 CK55:CO55 DH55:DJ55 EH55:EJ55 FX55:GA55 CK56:CO56 DH56:DJ56 EH56:EJ56 FX56:GA56 CK57:CO57 CT57:CV57 DA57:DC57 DH57:DJ57 EH57:EJ57 FX57:GA57 CK58:CO58 CT58:CV58 DA58:DC58 DH58:DJ58 EH58:EJ58 FX58:GA58 CK59:CO59 CT59:CV59 DA59:DC59 DH59:DJ59 EH59:EJ59 FX59:GA59 CK60:CO60 CT60:CV60 DA60:DC60 DH60:DJ60 EH60:EJ60 FX60:GA60 CK61:CO61 CT61:CV61 DA61:DC61 DH61:DJ61 EH61:EJ61 FX61:GA61 CK62:CO62 CT62:CV62 DA62:DC62 DH62:DJ62 EH62:EJ62 FX62:GA62 CK63:CO63 CT63:CV63 DA63:DC63 DH63:DJ63 EH63:EJ63 FX63:GA63 CK64:CO64 CT64:CV64 DA64:DC64 DH64:DJ64 EH64:EJ64 FX64:GA64 CK65:CO65 CT65:CV65 DA65:DC65 DH65:DJ65 EH65:EJ65 FX65:GA65 CK66:CO66 CT66:CV66 DA66:DC66 DH66:DJ66 EH66:EJ66 FX66:GA66 CK67:CO67 CT67:CV67 DA67:DC67 DH67:DJ67 EH67:EJ67 FX67:GA67 CK68:CO68 CT68:CV68 DA68:DC68 DH68:DJ68 EH68:EJ68 FX68:GA68 CK69:CO69 CT69:CV69 DA69:DC69 DH69:DJ69 EH69:EJ69 FX69:GA69 CK70:CO70 CT70:CV70 DA70:DC70 DH70:DJ70 EH70:EJ70 FX70:GA70 CK71:CO71 CT71:CV71 DA71:DC71 DH71:DJ71 EH71:EJ71 FX71:GA71 CK72:CO72 CT72:CV72 DA72:DC72 DH72:DJ72 EH72:EJ72 FX72:GA72 CK73:CO73 CT73:CV73 DA73:DC73 DH73:DJ73 EH73:EJ73 FX73:GA73 CK74:CO74 CT74:CV74 DA74:DC74 DH74:DJ74 EH74:EJ74 FX74:GA74 CK75:CO75 CT75:CV75 DA75:DC75 DH75:DJ75 EH75:EJ75 FX75:GA75 CK76:CO76 CT76:CV76 DA76:DC76 DH76:DJ76 EH76:EJ76 FX76:GA76 CK77:CO77 CT77:CV77 DA77:DC77 DH77:DJ77 EH77:EJ77 FX77:GA77 CK78:CO78 CT78:CV78 DA78:DC78 DH78:DJ78 EH78:EJ78 FX78:GA78 CK79:CO79 CT79:CV79 DA79:DC79 DH79:DJ79 EH79:EJ79 FX79:GA79 CK80:CO80 CT80:CV80 DA80:DC80 DH80:DJ80 EH80:EJ80 FX80:GA80 CK81:CO81 CT81:CV81 DA81:DC81 DH81:DJ81 EH81:EJ81 FX81:GA81 CK82:CO82 CT82:CV82 DA82:DC82 DH82:DJ82 EH82:EJ82 CK83:CO83 CT83:CV83 DA83:DC83 DH83:DJ83 EH83:EJ83 CK84:CO84 CT84:CV84 DA84:DC84 DH84:DJ84 EH84:EJ84 CT85:CV85 DA85:DC85 DH85:DJ85 EH85:EJ85 CT86:CV86 DA86:DC86 DH86:DJ86 EH86:EJ86 CT87:CV87 DA87:DC87 EH87:EJ87 CK88:CO88 CT88:CV88 DA88:DC88 EH88:EJ88 CK89:CO89 CT89:CV89 DA89:DC89 EH89:EJ89 CK90:CO90 CT90:CV90 DA90:DC90 EH90:EJ90 FX90:GA90 P91:W91 CK91:CO91 CT91:CV91 DA91:DC91 EH91:EJ91 FX91:GA91 P92:W92 CK92:CO92 CT92:CV92 DA92:DC92 FX92:GA92 P93:W93 CK93:CO93 CT93:CV93 DA93:DC93 FX93:GA93 P94:W94 CK94:CO94 CT94:CV94 DA94:DC94 FX94:GA94 P95:W95 CK95:CO95 CT95:CV95 DA95:DC95 FX95:GA95 P96:W96 CK96:CO96 FX96:GA96 P97:W97 CK97:CO97 FX97:GA97 P98:W98 CK98:CO98 FX98:GA98 P99:W99 CK99:CO99 CT99:CV99 FX99:GA99 P100:W100 CK100:CO100 CT100:CV100 FX100:GA100 P101:W101 CK101:CO101 CT101:CV101 FX101:GA101 P102:W102 CK102:CO102 CT102:CV102 FX102:GA102 P103:W103 CK103:CO103 CT103:CV103 FX103:GA103 P104:W104 CK104:CO104 CT104:CV104 FX104:GA104 CK105:CO105 CT105:CV105 FX105:GA105 CK106:CO106 CT106:CV106 FX106:GA106 CK107:CO107 CT107:CV107 FX107:GA107 CK108:CO108 CT108:CV108 FX108:GA108 CK109:CO109 CT109:CV109 FX109:GA109 CK110:CO110 CT110:CV110 FX110:GA110 CK111:CO111 CT111:CV111 FX111:GA111 CK112:CO112 CT112:CV112 FX112:GA112 CK113:CO113 CT113:CV113 FX113:GA113 CK114:CO114 CT114:CV114 FX114:GA114 CK115:CO115 CT115:CV115 FX115:GA115 CK116:CO116 CT116:CV116 FX116:GA116 CK117:CO117 CT117:CV117 FX117:GA117 CK118:CO118 CT118:CV118 FX118:GA118 CK119:CO119 CT119:CV119 FX119:GA119 CK120:CO120 CT120:CV120 FX120:GA120 CK121:CO121 CT121:CV121 FX121:GA121 CK122:CO122 CT122:CV122 FX122:GA122 CT123:CV123 FX123:GA123 CT124:CV124 FX124:GA124 CT125:CV125 EO125:EQ125 FX125:GA125 CT126:CV126 EO126:EQ126 FX126:GA126 CT127:CV127 EO127:EQ127 FX127:GA127 CT128:CV128 EO128:EQ128 FX128:GA128 CT129:CV129 EO129:EQ129 CK130:CK131 CT130:CV130 EO130:EQ130 CT131:CV131 EO131:EQ131 CT132:CV132 EO132:EQ132 CT133:CV133 CT134:CV134 CT135:CV135 CT136:CV136 CT137:CV137 DH137:DH139 EO140:EO142 EH141:EH143 EO144 DA145:DA147 EH145 CT146:CT148 DA149 CT150 FO188 FE189 FE191 FO192 FE193 EV194 EV196 EV198 DO284:DO286 DO288 BD332:BD334 BD336 EH95:EK133 DA99:DD137 DH90:DK128 EO123:EQ123 EO122:EQ122 EO121:EQ121 EO120:EQ120 EO119:EQ119 EO118:EQ118 EO117:EQ117 EO116:EQ116 EO115:EQ115 EO114:EQ114 EO113:EQ113 EO112:EQ112 EO111:EQ111 EO110:EQ110 EO109:EQ109 EO108:EQ108 EO107:EQ107 EO106:EQ106 EO105:EQ105 EO104:EQ104 EO103:EQ103 EO102:EQ102 EO101:EQ101 EO100:EQ100 EO98:EQ98 EO97:EQ97 EO96:EQ96 EO95:EQ95 EO94:EQ94 EO90:EQ90 EO89:EQ89 EO88:EQ88 EO87:EQ87 EO86:EQ86 EO85:EQ85 EO84:EQ84 EO83:EQ83 EO81:EQ81 EO80:EQ80 EO79:EQ79 EO78:EQ78 EO77:EQ77 EO76:EQ76 EO75:EQ75 EO74:EQ74 EO73:EQ73 EO72:EQ72 EO71:EQ71 EO70:EQ70 EO69:EQ69 EO68:EQ68 EO67:EQ67 EO66:EQ66 EO65:EQ65 EO64:EQ64 EO63:EQ63 EO62:EQ62 EO61:EQ61 EO60:EQ60 EO59:EQ59 EO58:EQ58 EO56:EQ56 EO55:EQ55 EO54:EQ54 EO53:EQ53 EO57:ER57 ER53 ER54 ER55 ER56 EO82:ER82 ER58 ER59 ER60 ER61 ER62 ER63 ER64 ER65 ER66 ER67 ER68 ER69 ER70 ER71 ER72 ER73 ER74 ER75 ER76 ER77 ER78 ER79 ER80 ER81 EO91:ER93 ER83 ER84 ER85 ER86 ER87 ER88 ER89 ER90 EO99:ER99 ER94 ER95 ER96 ER97 ER98 EO124:ER124 ER100 ER101 ER102 ER103 ER104 ER105 ER106 ER107 ER108 ER109 ER110 ER111 ER112 ER113 ER114 ER115 ER116 ER117 ER118 ER119 ER120 ER121 ER122 ER123 FO190" calculatedColumn="1"/>
    <ignoredError sqref="G3 K22" numberStoredAsText="1"/>
    <ignoredError sqref="DW43:EC43 FO64:FR64 FE65:FH65 EV71:EY71 HB81 AA94 HB95 FO106:FR106 FE107:FH107 EV113:EY113 BY117:CB117 BY155:CB155 DO161:DR161 BC205:BE205 BG205:BI205 BC247:BI247 DO155:DR155 DO197:DR197 DO203:DR203 DO180:DR196 DO204:DR222 DO198:DR202 BC295:BI295" formula="1"/>
    <ignoredError sqref="G97 I97 H99:H104 K99:K101 K104 J109:L109 G115" twoDigitTextYear="1"/>
    <ignoredError sqref="HE1:HI3 CZ4:CZ5 DG4:DG5 HF4:HI4 HF5:HH5 HP5 HT5:HU5 CL6 HF6:HH8 HO8:HP8 AO9:AY9 HF9:HG9 HK9 HQ9 HT9:HU9 HF10:HG11 HQ11:HQ13 HG12:HG23 HO13 HQ16:HQ17 HO17 HN19 HQ20:HQ22 HS27:HU27 HP28:HU28 BG30 HL32:HL36 AO38:AY38 HL38:HL42 HP38:HQ38 HS38 O40 B62:B129 P64:U64 W64:AG64 AI64:AL64 AN64 P68:U68 W68:AG68 AI68:AL68 AN68 B180:B183 BG15" unlockedFormula="1"/>
    <ignoredError sqref="HL37" formula="1" unlockedFormula="1"/>
    <ignoredError sqref="HO97:HO117 HQ97:IB117 HR118:HR129 HV118:HV129 HX118:IB118 HO119:HO129 HQ119:HQ129 HS119:HU119 HW119:IB119 HS120:HU120 HW120:IB120 HS121:HU121 HW121:IB121 HS122:HU122 HW122:IB122 HS123:HU123 HW123:IB123 HS124:HU124 HW124:IB124 HS125:HU125 HW125:IB125 HS126:HU126 HW126:IB126 HS127:HU127 HW127:IB127 R128:S128 V128 HS128:HU128 HW128:IB128 HS129:HU129 HW129:IB129" evalError="1"/>
    <ignoredError sqref="HO118 HQ118 HS118:HU118 HW118" evalError="1" formula="1"/>
  </ignoredErrors>
  <drawing r:id="rId2"/>
  <tableParts count="8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AC85"/>
  <sheetViews>
    <sheetView zoomScaleNormal="100" workbookViewId="0"/>
  </sheetViews>
  <sheetFormatPr baseColWidth="10" defaultColWidth="9.140625" defaultRowHeight="12.75" x14ac:dyDescent="0.2"/>
  <cols>
    <col min="1" max="1" width="78.85546875" style="3" customWidth="1"/>
    <col min="2" max="2" width="9.140625" style="3"/>
    <col min="3" max="3" width="7.7109375" style="3" customWidth="1"/>
    <col min="4" max="8" width="9.140625" style="3"/>
    <col min="9" max="9" width="4.7109375" style="3" customWidth="1"/>
    <col min="10" max="10" width="6.28515625" style="3" customWidth="1"/>
    <col min="11" max="16384" width="9.140625" style="3"/>
  </cols>
  <sheetData>
    <row r="1" spans="1:29" x14ac:dyDescent="0.2">
      <c r="A1" s="1020"/>
      <c r="B1" s="1021"/>
      <c r="C1" s="1021"/>
      <c r="D1" s="1021"/>
      <c r="E1" s="1021"/>
      <c r="F1" s="1021"/>
      <c r="G1" s="1021"/>
      <c r="H1" s="1021"/>
      <c r="I1" s="1021"/>
      <c r="J1" s="1022"/>
      <c r="K1" s="2"/>
      <c r="L1" s="2"/>
      <c r="M1" s="2"/>
      <c r="N1" s="2"/>
      <c r="O1" s="2"/>
      <c r="P1" s="2"/>
      <c r="Q1" s="2"/>
      <c r="R1" s="2"/>
      <c r="S1" s="2"/>
      <c r="T1" s="2"/>
      <c r="U1" s="2"/>
      <c r="V1" s="2"/>
      <c r="W1" s="2"/>
      <c r="X1" s="2"/>
      <c r="Y1" s="2"/>
      <c r="Z1" s="2"/>
    </row>
    <row r="2" spans="1:29" ht="16.5" customHeight="1" x14ac:dyDescent="0.2">
      <c r="A2" s="1415" t="s">
        <v>341</v>
      </c>
      <c r="B2" s="1416"/>
      <c r="C2" s="1416"/>
      <c r="D2" s="1416"/>
      <c r="E2" s="1416"/>
      <c r="F2" s="1416"/>
      <c r="G2" s="1416"/>
      <c r="H2" s="1417"/>
      <c r="I2" s="1025"/>
      <c r="J2" s="1026"/>
      <c r="K2" s="4"/>
      <c r="L2" s="4"/>
      <c r="M2" s="4"/>
      <c r="N2" s="4"/>
      <c r="O2" s="4"/>
      <c r="P2" s="4"/>
      <c r="Q2" s="4"/>
      <c r="R2" s="4"/>
      <c r="S2" s="5"/>
      <c r="T2" s="5"/>
      <c r="U2" s="5"/>
      <c r="V2" s="5"/>
      <c r="W2" s="5"/>
      <c r="X2" s="5"/>
      <c r="Y2" s="5"/>
      <c r="Z2" s="5"/>
      <c r="AA2" s="6"/>
      <c r="AB2" s="6"/>
      <c r="AC2" s="6"/>
    </row>
    <row r="3" spans="1:29" ht="16.5" customHeight="1" x14ac:dyDescent="0.2">
      <c r="A3" s="1418"/>
      <c r="B3" s="1419"/>
      <c r="C3" s="1419"/>
      <c r="D3" s="1419"/>
      <c r="E3" s="1419"/>
      <c r="F3" s="1419"/>
      <c r="G3" s="1419"/>
      <c r="H3" s="1420"/>
      <c r="I3" s="1025"/>
      <c r="J3" s="1026"/>
      <c r="K3" s="4"/>
      <c r="L3" s="4"/>
      <c r="M3" s="4"/>
      <c r="N3" s="4"/>
      <c r="O3" s="4"/>
      <c r="P3" s="4"/>
      <c r="Q3" s="4"/>
      <c r="R3" s="4"/>
      <c r="S3" s="5"/>
      <c r="T3" s="5"/>
      <c r="U3" s="5"/>
      <c r="V3" s="5"/>
      <c r="W3" s="5"/>
      <c r="X3" s="5"/>
      <c r="Y3" s="5"/>
      <c r="Z3" s="5"/>
      <c r="AA3" s="6"/>
      <c r="AB3" s="6"/>
      <c r="AC3" s="6"/>
    </row>
    <row r="4" spans="1:29" ht="16.5" customHeight="1" x14ac:dyDescent="0.2">
      <c r="A4" s="1418"/>
      <c r="B4" s="1419"/>
      <c r="C4" s="1419"/>
      <c r="D4" s="1419"/>
      <c r="E4" s="1419"/>
      <c r="F4" s="1419"/>
      <c r="G4" s="1419"/>
      <c r="H4" s="1420"/>
      <c r="I4" s="1025"/>
      <c r="J4" s="1026"/>
      <c r="K4" s="4"/>
      <c r="L4" s="4"/>
      <c r="M4" s="4"/>
      <c r="N4" s="4"/>
      <c r="O4" s="4"/>
      <c r="P4" s="4"/>
      <c r="Q4" s="4"/>
      <c r="R4" s="4"/>
      <c r="S4" s="5"/>
      <c r="T4" s="5"/>
      <c r="U4" s="5"/>
      <c r="V4" s="5"/>
      <c r="W4" s="5"/>
      <c r="X4" s="5"/>
      <c r="Y4" s="5"/>
      <c r="Z4" s="5"/>
      <c r="AA4" s="6"/>
      <c r="AB4" s="6"/>
      <c r="AC4" s="6"/>
    </row>
    <row r="5" spans="1:29" x14ac:dyDescent="0.2">
      <c r="A5" s="1421"/>
      <c r="B5" s="1422"/>
      <c r="C5" s="1422"/>
      <c r="D5" s="1422"/>
      <c r="E5" s="1422"/>
      <c r="F5" s="1422"/>
      <c r="G5" s="1422"/>
      <c r="H5" s="1423"/>
      <c r="I5" s="1025"/>
      <c r="J5" s="1026"/>
      <c r="K5" s="4"/>
      <c r="L5" s="4"/>
      <c r="M5" s="4"/>
      <c r="N5" s="4"/>
      <c r="O5" s="4"/>
      <c r="P5" s="4"/>
      <c r="Q5" s="4"/>
      <c r="R5" s="4"/>
      <c r="S5" s="5"/>
      <c r="T5" s="5"/>
      <c r="U5" s="5"/>
      <c r="V5" s="5"/>
      <c r="W5" s="5"/>
      <c r="X5" s="5"/>
      <c r="Y5" s="5"/>
      <c r="Z5" s="5"/>
      <c r="AA5" s="6"/>
      <c r="AB5" s="6"/>
      <c r="AC5" s="6"/>
    </row>
    <row r="6" spans="1:29" x14ac:dyDescent="0.2">
      <c r="A6" s="1023"/>
      <c r="B6" s="1024"/>
      <c r="C6" s="1024"/>
      <c r="D6" s="1024"/>
      <c r="E6" s="1024"/>
      <c r="F6" s="1024"/>
      <c r="G6" s="1024"/>
      <c r="H6" s="1024"/>
      <c r="I6" s="1024"/>
      <c r="J6" s="1027"/>
      <c r="K6" s="2"/>
      <c r="L6" s="2"/>
      <c r="M6" s="2"/>
      <c r="N6" s="2"/>
      <c r="O6" s="2"/>
      <c r="P6" s="2"/>
      <c r="Q6" s="2"/>
      <c r="R6" s="2"/>
      <c r="S6" s="2"/>
      <c r="T6" s="2"/>
      <c r="U6" s="2"/>
      <c r="V6" s="2"/>
      <c r="W6" s="2"/>
      <c r="X6" s="2"/>
      <c r="Y6" s="2"/>
      <c r="Z6" s="2"/>
    </row>
    <row r="7" spans="1:29" ht="18" customHeight="1" x14ac:dyDescent="0.2">
      <c r="A7" s="1424" t="s">
        <v>176</v>
      </c>
      <c r="B7" s="1425"/>
      <c r="C7" s="1425"/>
      <c r="D7" s="1425"/>
      <c r="E7" s="1425"/>
      <c r="F7" s="1425"/>
      <c r="G7" s="1425"/>
      <c r="H7" s="1426"/>
      <c r="I7" s="1024"/>
      <c r="J7" s="1027"/>
      <c r="K7" s="2"/>
      <c r="L7" s="2"/>
      <c r="M7" s="2"/>
      <c r="N7" s="2"/>
      <c r="O7" s="2"/>
      <c r="P7" s="2"/>
      <c r="Q7" s="2"/>
      <c r="R7" s="2"/>
      <c r="S7" s="2"/>
      <c r="T7" s="2"/>
      <c r="U7" s="2"/>
      <c r="V7" s="2"/>
      <c r="W7" s="2"/>
      <c r="X7" s="2"/>
      <c r="Y7" s="2"/>
      <c r="Z7" s="2"/>
    </row>
    <row r="8" spans="1:29" ht="18" customHeight="1" x14ac:dyDescent="0.2">
      <c r="A8" s="1427"/>
      <c r="B8" s="1428"/>
      <c r="C8" s="1428"/>
      <c r="D8" s="1428"/>
      <c r="E8" s="1428"/>
      <c r="F8" s="1428"/>
      <c r="G8" s="1428"/>
      <c r="H8" s="1429"/>
      <c r="I8" s="1024"/>
      <c r="J8" s="1027"/>
      <c r="K8" s="2"/>
      <c r="L8" s="2"/>
      <c r="M8" s="2"/>
      <c r="N8" s="2"/>
      <c r="O8" s="2"/>
      <c r="P8" s="2"/>
      <c r="Q8" s="2"/>
      <c r="R8" s="2"/>
      <c r="S8" s="2"/>
      <c r="T8" s="2"/>
      <c r="U8" s="2"/>
      <c r="V8" s="2"/>
      <c r="W8" s="2"/>
      <c r="X8" s="2"/>
      <c r="Y8" s="2"/>
      <c r="Z8" s="2"/>
    </row>
    <row r="9" spans="1:29" ht="18" customHeight="1" x14ac:dyDescent="0.2">
      <c r="A9" s="1427"/>
      <c r="B9" s="1428"/>
      <c r="C9" s="1428"/>
      <c r="D9" s="1428"/>
      <c r="E9" s="1428"/>
      <c r="F9" s="1428"/>
      <c r="G9" s="1428"/>
      <c r="H9" s="1429"/>
      <c r="I9" s="1024"/>
      <c r="J9" s="1027"/>
      <c r="K9" s="2"/>
      <c r="L9" s="2"/>
      <c r="M9" s="2"/>
      <c r="N9" s="2"/>
      <c r="O9" s="2"/>
      <c r="P9" s="2"/>
      <c r="Q9" s="2"/>
      <c r="R9" s="2"/>
      <c r="S9" s="2"/>
      <c r="T9" s="2"/>
      <c r="U9" s="2"/>
      <c r="V9" s="2"/>
      <c r="W9" s="2"/>
      <c r="X9" s="2"/>
      <c r="Y9" s="2"/>
      <c r="Z9" s="2"/>
    </row>
    <row r="10" spans="1:29" ht="18" customHeight="1" x14ac:dyDescent="0.2">
      <c r="A10" s="1427"/>
      <c r="B10" s="1428"/>
      <c r="C10" s="1428"/>
      <c r="D10" s="1428"/>
      <c r="E10" s="1428"/>
      <c r="F10" s="1428"/>
      <c r="G10" s="1428"/>
      <c r="H10" s="1429"/>
      <c r="I10" s="1024"/>
      <c r="J10" s="1027"/>
      <c r="K10" s="2"/>
      <c r="L10" s="2"/>
      <c r="M10" s="2"/>
      <c r="N10" s="2"/>
      <c r="O10" s="2"/>
      <c r="P10" s="2"/>
      <c r="Q10" s="2"/>
      <c r="R10" s="2"/>
      <c r="S10" s="2"/>
      <c r="T10" s="2"/>
      <c r="U10" s="2"/>
      <c r="V10" s="2"/>
      <c r="W10" s="2"/>
      <c r="X10" s="2"/>
      <c r="Y10" s="2"/>
      <c r="Z10" s="2"/>
    </row>
    <row r="11" spans="1:29" ht="18" customHeight="1" x14ac:dyDescent="0.2">
      <c r="A11" s="1427"/>
      <c r="B11" s="1428"/>
      <c r="C11" s="1428"/>
      <c r="D11" s="1428"/>
      <c r="E11" s="1428"/>
      <c r="F11" s="1428"/>
      <c r="G11" s="1428"/>
      <c r="H11" s="1429"/>
      <c r="I11" s="1024"/>
      <c r="J11" s="1027"/>
      <c r="K11" s="2"/>
      <c r="L11" s="2"/>
      <c r="M11" s="2"/>
      <c r="N11" s="2"/>
      <c r="O11" s="2"/>
      <c r="P11" s="2"/>
      <c r="Q11" s="2"/>
      <c r="R11" s="2"/>
      <c r="S11" s="2"/>
      <c r="T11" s="2"/>
      <c r="U11" s="2"/>
      <c r="V11" s="2"/>
      <c r="W11" s="2"/>
      <c r="X11" s="2"/>
      <c r="Y11" s="2"/>
      <c r="Z11" s="2"/>
    </row>
    <row r="12" spans="1:29" ht="18" customHeight="1" x14ac:dyDescent="0.2">
      <c r="A12" s="1427"/>
      <c r="B12" s="1428"/>
      <c r="C12" s="1428"/>
      <c r="D12" s="1428"/>
      <c r="E12" s="1428"/>
      <c r="F12" s="1428"/>
      <c r="G12" s="1428"/>
      <c r="H12" s="1429"/>
      <c r="I12" s="1024"/>
      <c r="J12" s="1027"/>
      <c r="K12" s="2"/>
      <c r="L12" s="2"/>
      <c r="M12" s="2"/>
      <c r="N12" s="2"/>
      <c r="O12" s="2"/>
      <c r="P12" s="2"/>
      <c r="Q12" s="2"/>
      <c r="R12" s="2"/>
      <c r="S12" s="2"/>
      <c r="T12" s="2"/>
      <c r="U12" s="2"/>
      <c r="V12" s="2"/>
      <c r="W12" s="2"/>
      <c r="X12" s="2"/>
      <c r="Y12" s="2"/>
      <c r="Z12" s="2"/>
    </row>
    <row r="13" spans="1:29" ht="18" customHeight="1" x14ac:dyDescent="0.2">
      <c r="A13" s="1427"/>
      <c r="B13" s="1428"/>
      <c r="C13" s="1428"/>
      <c r="D13" s="1428"/>
      <c r="E13" s="1428"/>
      <c r="F13" s="1428"/>
      <c r="G13" s="1428"/>
      <c r="H13" s="1429"/>
      <c r="I13" s="1024"/>
      <c r="J13" s="1027"/>
      <c r="K13" s="2"/>
      <c r="L13" s="2"/>
      <c r="M13" s="2"/>
      <c r="N13" s="2"/>
      <c r="O13" s="2"/>
      <c r="P13" s="2"/>
      <c r="Q13" s="2"/>
      <c r="R13" s="2"/>
      <c r="S13" s="2"/>
      <c r="T13" s="2"/>
      <c r="U13" s="2"/>
      <c r="V13" s="2"/>
      <c r="W13" s="2"/>
      <c r="X13" s="2"/>
      <c r="Y13" s="2"/>
      <c r="Z13" s="2"/>
    </row>
    <row r="14" spans="1:29" ht="18" customHeight="1" x14ac:dyDescent="0.2">
      <c r="A14" s="1427"/>
      <c r="B14" s="1428"/>
      <c r="C14" s="1428"/>
      <c r="D14" s="1428"/>
      <c r="E14" s="1428"/>
      <c r="F14" s="1428"/>
      <c r="G14" s="1428"/>
      <c r="H14" s="1429"/>
      <c r="I14" s="1024"/>
      <c r="J14" s="1027"/>
      <c r="K14" s="2"/>
      <c r="L14" s="2"/>
      <c r="M14" s="2"/>
      <c r="N14" s="2"/>
      <c r="O14" s="2"/>
      <c r="P14" s="2"/>
      <c r="Q14" s="2"/>
      <c r="R14" s="2"/>
      <c r="S14" s="2"/>
      <c r="T14" s="2"/>
      <c r="U14" s="2"/>
      <c r="V14" s="2"/>
      <c r="W14" s="2"/>
      <c r="X14" s="2"/>
      <c r="Y14" s="2"/>
      <c r="Z14" s="2"/>
    </row>
    <row r="15" spans="1:29" ht="21.75" customHeight="1" x14ac:dyDescent="0.2">
      <c r="A15" s="1427"/>
      <c r="B15" s="1428"/>
      <c r="C15" s="1428"/>
      <c r="D15" s="1428"/>
      <c r="E15" s="1428"/>
      <c r="F15" s="1428"/>
      <c r="G15" s="1428"/>
      <c r="H15" s="1429"/>
      <c r="I15" s="1024"/>
      <c r="J15" s="1027"/>
      <c r="K15" s="2"/>
      <c r="L15" s="2"/>
      <c r="M15" s="2"/>
      <c r="N15" s="2"/>
      <c r="O15" s="2"/>
      <c r="P15" s="2"/>
      <c r="Q15" s="2"/>
      <c r="R15" s="2"/>
      <c r="S15" s="2"/>
      <c r="T15" s="2"/>
      <c r="U15" s="2"/>
      <c r="V15" s="2"/>
      <c r="W15" s="2"/>
      <c r="X15" s="2"/>
      <c r="Y15" s="2"/>
      <c r="Z15" s="2"/>
    </row>
    <row r="16" spans="1:29" ht="18" customHeight="1" x14ac:dyDescent="0.2">
      <c r="A16" s="1427"/>
      <c r="B16" s="1428"/>
      <c r="C16" s="1428"/>
      <c r="D16" s="1428"/>
      <c r="E16" s="1428"/>
      <c r="F16" s="1428"/>
      <c r="G16" s="1430"/>
      <c r="H16" s="1431"/>
      <c r="I16" s="1024"/>
      <c r="J16" s="1028"/>
      <c r="K16" s="15"/>
      <c r="L16" s="15"/>
      <c r="M16" s="15"/>
      <c r="N16" s="2"/>
      <c r="O16" s="2"/>
      <c r="P16" s="2"/>
      <c r="Q16" s="2"/>
      <c r="R16" s="2"/>
      <c r="S16" s="2"/>
      <c r="T16" s="2"/>
      <c r="U16" s="2"/>
      <c r="V16" s="2"/>
      <c r="W16" s="2"/>
      <c r="X16" s="2"/>
      <c r="Y16" s="2"/>
      <c r="Z16" s="2"/>
    </row>
    <row r="17" spans="1:26" ht="13.5" thickBot="1" x14ac:dyDescent="0.25">
      <c r="A17" s="1029"/>
      <c r="B17" s="1030"/>
      <c r="C17" s="1031"/>
      <c r="D17" s="1031"/>
      <c r="E17" s="1031"/>
      <c r="F17" s="1031"/>
      <c r="G17" s="1031"/>
      <c r="H17" s="1031"/>
      <c r="I17" s="1032"/>
      <c r="J17" s="1033"/>
      <c r="K17" s="345"/>
      <c r="L17" s="573"/>
      <c r="M17" s="18"/>
      <c r="N17" s="2"/>
      <c r="O17" s="2"/>
      <c r="P17" s="2"/>
      <c r="Q17" s="2"/>
      <c r="R17" s="2"/>
      <c r="S17" s="2"/>
      <c r="T17" s="2"/>
      <c r="U17" s="2"/>
      <c r="V17" s="2"/>
      <c r="W17" s="2"/>
      <c r="X17" s="2"/>
      <c r="Y17" s="2"/>
      <c r="Z17" s="2"/>
    </row>
    <row r="18" spans="1:26" ht="18" customHeight="1" x14ac:dyDescent="0.2">
      <c r="A18" s="1013" t="s">
        <v>384</v>
      </c>
      <c r="B18" s="1024"/>
      <c r="C18" s="1434" t="s">
        <v>377</v>
      </c>
      <c r="D18" s="1435"/>
      <c r="E18" s="1435"/>
      <c r="F18" s="1435"/>
      <c r="G18" s="1435"/>
      <c r="H18" s="1436"/>
      <c r="I18" s="1032"/>
      <c r="J18" s="1033"/>
      <c r="K18" s="345"/>
      <c r="L18" s="573"/>
      <c r="M18" s="15"/>
      <c r="N18" s="2"/>
      <c r="O18" s="2"/>
      <c r="P18" s="2"/>
      <c r="Q18" s="2"/>
      <c r="R18" s="2"/>
      <c r="S18" s="2"/>
      <c r="T18" s="2"/>
      <c r="U18" s="2"/>
      <c r="V18" s="2"/>
      <c r="W18" s="2"/>
      <c r="X18" s="2"/>
      <c r="Y18" s="2"/>
      <c r="Z18" s="2"/>
    </row>
    <row r="19" spans="1:26" ht="18" customHeight="1" thickBot="1" x14ac:dyDescent="0.25">
      <c r="A19" s="575"/>
      <c r="B19" s="1024"/>
      <c r="C19" s="1437"/>
      <c r="D19" s="1438"/>
      <c r="E19" s="1438"/>
      <c r="F19" s="1438"/>
      <c r="G19" s="1438"/>
      <c r="H19" s="1439"/>
      <c r="I19" s="1032"/>
      <c r="J19" s="1034"/>
      <c r="K19" s="345"/>
      <c r="L19" s="573"/>
      <c r="M19" s="15"/>
      <c r="N19" s="2"/>
      <c r="O19" s="2"/>
      <c r="P19" s="2"/>
      <c r="Q19" s="2"/>
      <c r="R19" s="2"/>
      <c r="S19" s="2"/>
      <c r="T19" s="2"/>
      <c r="U19" s="2"/>
      <c r="V19" s="2"/>
      <c r="W19" s="2"/>
      <c r="X19" s="2"/>
      <c r="Y19" s="2"/>
      <c r="Z19" s="2"/>
    </row>
    <row r="20" spans="1:26" x14ac:dyDescent="0.2">
      <c r="A20" s="1035" t="str">
        <f>IF($A$19="","",IF($A$19=Elevage,"Allez, c'est parti!!!","Désolé, tu ne cherches pas à faire de l'élevage…"))</f>
        <v/>
      </c>
      <c r="B20" s="1024"/>
      <c r="C20" s="1036"/>
      <c r="D20" s="1036"/>
      <c r="E20" s="1036"/>
      <c r="F20" s="1036"/>
      <c r="G20" s="1036"/>
      <c r="H20" s="1036"/>
      <c r="I20" s="1037"/>
      <c r="J20" s="1034"/>
      <c r="K20" s="345"/>
      <c r="L20" s="573"/>
      <c r="M20" s="15"/>
      <c r="N20" s="2"/>
      <c r="O20" s="2"/>
      <c r="P20" s="2"/>
      <c r="Q20" s="2"/>
      <c r="R20" s="2"/>
      <c r="S20" s="2"/>
      <c r="T20" s="2"/>
      <c r="U20" s="2"/>
      <c r="V20" s="2"/>
      <c r="W20" s="2"/>
      <c r="X20" s="2"/>
      <c r="Y20" s="2"/>
      <c r="Z20" s="2"/>
    </row>
    <row r="21" spans="1:26" ht="12.75" customHeight="1" x14ac:dyDescent="0.2">
      <c r="A21" s="1035" t="str">
        <f>IF($A$19=Elevage,"OK, futur(e) éleveur/éleveuse? Alors réponds aux questions suivantes… :",IF($A$19=Cultures,"OK, futur(e) cultivateur/cultivatrice? Alors …",""))</f>
        <v/>
      </c>
      <c r="B21" s="1441" t="str">
        <f>IF(OR($A$19="",$A$19=Elevage),"","Cliques → ICI ←")</f>
        <v/>
      </c>
      <c r="C21" s="1441"/>
      <c r="D21" s="1440" t="str">
        <f>IF(OR($A$19="",$A$19=Elevage),"","puisque tu ne souhaites pas faire de l'élevage")</f>
        <v/>
      </c>
      <c r="E21" s="1440"/>
      <c r="F21" s="1440"/>
      <c r="G21" s="1440"/>
      <c r="H21" s="1440"/>
      <c r="I21" s="1038"/>
      <c r="J21" s="1034"/>
      <c r="K21" s="345"/>
      <c r="L21" s="573"/>
      <c r="M21" s="15"/>
      <c r="N21" s="2"/>
      <c r="O21" s="2"/>
      <c r="P21" s="2"/>
      <c r="Q21" s="2"/>
      <c r="R21" s="2"/>
      <c r="S21" s="2"/>
      <c r="T21" s="2"/>
      <c r="U21" s="2"/>
      <c r="V21" s="2"/>
      <c r="W21" s="2"/>
      <c r="X21" s="2"/>
      <c r="Y21" s="2"/>
      <c r="Z21" s="2"/>
    </row>
    <row r="22" spans="1:26" ht="25.5" customHeight="1" x14ac:dyDescent="0.2">
      <c r="A22" s="1432" t="str">
        <f>IF($A$19=Elevage,"Petit conseil : spécialises toi dans une seule espèce, au moins au début. Optes plutôt pour des bovins, ovins ou caprins de race laitière : tu auras des revenus tout les jours, et leur système de reproduction est moins intensif….","")</f>
        <v/>
      </c>
      <c r="B22" s="1433"/>
      <c r="C22" s="1433"/>
      <c r="D22" s="1433"/>
      <c r="E22" s="1433"/>
      <c r="F22" s="1433"/>
      <c r="G22" s="1433"/>
      <c r="H22" s="1433"/>
      <c r="I22" s="1039"/>
      <c r="J22" s="1034"/>
      <c r="K22" s="345"/>
      <c r="L22" s="573"/>
      <c r="M22" s="15"/>
      <c r="N22" s="2"/>
      <c r="O22" s="2"/>
      <c r="P22" s="2"/>
      <c r="Q22" s="2"/>
      <c r="R22" s="2"/>
      <c r="S22" s="2"/>
      <c r="T22" s="2"/>
      <c r="U22" s="2"/>
      <c r="V22" s="2"/>
      <c r="W22" s="2"/>
      <c r="X22" s="2"/>
      <c r="Y22" s="2"/>
      <c r="Z22" s="2"/>
    </row>
    <row r="23" spans="1:26" ht="126" customHeight="1" x14ac:dyDescent="0.2">
      <c r="A23" s="1442" t="s">
        <v>122</v>
      </c>
      <c r="B23" s="1443"/>
      <c r="C23" s="1443"/>
      <c r="D23" s="1443"/>
      <c r="E23" s="1024"/>
      <c r="F23" s="1024"/>
      <c r="G23" s="1040"/>
      <c r="H23" s="1040"/>
      <c r="I23" s="1039"/>
      <c r="J23" s="1034"/>
      <c r="K23" s="345"/>
      <c r="L23" s="573"/>
      <c r="M23" s="15"/>
      <c r="N23" s="2"/>
      <c r="O23" s="2"/>
      <c r="P23" s="2"/>
      <c r="Q23" s="2"/>
      <c r="R23" s="2"/>
      <c r="S23" s="2"/>
      <c r="T23" s="2"/>
      <c r="U23" s="2"/>
      <c r="V23" s="2"/>
      <c r="W23" s="2"/>
      <c r="X23" s="2"/>
      <c r="Y23" s="2"/>
      <c r="Z23" s="2"/>
    </row>
    <row r="24" spans="1:26" x14ac:dyDescent="0.2">
      <c r="A24" s="315" t="str">
        <f>IF($A$19=Elevage,"Que vas-tu élever? Notes le ci-dessous.","")</f>
        <v/>
      </c>
      <c r="B24" s="1024"/>
      <c r="C24" s="1024"/>
      <c r="D24" s="1024"/>
      <c r="E24" s="1024"/>
      <c r="F24" s="1024"/>
      <c r="G24" s="1024"/>
      <c r="H24" s="1024"/>
      <c r="I24" s="1039"/>
      <c r="J24" s="1034"/>
      <c r="K24" s="345"/>
      <c r="L24" s="573"/>
      <c r="M24" s="15"/>
      <c r="N24" s="2"/>
      <c r="O24" s="2"/>
      <c r="P24" s="2"/>
      <c r="Q24" s="2"/>
      <c r="R24" s="2"/>
      <c r="S24" s="2"/>
      <c r="T24" s="2"/>
      <c r="U24" s="2"/>
      <c r="V24" s="2"/>
      <c r="W24" s="2"/>
      <c r="X24" s="2"/>
      <c r="Y24" s="2"/>
      <c r="Z24" s="2"/>
    </row>
    <row r="25" spans="1:26" ht="23.25" customHeight="1" x14ac:dyDescent="0.2">
      <c r="A25" s="1014"/>
      <c r="B25" s="1444" t="str">
        <f>IF($A$25="","","Tu peux aller lire les règles correspondantes à cette espèce, où tu trouveras des info non données sur ce fichier.")</f>
        <v/>
      </c>
      <c r="C25" s="1445"/>
      <c r="D25" s="1445"/>
      <c r="E25" s="1445"/>
      <c r="F25" s="1445"/>
      <c r="G25" s="1445"/>
      <c r="H25" s="1445"/>
      <c r="I25" s="1445"/>
      <c r="J25" s="1041"/>
      <c r="K25" s="22"/>
      <c r="L25" s="21"/>
      <c r="M25" s="15"/>
      <c r="N25" s="2"/>
      <c r="O25" s="2"/>
      <c r="P25" s="2"/>
      <c r="Q25" s="2"/>
      <c r="R25" s="2"/>
      <c r="S25" s="2"/>
      <c r="T25" s="2"/>
      <c r="U25" s="2"/>
      <c r="V25" s="2"/>
      <c r="W25" s="2"/>
      <c r="X25" s="2"/>
      <c r="Y25" s="2"/>
      <c r="Z25" s="2"/>
    </row>
    <row r="26" spans="1:26" ht="37.5" customHeight="1" x14ac:dyDescent="0.2">
      <c r="A26" s="1015" t="str">
        <f>IF($A$25="","",IF(OR($A$25=BDD!M17,$A$25=BDD!M24),"As-tu une prairie boisée? Il te faut 1ha par animal. Prix : variable selon la surface boisée.","As-tu un bâtiment d'élevage (50/100 m²)? Prix : 1500-3000€ pour des bovins, 2500-5000€ pour des caprins, lapins ou ovins, 3000-6000€ pour des porcins, pintades et volailles, 15000-30000€ pour les chevaux."))</f>
        <v/>
      </c>
      <c r="B26" s="7"/>
      <c r="C26" s="1448" t="str">
        <f>IF(OR(A25=BDD!M20,A25=BDD!M21),"ATTENTION : pour les oies ET les canards, il faut OBLIGATAOIREMENT un parc à volaille (3€ les 10m²)","")</f>
        <v/>
      </c>
      <c r="D26" s="1449"/>
      <c r="E26" s="1449"/>
      <c r="F26" s="1449"/>
      <c r="G26" s="1449"/>
      <c r="H26" s="1449"/>
      <c r="I26" s="1449"/>
      <c r="J26" s="1028"/>
      <c r="K26" s="15"/>
      <c r="L26" s="15"/>
      <c r="M26" s="15"/>
      <c r="N26" s="2"/>
      <c r="O26" s="2"/>
      <c r="P26" s="2"/>
      <c r="Q26" s="2"/>
      <c r="R26" s="2"/>
      <c r="S26" s="2"/>
      <c r="T26" s="2"/>
      <c r="U26" s="2"/>
      <c r="V26" s="2"/>
      <c r="W26" s="2"/>
      <c r="X26" s="2"/>
      <c r="Y26" s="2"/>
      <c r="Z26" s="2"/>
    </row>
    <row r="27" spans="1:26" x14ac:dyDescent="0.2">
      <c r="A27" s="315" t="str">
        <f>IF($B$26="","","As-tu un entrepôt (50 m²)? Prix : 2000€.")</f>
        <v/>
      </c>
      <c r="B27" s="7"/>
      <c r="C27" s="1024"/>
      <c r="D27" s="1024"/>
      <c r="E27" s="1024"/>
      <c r="F27" s="1024"/>
      <c r="G27" s="1042" t="str">
        <f>IF(AND(OR(A25=BDD!M16,A25=BDD!M18,A25=BDD!M23),B32=OUI),"Ouf!!!! Tu as tout les bâtiments minimum nécessaire!!! La 1e étape est faite… Toujours motivé(e)?",IF(AND(A25=BDD!M17,B29=OUI),"Ouf!!!! Tu as tout les bâtiments minimum nécessaire!!! La 1e étape est faite… Toujours motivé(e)?",IF(AND(OR(A25=BDD!M21,A25=BDD!M22),B30&gt;0,B31=""),"Ouf!!!! Tu as tout les bâtiments minimum nécessaire!!! La 1e étape est faite… Toujours motivé(e)?",IF(AND(A25=BDD!M20,B33=OUI),"Ouf!!!! Tu as tout les bâtiments minimum nécessaire!!! La 1e étape est faite… Toujours motivé(e)?",""))))</f>
        <v/>
      </c>
      <c r="H27" s="1024"/>
      <c r="I27" s="1024"/>
      <c r="J27" s="1027"/>
      <c r="K27" s="2"/>
      <c r="L27" s="2"/>
      <c r="M27" s="2"/>
      <c r="N27" s="2"/>
      <c r="O27" s="2"/>
      <c r="P27" s="2"/>
      <c r="Q27" s="2"/>
      <c r="R27" s="2"/>
      <c r="S27" s="2"/>
      <c r="T27" s="2"/>
      <c r="U27" s="2"/>
      <c r="V27" s="2"/>
      <c r="W27" s="2"/>
      <c r="X27" s="2"/>
      <c r="Y27" s="2"/>
      <c r="Z27" s="2"/>
    </row>
    <row r="28" spans="1:26" ht="26.25" customHeight="1" x14ac:dyDescent="0.2">
      <c r="A28" s="1015" t="str">
        <f>IF($B$27="","","As-tu des silos (2/3 tonnes)? Il t'en faut 1 par aliment (sauf pour foin, paille, concentrés et vitamines &amp; minéraux). Prix : 500-750€ par silo.")</f>
        <v/>
      </c>
      <c r="B28" s="7"/>
      <c r="C28" s="1024"/>
      <c r="D28" s="1024"/>
      <c r="E28" s="1024"/>
      <c r="F28" s="1024"/>
      <c r="G28" s="1024"/>
      <c r="H28" s="1024"/>
      <c r="I28" s="1024"/>
      <c r="J28" s="1027"/>
      <c r="K28" s="2"/>
      <c r="L28" s="2"/>
      <c r="M28" s="2"/>
      <c r="N28" s="2"/>
      <c r="O28" s="2"/>
      <c r="P28" s="2"/>
      <c r="Q28" s="2"/>
      <c r="R28" s="2"/>
      <c r="S28" s="2"/>
      <c r="T28" s="2"/>
      <c r="U28" s="2"/>
      <c r="V28" s="2"/>
      <c r="W28" s="2"/>
      <c r="X28" s="2"/>
      <c r="Y28" s="2"/>
      <c r="Z28" s="2"/>
    </row>
    <row r="29" spans="1:26" x14ac:dyDescent="0.2">
      <c r="A29" s="315" t="str">
        <f>IF($B$28="","","As-tu une cuve à eau (5000/10000 litres)? Prix : 500-1000€.")</f>
        <v/>
      </c>
      <c r="B29" s="7"/>
      <c r="C29" s="1024"/>
      <c r="D29" s="1024"/>
      <c r="E29" s="1024"/>
      <c r="F29" s="1024"/>
      <c r="G29" s="1024"/>
      <c r="H29" s="1024"/>
      <c r="I29" s="1024"/>
      <c r="J29" s="1027"/>
      <c r="K29" s="2"/>
      <c r="L29" s="2"/>
      <c r="M29" s="2"/>
      <c r="N29" s="2"/>
      <c r="O29" s="2"/>
      <c r="P29" s="2"/>
      <c r="Q29" s="2"/>
      <c r="R29" s="2"/>
      <c r="S29" s="2"/>
      <c r="T29" s="2"/>
      <c r="U29" s="2"/>
      <c r="V29" s="2"/>
      <c r="W29" s="2"/>
      <c r="X29" s="2"/>
      <c r="Y29" s="2"/>
      <c r="Z29" s="2"/>
    </row>
    <row r="30" spans="1:26" ht="39.75" customHeight="1" x14ac:dyDescent="0.2">
      <c r="A30" s="1015" t="str">
        <f>IF(OR($A$25=BDD!M17,$A$25=BDD!M24,$B$29=""),"","As-tu une fosse à fumier (50 tonnes)? Prix : 2500€. Ou une fosse à lisier (5000 litres) (si tu fais des porcins sur caillebottis… voir les règles)? Prix : 150€.")</f>
        <v/>
      </c>
      <c r="B30" s="7"/>
      <c r="C30" s="1024"/>
      <c r="D30" s="1024"/>
      <c r="E30" s="1024"/>
      <c r="F30" s="1024"/>
      <c r="G30" s="1024"/>
      <c r="H30" s="1024"/>
      <c r="I30" s="1024"/>
      <c r="J30" s="1027"/>
      <c r="K30" s="2"/>
      <c r="L30" s="2"/>
      <c r="M30" s="2"/>
      <c r="N30" s="2"/>
      <c r="O30" s="2"/>
      <c r="P30" s="2"/>
      <c r="Q30" s="2"/>
      <c r="R30" s="2"/>
      <c r="S30" s="2"/>
      <c r="T30" s="2"/>
      <c r="U30" s="2"/>
      <c r="V30" s="2"/>
      <c r="W30" s="2"/>
      <c r="X30" s="2"/>
      <c r="Y30" s="2"/>
      <c r="Z30" s="2"/>
    </row>
    <row r="31" spans="1:26" ht="25.5" customHeight="1" x14ac:dyDescent="0.2">
      <c r="A31" s="315" t="str">
        <f>IF($B$30="","",IF(OR($A$25=BDD!M16,$A$25=BDD!M18,$A$25=BDD!M23),"As-tu une salle de traite (5 robots)? Prix : 12500€ (mode normal) ou 17500€ (mode rapide).",""))</f>
        <v/>
      </c>
      <c r="B31" s="7"/>
      <c r="C31" s="1024"/>
      <c r="D31" s="1024"/>
      <c r="E31" s="1024"/>
      <c r="F31" s="1024"/>
      <c r="G31" s="1024"/>
      <c r="H31" s="1024"/>
      <c r="I31" s="1024"/>
      <c r="J31" s="1027"/>
      <c r="K31" s="2"/>
      <c r="L31" s="2"/>
      <c r="M31" s="2"/>
      <c r="N31" s="2"/>
      <c r="O31" s="2"/>
      <c r="P31" s="2"/>
      <c r="Q31" s="2"/>
      <c r="R31" s="2"/>
      <c r="S31" s="2"/>
      <c r="T31" s="2"/>
      <c r="U31" s="2"/>
      <c r="V31" s="2"/>
      <c r="W31" s="2"/>
      <c r="X31" s="2"/>
      <c r="Y31" s="2"/>
      <c r="Z31" s="2"/>
    </row>
    <row r="32" spans="1:26" x14ac:dyDescent="0.2">
      <c r="A32" s="315" t="str">
        <f>IF($B$31="","",IF($B$31=OUI,"As-tu une cuve à lait (100 litres)? Prix : 10€.",IF(AND($B$31=NON,$A$25=BDD!M16),"Attention : tu as un problème si tu penses faire du lait",IF(AND($B$31=NON,$A$25="N.C."),"Attention : tu as un problème si tu penses faire du lait",IF(AND($B$31=NON,$A$25=BDD!M23),"Attention : tu as un problème si tu penses faire du lait","")))))</f>
        <v/>
      </c>
      <c r="B32" s="7"/>
      <c r="C32" s="1024"/>
      <c r="D32" s="1024"/>
      <c r="E32" s="1024"/>
      <c r="F32" s="1024"/>
      <c r="G32" s="1024"/>
      <c r="H32" s="1024"/>
      <c r="I32" s="1024"/>
      <c r="J32" s="1027"/>
      <c r="K32" s="2"/>
      <c r="L32" s="2"/>
      <c r="M32" s="2"/>
      <c r="N32" s="2"/>
      <c r="O32" s="2"/>
      <c r="P32" s="2"/>
      <c r="Q32" s="2"/>
      <c r="R32" s="2"/>
      <c r="S32" s="2"/>
      <c r="T32" s="2"/>
      <c r="U32" s="2"/>
      <c r="V32" s="2"/>
      <c r="W32" s="2"/>
      <c r="X32" s="2"/>
      <c r="Y32" s="2"/>
      <c r="Z32" s="2"/>
    </row>
    <row r="33" spans="1:26" x14ac:dyDescent="0.2">
      <c r="A33" s="315" t="str">
        <f>IF(AND($A$25=BDD!M20,$B$30=OUI),"As-tu une salle de stockage à oeufs (500 oeufs)? Prix :250€.",IF(AND($B$32=NON,$A$25=BDD!M16),"Attention : tu as un problème si tu penses faire du lait",IF(AND($B$32=NON,$A$25="N.C."),"Attention : tu as un problème si tu penses faire du lait",IF(AND($B$32=OUI,$A$25=BDD!M23),"Attention : tu as un problème si tu penses faire du lait",""))))</f>
        <v/>
      </c>
      <c r="B33" s="7"/>
      <c r="C33" s="1024"/>
      <c r="D33" s="1024"/>
      <c r="E33" s="1024"/>
      <c r="F33" s="1024"/>
      <c r="G33" s="1024"/>
      <c r="H33" s="1024"/>
      <c r="I33" s="1024"/>
      <c r="J33" s="1027"/>
      <c r="K33" s="2"/>
      <c r="L33" s="2"/>
      <c r="M33" s="2"/>
      <c r="N33" s="2"/>
      <c r="O33" s="2"/>
      <c r="P33" s="2"/>
      <c r="Q33" s="2"/>
      <c r="R33" s="2"/>
      <c r="S33" s="2"/>
      <c r="T33" s="2"/>
      <c r="U33" s="2"/>
      <c r="V33" s="2"/>
      <c r="W33" s="2"/>
      <c r="X33" s="2"/>
      <c r="Y33" s="2"/>
      <c r="Z33" s="2"/>
    </row>
    <row r="34" spans="1:26" ht="27" customHeight="1" x14ac:dyDescent="0.2">
      <c r="A34" s="315" t="str">
        <f>IF($B$33="","",IF($A$25=BDD!M20,"As-tu une salle de conditionnement (5 robots)? Prix : 5000€ (mode normal) ou 11000€ (mode rapide).",""))</f>
        <v/>
      </c>
      <c r="B34" s="7"/>
      <c r="C34" s="1024"/>
      <c r="D34" s="1024"/>
      <c r="E34" s="1024"/>
      <c r="F34" s="1024"/>
      <c r="G34" s="1024"/>
      <c r="H34" s="1024"/>
      <c r="I34" s="1024"/>
      <c r="J34" s="1027"/>
      <c r="K34" s="2"/>
      <c r="L34" s="2"/>
      <c r="M34" s="2"/>
      <c r="N34" s="2"/>
      <c r="O34" s="2"/>
      <c r="P34" s="2"/>
      <c r="Q34" s="2"/>
      <c r="R34" s="2"/>
      <c r="S34" s="2"/>
      <c r="T34" s="2"/>
      <c r="U34" s="2"/>
      <c r="V34" s="2"/>
      <c r="W34" s="2"/>
      <c r="X34" s="2"/>
      <c r="Y34" s="2"/>
      <c r="Z34" s="2"/>
    </row>
    <row r="35" spans="1:26" ht="33" customHeight="1" x14ac:dyDescent="0.2">
      <c r="A35" s="1016" t="str">
        <f>IF($B$27=NON,"Ce n'est pas obligatoire, mais un entrepôt est conseillé... Ceci dit, tu peux continuer comme ca. On continue?",IF($B$30="","",IF(OR($B$26=NON,$B$28=NON,$B$29=NON,$B$30=NON,$B$31=NON,$B$32=NON,$B$33=NON,$B$34=NON),"Attention : tu n'as pas tout les bâtiments nécessaire!!",IF(AND(A25=BDD!M20,B34=""),"",G27))))</f>
        <v/>
      </c>
      <c r="B35" s="7"/>
      <c r="C35" s="1036"/>
      <c r="D35" s="1036"/>
      <c r="E35" s="1036"/>
      <c r="F35" s="1036"/>
      <c r="G35" s="1036"/>
      <c r="H35" s="1036"/>
      <c r="I35" s="1024"/>
      <c r="J35" s="1027"/>
      <c r="K35" s="2"/>
      <c r="L35" s="2"/>
      <c r="M35" s="2"/>
      <c r="N35" s="2"/>
      <c r="O35" s="2"/>
      <c r="P35" s="2"/>
      <c r="Q35" s="2"/>
      <c r="R35" s="2"/>
      <c r="S35" s="2"/>
      <c r="T35" s="2"/>
      <c r="U35" s="2"/>
      <c r="V35" s="2"/>
      <c r="W35" s="2"/>
      <c r="X35" s="2"/>
      <c r="Y35" s="2"/>
      <c r="Z35" s="2"/>
    </row>
    <row r="36" spans="1:26" x14ac:dyDescent="0.2">
      <c r="A36" s="1043" t="str">
        <f>IF($B$35="","",IF($B$35=NON,"Désolé mais si tu es déjà demotivé(e), ce n'est pas la peine que tu continues à perdre ton temps…","Allez, on va voir ce qu'il te faut comme matériel…"))</f>
        <v/>
      </c>
      <c r="B36" s="1044"/>
      <c r="C36" s="1024"/>
      <c r="D36" s="1024"/>
      <c r="E36" s="1024"/>
      <c r="F36" s="1024"/>
      <c r="G36" s="1024"/>
      <c r="H36" s="1024"/>
      <c r="I36" s="1024"/>
      <c r="J36" s="1027"/>
      <c r="K36" s="2"/>
      <c r="L36" s="2"/>
      <c r="M36" s="2"/>
      <c r="N36" s="2"/>
      <c r="O36" s="2"/>
      <c r="P36" s="2"/>
      <c r="Q36" s="2"/>
      <c r="R36" s="2"/>
      <c r="S36" s="2"/>
      <c r="T36" s="2"/>
      <c r="U36" s="2"/>
      <c r="V36" s="2"/>
      <c r="W36" s="2"/>
      <c r="X36" s="2"/>
      <c r="Y36" s="2"/>
      <c r="Z36" s="2"/>
    </row>
    <row r="37" spans="1:26" x14ac:dyDescent="0.2">
      <c r="A37" s="1018" t="str">
        <f>IF(OR($B$35=NON,$A$36=""),"","As-tu un tracteur (90 chevaux maximum)? Prix neuf : entre 24400€ et 55000€.")</f>
        <v/>
      </c>
      <c r="B37" s="7"/>
      <c r="C37" s="1024"/>
      <c r="D37" s="1024"/>
      <c r="E37" s="1024"/>
      <c r="F37" s="1024"/>
      <c r="G37" s="1024"/>
      <c r="H37" s="1024"/>
      <c r="I37" s="1024"/>
      <c r="J37" s="1027"/>
      <c r="K37" s="2"/>
      <c r="L37" s="2"/>
      <c r="M37" s="2"/>
      <c r="N37" s="2"/>
      <c r="O37" s="2"/>
      <c r="P37" s="2"/>
      <c r="Q37" s="2"/>
      <c r="R37" s="2"/>
      <c r="S37" s="2"/>
      <c r="T37" s="2"/>
      <c r="U37" s="2"/>
      <c r="V37" s="2"/>
      <c r="W37" s="2"/>
      <c r="X37" s="2"/>
      <c r="Y37" s="2"/>
      <c r="Z37" s="2"/>
    </row>
    <row r="38" spans="1:26" ht="27.75" customHeight="1" x14ac:dyDescent="0.2">
      <c r="A38" s="1018" t="str">
        <f>IF(OR($B$37=NON,$B$37=""),"","As-tu une benne (8/10 tonnes maximum)? Prix neuf : entre 5000€ et 11000€.")</f>
        <v/>
      </c>
      <c r="B38" s="7"/>
      <c r="C38" s="1445" t="str">
        <f>IF($B$37="","",IF($B$37=NON,"Euh… sans tracteur tu ne vas pas pouvoir continuer…","ATTENTION : lors d'achats de matériels tractés , vérifies que la puissance nécessaire soit inférieure ou égale à celle de ton tracteur!!!"))</f>
        <v/>
      </c>
      <c r="D38" s="1445"/>
      <c r="E38" s="1445"/>
      <c r="F38" s="1445"/>
      <c r="G38" s="1445"/>
      <c r="H38" s="1445"/>
      <c r="I38" s="1445"/>
      <c r="J38" s="1446"/>
      <c r="K38" s="8"/>
      <c r="L38" s="2"/>
      <c r="M38" s="2"/>
      <c r="N38" s="2"/>
      <c r="O38" s="2"/>
      <c r="P38" s="2"/>
      <c r="Q38" s="2"/>
      <c r="R38" s="2"/>
      <c r="S38" s="2"/>
      <c r="T38" s="2"/>
      <c r="U38" s="2"/>
      <c r="V38" s="2"/>
      <c r="W38" s="2"/>
      <c r="X38" s="2"/>
      <c r="Y38" s="2"/>
      <c r="Z38" s="2"/>
    </row>
    <row r="39" spans="1:26" ht="15" customHeight="1" x14ac:dyDescent="0.2">
      <c r="A39" s="1018" t="str">
        <f>IF($B$38="","","As-tu un plateau (6/8 tonnes maximum)? Prix neuf : entre 4000€ et 5000€.")</f>
        <v/>
      </c>
      <c r="B39" s="7"/>
      <c r="C39" s="1445"/>
      <c r="D39" s="1445"/>
      <c r="E39" s="1445"/>
      <c r="F39" s="1445"/>
      <c r="G39" s="1445"/>
      <c r="H39" s="1445"/>
      <c r="I39" s="1445"/>
      <c r="J39" s="1446"/>
      <c r="K39" s="8"/>
      <c r="L39" s="2"/>
      <c r="M39" s="2"/>
      <c r="N39" s="2"/>
      <c r="O39" s="2"/>
      <c r="P39" s="2"/>
      <c r="Q39" s="2"/>
      <c r="R39" s="2"/>
      <c r="S39" s="2"/>
      <c r="T39" s="2"/>
      <c r="U39" s="2"/>
      <c r="V39" s="2"/>
      <c r="W39" s="2"/>
      <c r="X39" s="2"/>
      <c r="Y39" s="2"/>
      <c r="Z39" s="2"/>
    </row>
    <row r="40" spans="1:26" x14ac:dyDescent="0.2">
      <c r="A40" s="1018" t="str">
        <f>IF($B$39="","",IF(OR($A$25=BDD!M16,$A$25=BDD!M17,$A$25=BDD!M18,$A$25=BDD!M19,$A$25=BDD!M23,$A$25=BDD!M24),"As-tu une bétaillère (4/6 tonnes)? Prix neuf : entre 2400€ et 3600€.",""))</f>
        <v/>
      </c>
      <c r="B40" s="7"/>
      <c r="C40" s="1445"/>
      <c r="D40" s="1445"/>
      <c r="E40" s="1445"/>
      <c r="F40" s="1445"/>
      <c r="G40" s="1445"/>
      <c r="H40" s="1445"/>
      <c r="I40" s="1445"/>
      <c r="J40" s="1446"/>
      <c r="K40" s="8"/>
      <c r="L40" s="2"/>
      <c r="M40" s="2"/>
      <c r="N40" s="2"/>
      <c r="O40" s="2"/>
      <c r="P40" s="2"/>
      <c r="Q40" s="2"/>
      <c r="R40" s="2"/>
      <c r="S40" s="2"/>
      <c r="T40" s="2"/>
      <c r="U40" s="2"/>
      <c r="V40" s="2"/>
      <c r="W40" s="2"/>
      <c r="X40" s="2"/>
      <c r="Y40" s="2"/>
      <c r="Z40" s="2"/>
    </row>
    <row r="41" spans="1:26" x14ac:dyDescent="0.2">
      <c r="A41" s="1018" t="str">
        <f>IF($B$39="","",IF(OR($A$25=BDD!M20,$A$25=BDD!M21,$A$25=BDD!M22,$A$25=BDD!M25),"As-tu un utilitaire (60ch minimum) ? Prix neuf : à partir de 7000€.",""))</f>
        <v/>
      </c>
      <c r="B41" s="7"/>
      <c r="C41" s="1024"/>
      <c r="D41" s="1024"/>
      <c r="E41" s="1024"/>
      <c r="F41" s="1024"/>
      <c r="G41" s="1024"/>
      <c r="H41" s="1024"/>
      <c r="I41" s="1024"/>
      <c r="J41" s="1027"/>
      <c r="K41" s="2"/>
      <c r="L41" s="2"/>
      <c r="M41" s="2"/>
      <c r="N41" s="2"/>
      <c r="O41" s="2"/>
      <c r="P41" s="2"/>
      <c r="Q41" s="2"/>
      <c r="R41" s="2"/>
      <c r="S41" s="2"/>
      <c r="T41" s="2"/>
      <c r="U41" s="2"/>
      <c r="V41" s="2"/>
      <c r="W41" s="2"/>
      <c r="X41" s="2"/>
      <c r="Y41" s="2"/>
      <c r="Z41" s="2"/>
    </row>
    <row r="42" spans="1:26" x14ac:dyDescent="0.2">
      <c r="A42" s="1018" t="str">
        <f>IF(OR($B$39="",$A$25&lt;&gt;BDD!M25),"",IF(AND(B41=OUI,$A$25=BDD!M25),"As-tu un van ? Prix neuf : à partir de 5500€.",""))</f>
        <v/>
      </c>
      <c r="B42" s="7"/>
      <c r="C42" s="1024"/>
      <c r="D42" s="1024"/>
      <c r="E42" s="1024"/>
      <c r="F42" s="1024"/>
      <c r="G42" s="1024"/>
      <c r="H42" s="1024"/>
      <c r="I42" s="1024"/>
      <c r="J42" s="1027"/>
      <c r="K42" s="2"/>
      <c r="L42" s="2"/>
      <c r="M42" s="2"/>
      <c r="N42" s="2"/>
      <c r="O42" s="2"/>
      <c r="P42" s="2"/>
      <c r="Q42" s="2"/>
      <c r="R42" s="2"/>
      <c r="S42" s="2"/>
      <c r="T42" s="2"/>
      <c r="U42" s="2"/>
      <c r="V42" s="2"/>
      <c r="W42" s="2"/>
      <c r="X42" s="2"/>
      <c r="Y42" s="2"/>
      <c r="Z42" s="2"/>
    </row>
    <row r="43" spans="1:26" ht="26.25" customHeight="1" x14ac:dyDescent="0.2">
      <c r="A43" s="1432" t="str">
        <f>IF(OR($B$37=NON,$B$38=NON,$B$39=NON,$B$40=NON,$B$41=NON,$B$42=NON,AND($A$25=BDD!LI1642=NON)),"Attention : tu n'as pas tout le matériel nécessaire!!",IF($B$40="","","Plus tard, si tu mets des animaux dans les prés (bovins, caprins, ovins ou bisons), il te faudra peut-être une tonne à eau (prix neuf :          à partir de 4100€). Tout dépend si tu dispose d'une source ou pas! Pour en savoir plus, regardes les règles!!"))</f>
        <v/>
      </c>
      <c r="B43" s="1433"/>
      <c r="C43" s="1433"/>
      <c r="D43" s="1433"/>
      <c r="E43" s="1433"/>
      <c r="F43" s="1024"/>
      <c r="G43" s="1024"/>
      <c r="H43" s="1024"/>
      <c r="I43" s="1024"/>
      <c r="J43" s="1027"/>
      <c r="K43" s="2"/>
      <c r="L43" s="2"/>
      <c r="M43" s="2"/>
      <c r="N43" s="2"/>
      <c r="O43" s="2"/>
      <c r="P43" s="2"/>
      <c r="Q43" s="2"/>
      <c r="R43" s="2"/>
      <c r="S43" s="2"/>
      <c r="T43" s="2"/>
      <c r="U43" s="2"/>
      <c r="V43" s="2"/>
      <c r="W43" s="2"/>
      <c r="X43" s="2"/>
      <c r="Y43" s="2"/>
      <c r="Z43" s="2"/>
    </row>
    <row r="44" spans="1:26" x14ac:dyDescent="0.2">
      <c r="A44" s="1035" t="str">
        <f>IF(OR($B$37=NON,$B$38=NON,$B$39=NON,$B$40=NON,$B$41=NON,$B$42=NON),"",IF(OR(AND($B$41=OUI,$A$25&lt;&gt;BDD!M25),AND($A$25=BDD!M25,B42=OUI)),"Maintenant, il te faut aller à la coopérative acheter les aliments correspondants à l'espèce animale que tu souhaites élever. Pour connaître ces aliments, vas voir les règles :)",IF($A$43="","",)))</f>
        <v/>
      </c>
      <c r="B44" s="1024"/>
      <c r="C44" s="1024"/>
      <c r="D44" s="1024"/>
      <c r="E44" s="1024"/>
      <c r="F44" s="1024"/>
      <c r="G44" s="1024"/>
      <c r="H44" s="1024"/>
      <c r="I44" s="1024"/>
      <c r="J44" s="1027"/>
      <c r="K44" s="2"/>
      <c r="L44" s="2"/>
      <c r="M44" s="2"/>
      <c r="N44" s="2"/>
      <c r="O44" s="2"/>
      <c r="P44" s="2"/>
      <c r="Q44" s="2"/>
      <c r="R44" s="2"/>
      <c r="S44" s="2"/>
      <c r="T44" s="2"/>
      <c r="U44" s="2"/>
      <c r="V44" s="2"/>
      <c r="W44" s="2"/>
      <c r="X44" s="2"/>
      <c r="Y44" s="2"/>
      <c r="Z44" s="2"/>
    </row>
    <row r="45" spans="1:26" x14ac:dyDescent="0.2">
      <c r="A45" s="1045"/>
      <c r="B45" s="1024"/>
      <c r="C45" s="1024"/>
      <c r="D45" s="1024"/>
      <c r="E45" s="1024"/>
      <c r="F45" s="1024"/>
      <c r="G45" s="1024"/>
      <c r="H45" s="1024"/>
      <c r="I45" s="1024"/>
      <c r="J45" s="1027"/>
      <c r="K45" s="2"/>
      <c r="L45" s="2"/>
      <c r="M45" s="2"/>
      <c r="N45" s="2"/>
      <c r="O45" s="2"/>
      <c r="P45" s="2"/>
      <c r="Q45" s="2"/>
      <c r="R45" s="2"/>
      <c r="S45" s="2"/>
      <c r="T45" s="2"/>
      <c r="U45" s="2"/>
      <c r="V45" s="2"/>
      <c r="W45" s="2"/>
      <c r="X45" s="2"/>
      <c r="Y45" s="2"/>
      <c r="Z45" s="2"/>
    </row>
    <row r="46" spans="1:26" ht="25.5" customHeight="1" x14ac:dyDescent="0.2">
      <c r="A46" s="1019" t="str">
        <f>IF($A$44="","","Tu as tout les aliments nécessaire, et aussi de la paille pour la litière (sauf si tu fais des bisons ou des bovins/porcins sur caillebottis)??")</f>
        <v/>
      </c>
      <c r="B46" s="7"/>
      <c r="C46" s="1036"/>
      <c r="D46" s="1036"/>
      <c r="E46" s="1036"/>
      <c r="F46" s="1036"/>
      <c r="G46" s="1036"/>
      <c r="H46" s="1036"/>
      <c r="I46" s="1024"/>
      <c r="J46" s="1027"/>
      <c r="K46" s="2"/>
      <c r="L46" s="2"/>
      <c r="M46" s="2"/>
      <c r="N46" s="2"/>
      <c r="O46" s="2"/>
      <c r="P46" s="2"/>
      <c r="Q46" s="2"/>
      <c r="R46" s="2"/>
      <c r="S46" s="2"/>
      <c r="T46" s="2"/>
      <c r="U46" s="2"/>
      <c r="V46" s="2"/>
      <c r="W46" s="2"/>
      <c r="X46" s="2"/>
      <c r="Y46" s="2"/>
      <c r="Z46" s="2"/>
    </row>
    <row r="47" spans="1:26" x14ac:dyDescent="0.2">
      <c r="A47" s="1043" t="str">
        <f>IF(OR($B$40=NON,$B$41=NON),"ATTENTION : tu n'as pas le matériel nécessaire pour aller chercher des animaux!!",IF($B$46="","",IF($B$46=NON,"Alors tu ne peux pas continuer l'aventure…",IF($B$46=OUI,"Alors c'est bon : tu as tout le nécessaire pour accueillir tes animaux!! Tu peux donc acheter tes 1ers animaux!!!"))))</f>
        <v/>
      </c>
      <c r="B47" s="1046"/>
      <c r="C47" s="1047"/>
      <c r="D47" s="1047"/>
      <c r="E47" s="1024"/>
      <c r="F47" s="1024"/>
      <c r="G47" s="1024"/>
      <c r="H47" s="1024"/>
      <c r="I47" s="1024"/>
      <c r="J47" s="1027"/>
      <c r="K47" s="2"/>
      <c r="L47" s="2"/>
      <c r="M47" s="2"/>
      <c r="N47" s="2"/>
      <c r="O47" s="2"/>
      <c r="P47" s="2"/>
      <c r="Q47" s="2"/>
      <c r="R47" s="2"/>
      <c r="S47" s="2"/>
      <c r="T47" s="2"/>
      <c r="U47" s="2"/>
      <c r="V47" s="2"/>
      <c r="W47" s="2"/>
      <c r="X47" s="2"/>
      <c r="Y47" s="2"/>
      <c r="Z47" s="2"/>
    </row>
    <row r="48" spans="1:26" ht="25.5" customHeight="1" x14ac:dyDescent="0.2">
      <c r="A48" s="1447" t="str">
        <f>IF(OR($B$46=NON,$B$40=NON,$A$47=""),""," Pour t'aider, un négociant en bestiaux te proposera quelques animaux de toutes les espèces... Vas voir les règles pour en savoir plus, sinon, tu peux aller à la coopérative voir si tu trouves ton bonheur!!")</f>
        <v/>
      </c>
      <c r="B48" s="1440"/>
      <c r="C48" s="1440"/>
      <c r="D48" s="1440"/>
      <c r="E48" s="1024"/>
      <c r="F48" s="1024"/>
      <c r="G48" s="1024"/>
      <c r="H48" s="1024"/>
      <c r="I48" s="1024"/>
      <c r="J48" s="1027"/>
      <c r="K48" s="2"/>
      <c r="L48" s="2"/>
      <c r="M48" s="2"/>
      <c r="N48" s="2"/>
      <c r="O48" s="2"/>
      <c r="P48" s="2"/>
      <c r="Q48" s="2"/>
      <c r="R48" s="2"/>
      <c r="S48" s="2"/>
      <c r="T48" s="2"/>
      <c r="U48" s="2"/>
      <c r="V48" s="2"/>
      <c r="W48" s="2"/>
      <c r="X48" s="2"/>
      <c r="Y48" s="2"/>
      <c r="Z48" s="2"/>
    </row>
    <row r="49" spans="1:26" x14ac:dyDescent="0.2">
      <c r="A49" s="1043" t="str">
        <f>IF($A$48="","","BON JEU A TOI!!! Et bienvenu(e) dans la communauté simagrienne!!!")</f>
        <v/>
      </c>
      <c r="B49" s="1024"/>
      <c r="C49" s="1024"/>
      <c r="D49" s="1024"/>
      <c r="E49" s="1024"/>
      <c r="F49" s="1024"/>
      <c r="G49" s="1024"/>
      <c r="H49" s="1024"/>
      <c r="I49" s="1024"/>
      <c r="J49" s="1027"/>
      <c r="K49" s="2"/>
      <c r="L49" s="2"/>
      <c r="M49" s="2"/>
      <c r="N49" s="2"/>
      <c r="O49" s="2"/>
      <c r="P49" s="2"/>
      <c r="Q49" s="2"/>
      <c r="R49" s="2"/>
      <c r="S49" s="2"/>
      <c r="T49" s="2"/>
      <c r="U49" s="2"/>
      <c r="V49" s="2"/>
      <c r="W49" s="2"/>
      <c r="X49" s="2"/>
      <c r="Y49" s="2"/>
      <c r="Z49" s="2"/>
    </row>
    <row r="50" spans="1:26" x14ac:dyDescent="0.2">
      <c r="A50" s="1045"/>
      <c r="B50" s="1024"/>
      <c r="C50" s="1024"/>
      <c r="D50" s="1024"/>
      <c r="E50" s="1024"/>
      <c r="F50" s="1024"/>
      <c r="G50" s="1024"/>
      <c r="H50" s="1024"/>
      <c r="I50" s="1024"/>
      <c r="J50" s="1027"/>
      <c r="K50" s="2"/>
      <c r="L50" s="2"/>
      <c r="M50" s="2"/>
      <c r="N50" s="2"/>
      <c r="O50" s="2"/>
      <c r="P50" s="2"/>
      <c r="Q50" s="2"/>
      <c r="R50" s="2"/>
      <c r="S50" s="2"/>
      <c r="T50" s="2"/>
      <c r="U50" s="2"/>
      <c r="V50" s="2"/>
      <c r="W50" s="2"/>
      <c r="X50" s="2"/>
      <c r="Y50" s="2"/>
      <c r="Z50" s="2"/>
    </row>
    <row r="51" spans="1:26" x14ac:dyDescent="0.2">
      <c r="A51" s="977" t="s">
        <v>242</v>
      </c>
      <c r="B51" s="1372" t="s">
        <v>162</v>
      </c>
      <c r="C51" s="1373"/>
      <c r="D51" s="1024"/>
      <c r="E51" s="1024"/>
      <c r="F51" s="1024"/>
      <c r="G51" s="1024"/>
      <c r="H51" s="1024"/>
      <c r="I51" s="1024"/>
      <c r="J51" s="1027"/>
      <c r="K51" s="2"/>
      <c r="L51" s="2"/>
      <c r="M51" s="2"/>
      <c r="N51" s="2"/>
      <c r="O51" s="2"/>
      <c r="P51" s="2"/>
      <c r="Q51" s="2"/>
      <c r="R51" s="2"/>
      <c r="S51" s="2"/>
      <c r="T51" s="2"/>
      <c r="U51" s="2"/>
      <c r="V51" s="2"/>
      <c r="W51" s="2"/>
      <c r="X51" s="2"/>
      <c r="Y51" s="2"/>
      <c r="Z51" s="2"/>
    </row>
    <row r="52" spans="1:26" ht="13.5" thickBot="1" x14ac:dyDescent="0.25">
      <c r="A52" s="1048"/>
      <c r="B52" s="1049"/>
      <c r="C52" s="1049"/>
      <c r="D52" s="1049"/>
      <c r="E52" s="1049"/>
      <c r="F52" s="1049"/>
      <c r="G52" s="1049"/>
      <c r="H52" s="1049"/>
      <c r="I52" s="1049"/>
      <c r="J52" s="1050"/>
      <c r="K52" s="2"/>
      <c r="L52" s="2"/>
      <c r="M52" s="2"/>
      <c r="N52" s="2"/>
      <c r="O52" s="2"/>
      <c r="P52" s="2"/>
      <c r="Q52" s="2"/>
      <c r="R52" s="2"/>
      <c r="S52" s="2"/>
      <c r="T52" s="2"/>
      <c r="U52" s="2"/>
      <c r="V52" s="2"/>
      <c r="W52" s="2"/>
      <c r="X52" s="2"/>
      <c r="Y52" s="2"/>
      <c r="Z52" s="2"/>
    </row>
    <row r="53" spans="1:26"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
      <c r="A54" s="10"/>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
      <c r="A56" s="9"/>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
      <c r="A57" s="10"/>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
      <c r="A67" s="11"/>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
      <c r="A69" s="1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
      <c r="A71" s="10"/>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
      <c r="A72" s="10"/>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
      <c r="A73" s="10"/>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
      <c r="A74" s="10"/>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
      <c r="A75" s="10"/>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
      <c r="A76" s="10"/>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
      <c r="A77" s="10"/>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
      <c r="A79" s="10"/>
      <c r="B79" s="2"/>
      <c r="C79" s="2"/>
      <c r="D79" s="2"/>
      <c r="E79" s="2"/>
      <c r="F79" s="2"/>
      <c r="G79" s="2"/>
      <c r="H79" s="2"/>
      <c r="I79" s="2"/>
      <c r="J79" s="2"/>
      <c r="K79" s="2"/>
      <c r="L79" s="2"/>
      <c r="M79" s="2"/>
      <c r="N79" s="2"/>
      <c r="O79" s="2"/>
      <c r="P79" s="2"/>
      <c r="Q79" s="2"/>
      <c r="R79" s="2"/>
      <c r="S79" s="2"/>
      <c r="T79" s="2"/>
      <c r="U79" s="2"/>
      <c r="V79" s="2"/>
      <c r="W79" s="2"/>
      <c r="X79" s="2"/>
      <c r="Y79" s="2"/>
      <c r="Z79" s="2"/>
    </row>
    <row r="81" spans="1:1" x14ac:dyDescent="0.2">
      <c r="A81" s="13"/>
    </row>
    <row r="83" spans="1:1" x14ac:dyDescent="0.2">
      <c r="A83" s="13"/>
    </row>
    <row r="85" spans="1:1" x14ac:dyDescent="0.2">
      <c r="A85" s="13"/>
    </row>
  </sheetData>
  <sheetProtection pivotTables="0"/>
  <customSheetViews>
    <customSheetView guid="{EE76D120-5D4A-4AD8-A1CB-952C682DC0B3}" showRuler="0">
      <pageMargins left="0.78740157499999996" right="0.78740157499999996" top="0.984251969" bottom="0.984251969" header="0.5" footer="0.5"/>
      <pageSetup paperSize="9" orientation="portrait" horizontalDpi="300" verticalDpi="300" r:id="rId1"/>
      <headerFooter alignWithMargins="0"/>
    </customSheetView>
  </customSheetViews>
  <mergeCells count="13">
    <mergeCell ref="A23:D23"/>
    <mergeCell ref="A43:E43"/>
    <mergeCell ref="B51:C51"/>
    <mergeCell ref="B25:I25"/>
    <mergeCell ref="C38:J40"/>
    <mergeCell ref="A48:D48"/>
    <mergeCell ref="C26:I26"/>
    <mergeCell ref="A2:H5"/>
    <mergeCell ref="A7:H16"/>
    <mergeCell ref="A22:H22"/>
    <mergeCell ref="C18:H19"/>
    <mergeCell ref="D21:H21"/>
    <mergeCell ref="B21:C21"/>
  </mergeCells>
  <phoneticPr fontId="0" type="noConversion"/>
  <conditionalFormatting sqref="K38:K40">
    <cfRule type="cellIs" priority="2" stopIfTrue="1" operator="equal">
      <formula>J38</formula>
    </cfRule>
    <cfRule type="cellIs" dxfId="397" priority="3" stopIfTrue="1" operator="notEqual">
      <formula>""""""</formula>
    </cfRule>
  </conditionalFormatting>
  <conditionalFormatting sqref="A22:H22">
    <cfRule type="cellIs" priority="4" stopIfTrue="1" operator="equal">
      <formula>""""""</formula>
    </cfRule>
    <cfRule type="expression" dxfId="396" priority="5" stopIfTrue="1">
      <formula>""""""</formula>
    </cfRule>
  </conditionalFormatting>
  <conditionalFormatting sqref="A23:D23">
    <cfRule type="expression" dxfId="395" priority="6" stopIfTrue="1">
      <formula>$A$19=Elevage</formula>
    </cfRule>
  </conditionalFormatting>
  <hyperlinks>
    <hyperlink ref="B21:C21" location="cultivateurs!A1" display="cultivateurs!A1"/>
    <hyperlink ref="B51:C51" location="notice!A1" display="Cliques → ICI ←"/>
  </hyperlinks>
  <pageMargins left="0.78740157499999996" right="0.78740157499999996" top="0.984251969" bottom="0.984251969" header="0.5" footer="0.5"/>
  <pageSetup paperSize="9" orientation="portrait" horizontalDpi="300" verticalDpi="300" r:id="rId2"/>
  <headerFooter alignWithMargins="0"/>
  <ignoredErrors>
    <ignoredError sqref="B21" unlockedFormula="1"/>
  </ignoredErrors>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BDD!$L$2:$L$3</xm:f>
          </x14:formula1>
          <xm:sqref>A19</xm:sqref>
        </x14:dataValidation>
        <x14:dataValidation type="list" allowBlank="1" showInputMessage="1" showErrorMessage="1">
          <x14:formula1>
            <xm:f>BDD!$M$2:$M$3</xm:f>
          </x14:formula1>
          <xm:sqref>B26:B35 B46 B37:B42</xm:sqref>
        </x14:dataValidation>
        <x14:dataValidation type="list" allowBlank="1" showInputMessage="1" showErrorMessage="1">
          <x14:formula1>
            <xm:f>BDD!$M$16:$M$25</xm:f>
          </x14:formula1>
          <xm:sqref>A25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C71"/>
  <sheetViews>
    <sheetView zoomScaleNormal="100" workbookViewId="0"/>
  </sheetViews>
  <sheetFormatPr baseColWidth="10" defaultColWidth="9.140625" defaultRowHeight="12.75" x14ac:dyDescent="0.2"/>
  <cols>
    <col min="1" max="1" width="58.28515625" style="125" customWidth="1"/>
    <col min="2" max="6" width="9.140625" style="125"/>
    <col min="7" max="7" width="19.42578125" style="125" customWidth="1"/>
    <col min="8" max="8" width="9.140625" style="125"/>
    <col min="9" max="9" width="4.7109375" style="125" customWidth="1"/>
    <col min="10" max="10" width="41.5703125" style="125" customWidth="1"/>
    <col min="11" max="16384" width="9.140625" style="125"/>
  </cols>
  <sheetData>
    <row r="1" spans="1:29" x14ac:dyDescent="0.2">
      <c r="A1" s="1055"/>
      <c r="B1" s="1056"/>
      <c r="C1" s="1056"/>
      <c r="D1" s="1056"/>
      <c r="E1" s="1056"/>
      <c r="F1" s="1056"/>
      <c r="G1" s="1056"/>
      <c r="H1" s="1056"/>
      <c r="I1" s="1057"/>
      <c r="J1" s="30"/>
      <c r="K1" s="30"/>
      <c r="L1" s="30"/>
      <c r="M1" s="30"/>
      <c r="N1" s="30"/>
      <c r="O1" s="30"/>
      <c r="P1" s="30"/>
      <c r="Q1" s="30"/>
      <c r="R1" s="30"/>
      <c r="S1" s="30"/>
      <c r="T1" s="30"/>
      <c r="U1" s="30"/>
      <c r="V1" s="30"/>
      <c r="W1" s="30"/>
      <c r="X1" s="30"/>
      <c r="Y1" s="30"/>
      <c r="Z1" s="30"/>
    </row>
    <row r="2" spans="1:29" ht="16.5" customHeight="1" x14ac:dyDescent="0.2">
      <c r="A2" s="1415" t="s">
        <v>341</v>
      </c>
      <c r="B2" s="1416"/>
      <c r="C2" s="1416"/>
      <c r="D2" s="1416"/>
      <c r="E2" s="1416"/>
      <c r="F2" s="1416"/>
      <c r="G2" s="1416"/>
      <c r="H2" s="1417"/>
      <c r="I2" s="1058"/>
      <c r="J2" s="4"/>
      <c r="K2" s="4"/>
      <c r="L2" s="4"/>
      <c r="M2" s="4"/>
      <c r="N2" s="4"/>
      <c r="O2" s="4"/>
      <c r="P2" s="4"/>
      <c r="Q2" s="4"/>
      <c r="R2" s="4"/>
      <c r="S2" s="120"/>
      <c r="T2" s="120"/>
      <c r="U2" s="120"/>
      <c r="V2" s="120"/>
      <c r="W2" s="120"/>
      <c r="X2" s="120"/>
      <c r="Y2" s="120"/>
      <c r="Z2" s="120"/>
      <c r="AA2" s="421"/>
      <c r="AB2" s="421"/>
      <c r="AC2" s="421"/>
    </row>
    <row r="3" spans="1:29" ht="16.5" customHeight="1" x14ac:dyDescent="0.2">
      <c r="A3" s="1418"/>
      <c r="B3" s="1419"/>
      <c r="C3" s="1419"/>
      <c r="D3" s="1419"/>
      <c r="E3" s="1419"/>
      <c r="F3" s="1419"/>
      <c r="G3" s="1419"/>
      <c r="H3" s="1420"/>
      <c r="I3" s="1058"/>
      <c r="J3" s="4"/>
      <c r="K3" s="4"/>
      <c r="L3" s="4"/>
      <c r="M3" s="4"/>
      <c r="N3" s="4"/>
      <c r="O3" s="4"/>
      <c r="P3" s="4"/>
      <c r="Q3" s="4"/>
      <c r="R3" s="4"/>
      <c r="S3" s="120"/>
      <c r="T3" s="120"/>
      <c r="U3" s="120"/>
      <c r="V3" s="120"/>
      <c r="W3" s="120"/>
      <c r="X3" s="120"/>
      <c r="Y3" s="120"/>
      <c r="Z3" s="120"/>
      <c r="AA3" s="421"/>
      <c r="AB3" s="421"/>
      <c r="AC3" s="421"/>
    </row>
    <row r="4" spans="1:29" ht="16.5" customHeight="1" x14ac:dyDescent="0.2">
      <c r="A4" s="1418"/>
      <c r="B4" s="1419"/>
      <c r="C4" s="1419"/>
      <c r="D4" s="1419"/>
      <c r="E4" s="1419"/>
      <c r="F4" s="1419"/>
      <c r="G4" s="1419"/>
      <c r="H4" s="1420"/>
      <c r="I4" s="1058"/>
      <c r="J4" s="4"/>
      <c r="K4" s="4"/>
      <c r="L4" s="4"/>
      <c r="M4" s="4"/>
      <c r="N4" s="4"/>
      <c r="O4" s="4"/>
      <c r="P4" s="4"/>
      <c r="Q4" s="4"/>
      <c r="R4" s="4"/>
      <c r="S4" s="120"/>
      <c r="T4" s="120"/>
      <c r="U4" s="120"/>
      <c r="V4" s="120"/>
      <c r="W4" s="120"/>
      <c r="X4" s="120"/>
      <c r="Y4" s="120"/>
      <c r="Z4" s="120"/>
      <c r="AA4" s="421"/>
      <c r="AB4" s="421"/>
      <c r="AC4" s="421"/>
    </row>
    <row r="5" spans="1:29" ht="16.5" customHeight="1" x14ac:dyDescent="0.2">
      <c r="A5" s="1421"/>
      <c r="B5" s="1422"/>
      <c r="C5" s="1422"/>
      <c r="D5" s="1422"/>
      <c r="E5" s="1422"/>
      <c r="F5" s="1422"/>
      <c r="G5" s="1422"/>
      <c r="H5" s="1423"/>
      <c r="I5" s="1058"/>
      <c r="J5" s="4"/>
      <c r="K5" s="4"/>
      <c r="L5" s="4"/>
      <c r="M5" s="4"/>
      <c r="N5" s="4"/>
      <c r="O5" s="4"/>
      <c r="P5" s="4"/>
      <c r="Q5" s="4"/>
      <c r="R5" s="4"/>
      <c r="S5" s="120"/>
      <c r="T5" s="120"/>
      <c r="U5" s="120"/>
      <c r="V5" s="120"/>
      <c r="W5" s="120"/>
      <c r="X5" s="120"/>
      <c r="Y5" s="120"/>
      <c r="Z5" s="120"/>
      <c r="AA5" s="421"/>
      <c r="AB5" s="421"/>
      <c r="AC5" s="421"/>
    </row>
    <row r="6" spans="1:29" x14ac:dyDescent="0.2">
      <c r="A6" s="295"/>
      <c r="B6" s="293"/>
      <c r="C6" s="293"/>
      <c r="D6" s="293"/>
      <c r="E6" s="293"/>
      <c r="F6" s="293"/>
      <c r="G6" s="293"/>
      <c r="H6" s="293"/>
      <c r="I6" s="1059"/>
      <c r="J6" s="30"/>
      <c r="K6" s="30"/>
      <c r="L6" s="30"/>
      <c r="M6" s="30"/>
      <c r="N6" s="30"/>
      <c r="O6" s="30"/>
      <c r="P6" s="30"/>
      <c r="Q6" s="30"/>
      <c r="R6" s="30"/>
      <c r="S6" s="30"/>
      <c r="T6" s="30"/>
      <c r="U6" s="30"/>
      <c r="V6" s="30"/>
      <c r="W6" s="30"/>
      <c r="X6" s="30"/>
      <c r="Y6" s="30"/>
      <c r="Z6" s="30"/>
    </row>
    <row r="7" spans="1:29" ht="23.25" customHeight="1" x14ac:dyDescent="0.2">
      <c r="A7" s="1424" t="s">
        <v>299</v>
      </c>
      <c r="B7" s="1425"/>
      <c r="C7" s="1425"/>
      <c r="D7" s="1425"/>
      <c r="E7" s="1425"/>
      <c r="F7" s="1425"/>
      <c r="G7" s="1425"/>
      <c r="H7" s="1426"/>
      <c r="I7" s="1059"/>
      <c r="J7" s="30"/>
      <c r="K7" s="30"/>
      <c r="L7" s="30"/>
      <c r="M7" s="30"/>
      <c r="N7" s="30"/>
      <c r="O7" s="30"/>
      <c r="P7" s="30"/>
      <c r="Q7" s="30"/>
      <c r="R7" s="30"/>
      <c r="S7" s="30"/>
      <c r="T7" s="30"/>
      <c r="U7" s="30"/>
      <c r="V7" s="30"/>
      <c r="W7" s="30"/>
      <c r="X7" s="30"/>
      <c r="Y7" s="30"/>
      <c r="Z7" s="30"/>
    </row>
    <row r="8" spans="1:29" ht="23.25" customHeight="1" x14ac:dyDescent="0.2">
      <c r="A8" s="1427"/>
      <c r="B8" s="1428"/>
      <c r="C8" s="1428"/>
      <c r="D8" s="1428"/>
      <c r="E8" s="1428"/>
      <c r="F8" s="1428"/>
      <c r="G8" s="1428"/>
      <c r="H8" s="1429"/>
      <c r="I8" s="1059"/>
      <c r="J8" s="30"/>
      <c r="K8" s="30"/>
      <c r="L8" s="30"/>
      <c r="M8" s="30"/>
      <c r="N8" s="30"/>
      <c r="O8" s="30"/>
      <c r="P8" s="30"/>
      <c r="Q8" s="30"/>
      <c r="R8" s="30"/>
      <c r="S8" s="30"/>
      <c r="T8" s="30"/>
      <c r="U8" s="30"/>
      <c r="V8" s="30"/>
      <c r="W8" s="30"/>
      <c r="X8" s="30"/>
      <c r="Y8" s="30"/>
      <c r="Z8" s="30"/>
    </row>
    <row r="9" spans="1:29" ht="23.25" customHeight="1" x14ac:dyDescent="0.2">
      <c r="A9" s="1427"/>
      <c r="B9" s="1428"/>
      <c r="C9" s="1428"/>
      <c r="D9" s="1428"/>
      <c r="E9" s="1428"/>
      <c r="F9" s="1428"/>
      <c r="G9" s="1428"/>
      <c r="H9" s="1429"/>
      <c r="I9" s="1059"/>
      <c r="J9" s="30"/>
      <c r="K9" s="30"/>
      <c r="L9" s="30"/>
      <c r="M9" s="30"/>
      <c r="N9" s="30"/>
      <c r="O9" s="30"/>
      <c r="P9" s="30"/>
      <c r="Q9" s="30"/>
      <c r="R9" s="30"/>
      <c r="S9" s="30"/>
      <c r="T9" s="30"/>
      <c r="U9" s="30"/>
      <c r="V9" s="30"/>
      <c r="W9" s="30"/>
      <c r="X9" s="30"/>
      <c r="Y9" s="30"/>
      <c r="Z9" s="30"/>
    </row>
    <row r="10" spans="1:29" ht="23.25" customHeight="1" x14ac:dyDescent="0.2">
      <c r="A10" s="1427"/>
      <c r="B10" s="1428"/>
      <c r="C10" s="1428"/>
      <c r="D10" s="1428"/>
      <c r="E10" s="1428"/>
      <c r="F10" s="1428"/>
      <c r="G10" s="1428"/>
      <c r="H10" s="1429"/>
      <c r="I10" s="1059"/>
      <c r="J10" s="30"/>
      <c r="K10" s="30"/>
      <c r="L10" s="30"/>
      <c r="M10" s="30"/>
      <c r="N10" s="30"/>
      <c r="O10" s="30"/>
      <c r="P10" s="30"/>
      <c r="Q10" s="30"/>
      <c r="R10" s="30"/>
      <c r="S10" s="30"/>
      <c r="T10" s="30"/>
      <c r="U10" s="30"/>
      <c r="V10" s="30"/>
      <c r="W10" s="30"/>
      <c r="X10" s="30"/>
      <c r="Y10" s="30"/>
      <c r="Z10" s="30"/>
    </row>
    <row r="11" spans="1:29" ht="23.25" customHeight="1" x14ac:dyDescent="0.2">
      <c r="A11" s="1427"/>
      <c r="B11" s="1428"/>
      <c r="C11" s="1428"/>
      <c r="D11" s="1428"/>
      <c r="E11" s="1428"/>
      <c r="F11" s="1428"/>
      <c r="G11" s="1428"/>
      <c r="H11" s="1429"/>
      <c r="I11" s="1059"/>
      <c r="J11" s="30"/>
      <c r="K11" s="30"/>
      <c r="L11" s="30"/>
      <c r="M11" s="30"/>
      <c r="N11" s="30"/>
      <c r="O11" s="30"/>
      <c r="P11" s="30"/>
      <c r="Q11" s="30"/>
      <c r="R11" s="30"/>
      <c r="S11" s="30"/>
      <c r="T11" s="30"/>
      <c r="U11" s="30"/>
      <c r="V11" s="30"/>
      <c r="W11" s="30"/>
      <c r="X11" s="30"/>
      <c r="Y11" s="30"/>
      <c r="Z11" s="30"/>
    </row>
    <row r="12" spans="1:29" ht="23.25" customHeight="1" x14ac:dyDescent="0.2">
      <c r="A12" s="1427"/>
      <c r="B12" s="1428"/>
      <c r="C12" s="1428"/>
      <c r="D12" s="1428"/>
      <c r="E12" s="1428"/>
      <c r="F12" s="1428"/>
      <c r="G12" s="1428"/>
      <c r="H12" s="1429"/>
      <c r="I12" s="1059"/>
      <c r="J12" s="30"/>
      <c r="K12" s="30"/>
      <c r="L12" s="30"/>
      <c r="M12" s="30"/>
      <c r="N12" s="30"/>
      <c r="O12" s="30"/>
      <c r="P12" s="30"/>
      <c r="Q12" s="30"/>
      <c r="R12" s="30"/>
      <c r="S12" s="30"/>
      <c r="T12" s="30"/>
      <c r="U12" s="30"/>
      <c r="V12" s="30"/>
      <c r="W12" s="30"/>
      <c r="X12" s="30"/>
      <c r="Y12" s="30"/>
      <c r="Z12" s="30"/>
    </row>
    <row r="13" spans="1:29" ht="23.25" customHeight="1" x14ac:dyDescent="0.2">
      <c r="A13" s="1427"/>
      <c r="B13" s="1428"/>
      <c r="C13" s="1428"/>
      <c r="D13" s="1428"/>
      <c r="E13" s="1428"/>
      <c r="F13" s="1428"/>
      <c r="G13" s="1428"/>
      <c r="H13" s="1429"/>
      <c r="I13" s="1059"/>
      <c r="J13" s="30"/>
      <c r="K13" s="30"/>
      <c r="L13" s="30"/>
      <c r="M13" s="30"/>
      <c r="N13" s="30"/>
      <c r="O13" s="30"/>
      <c r="P13" s="30"/>
      <c r="Q13" s="30"/>
      <c r="R13" s="30"/>
      <c r="S13" s="30"/>
      <c r="T13" s="30"/>
      <c r="U13" s="30"/>
      <c r="V13" s="30"/>
      <c r="W13" s="30"/>
      <c r="X13" s="30"/>
      <c r="Y13" s="30"/>
      <c r="Z13" s="30"/>
    </row>
    <row r="14" spans="1:29" ht="23.25" customHeight="1" x14ac:dyDescent="0.2">
      <c r="A14" s="1451"/>
      <c r="B14" s="1430"/>
      <c r="C14" s="1430"/>
      <c r="D14" s="1430"/>
      <c r="E14" s="1430"/>
      <c r="F14" s="1430"/>
      <c r="G14" s="1430"/>
      <c r="H14" s="1431"/>
      <c r="I14" s="1059"/>
      <c r="J14" s="30"/>
      <c r="K14" s="30"/>
      <c r="L14" s="30"/>
      <c r="M14" s="30"/>
      <c r="N14" s="30"/>
      <c r="O14" s="30"/>
      <c r="P14" s="30"/>
      <c r="Q14" s="30"/>
      <c r="R14" s="30"/>
      <c r="S14" s="30"/>
      <c r="T14" s="30"/>
      <c r="U14" s="30"/>
      <c r="V14" s="30"/>
      <c r="W14" s="30"/>
      <c r="X14" s="30"/>
      <c r="Y14" s="30"/>
      <c r="Z14" s="30"/>
    </row>
    <row r="15" spans="1:29" ht="13.5" thickBot="1" x14ac:dyDescent="0.25">
      <c r="A15" s="295"/>
      <c r="B15" s="293"/>
      <c r="C15" s="293"/>
      <c r="D15" s="293"/>
      <c r="E15" s="293"/>
      <c r="F15" s="293"/>
      <c r="G15" s="293"/>
      <c r="H15" s="293"/>
      <c r="I15" s="1060"/>
      <c r="J15" s="345"/>
      <c r="K15" s="221"/>
      <c r="L15" s="221"/>
      <c r="M15" s="221"/>
      <c r="N15" s="30"/>
      <c r="O15" s="30"/>
      <c r="P15" s="30"/>
      <c r="Q15" s="30"/>
      <c r="R15" s="30"/>
      <c r="S15" s="30"/>
      <c r="T15" s="30"/>
      <c r="U15" s="30"/>
      <c r="V15" s="30"/>
      <c r="W15" s="30"/>
      <c r="X15" s="30"/>
      <c r="Y15" s="30"/>
      <c r="Z15" s="30"/>
    </row>
    <row r="16" spans="1:29" ht="12.75" customHeight="1" x14ac:dyDescent="0.2">
      <c r="A16" s="315" t="s">
        <v>384</v>
      </c>
      <c r="B16" s="293"/>
      <c r="C16" s="1434" t="s">
        <v>377</v>
      </c>
      <c r="D16" s="1435"/>
      <c r="E16" s="1435"/>
      <c r="F16" s="1435"/>
      <c r="G16" s="1435"/>
      <c r="H16" s="1436"/>
      <c r="I16" s="1060"/>
      <c r="J16" s="345"/>
      <c r="K16" s="221"/>
      <c r="L16" s="221"/>
      <c r="M16" s="221"/>
      <c r="N16" s="30"/>
      <c r="O16" s="30"/>
      <c r="P16" s="30"/>
      <c r="Q16" s="30"/>
      <c r="R16" s="30"/>
      <c r="S16" s="30"/>
      <c r="T16" s="30"/>
      <c r="U16" s="30"/>
      <c r="V16" s="30"/>
      <c r="W16" s="30"/>
      <c r="X16" s="30"/>
      <c r="Y16" s="30"/>
      <c r="Z16" s="30"/>
    </row>
    <row r="17" spans="1:26" ht="13.5" thickBot="1" x14ac:dyDescent="0.25">
      <c r="A17" s="1051"/>
      <c r="B17" s="293"/>
      <c r="C17" s="1437"/>
      <c r="D17" s="1438"/>
      <c r="E17" s="1438"/>
      <c r="F17" s="1438"/>
      <c r="G17" s="1438"/>
      <c r="H17" s="1439"/>
      <c r="I17" s="1059"/>
      <c r="J17" s="30"/>
      <c r="K17" s="221"/>
      <c r="L17" s="221"/>
      <c r="M17" s="221"/>
      <c r="N17" s="30"/>
      <c r="O17" s="30"/>
      <c r="P17" s="30"/>
      <c r="Q17" s="30"/>
      <c r="R17" s="30"/>
      <c r="S17" s="30"/>
      <c r="T17" s="30"/>
      <c r="U17" s="30"/>
      <c r="V17" s="30"/>
      <c r="W17" s="30"/>
      <c r="X17" s="30"/>
      <c r="Y17" s="30"/>
      <c r="Z17" s="30"/>
    </row>
    <row r="18" spans="1:26" x14ac:dyDescent="0.2">
      <c r="A18" s="295" t="str">
        <f>IF($A$17="","",IF($A$17=Cultures,"Allez, c'est parti!!!","Désolé, tu ne cherches pas à faire de cultures…"))</f>
        <v/>
      </c>
      <c r="B18" s="293"/>
      <c r="C18" s="1061"/>
      <c r="D18" s="1061"/>
      <c r="E18" s="1061"/>
      <c r="F18" s="1061"/>
      <c r="G18" s="1061"/>
      <c r="H18" s="1061"/>
      <c r="I18" s="1059"/>
      <c r="J18" s="30"/>
      <c r="K18" s="221"/>
      <c r="L18" s="221"/>
      <c r="M18" s="221"/>
      <c r="N18" s="30"/>
      <c r="O18" s="30"/>
      <c r="P18" s="30"/>
      <c r="Q18" s="30"/>
      <c r="R18" s="30"/>
      <c r="S18" s="30"/>
      <c r="T18" s="30"/>
      <c r="U18" s="30"/>
      <c r="V18" s="30"/>
      <c r="W18" s="30"/>
      <c r="X18" s="30"/>
      <c r="Y18" s="30"/>
      <c r="Z18" s="30"/>
    </row>
    <row r="19" spans="1:26" ht="27" customHeight="1" x14ac:dyDescent="0.2">
      <c r="A19" s="1062" t="str">
        <f>IF($A$17=Cultures,"OK, futur(e) cultivateur/cultivatrice? Alors réponds aux questions suivantes… :",IF($A$17=Elevage,"OK, futur(e) éleveur/éleveuse? Alors …",""))</f>
        <v/>
      </c>
      <c r="B19" s="1454" t="str">
        <f>IF(OR($A$17="",$A$17=Cultures),"","Cliques → ICI ←")</f>
        <v/>
      </c>
      <c r="C19" s="1454"/>
      <c r="D19" s="293" t="str">
        <f>IF($A$17=Elevage,"puisque tu as choisis de faire de l'élevage!!!!","")</f>
        <v/>
      </c>
      <c r="E19" s="293"/>
      <c r="F19" s="293"/>
      <c r="G19" s="293"/>
      <c r="H19" s="293"/>
      <c r="I19" s="1059"/>
      <c r="J19" s="30"/>
      <c r="K19" s="221"/>
      <c r="L19" s="221"/>
      <c r="M19" s="221"/>
      <c r="N19" s="30"/>
      <c r="O19" s="30"/>
      <c r="P19" s="30"/>
      <c r="Q19" s="30"/>
      <c r="R19" s="30"/>
      <c r="S19" s="30"/>
      <c r="T19" s="30"/>
      <c r="U19" s="30"/>
      <c r="V19" s="30"/>
      <c r="W19" s="30"/>
      <c r="X19" s="30"/>
      <c r="Y19" s="30"/>
      <c r="Z19" s="30"/>
    </row>
    <row r="20" spans="1:26" ht="24.75" customHeight="1" x14ac:dyDescent="0.2">
      <c r="A20" s="1452" t="str">
        <f>IF($A$17=Cultures,"Petit conseil : Dans un 1er temps, n'achètes que le minimum qui te sera demandé ci-dessous. Si possible, achètes du matériel d'occasion, et passes par une ETA (Entreprise de Travaux Agricoles) pour travailler tes champs : ce te fera des économies….","")</f>
        <v/>
      </c>
      <c r="B20" s="1453"/>
      <c r="C20" s="1453"/>
      <c r="D20" s="1453"/>
      <c r="E20" s="1453"/>
      <c r="F20" s="1453"/>
      <c r="G20" s="1453"/>
      <c r="H20" s="1453"/>
      <c r="I20" s="1059"/>
      <c r="J20" s="30"/>
      <c r="K20" s="221"/>
      <c r="L20" s="221"/>
      <c r="M20" s="221"/>
      <c r="N20" s="30"/>
      <c r="O20" s="30"/>
      <c r="P20" s="30"/>
      <c r="Q20" s="30"/>
      <c r="R20" s="30"/>
      <c r="S20" s="30"/>
      <c r="T20" s="30"/>
      <c r="U20" s="30"/>
      <c r="V20" s="30"/>
      <c r="W20" s="30"/>
      <c r="X20" s="30"/>
      <c r="Y20" s="30"/>
      <c r="Z20" s="30"/>
    </row>
    <row r="21" spans="1:26" ht="39" customHeight="1" x14ac:dyDescent="0.2">
      <c r="A21" s="1455" t="s">
        <v>131</v>
      </c>
      <c r="B21" s="1456"/>
      <c r="C21" s="1456"/>
      <c r="D21" s="1456"/>
      <c r="E21" s="293"/>
      <c r="F21" s="293"/>
      <c r="G21" s="1063"/>
      <c r="H21" s="1063"/>
      <c r="I21" s="1059"/>
      <c r="J21" s="30"/>
      <c r="K21" s="221"/>
      <c r="L21" s="221"/>
      <c r="M21" s="221"/>
      <c r="N21" s="30"/>
      <c r="O21" s="30"/>
      <c r="P21" s="30"/>
      <c r="Q21" s="30"/>
      <c r="R21" s="30"/>
      <c r="S21" s="30"/>
      <c r="T21" s="30"/>
      <c r="U21" s="30"/>
      <c r="V21" s="30"/>
      <c r="W21" s="30"/>
      <c r="X21" s="30"/>
      <c r="Y21" s="30"/>
      <c r="Z21" s="30"/>
    </row>
    <row r="22" spans="1:26" x14ac:dyDescent="0.2">
      <c r="A22" s="315" t="str">
        <f>IF(OR($A$19="",$A$17=Elevage),"","As-tu un hangar (50/100 m²)? Prix : 1500€-3000€.")</f>
        <v/>
      </c>
      <c r="B22" s="7"/>
      <c r="C22" s="293"/>
      <c r="D22" s="293"/>
      <c r="E22" s="293"/>
      <c r="F22" s="293"/>
      <c r="G22" s="293"/>
      <c r="H22" s="293"/>
      <c r="I22" s="1059"/>
      <c r="J22" s="30"/>
      <c r="K22" s="30"/>
      <c r="L22" s="30"/>
      <c r="M22" s="30"/>
      <c r="N22" s="30"/>
      <c r="O22" s="30"/>
      <c r="P22" s="30"/>
      <c r="Q22" s="30"/>
      <c r="R22" s="30"/>
      <c r="S22" s="30"/>
      <c r="T22" s="30"/>
      <c r="U22" s="30"/>
      <c r="V22" s="30"/>
      <c r="W22" s="30"/>
      <c r="X22" s="30"/>
      <c r="Y22" s="30"/>
      <c r="Z22" s="30"/>
    </row>
    <row r="23" spans="1:26" x14ac:dyDescent="0.2">
      <c r="A23" s="315" t="str">
        <f>IF($B$22="","","As-tu un entrepôt (50 m²)? Prix : 2000€. (OPTIONNEL mais conseillé)")</f>
        <v/>
      </c>
      <c r="B23" s="7"/>
      <c r="C23" s="293"/>
      <c r="D23" s="293"/>
      <c r="E23" s="293"/>
      <c r="F23" s="293"/>
      <c r="G23" s="293"/>
      <c r="H23" s="293"/>
      <c r="I23" s="1059"/>
      <c r="J23" s="30"/>
      <c r="K23" s="30"/>
      <c r="L23" s="30"/>
      <c r="M23" s="30"/>
      <c r="N23" s="30"/>
      <c r="O23" s="30"/>
      <c r="P23" s="30"/>
      <c r="Q23" s="30"/>
      <c r="R23" s="30"/>
      <c r="S23" s="30"/>
      <c r="T23" s="30"/>
      <c r="U23" s="30"/>
      <c r="V23" s="30"/>
      <c r="W23" s="30"/>
      <c r="X23" s="30"/>
      <c r="Y23" s="30"/>
      <c r="Z23" s="30"/>
    </row>
    <row r="24" spans="1:26" ht="37.5" customHeight="1" x14ac:dyDescent="0.2">
      <c r="A24" s="1015" t="str">
        <f>IF($B$23="","","As-tu des silos (5 tonnes)? Prix : 1250€ par silo. (OPTIONNEL mais il t'en faudra 1 par culture si tu comptes stocker de la marchandise pour la revendre plus tard....)")</f>
        <v/>
      </c>
      <c r="B24" s="7"/>
      <c r="C24" s="293"/>
      <c r="D24" s="293"/>
      <c r="E24" s="293"/>
      <c r="F24" s="293"/>
      <c r="G24" s="293"/>
      <c r="H24" s="293"/>
      <c r="I24" s="1059"/>
      <c r="J24" s="30"/>
      <c r="K24" s="30"/>
      <c r="L24" s="30"/>
      <c r="M24" s="30"/>
      <c r="N24" s="30"/>
      <c r="O24" s="30"/>
      <c r="P24" s="30"/>
      <c r="Q24" s="30"/>
      <c r="R24" s="30"/>
      <c r="S24" s="30"/>
      <c r="T24" s="30"/>
      <c r="U24" s="30"/>
      <c r="V24" s="30"/>
      <c r="W24" s="30"/>
      <c r="X24" s="30"/>
      <c r="Y24" s="30"/>
      <c r="Z24" s="30"/>
    </row>
    <row r="25" spans="1:26" ht="24.75" customHeight="1" x14ac:dyDescent="0.2">
      <c r="A25" s="1016" t="str">
        <f>IF($B$22=NON,"Attention : tu n'as pas tout les bâtiments nécessaire!!",IF(OR($B$24="",$B$22=""),"","Ouf!!!! Tu as tout les bâtiments nécessaire!!! La 1e étape est faite… Toujours motivé(e) ?"))</f>
        <v/>
      </c>
      <c r="B25" s="7"/>
      <c r="C25" s="1061"/>
      <c r="D25" s="1061"/>
      <c r="E25" s="1061"/>
      <c r="F25" s="1061"/>
      <c r="G25" s="1061"/>
      <c r="H25" s="1061"/>
      <c r="I25" s="1059"/>
      <c r="J25" s="30"/>
      <c r="K25" s="30"/>
      <c r="L25" s="30"/>
      <c r="M25" s="30"/>
      <c r="N25" s="30"/>
      <c r="O25" s="30"/>
      <c r="P25" s="30"/>
      <c r="Q25" s="30"/>
      <c r="R25" s="30"/>
      <c r="S25" s="30"/>
      <c r="T25" s="30"/>
      <c r="U25" s="30"/>
      <c r="V25" s="30"/>
      <c r="W25" s="30"/>
      <c r="X25" s="30"/>
      <c r="Y25" s="30"/>
      <c r="Z25" s="30"/>
    </row>
    <row r="26" spans="1:26" x14ac:dyDescent="0.2">
      <c r="A26" s="1017" t="str">
        <f>IF($B$25="","",IF($B$25=NON,"Désolé mais si tu es déjà démotivé(e), ce n'est pas la peine que tu continues à perdre ton temps…","Allez, on va voir ce qu'il te faut comme matériel…"))</f>
        <v/>
      </c>
      <c r="B26" s="1052"/>
      <c r="C26" s="293"/>
      <c r="D26" s="293"/>
      <c r="E26" s="293"/>
      <c r="F26" s="293"/>
      <c r="G26" s="293"/>
      <c r="H26" s="293"/>
      <c r="I26" s="1059"/>
      <c r="J26" s="30"/>
      <c r="K26" s="30"/>
      <c r="L26" s="30"/>
      <c r="M26" s="30"/>
      <c r="N26" s="30"/>
      <c r="O26" s="30"/>
      <c r="P26" s="30"/>
      <c r="Q26" s="30"/>
      <c r="R26" s="30"/>
      <c r="S26" s="30"/>
      <c r="T26" s="30"/>
      <c r="U26" s="30"/>
      <c r="V26" s="30"/>
      <c r="W26" s="30"/>
      <c r="X26" s="30"/>
      <c r="Y26" s="30"/>
      <c r="Z26" s="30"/>
    </row>
    <row r="27" spans="1:26" ht="25.5" customHeight="1" x14ac:dyDescent="0.2">
      <c r="A27" s="1053" t="str">
        <f>IF(OR($B$25=NON,$A$26=""),"","As-tu un tracteur (90 chevaux maximum mais 80 maxi pour les vergers)? Prix neuf : entre 24400€ et 55000€.")</f>
        <v/>
      </c>
      <c r="B27" s="7"/>
      <c r="C27" s="293"/>
      <c r="D27" s="293"/>
      <c r="E27" s="293"/>
      <c r="F27" s="293"/>
      <c r="G27" s="293"/>
      <c r="H27" s="293"/>
      <c r="I27" s="1059"/>
      <c r="J27" s="30"/>
      <c r="K27" s="30"/>
      <c r="L27" s="30"/>
      <c r="M27" s="30"/>
      <c r="N27" s="30"/>
      <c r="O27" s="30"/>
      <c r="P27" s="30"/>
      <c r="Q27" s="30"/>
      <c r="R27" s="30"/>
      <c r="S27" s="30"/>
      <c r="T27" s="30"/>
      <c r="U27" s="30"/>
      <c r="V27" s="30"/>
      <c r="W27" s="30"/>
      <c r="X27" s="30"/>
      <c r="Y27" s="30"/>
      <c r="Z27" s="30"/>
    </row>
    <row r="28" spans="1:26" ht="25.5" customHeight="1" x14ac:dyDescent="0.2">
      <c r="A28" s="1018" t="str">
        <f>IF(OR($B$27=NON,$B$27=""),"","As-tu une benne (8/10 tonnes maximum)? Prix neuf : entre 5000€ et 11000€.")</f>
        <v/>
      </c>
      <c r="B28" s="7"/>
      <c r="C28" s="1450" t="str">
        <f>IF($B$27="","",IF($B$27=éleveurs!$I$18,"Euh… sans tracteur tu ne vas pas pouvoir continuer…","ATTENTION : lors d'achats de matériels tractés , vérifies que la puissance nécessaire soit inférieure ou égale à celle de ton tracteur!!!"))</f>
        <v/>
      </c>
      <c r="D28" s="1450"/>
      <c r="E28" s="1450"/>
      <c r="F28" s="1450"/>
      <c r="G28" s="1450"/>
      <c r="H28" s="1450"/>
      <c r="I28" s="1064"/>
      <c r="J28" s="14"/>
      <c r="K28" s="119"/>
      <c r="L28" s="30"/>
      <c r="M28" s="30"/>
      <c r="N28" s="30"/>
      <c r="O28" s="30"/>
      <c r="P28" s="30"/>
      <c r="Q28" s="30"/>
      <c r="R28" s="30"/>
      <c r="S28" s="30"/>
      <c r="T28" s="30"/>
      <c r="U28" s="30"/>
      <c r="V28" s="30"/>
      <c r="W28" s="30"/>
      <c r="X28" s="30"/>
      <c r="Y28" s="30"/>
      <c r="Z28" s="30"/>
    </row>
    <row r="29" spans="1:26" x14ac:dyDescent="0.2">
      <c r="A29" s="1018" t="str">
        <f>IF($B$28="","","As-tu un plateau (6/8 tonnes maximum)? Prix : entre 4000€ et 5000€.")</f>
        <v/>
      </c>
      <c r="B29" s="7"/>
      <c r="C29" s="1450"/>
      <c r="D29" s="1450"/>
      <c r="E29" s="1450"/>
      <c r="F29" s="1450"/>
      <c r="G29" s="1450"/>
      <c r="H29" s="1450"/>
      <c r="I29" s="1064"/>
      <c r="J29" s="14"/>
      <c r="K29" s="119"/>
      <c r="L29" s="30"/>
      <c r="M29" s="30"/>
      <c r="N29" s="30"/>
      <c r="O29" s="30"/>
      <c r="P29" s="30"/>
      <c r="Q29" s="30"/>
      <c r="R29" s="30"/>
      <c r="S29" s="30"/>
      <c r="T29" s="30"/>
      <c r="U29" s="30"/>
      <c r="V29" s="30"/>
      <c r="W29" s="30"/>
      <c r="X29" s="30"/>
      <c r="Y29" s="30"/>
      <c r="Z29" s="30"/>
    </row>
    <row r="30" spans="1:26" ht="27" customHeight="1" x14ac:dyDescent="0.2">
      <c r="A30" s="1452" t="str">
        <f>IF(OR($B$27="",$B$28="",$B$29=""),"",IF(AND($B$27=OUI,$B$28=OUI,$B$29=OUI),"Maintenant, il te faut aller à la coopérative acheter les semences, engrais et traitements nécessaire. Pour connaître les quantités, vas voir les règles!","Attention : tu n'as pas tout le matériel minimum nécessaire!!!!!"))</f>
        <v/>
      </c>
      <c r="B30" s="1453"/>
      <c r="C30" s="1453"/>
      <c r="D30" s="293"/>
      <c r="E30" s="293"/>
      <c r="F30" s="293"/>
      <c r="G30" s="293"/>
      <c r="H30" s="293"/>
      <c r="I30" s="1059"/>
      <c r="J30" s="30"/>
      <c r="K30" s="30"/>
      <c r="L30" s="30"/>
      <c r="M30" s="30"/>
      <c r="N30" s="30"/>
      <c r="O30" s="30"/>
      <c r="P30" s="30"/>
      <c r="Q30" s="30"/>
      <c r="R30" s="30"/>
      <c r="S30" s="30"/>
      <c r="T30" s="30"/>
      <c r="U30" s="30"/>
      <c r="V30" s="30"/>
      <c r="W30" s="30"/>
      <c r="X30" s="30"/>
      <c r="Y30" s="30"/>
      <c r="Z30" s="30"/>
    </row>
    <row r="31" spans="1:26" x14ac:dyDescent="0.2">
      <c r="A31" s="1054" t="str">
        <f>IF(OR($A$30="",$B$27=NON,$B$28=NON,$B$29=NON),"","As tu les semences nécessaire?")</f>
        <v/>
      </c>
      <c r="B31" s="7"/>
      <c r="C31" s="293"/>
      <c r="D31" s="293"/>
      <c r="E31" s="293"/>
      <c r="F31" s="293"/>
      <c r="G31" s="293"/>
      <c r="H31" s="293"/>
      <c r="I31" s="1059"/>
      <c r="J31" s="30"/>
      <c r="K31" s="30"/>
      <c r="L31" s="30"/>
      <c r="M31" s="30"/>
      <c r="N31" s="30"/>
      <c r="O31" s="30"/>
      <c r="P31" s="30"/>
      <c r="Q31" s="30"/>
      <c r="R31" s="30"/>
      <c r="S31" s="30"/>
      <c r="T31" s="30"/>
      <c r="U31" s="30"/>
      <c r="V31" s="30"/>
      <c r="W31" s="30"/>
      <c r="X31" s="30"/>
      <c r="Y31" s="30"/>
      <c r="Z31" s="30"/>
    </row>
    <row r="32" spans="1:26" x14ac:dyDescent="0.2">
      <c r="A32" s="295" t="str">
        <f>IF($B$31="","",IF($B$31=NON,"Alors tu ne peux pas continuer l'aventure…",IF($B$31=OUI,"Alors c'est bon : tu as tout le nécessaire pour commencer ta 1e culture. Plus tard, tu pourras acheter d'autres parcelles, pour cultiver encore plus!!!")))</f>
        <v/>
      </c>
      <c r="B32" s="1065"/>
      <c r="C32" s="1061"/>
      <c r="D32" s="1061"/>
      <c r="E32" s="1061"/>
      <c r="F32" s="1061"/>
      <c r="G32" s="1061"/>
      <c r="H32" s="1061"/>
      <c r="I32" s="1059"/>
      <c r="J32" s="30"/>
      <c r="K32" s="30"/>
      <c r="L32" s="30"/>
      <c r="M32" s="30"/>
      <c r="N32" s="30"/>
      <c r="O32" s="30"/>
      <c r="P32" s="30"/>
      <c r="Q32" s="30"/>
      <c r="R32" s="30"/>
      <c r="S32" s="30"/>
      <c r="T32" s="30"/>
      <c r="U32" s="30"/>
      <c r="V32" s="30"/>
      <c r="W32" s="30"/>
      <c r="X32" s="30"/>
      <c r="Y32" s="30"/>
      <c r="Z32" s="30"/>
    </row>
    <row r="33" spans="1:26" x14ac:dyDescent="0.2">
      <c r="A33" s="1066" t="str">
        <f>IF(OR($A$30="",$B$31=NON,$B$31="",$B$29=NON,$B$28=NON,$B$27=NON),"","BON JEU A TOI!!! Et bienvenu(e) dans la communauté simagrienne!!!")</f>
        <v/>
      </c>
      <c r="B33" s="293"/>
      <c r="C33" s="293"/>
      <c r="D33" s="293"/>
      <c r="E33" s="293"/>
      <c r="F33" s="293"/>
      <c r="G33" s="293"/>
      <c r="H33" s="293"/>
      <c r="I33" s="1059"/>
      <c r="J33" s="30"/>
      <c r="K33" s="30"/>
      <c r="L33" s="30"/>
      <c r="M33" s="30"/>
      <c r="N33" s="30"/>
      <c r="O33" s="30"/>
      <c r="P33" s="30"/>
      <c r="Q33" s="30"/>
      <c r="R33" s="30"/>
      <c r="S33" s="30"/>
      <c r="T33" s="30"/>
      <c r="U33" s="30"/>
      <c r="V33" s="30"/>
      <c r="W33" s="30"/>
      <c r="X33" s="30"/>
      <c r="Y33" s="30"/>
      <c r="Z33" s="30"/>
    </row>
    <row r="34" spans="1:26" x14ac:dyDescent="0.2">
      <c r="A34" s="977" t="str">
        <f>IF(éleveurs!A51="","",éleveurs!A51)</f>
        <v>RETOUR AU SOMMAIRE?</v>
      </c>
      <c r="B34" s="1372" t="s">
        <v>162</v>
      </c>
      <c r="C34" s="1373"/>
      <c r="D34" s="293"/>
      <c r="E34" s="293"/>
      <c r="F34" s="293"/>
      <c r="G34" s="293"/>
      <c r="H34" s="293"/>
      <c r="I34" s="1059"/>
      <c r="J34" s="30"/>
      <c r="K34" s="30"/>
      <c r="L34" s="30"/>
      <c r="M34" s="30"/>
      <c r="N34" s="30"/>
      <c r="O34" s="30"/>
      <c r="P34" s="30"/>
      <c r="Q34" s="30"/>
      <c r="R34" s="30"/>
      <c r="S34" s="30"/>
      <c r="T34" s="30"/>
      <c r="U34" s="30"/>
      <c r="V34" s="30"/>
      <c r="W34" s="30"/>
      <c r="X34" s="30"/>
      <c r="Y34" s="30"/>
      <c r="Z34" s="30"/>
    </row>
    <row r="35" spans="1:26" ht="13.5" thickBot="1" x14ac:dyDescent="0.25">
      <c r="A35" s="1069"/>
      <c r="B35" s="1067"/>
      <c r="C35" s="1067"/>
      <c r="D35" s="1067"/>
      <c r="E35" s="1067"/>
      <c r="F35" s="1067"/>
      <c r="G35" s="1067"/>
      <c r="H35" s="1067"/>
      <c r="I35" s="1068"/>
      <c r="J35" s="30"/>
      <c r="K35" s="30"/>
      <c r="L35" s="30"/>
      <c r="M35" s="30"/>
      <c r="N35" s="30"/>
      <c r="O35" s="30"/>
      <c r="P35" s="30"/>
      <c r="Q35" s="30"/>
      <c r="R35" s="30"/>
      <c r="S35" s="30"/>
      <c r="T35" s="30"/>
      <c r="U35" s="30"/>
      <c r="V35" s="30"/>
      <c r="W35" s="30"/>
      <c r="X35" s="30"/>
      <c r="Y35" s="30"/>
      <c r="Z35" s="30"/>
    </row>
    <row r="36" spans="1:26" x14ac:dyDescent="0.2">
      <c r="A36" s="422"/>
      <c r="B36" s="30"/>
      <c r="C36" s="30"/>
      <c r="D36" s="30"/>
      <c r="E36" s="30"/>
      <c r="F36" s="30"/>
      <c r="G36" s="30"/>
      <c r="H36" s="30"/>
      <c r="I36" s="30"/>
      <c r="J36" s="30"/>
      <c r="K36" s="30"/>
      <c r="L36" s="30"/>
      <c r="M36" s="30"/>
      <c r="N36" s="30"/>
      <c r="O36" s="30"/>
      <c r="P36" s="30"/>
      <c r="Q36" s="30"/>
      <c r="R36" s="30"/>
      <c r="S36" s="30"/>
      <c r="T36" s="30"/>
      <c r="U36" s="30"/>
      <c r="V36" s="30"/>
      <c r="W36" s="30"/>
      <c r="X36" s="30"/>
      <c r="Y36" s="30"/>
      <c r="Z36" s="30"/>
    </row>
    <row r="37" spans="1:26"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row>
    <row r="38" spans="1:26" x14ac:dyDescent="0.2">
      <c r="A38" s="422"/>
      <c r="B38" s="30"/>
      <c r="C38" s="30"/>
      <c r="D38" s="30"/>
      <c r="E38" s="30"/>
      <c r="F38" s="30"/>
      <c r="G38" s="30"/>
      <c r="H38" s="30"/>
      <c r="I38" s="30"/>
      <c r="J38" s="30"/>
      <c r="K38" s="30"/>
      <c r="L38" s="30"/>
      <c r="M38" s="30"/>
      <c r="N38" s="30"/>
      <c r="O38" s="30"/>
      <c r="P38" s="30"/>
      <c r="Q38" s="30"/>
      <c r="R38" s="30"/>
      <c r="S38" s="30"/>
      <c r="T38" s="30"/>
      <c r="U38" s="30"/>
      <c r="V38" s="30"/>
      <c r="W38" s="30"/>
      <c r="X38" s="30"/>
      <c r="Y38" s="30"/>
      <c r="Z38" s="30"/>
    </row>
    <row r="39" spans="1:26"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6" x14ac:dyDescent="0.2">
      <c r="A40" s="422"/>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6"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6" x14ac:dyDescent="0.2">
      <c r="A42" s="33"/>
      <c r="B42" s="30"/>
      <c r="C42" s="30"/>
      <c r="D42" s="30"/>
      <c r="E42" s="30"/>
      <c r="F42" s="30"/>
      <c r="G42" s="30"/>
      <c r="H42" s="30"/>
      <c r="I42" s="30"/>
      <c r="J42" s="30"/>
      <c r="K42" s="30"/>
      <c r="L42" s="30"/>
      <c r="M42" s="30"/>
      <c r="N42" s="30"/>
      <c r="O42" s="30"/>
      <c r="P42" s="30"/>
      <c r="Q42" s="30"/>
      <c r="R42" s="30"/>
      <c r="S42" s="30"/>
      <c r="T42" s="30"/>
      <c r="U42" s="30"/>
      <c r="V42" s="30"/>
      <c r="W42" s="30"/>
      <c r="X42" s="30"/>
      <c r="Y42" s="30"/>
      <c r="Z42" s="30"/>
    </row>
    <row r="43" spans="1:26" x14ac:dyDescent="0.2">
      <c r="A43" s="422"/>
      <c r="B43" s="30"/>
      <c r="C43" s="30"/>
      <c r="D43" s="30"/>
      <c r="E43" s="30"/>
      <c r="F43" s="30"/>
      <c r="G43" s="30"/>
      <c r="H43" s="30"/>
      <c r="I43" s="30"/>
      <c r="J43" s="30"/>
      <c r="K43" s="30"/>
      <c r="L43" s="30"/>
      <c r="M43" s="30"/>
      <c r="N43" s="30"/>
      <c r="O43" s="30"/>
      <c r="P43" s="30"/>
      <c r="Q43" s="30"/>
      <c r="R43" s="30"/>
      <c r="S43" s="30"/>
      <c r="T43" s="30"/>
      <c r="U43" s="30"/>
      <c r="V43" s="30"/>
      <c r="W43" s="30"/>
      <c r="X43" s="30"/>
      <c r="Y43" s="30"/>
      <c r="Z43" s="30"/>
    </row>
    <row r="44" spans="1:26" x14ac:dyDescent="0.2">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row>
    <row r="45" spans="1:26"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row>
    <row r="46" spans="1:26"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row>
    <row r="47" spans="1:26" x14ac:dyDescent="0.2">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row>
    <row r="48" spans="1:26"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x14ac:dyDescent="0.2">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row>
    <row r="51" spans="1:26"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row>
    <row r="52" spans="1:26" x14ac:dyDescent="0.2">
      <c r="A52" s="30"/>
      <c r="B52" s="30"/>
      <c r="C52" s="30"/>
      <c r="D52" s="30"/>
      <c r="E52" s="30"/>
      <c r="F52" s="30"/>
      <c r="G52" s="30"/>
      <c r="H52" s="30"/>
      <c r="I52" s="30"/>
      <c r="J52" s="30"/>
      <c r="K52" s="30"/>
      <c r="L52" s="30"/>
      <c r="M52" s="30"/>
      <c r="N52" s="30"/>
      <c r="O52" s="30"/>
      <c r="P52" s="30"/>
      <c r="Q52" s="30"/>
      <c r="R52" s="30"/>
      <c r="S52" s="30"/>
      <c r="T52" s="30"/>
      <c r="U52" s="30"/>
      <c r="V52" s="30"/>
      <c r="W52" s="30"/>
      <c r="X52" s="30"/>
      <c r="Y52" s="30"/>
      <c r="Z52" s="30"/>
    </row>
    <row r="53" spans="1:26" x14ac:dyDescent="0.2">
      <c r="A53" s="423"/>
      <c r="B53" s="30"/>
      <c r="C53" s="30"/>
      <c r="D53" s="30"/>
      <c r="E53" s="30"/>
      <c r="F53" s="30"/>
      <c r="G53" s="30"/>
      <c r="H53" s="30"/>
      <c r="I53" s="30"/>
      <c r="J53" s="30"/>
      <c r="K53" s="30"/>
      <c r="L53" s="30"/>
      <c r="M53" s="30"/>
      <c r="N53" s="30"/>
      <c r="O53" s="30"/>
      <c r="P53" s="30"/>
      <c r="Q53" s="30"/>
      <c r="R53" s="30"/>
      <c r="S53" s="30"/>
      <c r="T53" s="30"/>
      <c r="U53" s="30"/>
      <c r="V53" s="30"/>
      <c r="W53" s="30"/>
      <c r="X53" s="30"/>
      <c r="Y53" s="30"/>
      <c r="Z53" s="30"/>
    </row>
    <row r="54" spans="1:26" x14ac:dyDescent="0.2">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row>
    <row r="55" spans="1:26" x14ac:dyDescent="0.2">
      <c r="A55" s="424"/>
      <c r="B55" s="30"/>
      <c r="C55" s="30"/>
      <c r="D55" s="30"/>
      <c r="E55" s="30"/>
      <c r="F55" s="30"/>
      <c r="G55" s="30"/>
      <c r="H55" s="30"/>
      <c r="I55" s="30"/>
      <c r="J55" s="30"/>
      <c r="K55" s="30"/>
      <c r="L55" s="30"/>
      <c r="M55" s="30"/>
      <c r="N55" s="30"/>
      <c r="O55" s="30"/>
      <c r="P55" s="30"/>
      <c r="Q55" s="30"/>
      <c r="R55" s="30"/>
      <c r="S55" s="30"/>
      <c r="T55" s="30"/>
      <c r="U55" s="30"/>
      <c r="V55" s="30"/>
      <c r="W55" s="30"/>
      <c r="X55" s="30"/>
      <c r="Y55" s="30"/>
      <c r="Z55" s="30"/>
    </row>
    <row r="56" spans="1:26" x14ac:dyDescent="0.2">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x14ac:dyDescent="0.2">
      <c r="A57" s="422"/>
      <c r="B57" s="30"/>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x14ac:dyDescent="0.2">
      <c r="A58" s="422"/>
      <c r="B58" s="30"/>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x14ac:dyDescent="0.2">
      <c r="A59" s="422"/>
      <c r="B59" s="30"/>
      <c r="C59" s="30"/>
      <c r="D59" s="30"/>
      <c r="E59" s="30"/>
      <c r="F59" s="30"/>
      <c r="G59" s="30"/>
      <c r="H59" s="30"/>
      <c r="I59" s="30"/>
      <c r="J59" s="30"/>
      <c r="K59" s="30"/>
      <c r="L59" s="30"/>
      <c r="M59" s="30"/>
      <c r="N59" s="30"/>
      <c r="O59" s="30"/>
      <c r="P59" s="30"/>
      <c r="Q59" s="30"/>
      <c r="R59" s="30"/>
      <c r="S59" s="30"/>
      <c r="T59" s="30"/>
      <c r="U59" s="30"/>
      <c r="V59" s="30"/>
      <c r="W59" s="30"/>
      <c r="X59" s="30"/>
      <c r="Y59" s="30"/>
      <c r="Z59" s="30"/>
    </row>
    <row r="60" spans="1:26" x14ac:dyDescent="0.2">
      <c r="A60" s="422"/>
      <c r="B60" s="30"/>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x14ac:dyDescent="0.2">
      <c r="A61" s="422"/>
      <c r="B61" s="30"/>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x14ac:dyDescent="0.2">
      <c r="A62" s="422"/>
      <c r="B62" s="30"/>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x14ac:dyDescent="0.2">
      <c r="A63" s="422"/>
      <c r="B63" s="30"/>
      <c r="C63" s="30"/>
      <c r="D63" s="30"/>
      <c r="E63" s="30"/>
      <c r="F63" s="30"/>
      <c r="G63" s="30"/>
      <c r="H63" s="30"/>
      <c r="I63" s="30"/>
      <c r="J63" s="30"/>
      <c r="K63" s="30"/>
      <c r="L63" s="30"/>
      <c r="M63" s="30"/>
      <c r="N63" s="30"/>
      <c r="O63" s="30"/>
      <c r="P63" s="30"/>
      <c r="Q63" s="30"/>
      <c r="R63" s="30"/>
      <c r="S63" s="30"/>
      <c r="T63" s="30"/>
      <c r="U63" s="30"/>
      <c r="V63" s="30"/>
      <c r="W63" s="30"/>
      <c r="X63" s="30"/>
      <c r="Y63" s="30"/>
      <c r="Z63" s="30"/>
    </row>
    <row r="64" spans="1:26"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row>
    <row r="65" spans="1:26" x14ac:dyDescent="0.2">
      <c r="A65" s="422"/>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7" spans="1:26" x14ac:dyDescent="0.2">
      <c r="A67" s="425"/>
    </row>
    <row r="69" spans="1:26" x14ac:dyDescent="0.2">
      <c r="A69" s="425"/>
    </row>
    <row r="71" spans="1:26" x14ac:dyDescent="0.2">
      <c r="A71" s="425"/>
    </row>
  </sheetData>
  <sheetProtection pivotTables="0"/>
  <customSheetViews>
    <customSheetView guid="{EE76D120-5D4A-4AD8-A1CB-952C682DC0B3}" showRuler="0">
      <pageMargins left="0.78740157499999996" right="0.78740157499999996" top="0.984251969" bottom="0.984251969" header="0.5" footer="0.5"/>
      <headerFooter alignWithMargins="0"/>
    </customSheetView>
  </customSheetViews>
  <mergeCells count="9">
    <mergeCell ref="C28:H29"/>
    <mergeCell ref="A2:H5"/>
    <mergeCell ref="A7:H14"/>
    <mergeCell ref="B34:C34"/>
    <mergeCell ref="A20:H20"/>
    <mergeCell ref="B19:C19"/>
    <mergeCell ref="A30:C30"/>
    <mergeCell ref="A21:D21"/>
    <mergeCell ref="C16:H17"/>
  </mergeCells>
  <phoneticPr fontId="0" type="noConversion"/>
  <conditionalFormatting sqref="K28:K29">
    <cfRule type="cellIs" priority="10" stopIfTrue="1" operator="equal">
      <formula>J28</formula>
    </cfRule>
    <cfRule type="cellIs" dxfId="394" priority="11" stopIfTrue="1" operator="notEqual">
      <formula>""""""</formula>
    </cfRule>
  </conditionalFormatting>
  <conditionalFormatting sqref="A20:H20">
    <cfRule type="cellIs" priority="12" stopIfTrue="1" operator="equal">
      <formula>""""""</formula>
    </cfRule>
    <cfRule type="expression" dxfId="393" priority="13" stopIfTrue="1">
      <formula>""""""</formula>
    </cfRule>
  </conditionalFormatting>
  <conditionalFormatting sqref="A21:D21">
    <cfRule type="expression" dxfId="392" priority="14" stopIfTrue="1">
      <formula>$A$17=Cultures</formula>
    </cfRule>
  </conditionalFormatting>
  <hyperlinks>
    <hyperlink ref="B19:C19" location="éleveurs!A1" display="éleveurs!A1"/>
    <hyperlink ref="B34:C34" location="notice!A1" display="Cliques → ICI ←"/>
  </hyperlinks>
  <pageMargins left="0.78740157499999996" right="0.78740157499999996" top="0.984251969" bottom="0.984251969" header="0.5" footer="0.5"/>
  <headerFooter alignWithMargins="0"/>
  <ignoredErrors>
    <ignoredError sqref="B19"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BDD!$L$2:$L$3</xm:f>
          </x14:formula1>
          <xm:sqref>A17</xm:sqref>
        </x14:dataValidation>
        <x14:dataValidation type="list" allowBlank="1" showInputMessage="1" showErrorMessage="1">
          <x14:formula1>
            <xm:f>BDD!$M$2:$M$3</xm:f>
          </x14:formula1>
          <xm:sqref>B22:B25 B27:B29 B31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280"/>
  <sheetViews>
    <sheetView zoomScaleNormal="100" workbookViewId="0"/>
  </sheetViews>
  <sheetFormatPr baseColWidth="10" defaultColWidth="9.140625" defaultRowHeight="12.75" x14ac:dyDescent="0.2"/>
  <cols>
    <col min="1" max="1" width="19.28515625" style="125" customWidth="1"/>
    <col min="2" max="2" width="33.42578125" style="125" bestFit="1" customWidth="1"/>
    <col min="3" max="3" width="16.28515625" style="125" customWidth="1"/>
    <col min="4" max="4" width="22.5703125" style="125" customWidth="1"/>
    <col min="5" max="5" width="17.140625" style="125" bestFit="1" customWidth="1"/>
    <col min="6" max="6" width="16.42578125" style="125" bestFit="1" customWidth="1"/>
    <col min="7" max="7" width="13.85546875" style="125" customWidth="1"/>
    <col min="8" max="8" width="17.140625" style="125" bestFit="1" customWidth="1"/>
    <col min="9" max="9" width="9.140625" style="125" customWidth="1"/>
    <col min="10" max="10" width="20.5703125" style="125" bestFit="1" customWidth="1"/>
    <col min="11" max="12" width="9.140625" style="125" customWidth="1"/>
    <col min="13" max="13" width="27.42578125" style="32" bestFit="1" customWidth="1"/>
    <col min="14" max="14" width="19" style="121" customWidth="1"/>
    <col min="15" max="15" width="9.140625" style="121"/>
    <col min="16" max="16" width="9.140625" style="169"/>
    <col min="17" max="35" width="9.140625" style="85"/>
    <col min="36" max="36" width="9.140625" style="122"/>
    <col min="37" max="37" width="9.140625" style="124"/>
    <col min="38" max="40" width="9.140625" style="122"/>
    <col min="41" max="79" width="9.140625" style="32"/>
    <col min="80" max="16384" width="9.140625" style="125"/>
  </cols>
  <sheetData>
    <row r="1" spans="1:81" ht="12.75" customHeight="1" x14ac:dyDescent="0.2">
      <c r="A1" s="80"/>
      <c r="B1" s="67" t="s">
        <v>745</v>
      </c>
      <c r="C1" s="1470" t="s">
        <v>162</v>
      </c>
      <c r="D1" s="1471"/>
      <c r="E1" s="80"/>
      <c r="F1" s="80"/>
      <c r="G1" s="80"/>
      <c r="H1" s="80"/>
      <c r="I1" s="80"/>
      <c r="J1" s="80"/>
      <c r="K1" s="80"/>
      <c r="L1" s="80"/>
      <c r="M1" s="80"/>
      <c r="N1" s="80"/>
      <c r="P1" s="122"/>
      <c r="Y1" s="123"/>
      <c r="AJ1" s="85"/>
      <c r="AK1" s="122"/>
      <c r="AL1" s="124"/>
      <c r="AO1" s="122"/>
    </row>
    <row r="2" spans="1:81" ht="12.75" customHeight="1" x14ac:dyDescent="0.2">
      <c r="A2" s="80"/>
      <c r="B2" s="80"/>
      <c r="C2" s="80"/>
      <c r="D2" s="80"/>
      <c r="E2" s="80"/>
      <c r="F2" s="80"/>
      <c r="G2" s="80"/>
      <c r="H2" s="80"/>
      <c r="I2" s="80"/>
      <c r="J2" s="80"/>
      <c r="K2" s="80"/>
      <c r="L2" s="80"/>
      <c r="M2" s="80"/>
      <c r="N2" s="80"/>
      <c r="P2" s="122"/>
      <c r="V2" s="126"/>
      <c r="AJ2" s="85"/>
      <c r="AK2" s="122"/>
      <c r="AL2" s="124"/>
      <c r="AO2" s="122"/>
    </row>
    <row r="3" spans="1:81" ht="12.75" customHeight="1" x14ac:dyDescent="0.2">
      <c r="A3" s="80"/>
      <c r="B3" s="80"/>
      <c r="C3" s="80"/>
      <c r="D3" s="110" t="s">
        <v>406</v>
      </c>
      <c r="E3" s="80"/>
      <c r="F3" s="80"/>
      <c r="G3" s="80"/>
      <c r="H3" s="80"/>
      <c r="I3" s="80"/>
      <c r="J3" s="80"/>
      <c r="K3" s="80"/>
      <c r="L3" s="80"/>
      <c r="M3" s="80"/>
      <c r="N3" s="80"/>
      <c r="P3" s="122"/>
      <c r="V3" s="126"/>
      <c r="AJ3" s="85"/>
      <c r="AK3" s="122"/>
      <c r="AL3" s="124"/>
      <c r="AO3" s="122"/>
    </row>
    <row r="4" spans="1:81" ht="12.75" customHeight="1" x14ac:dyDescent="0.2">
      <c r="A4" s="80"/>
      <c r="B4" s="80"/>
      <c r="C4" s="80"/>
      <c r="D4" s="127"/>
      <c r="E4" s="80"/>
      <c r="F4" s="80"/>
      <c r="G4" s="80"/>
      <c r="H4" s="80"/>
      <c r="I4" s="80"/>
      <c r="J4" s="80"/>
      <c r="K4" s="80"/>
      <c r="L4" s="80"/>
      <c r="M4" s="80"/>
      <c r="N4" s="80"/>
      <c r="P4" s="122"/>
      <c r="V4" s="126"/>
      <c r="AD4" s="126"/>
      <c r="AE4" s="126"/>
      <c r="AF4" s="126"/>
      <c r="AG4" s="126"/>
      <c r="AH4" s="126"/>
      <c r="AJ4" s="85"/>
      <c r="AK4" s="122"/>
      <c r="AL4" s="124"/>
      <c r="AO4" s="122"/>
    </row>
    <row r="5" spans="1:81" ht="12.75" customHeight="1" thickBot="1" x14ac:dyDescent="0.25">
      <c r="A5" s="80"/>
      <c r="B5" s="80"/>
      <c r="C5" s="80"/>
      <c r="D5" s="80"/>
      <c r="E5" s="80"/>
      <c r="F5" s="80"/>
      <c r="G5" s="80"/>
      <c r="H5" s="80"/>
      <c r="I5" s="80"/>
      <c r="J5" s="80"/>
      <c r="K5" s="80"/>
      <c r="L5" s="80"/>
      <c r="M5" s="80"/>
      <c r="N5" s="80"/>
      <c r="O5" s="32"/>
      <c r="P5" s="121"/>
      <c r="Q5" s="121"/>
      <c r="R5" s="122"/>
      <c r="AC5" s="87"/>
      <c r="AD5" s="87"/>
      <c r="AE5" s="87"/>
      <c r="AJ5" s="85"/>
      <c r="AK5" s="85"/>
      <c r="AL5" s="85"/>
      <c r="AN5" s="124"/>
      <c r="AO5" s="122"/>
      <c r="AP5" s="122"/>
      <c r="AQ5" s="122"/>
    </row>
    <row r="6" spans="1:81" ht="12.75" customHeight="1" thickBot="1" x14ac:dyDescent="0.25">
      <c r="A6" s="128" t="s">
        <v>469</v>
      </c>
      <c r="B6" s="129"/>
      <c r="C6" s="129"/>
      <c r="D6" s="129"/>
      <c r="E6" s="129"/>
      <c r="F6" s="129"/>
      <c r="G6" s="129"/>
      <c r="H6" s="129"/>
      <c r="I6" s="129"/>
      <c r="J6" s="129"/>
      <c r="K6" s="129"/>
      <c r="L6" s="129"/>
      <c r="M6" s="129"/>
      <c r="N6" s="130"/>
      <c r="O6" s="131"/>
      <c r="P6" s="32"/>
      <c r="Q6" s="32"/>
      <c r="R6" s="121"/>
      <c r="S6" s="121"/>
      <c r="T6" s="122"/>
      <c r="AE6" s="87"/>
      <c r="AF6" s="87"/>
      <c r="AG6" s="87"/>
      <c r="AJ6" s="85"/>
      <c r="AK6" s="85"/>
      <c r="AL6" s="85"/>
      <c r="AM6" s="85"/>
      <c r="AN6" s="85"/>
      <c r="AO6" s="122"/>
      <c r="AP6" s="124"/>
      <c r="AQ6" s="122"/>
      <c r="AR6" s="122"/>
      <c r="AS6" s="122"/>
      <c r="CB6" s="32"/>
      <c r="CC6" s="32"/>
    </row>
    <row r="7" spans="1:81" ht="12.75" customHeight="1" thickBot="1" x14ac:dyDescent="0.25">
      <c r="A7" s="132" t="str">
        <f>"Total : "&amp;SUM(TotalBovins)</f>
        <v>Total : 0</v>
      </c>
      <c r="B7" s="76"/>
      <c r="C7" s="111" t="s">
        <v>27</v>
      </c>
      <c r="D7" s="111" t="s">
        <v>743</v>
      </c>
      <c r="E7" s="111" t="s">
        <v>1660</v>
      </c>
      <c r="F7" s="111" t="s">
        <v>744</v>
      </c>
      <c r="G7" s="111" t="s">
        <v>26</v>
      </c>
      <c r="H7" s="746"/>
      <c r="I7" s="76"/>
      <c r="J7" s="1459" t="s">
        <v>113</v>
      </c>
      <c r="K7" s="1460"/>
      <c r="L7" s="76"/>
      <c r="M7" s="133" t="s">
        <v>1483</v>
      </c>
      <c r="N7" s="71"/>
      <c r="O7" s="131"/>
      <c r="P7" s="32"/>
      <c r="Q7" s="32"/>
      <c r="R7" s="32"/>
      <c r="S7" s="32"/>
      <c r="T7" s="86"/>
      <c r="Z7" s="126"/>
      <c r="AE7" s="87"/>
      <c r="AF7" s="87"/>
      <c r="AG7" s="87"/>
      <c r="AJ7" s="85"/>
      <c r="AK7" s="85"/>
      <c r="AL7" s="85"/>
      <c r="AM7" s="85"/>
      <c r="AN7" s="85"/>
      <c r="AO7" s="122"/>
      <c r="AP7" s="124"/>
      <c r="AQ7" s="122"/>
      <c r="AR7" s="122"/>
      <c r="AS7" s="122"/>
      <c r="CB7" s="32"/>
      <c r="CC7" s="32"/>
    </row>
    <row r="8" spans="1:81" ht="12.75" customHeight="1" x14ac:dyDescent="0.2">
      <c r="A8" s="132"/>
      <c r="B8" s="36" t="s">
        <v>473</v>
      </c>
      <c r="C8" s="134"/>
      <c r="D8" s="134"/>
      <c r="E8" s="17"/>
      <c r="F8" s="135">
        <f>C8-D8</f>
        <v>0</v>
      </c>
      <c r="G8" s="135">
        <f>NbreBovinsMâlesAuPré_0_3Mois</f>
        <v>0</v>
      </c>
      <c r="H8" s="166"/>
      <c r="I8" s="76"/>
      <c r="J8" s="1457"/>
      <c r="K8" s="1458"/>
      <c r="L8" s="76"/>
      <c r="M8" s="962"/>
      <c r="N8" s="71"/>
      <c r="O8" s="131"/>
      <c r="P8" s="32"/>
      <c r="Q8" s="32"/>
      <c r="R8" s="32"/>
      <c r="S8" s="32"/>
      <c r="T8" s="88"/>
      <c r="U8" s="89"/>
      <c r="V8" s="89"/>
      <c r="W8" s="89"/>
      <c r="X8" s="89"/>
      <c r="Y8" s="89"/>
      <c r="Z8" s="126"/>
      <c r="AE8" s="87"/>
      <c r="AF8" s="87"/>
      <c r="AG8" s="87"/>
      <c r="AJ8" s="85"/>
      <c r="AK8" s="85"/>
      <c r="AL8" s="85"/>
      <c r="AM8" s="85"/>
      <c r="AN8" s="85"/>
      <c r="AO8" s="122"/>
      <c r="AP8" s="124"/>
      <c r="AQ8" s="122"/>
      <c r="AR8" s="122"/>
      <c r="AS8" s="122"/>
      <c r="CB8" s="32"/>
      <c r="CC8" s="32"/>
    </row>
    <row r="9" spans="1:81" ht="12.75" customHeight="1" thickBot="1" x14ac:dyDescent="0.25">
      <c r="A9" s="132"/>
      <c r="B9" s="37" t="s">
        <v>474</v>
      </c>
      <c r="C9" s="136"/>
      <c r="D9" s="136"/>
      <c r="E9" s="743"/>
      <c r="F9" s="137">
        <f t="shared" ref="F9:F21" si="0">C9-D9</f>
        <v>0</v>
      </c>
      <c r="G9" s="137">
        <f>NbreBovinsFemellesAuPré_0_3Mois</f>
        <v>0</v>
      </c>
      <c r="H9" s="166"/>
      <c r="I9" s="76"/>
      <c r="J9" s="76"/>
      <c r="K9" s="76"/>
      <c r="L9" s="76"/>
      <c r="M9" s="76"/>
      <c r="N9" s="71"/>
      <c r="O9" s="131"/>
      <c r="P9" s="32"/>
      <c r="Q9" s="32"/>
      <c r="R9" s="32"/>
      <c r="S9" s="32"/>
      <c r="T9" s="88"/>
      <c r="U9" s="89"/>
      <c r="V9" s="89"/>
      <c r="W9" s="89"/>
      <c r="X9" s="89"/>
      <c r="Y9" s="89"/>
      <c r="Z9" s="126"/>
      <c r="AE9" s="87"/>
      <c r="AF9" s="87"/>
      <c r="AG9" s="87"/>
      <c r="AH9" s="126"/>
      <c r="AI9" s="126"/>
      <c r="AJ9" s="126"/>
      <c r="AK9" s="126"/>
      <c r="AL9" s="126"/>
      <c r="AM9" s="85"/>
      <c r="AN9" s="85"/>
      <c r="AO9" s="122"/>
      <c r="AP9" s="124"/>
      <c r="AQ9" s="122"/>
      <c r="AR9" s="122"/>
      <c r="AS9" s="122"/>
      <c r="CB9" s="32"/>
      <c r="CC9" s="32"/>
    </row>
    <row r="10" spans="1:81" ht="12.75" customHeight="1" x14ac:dyDescent="0.2">
      <c r="A10" s="132"/>
      <c r="B10" s="38" t="s">
        <v>475</v>
      </c>
      <c r="C10" s="139"/>
      <c r="D10" s="139"/>
      <c r="E10" s="17"/>
      <c r="F10" s="135">
        <f t="shared" si="0"/>
        <v>0</v>
      </c>
      <c r="G10" s="135">
        <f>NbreBovinsMâlesAuPré_3_6Mois</f>
        <v>0</v>
      </c>
      <c r="H10" s="166"/>
      <c r="I10" s="76"/>
      <c r="J10" s="1459" t="s">
        <v>470</v>
      </c>
      <c r="K10" s="1460"/>
      <c r="L10" s="76"/>
      <c r="M10" s="133" t="s">
        <v>1484</v>
      </c>
      <c r="N10" s="71"/>
      <c r="O10" s="131"/>
      <c r="P10" s="32"/>
      <c r="Q10" s="32"/>
      <c r="R10" s="32"/>
      <c r="S10" s="32"/>
      <c r="T10" s="88"/>
      <c r="U10" s="89"/>
      <c r="V10" s="89"/>
      <c r="W10" s="89"/>
      <c r="X10" s="89"/>
      <c r="Y10" s="89"/>
      <c r="Z10" s="126"/>
      <c r="AE10" s="87"/>
      <c r="AF10" s="87"/>
      <c r="AG10" s="87"/>
      <c r="AH10" s="126"/>
      <c r="AI10" s="126"/>
      <c r="AJ10" s="126"/>
      <c r="AK10" s="126"/>
      <c r="AL10" s="126"/>
      <c r="AM10" s="85"/>
      <c r="AN10" s="85"/>
      <c r="AO10" s="122"/>
      <c r="AP10" s="124"/>
      <c r="AQ10" s="122"/>
      <c r="AR10" s="122"/>
      <c r="AS10" s="122"/>
      <c r="CB10" s="32"/>
      <c r="CC10" s="32"/>
    </row>
    <row r="11" spans="1:81" ht="12.75" customHeight="1" thickBot="1" x14ac:dyDescent="0.25">
      <c r="A11" s="132"/>
      <c r="B11" s="39" t="s">
        <v>476</v>
      </c>
      <c r="C11" s="140"/>
      <c r="D11" s="150"/>
      <c r="E11" s="743"/>
      <c r="F11" s="137">
        <f t="shared" si="0"/>
        <v>0</v>
      </c>
      <c r="G11" s="137">
        <f>NbreBovinsFemellesAuPré_3_6Mois</f>
        <v>0</v>
      </c>
      <c r="H11" s="166"/>
      <c r="I11" s="76"/>
      <c r="J11" s="1457"/>
      <c r="K11" s="1458"/>
      <c r="L11" s="76"/>
      <c r="M11" s="962"/>
      <c r="N11" s="71"/>
      <c r="O11" s="131"/>
      <c r="P11" s="32"/>
      <c r="Q11" s="32"/>
      <c r="R11" s="32"/>
      <c r="S11" s="32"/>
      <c r="T11" s="88"/>
      <c r="U11" s="89"/>
      <c r="V11" s="89"/>
      <c r="W11" s="89"/>
      <c r="X11" s="89"/>
      <c r="Y11" s="89"/>
      <c r="Z11" s="126"/>
      <c r="AE11" s="87"/>
      <c r="AF11" s="87"/>
      <c r="AG11" s="87"/>
      <c r="AH11" s="126"/>
      <c r="AI11" s="126"/>
      <c r="AJ11" s="126"/>
      <c r="AK11" s="126"/>
      <c r="AL11" s="126"/>
      <c r="AM11" s="85"/>
      <c r="AN11" s="85"/>
      <c r="AO11" s="122"/>
      <c r="AP11" s="124"/>
      <c r="AQ11" s="122"/>
      <c r="AR11" s="122"/>
      <c r="AS11" s="122"/>
      <c r="CB11" s="32"/>
      <c r="CC11" s="32"/>
    </row>
    <row r="12" spans="1:81" ht="12.75" customHeight="1" x14ac:dyDescent="0.2">
      <c r="A12" s="132"/>
      <c r="B12" s="40" t="s">
        <v>477</v>
      </c>
      <c r="C12" s="134"/>
      <c r="D12" s="151"/>
      <c r="E12" s="17"/>
      <c r="F12" s="135">
        <f t="shared" si="0"/>
        <v>0</v>
      </c>
      <c r="G12" s="135">
        <f>NbreBovinsMâlesAuPré_6_12Mois</f>
        <v>0</v>
      </c>
      <c r="H12" s="166"/>
      <c r="I12" s="76"/>
      <c r="J12" s="76"/>
      <c r="K12" s="76"/>
      <c r="L12" s="76"/>
      <c r="M12" s="138" t="str">
        <f>IF(M11=OUI,"Ration hivernale","")</f>
        <v/>
      </c>
      <c r="N12" s="71"/>
      <c r="O12" s="131"/>
      <c r="P12" s="32"/>
      <c r="Q12" s="32"/>
      <c r="R12" s="32"/>
      <c r="S12" s="32"/>
      <c r="T12" s="88"/>
      <c r="U12" s="89"/>
      <c r="V12" s="89"/>
      <c r="W12" s="89"/>
      <c r="X12" s="89"/>
      <c r="Y12" s="89"/>
      <c r="Z12" s="126"/>
      <c r="AE12" s="87"/>
      <c r="AF12" s="87"/>
      <c r="AG12" s="87"/>
      <c r="AH12" s="126"/>
      <c r="AI12" s="126"/>
      <c r="AJ12" s="126"/>
      <c r="AK12" s="126"/>
      <c r="AL12" s="126"/>
      <c r="AM12" s="85"/>
      <c r="AN12" s="85"/>
      <c r="AO12" s="122"/>
      <c r="AP12" s="124"/>
      <c r="AQ12" s="122"/>
      <c r="AR12" s="122"/>
      <c r="AS12" s="122"/>
      <c r="CB12" s="32"/>
      <c r="CC12" s="32"/>
    </row>
    <row r="13" spans="1:81" ht="12.75" customHeight="1" thickBot="1" x14ac:dyDescent="0.25">
      <c r="A13" s="132"/>
      <c r="B13" s="37" t="s">
        <v>478</v>
      </c>
      <c r="C13" s="136"/>
      <c r="D13" s="743"/>
      <c r="E13" s="743"/>
      <c r="F13" s="137">
        <f t="shared" si="0"/>
        <v>0</v>
      </c>
      <c r="G13" s="137">
        <f>NbreBovinsFemellesAuPré_6_12Mois</f>
        <v>0</v>
      </c>
      <c r="H13" s="166"/>
      <c r="I13" s="76"/>
      <c r="J13" s="1459" t="s">
        <v>1492</v>
      </c>
      <c r="K13" s="1460"/>
      <c r="L13" s="76"/>
      <c r="M13" s="133" t="s">
        <v>1281</v>
      </c>
      <c r="N13" s="71"/>
      <c r="O13" s="131"/>
      <c r="P13" s="32"/>
      <c r="Q13" s="32"/>
      <c r="R13" s="32"/>
      <c r="S13" s="32"/>
      <c r="T13" s="88"/>
      <c r="U13" s="89"/>
      <c r="V13" s="89"/>
      <c r="W13" s="89"/>
      <c r="X13" s="89"/>
      <c r="Y13" s="89"/>
      <c r="Z13" s="126"/>
      <c r="AE13" s="87"/>
      <c r="AF13" s="87"/>
      <c r="AG13" s="87"/>
      <c r="AH13" s="126"/>
      <c r="AI13" s="126"/>
      <c r="AJ13" s="126"/>
      <c r="AK13" s="126"/>
      <c r="AL13" s="126"/>
      <c r="AM13" s="85"/>
      <c r="AN13" s="85"/>
      <c r="AO13" s="122"/>
      <c r="AP13" s="124"/>
      <c r="AQ13" s="122"/>
      <c r="AR13" s="122"/>
      <c r="AS13" s="122"/>
      <c r="CB13" s="32"/>
      <c r="CC13" s="32"/>
    </row>
    <row r="14" spans="1:81" ht="12.75" customHeight="1" x14ac:dyDescent="0.2">
      <c r="A14" s="132"/>
      <c r="B14" s="38" t="s">
        <v>479</v>
      </c>
      <c r="C14" s="139"/>
      <c r="D14" s="149"/>
      <c r="E14" s="17"/>
      <c r="F14" s="135">
        <f t="shared" si="0"/>
        <v>0</v>
      </c>
      <c r="G14" s="135">
        <f>NbreBovinsMâlesAuPré_12_18Mois</f>
        <v>0</v>
      </c>
      <c r="H14" s="166"/>
      <c r="I14" s="76"/>
      <c r="J14" s="1457"/>
      <c r="K14" s="1458"/>
      <c r="L14" s="76"/>
      <c r="M14" s="962"/>
      <c r="N14" s="71"/>
      <c r="O14" s="131"/>
      <c r="P14" s="32"/>
      <c r="Q14" s="32"/>
      <c r="R14" s="32"/>
      <c r="S14" s="32"/>
      <c r="T14" s="88"/>
      <c r="U14" s="89"/>
      <c r="V14" s="89"/>
      <c r="W14" s="89"/>
      <c r="X14" s="89"/>
      <c r="Y14" s="89"/>
      <c r="AH14" s="126"/>
      <c r="AI14" s="126"/>
      <c r="AJ14" s="126"/>
      <c r="AK14" s="126"/>
      <c r="AL14" s="126"/>
      <c r="AM14" s="85"/>
      <c r="AN14" s="85"/>
      <c r="AO14" s="122"/>
      <c r="AP14" s="124"/>
      <c r="AQ14" s="122"/>
      <c r="AR14" s="122"/>
      <c r="AS14" s="122"/>
      <c r="CB14" s="32"/>
      <c r="CC14" s="32"/>
    </row>
    <row r="15" spans="1:81" ht="12.75" customHeight="1" thickBot="1" x14ac:dyDescent="0.25">
      <c r="A15" s="132"/>
      <c r="B15" s="39" t="s">
        <v>480</v>
      </c>
      <c r="C15" s="140"/>
      <c r="D15" s="150"/>
      <c r="E15" s="743"/>
      <c r="F15" s="137">
        <f t="shared" si="0"/>
        <v>0</v>
      </c>
      <c r="G15" s="137">
        <f>NbreBovinsFemellesAuPré_12_18Mois</f>
        <v>0</v>
      </c>
      <c r="H15" s="166"/>
      <c r="I15" s="76"/>
      <c r="J15" s="138"/>
      <c r="K15" s="76"/>
      <c r="L15" s="76"/>
      <c r="M15" s="138"/>
      <c r="N15" s="71"/>
      <c r="O15" s="131"/>
      <c r="P15" s="32"/>
      <c r="Q15" s="32"/>
      <c r="R15" s="32"/>
      <c r="S15" s="32"/>
      <c r="T15" s="88"/>
      <c r="U15" s="89"/>
      <c r="V15" s="89"/>
      <c r="W15" s="89"/>
      <c r="X15" s="89"/>
      <c r="Y15" s="89"/>
      <c r="AH15" s="126"/>
      <c r="AI15" s="126"/>
      <c r="AJ15" s="126"/>
      <c r="AK15" s="126"/>
      <c r="AL15" s="126"/>
      <c r="AM15" s="85"/>
      <c r="AN15" s="85"/>
      <c r="AO15" s="122"/>
      <c r="AP15" s="124"/>
      <c r="AQ15" s="122"/>
      <c r="AR15" s="122"/>
      <c r="AS15" s="122"/>
      <c r="CB15" s="32"/>
      <c r="CC15" s="32"/>
    </row>
    <row r="16" spans="1:81" ht="12.75" customHeight="1" x14ac:dyDescent="0.2">
      <c r="A16" s="132"/>
      <c r="B16" s="40" t="s">
        <v>481</v>
      </c>
      <c r="C16" s="134"/>
      <c r="D16" s="151"/>
      <c r="E16" s="17"/>
      <c r="F16" s="135">
        <f t="shared" si="0"/>
        <v>0</v>
      </c>
      <c r="G16" s="135">
        <f>NbreBovinsMâlesAuPré_18_24Mois</f>
        <v>0</v>
      </c>
      <c r="H16" s="166"/>
      <c r="I16" s="76"/>
      <c r="J16" s="1459" t="s">
        <v>1701</v>
      </c>
      <c r="K16" s="1460"/>
      <c r="L16" s="76"/>
      <c r="M16" s="133" t="s">
        <v>1702</v>
      </c>
      <c r="N16" s="71"/>
      <c r="O16" s="131"/>
      <c r="P16" s="32"/>
      <c r="Q16" s="32"/>
      <c r="R16" s="32"/>
      <c r="S16" s="32"/>
      <c r="T16" s="88"/>
      <c r="U16" s="89"/>
      <c r="V16" s="89"/>
      <c r="W16" s="89"/>
      <c r="X16" s="89"/>
      <c r="Y16" s="89"/>
      <c r="AJ16" s="85"/>
      <c r="AK16" s="85"/>
      <c r="AL16" s="85"/>
      <c r="AM16" s="85"/>
      <c r="AN16" s="85"/>
      <c r="AO16" s="122"/>
      <c r="AP16" s="124"/>
      <c r="AQ16" s="122"/>
      <c r="AR16" s="122"/>
      <c r="AS16" s="122"/>
      <c r="CB16" s="32"/>
      <c r="CC16" s="32"/>
    </row>
    <row r="17" spans="1:81" ht="12.75" customHeight="1" thickBot="1" x14ac:dyDescent="0.25">
      <c r="A17" s="132"/>
      <c r="B17" s="37" t="s">
        <v>482</v>
      </c>
      <c r="C17" s="136"/>
      <c r="D17" s="743"/>
      <c r="E17" s="743"/>
      <c r="F17" s="137">
        <f t="shared" si="0"/>
        <v>0</v>
      </c>
      <c r="G17" s="137">
        <f>NbreBovinsFemellesAuPré_18_24Mois</f>
        <v>0</v>
      </c>
      <c r="H17" s="166"/>
      <c r="I17" s="76"/>
      <c r="J17" s="1457"/>
      <c r="K17" s="1458"/>
      <c r="L17" s="76"/>
      <c r="M17" s="962"/>
      <c r="N17" s="71"/>
      <c r="O17" s="131"/>
      <c r="P17" s="32"/>
      <c r="Q17" s="32"/>
      <c r="R17" s="32"/>
      <c r="S17" s="32"/>
      <c r="T17" s="88"/>
      <c r="U17" s="89"/>
      <c r="V17" s="89"/>
      <c r="W17" s="89"/>
      <c r="X17" s="89"/>
      <c r="Y17" s="89"/>
      <c r="AJ17" s="85"/>
      <c r="AK17" s="85"/>
      <c r="AL17" s="85"/>
      <c r="AM17" s="85"/>
      <c r="AN17" s="85"/>
      <c r="AO17" s="122"/>
      <c r="AP17" s="124"/>
      <c r="AQ17" s="122"/>
      <c r="AR17" s="122"/>
      <c r="AS17" s="122"/>
      <c r="CB17" s="32"/>
      <c r="CC17" s="32"/>
    </row>
    <row r="18" spans="1:81" ht="12.75" customHeight="1" x14ac:dyDescent="0.2">
      <c r="A18" s="132"/>
      <c r="B18" s="38" t="s">
        <v>483</v>
      </c>
      <c r="C18" s="139"/>
      <c r="D18" s="139"/>
      <c r="E18" s="17"/>
      <c r="F18" s="135">
        <f t="shared" si="0"/>
        <v>0</v>
      </c>
      <c r="G18" s="135">
        <f>NbreBovinsMâlesAuPré_24_36Mois</f>
        <v>0</v>
      </c>
      <c r="H18" s="166"/>
      <c r="I18" s="76"/>
      <c r="J18" s="138"/>
      <c r="K18" s="76"/>
      <c r="L18" s="76"/>
      <c r="M18" s="76"/>
      <c r="N18" s="71"/>
      <c r="O18" s="131"/>
      <c r="P18" s="32"/>
      <c r="Q18" s="32"/>
      <c r="R18" s="32"/>
      <c r="S18" s="32"/>
      <c r="T18" s="88"/>
      <c r="U18" s="89"/>
      <c r="V18" s="89"/>
      <c r="W18" s="89"/>
      <c r="X18" s="89"/>
      <c r="Y18" s="89"/>
      <c r="AJ18" s="85"/>
      <c r="AK18" s="85"/>
      <c r="AL18" s="85"/>
      <c r="AM18" s="85"/>
      <c r="AN18" s="85"/>
      <c r="AO18" s="122"/>
      <c r="AP18" s="124"/>
      <c r="AQ18" s="122"/>
      <c r="AR18" s="122"/>
      <c r="AS18" s="122"/>
      <c r="CB18" s="32"/>
      <c r="CC18" s="32"/>
    </row>
    <row r="19" spans="1:81" ht="12.75" customHeight="1" thickBot="1" x14ac:dyDescent="0.25">
      <c r="A19" s="132"/>
      <c r="B19" s="39" t="s">
        <v>484</v>
      </c>
      <c r="C19" s="140"/>
      <c r="D19" s="140"/>
      <c r="E19" s="743"/>
      <c r="F19" s="137">
        <f t="shared" si="0"/>
        <v>0</v>
      </c>
      <c r="G19" s="137">
        <f>NbreBovinsFemellesAuPré_24_36Mois</f>
        <v>0</v>
      </c>
      <c r="H19" s="166"/>
      <c r="I19" s="76"/>
      <c r="J19" s="1459" t="s">
        <v>471</v>
      </c>
      <c r="K19" s="1460"/>
      <c r="L19" s="76"/>
      <c r="M19" s="76"/>
      <c r="N19" s="71"/>
      <c r="O19" s="131"/>
      <c r="P19" s="32"/>
      <c r="Q19" s="32"/>
      <c r="R19" s="32"/>
      <c r="S19" s="32"/>
      <c r="T19" s="88"/>
      <c r="U19" s="89"/>
      <c r="V19" s="89"/>
      <c r="W19" s="89"/>
      <c r="X19" s="89"/>
      <c r="Y19" s="89"/>
      <c r="AJ19" s="85"/>
      <c r="AK19" s="85"/>
      <c r="AL19" s="85"/>
      <c r="AM19" s="85"/>
      <c r="AN19" s="85"/>
      <c r="AO19" s="122"/>
      <c r="AP19" s="124"/>
      <c r="AQ19" s="122"/>
      <c r="AR19" s="122"/>
      <c r="AS19" s="122"/>
      <c r="CB19" s="32"/>
      <c r="CC19" s="32"/>
    </row>
    <row r="20" spans="1:81" ht="12.75" customHeight="1" x14ac:dyDescent="0.2">
      <c r="A20" s="132"/>
      <c r="B20" s="40" t="s">
        <v>485</v>
      </c>
      <c r="C20" s="134"/>
      <c r="D20" s="134"/>
      <c r="E20" s="17"/>
      <c r="F20" s="135">
        <f t="shared" si="0"/>
        <v>0</v>
      </c>
      <c r="G20" s="135">
        <f>NbreBovinsMâlesAuPré_3AnsEtPlus</f>
        <v>0</v>
      </c>
      <c r="H20" s="166"/>
      <c r="I20" s="76"/>
      <c r="J20" s="1457"/>
      <c r="K20" s="1458"/>
      <c r="L20" s="76"/>
      <c r="M20" s="76"/>
      <c r="N20" s="71"/>
      <c r="O20" s="131"/>
      <c r="P20" s="32"/>
      <c r="Q20" s="32"/>
      <c r="R20" s="32"/>
      <c r="S20" s="32"/>
      <c r="T20" s="88"/>
      <c r="U20" s="89"/>
      <c r="V20" s="89"/>
      <c r="W20" s="89"/>
      <c r="X20" s="89"/>
      <c r="Y20" s="89"/>
      <c r="AJ20" s="85"/>
      <c r="AK20" s="85"/>
      <c r="AL20" s="85"/>
      <c r="AM20" s="85"/>
      <c r="AN20" s="85"/>
      <c r="AO20" s="122"/>
      <c r="AP20" s="124"/>
      <c r="AQ20" s="122"/>
      <c r="AR20" s="122"/>
      <c r="AS20" s="122"/>
      <c r="CB20" s="32"/>
      <c r="CC20" s="32"/>
    </row>
    <row r="21" spans="1:81" ht="12.75" customHeight="1" thickBot="1" x14ac:dyDescent="0.25">
      <c r="A21" s="132"/>
      <c r="B21" s="41" t="s">
        <v>486</v>
      </c>
      <c r="C21" s="140"/>
      <c r="D21" s="140"/>
      <c r="E21" s="743"/>
      <c r="F21" s="137">
        <f t="shared" si="0"/>
        <v>0</v>
      </c>
      <c r="G21" s="137">
        <f>NbreBovinsFemellesAuPré_3AnsEtPlus</f>
        <v>0</v>
      </c>
      <c r="H21" s="166"/>
      <c r="I21" s="76"/>
      <c r="J21" s="1466"/>
      <c r="K21" s="1467"/>
      <c r="L21" s="76"/>
      <c r="M21" s="76"/>
      <c r="N21" s="71"/>
      <c r="O21" s="131"/>
      <c r="P21" s="32"/>
      <c r="Q21" s="32"/>
      <c r="R21" s="32"/>
      <c r="S21" s="32"/>
      <c r="T21" s="88"/>
      <c r="U21" s="89"/>
      <c r="V21" s="89"/>
      <c r="W21" s="89"/>
      <c r="X21" s="89"/>
      <c r="Y21" s="89"/>
      <c r="AJ21" s="85"/>
      <c r="AK21" s="85"/>
      <c r="AL21" s="85"/>
      <c r="AM21" s="85"/>
      <c r="AN21" s="85"/>
      <c r="AO21" s="122"/>
      <c r="AP21" s="124"/>
      <c r="AQ21" s="122"/>
      <c r="AR21" s="122"/>
      <c r="AS21" s="122"/>
      <c r="CB21" s="32"/>
      <c r="CC21" s="32"/>
    </row>
    <row r="22" spans="1:81" ht="12.75" customHeight="1" x14ac:dyDescent="0.2">
      <c r="A22" s="132"/>
      <c r="B22" s="166"/>
      <c r="C22" s="165"/>
      <c r="D22" s="165"/>
      <c r="E22" s="165"/>
      <c r="F22" s="166"/>
      <c r="G22" s="166"/>
      <c r="H22" s="166"/>
      <c r="I22" s="76"/>
      <c r="J22" s="166"/>
      <c r="K22" s="166"/>
      <c r="L22" s="76"/>
      <c r="M22" s="76"/>
      <c r="N22" s="71"/>
      <c r="O22" s="131"/>
      <c r="P22" s="32"/>
      <c r="Q22" s="32"/>
      <c r="R22" s="32"/>
      <c r="S22" s="32"/>
      <c r="T22" s="88"/>
      <c r="U22" s="89"/>
      <c r="V22" s="89"/>
      <c r="W22" s="89"/>
      <c r="X22" s="89"/>
      <c r="Y22" s="89"/>
      <c r="AJ22" s="85"/>
      <c r="AK22" s="85"/>
      <c r="AL22" s="85"/>
      <c r="AM22" s="85"/>
      <c r="AN22" s="85"/>
      <c r="AO22" s="122"/>
      <c r="AP22" s="124"/>
      <c r="AQ22" s="122"/>
      <c r="AR22" s="122"/>
      <c r="AS22" s="122"/>
      <c r="CB22" s="32"/>
      <c r="CC22" s="32"/>
    </row>
    <row r="23" spans="1:81" ht="12.75" customHeight="1" x14ac:dyDescent="0.2">
      <c r="A23" s="132"/>
      <c r="B23" s="166"/>
      <c r="C23" s="166"/>
      <c r="D23" s="166"/>
      <c r="E23" s="166"/>
      <c r="F23" s="166"/>
      <c r="G23" s="166"/>
      <c r="H23" s="166"/>
      <c r="I23" s="76"/>
      <c r="J23" s="34" t="s">
        <v>157</v>
      </c>
      <c r="K23" s="141"/>
      <c r="L23" s="76" t="str">
        <f>IF(OR(ChoixPaillageBovins="",ChoixPaillageBovins=NON),"","coût : "&amp;ROUND(LitièreBovins[[#Totals],[Litière tout bovins]]*PrixPaille*0.8/SUM(NbreJoursNourrirBovins)*84/1000,2)&amp;"€/an (si pas de mise au pré l'été, sinon "&amp;(IF(ChoixBovinsPréHiver=OUI,ROUND((LitièreBovins[[#Totals],[litière races laitières]]*PrixPaille*0.8)/SUM(NbreJoursNourrirBovins)*(84-NbreJoursMaxBovinsAuPré)/1000,2)&amp;"€",ROUND(LitièreBovins[[#Totals],[Litière tout bovins]]*PrixPaille*0.8/SUM(NbreJoursNourrirBovins)*(84-NbreJoursMaxBovinsAuPré)/1000,2)&amp;"€/an)")))</f>
        <v/>
      </c>
      <c r="M23" s="76"/>
      <c r="N23" s="71"/>
      <c r="O23" s="1103"/>
      <c r="P23" s="121"/>
      <c r="Q23" s="121"/>
      <c r="R23" s="169"/>
      <c r="S23" s="87"/>
      <c r="T23" s="89"/>
      <c r="U23" s="89"/>
      <c r="V23" s="89"/>
      <c r="W23" s="89"/>
      <c r="AJ23" s="85"/>
      <c r="AK23" s="85"/>
      <c r="AL23" s="85"/>
      <c r="AN23" s="124"/>
      <c r="AO23" s="122"/>
      <c r="AP23" s="122"/>
      <c r="AQ23" s="122"/>
      <c r="CB23" s="32"/>
      <c r="CC23" s="32"/>
    </row>
    <row r="24" spans="1:81" ht="12.75" customHeight="1" x14ac:dyDescent="0.2">
      <c r="A24" s="132"/>
      <c r="B24" s="166"/>
      <c r="C24" s="166"/>
      <c r="D24" s="166"/>
      <c r="E24" s="166"/>
      <c r="F24" s="166"/>
      <c r="G24" s="166"/>
      <c r="H24" s="166"/>
      <c r="I24" s="76"/>
      <c r="J24" s="35" t="s">
        <v>156</v>
      </c>
      <c r="K24" s="141"/>
      <c r="L24" s="76" t="str">
        <f>IF(ChoixVaccinBovins=OUI,"coût : " &amp;SUM(TotalBovins)*PrixVaccinBovin &amp;"€/an","")</f>
        <v/>
      </c>
      <c r="M24" s="76"/>
      <c r="N24" s="71"/>
      <c r="O24" s="1103"/>
      <c r="P24" s="121"/>
      <c r="Q24" s="121"/>
      <c r="R24" s="169"/>
      <c r="S24" s="87"/>
      <c r="T24" s="89"/>
      <c r="U24" s="89"/>
      <c r="V24" s="89"/>
      <c r="W24" s="89"/>
      <c r="AJ24" s="85"/>
      <c r="AK24" s="85"/>
      <c r="AL24" s="85"/>
      <c r="AN24" s="124"/>
      <c r="AO24" s="122"/>
      <c r="AP24" s="122"/>
      <c r="AQ24" s="122"/>
      <c r="CB24" s="32"/>
      <c r="CC24" s="32"/>
    </row>
    <row r="25" spans="1:81" ht="12.75" customHeight="1" thickBot="1" x14ac:dyDescent="0.25">
      <c r="A25" s="142"/>
      <c r="B25" s="66"/>
      <c r="C25" s="66"/>
      <c r="D25" s="66"/>
      <c r="E25" s="66"/>
      <c r="F25" s="66"/>
      <c r="G25" s="66"/>
      <c r="H25" s="66"/>
      <c r="I25" s="143"/>
      <c r="J25" s="143"/>
      <c r="K25" s="143"/>
      <c r="L25" s="143"/>
      <c r="M25" s="143"/>
      <c r="N25" s="144"/>
      <c r="O25" s="1103"/>
      <c r="P25" s="121"/>
      <c r="Q25" s="121"/>
      <c r="R25" s="169"/>
      <c r="S25" s="87"/>
      <c r="T25" s="89"/>
      <c r="U25" s="89"/>
      <c r="V25" s="89"/>
      <c r="W25" s="89"/>
      <c r="AJ25" s="85"/>
      <c r="AK25" s="85"/>
      <c r="AL25" s="85"/>
      <c r="AN25" s="124"/>
      <c r="AO25" s="122"/>
      <c r="AP25" s="122"/>
      <c r="AQ25" s="122"/>
      <c r="CB25" s="32"/>
      <c r="CC25" s="32"/>
    </row>
    <row r="26" spans="1:81" ht="12.75" customHeight="1" thickBot="1" x14ac:dyDescent="0.25">
      <c r="A26" s="145" t="s">
        <v>454</v>
      </c>
      <c r="B26" s="146"/>
      <c r="C26" s="146"/>
      <c r="D26" s="146"/>
      <c r="E26" s="146"/>
      <c r="F26" s="146"/>
      <c r="G26" s="146"/>
      <c r="H26" s="146"/>
      <c r="I26" s="146"/>
      <c r="J26" s="146"/>
      <c r="K26" s="146"/>
      <c r="L26" s="146"/>
      <c r="M26" s="146"/>
      <c r="N26" s="177"/>
      <c r="O26" s="1103"/>
      <c r="P26" s="121"/>
      <c r="Q26" s="121"/>
      <c r="R26" s="169"/>
      <c r="S26" s="87"/>
      <c r="T26" s="89"/>
      <c r="U26" s="89"/>
      <c r="V26" s="89"/>
      <c r="W26" s="89"/>
      <c r="AJ26" s="85"/>
      <c r="AK26" s="85"/>
      <c r="AL26" s="85"/>
      <c r="AN26" s="124"/>
      <c r="AO26" s="122"/>
      <c r="AP26" s="122"/>
      <c r="AQ26" s="122"/>
      <c r="CB26" s="32"/>
      <c r="CC26" s="32"/>
    </row>
    <row r="27" spans="1:81" ht="12.75" customHeight="1" thickBot="1" x14ac:dyDescent="0.25">
      <c r="A27" s="147" t="str">
        <f>"Total : "&amp;SUM(TotalBisons)</f>
        <v>Total : 0</v>
      </c>
      <c r="B27" s="80"/>
      <c r="C27" s="49" t="s">
        <v>472</v>
      </c>
      <c r="D27" s="111" t="s">
        <v>1660</v>
      </c>
      <c r="E27" s="111" t="s">
        <v>26</v>
      </c>
      <c r="F27" s="80"/>
      <c r="G27" s="80"/>
      <c r="H27" s="80"/>
      <c r="I27" s="80"/>
      <c r="J27" s="1461" t="s">
        <v>470</v>
      </c>
      <c r="K27" s="1461"/>
      <c r="L27" s="80"/>
      <c r="M27" s="80"/>
      <c r="N27" s="72"/>
      <c r="O27" s="1103"/>
      <c r="P27" s="121"/>
      <c r="Q27" s="121"/>
      <c r="R27" s="169"/>
      <c r="S27" s="87"/>
      <c r="T27" s="89"/>
      <c r="U27" s="89"/>
      <c r="V27" s="89"/>
      <c r="W27" s="89"/>
      <c r="AJ27" s="85"/>
      <c r="AK27" s="85"/>
      <c r="AL27" s="85"/>
      <c r="AN27" s="124"/>
      <c r="AO27" s="122"/>
      <c r="AP27" s="122"/>
      <c r="AQ27" s="122"/>
      <c r="CB27" s="32"/>
      <c r="CC27" s="32"/>
    </row>
    <row r="28" spans="1:81" ht="12.75" customHeight="1" x14ac:dyDescent="0.2">
      <c r="A28" s="147"/>
      <c r="B28" s="42" t="s">
        <v>409</v>
      </c>
      <c r="C28" s="149"/>
      <c r="D28" s="17"/>
      <c r="E28" s="135">
        <f>NbreBisonsMâlesAuPré_0_3Mois</f>
        <v>0</v>
      </c>
      <c r="F28" s="80"/>
      <c r="G28" s="80"/>
      <c r="H28" s="80"/>
      <c r="I28" s="80"/>
      <c r="J28" s="1468"/>
      <c r="K28" s="1468"/>
      <c r="L28" s="80"/>
      <c r="M28" s="80"/>
      <c r="N28" s="72"/>
      <c r="O28" s="1103"/>
      <c r="P28" s="121"/>
      <c r="Q28" s="121"/>
      <c r="R28" s="169"/>
      <c r="S28" s="87"/>
      <c r="T28" s="89"/>
      <c r="U28" s="89"/>
      <c r="V28" s="89"/>
      <c r="W28" s="89"/>
      <c r="AJ28" s="85"/>
      <c r="AK28" s="85"/>
      <c r="AL28" s="85"/>
      <c r="AN28" s="124"/>
      <c r="AO28" s="122"/>
      <c r="AP28" s="122"/>
      <c r="AQ28" s="122"/>
      <c r="CB28" s="32"/>
      <c r="CC28" s="32"/>
    </row>
    <row r="29" spans="1:81" ht="12.75" customHeight="1" thickBot="1" x14ac:dyDescent="0.25">
      <c r="A29" s="147"/>
      <c r="B29" s="27" t="s">
        <v>276</v>
      </c>
      <c r="C29" s="150"/>
      <c r="D29" s="743"/>
      <c r="E29" s="137">
        <f>NbreBisonsFemellesAuPré_0_3Mois</f>
        <v>0</v>
      </c>
      <c r="F29" s="80"/>
      <c r="G29" s="80"/>
      <c r="H29" s="80"/>
      <c r="I29" s="80"/>
      <c r="J29" s="80"/>
      <c r="K29" s="80"/>
      <c r="L29" s="80"/>
      <c r="M29" s="80"/>
      <c r="N29" s="72"/>
      <c r="O29" s="1103"/>
      <c r="P29" s="121"/>
      <c r="Q29" s="121"/>
      <c r="R29" s="169"/>
      <c r="S29" s="87"/>
      <c r="T29" s="89"/>
      <c r="U29" s="89"/>
      <c r="V29" s="89"/>
      <c r="W29" s="89"/>
      <c r="AJ29" s="85"/>
      <c r="AK29" s="85"/>
      <c r="AL29" s="85"/>
      <c r="AN29" s="124"/>
      <c r="AO29" s="122"/>
      <c r="AP29" s="122"/>
      <c r="AQ29" s="122"/>
      <c r="CB29" s="32"/>
      <c r="CC29" s="32"/>
    </row>
    <row r="30" spans="1:81" ht="12.75" customHeight="1" x14ac:dyDescent="0.2">
      <c r="A30" s="147"/>
      <c r="B30" s="43" t="s">
        <v>410</v>
      </c>
      <c r="C30" s="151"/>
      <c r="D30" s="17"/>
      <c r="E30" s="135">
        <f>NbreBisonsMâlesAuPré_3_6Mois</f>
        <v>0</v>
      </c>
      <c r="F30" s="80"/>
      <c r="G30" s="80"/>
      <c r="H30" s="80"/>
      <c r="I30" s="80"/>
      <c r="J30" s="1472" t="s">
        <v>742</v>
      </c>
      <c r="K30" s="1472"/>
      <c r="L30" s="80"/>
      <c r="M30" s="80"/>
      <c r="N30" s="72"/>
      <c r="O30" s="1103"/>
      <c r="P30" s="121"/>
      <c r="Q30" s="121"/>
      <c r="R30" s="169"/>
      <c r="S30" s="87"/>
      <c r="T30" s="89"/>
      <c r="U30" s="89"/>
      <c r="V30" s="89"/>
      <c r="W30" s="89"/>
      <c r="AJ30" s="85"/>
      <c r="AK30" s="85"/>
      <c r="AL30" s="85"/>
      <c r="AN30" s="124"/>
      <c r="AO30" s="122"/>
      <c r="AP30" s="122"/>
      <c r="AQ30" s="122"/>
      <c r="CB30" s="32"/>
      <c r="CC30" s="32"/>
    </row>
    <row r="31" spans="1:81" ht="12.75" customHeight="1" thickBot="1" x14ac:dyDescent="0.25">
      <c r="A31" s="147"/>
      <c r="B31" s="29" t="s">
        <v>577</v>
      </c>
      <c r="C31" s="743"/>
      <c r="D31" s="743"/>
      <c r="E31" s="137">
        <f>NbreBisonsFemellesAuPré_3_6Mois</f>
        <v>0</v>
      </c>
      <c r="F31" s="80"/>
      <c r="G31" s="80"/>
      <c r="H31" s="80"/>
      <c r="I31" s="80"/>
      <c r="J31" s="1469"/>
      <c r="K31" s="1469"/>
      <c r="L31" s="80"/>
      <c r="M31" s="80"/>
      <c r="N31" s="72"/>
      <c r="O31" s="1103"/>
      <c r="P31" s="121"/>
      <c r="Q31" s="121"/>
      <c r="R31" s="169"/>
      <c r="S31" s="87"/>
      <c r="T31" s="89"/>
      <c r="U31" s="89"/>
      <c r="V31" s="89"/>
      <c r="W31" s="89"/>
      <c r="AJ31" s="85"/>
      <c r="AK31" s="85"/>
      <c r="AL31" s="85"/>
      <c r="AN31" s="124"/>
      <c r="AO31" s="122"/>
      <c r="AP31" s="122"/>
      <c r="AQ31" s="122"/>
      <c r="CB31" s="32"/>
      <c r="CC31" s="32"/>
    </row>
    <row r="32" spans="1:81" ht="12.75" customHeight="1" x14ac:dyDescent="0.2">
      <c r="A32" s="147"/>
      <c r="B32" s="44" t="s">
        <v>411</v>
      </c>
      <c r="C32" s="149"/>
      <c r="D32" s="17"/>
      <c r="E32" s="135">
        <f>NbreBisonsMâlesAuPré_6_12Mois</f>
        <v>0</v>
      </c>
      <c r="F32" s="80"/>
      <c r="G32" s="80"/>
      <c r="H32" s="80"/>
      <c r="I32" s="80"/>
      <c r="J32" s="152" t="str">
        <f>IF(J31=OUI,"Ration complète","")</f>
        <v/>
      </c>
      <c r="K32" s="152"/>
      <c r="L32" s="80"/>
      <c r="M32" s="80"/>
      <c r="N32" s="72"/>
      <c r="O32" s="1103"/>
      <c r="P32" s="121"/>
      <c r="Q32" s="121"/>
      <c r="R32" s="169"/>
      <c r="S32" s="87"/>
      <c r="T32" s="89"/>
      <c r="U32" s="89"/>
      <c r="V32" s="89"/>
      <c r="W32" s="89"/>
      <c r="AJ32" s="85"/>
      <c r="AK32" s="85"/>
      <c r="AL32" s="85"/>
      <c r="AN32" s="124"/>
      <c r="AO32" s="122"/>
      <c r="AP32" s="122"/>
      <c r="AQ32" s="122"/>
      <c r="CB32" s="32"/>
      <c r="CC32" s="32"/>
    </row>
    <row r="33" spans="1:81" ht="12.75" customHeight="1" thickBot="1" x14ac:dyDescent="0.25">
      <c r="A33" s="147"/>
      <c r="B33" s="27" t="s">
        <v>578</v>
      </c>
      <c r="C33" s="150"/>
      <c r="D33" s="743"/>
      <c r="E33" s="137">
        <f>NbreBisonsFemellesAuPré_6_12Mois</f>
        <v>0</v>
      </c>
      <c r="F33" s="80"/>
      <c r="G33" s="80"/>
      <c r="H33" s="80"/>
      <c r="I33" s="80"/>
      <c r="J33" s="1472" t="s">
        <v>1701</v>
      </c>
      <c r="K33" s="1472"/>
      <c r="L33" s="80"/>
      <c r="M33" s="80"/>
      <c r="N33" s="72"/>
      <c r="O33" s="1103"/>
      <c r="P33" s="121"/>
      <c r="Q33" s="121"/>
      <c r="R33" s="169"/>
      <c r="S33" s="87"/>
      <c r="T33" s="89"/>
      <c r="U33" s="89"/>
      <c r="V33" s="89"/>
      <c r="W33" s="89"/>
      <c r="AJ33" s="85"/>
      <c r="AK33" s="85"/>
      <c r="AL33" s="85"/>
      <c r="AN33" s="124"/>
      <c r="AO33" s="122"/>
      <c r="AP33" s="122"/>
      <c r="AQ33" s="122"/>
      <c r="CB33" s="32"/>
      <c r="CC33" s="32"/>
    </row>
    <row r="34" spans="1:81" ht="12.75" customHeight="1" x14ac:dyDescent="0.2">
      <c r="A34" s="147"/>
      <c r="B34" s="43" t="s">
        <v>457</v>
      </c>
      <c r="C34" s="151"/>
      <c r="D34" s="17"/>
      <c r="E34" s="135">
        <f>NbreBisonsMâlesAuPré_12_18Mois</f>
        <v>0</v>
      </c>
      <c r="F34" s="80"/>
      <c r="G34" s="80"/>
      <c r="H34" s="80"/>
      <c r="I34" s="80"/>
      <c r="J34" s="1469"/>
      <c r="K34" s="1469"/>
      <c r="L34" s="80"/>
      <c r="M34" s="80"/>
      <c r="N34" s="72"/>
      <c r="O34" s="1103"/>
      <c r="P34" s="121"/>
      <c r="Q34" s="121"/>
      <c r="R34" s="169"/>
      <c r="S34" s="87"/>
      <c r="T34" s="89"/>
      <c r="U34" s="89"/>
      <c r="V34" s="89"/>
      <c r="W34" s="89"/>
      <c r="AJ34" s="85"/>
      <c r="AK34" s="85"/>
      <c r="AL34" s="85"/>
      <c r="AN34" s="124"/>
      <c r="AO34" s="122"/>
      <c r="AP34" s="122"/>
      <c r="AQ34" s="122"/>
      <c r="CB34" s="32"/>
      <c r="CC34" s="32"/>
    </row>
    <row r="35" spans="1:81" ht="12.75" customHeight="1" thickBot="1" x14ac:dyDescent="0.25">
      <c r="A35" s="147"/>
      <c r="B35" s="29" t="s">
        <v>458</v>
      </c>
      <c r="C35" s="743"/>
      <c r="D35" s="743"/>
      <c r="E35" s="137">
        <f>NbreBisonsFemellesAuPré_12_18Mois</f>
        <v>0</v>
      </c>
      <c r="F35" s="80"/>
      <c r="G35" s="80"/>
      <c r="H35" s="80"/>
      <c r="I35" s="80"/>
      <c r="J35" s="152"/>
      <c r="K35" s="152"/>
      <c r="L35" s="80"/>
      <c r="M35" s="80"/>
      <c r="N35" s="72"/>
      <c r="O35" s="1103"/>
      <c r="P35" s="121"/>
      <c r="Q35" s="121"/>
      <c r="R35" s="169"/>
      <c r="S35" s="87"/>
      <c r="T35" s="89"/>
      <c r="U35" s="89"/>
      <c r="V35" s="89"/>
      <c r="W35" s="89"/>
      <c r="AJ35" s="85"/>
      <c r="AK35" s="85"/>
      <c r="AL35" s="85"/>
      <c r="AN35" s="124"/>
      <c r="AO35" s="122"/>
      <c r="AP35" s="122"/>
      <c r="AQ35" s="122"/>
      <c r="CB35" s="32"/>
      <c r="CC35" s="32"/>
    </row>
    <row r="36" spans="1:81" ht="12.75" customHeight="1" x14ac:dyDescent="0.2">
      <c r="A36" s="147"/>
      <c r="B36" s="44" t="s">
        <v>459</v>
      </c>
      <c r="C36" s="149"/>
      <c r="D36" s="17"/>
      <c r="E36" s="135">
        <f>NbreBisonsMâlesAuPré_18_24Mois</f>
        <v>0</v>
      </c>
      <c r="F36" s="80"/>
      <c r="G36" s="80"/>
      <c r="H36" s="80"/>
      <c r="I36" s="80"/>
      <c r="J36" s="1462" t="s">
        <v>471</v>
      </c>
      <c r="K36" s="1463"/>
      <c r="L36" s="80" t="str">
        <f>IF(OR(ChoixVaccinBisons=NON,ChoixVaccinBisons=""),"","coût : "&amp;SUM(TotalBisons)*PrixVaccinBison&amp;"€/an")</f>
        <v/>
      </c>
      <c r="M36" s="80"/>
      <c r="N36" s="72"/>
      <c r="O36" s="1103"/>
      <c r="P36" s="121"/>
      <c r="Q36" s="121"/>
      <c r="R36" s="169"/>
      <c r="S36" s="87"/>
      <c r="T36" s="89"/>
      <c r="U36" s="89"/>
      <c r="V36" s="89"/>
      <c r="W36" s="89"/>
      <c r="AJ36" s="85"/>
      <c r="AK36" s="85"/>
      <c r="AL36" s="85"/>
      <c r="AN36" s="124"/>
      <c r="AO36" s="122"/>
      <c r="AP36" s="122"/>
      <c r="AQ36" s="122"/>
      <c r="CB36" s="32"/>
      <c r="CC36" s="32"/>
    </row>
    <row r="37" spans="1:81" ht="12.75" customHeight="1" thickBot="1" x14ac:dyDescent="0.25">
      <c r="A37" s="147"/>
      <c r="B37" s="45" t="s">
        <v>269</v>
      </c>
      <c r="C37" s="150"/>
      <c r="D37" s="743"/>
      <c r="E37" s="137">
        <f>NbreBisonsFemellesAuPré_18_24Mois</f>
        <v>0</v>
      </c>
      <c r="F37" s="80"/>
      <c r="G37" s="80"/>
      <c r="H37" s="80"/>
      <c r="I37" s="80"/>
      <c r="J37" s="1457"/>
      <c r="K37" s="1458"/>
      <c r="L37" s="80"/>
      <c r="M37" s="80"/>
      <c r="N37" s="72"/>
      <c r="O37" s="1103"/>
      <c r="P37" s="121"/>
      <c r="Q37" s="121"/>
      <c r="R37" s="169"/>
      <c r="S37" s="87"/>
      <c r="T37" s="89"/>
      <c r="U37" s="89"/>
      <c r="V37" s="89"/>
      <c r="W37" s="89"/>
      <c r="AJ37" s="85"/>
      <c r="AK37" s="85"/>
      <c r="AL37" s="85"/>
      <c r="AN37" s="124"/>
      <c r="AO37" s="122"/>
      <c r="AP37" s="122"/>
      <c r="AQ37" s="122"/>
      <c r="CB37" s="32"/>
      <c r="CC37" s="32"/>
    </row>
    <row r="38" spans="1:81" ht="12.75" customHeight="1" x14ac:dyDescent="0.2">
      <c r="A38" s="147"/>
      <c r="B38" s="43" t="s">
        <v>270</v>
      </c>
      <c r="C38" s="151"/>
      <c r="D38" s="17"/>
      <c r="E38" s="135">
        <f>NbreBisonsMâlesAuPré_24_36Mois</f>
        <v>0</v>
      </c>
      <c r="F38" s="80"/>
      <c r="G38" s="80"/>
      <c r="H38" s="80"/>
      <c r="I38" s="80"/>
      <c r="J38" s="1457"/>
      <c r="K38" s="1458"/>
      <c r="L38" s="80"/>
      <c r="M38" s="80"/>
      <c r="N38" s="72"/>
      <c r="O38" s="1103"/>
      <c r="P38" s="121"/>
      <c r="Q38" s="121"/>
      <c r="R38" s="169"/>
      <c r="S38" s="87"/>
      <c r="T38" s="89"/>
      <c r="U38" s="89"/>
      <c r="V38" s="89"/>
      <c r="W38" s="89"/>
      <c r="AJ38" s="85"/>
      <c r="AK38" s="85"/>
      <c r="AL38" s="85"/>
      <c r="AN38" s="124"/>
      <c r="AO38" s="122"/>
      <c r="AP38" s="122"/>
      <c r="AQ38" s="122"/>
      <c r="CB38" s="32"/>
      <c r="CC38" s="32"/>
    </row>
    <row r="39" spans="1:81" ht="12.75" customHeight="1" thickBot="1" x14ac:dyDescent="0.25">
      <c r="A39" s="147"/>
      <c r="B39" s="29" t="s">
        <v>412</v>
      </c>
      <c r="C39" s="743"/>
      <c r="D39" s="743"/>
      <c r="E39" s="137">
        <f>NbreBisonsFemellesAuPré_24_36Mois</f>
        <v>0</v>
      </c>
      <c r="F39" s="80"/>
      <c r="G39" s="80"/>
      <c r="H39" s="80"/>
      <c r="I39" s="80"/>
      <c r="J39" s="80"/>
      <c r="K39" s="80"/>
      <c r="L39" s="80"/>
      <c r="M39" s="80"/>
      <c r="N39" s="72"/>
      <c r="O39" s="1103"/>
      <c r="P39" s="121"/>
      <c r="Q39" s="121"/>
      <c r="R39" s="169"/>
      <c r="S39" s="87"/>
      <c r="T39" s="89"/>
      <c r="U39" s="89"/>
      <c r="V39" s="89"/>
      <c r="W39" s="89"/>
      <c r="AJ39" s="85"/>
      <c r="AK39" s="85"/>
      <c r="AL39" s="85"/>
      <c r="AN39" s="124"/>
      <c r="AO39" s="122"/>
      <c r="AP39" s="122"/>
      <c r="AQ39" s="122"/>
      <c r="CB39" s="32"/>
      <c r="CC39" s="32"/>
    </row>
    <row r="40" spans="1:81" ht="12.75" customHeight="1" x14ac:dyDescent="0.2">
      <c r="A40" s="147"/>
      <c r="B40" s="44" t="s">
        <v>271</v>
      </c>
      <c r="C40" s="149"/>
      <c r="D40" s="17"/>
      <c r="E40" s="135">
        <f>NbreBisonsMâlesAuPré_3AnsEtPlus</f>
        <v>0</v>
      </c>
      <c r="F40" s="80"/>
      <c r="G40" s="80"/>
      <c r="H40" s="80"/>
      <c r="I40" s="80"/>
      <c r="J40" s="112" t="s">
        <v>156</v>
      </c>
      <c r="K40" s="141"/>
      <c r="L40" s="80"/>
      <c r="M40" s="80"/>
      <c r="N40" s="72"/>
      <c r="O40" s="1103"/>
      <c r="P40" s="121"/>
      <c r="Q40" s="121"/>
      <c r="R40" s="169"/>
      <c r="S40" s="87"/>
      <c r="T40" s="89"/>
      <c r="U40" s="89"/>
      <c r="V40" s="89"/>
      <c r="W40" s="89"/>
      <c r="AJ40" s="85"/>
      <c r="AK40" s="85"/>
      <c r="AL40" s="85"/>
      <c r="AN40" s="124"/>
      <c r="AO40" s="122"/>
      <c r="AP40" s="122"/>
      <c r="AQ40" s="122"/>
      <c r="CB40" s="32"/>
      <c r="CC40" s="32"/>
    </row>
    <row r="41" spans="1:81" ht="12.75" customHeight="1" thickBot="1" x14ac:dyDescent="0.25">
      <c r="A41" s="147"/>
      <c r="B41" s="41" t="s">
        <v>272</v>
      </c>
      <c r="C41" s="743"/>
      <c r="D41" s="743"/>
      <c r="E41" s="137">
        <f>NbreBisonsFemellesAuPré_3AnsEtPlus</f>
        <v>0</v>
      </c>
      <c r="F41" s="80"/>
      <c r="G41" s="80"/>
      <c r="H41" s="80"/>
      <c r="I41" s="80"/>
      <c r="J41" s="80"/>
      <c r="K41" s="80"/>
      <c r="L41" s="80"/>
      <c r="M41" s="80"/>
      <c r="N41" s="72"/>
      <c r="O41" s="1103"/>
      <c r="P41" s="121"/>
      <c r="Q41" s="121"/>
      <c r="R41" s="169"/>
      <c r="S41" s="87"/>
      <c r="T41" s="89"/>
      <c r="U41" s="89"/>
      <c r="V41" s="89"/>
      <c r="W41" s="89"/>
      <c r="AJ41" s="85"/>
      <c r="AK41" s="85"/>
      <c r="AL41" s="85"/>
      <c r="AN41" s="124"/>
      <c r="AO41" s="122"/>
      <c r="AP41" s="122"/>
      <c r="AQ41" s="122"/>
      <c r="CB41" s="32"/>
      <c r="CC41" s="32"/>
    </row>
    <row r="42" spans="1:81" ht="12.75" customHeight="1" thickBot="1" x14ac:dyDescent="0.25">
      <c r="A42" s="153"/>
      <c r="B42" s="65"/>
      <c r="C42" s="154"/>
      <c r="D42" s="65"/>
      <c r="E42" s="81"/>
      <c r="F42" s="81"/>
      <c r="G42" s="81"/>
      <c r="H42" s="81"/>
      <c r="I42" s="81"/>
      <c r="J42" s="81"/>
      <c r="K42" s="81"/>
      <c r="L42" s="81"/>
      <c r="M42" s="81"/>
      <c r="N42" s="74"/>
      <c r="O42" s="1103"/>
      <c r="P42" s="121"/>
      <c r="Q42" s="121"/>
      <c r="R42" s="169"/>
      <c r="S42" s="87"/>
      <c r="T42" s="89"/>
      <c r="U42" s="89"/>
      <c r="V42" s="89"/>
      <c r="W42" s="89"/>
      <c r="AJ42" s="85"/>
      <c r="AK42" s="85"/>
      <c r="AL42" s="85"/>
      <c r="AN42" s="124"/>
      <c r="AO42" s="122"/>
      <c r="AP42" s="122"/>
      <c r="AQ42" s="122"/>
      <c r="CB42" s="32"/>
      <c r="CC42" s="32"/>
    </row>
    <row r="43" spans="1:81" ht="12.75" customHeight="1" thickBot="1" x14ac:dyDescent="0.25">
      <c r="A43" s="128" t="s">
        <v>56</v>
      </c>
      <c r="B43" s="129"/>
      <c r="C43" s="129"/>
      <c r="D43" s="129"/>
      <c r="E43" s="129"/>
      <c r="F43" s="129"/>
      <c r="G43" s="129"/>
      <c r="H43" s="129"/>
      <c r="I43" s="129"/>
      <c r="J43" s="129"/>
      <c r="K43" s="129"/>
      <c r="L43" s="129"/>
      <c r="M43" s="129"/>
      <c r="N43" s="130"/>
      <c r="O43" s="1103"/>
      <c r="P43" s="121"/>
      <c r="Q43" s="121"/>
      <c r="R43" s="169"/>
      <c r="S43" s="87"/>
      <c r="T43" s="89"/>
      <c r="U43" s="89"/>
      <c r="V43" s="89"/>
      <c r="W43" s="89"/>
      <c r="AJ43" s="85"/>
      <c r="AK43" s="85"/>
      <c r="AL43" s="85"/>
      <c r="AN43" s="124"/>
      <c r="AO43" s="122"/>
      <c r="AP43" s="122"/>
      <c r="AQ43" s="122"/>
      <c r="CB43" s="32"/>
      <c r="CC43" s="32"/>
    </row>
    <row r="44" spans="1:81" ht="12.75" customHeight="1" thickBot="1" x14ac:dyDescent="0.25">
      <c r="A44" s="132" t="str">
        <f>"Total : "&amp;SUM(TotalCaprins)</f>
        <v>Total : 0</v>
      </c>
      <c r="B44" s="76"/>
      <c r="C44" s="16" t="s">
        <v>27</v>
      </c>
      <c r="D44" s="111" t="s">
        <v>1660</v>
      </c>
      <c r="E44" s="19" t="s">
        <v>26</v>
      </c>
      <c r="F44" s="76"/>
      <c r="G44" s="76"/>
      <c r="H44" s="76"/>
      <c r="I44" s="76"/>
      <c r="J44" s="1461" t="s">
        <v>470</v>
      </c>
      <c r="K44" s="1461"/>
      <c r="L44" s="76"/>
      <c r="M44" s="133" t="s">
        <v>1482</v>
      </c>
      <c r="N44" s="71"/>
      <c r="O44" s="1103"/>
      <c r="P44" s="121"/>
      <c r="Q44" s="121"/>
      <c r="R44" s="169"/>
      <c r="S44" s="87"/>
      <c r="T44" s="89"/>
      <c r="U44" s="89"/>
      <c r="V44" s="89"/>
      <c r="W44" s="89"/>
      <c r="AJ44" s="85"/>
      <c r="AK44" s="85"/>
      <c r="AL44" s="85"/>
      <c r="AN44" s="124"/>
      <c r="AO44" s="122"/>
      <c r="AP44" s="122"/>
      <c r="AQ44" s="122"/>
      <c r="CB44" s="32"/>
      <c r="CC44" s="32"/>
    </row>
    <row r="45" spans="1:81" ht="12.75" customHeight="1" x14ac:dyDescent="0.2">
      <c r="A45" s="132"/>
      <c r="B45" s="42" t="s">
        <v>57</v>
      </c>
      <c r="C45" s="149"/>
      <c r="D45" s="17"/>
      <c r="E45" s="156">
        <f>NbreCaprinsMâlesAuPré_0_3Mois</f>
        <v>0</v>
      </c>
      <c r="F45" s="76"/>
      <c r="G45" s="76"/>
      <c r="H45" s="76"/>
      <c r="I45" s="76"/>
      <c r="J45" s="1457"/>
      <c r="K45" s="1458"/>
      <c r="L45" s="76"/>
      <c r="M45" s="962"/>
      <c r="N45" s="71"/>
      <c r="O45" s="1103"/>
      <c r="P45" s="121"/>
      <c r="Q45" s="121"/>
      <c r="R45" s="169"/>
      <c r="S45" s="87"/>
      <c r="T45" s="89"/>
      <c r="U45" s="89"/>
      <c r="V45" s="89"/>
      <c r="W45" s="89"/>
      <c r="AJ45" s="85"/>
      <c r="AK45" s="85"/>
      <c r="AL45" s="85"/>
      <c r="AN45" s="124"/>
      <c r="AO45" s="122"/>
      <c r="AP45" s="122"/>
      <c r="AQ45" s="122"/>
      <c r="CB45" s="32"/>
      <c r="CC45" s="32"/>
    </row>
    <row r="46" spans="1:81" ht="12.75" customHeight="1" thickBot="1" x14ac:dyDescent="0.25">
      <c r="A46" s="132"/>
      <c r="B46" s="45" t="s">
        <v>58</v>
      </c>
      <c r="C46" s="150"/>
      <c r="D46" s="743"/>
      <c r="E46" s="157">
        <f>NbreCaprinsFemellesAuPré_0_3Mois</f>
        <v>0</v>
      </c>
      <c r="F46" s="76"/>
      <c r="G46" s="76"/>
      <c r="H46" s="76"/>
      <c r="I46" s="76"/>
      <c r="J46" s="76"/>
      <c r="K46" s="76"/>
      <c r="L46" s="76"/>
      <c r="M46" s="76"/>
      <c r="N46" s="71"/>
      <c r="O46" s="1103"/>
      <c r="P46" s="121"/>
      <c r="Q46" s="121"/>
      <c r="R46" s="169"/>
      <c r="S46" s="87"/>
      <c r="T46" s="89"/>
      <c r="U46" s="89"/>
      <c r="V46" s="89"/>
      <c r="W46" s="89"/>
      <c r="AJ46" s="85"/>
      <c r="AK46" s="85"/>
      <c r="AL46" s="85"/>
      <c r="AN46" s="124"/>
      <c r="AO46" s="122"/>
      <c r="AP46" s="122"/>
      <c r="AQ46" s="122"/>
      <c r="CB46" s="32"/>
      <c r="CC46" s="32"/>
    </row>
    <row r="47" spans="1:81" ht="12.75" customHeight="1" x14ac:dyDescent="0.2">
      <c r="A47" s="132"/>
      <c r="B47" s="43" t="s">
        <v>59</v>
      </c>
      <c r="C47" s="151"/>
      <c r="D47" s="17"/>
      <c r="E47" s="156">
        <f>NbreCaprinsMâlesAuPré_3_6Mois</f>
        <v>0</v>
      </c>
      <c r="F47" s="76"/>
      <c r="G47" s="76"/>
      <c r="H47" s="76"/>
      <c r="I47" s="76"/>
      <c r="J47" s="1459" t="s">
        <v>742</v>
      </c>
      <c r="K47" s="1460"/>
      <c r="L47" s="76"/>
      <c r="M47" s="76"/>
      <c r="N47" s="71"/>
      <c r="O47" s="1103"/>
      <c r="P47" s="121"/>
      <c r="Q47" s="121"/>
      <c r="R47" s="169"/>
      <c r="S47" s="87"/>
      <c r="T47" s="89"/>
      <c r="U47" s="89"/>
      <c r="V47" s="89"/>
      <c r="W47" s="89"/>
      <c r="AJ47" s="85"/>
      <c r="AK47" s="85"/>
      <c r="AL47" s="85"/>
      <c r="AN47" s="124"/>
      <c r="AO47" s="122"/>
      <c r="AP47" s="122"/>
      <c r="AQ47" s="122"/>
      <c r="CB47" s="32"/>
      <c r="CC47" s="32"/>
    </row>
    <row r="48" spans="1:81" ht="12.75" customHeight="1" thickBot="1" x14ac:dyDescent="0.25">
      <c r="A48" s="132"/>
      <c r="B48" s="29" t="s">
        <v>60</v>
      </c>
      <c r="C48" s="743"/>
      <c r="D48" s="743"/>
      <c r="E48" s="157">
        <f>NbreCaprinsFemellesAuPré_3_6Mois</f>
        <v>0</v>
      </c>
      <c r="F48" s="76"/>
      <c r="G48" s="76"/>
      <c r="H48" s="76"/>
      <c r="I48" s="76"/>
      <c r="J48" s="1457"/>
      <c r="K48" s="1458"/>
      <c r="L48" s="76"/>
      <c r="M48" s="76"/>
      <c r="N48" s="71"/>
      <c r="O48" s="131"/>
      <c r="P48" s="121"/>
      <c r="Q48" s="121"/>
      <c r="R48" s="169"/>
      <c r="S48" s="87"/>
      <c r="T48" s="89"/>
      <c r="U48" s="89"/>
      <c r="V48" s="89"/>
      <c r="W48" s="89"/>
      <c r="AJ48" s="85"/>
      <c r="AK48" s="85"/>
      <c r="AL48" s="85"/>
      <c r="AN48" s="124"/>
      <c r="AO48" s="122"/>
      <c r="AP48" s="122"/>
      <c r="AQ48" s="122"/>
      <c r="CB48" s="32"/>
      <c r="CC48" s="32"/>
    </row>
    <row r="49" spans="1:81" ht="12.75" customHeight="1" x14ac:dyDescent="0.2">
      <c r="A49" s="132"/>
      <c r="B49" s="44" t="s">
        <v>211</v>
      </c>
      <c r="C49" s="149"/>
      <c r="D49" s="17"/>
      <c r="E49" s="156">
        <f>NbreCaprinsMâlesAuPré_6_12Mois</f>
        <v>0</v>
      </c>
      <c r="F49" s="76"/>
      <c r="G49" s="76"/>
      <c r="H49" s="76"/>
      <c r="I49" s="76"/>
      <c r="J49" s="138"/>
      <c r="K49" s="76"/>
      <c r="L49" s="76"/>
      <c r="M49" s="76"/>
      <c r="N49" s="71"/>
      <c r="O49" s="131"/>
      <c r="P49" s="121"/>
      <c r="Q49" s="121"/>
      <c r="R49" s="169"/>
      <c r="S49" s="87"/>
      <c r="T49" s="89"/>
      <c r="U49" s="89"/>
      <c r="V49" s="89"/>
      <c r="W49" s="89"/>
      <c r="AJ49" s="85"/>
      <c r="AK49" s="85"/>
      <c r="AL49" s="85"/>
      <c r="AN49" s="124"/>
      <c r="AO49" s="122"/>
      <c r="AP49" s="122"/>
      <c r="AQ49" s="122"/>
      <c r="CB49" s="32"/>
      <c r="CC49" s="32"/>
    </row>
    <row r="50" spans="1:81" ht="12.75" customHeight="1" thickBot="1" x14ac:dyDescent="0.25">
      <c r="A50" s="132"/>
      <c r="B50" s="45" t="s">
        <v>234</v>
      </c>
      <c r="C50" s="150"/>
      <c r="D50" s="743"/>
      <c r="E50" s="158">
        <f>NbreCaprinsFemellesAuPré_6_12Mois</f>
        <v>0</v>
      </c>
      <c r="F50" s="76"/>
      <c r="G50" s="76"/>
      <c r="H50" s="76"/>
      <c r="I50" s="76"/>
      <c r="J50" s="1459" t="s">
        <v>1703</v>
      </c>
      <c r="K50" s="1460"/>
      <c r="L50" s="76"/>
      <c r="M50" s="76"/>
      <c r="N50" s="71"/>
      <c r="O50" s="160"/>
      <c r="P50" s="121"/>
      <c r="Q50" s="121"/>
      <c r="R50" s="169"/>
      <c r="S50" s="87"/>
      <c r="T50" s="89"/>
      <c r="U50" s="89"/>
      <c r="V50" s="89"/>
      <c r="W50" s="89"/>
      <c r="AJ50" s="85"/>
      <c r="AK50" s="85"/>
      <c r="AL50" s="85"/>
      <c r="AN50" s="124"/>
      <c r="AO50" s="122"/>
      <c r="AP50" s="122"/>
      <c r="AQ50" s="122"/>
      <c r="CB50" s="32"/>
      <c r="CC50" s="32"/>
    </row>
    <row r="51" spans="1:81" ht="12.75" customHeight="1" x14ac:dyDescent="0.2">
      <c r="A51" s="132"/>
      <c r="B51" s="43" t="s">
        <v>235</v>
      </c>
      <c r="C51" s="151"/>
      <c r="D51" s="17"/>
      <c r="E51" s="156">
        <f>SUM(NbreCaprinsMâlesAuPré_12_18Mois+NbreCaprinsMâlesAuPré_18_24Mois+NbreCaprinsMâlesAuPré_24_36Mois+NbreCaprinsMâlesAuPré_3AnsEtPlus)</f>
        <v>0</v>
      </c>
      <c r="F51" s="76"/>
      <c r="G51" s="76"/>
      <c r="H51" s="76"/>
      <c r="I51" s="76"/>
      <c r="J51" s="1457"/>
      <c r="K51" s="1458"/>
      <c r="L51" s="76"/>
      <c r="M51" s="76"/>
      <c r="N51" s="71"/>
      <c r="O51" s="131"/>
      <c r="P51" s="121"/>
      <c r="Q51" s="121"/>
      <c r="R51" s="169"/>
      <c r="S51" s="87"/>
      <c r="T51" s="89"/>
      <c r="U51" s="89"/>
      <c r="V51" s="89"/>
      <c r="W51" s="89"/>
      <c r="AJ51" s="85"/>
      <c r="AK51" s="85"/>
      <c r="AL51" s="85"/>
      <c r="AN51" s="124"/>
      <c r="AO51" s="122"/>
      <c r="AP51" s="122"/>
      <c r="AQ51" s="122"/>
      <c r="CB51" s="32"/>
      <c r="CC51" s="32"/>
    </row>
    <row r="52" spans="1:81" ht="12.75" customHeight="1" thickBot="1" x14ac:dyDescent="0.25">
      <c r="A52" s="132"/>
      <c r="B52" s="29" t="s">
        <v>236</v>
      </c>
      <c r="C52" s="743"/>
      <c r="D52" s="743"/>
      <c r="E52" s="157">
        <f>SUM(NbreCaprinsFemellesAuPré_12_18Mois+NbreCaprinsFemellesAuPré_18_24Mois+NbreCaprinsFemellesAuPré_24_36Mois+NbreCaprinsFemellesAuPré_3AnsEtPlus)</f>
        <v>0</v>
      </c>
      <c r="F52" s="76"/>
      <c r="G52" s="76"/>
      <c r="H52" s="76"/>
      <c r="I52" s="76"/>
      <c r="J52" s="138"/>
      <c r="K52" s="76"/>
      <c r="L52" s="76"/>
      <c r="M52" s="76"/>
      <c r="N52" s="71"/>
      <c r="O52" s="131"/>
      <c r="P52" s="121"/>
      <c r="Q52" s="121"/>
      <c r="R52" s="169"/>
      <c r="S52" s="87"/>
      <c r="T52" s="89"/>
      <c r="U52" s="89"/>
      <c r="V52" s="89"/>
      <c r="W52" s="89"/>
      <c r="AJ52" s="85"/>
      <c r="AK52" s="85"/>
      <c r="AL52" s="85"/>
      <c r="AN52" s="124"/>
      <c r="AO52" s="122"/>
      <c r="AP52" s="122"/>
      <c r="AQ52" s="122"/>
      <c r="CB52" s="32"/>
      <c r="CC52" s="32"/>
    </row>
    <row r="53" spans="1:81" ht="12.75" customHeight="1" x14ac:dyDescent="0.2">
      <c r="A53" s="132"/>
      <c r="B53" s="76"/>
      <c r="C53" s="155"/>
      <c r="D53" s="76"/>
      <c r="E53" s="76"/>
      <c r="F53" s="76"/>
      <c r="G53" s="76"/>
      <c r="H53" s="76"/>
      <c r="I53" s="76"/>
      <c r="J53" s="1462" t="s">
        <v>471</v>
      </c>
      <c r="K53" s="1463"/>
      <c r="L53" s="76"/>
      <c r="M53" s="84"/>
      <c r="N53" s="83"/>
      <c r="O53" s="1103"/>
      <c r="P53" s="121"/>
      <c r="Q53" s="121"/>
      <c r="R53" s="169"/>
      <c r="S53" s="87"/>
      <c r="T53" s="89"/>
      <c r="U53" s="89"/>
      <c r="V53" s="89"/>
      <c r="W53" s="89"/>
      <c r="AJ53" s="85"/>
      <c r="AK53" s="85"/>
      <c r="AL53" s="85"/>
      <c r="AN53" s="124"/>
      <c r="AO53" s="122"/>
      <c r="AP53" s="122"/>
      <c r="AQ53" s="122"/>
      <c r="CB53" s="32"/>
      <c r="CC53" s="32"/>
    </row>
    <row r="54" spans="1:81" ht="12.75" customHeight="1" x14ac:dyDescent="0.2">
      <c r="A54" s="132"/>
      <c r="B54" s="76"/>
      <c r="C54" s="76"/>
      <c r="D54" s="76"/>
      <c r="E54" s="76"/>
      <c r="F54" s="76"/>
      <c r="G54" s="76"/>
      <c r="H54" s="76"/>
      <c r="I54" s="76"/>
      <c r="J54" s="1457"/>
      <c r="K54" s="1458"/>
      <c r="L54" s="76"/>
      <c r="M54" s="84"/>
      <c r="N54" s="83"/>
      <c r="O54" s="1103"/>
      <c r="P54" s="121"/>
      <c r="Q54" s="121"/>
      <c r="R54" s="169"/>
      <c r="S54" s="87"/>
      <c r="T54" s="89"/>
      <c r="U54" s="89"/>
      <c r="V54" s="89"/>
      <c r="W54" s="89"/>
      <c r="AJ54" s="85"/>
      <c r="AK54" s="85"/>
      <c r="AL54" s="85"/>
      <c r="AN54" s="124"/>
      <c r="AO54" s="122"/>
      <c r="AP54" s="122"/>
      <c r="AQ54" s="122"/>
      <c r="CB54" s="32"/>
      <c r="CC54" s="32"/>
    </row>
    <row r="55" spans="1:81" ht="12.75" customHeight="1" x14ac:dyDescent="0.2">
      <c r="A55" s="132"/>
      <c r="B55" s="76"/>
      <c r="C55" s="76"/>
      <c r="D55" s="76"/>
      <c r="E55" s="76"/>
      <c r="F55" s="76"/>
      <c r="G55" s="76"/>
      <c r="H55" s="76"/>
      <c r="I55" s="76"/>
      <c r="J55" s="76"/>
      <c r="K55" s="76"/>
      <c r="L55" s="84"/>
      <c r="M55" s="84"/>
      <c r="N55" s="83"/>
      <c r="O55" s="1103"/>
      <c r="P55" s="121"/>
      <c r="Q55" s="121"/>
      <c r="R55" s="169"/>
      <c r="S55" s="87"/>
      <c r="T55" s="89"/>
      <c r="U55" s="89"/>
      <c r="V55" s="89"/>
      <c r="W55" s="89"/>
      <c r="AJ55" s="85"/>
      <c r="AK55" s="85"/>
      <c r="AL55" s="85"/>
      <c r="AN55" s="124"/>
      <c r="AO55" s="122"/>
      <c r="AP55" s="122"/>
      <c r="AQ55" s="122"/>
      <c r="CB55" s="32"/>
      <c r="CC55" s="32"/>
    </row>
    <row r="56" spans="1:81" ht="12.75" customHeight="1" x14ac:dyDescent="0.2">
      <c r="A56" s="132"/>
      <c r="B56" s="76"/>
      <c r="C56" s="76"/>
      <c r="D56" s="76"/>
      <c r="E56" s="76"/>
      <c r="F56" s="76"/>
      <c r="G56" s="76"/>
      <c r="H56" s="76"/>
      <c r="I56" s="76"/>
      <c r="J56" s="34" t="s">
        <v>157</v>
      </c>
      <c r="K56" s="141"/>
      <c r="L56" s="77" t="str">
        <f>IF(OR(ChoixPaillageCaprins="",ChoixPaillageCaprins=NON),"","coût : "&amp;ROUND(LitièreCaprins[[#Totals],[Litière]]*PrixPaille*0.8/SUM(NbreJoursNourrirCaprins)*84/1000,2)&amp;"€/an (si pas de mise au pré l'été, sinon "&amp;ROUND(LitièreCaprins[[#Totals],[Litière]]*PrixPaille*0.8/SUM(NbreJoursNourrirCaprins)*(84-NbreJoursMaxCaprinsAuPré)/1000,2)&amp;"€/an)")</f>
        <v/>
      </c>
      <c r="M56" s="84"/>
      <c r="N56" s="83"/>
      <c r="O56" s="1103"/>
      <c r="P56" s="121"/>
      <c r="Q56" s="121"/>
      <c r="R56" s="169"/>
      <c r="S56" s="87"/>
      <c r="T56" s="89"/>
      <c r="U56" s="89"/>
      <c r="V56" s="89"/>
      <c r="W56" s="89"/>
      <c r="AJ56" s="85"/>
      <c r="AK56" s="85"/>
      <c r="AL56" s="85"/>
      <c r="AN56" s="124"/>
      <c r="AO56" s="122"/>
      <c r="AP56" s="122"/>
      <c r="AQ56" s="122"/>
      <c r="CB56" s="32"/>
      <c r="CC56" s="32"/>
    </row>
    <row r="57" spans="1:81" ht="12.75" customHeight="1" x14ac:dyDescent="0.2">
      <c r="A57" s="132"/>
      <c r="B57" s="76"/>
      <c r="C57" s="76"/>
      <c r="D57" s="76"/>
      <c r="E57" s="76"/>
      <c r="F57" s="76"/>
      <c r="G57" s="76"/>
      <c r="H57" s="76"/>
      <c r="I57" s="76"/>
      <c r="J57" s="35" t="s">
        <v>156</v>
      </c>
      <c r="K57" s="141"/>
      <c r="L57" s="77" t="str">
        <f>IF(ChoixVaccinCaprins=OUI,"coût : " &amp;SUM(TotalCaprins)*PrixVaccinCaprin &amp;"€/an","")</f>
        <v/>
      </c>
      <c r="M57" s="84"/>
      <c r="N57" s="83"/>
      <c r="O57" s="1103"/>
      <c r="P57" s="121"/>
      <c r="Q57" s="121"/>
      <c r="R57" s="169"/>
      <c r="S57" s="87"/>
      <c r="T57" s="89"/>
      <c r="U57" s="89"/>
      <c r="V57" s="89"/>
      <c r="W57" s="89"/>
      <c r="AJ57" s="85"/>
      <c r="AK57" s="85"/>
      <c r="AL57" s="85"/>
      <c r="AN57" s="124"/>
      <c r="AO57" s="122"/>
      <c r="AP57" s="122"/>
      <c r="AQ57" s="122"/>
      <c r="CB57" s="32"/>
      <c r="CC57" s="32"/>
    </row>
    <row r="58" spans="1:81" ht="12.75" customHeight="1" thickBot="1" x14ac:dyDescent="0.25">
      <c r="A58" s="142"/>
      <c r="B58" s="143"/>
      <c r="C58" s="143"/>
      <c r="D58" s="143"/>
      <c r="E58" s="143"/>
      <c r="F58" s="143"/>
      <c r="G58" s="143"/>
      <c r="H58" s="143"/>
      <c r="I58" s="143"/>
      <c r="J58" s="143"/>
      <c r="K58" s="143"/>
      <c r="L58" s="143"/>
      <c r="M58" s="143"/>
      <c r="N58" s="144"/>
      <c r="O58" s="1103"/>
      <c r="P58" s="121"/>
      <c r="Q58" s="121"/>
      <c r="R58" s="169"/>
      <c r="S58" s="87"/>
      <c r="T58" s="89"/>
      <c r="U58" s="89"/>
      <c r="V58" s="89"/>
      <c r="W58" s="89"/>
      <c r="AJ58" s="85"/>
      <c r="AK58" s="85"/>
      <c r="AL58" s="85"/>
      <c r="AN58" s="124"/>
      <c r="AO58" s="122"/>
      <c r="AP58" s="122"/>
      <c r="AQ58" s="122"/>
      <c r="CB58" s="32"/>
      <c r="CC58" s="32"/>
    </row>
    <row r="59" spans="1:81" ht="12.75" customHeight="1" thickBot="1" x14ac:dyDescent="0.25">
      <c r="A59" s="145" t="s">
        <v>237</v>
      </c>
      <c r="B59" s="146"/>
      <c r="C59" s="146"/>
      <c r="D59" s="146"/>
      <c r="E59" s="146"/>
      <c r="F59" s="146"/>
      <c r="G59" s="146"/>
      <c r="H59" s="146"/>
      <c r="I59" s="146"/>
      <c r="J59" s="146"/>
      <c r="K59" s="146"/>
      <c r="L59" s="146"/>
      <c r="M59" s="146"/>
      <c r="N59" s="177"/>
      <c r="O59" s="1103"/>
      <c r="P59" s="121"/>
      <c r="Q59" s="121"/>
      <c r="R59" s="169"/>
      <c r="S59" s="87"/>
      <c r="T59" s="89"/>
      <c r="U59" s="89"/>
      <c r="V59" s="89"/>
      <c r="W59" s="89"/>
      <c r="AJ59" s="85"/>
      <c r="AK59" s="85"/>
      <c r="AL59" s="85"/>
      <c r="AN59" s="124"/>
      <c r="AO59" s="122"/>
      <c r="AP59" s="122"/>
      <c r="AQ59" s="122"/>
      <c r="CB59" s="32"/>
      <c r="CC59" s="32"/>
    </row>
    <row r="60" spans="1:81" ht="12.75" customHeight="1" thickBot="1" x14ac:dyDescent="0.25">
      <c r="A60" s="147" t="str">
        <f>"Total : "&amp;SUM(TotalPorcins)</f>
        <v>Total : 0</v>
      </c>
      <c r="B60" s="80"/>
      <c r="C60" s="49" t="s">
        <v>472</v>
      </c>
      <c r="D60" s="111" t="s">
        <v>1660</v>
      </c>
      <c r="E60" s="80"/>
      <c r="F60" s="80"/>
      <c r="G60" s="80"/>
      <c r="H60" s="80"/>
      <c r="I60" s="80"/>
      <c r="J60" s="1461" t="s">
        <v>470</v>
      </c>
      <c r="K60" s="1461"/>
      <c r="L60" s="78"/>
      <c r="M60" s="80"/>
      <c r="N60" s="72"/>
      <c r="O60" s="1103"/>
      <c r="P60" s="121"/>
      <c r="Q60" s="121"/>
      <c r="R60" s="169"/>
      <c r="S60" s="87"/>
      <c r="T60" s="89"/>
      <c r="U60" s="89"/>
      <c r="V60" s="89"/>
      <c r="W60" s="89"/>
      <c r="AJ60" s="85"/>
      <c r="AK60" s="85"/>
      <c r="AL60" s="85"/>
      <c r="AN60" s="124"/>
      <c r="AO60" s="122"/>
      <c r="AP60" s="122"/>
      <c r="AQ60" s="122"/>
      <c r="CB60" s="32"/>
      <c r="CC60" s="32"/>
    </row>
    <row r="61" spans="1:81" ht="12.75" customHeight="1" x14ac:dyDescent="0.2">
      <c r="A61" s="147"/>
      <c r="B61" s="36" t="s">
        <v>387</v>
      </c>
      <c r="C61" s="151"/>
      <c r="D61" s="17"/>
      <c r="E61" s="80"/>
      <c r="F61" s="80"/>
      <c r="G61" s="80"/>
      <c r="H61" s="80"/>
      <c r="I61" s="80"/>
      <c r="J61" s="1457"/>
      <c r="K61" s="1458"/>
      <c r="L61" s="78"/>
      <c r="M61" s="80"/>
      <c r="N61" s="72"/>
      <c r="O61" s="1103"/>
      <c r="P61" s="121"/>
      <c r="Q61" s="121"/>
      <c r="R61" s="169"/>
      <c r="S61" s="87"/>
      <c r="T61" s="89"/>
      <c r="U61" s="89"/>
      <c r="V61" s="89"/>
      <c r="W61" s="89"/>
      <c r="AJ61" s="85"/>
      <c r="AK61" s="85"/>
      <c r="AL61" s="85"/>
      <c r="AN61" s="124"/>
      <c r="AO61" s="122"/>
      <c r="AP61" s="122"/>
      <c r="AQ61" s="122"/>
      <c r="CB61" s="32"/>
      <c r="CC61" s="32"/>
    </row>
    <row r="62" spans="1:81" ht="12.75" customHeight="1" thickBot="1" x14ac:dyDescent="0.25">
      <c r="A62" s="147"/>
      <c r="B62" s="37" t="s">
        <v>98</v>
      </c>
      <c r="C62" s="743"/>
      <c r="D62" s="743"/>
      <c r="E62" s="80"/>
      <c r="F62" s="80"/>
      <c r="G62" s="80"/>
      <c r="H62" s="80"/>
      <c r="I62" s="80"/>
      <c r="J62" s="78"/>
      <c r="K62" s="78"/>
      <c r="L62" s="78"/>
      <c r="M62" s="78"/>
      <c r="N62" s="72"/>
      <c r="O62" s="1103"/>
      <c r="P62" s="121"/>
      <c r="Q62" s="121"/>
      <c r="R62" s="169"/>
      <c r="S62" s="87"/>
      <c r="T62" s="89"/>
      <c r="U62" s="89"/>
      <c r="V62" s="89"/>
      <c r="W62" s="89"/>
      <c r="AJ62" s="85"/>
      <c r="AK62" s="85"/>
      <c r="AL62" s="85"/>
      <c r="AN62" s="124"/>
      <c r="AO62" s="122"/>
      <c r="AP62" s="122"/>
      <c r="AQ62" s="122"/>
      <c r="CB62" s="32"/>
      <c r="CC62" s="32"/>
    </row>
    <row r="63" spans="1:81" ht="12.75" customHeight="1" x14ac:dyDescent="0.2">
      <c r="A63" s="147"/>
      <c r="B63" s="38" t="s">
        <v>28</v>
      </c>
      <c r="C63" s="151"/>
      <c r="D63" s="17"/>
      <c r="E63" s="80"/>
      <c r="F63" s="80"/>
      <c r="G63" s="80"/>
      <c r="H63" s="80"/>
      <c r="I63" s="80"/>
      <c r="J63" s="1462" t="s">
        <v>113</v>
      </c>
      <c r="K63" s="1463"/>
      <c r="L63" s="80"/>
      <c r="M63" s="80"/>
      <c r="N63" s="72"/>
      <c r="O63" s="1103"/>
      <c r="P63" s="121"/>
      <c r="Q63" s="121"/>
      <c r="R63" s="169"/>
      <c r="S63" s="87"/>
      <c r="T63" s="89"/>
      <c r="U63" s="89"/>
      <c r="V63" s="89"/>
      <c r="W63" s="89"/>
      <c r="AJ63" s="85"/>
      <c r="AK63" s="85"/>
      <c r="AL63" s="85"/>
      <c r="AN63" s="124"/>
      <c r="AO63" s="122"/>
      <c r="AP63" s="122"/>
      <c r="AQ63" s="122"/>
      <c r="CB63" s="32"/>
      <c r="CC63" s="32"/>
    </row>
    <row r="64" spans="1:81" ht="12.75" customHeight="1" thickBot="1" x14ac:dyDescent="0.25">
      <c r="A64" s="147"/>
      <c r="B64" s="39" t="s">
        <v>99</v>
      </c>
      <c r="C64" s="743"/>
      <c r="D64" s="743"/>
      <c r="E64" s="80"/>
      <c r="F64" s="80"/>
      <c r="G64" s="80"/>
      <c r="H64" s="80"/>
      <c r="I64" s="80"/>
      <c r="J64" s="1457"/>
      <c r="K64" s="1458"/>
      <c r="L64" s="80"/>
      <c r="M64" s="80"/>
      <c r="N64" s="72"/>
      <c r="O64" s="1103"/>
      <c r="P64" s="121"/>
      <c r="Q64" s="121"/>
      <c r="R64" s="169"/>
      <c r="S64" s="87"/>
      <c r="T64" s="89"/>
      <c r="U64" s="89"/>
      <c r="V64" s="89"/>
      <c r="W64" s="89"/>
      <c r="AJ64" s="85"/>
      <c r="AK64" s="85"/>
      <c r="AL64" s="85"/>
      <c r="AN64" s="124"/>
      <c r="AO64" s="122"/>
      <c r="AP64" s="122"/>
      <c r="AQ64" s="122"/>
      <c r="CB64" s="32"/>
      <c r="CC64" s="32"/>
    </row>
    <row r="65" spans="1:81" ht="12.75" customHeight="1" x14ac:dyDescent="0.2">
      <c r="A65" s="147"/>
      <c r="B65" s="46" t="s">
        <v>100</v>
      </c>
      <c r="C65" s="151"/>
      <c r="D65" s="17"/>
      <c r="E65" s="80"/>
      <c r="F65" s="80"/>
      <c r="G65" s="80"/>
      <c r="H65" s="80"/>
      <c r="I65" s="80"/>
      <c r="J65" s="161"/>
      <c r="K65" s="162"/>
      <c r="L65" s="78"/>
      <c r="M65" s="80"/>
      <c r="N65" s="72"/>
      <c r="O65" s="1103"/>
      <c r="P65" s="121"/>
      <c r="Q65" s="121"/>
      <c r="R65" s="169"/>
      <c r="S65" s="87"/>
      <c r="T65" s="89"/>
      <c r="U65" s="89"/>
      <c r="V65" s="89"/>
      <c r="W65" s="89"/>
      <c r="AJ65" s="85"/>
      <c r="AK65" s="85"/>
      <c r="AL65" s="85"/>
      <c r="AN65" s="124"/>
      <c r="AO65" s="122"/>
      <c r="AP65" s="122"/>
      <c r="AQ65" s="122"/>
      <c r="CB65" s="32"/>
      <c r="CC65" s="32"/>
    </row>
    <row r="66" spans="1:81" ht="12.75" customHeight="1" thickBot="1" x14ac:dyDescent="0.25">
      <c r="A66" s="147"/>
      <c r="B66" s="47" t="s">
        <v>101</v>
      </c>
      <c r="C66" s="743"/>
      <c r="D66" s="743"/>
      <c r="E66" s="80"/>
      <c r="F66" s="80"/>
      <c r="G66" s="80"/>
      <c r="H66" s="80"/>
      <c r="I66" s="80"/>
      <c r="J66" s="1459" t="s">
        <v>742</v>
      </c>
      <c r="K66" s="1460"/>
      <c r="L66" s="80"/>
      <c r="M66" s="80"/>
      <c r="N66" s="72"/>
      <c r="O66" s="1103"/>
      <c r="P66" s="121"/>
      <c r="Q66" s="121"/>
      <c r="R66" s="169"/>
      <c r="S66" s="87"/>
      <c r="T66" s="89"/>
      <c r="U66" s="89"/>
      <c r="V66" s="89"/>
      <c r="W66" s="89"/>
      <c r="AJ66" s="85"/>
      <c r="AK66" s="85"/>
      <c r="AL66" s="85"/>
      <c r="AN66" s="124"/>
      <c r="AO66" s="122"/>
      <c r="AP66" s="122"/>
      <c r="AQ66" s="122"/>
      <c r="CB66" s="32"/>
      <c r="CC66" s="32"/>
    </row>
    <row r="67" spans="1:81" ht="12.75" customHeight="1" x14ac:dyDescent="0.2">
      <c r="A67" s="147"/>
      <c r="B67" s="38" t="s">
        <v>102</v>
      </c>
      <c r="C67" s="151"/>
      <c r="D67" s="17"/>
      <c r="E67" s="80"/>
      <c r="F67" s="80"/>
      <c r="G67" s="80"/>
      <c r="H67" s="80"/>
      <c r="I67" s="80"/>
      <c r="J67" s="1457"/>
      <c r="K67" s="1458"/>
      <c r="L67" s="80"/>
      <c r="M67" s="80"/>
      <c r="N67" s="72"/>
      <c r="O67" s="1103"/>
      <c r="P67" s="121"/>
      <c r="Q67" s="121"/>
      <c r="R67" s="169"/>
      <c r="S67" s="87"/>
      <c r="T67" s="89"/>
      <c r="U67" s="89"/>
      <c r="V67" s="89"/>
      <c r="W67" s="89"/>
      <c r="AJ67" s="85"/>
      <c r="AK67" s="85"/>
      <c r="AL67" s="85"/>
      <c r="AN67" s="124"/>
      <c r="AO67" s="122"/>
      <c r="AP67" s="122"/>
      <c r="AQ67" s="122"/>
      <c r="CB67" s="32"/>
      <c r="CC67" s="32"/>
    </row>
    <row r="68" spans="1:81" ht="12.75" customHeight="1" thickBot="1" x14ac:dyDescent="0.25">
      <c r="A68" s="147"/>
      <c r="B68" s="39" t="s">
        <v>103</v>
      </c>
      <c r="C68" s="743"/>
      <c r="D68" s="743"/>
      <c r="E68" s="80"/>
      <c r="F68" s="80"/>
      <c r="G68" s="80"/>
      <c r="H68" s="80"/>
      <c r="I68" s="80"/>
      <c r="J68" s="152"/>
      <c r="K68" s="80"/>
      <c r="L68" s="80"/>
      <c r="M68" s="80"/>
      <c r="N68" s="72"/>
      <c r="O68" s="1103"/>
      <c r="P68" s="121"/>
      <c r="Q68" s="121"/>
      <c r="R68" s="169"/>
      <c r="S68" s="87"/>
      <c r="T68" s="89"/>
      <c r="U68" s="89"/>
      <c r="V68" s="89"/>
      <c r="W68" s="89"/>
      <c r="AJ68" s="85"/>
      <c r="AK68" s="85"/>
      <c r="AL68" s="85"/>
      <c r="AN68" s="124"/>
      <c r="AO68" s="122"/>
      <c r="AP68" s="122"/>
      <c r="AQ68" s="122"/>
      <c r="CB68" s="32"/>
      <c r="CC68" s="32"/>
    </row>
    <row r="69" spans="1:81" ht="12.75" customHeight="1" x14ac:dyDescent="0.2">
      <c r="A69" s="147"/>
      <c r="B69" s="46" t="s">
        <v>104</v>
      </c>
      <c r="C69" s="151"/>
      <c r="D69" s="17"/>
      <c r="E69" s="80"/>
      <c r="F69" s="80"/>
      <c r="G69" s="80"/>
      <c r="H69" s="80"/>
      <c r="I69" s="80"/>
      <c r="J69" s="1459" t="s">
        <v>1703</v>
      </c>
      <c r="K69" s="1460"/>
      <c r="L69" s="80"/>
      <c r="M69" s="79"/>
      <c r="N69" s="68"/>
      <c r="O69" s="1103"/>
      <c r="P69" s="121"/>
      <c r="Q69" s="121"/>
      <c r="R69" s="169"/>
      <c r="S69" s="87"/>
      <c r="T69" s="89"/>
      <c r="U69" s="89"/>
      <c r="V69" s="89"/>
      <c r="W69" s="89"/>
      <c r="AJ69" s="85"/>
      <c r="AK69" s="85"/>
      <c r="AL69" s="85"/>
      <c r="AN69" s="124"/>
      <c r="AO69" s="122"/>
      <c r="AP69" s="122"/>
      <c r="AQ69" s="122"/>
      <c r="CB69" s="32"/>
      <c r="CC69" s="32"/>
    </row>
    <row r="70" spans="1:81" ht="12.75" customHeight="1" thickBot="1" x14ac:dyDescent="0.25">
      <c r="A70" s="147"/>
      <c r="B70" s="48" t="s">
        <v>105</v>
      </c>
      <c r="C70" s="743"/>
      <c r="D70" s="743"/>
      <c r="E70" s="80"/>
      <c r="F70" s="80"/>
      <c r="G70" s="80"/>
      <c r="H70" s="80"/>
      <c r="I70" s="80"/>
      <c r="J70" s="1457"/>
      <c r="K70" s="1458"/>
      <c r="L70" s="80"/>
      <c r="M70" s="79"/>
      <c r="N70" s="68"/>
      <c r="O70" s="1103"/>
      <c r="P70" s="121"/>
      <c r="Q70" s="121"/>
      <c r="R70" s="169"/>
      <c r="S70" s="87"/>
      <c r="T70" s="89"/>
      <c r="U70" s="89"/>
      <c r="V70" s="89"/>
      <c r="W70" s="89"/>
      <c r="AJ70" s="85"/>
      <c r="AK70" s="85"/>
      <c r="AL70" s="85"/>
      <c r="AN70" s="124"/>
      <c r="AO70" s="122"/>
      <c r="AP70" s="122"/>
      <c r="AQ70" s="122"/>
      <c r="CB70" s="32"/>
      <c r="CC70" s="32"/>
    </row>
    <row r="71" spans="1:81" ht="12.75" customHeight="1" x14ac:dyDescent="0.2">
      <c r="A71" s="147"/>
      <c r="B71" s="80"/>
      <c r="C71" s="148"/>
      <c r="D71" s="80"/>
      <c r="E71" s="80"/>
      <c r="F71" s="80"/>
      <c r="G71" s="80"/>
      <c r="H71" s="80"/>
      <c r="I71" s="80"/>
      <c r="J71" s="80"/>
      <c r="K71" s="80"/>
      <c r="L71" s="80"/>
      <c r="M71" s="80"/>
      <c r="N71" s="68"/>
      <c r="O71" s="1103"/>
      <c r="P71" s="121"/>
      <c r="Q71" s="121"/>
      <c r="R71" s="169"/>
      <c r="S71" s="87"/>
      <c r="T71" s="89"/>
      <c r="U71" s="89"/>
      <c r="V71" s="89"/>
      <c r="W71" s="89"/>
      <c r="AJ71" s="85"/>
      <c r="AK71" s="85"/>
      <c r="AL71" s="85"/>
      <c r="AN71" s="124"/>
      <c r="AO71" s="122"/>
      <c r="AP71" s="122"/>
      <c r="AQ71" s="122"/>
      <c r="CB71" s="32"/>
      <c r="CC71" s="32"/>
    </row>
    <row r="72" spans="1:81" ht="12.75" customHeight="1" x14ac:dyDescent="0.2">
      <c r="A72" s="147"/>
      <c r="B72" s="80"/>
      <c r="C72" s="80"/>
      <c r="D72" s="80"/>
      <c r="E72" s="80"/>
      <c r="F72" s="80"/>
      <c r="G72" s="80"/>
      <c r="H72" s="80"/>
      <c r="I72" s="80"/>
      <c r="J72" s="1462" t="s">
        <v>471</v>
      </c>
      <c r="K72" s="1463"/>
      <c r="L72" s="80"/>
      <c r="M72" s="80"/>
      <c r="N72" s="68"/>
      <c r="O72" s="1103"/>
      <c r="P72" s="121"/>
      <c r="Q72" s="121"/>
      <c r="R72" s="169"/>
      <c r="S72" s="87"/>
      <c r="T72" s="89"/>
      <c r="U72" s="89"/>
      <c r="V72" s="89"/>
      <c r="W72" s="89"/>
      <c r="AJ72" s="85"/>
      <c r="AK72" s="85"/>
      <c r="AL72" s="85"/>
      <c r="AN72" s="124"/>
      <c r="AO72" s="122"/>
      <c r="AP72" s="122"/>
      <c r="AQ72" s="122"/>
      <c r="CB72" s="32"/>
      <c r="CC72" s="32"/>
    </row>
    <row r="73" spans="1:81" ht="12.75" customHeight="1" x14ac:dyDescent="0.2">
      <c r="A73" s="147"/>
      <c r="B73" s="80"/>
      <c r="C73" s="80"/>
      <c r="D73" s="80"/>
      <c r="E73" s="80"/>
      <c r="F73" s="80"/>
      <c r="G73" s="80"/>
      <c r="H73" s="80"/>
      <c r="I73" s="80"/>
      <c r="J73" s="1457"/>
      <c r="K73" s="1458"/>
      <c r="L73" s="80"/>
      <c r="M73" s="80"/>
      <c r="N73" s="68"/>
      <c r="O73" s="1103"/>
      <c r="P73" s="121"/>
      <c r="Q73" s="121"/>
      <c r="R73" s="169"/>
      <c r="S73" s="87"/>
      <c r="T73" s="89"/>
      <c r="U73" s="89"/>
      <c r="V73" s="89"/>
      <c r="W73" s="89"/>
      <c r="AJ73" s="85"/>
      <c r="AK73" s="85"/>
      <c r="AL73" s="85"/>
      <c r="AN73" s="124"/>
      <c r="AO73" s="122"/>
      <c r="AP73" s="122"/>
      <c r="AQ73" s="122"/>
      <c r="CB73" s="32"/>
      <c r="CC73" s="32"/>
    </row>
    <row r="74" spans="1:81" ht="12.75" customHeight="1" x14ac:dyDescent="0.2">
      <c r="A74" s="147"/>
      <c r="B74" s="80"/>
      <c r="C74" s="80"/>
      <c r="D74" s="80"/>
      <c r="E74" s="80"/>
      <c r="F74" s="80"/>
      <c r="G74" s="80"/>
      <c r="H74" s="80"/>
      <c r="I74" s="80"/>
      <c r="J74" s="80"/>
      <c r="K74" s="80"/>
      <c r="L74" s="79"/>
      <c r="M74" s="80"/>
      <c r="N74" s="68"/>
      <c r="O74" s="1103"/>
      <c r="P74" s="121"/>
      <c r="Q74" s="121"/>
      <c r="R74" s="169"/>
      <c r="S74" s="87"/>
      <c r="T74" s="89"/>
      <c r="U74" s="89"/>
      <c r="V74" s="89"/>
      <c r="W74" s="89"/>
      <c r="AJ74" s="85"/>
      <c r="AK74" s="85"/>
      <c r="AL74" s="85"/>
      <c r="AN74" s="124"/>
      <c r="AO74" s="122"/>
      <c r="AP74" s="122"/>
      <c r="AQ74" s="122"/>
      <c r="CB74" s="32"/>
      <c r="CC74" s="32"/>
    </row>
    <row r="75" spans="1:81" ht="12.75" customHeight="1" x14ac:dyDescent="0.2">
      <c r="A75" s="147"/>
      <c r="B75" s="80"/>
      <c r="C75" s="80"/>
      <c r="D75" s="80"/>
      <c r="E75" s="80"/>
      <c r="F75" s="80"/>
      <c r="G75" s="80"/>
      <c r="H75" s="80"/>
      <c r="I75" s="80"/>
      <c r="J75" s="34" t="s">
        <v>157</v>
      </c>
      <c r="K75" s="141"/>
      <c r="L75" s="79" t="str">
        <f>IF(OR(ChoixPaillagePorcins="",ChoixPaillagePorcins=NON),"","coût : "&amp;ROUND(PrixPaille*0.8/SUM(NbreJoursNourrirAutres)*84*SUM(TotalPorcins)/1000,2)&amp;"€/an")</f>
        <v/>
      </c>
      <c r="M75" s="80"/>
      <c r="N75" s="68"/>
      <c r="O75" s="1103"/>
      <c r="P75" s="121"/>
      <c r="Q75" s="121"/>
      <c r="R75" s="169"/>
      <c r="S75" s="87"/>
      <c r="T75" s="89"/>
      <c r="U75" s="89"/>
      <c r="V75" s="89"/>
      <c r="W75" s="89"/>
      <c r="AJ75" s="85"/>
      <c r="AK75" s="85"/>
      <c r="AL75" s="85"/>
      <c r="AN75" s="124"/>
      <c r="AO75" s="122"/>
      <c r="AP75" s="122"/>
      <c r="AQ75" s="122"/>
      <c r="CB75" s="32"/>
      <c r="CC75" s="32"/>
    </row>
    <row r="76" spans="1:81" ht="12.75" customHeight="1" x14ac:dyDescent="0.2">
      <c r="A76" s="147"/>
      <c r="B76" s="80"/>
      <c r="C76" s="80"/>
      <c r="D76" s="80"/>
      <c r="E76" s="80"/>
      <c r="F76" s="80"/>
      <c r="G76" s="80"/>
      <c r="H76" s="80"/>
      <c r="I76" s="80"/>
      <c r="J76" s="35" t="s">
        <v>156</v>
      </c>
      <c r="K76" s="141"/>
      <c r="L76" s="79" t="str">
        <f>IF(ChoixVaccinPorcins=OUI,"coût : " &amp;SUM(TotalPorcins)*PrixVaccinPorcin &amp;"€/an","")</f>
        <v/>
      </c>
      <c r="M76" s="80"/>
      <c r="N76" s="68"/>
      <c r="O76" s="1103"/>
      <c r="P76" s="121"/>
      <c r="Q76" s="121"/>
      <c r="R76" s="169"/>
      <c r="S76" s="87"/>
      <c r="T76" s="89"/>
      <c r="U76" s="89"/>
      <c r="V76" s="89"/>
      <c r="W76" s="89"/>
      <c r="AJ76" s="85"/>
      <c r="AK76" s="85"/>
      <c r="AL76" s="85"/>
      <c r="AN76" s="124"/>
      <c r="AO76" s="122"/>
      <c r="AP76" s="122"/>
      <c r="AQ76" s="122"/>
      <c r="CB76" s="32"/>
      <c r="CC76" s="32"/>
    </row>
    <row r="77" spans="1:81" ht="12.75" customHeight="1" thickBot="1" x14ac:dyDescent="0.25">
      <c r="A77" s="153"/>
      <c r="B77" s="81"/>
      <c r="C77" s="81"/>
      <c r="D77" s="81"/>
      <c r="E77" s="81"/>
      <c r="F77" s="81"/>
      <c r="G77" s="81"/>
      <c r="H77" s="81"/>
      <c r="I77" s="81"/>
      <c r="J77" s="81"/>
      <c r="K77" s="81"/>
      <c r="L77" s="81"/>
      <c r="M77" s="81"/>
      <c r="N77" s="74"/>
      <c r="O77" s="1103"/>
      <c r="P77" s="121"/>
      <c r="Q77" s="121"/>
      <c r="R77" s="169"/>
      <c r="S77" s="87"/>
      <c r="T77" s="89"/>
      <c r="U77" s="89"/>
      <c r="V77" s="89"/>
      <c r="W77" s="89"/>
      <c r="AJ77" s="85"/>
      <c r="AK77" s="85"/>
      <c r="AL77" s="85"/>
      <c r="AN77" s="124"/>
      <c r="AO77" s="122"/>
      <c r="AP77" s="122"/>
      <c r="AQ77" s="122"/>
      <c r="CB77" s="32"/>
      <c r="CC77" s="32"/>
    </row>
    <row r="78" spans="1:81" ht="12.75" customHeight="1" thickBot="1" x14ac:dyDescent="0.25">
      <c r="A78" s="128" t="s">
        <v>1130</v>
      </c>
      <c r="B78" s="129"/>
      <c r="C78" s="129"/>
      <c r="D78" s="129"/>
      <c r="E78" s="129"/>
      <c r="F78" s="129"/>
      <c r="G78" s="129"/>
      <c r="H78" s="129"/>
      <c r="I78" s="129"/>
      <c r="J78" s="129"/>
      <c r="K78" s="129"/>
      <c r="L78" s="129"/>
      <c r="M78" s="129"/>
      <c r="N78" s="130"/>
      <c r="O78" s="1103"/>
      <c r="P78" s="121"/>
      <c r="Q78" s="121"/>
      <c r="R78" s="169"/>
      <c r="S78" s="87"/>
      <c r="T78" s="89"/>
      <c r="U78" s="89"/>
      <c r="V78" s="89"/>
      <c r="W78" s="89"/>
      <c r="AJ78" s="85"/>
      <c r="AK78" s="85"/>
      <c r="AL78" s="85"/>
      <c r="AN78" s="124"/>
      <c r="AO78" s="122"/>
      <c r="AP78" s="122"/>
      <c r="AQ78" s="122"/>
      <c r="CB78" s="32"/>
      <c r="CC78" s="32"/>
    </row>
    <row r="79" spans="1:81" ht="12.75" customHeight="1" thickBot="1" x14ac:dyDescent="0.25">
      <c r="A79" s="132" t="str">
        <f>"Total : "&amp;SUM(TotalVolailles)</f>
        <v>Total : 0</v>
      </c>
      <c r="B79" s="76"/>
      <c r="C79" s="49" t="s">
        <v>472</v>
      </c>
      <c r="D79" s="111" t="s">
        <v>1660</v>
      </c>
      <c r="E79" s="76"/>
      <c r="F79" s="76"/>
      <c r="G79" s="76"/>
      <c r="H79" s="76"/>
      <c r="I79" s="76"/>
      <c r="J79" s="1461" t="s">
        <v>470</v>
      </c>
      <c r="K79" s="1461"/>
      <c r="L79" s="76"/>
      <c r="M79" s="76"/>
      <c r="N79" s="71"/>
      <c r="O79" s="1103"/>
      <c r="P79" s="121"/>
      <c r="Q79" s="121"/>
      <c r="R79" s="169"/>
      <c r="S79" s="87"/>
      <c r="T79" s="89"/>
      <c r="U79" s="89"/>
      <c r="V79" s="89"/>
      <c r="W79" s="89"/>
      <c r="AJ79" s="85"/>
      <c r="AK79" s="85"/>
      <c r="AL79" s="85"/>
      <c r="AN79" s="124"/>
      <c r="AO79" s="122"/>
      <c r="AP79" s="122"/>
      <c r="AQ79" s="122"/>
      <c r="CB79" s="32"/>
      <c r="CC79" s="32"/>
    </row>
    <row r="80" spans="1:81" ht="12.75" customHeight="1" x14ac:dyDescent="0.2">
      <c r="A80" s="132"/>
      <c r="B80" s="42" t="s">
        <v>579</v>
      </c>
      <c r="C80" s="163"/>
      <c r="D80" s="17"/>
      <c r="E80" s="76"/>
      <c r="F80" s="76"/>
      <c r="G80" s="76"/>
      <c r="H80" s="76"/>
      <c r="I80" s="76"/>
      <c r="J80" s="1457"/>
      <c r="K80" s="1458"/>
      <c r="L80" s="76"/>
      <c r="M80" s="76"/>
      <c r="N80" s="71"/>
      <c r="O80" s="1103"/>
      <c r="P80" s="121"/>
      <c r="Q80" s="121"/>
      <c r="R80" s="169"/>
      <c r="S80" s="87"/>
      <c r="T80" s="89"/>
      <c r="U80" s="89"/>
      <c r="V80" s="89"/>
      <c r="W80" s="89"/>
      <c r="AJ80" s="85"/>
      <c r="AK80" s="85"/>
      <c r="AL80" s="85"/>
      <c r="AN80" s="124"/>
      <c r="AO80" s="122"/>
      <c r="AP80" s="122"/>
      <c r="AQ80" s="122"/>
      <c r="CB80" s="32"/>
      <c r="CC80" s="32"/>
    </row>
    <row r="81" spans="1:81" ht="12.75" customHeight="1" thickBot="1" x14ac:dyDescent="0.25">
      <c r="A81" s="132"/>
      <c r="B81" s="45" t="s">
        <v>32</v>
      </c>
      <c r="C81" s="164"/>
      <c r="D81" s="743"/>
      <c r="E81" s="76"/>
      <c r="F81" s="76"/>
      <c r="G81" s="76"/>
      <c r="H81" s="76"/>
      <c r="I81" s="76"/>
      <c r="J81" s="166"/>
      <c r="K81" s="166"/>
      <c r="L81" s="76"/>
      <c r="M81" s="76"/>
      <c r="N81" s="71"/>
      <c r="O81" s="92"/>
      <c r="P81" s="121"/>
      <c r="Q81" s="121"/>
      <c r="R81" s="169"/>
      <c r="S81" s="87"/>
      <c r="T81" s="89"/>
      <c r="U81" s="89"/>
      <c r="V81" s="89"/>
      <c r="W81" s="89"/>
      <c r="AJ81" s="85"/>
      <c r="AK81" s="85"/>
      <c r="AL81" s="85"/>
      <c r="AN81" s="124"/>
      <c r="AO81" s="122"/>
      <c r="AP81" s="122"/>
      <c r="AQ81" s="122"/>
      <c r="CB81" s="32"/>
      <c r="CC81" s="32"/>
    </row>
    <row r="82" spans="1:81" ht="12.75" customHeight="1" x14ac:dyDescent="0.2">
      <c r="A82" s="132"/>
      <c r="B82" s="43" t="s">
        <v>33</v>
      </c>
      <c r="C82" s="113"/>
      <c r="D82" s="17"/>
      <c r="E82" s="76"/>
      <c r="F82" s="76"/>
      <c r="G82" s="76"/>
      <c r="H82" s="76"/>
      <c r="I82" s="76"/>
      <c r="J82" s="1461" t="s">
        <v>383</v>
      </c>
      <c r="K82" s="1461"/>
      <c r="L82" s="76"/>
      <c r="M82" s="76"/>
      <c r="N82" s="71"/>
      <c r="O82" s="131"/>
      <c r="P82" s="121"/>
      <c r="Q82" s="121"/>
      <c r="R82" s="169"/>
      <c r="AJ82" s="85"/>
      <c r="AK82" s="85"/>
      <c r="AL82" s="85"/>
      <c r="AN82" s="124"/>
      <c r="AO82" s="122"/>
      <c r="AP82" s="122"/>
      <c r="AQ82" s="122"/>
      <c r="CB82" s="32"/>
      <c r="CC82" s="32"/>
    </row>
    <row r="83" spans="1:81" ht="12.75" customHeight="1" thickBot="1" x14ac:dyDescent="0.25">
      <c r="A83" s="132"/>
      <c r="B83" s="29" t="s">
        <v>34</v>
      </c>
      <c r="C83" s="70"/>
      <c r="D83" s="743"/>
      <c r="E83" s="76"/>
      <c r="F83" s="76"/>
      <c r="G83" s="76"/>
      <c r="H83" s="76"/>
      <c r="I83" s="76"/>
      <c r="J83" s="1468"/>
      <c r="K83" s="1468"/>
      <c r="L83" s="76"/>
      <c r="M83" s="76"/>
      <c r="N83" s="71"/>
      <c r="O83" s="131"/>
      <c r="P83" s="121"/>
      <c r="Q83" s="121"/>
      <c r="R83" s="169"/>
      <c r="AJ83" s="85"/>
      <c r="AK83" s="85"/>
      <c r="AL83" s="85"/>
      <c r="AN83" s="124"/>
      <c r="AO83" s="122"/>
      <c r="AP83" s="122"/>
      <c r="AQ83" s="122"/>
      <c r="CB83" s="32"/>
      <c r="CC83" s="32"/>
    </row>
    <row r="84" spans="1:81" ht="12.75" customHeight="1" x14ac:dyDescent="0.2">
      <c r="A84" s="132"/>
      <c r="B84" s="24" t="s">
        <v>35</v>
      </c>
      <c r="C84" s="69"/>
      <c r="D84" s="17"/>
      <c r="E84" s="76"/>
      <c r="F84" s="76"/>
      <c r="G84" s="76"/>
      <c r="H84" s="76"/>
      <c r="I84" s="76"/>
      <c r="J84" s="166"/>
      <c r="K84" s="166"/>
      <c r="L84" s="76"/>
      <c r="M84" s="76"/>
      <c r="N84" s="71"/>
      <c r="O84" s="171"/>
      <c r="P84" s="172"/>
      <c r="Q84" s="173"/>
      <c r="R84" s="174"/>
      <c r="S84" s="89"/>
      <c r="T84" s="89"/>
      <c r="U84" s="89"/>
      <c r="V84" s="89"/>
      <c r="W84" s="89"/>
      <c r="AJ84" s="85"/>
      <c r="AK84" s="85"/>
      <c r="AL84" s="85"/>
      <c r="AN84" s="124"/>
      <c r="AO84" s="122"/>
      <c r="AP84" s="122"/>
      <c r="AQ84" s="122"/>
      <c r="CB84" s="32"/>
      <c r="CC84" s="32"/>
    </row>
    <row r="85" spans="1:81" ht="12.75" customHeight="1" thickBot="1" x14ac:dyDescent="0.25">
      <c r="A85" s="132"/>
      <c r="B85" s="25" t="s">
        <v>36</v>
      </c>
      <c r="C85" s="70"/>
      <c r="D85" s="743"/>
      <c r="E85" s="76"/>
      <c r="F85" s="76"/>
      <c r="G85" s="76"/>
      <c r="H85" s="76"/>
      <c r="I85" s="76"/>
      <c r="J85" s="1459" t="s">
        <v>742</v>
      </c>
      <c r="K85" s="1460"/>
      <c r="L85" s="76"/>
      <c r="M85" s="76"/>
      <c r="N85" s="71"/>
      <c r="O85" s="171"/>
      <c r="P85" s="172"/>
      <c r="Q85" s="173"/>
      <c r="R85" s="174"/>
      <c r="S85" s="89"/>
      <c r="T85" s="89"/>
      <c r="U85" s="89"/>
      <c r="V85" s="89"/>
      <c r="W85" s="89"/>
      <c r="AJ85" s="85"/>
      <c r="AK85" s="85"/>
      <c r="AL85" s="85"/>
      <c r="AN85" s="124"/>
      <c r="AO85" s="122"/>
      <c r="AP85" s="122"/>
      <c r="AQ85" s="122"/>
      <c r="CB85" s="32"/>
      <c r="CC85" s="32"/>
    </row>
    <row r="86" spans="1:81" ht="12.75" customHeight="1" x14ac:dyDescent="0.2">
      <c r="A86" s="132"/>
      <c r="B86" s="76"/>
      <c r="C86" s="155"/>
      <c r="D86" s="76"/>
      <c r="E86" s="76"/>
      <c r="F86" s="76"/>
      <c r="G86" s="76"/>
      <c r="H86" s="76"/>
      <c r="I86" s="76"/>
      <c r="J86" s="1457"/>
      <c r="K86" s="1458"/>
      <c r="L86" s="76"/>
      <c r="M86" s="76"/>
      <c r="N86" s="71"/>
      <c r="O86" s="171"/>
      <c r="P86" s="172"/>
      <c r="Q86" s="173"/>
      <c r="R86" s="174"/>
      <c r="S86" s="89"/>
      <c r="T86" s="89"/>
      <c r="U86" s="89"/>
      <c r="V86" s="89"/>
      <c r="W86" s="89"/>
      <c r="AJ86" s="85"/>
      <c r="AK86" s="85"/>
      <c r="AM86" s="124"/>
      <c r="AO86" s="122"/>
      <c r="AP86" s="122"/>
      <c r="CB86" s="32"/>
      <c r="CC86" s="32"/>
    </row>
    <row r="87" spans="1:81" ht="12.75" customHeight="1" x14ac:dyDescent="0.2">
      <c r="A87" s="132"/>
      <c r="B87" s="76"/>
      <c r="C87" s="76"/>
      <c r="D87" s="76"/>
      <c r="E87" s="76"/>
      <c r="F87" s="76"/>
      <c r="G87" s="76"/>
      <c r="H87" s="76"/>
      <c r="I87" s="76"/>
      <c r="J87" s="138"/>
      <c r="K87" s="76"/>
      <c r="L87" s="76"/>
      <c r="M87" s="76"/>
      <c r="N87" s="71"/>
      <c r="O87" s="175"/>
      <c r="P87" s="172"/>
      <c r="Q87" s="173"/>
      <c r="R87" s="174"/>
      <c r="S87" s="89"/>
      <c r="T87" s="89"/>
      <c r="U87" s="89"/>
      <c r="V87" s="89"/>
      <c r="W87" s="89"/>
      <c r="Z87" s="87"/>
      <c r="AA87" s="87"/>
      <c r="AB87" s="87"/>
      <c r="AJ87" s="85"/>
      <c r="AK87" s="85"/>
      <c r="AM87" s="124"/>
      <c r="AO87" s="122"/>
      <c r="AP87" s="122"/>
      <c r="CB87" s="32"/>
      <c r="CC87" s="32"/>
    </row>
    <row r="88" spans="1:81" ht="12.75" customHeight="1" x14ac:dyDescent="0.2">
      <c r="A88" s="132"/>
      <c r="B88" s="76"/>
      <c r="C88" s="76"/>
      <c r="D88" s="76"/>
      <c r="E88" s="76"/>
      <c r="F88" s="76"/>
      <c r="G88" s="76"/>
      <c r="H88" s="76"/>
      <c r="I88" s="76"/>
      <c r="J88" s="1459" t="s">
        <v>1703</v>
      </c>
      <c r="K88" s="1460"/>
      <c r="L88" s="76"/>
      <c r="M88" s="76"/>
      <c r="N88" s="71"/>
      <c r="O88" s="175"/>
      <c r="P88" s="172"/>
      <c r="Q88" s="173"/>
      <c r="R88" s="174"/>
      <c r="S88" s="89"/>
      <c r="T88" s="89"/>
      <c r="U88" s="89"/>
      <c r="V88" s="89"/>
      <c r="W88" s="89"/>
      <c r="Z88" s="87"/>
      <c r="AA88" s="87"/>
      <c r="AB88" s="87"/>
      <c r="AJ88" s="85"/>
      <c r="AK88" s="85"/>
      <c r="AM88" s="124"/>
      <c r="AO88" s="122"/>
      <c r="AP88" s="122"/>
      <c r="CB88" s="32"/>
      <c r="CC88" s="32"/>
    </row>
    <row r="89" spans="1:81" ht="12.75" customHeight="1" x14ac:dyDescent="0.2">
      <c r="A89" s="132"/>
      <c r="B89" s="76"/>
      <c r="C89" s="76"/>
      <c r="D89" s="76"/>
      <c r="E89" s="76"/>
      <c r="F89" s="76"/>
      <c r="G89" s="76"/>
      <c r="H89" s="76"/>
      <c r="I89" s="76"/>
      <c r="J89" s="1457"/>
      <c r="K89" s="1458"/>
      <c r="L89" s="76"/>
      <c r="M89" s="76"/>
      <c r="N89" s="71"/>
      <c r="O89" s="175"/>
      <c r="P89" s="172"/>
      <c r="Q89" s="173"/>
      <c r="R89" s="174"/>
      <c r="S89" s="89"/>
      <c r="T89" s="89"/>
      <c r="U89" s="89"/>
      <c r="V89" s="89"/>
      <c r="W89" s="89"/>
      <c r="Z89" s="87"/>
      <c r="AA89" s="87"/>
      <c r="AB89" s="87"/>
      <c r="AJ89" s="85"/>
      <c r="AK89" s="85"/>
      <c r="AM89" s="124"/>
      <c r="AO89" s="122"/>
      <c r="AP89" s="122"/>
      <c r="CB89" s="32"/>
      <c r="CC89" s="32"/>
    </row>
    <row r="90" spans="1:81" ht="12.75" customHeight="1" x14ac:dyDescent="0.2">
      <c r="A90" s="132"/>
      <c r="B90" s="76"/>
      <c r="C90" s="76"/>
      <c r="D90" s="76"/>
      <c r="E90" s="76"/>
      <c r="F90" s="76"/>
      <c r="G90" s="76"/>
      <c r="H90" s="76"/>
      <c r="I90" s="76"/>
      <c r="J90" s="138"/>
      <c r="K90" s="76"/>
      <c r="L90" s="76"/>
      <c r="M90" s="76"/>
      <c r="N90" s="71"/>
      <c r="O90" s="175"/>
      <c r="P90" s="172"/>
      <c r="Q90" s="173"/>
      <c r="R90" s="174"/>
      <c r="S90" s="89"/>
      <c r="T90" s="89"/>
      <c r="U90" s="89"/>
      <c r="V90" s="89"/>
      <c r="W90" s="89"/>
      <c r="Z90" s="87"/>
      <c r="AA90" s="87"/>
      <c r="AB90" s="87"/>
      <c r="AJ90" s="85"/>
      <c r="AK90" s="85"/>
      <c r="AM90" s="124"/>
      <c r="AO90" s="122"/>
      <c r="AP90" s="122"/>
      <c r="CB90" s="32"/>
      <c r="CC90" s="32"/>
    </row>
    <row r="91" spans="1:81" ht="12.75" customHeight="1" x14ac:dyDescent="0.2">
      <c r="A91" s="132"/>
      <c r="B91" s="76"/>
      <c r="C91" s="76"/>
      <c r="D91" s="76"/>
      <c r="E91" s="76"/>
      <c r="F91" s="76"/>
      <c r="G91" s="76"/>
      <c r="H91" s="76"/>
      <c r="I91" s="76"/>
      <c r="J91" s="1462" t="s">
        <v>471</v>
      </c>
      <c r="K91" s="1463"/>
      <c r="L91" s="76"/>
      <c r="M91" s="76"/>
      <c r="N91" s="71"/>
      <c r="O91" s="175"/>
      <c r="P91" s="172"/>
      <c r="Q91" s="173"/>
      <c r="R91" s="174"/>
      <c r="S91" s="89"/>
      <c r="T91" s="89"/>
      <c r="U91" s="89"/>
      <c r="V91" s="89"/>
      <c r="W91" s="89"/>
      <c r="Z91" s="87"/>
      <c r="AA91" s="87"/>
      <c r="AB91" s="87"/>
      <c r="AJ91" s="85"/>
      <c r="AK91" s="85"/>
      <c r="AM91" s="124"/>
      <c r="AO91" s="122"/>
      <c r="AP91" s="122"/>
      <c r="CB91" s="32"/>
      <c r="CC91" s="32"/>
    </row>
    <row r="92" spans="1:81" ht="12.75" customHeight="1" x14ac:dyDescent="0.2">
      <c r="A92" s="132"/>
      <c r="B92" s="76"/>
      <c r="C92" s="76"/>
      <c r="D92" s="76"/>
      <c r="E92" s="76"/>
      <c r="F92" s="76"/>
      <c r="G92" s="76"/>
      <c r="H92" s="76"/>
      <c r="I92" s="76"/>
      <c r="J92" s="1457"/>
      <c r="K92" s="1458"/>
      <c r="L92" s="76"/>
      <c r="M92" s="76"/>
      <c r="N92" s="71"/>
      <c r="O92" s="175"/>
      <c r="P92" s="172"/>
      <c r="Q92" s="173"/>
      <c r="R92" s="174"/>
      <c r="S92" s="89"/>
      <c r="T92" s="89"/>
      <c r="U92" s="89"/>
      <c r="V92" s="89"/>
      <c r="W92" s="89"/>
      <c r="Z92" s="87"/>
      <c r="AA92" s="87"/>
      <c r="AB92" s="87"/>
      <c r="AJ92" s="85"/>
      <c r="AK92" s="85"/>
      <c r="AM92" s="124"/>
      <c r="AO92" s="122"/>
      <c r="AP92" s="122"/>
      <c r="CB92" s="32"/>
      <c r="CC92" s="32"/>
    </row>
    <row r="93" spans="1:81" ht="12.75" customHeight="1" x14ac:dyDescent="0.2">
      <c r="A93" s="132"/>
      <c r="B93" s="76"/>
      <c r="C93" s="76"/>
      <c r="D93" s="76"/>
      <c r="E93" s="76"/>
      <c r="F93" s="76"/>
      <c r="G93" s="76"/>
      <c r="H93" s="76"/>
      <c r="I93" s="76"/>
      <c r="J93" s="76"/>
      <c r="K93" s="76"/>
      <c r="L93" s="76"/>
      <c r="M93" s="76"/>
      <c r="N93" s="71"/>
      <c r="O93" s="175"/>
      <c r="P93" s="172"/>
      <c r="Q93" s="173"/>
      <c r="R93" s="174"/>
      <c r="S93" s="89"/>
      <c r="T93" s="89"/>
      <c r="U93" s="89"/>
      <c r="V93" s="89"/>
      <c r="W93" s="89"/>
      <c r="Z93" s="87"/>
      <c r="AA93" s="87"/>
      <c r="AB93" s="87"/>
      <c r="AJ93" s="85"/>
      <c r="AK93" s="85"/>
      <c r="AM93" s="124"/>
      <c r="AO93" s="122"/>
      <c r="AP93" s="122"/>
      <c r="CB93" s="32"/>
      <c r="CC93" s="32"/>
    </row>
    <row r="94" spans="1:81" ht="12.75" customHeight="1" x14ac:dyDescent="0.2">
      <c r="A94" s="132"/>
      <c r="B94" s="76"/>
      <c r="C94" s="76"/>
      <c r="D94" s="76"/>
      <c r="E94" s="76"/>
      <c r="F94" s="76"/>
      <c r="G94" s="76"/>
      <c r="H94" s="76"/>
      <c r="I94" s="76"/>
      <c r="J94" s="34" t="s">
        <v>157</v>
      </c>
      <c r="K94" s="141"/>
      <c r="L94" s="76" t="str">
        <f>IF(OR(ChoixPaillageVolailles="",ChoixPaillageVolailles=NON),"","coût : "&amp;ROUND(PrixPaille*0.8/SUM(NbreJoursNourrirAutres)*84*SUM(TotalVolailles)/1000,2)&amp;"€/an")</f>
        <v/>
      </c>
      <c r="M94" s="76"/>
      <c r="N94" s="71"/>
      <c r="O94" s="176"/>
      <c r="P94" s="172"/>
      <c r="Q94" s="173"/>
      <c r="R94" s="174"/>
      <c r="S94" s="89"/>
      <c r="T94" s="89"/>
      <c r="U94" s="89"/>
      <c r="V94" s="89"/>
      <c r="W94" s="89"/>
      <c r="Z94" s="87"/>
      <c r="AA94" s="87"/>
      <c r="AB94" s="87"/>
      <c r="AJ94" s="85"/>
      <c r="AK94" s="85"/>
      <c r="AM94" s="124"/>
      <c r="AO94" s="122"/>
      <c r="AP94" s="122"/>
      <c r="CB94" s="32"/>
      <c r="CC94" s="32"/>
    </row>
    <row r="95" spans="1:81" ht="12.75" customHeight="1" x14ac:dyDescent="0.2">
      <c r="A95" s="132"/>
      <c r="B95" s="76"/>
      <c r="C95" s="76"/>
      <c r="D95" s="76"/>
      <c r="E95" s="76"/>
      <c r="F95" s="76"/>
      <c r="G95" s="76"/>
      <c r="H95" s="76"/>
      <c r="I95" s="76"/>
      <c r="J95" s="35" t="s">
        <v>156</v>
      </c>
      <c r="K95" s="141"/>
      <c r="L95" s="76" t="str">
        <f>IF(ChoixVaccinVolailles=OUI,"coût : " &amp;SUM(TotalVolailles)*PrixVaccinVolaille &amp;"€/an","")</f>
        <v/>
      </c>
      <c r="M95" s="76"/>
      <c r="N95" s="71"/>
      <c r="O95" s="171"/>
      <c r="P95" s="172"/>
      <c r="Q95" s="173"/>
      <c r="R95" s="174"/>
      <c r="S95" s="89"/>
      <c r="T95" s="89"/>
      <c r="U95" s="89"/>
      <c r="V95" s="89"/>
      <c r="W95" s="89"/>
      <c r="Z95" s="87"/>
      <c r="AA95" s="87"/>
      <c r="AB95" s="87"/>
      <c r="AJ95" s="85"/>
      <c r="AK95" s="85"/>
      <c r="AM95" s="124"/>
      <c r="AO95" s="122"/>
      <c r="AP95" s="122"/>
      <c r="CB95" s="32"/>
      <c r="CC95" s="32"/>
    </row>
    <row r="96" spans="1:81" ht="12.75" customHeight="1" thickBot="1" x14ac:dyDescent="0.25">
      <c r="A96" s="142"/>
      <c r="B96" s="143"/>
      <c r="C96" s="143"/>
      <c r="D96" s="143"/>
      <c r="E96" s="143"/>
      <c r="F96" s="143"/>
      <c r="G96" s="143"/>
      <c r="H96" s="143"/>
      <c r="I96" s="143"/>
      <c r="J96" s="143"/>
      <c r="K96" s="143"/>
      <c r="L96" s="143"/>
      <c r="M96" s="143"/>
      <c r="N96" s="144"/>
      <c r="O96" s="171"/>
      <c r="P96" s="173"/>
      <c r="Q96" s="173"/>
      <c r="R96" s="174"/>
      <c r="S96" s="89"/>
      <c r="T96" s="89"/>
      <c r="U96" s="89"/>
      <c r="V96" s="89"/>
      <c r="W96" s="89"/>
      <c r="Z96" s="87"/>
      <c r="AA96" s="87"/>
      <c r="AB96" s="87"/>
      <c r="AJ96" s="85"/>
      <c r="AK96" s="85"/>
      <c r="AM96" s="124"/>
      <c r="AO96" s="122"/>
      <c r="AP96" s="122"/>
      <c r="CB96" s="32"/>
      <c r="CC96" s="32"/>
    </row>
    <row r="97" spans="1:81" ht="12.75" customHeight="1" thickBot="1" x14ac:dyDescent="0.25">
      <c r="A97" s="145" t="s">
        <v>455</v>
      </c>
      <c r="B97" s="146"/>
      <c r="C97" s="146"/>
      <c r="D97" s="146"/>
      <c r="E97" s="146"/>
      <c r="F97" s="146"/>
      <c r="G97" s="146"/>
      <c r="H97" s="146"/>
      <c r="I97" s="146"/>
      <c r="J97" s="146"/>
      <c r="K97" s="146"/>
      <c r="L97" s="146"/>
      <c r="M97" s="146"/>
      <c r="N97" s="177"/>
      <c r="O97" s="171"/>
      <c r="P97" s="173"/>
      <c r="Q97" s="173"/>
      <c r="R97" s="174"/>
      <c r="S97" s="89"/>
      <c r="T97" s="89"/>
      <c r="U97" s="89"/>
      <c r="V97" s="89"/>
      <c r="W97" s="89"/>
      <c r="Z97" s="87"/>
      <c r="AA97" s="87"/>
      <c r="AB97" s="87"/>
      <c r="AJ97" s="85"/>
      <c r="AK97" s="85"/>
      <c r="AM97" s="124"/>
      <c r="AO97" s="122"/>
      <c r="AP97" s="122"/>
      <c r="CB97" s="32"/>
      <c r="CC97" s="32"/>
    </row>
    <row r="98" spans="1:81" ht="12.75" customHeight="1" thickBot="1" x14ac:dyDescent="0.25">
      <c r="A98" s="147" t="str">
        <f>"Total : "&amp;SUM(TotalPintades)</f>
        <v>Total : 0</v>
      </c>
      <c r="B98" s="80"/>
      <c r="C98" s="49" t="s">
        <v>472</v>
      </c>
      <c r="D98" s="111" t="s">
        <v>1660</v>
      </c>
      <c r="E98" s="80"/>
      <c r="F98" s="167"/>
      <c r="G98" s="168"/>
      <c r="H98" s="168"/>
      <c r="I98" s="80"/>
      <c r="J98" s="1461" t="s">
        <v>470</v>
      </c>
      <c r="K98" s="1461"/>
      <c r="L98" s="80"/>
      <c r="M98" s="80"/>
      <c r="N98" s="72"/>
      <c r="O98" s="171"/>
      <c r="P98" s="173"/>
      <c r="Q98" s="173"/>
      <c r="R98" s="174"/>
      <c r="S98" s="89"/>
      <c r="T98" s="89"/>
      <c r="U98" s="89"/>
      <c r="V98" s="89"/>
      <c r="W98" s="89"/>
      <c r="Z98" s="87"/>
      <c r="AA98" s="87"/>
      <c r="AB98" s="87"/>
      <c r="AJ98" s="85"/>
      <c r="AK98" s="85"/>
      <c r="AM98" s="124"/>
      <c r="AO98" s="122"/>
      <c r="AP98" s="122"/>
      <c r="CB98" s="32"/>
      <c r="CC98" s="32"/>
    </row>
    <row r="99" spans="1:81" ht="12.75" customHeight="1" x14ac:dyDescent="0.2">
      <c r="A99" s="147"/>
      <c r="B99" s="42" t="s">
        <v>413</v>
      </c>
      <c r="C99" s="149"/>
      <c r="D99" s="17"/>
      <c r="E99" s="80"/>
      <c r="F99" s="80"/>
      <c r="G99" s="80"/>
      <c r="H99" s="80"/>
      <c r="I99" s="80"/>
      <c r="J99" s="1457"/>
      <c r="K99" s="1458"/>
      <c r="L99" s="80"/>
      <c r="M99" s="80"/>
      <c r="N99" s="72"/>
      <c r="O99" s="171"/>
      <c r="P99" s="121"/>
      <c r="Q99" s="121"/>
      <c r="R99" s="169"/>
      <c r="S99" s="89"/>
      <c r="T99" s="89"/>
      <c r="U99" s="89"/>
      <c r="V99" s="89"/>
      <c r="W99" s="89"/>
      <c r="Z99" s="87"/>
      <c r="AA99" s="87"/>
      <c r="AB99" s="87"/>
      <c r="AJ99" s="85"/>
      <c r="AK99" s="85"/>
      <c r="AM99" s="124"/>
      <c r="AO99" s="122"/>
      <c r="AP99" s="122"/>
      <c r="CB99" s="32"/>
      <c r="CC99" s="32"/>
    </row>
    <row r="100" spans="1:81" ht="12.75" customHeight="1" thickBot="1" x14ac:dyDescent="0.25">
      <c r="A100" s="147"/>
      <c r="B100" s="45" t="s">
        <v>275</v>
      </c>
      <c r="C100" s="150"/>
      <c r="D100" s="743"/>
      <c r="E100" s="80"/>
      <c r="F100" s="80"/>
      <c r="G100" s="80"/>
      <c r="H100" s="80"/>
      <c r="I100" s="80"/>
      <c r="J100" s="170"/>
      <c r="K100" s="170"/>
      <c r="L100" s="80"/>
      <c r="M100" s="80"/>
      <c r="N100" s="72"/>
      <c r="O100" s="92"/>
      <c r="P100" s="90"/>
      <c r="Q100" s="90"/>
      <c r="R100" s="91"/>
      <c r="S100" s="89"/>
      <c r="T100" s="89"/>
      <c r="U100" s="89"/>
      <c r="V100" s="89"/>
      <c r="W100" s="89"/>
      <c r="Z100" s="87"/>
      <c r="AA100" s="87"/>
      <c r="AB100" s="87"/>
      <c r="AJ100" s="85"/>
      <c r="AK100" s="85"/>
      <c r="AM100" s="124"/>
      <c r="AO100" s="122"/>
      <c r="AP100" s="122"/>
      <c r="CB100" s="32"/>
      <c r="CC100" s="32"/>
    </row>
    <row r="101" spans="1:81" ht="12.75" customHeight="1" x14ac:dyDescent="0.2">
      <c r="A101" s="147"/>
      <c r="B101" s="43" t="s">
        <v>414</v>
      </c>
      <c r="C101" s="151"/>
      <c r="D101" s="17"/>
      <c r="E101" s="80"/>
      <c r="F101" s="80"/>
      <c r="G101" s="80"/>
      <c r="H101" s="80"/>
      <c r="I101" s="80"/>
      <c r="J101" s="1461" t="s">
        <v>383</v>
      </c>
      <c r="K101" s="1461"/>
      <c r="L101" s="80"/>
      <c r="M101" s="80"/>
      <c r="N101" s="72"/>
      <c r="O101" s="86"/>
      <c r="P101" s="90"/>
      <c r="Q101" s="90"/>
      <c r="R101" s="91"/>
      <c r="S101" s="89"/>
      <c r="T101" s="89"/>
      <c r="U101" s="89"/>
      <c r="V101" s="89"/>
      <c r="W101" s="89"/>
      <c r="Z101" s="87"/>
      <c r="AA101" s="87"/>
      <c r="AB101" s="87"/>
      <c r="AJ101" s="85"/>
      <c r="AK101" s="85"/>
      <c r="AM101" s="124"/>
      <c r="AO101" s="122"/>
      <c r="AP101" s="122"/>
      <c r="CB101" s="32"/>
      <c r="CC101" s="32"/>
    </row>
    <row r="102" spans="1:81" ht="12.75" customHeight="1" thickBot="1" x14ac:dyDescent="0.25">
      <c r="A102" s="147"/>
      <c r="B102" s="29" t="s">
        <v>273</v>
      </c>
      <c r="C102" s="743"/>
      <c r="D102" s="743"/>
      <c r="E102" s="80"/>
      <c r="F102" s="80"/>
      <c r="G102" s="80"/>
      <c r="H102" s="80"/>
      <c r="I102" s="80"/>
      <c r="J102" s="1468"/>
      <c r="K102" s="1468"/>
      <c r="L102" s="80"/>
      <c r="M102" s="80"/>
      <c r="N102" s="72"/>
      <c r="O102" s="92"/>
      <c r="P102" s="90"/>
      <c r="Q102" s="90"/>
      <c r="R102" s="91"/>
      <c r="S102" s="89"/>
      <c r="T102" s="89"/>
      <c r="U102" s="89"/>
      <c r="V102" s="89"/>
      <c r="W102" s="89"/>
      <c r="Z102" s="87"/>
      <c r="AA102" s="87"/>
      <c r="AB102" s="87"/>
      <c r="AJ102" s="85"/>
      <c r="AK102" s="85"/>
      <c r="AM102" s="124"/>
      <c r="AO102" s="122"/>
      <c r="AP102" s="122"/>
      <c r="CB102" s="32"/>
      <c r="CC102" s="32"/>
    </row>
    <row r="103" spans="1:81" ht="12.75" customHeight="1" x14ac:dyDescent="0.2">
      <c r="A103" s="147"/>
      <c r="B103" s="24" t="s">
        <v>415</v>
      </c>
      <c r="C103" s="17"/>
      <c r="D103" s="17"/>
      <c r="E103" s="80"/>
      <c r="F103" s="80"/>
      <c r="G103" s="80"/>
      <c r="H103" s="80"/>
      <c r="I103" s="80"/>
      <c r="J103" s="170"/>
      <c r="K103" s="170"/>
      <c r="L103" s="80"/>
      <c r="M103" s="80"/>
      <c r="N103" s="72"/>
      <c r="O103" s="92"/>
      <c r="P103" s="90"/>
      <c r="Q103" s="90"/>
      <c r="R103" s="91"/>
      <c r="S103" s="89"/>
      <c r="T103" s="89"/>
      <c r="U103" s="89"/>
      <c r="V103" s="89"/>
      <c r="W103" s="89"/>
      <c r="Z103" s="87"/>
      <c r="AA103" s="87"/>
      <c r="AB103" s="87"/>
      <c r="AJ103" s="85"/>
      <c r="AK103" s="85"/>
      <c r="AM103" s="124"/>
      <c r="AO103" s="122"/>
      <c r="AP103" s="122"/>
      <c r="CB103" s="32"/>
      <c r="CC103" s="32"/>
    </row>
    <row r="104" spans="1:81" ht="12.75" customHeight="1" thickBot="1" x14ac:dyDescent="0.25">
      <c r="A104" s="147"/>
      <c r="B104" s="25" t="s">
        <v>274</v>
      </c>
      <c r="C104" s="743"/>
      <c r="D104" s="743"/>
      <c r="E104" s="80"/>
      <c r="F104" s="80"/>
      <c r="G104" s="80"/>
      <c r="H104" s="80"/>
      <c r="I104" s="80"/>
      <c r="J104" s="1459" t="s">
        <v>742</v>
      </c>
      <c r="K104" s="1460"/>
      <c r="L104" s="80"/>
      <c r="M104" s="80"/>
      <c r="N104" s="72"/>
      <c r="O104" s="23"/>
      <c r="P104" s="90"/>
      <c r="Q104" s="90"/>
      <c r="R104" s="91"/>
      <c r="S104" s="87"/>
      <c r="T104" s="89"/>
      <c r="U104" s="89"/>
      <c r="V104" s="89"/>
      <c r="W104" s="89"/>
      <c r="Z104" s="87"/>
      <c r="AA104" s="87"/>
      <c r="AB104" s="87"/>
      <c r="AJ104" s="85"/>
      <c r="AK104" s="85"/>
      <c r="AM104" s="124"/>
      <c r="AO104" s="122"/>
      <c r="AP104" s="122"/>
      <c r="CB104" s="32"/>
      <c r="CC104" s="32"/>
    </row>
    <row r="105" spans="1:81" ht="12.75" customHeight="1" x14ac:dyDescent="0.2">
      <c r="A105" s="147"/>
      <c r="B105" s="80"/>
      <c r="C105" s="148"/>
      <c r="D105" s="80"/>
      <c r="E105" s="80"/>
      <c r="F105" s="80"/>
      <c r="G105" s="80"/>
      <c r="H105" s="80"/>
      <c r="I105" s="80"/>
      <c r="J105" s="1457"/>
      <c r="K105" s="1458"/>
      <c r="L105" s="80"/>
      <c r="M105" s="80"/>
      <c r="N105" s="72"/>
      <c r="O105" s="23"/>
      <c r="P105" s="90"/>
      <c r="Q105" s="90"/>
      <c r="R105" s="91"/>
      <c r="S105" s="87"/>
      <c r="T105" s="87"/>
      <c r="U105" s="87"/>
      <c r="V105" s="87"/>
      <c r="W105" s="89"/>
      <c r="Z105" s="87"/>
      <c r="AA105" s="87"/>
      <c r="AB105" s="87"/>
      <c r="AJ105" s="85"/>
      <c r="AK105" s="85"/>
      <c r="AM105" s="124"/>
      <c r="AO105" s="122"/>
      <c r="AP105" s="122"/>
      <c r="CB105" s="32"/>
      <c r="CC105" s="32"/>
    </row>
    <row r="106" spans="1:81" ht="12.75" customHeight="1" x14ac:dyDescent="0.2">
      <c r="A106" s="147"/>
      <c r="B106" s="80"/>
      <c r="C106" s="80"/>
      <c r="D106" s="80"/>
      <c r="E106" s="80"/>
      <c r="F106" s="80"/>
      <c r="G106" s="80"/>
      <c r="H106" s="80"/>
      <c r="I106" s="80"/>
      <c r="J106" s="152"/>
      <c r="K106" s="80"/>
      <c r="L106" s="80"/>
      <c r="M106" s="80"/>
      <c r="N106" s="72"/>
      <c r="O106" s="23"/>
      <c r="P106" s="90"/>
      <c r="Q106" s="90"/>
      <c r="R106" s="91"/>
      <c r="Z106" s="87"/>
      <c r="AA106" s="87"/>
      <c r="AB106" s="87"/>
      <c r="AJ106" s="85"/>
      <c r="AK106" s="85"/>
      <c r="AM106" s="124"/>
      <c r="AO106" s="122"/>
      <c r="AP106" s="122"/>
      <c r="CB106" s="32"/>
      <c r="CC106" s="32"/>
    </row>
    <row r="107" spans="1:81" ht="12.75" customHeight="1" x14ac:dyDescent="0.2">
      <c r="A107" s="147"/>
      <c r="B107" s="80"/>
      <c r="C107" s="80"/>
      <c r="D107" s="80"/>
      <c r="E107" s="80"/>
      <c r="F107" s="80"/>
      <c r="G107" s="80"/>
      <c r="H107" s="80"/>
      <c r="I107" s="80"/>
      <c r="J107" s="1459" t="s">
        <v>1703</v>
      </c>
      <c r="K107" s="1460"/>
      <c r="L107" s="80"/>
      <c r="M107" s="80"/>
      <c r="N107" s="72"/>
      <c r="O107" s="23"/>
      <c r="P107" s="90"/>
      <c r="Q107" s="90"/>
      <c r="R107" s="91"/>
      <c r="S107" s="89"/>
      <c r="Z107" s="87"/>
      <c r="AA107" s="87"/>
      <c r="AB107" s="87"/>
      <c r="AJ107" s="85"/>
      <c r="AK107" s="85"/>
      <c r="AM107" s="124"/>
      <c r="AO107" s="122"/>
      <c r="AP107" s="122"/>
      <c r="CB107" s="32"/>
      <c r="CC107" s="32"/>
    </row>
    <row r="108" spans="1:81" ht="12.75" customHeight="1" x14ac:dyDescent="0.2">
      <c r="A108" s="147"/>
      <c r="B108" s="80"/>
      <c r="C108" s="80"/>
      <c r="D108" s="80"/>
      <c r="E108" s="80"/>
      <c r="F108" s="80"/>
      <c r="G108" s="80"/>
      <c r="H108" s="80"/>
      <c r="I108" s="80"/>
      <c r="J108" s="1457"/>
      <c r="K108" s="1458"/>
      <c r="L108" s="80"/>
      <c r="M108" s="80"/>
      <c r="N108" s="72"/>
      <c r="O108" s="23"/>
      <c r="P108" s="90"/>
      <c r="Q108" s="90"/>
      <c r="R108" s="91"/>
      <c r="S108" s="89"/>
      <c r="Z108" s="87"/>
      <c r="AA108" s="87"/>
      <c r="AB108" s="87"/>
      <c r="AJ108" s="85"/>
      <c r="AK108" s="85"/>
      <c r="AM108" s="124"/>
      <c r="AO108" s="122"/>
      <c r="AP108" s="122"/>
      <c r="CB108" s="32"/>
      <c r="CC108" s="32"/>
    </row>
    <row r="109" spans="1:81" ht="12.75" customHeight="1" x14ac:dyDescent="0.2">
      <c r="A109" s="147"/>
      <c r="B109" s="80"/>
      <c r="C109" s="80"/>
      <c r="D109" s="80"/>
      <c r="E109" s="80"/>
      <c r="F109" s="80"/>
      <c r="G109" s="80"/>
      <c r="H109" s="80"/>
      <c r="I109" s="80"/>
      <c r="J109" s="80"/>
      <c r="K109" s="80"/>
      <c r="L109" s="80"/>
      <c r="M109" s="80"/>
      <c r="N109" s="72"/>
      <c r="O109" s="23"/>
      <c r="P109" s="90"/>
      <c r="Q109" s="90"/>
      <c r="R109" s="91"/>
      <c r="S109" s="89"/>
      <c r="Z109" s="87"/>
      <c r="AA109" s="87"/>
      <c r="AB109" s="87"/>
      <c r="AJ109" s="85"/>
      <c r="AK109" s="85"/>
      <c r="AM109" s="124"/>
      <c r="AO109" s="122"/>
      <c r="AP109" s="122"/>
      <c r="CB109" s="32"/>
      <c r="CC109" s="32"/>
    </row>
    <row r="110" spans="1:81" ht="12.75" customHeight="1" x14ac:dyDescent="0.2">
      <c r="A110" s="147"/>
      <c r="B110" s="80"/>
      <c r="C110" s="80"/>
      <c r="D110" s="80"/>
      <c r="E110" s="80"/>
      <c r="F110" s="80"/>
      <c r="G110" s="80"/>
      <c r="H110" s="80"/>
      <c r="I110" s="80"/>
      <c r="J110" s="1462" t="s">
        <v>471</v>
      </c>
      <c r="K110" s="1463"/>
      <c r="L110" s="80"/>
      <c r="M110" s="80"/>
      <c r="N110" s="72"/>
      <c r="O110" s="23"/>
      <c r="P110" s="90"/>
      <c r="Q110" s="90"/>
      <c r="R110" s="91"/>
      <c r="S110" s="89"/>
      <c r="Z110" s="87"/>
      <c r="AA110" s="87"/>
      <c r="AB110" s="87"/>
      <c r="AJ110" s="85"/>
      <c r="AK110" s="85"/>
      <c r="AM110" s="124"/>
      <c r="AO110" s="122"/>
      <c r="AP110" s="122"/>
      <c r="CB110" s="32"/>
      <c r="CC110" s="32"/>
    </row>
    <row r="111" spans="1:81" ht="12.75" customHeight="1" x14ac:dyDescent="0.2">
      <c r="A111" s="147"/>
      <c r="B111" s="80"/>
      <c r="C111" s="80"/>
      <c r="D111" s="80"/>
      <c r="E111" s="80"/>
      <c r="F111" s="80"/>
      <c r="G111" s="80"/>
      <c r="H111" s="80"/>
      <c r="I111" s="80"/>
      <c r="J111" s="1457"/>
      <c r="K111" s="1458"/>
      <c r="L111" s="80"/>
      <c r="M111" s="80"/>
      <c r="N111" s="72"/>
      <c r="O111" s="23"/>
      <c r="P111" s="90"/>
      <c r="Q111" s="90"/>
      <c r="R111" s="91"/>
      <c r="S111" s="89"/>
      <c r="Z111" s="87"/>
      <c r="AA111" s="87"/>
      <c r="AB111" s="87"/>
      <c r="AJ111" s="85"/>
      <c r="AK111" s="85"/>
      <c r="AM111" s="124"/>
      <c r="AO111" s="122"/>
      <c r="AP111" s="122"/>
      <c r="CB111" s="32"/>
      <c r="CC111" s="32"/>
    </row>
    <row r="112" spans="1:81" ht="12.75" customHeight="1" x14ac:dyDescent="0.2">
      <c r="A112" s="147"/>
      <c r="B112" s="80"/>
      <c r="C112" s="80"/>
      <c r="D112" s="80"/>
      <c r="E112" s="80"/>
      <c r="F112" s="80"/>
      <c r="G112" s="80"/>
      <c r="H112" s="80"/>
      <c r="I112" s="80"/>
      <c r="J112" s="80"/>
      <c r="K112" s="80"/>
      <c r="L112" s="80"/>
      <c r="M112" s="80"/>
      <c r="N112" s="72"/>
      <c r="O112" s="23"/>
      <c r="P112" s="90"/>
      <c r="Q112" s="90"/>
      <c r="R112" s="91"/>
      <c r="S112" s="89"/>
      <c r="Z112" s="87"/>
      <c r="AA112" s="87"/>
      <c r="AB112" s="87"/>
      <c r="AJ112" s="85"/>
      <c r="AK112" s="85"/>
      <c r="AM112" s="124"/>
      <c r="AO112" s="122"/>
      <c r="AP112" s="122"/>
      <c r="CB112" s="32"/>
      <c r="CC112" s="32"/>
    </row>
    <row r="113" spans="1:81" ht="12.75" customHeight="1" x14ac:dyDescent="0.2">
      <c r="A113" s="147"/>
      <c r="B113" s="80"/>
      <c r="C113" s="80"/>
      <c r="D113" s="80"/>
      <c r="E113" s="80"/>
      <c r="F113" s="80"/>
      <c r="G113" s="80"/>
      <c r="H113" s="80"/>
      <c r="I113" s="80"/>
      <c r="J113" s="34" t="s">
        <v>157</v>
      </c>
      <c r="K113" s="141"/>
      <c r="L113" s="80" t="str">
        <f>IF(OR(ChoixPaillagePintades="",ChoixPaillagePintades=NON),"","coût : "&amp;ROUND(PrixPaille*0.8/SUM(NbreJoursNourrirAutres)*84*SUM(TotalPintades)/1000,2)&amp;"€/an")</f>
        <v/>
      </c>
      <c r="M113" s="80"/>
      <c r="N113" s="72"/>
      <c r="O113" s="23"/>
      <c r="P113" s="90"/>
      <c r="Q113" s="90"/>
      <c r="R113" s="91"/>
      <c r="S113" s="89"/>
      <c r="Z113" s="87"/>
      <c r="AA113" s="87"/>
      <c r="AB113" s="87"/>
      <c r="AJ113" s="85"/>
      <c r="AK113" s="85"/>
      <c r="AM113" s="124"/>
      <c r="AO113" s="122"/>
      <c r="AP113" s="122"/>
      <c r="CB113" s="32"/>
      <c r="CC113" s="32"/>
    </row>
    <row r="114" spans="1:81" ht="12.75" customHeight="1" x14ac:dyDescent="0.2">
      <c r="A114" s="147"/>
      <c r="B114" s="80"/>
      <c r="C114" s="80"/>
      <c r="D114" s="80"/>
      <c r="E114" s="80"/>
      <c r="F114" s="80"/>
      <c r="G114" s="80"/>
      <c r="H114" s="80"/>
      <c r="I114" s="80"/>
      <c r="J114" s="35" t="s">
        <v>156</v>
      </c>
      <c r="K114" s="141"/>
      <c r="L114" s="80" t="str">
        <f>IF(ChoixVaccinPintades=OUI,"coût : " &amp;SUM(TotalPintades)*PrixVaccinPintade &amp;"€/an","")</f>
        <v/>
      </c>
      <c r="M114" s="80"/>
      <c r="N114" s="72"/>
      <c r="O114" s="23"/>
      <c r="P114" s="90"/>
      <c r="Q114" s="90"/>
      <c r="R114" s="91"/>
      <c r="S114" s="89"/>
      <c r="Z114" s="87"/>
      <c r="AA114" s="87"/>
      <c r="AB114" s="87"/>
      <c r="AJ114" s="85"/>
      <c r="AK114" s="85"/>
      <c r="AM114" s="124"/>
      <c r="AO114" s="122"/>
      <c r="AP114" s="122"/>
      <c r="CB114" s="32"/>
      <c r="CC114" s="32"/>
    </row>
    <row r="115" spans="1:81" ht="12.75" customHeight="1" thickBot="1" x14ac:dyDescent="0.25">
      <c r="A115" s="153"/>
      <c r="B115" s="81"/>
      <c r="C115" s="81"/>
      <c r="D115" s="81"/>
      <c r="E115" s="81"/>
      <c r="F115" s="81"/>
      <c r="G115" s="81"/>
      <c r="H115" s="81"/>
      <c r="I115" s="81"/>
      <c r="J115" s="81"/>
      <c r="K115" s="81"/>
      <c r="L115" s="81"/>
      <c r="M115" s="81"/>
      <c r="N115" s="74"/>
      <c r="O115" s="23"/>
      <c r="P115" s="90"/>
      <c r="Q115" s="90"/>
      <c r="R115" s="91"/>
      <c r="S115" s="89"/>
      <c r="Z115" s="87"/>
      <c r="AA115" s="87"/>
      <c r="AB115" s="87"/>
      <c r="AJ115" s="85"/>
      <c r="AK115" s="85"/>
      <c r="AM115" s="124"/>
      <c r="AO115" s="122"/>
      <c r="AP115" s="122"/>
      <c r="CB115" s="32"/>
      <c r="CC115" s="32"/>
    </row>
    <row r="116" spans="1:81" ht="12.75" customHeight="1" thickBot="1" x14ac:dyDescent="0.25">
      <c r="A116" s="128" t="s">
        <v>106</v>
      </c>
      <c r="B116" s="129"/>
      <c r="C116" s="129"/>
      <c r="D116" s="129"/>
      <c r="E116" s="129"/>
      <c r="F116" s="129"/>
      <c r="G116" s="129"/>
      <c r="H116" s="129"/>
      <c r="I116" s="129"/>
      <c r="J116" s="129"/>
      <c r="K116" s="129"/>
      <c r="L116" s="129"/>
      <c r="M116" s="129"/>
      <c r="N116" s="130"/>
      <c r="O116" s="23"/>
      <c r="P116" s="90"/>
      <c r="Q116" s="90"/>
      <c r="R116" s="91"/>
      <c r="S116" s="89"/>
      <c r="Z116" s="87"/>
      <c r="AA116" s="87"/>
      <c r="AB116" s="87"/>
      <c r="AJ116" s="85"/>
      <c r="AK116" s="85"/>
      <c r="AM116" s="124"/>
      <c r="AO116" s="122"/>
      <c r="AP116" s="122"/>
      <c r="CB116" s="32"/>
      <c r="CC116" s="32"/>
    </row>
    <row r="117" spans="1:81" ht="12.75" customHeight="1" thickBot="1" x14ac:dyDescent="0.25">
      <c r="A117" s="132" t="str">
        <f>"Total : "&amp;SUM(TotalLapins)</f>
        <v>Total : 0</v>
      </c>
      <c r="B117" s="76"/>
      <c r="C117" s="49" t="s">
        <v>472</v>
      </c>
      <c r="D117" s="111" t="s">
        <v>1660</v>
      </c>
      <c r="E117" s="76"/>
      <c r="F117" s="76"/>
      <c r="G117" s="76"/>
      <c r="H117" s="76"/>
      <c r="I117" s="76"/>
      <c r="J117" s="1461" t="s">
        <v>470</v>
      </c>
      <c r="K117" s="1461"/>
      <c r="L117" s="76"/>
      <c r="M117" s="76"/>
      <c r="N117" s="71"/>
      <c r="O117" s="23"/>
      <c r="P117" s="90"/>
      <c r="Q117" s="90"/>
      <c r="R117" s="91"/>
      <c r="S117" s="89"/>
      <c r="Z117" s="87"/>
      <c r="AA117" s="87"/>
      <c r="AB117" s="87"/>
      <c r="AJ117" s="85"/>
      <c r="AK117" s="85"/>
      <c r="AM117" s="124"/>
      <c r="AO117" s="122"/>
      <c r="AP117" s="122"/>
      <c r="CB117" s="32"/>
      <c r="CC117" s="32"/>
    </row>
    <row r="118" spans="1:81" ht="12.75" customHeight="1" x14ac:dyDescent="0.2">
      <c r="A118" s="132"/>
      <c r="B118" s="42" t="s">
        <v>107</v>
      </c>
      <c r="C118" s="149"/>
      <c r="D118" s="17"/>
      <c r="E118" s="76"/>
      <c r="F118" s="76"/>
      <c r="G118" s="76"/>
      <c r="H118" s="76"/>
      <c r="I118" s="76"/>
      <c r="J118" s="1457"/>
      <c r="K118" s="1458"/>
      <c r="L118" s="76"/>
      <c r="M118" s="76"/>
      <c r="N118" s="71"/>
      <c r="O118" s="23"/>
      <c r="P118" s="121"/>
      <c r="Q118" s="121"/>
      <c r="R118" s="169"/>
      <c r="S118" s="89"/>
      <c r="AJ118" s="85"/>
      <c r="AK118" s="85"/>
      <c r="AM118" s="124"/>
      <c r="AO118" s="122"/>
      <c r="AP118" s="122"/>
      <c r="CB118" s="32"/>
      <c r="CC118" s="32"/>
    </row>
    <row r="119" spans="1:81" ht="12.75" customHeight="1" thickBot="1" x14ac:dyDescent="0.25">
      <c r="A119" s="132"/>
      <c r="B119" s="45" t="s">
        <v>108</v>
      </c>
      <c r="C119" s="150"/>
      <c r="D119" s="743"/>
      <c r="E119" s="76"/>
      <c r="F119" s="76"/>
      <c r="G119" s="76"/>
      <c r="H119" s="76"/>
      <c r="I119" s="76"/>
      <c r="J119" s="76"/>
      <c r="K119" s="76"/>
      <c r="L119" s="76"/>
      <c r="M119" s="76"/>
      <c r="N119" s="71"/>
      <c r="O119" s="131"/>
      <c r="P119" s="121"/>
      <c r="Q119" s="121"/>
      <c r="R119" s="169"/>
      <c r="S119" s="89"/>
      <c r="AJ119" s="85"/>
      <c r="AK119" s="85"/>
      <c r="AM119" s="124"/>
      <c r="AO119" s="122"/>
      <c r="AP119" s="122"/>
      <c r="CB119" s="32"/>
      <c r="CC119" s="32"/>
    </row>
    <row r="120" spans="1:81" ht="12.75" customHeight="1" x14ac:dyDescent="0.2">
      <c r="A120" s="132"/>
      <c r="B120" s="43" t="s">
        <v>109</v>
      </c>
      <c r="C120" s="151"/>
      <c r="D120" s="17"/>
      <c r="E120" s="76"/>
      <c r="F120" s="76"/>
      <c r="G120" s="76"/>
      <c r="H120" s="76"/>
      <c r="I120" s="76"/>
      <c r="J120" s="1461" t="s">
        <v>383</v>
      </c>
      <c r="K120" s="1461"/>
      <c r="L120" s="76"/>
      <c r="M120" s="76"/>
      <c r="N120" s="71"/>
      <c r="O120" s="131"/>
      <c r="P120" s="121"/>
      <c r="Q120" s="121"/>
      <c r="R120" s="169"/>
      <c r="S120" s="89"/>
      <c r="AJ120" s="85"/>
      <c r="AK120" s="85"/>
      <c r="AM120" s="124"/>
      <c r="AO120" s="122"/>
      <c r="AP120" s="122"/>
      <c r="CB120" s="32"/>
      <c r="CC120" s="32"/>
    </row>
    <row r="121" spans="1:81" ht="12.75" customHeight="1" thickBot="1" x14ac:dyDescent="0.25">
      <c r="A121" s="132"/>
      <c r="B121" s="29" t="s">
        <v>110</v>
      </c>
      <c r="C121" s="743"/>
      <c r="D121" s="743"/>
      <c r="E121" s="76"/>
      <c r="F121" s="76"/>
      <c r="G121" s="76"/>
      <c r="H121" s="76"/>
      <c r="I121" s="76"/>
      <c r="J121" s="1468"/>
      <c r="K121" s="1468"/>
      <c r="L121" s="76"/>
      <c r="M121" s="76"/>
      <c r="N121" s="71"/>
      <c r="O121" s="131"/>
      <c r="P121" s="121"/>
      <c r="Q121" s="121"/>
      <c r="R121" s="169"/>
      <c r="S121" s="89"/>
      <c r="AJ121" s="85"/>
      <c r="AK121" s="85"/>
      <c r="AM121" s="124"/>
      <c r="AO121" s="122"/>
      <c r="AP121" s="122"/>
      <c r="CB121" s="32"/>
      <c r="CC121" s="32"/>
    </row>
    <row r="122" spans="1:81" ht="12.75" customHeight="1" x14ac:dyDescent="0.2">
      <c r="A122" s="132"/>
      <c r="B122" s="60" t="s">
        <v>111</v>
      </c>
      <c r="C122" s="17"/>
      <c r="D122" s="17"/>
      <c r="E122" s="76"/>
      <c r="F122" s="76"/>
      <c r="G122" s="76"/>
      <c r="H122" s="76"/>
      <c r="I122" s="76"/>
      <c r="J122" s="76"/>
      <c r="K122" s="76"/>
      <c r="L122" s="76"/>
      <c r="M122" s="76"/>
      <c r="N122" s="71"/>
      <c r="O122" s="131"/>
      <c r="P122" s="121"/>
      <c r="Q122" s="121"/>
      <c r="R122" s="169"/>
      <c r="S122" s="89"/>
      <c r="AJ122" s="85"/>
      <c r="AK122" s="85"/>
      <c r="AM122" s="124"/>
      <c r="AO122" s="122"/>
      <c r="AP122" s="122"/>
      <c r="CB122" s="32"/>
      <c r="CC122" s="32"/>
    </row>
    <row r="123" spans="1:81" ht="12.75" customHeight="1" thickBot="1" x14ac:dyDescent="0.25">
      <c r="A123" s="132"/>
      <c r="B123" s="63" t="s">
        <v>1708</v>
      </c>
      <c r="C123" s="743"/>
      <c r="D123" s="743"/>
      <c r="E123" s="76"/>
      <c r="F123" s="76"/>
      <c r="G123" s="76"/>
      <c r="H123" s="76"/>
      <c r="I123" s="76"/>
      <c r="J123" s="1459" t="s">
        <v>742</v>
      </c>
      <c r="K123" s="1460"/>
      <c r="L123" s="76"/>
      <c r="M123" s="76"/>
      <c r="N123" s="71"/>
      <c r="O123" s="131"/>
      <c r="P123" s="121"/>
      <c r="Q123" s="121"/>
      <c r="R123" s="169"/>
      <c r="S123" s="89"/>
      <c r="AJ123" s="85"/>
      <c r="AK123" s="85"/>
      <c r="AM123" s="124"/>
      <c r="AO123" s="122"/>
      <c r="AP123" s="122"/>
      <c r="CB123" s="32"/>
      <c r="CC123" s="32"/>
    </row>
    <row r="124" spans="1:81" ht="12.75" customHeight="1" x14ac:dyDescent="0.2">
      <c r="A124" s="132"/>
      <c r="B124" s="76"/>
      <c r="C124" s="155"/>
      <c r="D124" s="76"/>
      <c r="E124" s="76"/>
      <c r="F124" s="76"/>
      <c r="G124" s="76"/>
      <c r="H124" s="76"/>
      <c r="I124" s="76"/>
      <c r="J124" s="1457"/>
      <c r="K124" s="1458"/>
      <c r="L124" s="76"/>
      <c r="M124" s="76"/>
      <c r="N124" s="71"/>
      <c r="O124" s="131"/>
      <c r="P124" s="121"/>
      <c r="Q124" s="121"/>
      <c r="R124" s="169"/>
      <c r="S124" s="89"/>
      <c r="AJ124" s="85"/>
      <c r="AK124" s="85"/>
      <c r="AM124" s="124"/>
      <c r="AO124" s="122"/>
      <c r="AP124" s="122"/>
      <c r="CB124" s="32"/>
      <c r="CC124" s="32"/>
    </row>
    <row r="125" spans="1:81" ht="12.75" customHeight="1" x14ac:dyDescent="0.2">
      <c r="A125" s="132"/>
      <c r="B125" s="76"/>
      <c r="C125" s="76"/>
      <c r="D125" s="76"/>
      <c r="E125" s="76"/>
      <c r="F125" s="76"/>
      <c r="G125" s="76"/>
      <c r="H125" s="76"/>
      <c r="I125" s="76"/>
      <c r="J125" s="138"/>
      <c r="K125" s="76"/>
      <c r="L125" s="76"/>
      <c r="M125" s="76"/>
      <c r="N125" s="71"/>
      <c r="O125" s="131"/>
      <c r="P125" s="121"/>
      <c r="Q125" s="121"/>
      <c r="R125" s="169"/>
      <c r="S125" s="89"/>
      <c r="AJ125" s="85"/>
      <c r="AK125" s="85"/>
      <c r="AM125" s="124"/>
      <c r="AO125" s="122"/>
      <c r="AP125" s="122"/>
      <c r="CB125" s="32"/>
      <c r="CC125" s="32"/>
    </row>
    <row r="126" spans="1:81" ht="12.75" customHeight="1" x14ac:dyDescent="0.2">
      <c r="A126" s="132"/>
      <c r="B126" s="76"/>
      <c r="C126" s="76"/>
      <c r="D126" s="76"/>
      <c r="E126" s="76"/>
      <c r="F126" s="76"/>
      <c r="G126" s="76"/>
      <c r="H126" s="76"/>
      <c r="I126" s="76"/>
      <c r="J126" s="1459" t="s">
        <v>1703</v>
      </c>
      <c r="K126" s="1460"/>
      <c r="L126" s="76"/>
      <c r="M126" s="76"/>
      <c r="N126" s="71"/>
      <c r="O126" s="131"/>
      <c r="P126" s="121"/>
      <c r="Q126" s="121"/>
      <c r="R126" s="169"/>
      <c r="S126" s="89"/>
      <c r="AJ126" s="85"/>
      <c r="AK126" s="85"/>
      <c r="AM126" s="124"/>
      <c r="AO126" s="122"/>
      <c r="AP126" s="122"/>
      <c r="CB126" s="32"/>
      <c r="CC126" s="32"/>
    </row>
    <row r="127" spans="1:81" ht="12.75" customHeight="1" x14ac:dyDescent="0.2">
      <c r="A127" s="132"/>
      <c r="B127" s="76"/>
      <c r="C127" s="76"/>
      <c r="D127" s="76"/>
      <c r="E127" s="76"/>
      <c r="F127" s="76"/>
      <c r="G127" s="76"/>
      <c r="H127" s="76"/>
      <c r="I127" s="76"/>
      <c r="J127" s="1457"/>
      <c r="K127" s="1458"/>
      <c r="L127" s="76"/>
      <c r="M127" s="76"/>
      <c r="N127" s="71"/>
      <c r="O127" s="131"/>
      <c r="P127" s="121"/>
      <c r="Q127" s="121"/>
      <c r="R127" s="169"/>
      <c r="S127" s="89"/>
      <c r="AJ127" s="85"/>
      <c r="AK127" s="85"/>
      <c r="AM127" s="124"/>
      <c r="AO127" s="122"/>
      <c r="AP127" s="122"/>
      <c r="CB127" s="32"/>
      <c r="CC127" s="32"/>
    </row>
    <row r="128" spans="1:81" ht="12.75" customHeight="1" x14ac:dyDescent="0.2">
      <c r="A128" s="132"/>
      <c r="B128" s="76"/>
      <c r="C128" s="76"/>
      <c r="D128" s="76"/>
      <c r="E128" s="76"/>
      <c r="F128" s="76"/>
      <c r="G128" s="76"/>
      <c r="H128" s="76"/>
      <c r="I128" s="76"/>
      <c r="J128" s="138"/>
      <c r="K128" s="76"/>
      <c r="L128" s="76"/>
      <c r="M128" s="76"/>
      <c r="N128" s="71"/>
      <c r="O128" s="131"/>
      <c r="P128" s="121"/>
      <c r="Q128" s="121"/>
      <c r="R128" s="169"/>
      <c r="AJ128" s="85"/>
      <c r="AK128" s="85"/>
      <c r="AM128" s="124"/>
      <c r="AO128" s="122"/>
      <c r="AP128" s="122"/>
      <c r="CB128" s="32"/>
      <c r="CC128" s="32"/>
    </row>
    <row r="129" spans="1:81" ht="12.75" customHeight="1" x14ac:dyDescent="0.2">
      <c r="A129" s="132"/>
      <c r="B129" s="76"/>
      <c r="C129" s="76"/>
      <c r="D129" s="76"/>
      <c r="E129" s="76"/>
      <c r="F129" s="76"/>
      <c r="G129" s="76"/>
      <c r="H129" s="76"/>
      <c r="I129" s="76"/>
      <c r="J129" s="1462" t="s">
        <v>471</v>
      </c>
      <c r="K129" s="1463"/>
      <c r="L129" s="76"/>
      <c r="M129" s="76"/>
      <c r="N129" s="71"/>
      <c r="O129" s="131"/>
      <c r="P129" s="121"/>
      <c r="Q129" s="121"/>
      <c r="R129" s="169"/>
      <c r="S129" s="87"/>
      <c r="AJ129" s="85"/>
      <c r="AK129" s="85"/>
      <c r="AM129" s="124"/>
      <c r="AO129" s="122"/>
      <c r="AP129" s="122"/>
      <c r="CB129" s="32"/>
      <c r="CC129" s="32"/>
    </row>
    <row r="130" spans="1:81" ht="12.75" customHeight="1" x14ac:dyDescent="0.2">
      <c r="A130" s="132"/>
      <c r="B130" s="76"/>
      <c r="C130" s="76"/>
      <c r="D130" s="76"/>
      <c r="E130" s="76"/>
      <c r="F130" s="76"/>
      <c r="G130" s="76"/>
      <c r="H130" s="76"/>
      <c r="I130" s="76"/>
      <c r="J130" s="1457"/>
      <c r="K130" s="1458"/>
      <c r="L130" s="76"/>
      <c r="M130" s="76"/>
      <c r="N130" s="71"/>
      <c r="O130" s="131"/>
      <c r="P130" s="121"/>
      <c r="Q130" s="121"/>
      <c r="R130" s="169"/>
      <c r="AJ130" s="85"/>
      <c r="AK130" s="85"/>
      <c r="AM130" s="124"/>
      <c r="AO130" s="122"/>
      <c r="AP130" s="122"/>
      <c r="CB130" s="32"/>
      <c r="CC130" s="32"/>
    </row>
    <row r="131" spans="1:81" ht="12.75" customHeight="1" x14ac:dyDescent="0.2">
      <c r="A131" s="132"/>
      <c r="B131" s="76"/>
      <c r="C131" s="76"/>
      <c r="D131" s="76"/>
      <c r="E131" s="76"/>
      <c r="F131" s="76"/>
      <c r="G131" s="76"/>
      <c r="H131" s="76"/>
      <c r="I131" s="76"/>
      <c r="J131" s="1466"/>
      <c r="K131" s="1467"/>
      <c r="L131" s="76"/>
      <c r="M131" s="76"/>
      <c r="N131" s="71"/>
      <c r="O131" s="131"/>
      <c r="P131" s="121"/>
      <c r="Q131" s="121"/>
      <c r="R131" s="169"/>
      <c r="AJ131" s="85"/>
      <c r="AK131" s="85"/>
      <c r="AM131" s="124"/>
      <c r="AO131" s="122"/>
      <c r="AP131" s="122"/>
      <c r="CB131" s="32"/>
      <c r="CC131" s="32"/>
    </row>
    <row r="132" spans="1:81" ht="12.75" customHeight="1" x14ac:dyDescent="0.2">
      <c r="A132" s="132"/>
      <c r="B132" s="76"/>
      <c r="C132" s="76"/>
      <c r="D132" s="76"/>
      <c r="E132" s="76"/>
      <c r="F132" s="76"/>
      <c r="G132" s="76"/>
      <c r="H132" s="76"/>
      <c r="I132" s="76"/>
      <c r="J132" s="76"/>
      <c r="K132" s="76"/>
      <c r="L132" s="76"/>
      <c r="M132" s="76"/>
      <c r="N132" s="71"/>
      <c r="O132" s="131"/>
      <c r="P132" s="121"/>
      <c r="Q132" s="121"/>
      <c r="R132" s="169"/>
      <c r="AJ132" s="85"/>
      <c r="AK132" s="85"/>
      <c r="AM132" s="124"/>
      <c r="AO132" s="122"/>
      <c r="AP132" s="122"/>
      <c r="CB132" s="32"/>
      <c r="CC132" s="32"/>
    </row>
    <row r="133" spans="1:81" ht="12.75" customHeight="1" x14ac:dyDescent="0.2">
      <c r="A133" s="132"/>
      <c r="B133" s="76"/>
      <c r="C133" s="76"/>
      <c r="D133" s="76"/>
      <c r="E133" s="76"/>
      <c r="F133" s="76"/>
      <c r="G133" s="76"/>
      <c r="H133" s="76"/>
      <c r="I133" s="76"/>
      <c r="J133" s="34" t="s">
        <v>157</v>
      </c>
      <c r="K133" s="141"/>
      <c r="L133" s="76" t="str">
        <f>IF(OR(ChoixPaillageLapins="",ChoixPaillageLapins=NON),"","coût : "&amp;ROUND(PrixPaille*0.8/SUM(NbreJoursNourrirAutres)*84*SUM(TotalLapins)/1000,2)&amp;"€/an")</f>
        <v/>
      </c>
      <c r="M133" s="76"/>
      <c r="N133" s="71"/>
      <c r="O133" s="131"/>
      <c r="P133" s="121"/>
      <c r="Q133" s="121"/>
      <c r="R133" s="169"/>
      <c r="AJ133" s="85"/>
      <c r="AK133" s="85"/>
      <c r="AM133" s="124"/>
      <c r="AO133" s="122"/>
      <c r="AP133" s="122"/>
      <c r="CB133" s="32"/>
      <c r="CC133" s="32"/>
    </row>
    <row r="134" spans="1:81" ht="12.75" customHeight="1" x14ac:dyDescent="0.2">
      <c r="A134" s="132"/>
      <c r="B134" s="76"/>
      <c r="C134" s="76"/>
      <c r="D134" s="76"/>
      <c r="E134" s="76"/>
      <c r="F134" s="76"/>
      <c r="G134" s="76"/>
      <c r="H134" s="76"/>
      <c r="I134" s="76"/>
      <c r="J134" s="35" t="s">
        <v>156</v>
      </c>
      <c r="K134" s="141"/>
      <c r="L134" s="76" t="str">
        <f>IF(ChoixVaccinLapins=OUI,"coût : " &amp;SUM(TotalLapins)*PrixVaccinLapin &amp;"€/an","")</f>
        <v/>
      </c>
      <c r="M134" s="76"/>
      <c r="N134" s="71"/>
      <c r="O134" s="131"/>
      <c r="P134" s="121"/>
      <c r="Q134" s="121"/>
      <c r="R134" s="169"/>
      <c r="AJ134" s="85"/>
      <c r="AK134" s="85"/>
      <c r="AM134" s="124"/>
      <c r="AO134" s="122"/>
      <c r="AP134" s="122"/>
      <c r="CB134" s="32"/>
      <c r="CC134" s="32"/>
    </row>
    <row r="135" spans="1:81" ht="12.75" customHeight="1" thickBot="1" x14ac:dyDescent="0.25">
      <c r="A135" s="142"/>
      <c r="B135" s="143"/>
      <c r="C135" s="143"/>
      <c r="D135" s="143"/>
      <c r="E135" s="143"/>
      <c r="F135" s="143"/>
      <c r="G135" s="143"/>
      <c r="H135" s="143"/>
      <c r="I135" s="143"/>
      <c r="J135" s="143"/>
      <c r="K135" s="143"/>
      <c r="L135" s="143"/>
      <c r="M135" s="143"/>
      <c r="N135" s="144"/>
      <c r="O135" s="131"/>
      <c r="P135" s="121"/>
      <c r="Q135" s="121"/>
      <c r="R135" s="169"/>
      <c r="AJ135" s="85"/>
      <c r="AK135" s="85"/>
      <c r="AM135" s="124"/>
      <c r="AO135" s="122"/>
      <c r="AP135" s="122"/>
      <c r="CB135" s="32"/>
      <c r="CC135" s="32"/>
    </row>
    <row r="136" spans="1:81" ht="12.75" customHeight="1" thickBot="1" x14ac:dyDescent="0.25">
      <c r="A136" s="145" t="s">
        <v>537</v>
      </c>
      <c r="B136" s="146"/>
      <c r="C136" s="146"/>
      <c r="D136" s="146"/>
      <c r="E136" s="146"/>
      <c r="F136" s="146"/>
      <c r="G136" s="146"/>
      <c r="H136" s="146"/>
      <c r="I136" s="146"/>
      <c r="J136" s="146"/>
      <c r="K136" s="146"/>
      <c r="L136" s="146"/>
      <c r="M136" s="146"/>
      <c r="N136" s="177"/>
      <c r="O136" s="131"/>
      <c r="P136" s="121"/>
      <c r="Q136" s="121"/>
      <c r="R136" s="169"/>
      <c r="AJ136" s="85"/>
      <c r="AK136" s="85"/>
      <c r="AM136" s="124"/>
      <c r="AO136" s="122"/>
      <c r="AP136" s="122"/>
      <c r="CB136" s="32"/>
      <c r="CC136" s="32"/>
    </row>
    <row r="137" spans="1:81" ht="12.75" customHeight="1" thickBot="1" x14ac:dyDescent="0.25">
      <c r="A137" s="147" t="str">
        <f>"Total : "&amp;SUM(TotalOies)</f>
        <v>Total : 0</v>
      </c>
      <c r="B137" s="80"/>
      <c r="C137" s="49" t="s">
        <v>472</v>
      </c>
      <c r="D137" s="111" t="s">
        <v>1660</v>
      </c>
      <c r="E137" s="80"/>
      <c r="F137" s="80"/>
      <c r="G137" s="80"/>
      <c r="H137" s="80"/>
      <c r="I137" s="80"/>
      <c r="J137" s="1461" t="s">
        <v>470</v>
      </c>
      <c r="K137" s="1461"/>
      <c r="L137" s="80"/>
      <c r="M137" s="80"/>
      <c r="N137" s="72"/>
      <c r="O137" s="131"/>
      <c r="P137" s="121"/>
      <c r="Q137" s="121"/>
      <c r="R137" s="169"/>
      <c r="AJ137" s="85"/>
      <c r="AK137" s="85"/>
      <c r="AM137" s="124"/>
      <c r="AO137" s="122"/>
      <c r="AP137" s="122"/>
      <c r="CB137" s="32"/>
      <c r="CC137" s="32"/>
    </row>
    <row r="138" spans="1:81" ht="12.75" customHeight="1" x14ac:dyDescent="0.2">
      <c r="A138" s="147"/>
      <c r="B138" s="42" t="s">
        <v>154</v>
      </c>
      <c r="C138" s="149"/>
      <c r="D138" s="17"/>
      <c r="E138" s="80"/>
      <c r="F138" s="80"/>
      <c r="G138" s="80"/>
      <c r="H138" s="80"/>
      <c r="I138" s="80"/>
      <c r="J138" s="1457"/>
      <c r="K138" s="1458"/>
      <c r="L138" s="80"/>
      <c r="M138" s="80"/>
      <c r="N138" s="72"/>
      <c r="O138" s="23"/>
      <c r="P138" s="90"/>
      <c r="Q138" s="90"/>
      <c r="R138" s="91"/>
      <c r="S138" s="89"/>
      <c r="Z138" s="87"/>
      <c r="AA138" s="87"/>
      <c r="AB138" s="87"/>
      <c r="AJ138" s="85"/>
      <c r="AK138" s="85"/>
      <c r="AM138" s="124"/>
      <c r="AO138" s="122"/>
      <c r="AP138" s="122"/>
      <c r="CB138" s="32"/>
      <c r="CC138" s="32"/>
    </row>
    <row r="139" spans="1:81" ht="12.75" customHeight="1" thickBot="1" x14ac:dyDescent="0.25">
      <c r="A139" s="147"/>
      <c r="B139" s="45" t="s">
        <v>155</v>
      </c>
      <c r="C139" s="150"/>
      <c r="D139" s="743"/>
      <c r="E139" s="80"/>
      <c r="F139" s="80"/>
      <c r="G139" s="80"/>
      <c r="H139" s="80"/>
      <c r="I139" s="80"/>
      <c r="J139" s="152"/>
      <c r="K139" s="80"/>
      <c r="L139" s="80"/>
      <c r="M139" s="80"/>
      <c r="N139" s="72"/>
      <c r="O139" s="23"/>
      <c r="P139" s="90"/>
      <c r="Q139" s="90"/>
      <c r="R139" s="91"/>
      <c r="S139" s="89"/>
      <c r="Z139" s="87"/>
      <c r="AA139" s="87"/>
      <c r="AB139" s="87"/>
      <c r="AJ139" s="85"/>
      <c r="AK139" s="85"/>
      <c r="AM139" s="124"/>
      <c r="AO139" s="122"/>
      <c r="AP139" s="122"/>
      <c r="CB139" s="32"/>
      <c r="CC139" s="32"/>
    </row>
    <row r="140" spans="1:81" ht="12.75" customHeight="1" x14ac:dyDescent="0.2">
      <c r="A140" s="147"/>
      <c r="B140" s="43" t="s">
        <v>18</v>
      </c>
      <c r="C140" s="151"/>
      <c r="D140" s="17"/>
      <c r="E140" s="80"/>
      <c r="F140" s="80"/>
      <c r="G140" s="80"/>
      <c r="H140" s="80"/>
      <c r="I140" s="80"/>
      <c r="J140" s="1459" t="s">
        <v>742</v>
      </c>
      <c r="K140" s="1460"/>
      <c r="L140" s="80"/>
      <c r="M140" s="80"/>
      <c r="N140" s="72"/>
      <c r="O140" s="23"/>
      <c r="P140" s="90"/>
      <c r="Q140" s="90"/>
      <c r="R140" s="91"/>
      <c r="S140" s="89"/>
      <c r="Z140" s="87"/>
      <c r="AA140" s="87"/>
      <c r="AB140" s="87"/>
      <c r="AJ140" s="85"/>
      <c r="AK140" s="85"/>
      <c r="AM140" s="124"/>
      <c r="AO140" s="122"/>
      <c r="AP140" s="122"/>
      <c r="CB140" s="32"/>
      <c r="CC140" s="32"/>
    </row>
    <row r="141" spans="1:81" ht="12.75" customHeight="1" thickBot="1" x14ac:dyDescent="0.25">
      <c r="A141" s="147"/>
      <c r="B141" s="29" t="s">
        <v>19</v>
      </c>
      <c r="C141" s="743"/>
      <c r="D141" s="743"/>
      <c r="E141" s="80"/>
      <c r="F141" s="80"/>
      <c r="G141" s="80"/>
      <c r="H141" s="80"/>
      <c r="I141" s="80"/>
      <c r="J141" s="1457"/>
      <c r="K141" s="1458"/>
      <c r="L141" s="80"/>
      <c r="M141" s="80"/>
      <c r="N141" s="72"/>
      <c r="O141" s="23"/>
      <c r="P141" s="90"/>
      <c r="Q141" s="90"/>
      <c r="R141" s="91"/>
      <c r="S141" s="89"/>
      <c r="Z141" s="87"/>
      <c r="AA141" s="87"/>
      <c r="AB141" s="87"/>
      <c r="AJ141" s="85"/>
      <c r="AK141" s="85"/>
      <c r="AM141" s="124"/>
      <c r="AO141" s="122"/>
      <c r="AP141" s="122"/>
      <c r="CB141" s="32"/>
      <c r="CC141" s="32"/>
    </row>
    <row r="142" spans="1:81" ht="12.75" customHeight="1" x14ac:dyDescent="0.2">
      <c r="A142" s="147"/>
      <c r="B142" s="24" t="s">
        <v>538</v>
      </c>
      <c r="C142" s="17"/>
      <c r="D142" s="17"/>
      <c r="E142" s="80"/>
      <c r="F142" s="80"/>
      <c r="G142" s="80"/>
      <c r="H142" s="80"/>
      <c r="I142" s="80"/>
      <c r="J142" s="152"/>
      <c r="K142" s="80"/>
      <c r="L142" s="80"/>
      <c r="M142" s="80"/>
      <c r="N142" s="72"/>
      <c r="O142" s="23"/>
      <c r="P142" s="90"/>
      <c r="Q142" s="90"/>
      <c r="R142" s="91"/>
      <c r="S142" s="89"/>
      <c r="Z142" s="87"/>
      <c r="AA142" s="87"/>
      <c r="AB142" s="87"/>
      <c r="AJ142" s="85"/>
      <c r="AK142" s="85"/>
      <c r="AM142" s="124"/>
      <c r="AO142" s="122"/>
      <c r="AP142" s="122"/>
      <c r="CB142" s="32"/>
      <c r="CC142" s="32"/>
    </row>
    <row r="143" spans="1:81" ht="12.75" customHeight="1" thickBot="1" x14ac:dyDescent="0.25">
      <c r="A143" s="147"/>
      <c r="B143" s="25" t="s">
        <v>539</v>
      </c>
      <c r="C143" s="743"/>
      <c r="D143" s="743"/>
      <c r="E143" s="80"/>
      <c r="F143" s="80"/>
      <c r="G143" s="80"/>
      <c r="H143" s="80"/>
      <c r="I143" s="80"/>
      <c r="J143" s="1459" t="s">
        <v>1703</v>
      </c>
      <c r="K143" s="1460"/>
      <c r="L143" s="80"/>
      <c r="M143" s="80"/>
      <c r="N143" s="72"/>
      <c r="O143" s="23"/>
      <c r="P143" s="90"/>
      <c r="Q143" s="90"/>
      <c r="R143" s="91"/>
      <c r="S143" s="89"/>
      <c r="Z143" s="87"/>
      <c r="AA143" s="87"/>
      <c r="AB143" s="87"/>
      <c r="AJ143" s="85"/>
      <c r="AK143" s="85"/>
      <c r="AM143" s="124"/>
      <c r="AO143" s="122"/>
      <c r="AP143" s="122"/>
      <c r="CB143" s="32"/>
      <c r="CC143" s="32"/>
    </row>
    <row r="144" spans="1:81" ht="12.75" customHeight="1" x14ac:dyDescent="0.2">
      <c r="A144" s="147"/>
      <c r="B144" s="80"/>
      <c r="C144" s="148"/>
      <c r="D144" s="80"/>
      <c r="E144" s="80"/>
      <c r="F144" s="80"/>
      <c r="G144" s="80"/>
      <c r="H144" s="80"/>
      <c r="I144" s="80"/>
      <c r="J144" s="1457"/>
      <c r="K144" s="1458"/>
      <c r="L144" s="80"/>
      <c r="M144" s="80"/>
      <c r="N144" s="72"/>
      <c r="O144" s="23"/>
      <c r="P144" s="121"/>
      <c r="Q144" s="121"/>
      <c r="R144" s="169"/>
      <c r="S144" s="89"/>
      <c r="AJ144" s="85"/>
      <c r="AK144" s="85"/>
      <c r="AM144" s="124"/>
      <c r="AO144" s="122"/>
      <c r="AP144" s="122"/>
      <c r="CB144" s="32"/>
      <c r="CC144" s="32"/>
    </row>
    <row r="145" spans="1:81" ht="12.75" customHeight="1" x14ac:dyDescent="0.2">
      <c r="A145" s="147"/>
      <c r="B145" s="80"/>
      <c r="C145" s="80"/>
      <c r="D145" s="80"/>
      <c r="E145" s="80"/>
      <c r="F145" s="80"/>
      <c r="G145" s="80"/>
      <c r="H145" s="80"/>
      <c r="I145" s="80"/>
      <c r="J145" s="80"/>
      <c r="K145" s="80"/>
      <c r="L145" s="80"/>
      <c r="M145" s="80"/>
      <c r="N145" s="72"/>
      <c r="O145" s="131"/>
      <c r="P145" s="121"/>
      <c r="Q145" s="121"/>
      <c r="R145" s="169"/>
      <c r="S145" s="89"/>
      <c r="AJ145" s="85"/>
      <c r="AK145" s="85"/>
      <c r="AM145" s="124"/>
      <c r="AO145" s="122"/>
      <c r="AP145" s="122"/>
      <c r="CB145" s="32"/>
      <c r="CC145" s="32"/>
    </row>
    <row r="146" spans="1:81" ht="12.75" customHeight="1" x14ac:dyDescent="0.2">
      <c r="A146" s="147"/>
      <c r="B146" s="80"/>
      <c r="C146" s="80"/>
      <c r="D146" s="80"/>
      <c r="E146" s="80"/>
      <c r="F146" s="80"/>
      <c r="G146" s="80"/>
      <c r="H146" s="80"/>
      <c r="I146" s="80"/>
      <c r="J146" s="1462" t="s">
        <v>471</v>
      </c>
      <c r="K146" s="1463"/>
      <c r="L146" s="80"/>
      <c r="M146" s="80"/>
      <c r="N146" s="72"/>
      <c r="O146" s="131"/>
      <c r="P146" s="121"/>
      <c r="Q146" s="121"/>
      <c r="R146" s="169"/>
      <c r="S146" s="89"/>
      <c r="AJ146" s="85"/>
      <c r="AK146" s="85"/>
      <c r="AM146" s="124"/>
      <c r="AO146" s="122"/>
      <c r="AP146" s="122"/>
      <c r="CB146" s="32"/>
      <c r="CC146" s="32"/>
    </row>
    <row r="147" spans="1:81" ht="12.75" customHeight="1" x14ac:dyDescent="0.2">
      <c r="A147" s="147"/>
      <c r="B147" s="80"/>
      <c r="C147" s="80"/>
      <c r="D147" s="80"/>
      <c r="E147" s="80"/>
      <c r="F147" s="80"/>
      <c r="G147" s="80"/>
      <c r="H147" s="80"/>
      <c r="I147" s="80"/>
      <c r="J147" s="1457"/>
      <c r="K147" s="1458"/>
      <c r="L147" s="80"/>
      <c r="M147" s="80"/>
      <c r="N147" s="72"/>
      <c r="O147" s="131"/>
      <c r="P147" s="121"/>
      <c r="Q147" s="121"/>
      <c r="R147" s="169"/>
      <c r="S147" s="89"/>
      <c r="AJ147" s="85"/>
      <c r="AK147" s="85"/>
      <c r="AM147" s="124"/>
      <c r="AO147" s="122"/>
      <c r="AP147" s="122"/>
      <c r="CB147" s="32"/>
      <c r="CC147" s="32"/>
    </row>
    <row r="148" spans="1:81" ht="12.75" customHeight="1" x14ac:dyDescent="0.2">
      <c r="A148" s="147"/>
      <c r="B148" s="80"/>
      <c r="C148" s="80"/>
      <c r="D148" s="80"/>
      <c r="E148" s="80"/>
      <c r="F148" s="80"/>
      <c r="G148" s="80"/>
      <c r="H148" s="80"/>
      <c r="I148" s="80"/>
      <c r="J148" s="80"/>
      <c r="K148" s="80"/>
      <c r="L148" s="80"/>
      <c r="M148" s="80"/>
      <c r="N148" s="72"/>
      <c r="O148" s="131"/>
      <c r="P148" s="121"/>
      <c r="Q148" s="121"/>
      <c r="R148" s="169"/>
      <c r="S148" s="89"/>
      <c r="AJ148" s="85"/>
      <c r="AK148" s="85"/>
      <c r="AM148" s="124"/>
      <c r="AO148" s="122"/>
      <c r="AP148" s="122"/>
      <c r="CB148" s="32"/>
      <c r="CC148" s="32"/>
    </row>
    <row r="149" spans="1:81" ht="12.75" customHeight="1" x14ac:dyDescent="0.2">
      <c r="A149" s="147"/>
      <c r="B149" s="80"/>
      <c r="C149" s="80"/>
      <c r="D149" s="80"/>
      <c r="E149" s="80"/>
      <c r="F149" s="80"/>
      <c r="G149" s="80"/>
      <c r="H149" s="80"/>
      <c r="I149" s="80"/>
      <c r="J149" s="34" t="s">
        <v>157</v>
      </c>
      <c r="K149" s="141"/>
      <c r="L149" s="80" t="str">
        <f>IF(OR(ChoixPaillageOies="",ChoixPaillageOies=NON),"","coût : "&amp;ROUND(PrixPaille*0.8/SUM(NbreJoursNourrirAutres)*84*SUM(TotalOies)/1000,2)&amp;"€/an")</f>
        <v/>
      </c>
      <c r="M149" s="80"/>
      <c r="N149" s="72"/>
      <c r="O149" s="131"/>
      <c r="P149" s="121"/>
      <c r="Q149" s="121"/>
      <c r="R149" s="169"/>
      <c r="S149" s="89"/>
      <c r="AJ149" s="85"/>
      <c r="AK149" s="85"/>
      <c r="AM149" s="124"/>
      <c r="AO149" s="122"/>
      <c r="AP149" s="122"/>
      <c r="CB149" s="32"/>
      <c r="CC149" s="32"/>
    </row>
    <row r="150" spans="1:81" ht="12.75" customHeight="1" x14ac:dyDescent="0.2">
      <c r="A150" s="147"/>
      <c r="B150" s="80"/>
      <c r="C150" s="80"/>
      <c r="D150" s="80"/>
      <c r="E150" s="80"/>
      <c r="F150" s="80"/>
      <c r="G150" s="80"/>
      <c r="H150" s="80"/>
      <c r="I150" s="80"/>
      <c r="J150" s="35" t="s">
        <v>156</v>
      </c>
      <c r="K150" s="141"/>
      <c r="L150" s="80" t="str">
        <f>IF(ChoixVaccinOies=OUI,"coût : " &amp;SUM(TotalOies)*PrixVaccinOie &amp;"€/an","")</f>
        <v/>
      </c>
      <c r="M150" s="80"/>
      <c r="N150" s="72"/>
      <c r="O150" s="131"/>
      <c r="P150" s="121"/>
      <c r="Q150" s="121"/>
      <c r="R150" s="169"/>
      <c r="S150" s="89"/>
      <c r="AJ150" s="85"/>
      <c r="AK150" s="85"/>
      <c r="AM150" s="124"/>
      <c r="AO150" s="122"/>
      <c r="AP150" s="122"/>
      <c r="CB150" s="32"/>
      <c r="CC150" s="32"/>
    </row>
    <row r="151" spans="1:81" ht="12.75" customHeight="1" thickBot="1" x14ac:dyDescent="0.25">
      <c r="A151" s="153"/>
      <c r="B151" s="81"/>
      <c r="C151" s="81"/>
      <c r="D151" s="81"/>
      <c r="E151" s="81"/>
      <c r="F151" s="81"/>
      <c r="G151" s="81"/>
      <c r="H151" s="81"/>
      <c r="I151" s="81"/>
      <c r="J151" s="73"/>
      <c r="K151" s="65"/>
      <c r="L151" s="81"/>
      <c r="M151" s="81"/>
      <c r="N151" s="74"/>
      <c r="O151" s="131"/>
      <c r="P151" s="121"/>
      <c r="Q151" s="121"/>
      <c r="R151" s="169"/>
      <c r="S151" s="89"/>
      <c r="AJ151" s="85"/>
      <c r="AK151" s="85"/>
      <c r="AM151" s="124"/>
      <c r="AO151" s="122"/>
      <c r="AP151" s="122"/>
      <c r="CB151" s="32"/>
      <c r="CC151" s="32"/>
    </row>
    <row r="152" spans="1:81" ht="12.75" customHeight="1" thickBot="1" x14ac:dyDescent="0.25">
      <c r="A152" s="128" t="s">
        <v>20</v>
      </c>
      <c r="B152" s="129"/>
      <c r="C152" s="129"/>
      <c r="D152" s="129"/>
      <c r="E152" s="129"/>
      <c r="F152" s="129"/>
      <c r="G152" s="129"/>
      <c r="H152" s="129"/>
      <c r="I152" s="129"/>
      <c r="J152" s="129"/>
      <c r="K152" s="129"/>
      <c r="L152" s="129"/>
      <c r="M152" s="129"/>
      <c r="N152" s="130"/>
      <c r="O152" s="131"/>
      <c r="P152" s="121"/>
      <c r="Q152" s="121"/>
      <c r="R152" s="169"/>
      <c r="S152" s="89"/>
      <c r="AJ152" s="85"/>
      <c r="AK152" s="85"/>
      <c r="AM152" s="124"/>
      <c r="AO152" s="122"/>
      <c r="AP152" s="122"/>
      <c r="CB152" s="32"/>
      <c r="CC152" s="32"/>
    </row>
    <row r="153" spans="1:81" ht="12.75" customHeight="1" thickBot="1" x14ac:dyDescent="0.25">
      <c r="A153" s="132" t="str">
        <f>"Total : "&amp;SUM(TotalCanards)</f>
        <v>Total : 0</v>
      </c>
      <c r="B153" s="76"/>
      <c r="C153" s="49" t="s">
        <v>472</v>
      </c>
      <c r="D153" s="111" t="s">
        <v>1660</v>
      </c>
      <c r="E153" s="76"/>
      <c r="F153" s="76"/>
      <c r="G153" s="76"/>
      <c r="H153" s="76"/>
      <c r="I153" s="76"/>
      <c r="J153" s="1461" t="s">
        <v>470</v>
      </c>
      <c r="K153" s="1461"/>
      <c r="L153" s="76"/>
      <c r="M153" s="76"/>
      <c r="N153" s="71"/>
      <c r="O153" s="131"/>
      <c r="P153" s="121"/>
      <c r="Q153" s="121"/>
      <c r="R153" s="169"/>
      <c r="S153" s="89"/>
      <c r="AJ153" s="85"/>
      <c r="AK153" s="85"/>
      <c r="AM153" s="124"/>
      <c r="AO153" s="122"/>
      <c r="AP153" s="122"/>
      <c r="CB153" s="32"/>
      <c r="CC153" s="32"/>
    </row>
    <row r="154" spans="1:81" ht="12.75" customHeight="1" x14ac:dyDescent="0.2">
      <c r="A154" s="132"/>
      <c r="B154" s="42" t="s">
        <v>319</v>
      </c>
      <c r="C154" s="149"/>
      <c r="D154" s="17"/>
      <c r="E154" s="76"/>
      <c r="F154" s="76"/>
      <c r="G154" s="76"/>
      <c r="H154" s="76"/>
      <c r="I154" s="76"/>
      <c r="J154" s="1457"/>
      <c r="K154" s="1458"/>
      <c r="L154" s="76"/>
      <c r="M154" s="76"/>
      <c r="N154" s="71"/>
      <c r="O154" s="131"/>
      <c r="P154" s="121"/>
      <c r="Q154" s="121"/>
      <c r="R154" s="169"/>
      <c r="AJ154" s="85"/>
      <c r="AK154" s="85"/>
      <c r="AM154" s="124"/>
      <c r="AO154" s="122"/>
      <c r="AP154" s="122"/>
      <c r="CB154" s="32"/>
      <c r="CC154" s="32"/>
    </row>
    <row r="155" spans="1:81" ht="12.75" customHeight="1" thickBot="1" x14ac:dyDescent="0.25">
      <c r="A155" s="132"/>
      <c r="B155" s="45" t="s">
        <v>320</v>
      </c>
      <c r="C155" s="150"/>
      <c r="D155" s="743"/>
      <c r="E155" s="76"/>
      <c r="F155" s="76"/>
      <c r="G155" s="76"/>
      <c r="H155" s="76"/>
      <c r="I155" s="76"/>
      <c r="J155" s="138"/>
      <c r="K155" s="76"/>
      <c r="L155" s="76"/>
      <c r="M155" s="76"/>
      <c r="N155" s="71"/>
      <c r="O155" s="131"/>
      <c r="P155" s="121"/>
      <c r="Q155" s="121"/>
      <c r="R155" s="169"/>
      <c r="S155" s="87"/>
      <c r="AJ155" s="85"/>
      <c r="AK155" s="85"/>
      <c r="AM155" s="124"/>
      <c r="AO155" s="122"/>
      <c r="AP155" s="122"/>
      <c r="CB155" s="32"/>
      <c r="CC155" s="32"/>
    </row>
    <row r="156" spans="1:81" ht="12.75" customHeight="1" x14ac:dyDescent="0.2">
      <c r="A156" s="132"/>
      <c r="B156" s="43" t="s">
        <v>321</v>
      </c>
      <c r="C156" s="151"/>
      <c r="D156" s="17"/>
      <c r="E156" s="76"/>
      <c r="F156" s="76"/>
      <c r="G156" s="76"/>
      <c r="H156" s="76"/>
      <c r="I156" s="76"/>
      <c r="J156" s="1459" t="s">
        <v>742</v>
      </c>
      <c r="K156" s="1460"/>
      <c r="L156" s="76"/>
      <c r="M156" s="76"/>
      <c r="N156" s="71"/>
      <c r="O156" s="131"/>
      <c r="P156" s="121"/>
      <c r="Q156" s="121"/>
      <c r="R156" s="169"/>
      <c r="AJ156" s="85"/>
      <c r="AK156" s="85"/>
      <c r="AM156" s="124"/>
      <c r="AO156" s="122"/>
      <c r="AP156" s="122"/>
      <c r="CB156" s="32"/>
      <c r="CC156" s="32"/>
    </row>
    <row r="157" spans="1:81" ht="12.75" customHeight="1" thickBot="1" x14ac:dyDescent="0.25">
      <c r="A157" s="132"/>
      <c r="B157" s="29" t="s">
        <v>322</v>
      </c>
      <c r="C157" s="743"/>
      <c r="D157" s="743"/>
      <c r="E157" s="76"/>
      <c r="F157" s="76"/>
      <c r="G157" s="76"/>
      <c r="H157" s="76"/>
      <c r="I157" s="76"/>
      <c r="J157" s="1457"/>
      <c r="K157" s="1458"/>
      <c r="L157" s="76"/>
      <c r="M157" s="76"/>
      <c r="N157" s="71"/>
      <c r="O157" s="131"/>
      <c r="P157" s="121"/>
      <c r="Q157" s="121"/>
      <c r="R157" s="169"/>
      <c r="AJ157" s="85"/>
      <c r="AK157" s="85"/>
      <c r="AM157" s="124"/>
      <c r="AO157" s="122"/>
      <c r="AP157" s="122"/>
      <c r="CB157" s="32"/>
      <c r="CC157" s="32"/>
    </row>
    <row r="158" spans="1:81" ht="12.75" customHeight="1" x14ac:dyDescent="0.2">
      <c r="A158" s="132"/>
      <c r="B158" s="24" t="s">
        <v>324</v>
      </c>
      <c r="C158" s="17"/>
      <c r="D158" s="17"/>
      <c r="E158" s="76"/>
      <c r="F158" s="76"/>
      <c r="G158" s="76"/>
      <c r="H158" s="76"/>
      <c r="I158" s="76"/>
      <c r="J158" s="138"/>
      <c r="K158" s="76"/>
      <c r="L158" s="76"/>
      <c r="M158" s="76"/>
      <c r="N158" s="71"/>
      <c r="O158" s="131"/>
      <c r="P158" s="121"/>
      <c r="Q158" s="121"/>
      <c r="R158" s="169"/>
      <c r="AJ158" s="85"/>
      <c r="AK158" s="85"/>
      <c r="AM158" s="124"/>
      <c r="AO158" s="122"/>
      <c r="AP158" s="122"/>
      <c r="CB158" s="32"/>
      <c r="CC158" s="32"/>
    </row>
    <row r="159" spans="1:81" ht="12.75" customHeight="1" thickBot="1" x14ac:dyDescent="0.25">
      <c r="A159" s="132"/>
      <c r="B159" s="25" t="s">
        <v>323</v>
      </c>
      <c r="C159" s="743"/>
      <c r="D159" s="743"/>
      <c r="E159" s="76"/>
      <c r="F159" s="76"/>
      <c r="G159" s="76"/>
      <c r="H159" s="76"/>
      <c r="I159" s="76"/>
      <c r="J159" s="1459" t="s">
        <v>1703</v>
      </c>
      <c r="K159" s="1460"/>
      <c r="L159" s="76"/>
      <c r="M159" s="76"/>
      <c r="N159" s="71"/>
      <c r="O159" s="131"/>
      <c r="P159" s="121"/>
      <c r="Q159" s="121"/>
      <c r="R159" s="169"/>
      <c r="AJ159" s="85"/>
      <c r="AK159" s="85"/>
      <c r="AM159" s="124"/>
      <c r="AO159" s="122"/>
      <c r="AP159" s="122"/>
      <c r="CB159" s="32"/>
      <c r="CC159" s="32"/>
    </row>
    <row r="160" spans="1:81" ht="12.75" customHeight="1" x14ac:dyDescent="0.2">
      <c r="A160" s="132"/>
      <c r="B160" s="76"/>
      <c r="C160" s="155"/>
      <c r="D160" s="76"/>
      <c r="E160" s="76"/>
      <c r="F160" s="76"/>
      <c r="G160" s="76"/>
      <c r="H160" s="76"/>
      <c r="I160" s="76"/>
      <c r="J160" s="1457"/>
      <c r="K160" s="1458"/>
      <c r="L160" s="76"/>
      <c r="M160" s="76"/>
      <c r="N160" s="71"/>
      <c r="O160" s="131"/>
      <c r="P160" s="121"/>
      <c r="Q160" s="121"/>
      <c r="R160" s="169"/>
      <c r="AJ160" s="85"/>
      <c r="AK160" s="85"/>
      <c r="AM160" s="124"/>
      <c r="AO160" s="122"/>
      <c r="AP160" s="122"/>
      <c r="CB160" s="32"/>
      <c r="CC160" s="32"/>
    </row>
    <row r="161" spans="1:81" ht="12.75" customHeight="1" x14ac:dyDescent="0.2">
      <c r="A161" s="132"/>
      <c r="B161" s="76"/>
      <c r="C161" s="76"/>
      <c r="D161" s="76"/>
      <c r="E161" s="76"/>
      <c r="F161" s="76"/>
      <c r="G161" s="76"/>
      <c r="H161" s="76"/>
      <c r="I161" s="76"/>
      <c r="J161" s="138"/>
      <c r="K161" s="76"/>
      <c r="L161" s="76"/>
      <c r="M161" s="76"/>
      <c r="N161" s="71"/>
      <c r="O161" s="131"/>
      <c r="P161" s="121"/>
      <c r="Q161" s="121"/>
      <c r="R161" s="169"/>
      <c r="AJ161" s="85"/>
      <c r="AK161" s="85"/>
      <c r="AM161" s="124"/>
      <c r="AO161" s="122"/>
      <c r="AP161" s="122"/>
      <c r="CB161" s="32"/>
      <c r="CC161" s="32"/>
    </row>
    <row r="162" spans="1:81" ht="12.75" customHeight="1" x14ac:dyDescent="0.2">
      <c r="A162" s="132"/>
      <c r="B162" s="76"/>
      <c r="C162" s="76"/>
      <c r="D162" s="76"/>
      <c r="E162" s="76"/>
      <c r="F162" s="76"/>
      <c r="G162" s="76"/>
      <c r="H162" s="76"/>
      <c r="I162" s="76"/>
      <c r="J162" s="1462" t="s">
        <v>471</v>
      </c>
      <c r="K162" s="1463"/>
      <c r="L162" s="76"/>
      <c r="M162" s="76"/>
      <c r="N162" s="71"/>
      <c r="O162" s="131"/>
      <c r="P162" s="121"/>
      <c r="Q162" s="121"/>
      <c r="R162" s="169"/>
      <c r="AJ162" s="85"/>
      <c r="AK162" s="85"/>
      <c r="AM162" s="124"/>
      <c r="AO162" s="122"/>
      <c r="AP162" s="122"/>
      <c r="CB162" s="32"/>
      <c r="CC162" s="32"/>
    </row>
    <row r="163" spans="1:81" ht="12.75" customHeight="1" x14ac:dyDescent="0.2">
      <c r="A163" s="132"/>
      <c r="B163" s="76"/>
      <c r="C163" s="76"/>
      <c r="D163" s="76"/>
      <c r="E163" s="76"/>
      <c r="F163" s="76"/>
      <c r="G163" s="76"/>
      <c r="H163" s="76"/>
      <c r="I163" s="76"/>
      <c r="J163" s="1457"/>
      <c r="K163" s="1458"/>
      <c r="L163" s="76"/>
      <c r="M163" s="76"/>
      <c r="N163" s="71"/>
      <c r="O163" s="131"/>
      <c r="P163" s="121"/>
      <c r="Q163" s="121"/>
      <c r="R163" s="169"/>
      <c r="AJ163" s="85"/>
      <c r="AK163" s="85"/>
      <c r="AM163" s="124"/>
      <c r="AO163" s="122"/>
      <c r="AP163" s="122"/>
      <c r="CB163" s="32"/>
      <c r="CC163" s="32"/>
    </row>
    <row r="164" spans="1:81" ht="12.75" customHeight="1" x14ac:dyDescent="0.2">
      <c r="A164" s="132"/>
      <c r="B164" s="76"/>
      <c r="C164" s="76"/>
      <c r="D164" s="76"/>
      <c r="E164" s="76"/>
      <c r="F164" s="76"/>
      <c r="G164" s="76"/>
      <c r="H164" s="76"/>
      <c r="I164" s="76"/>
      <c r="J164" s="76"/>
      <c r="K164" s="76"/>
      <c r="L164" s="76"/>
      <c r="M164" s="76"/>
      <c r="N164" s="71"/>
      <c r="O164" s="131"/>
      <c r="P164" s="121"/>
      <c r="Q164" s="121"/>
      <c r="R164" s="169"/>
      <c r="AJ164" s="85"/>
      <c r="AK164" s="85"/>
      <c r="AM164" s="124"/>
      <c r="AO164" s="122"/>
      <c r="AP164" s="122"/>
      <c r="CB164" s="32"/>
      <c r="CC164" s="32"/>
    </row>
    <row r="165" spans="1:81" ht="12.75" customHeight="1" x14ac:dyDescent="0.2">
      <c r="A165" s="132"/>
      <c r="B165" s="76"/>
      <c r="C165" s="76"/>
      <c r="D165" s="76"/>
      <c r="E165" s="76"/>
      <c r="F165" s="76"/>
      <c r="G165" s="76"/>
      <c r="H165" s="76"/>
      <c r="I165" s="76"/>
      <c r="J165" s="34" t="s">
        <v>157</v>
      </c>
      <c r="K165" s="141"/>
      <c r="L165" s="76" t="str">
        <f>IF(OR(ChoixPaillageCanards="",ChoixPaillageCanards=NON),"","coût : "&amp;ROUND(PrixPaille*0.8/SUM(NbreJoursNourrirAutres)*84*SUM(TotalCanards)/1000,2)&amp;"€/an")</f>
        <v/>
      </c>
      <c r="M165" s="76"/>
      <c r="N165" s="71"/>
      <c r="O165" s="131"/>
      <c r="P165" s="121"/>
      <c r="Q165" s="121"/>
      <c r="R165" s="169"/>
      <c r="AJ165" s="85"/>
      <c r="AK165" s="85"/>
      <c r="AM165" s="124"/>
      <c r="AO165" s="122"/>
      <c r="AP165" s="122"/>
      <c r="CB165" s="32"/>
      <c r="CC165" s="32"/>
    </row>
    <row r="166" spans="1:81" ht="12.75" customHeight="1" x14ac:dyDescent="0.2">
      <c r="A166" s="132"/>
      <c r="B166" s="76"/>
      <c r="C166" s="76"/>
      <c r="D166" s="76"/>
      <c r="E166" s="76"/>
      <c r="F166" s="76"/>
      <c r="G166" s="76"/>
      <c r="H166" s="76"/>
      <c r="I166" s="76"/>
      <c r="J166" s="35" t="s">
        <v>156</v>
      </c>
      <c r="K166" s="141"/>
      <c r="L166" s="76" t="str">
        <f>IF(ChoixVaccinCanards=OUI,"coût : " &amp;SUM(TotalCanards)*PrixVaccinOie &amp;"€/an","")</f>
        <v/>
      </c>
      <c r="M166" s="76"/>
      <c r="N166" s="71"/>
      <c r="O166" s="131"/>
      <c r="P166" s="121"/>
      <c r="Q166" s="121"/>
      <c r="R166" s="169"/>
      <c r="AJ166" s="85"/>
      <c r="AK166" s="85"/>
      <c r="AM166" s="124"/>
      <c r="AO166" s="122"/>
      <c r="AP166" s="122"/>
      <c r="CB166" s="32"/>
      <c r="CC166" s="32"/>
    </row>
    <row r="167" spans="1:81" ht="12.75" customHeight="1" thickBot="1" x14ac:dyDescent="0.25">
      <c r="A167" s="142"/>
      <c r="B167" s="143"/>
      <c r="C167" s="143"/>
      <c r="D167" s="143"/>
      <c r="E167" s="143"/>
      <c r="F167" s="143"/>
      <c r="G167" s="143"/>
      <c r="H167" s="143"/>
      <c r="I167" s="143"/>
      <c r="J167" s="143"/>
      <c r="K167" s="143"/>
      <c r="L167" s="143"/>
      <c r="M167" s="143"/>
      <c r="N167" s="144"/>
      <c r="O167" s="131"/>
      <c r="P167" s="121"/>
      <c r="Q167" s="121"/>
      <c r="R167" s="169"/>
      <c r="AJ167" s="85"/>
      <c r="AK167" s="85"/>
      <c r="AM167" s="124"/>
      <c r="AO167" s="122"/>
      <c r="AP167" s="122"/>
      <c r="CB167" s="32"/>
      <c r="CC167" s="32"/>
    </row>
    <row r="168" spans="1:81" ht="12.75" customHeight="1" x14ac:dyDescent="0.2">
      <c r="A168" s="145" t="s">
        <v>1242</v>
      </c>
      <c r="B168" s="146"/>
      <c r="C168" s="146"/>
      <c r="D168" s="146"/>
      <c r="E168" s="146"/>
      <c r="F168" s="146"/>
      <c r="G168" s="146"/>
      <c r="H168" s="146"/>
      <c r="I168" s="146"/>
      <c r="J168" s="146"/>
      <c r="K168" s="146"/>
      <c r="L168" s="146"/>
      <c r="M168" s="146"/>
      <c r="N168" s="177"/>
      <c r="O168" s="131"/>
      <c r="P168" s="121"/>
      <c r="Q168" s="121"/>
      <c r="R168" s="169"/>
      <c r="AJ168" s="85"/>
      <c r="AK168" s="85"/>
      <c r="AM168" s="124"/>
      <c r="AO168" s="122"/>
      <c r="AP168" s="122"/>
      <c r="CB168" s="32"/>
      <c r="CC168" s="32"/>
    </row>
    <row r="169" spans="1:81" ht="12.75" customHeight="1" thickBot="1" x14ac:dyDescent="0.25">
      <c r="A169" s="147" t="str">
        <f>"Total : "&amp;SUM(FoieGrasTotalOisons)+FoieGrasJeunesOies_3moisEtPlus</f>
        <v>Total : 0</v>
      </c>
      <c r="B169" s="80" t="s">
        <v>1247</v>
      </c>
      <c r="C169" s="80"/>
      <c r="D169" s="80"/>
      <c r="E169" s="80"/>
      <c r="F169" s="80" t="s">
        <v>1248</v>
      </c>
      <c r="G169" s="80"/>
      <c r="H169" s="80"/>
      <c r="I169" s="80"/>
      <c r="J169" s="1461" t="s">
        <v>470</v>
      </c>
      <c r="K169" s="1461"/>
      <c r="L169" s="80"/>
      <c r="M169" s="80"/>
      <c r="N169" s="72"/>
      <c r="O169" s="131"/>
      <c r="P169" s="121"/>
      <c r="Q169" s="121"/>
      <c r="R169" s="169"/>
      <c r="AJ169" s="85"/>
      <c r="AK169" s="85"/>
      <c r="AM169" s="124"/>
      <c r="AO169" s="122"/>
      <c r="AP169" s="122"/>
      <c r="CB169" s="32"/>
      <c r="CC169" s="32"/>
    </row>
    <row r="170" spans="1:81" ht="12.75" customHeight="1" thickBot="1" x14ac:dyDescent="0.25">
      <c r="A170" s="147"/>
      <c r="B170" s="80"/>
      <c r="C170" s="96" t="s">
        <v>472</v>
      </c>
      <c r="D170" s="752" t="s">
        <v>1660</v>
      </c>
      <c r="E170" s="80"/>
      <c r="F170" s="80"/>
      <c r="G170" s="96" t="s">
        <v>472</v>
      </c>
      <c r="H170" s="111" t="s">
        <v>1660</v>
      </c>
      <c r="I170" s="80"/>
      <c r="J170" s="1457"/>
      <c r="K170" s="1458"/>
      <c r="L170" s="80"/>
      <c r="M170" s="80"/>
      <c r="N170" s="72"/>
      <c r="O170" s="131"/>
      <c r="P170" s="121"/>
      <c r="Q170" s="121"/>
      <c r="R170" s="169"/>
      <c r="AJ170" s="85"/>
      <c r="AK170" s="85"/>
      <c r="AM170" s="124"/>
      <c r="AO170" s="122"/>
      <c r="AP170" s="122"/>
      <c r="CB170" s="32"/>
      <c r="CC170" s="32"/>
    </row>
    <row r="171" spans="1:81" ht="12.75" customHeight="1" thickBot="1" x14ac:dyDescent="0.25">
      <c r="A171" s="147"/>
      <c r="B171" s="42" t="s">
        <v>1245</v>
      </c>
      <c r="C171" s="749"/>
      <c r="D171" s="151"/>
      <c r="E171" s="80"/>
      <c r="F171" s="98" t="s">
        <v>1249</v>
      </c>
      <c r="G171" s="178"/>
      <c r="H171" s="748"/>
      <c r="I171" s="80"/>
      <c r="J171" s="152"/>
      <c r="K171" s="80"/>
      <c r="L171" s="80"/>
      <c r="M171" s="80"/>
      <c r="N171" s="72"/>
      <c r="O171" s="131"/>
      <c r="P171" s="121"/>
      <c r="Q171" s="121"/>
      <c r="R171" s="169"/>
      <c r="AJ171" s="85"/>
      <c r="AK171" s="85"/>
      <c r="AM171" s="124"/>
      <c r="AO171" s="122"/>
      <c r="AP171" s="122"/>
      <c r="CB171" s="32"/>
      <c r="CC171" s="32"/>
    </row>
    <row r="172" spans="1:81" ht="12.75" customHeight="1" x14ac:dyDescent="0.2">
      <c r="A172" s="147"/>
      <c r="B172" s="95" t="s">
        <v>1246</v>
      </c>
      <c r="C172" s="750"/>
      <c r="D172" s="187"/>
      <c r="E172" s="80"/>
      <c r="F172" s="80"/>
      <c r="G172" s="148"/>
      <c r="H172" s="80"/>
      <c r="I172" s="80"/>
      <c r="J172" s="1459" t="s">
        <v>742</v>
      </c>
      <c r="K172" s="1460"/>
      <c r="L172" s="80"/>
      <c r="M172" s="80"/>
      <c r="N172" s="72"/>
      <c r="O172" s="131"/>
      <c r="P172" s="121"/>
      <c r="Q172" s="121"/>
      <c r="R172" s="169"/>
      <c r="AJ172" s="85"/>
      <c r="AK172" s="85"/>
      <c r="AM172" s="124"/>
      <c r="AO172" s="122"/>
      <c r="AP172" s="122"/>
      <c r="CB172" s="32"/>
      <c r="CC172" s="32"/>
    </row>
    <row r="173" spans="1:81" ht="12.75" customHeight="1" thickBot="1" x14ac:dyDescent="0.25">
      <c r="A173" s="147"/>
      <c r="B173" s="97" t="s">
        <v>1244</v>
      </c>
      <c r="C173" s="751"/>
      <c r="D173" s="743"/>
      <c r="E173" s="80"/>
      <c r="F173" s="80"/>
      <c r="G173" s="80"/>
      <c r="H173" s="80"/>
      <c r="I173" s="80"/>
      <c r="J173" s="1457"/>
      <c r="K173" s="1458"/>
      <c r="L173" s="80"/>
      <c r="M173" s="80"/>
      <c r="N173" s="72"/>
      <c r="O173" s="131"/>
      <c r="P173" s="121"/>
      <c r="Q173" s="121"/>
      <c r="R173" s="169"/>
      <c r="AJ173" s="85"/>
      <c r="AK173" s="85"/>
      <c r="AM173" s="124"/>
      <c r="AO173" s="122"/>
      <c r="AP173" s="122"/>
      <c r="CB173" s="32"/>
      <c r="CC173" s="32"/>
    </row>
    <row r="174" spans="1:81" ht="12.75" customHeight="1" x14ac:dyDescent="0.2">
      <c r="A174" s="147"/>
      <c r="B174" s="80"/>
      <c r="C174" s="148"/>
      <c r="D174" s="80"/>
      <c r="E174" s="80"/>
      <c r="F174" s="80"/>
      <c r="G174" s="80"/>
      <c r="H174" s="80"/>
      <c r="I174" s="80"/>
      <c r="J174" s="152"/>
      <c r="K174" s="80"/>
      <c r="L174" s="80"/>
      <c r="M174" s="80"/>
      <c r="N174" s="72"/>
      <c r="O174" s="131"/>
      <c r="P174" s="121"/>
      <c r="Q174" s="121"/>
      <c r="R174" s="169"/>
      <c r="AJ174" s="85"/>
      <c r="AK174" s="85"/>
      <c r="AM174" s="124"/>
      <c r="AO174" s="122"/>
      <c r="AP174" s="122"/>
      <c r="CB174" s="32"/>
      <c r="CC174" s="32"/>
    </row>
    <row r="175" spans="1:81" ht="12.75" customHeight="1" x14ac:dyDescent="0.2">
      <c r="A175" s="147"/>
      <c r="B175" s="80"/>
      <c r="C175" s="80"/>
      <c r="D175" s="80"/>
      <c r="E175" s="80"/>
      <c r="F175" s="80"/>
      <c r="G175" s="80"/>
      <c r="H175" s="80"/>
      <c r="I175" s="80"/>
      <c r="J175" s="1459" t="s">
        <v>1703</v>
      </c>
      <c r="K175" s="1460"/>
      <c r="L175" s="80"/>
      <c r="M175" s="80"/>
      <c r="N175" s="72"/>
      <c r="O175" s="131"/>
      <c r="P175" s="121"/>
      <c r="Q175" s="121"/>
      <c r="R175" s="169"/>
      <c r="AJ175" s="85"/>
      <c r="AK175" s="85"/>
      <c r="AM175" s="124"/>
      <c r="AO175" s="122"/>
      <c r="AP175" s="122"/>
      <c r="CB175" s="32"/>
      <c r="CC175" s="32"/>
    </row>
    <row r="176" spans="1:81" ht="12.75" customHeight="1" x14ac:dyDescent="0.2">
      <c r="A176" s="147"/>
      <c r="B176" s="80"/>
      <c r="C176" s="80"/>
      <c r="D176" s="80"/>
      <c r="E176" s="80"/>
      <c r="F176" s="80"/>
      <c r="G176" s="80"/>
      <c r="H176" s="80"/>
      <c r="I176" s="80"/>
      <c r="J176" s="1457"/>
      <c r="K176" s="1458"/>
      <c r="L176" s="80"/>
      <c r="M176" s="80"/>
      <c r="N176" s="72"/>
      <c r="O176" s="131"/>
      <c r="P176" s="121"/>
      <c r="Q176" s="121"/>
      <c r="R176" s="169"/>
      <c r="AJ176" s="85"/>
      <c r="AK176" s="85"/>
      <c r="AM176" s="124"/>
      <c r="AO176" s="122"/>
      <c r="AP176" s="122"/>
      <c r="CB176" s="32"/>
      <c r="CC176" s="32"/>
    </row>
    <row r="177" spans="1:81" ht="12.75" customHeight="1" x14ac:dyDescent="0.2">
      <c r="A177" s="147"/>
      <c r="B177" s="80"/>
      <c r="C177" s="80"/>
      <c r="D177" s="80"/>
      <c r="E177" s="80"/>
      <c r="F177" s="80"/>
      <c r="G177" s="80"/>
      <c r="H177" s="80"/>
      <c r="I177" s="80"/>
      <c r="J177" s="80"/>
      <c r="K177" s="80"/>
      <c r="L177" s="80"/>
      <c r="M177" s="80"/>
      <c r="N177" s="72"/>
      <c r="O177" s="131"/>
      <c r="P177" s="121"/>
      <c r="Q177" s="121"/>
      <c r="R177" s="169"/>
      <c r="AJ177" s="85"/>
      <c r="AK177" s="85"/>
      <c r="AM177" s="124"/>
      <c r="AO177" s="122"/>
      <c r="AP177" s="122"/>
      <c r="CB177" s="32"/>
      <c r="CC177" s="32"/>
    </row>
    <row r="178" spans="1:81" ht="12.75" customHeight="1" x14ac:dyDescent="0.2">
      <c r="A178" s="147"/>
      <c r="B178" s="80"/>
      <c r="C178" s="80"/>
      <c r="D178" s="80"/>
      <c r="E178" s="80"/>
      <c r="F178" s="80"/>
      <c r="G178" s="80"/>
      <c r="H178" s="80"/>
      <c r="I178" s="80"/>
      <c r="J178" s="1462" t="s">
        <v>471</v>
      </c>
      <c r="K178" s="1463"/>
      <c r="L178" s="80"/>
      <c r="M178" s="80"/>
      <c r="N178" s="72"/>
      <c r="O178" s="131"/>
      <c r="P178" s="121"/>
      <c r="Q178" s="121"/>
      <c r="R178" s="169"/>
      <c r="AJ178" s="85"/>
      <c r="AK178" s="85"/>
      <c r="AM178" s="124"/>
      <c r="AO178" s="122"/>
      <c r="AP178" s="122"/>
      <c r="CB178" s="32"/>
      <c r="CC178" s="32"/>
    </row>
    <row r="179" spans="1:81" ht="12.75" customHeight="1" x14ac:dyDescent="0.2">
      <c r="A179" s="147"/>
      <c r="B179" s="80"/>
      <c r="C179" s="80"/>
      <c r="D179" s="80"/>
      <c r="E179" s="80"/>
      <c r="F179" s="80"/>
      <c r="G179" s="80"/>
      <c r="H179" s="80"/>
      <c r="I179" s="80"/>
      <c r="J179" s="1457"/>
      <c r="K179" s="1458"/>
      <c r="L179" s="80"/>
      <c r="M179" s="80"/>
      <c r="N179" s="72"/>
      <c r="O179" s="131"/>
      <c r="P179" s="121"/>
      <c r="Q179" s="121"/>
      <c r="R179" s="169"/>
      <c r="AJ179" s="85"/>
      <c r="AK179" s="85"/>
      <c r="AM179" s="124"/>
      <c r="AO179" s="122"/>
      <c r="AP179" s="122"/>
      <c r="CB179" s="32"/>
      <c r="CC179" s="32"/>
    </row>
    <row r="180" spans="1:81" ht="12.75" customHeight="1" x14ac:dyDescent="0.2">
      <c r="A180" s="147"/>
      <c r="B180" s="80"/>
      <c r="C180" s="80"/>
      <c r="D180" s="80"/>
      <c r="E180" s="80"/>
      <c r="F180" s="80"/>
      <c r="G180" s="80"/>
      <c r="H180" s="80"/>
      <c r="I180" s="80"/>
      <c r="J180" s="80"/>
      <c r="K180" s="80"/>
      <c r="L180" s="80"/>
      <c r="M180" s="80"/>
      <c r="N180" s="72"/>
      <c r="O180" s="131"/>
      <c r="P180" s="121"/>
      <c r="Q180" s="121"/>
      <c r="R180" s="169"/>
      <c r="AJ180" s="85"/>
      <c r="AK180" s="85"/>
      <c r="AM180" s="124"/>
      <c r="AO180" s="122"/>
      <c r="AP180" s="122"/>
      <c r="CB180" s="32"/>
      <c r="CC180" s="32"/>
    </row>
    <row r="181" spans="1:81" ht="12.75" customHeight="1" x14ac:dyDescent="0.2">
      <c r="A181" s="147"/>
      <c r="B181" s="80"/>
      <c r="C181" s="80"/>
      <c r="D181" s="80"/>
      <c r="E181" s="80"/>
      <c r="F181" s="80"/>
      <c r="G181" s="80"/>
      <c r="H181" s="80"/>
      <c r="I181" s="80"/>
      <c r="J181" s="80"/>
      <c r="K181" s="80"/>
      <c r="L181" s="80"/>
      <c r="M181" s="80"/>
      <c r="N181" s="72"/>
      <c r="O181" s="131"/>
      <c r="P181" s="121"/>
      <c r="Q181" s="121"/>
      <c r="R181" s="169"/>
      <c r="AJ181" s="85"/>
      <c r="AK181" s="85"/>
      <c r="AM181" s="124"/>
      <c r="AO181" s="122"/>
      <c r="AP181" s="122"/>
      <c r="CB181" s="32"/>
      <c r="CC181" s="32"/>
    </row>
    <row r="182" spans="1:81" ht="12.75" customHeight="1" x14ac:dyDescent="0.2">
      <c r="A182" s="147"/>
      <c r="B182" s="80"/>
      <c r="C182" s="80"/>
      <c r="D182" s="80"/>
      <c r="E182" s="80"/>
      <c r="F182" s="80"/>
      <c r="G182" s="80"/>
      <c r="H182" s="80"/>
      <c r="I182" s="80"/>
      <c r="J182" s="80"/>
      <c r="K182" s="80"/>
      <c r="L182" s="80"/>
      <c r="M182" s="80"/>
      <c r="N182" s="72"/>
      <c r="O182" s="131"/>
      <c r="P182" s="121"/>
      <c r="Q182" s="121"/>
      <c r="R182" s="169"/>
      <c r="AJ182" s="85"/>
      <c r="AK182" s="85"/>
      <c r="AM182" s="124"/>
      <c r="AO182" s="122"/>
      <c r="AP182" s="122"/>
      <c r="CB182" s="32"/>
      <c r="CC182" s="32"/>
    </row>
    <row r="183" spans="1:81" ht="12.75" customHeight="1" thickBot="1" x14ac:dyDescent="0.25">
      <c r="A183" s="153"/>
      <c r="B183" s="81"/>
      <c r="C183" s="81"/>
      <c r="D183" s="81"/>
      <c r="E183" s="81"/>
      <c r="F183" s="81"/>
      <c r="G183" s="81"/>
      <c r="H183" s="81"/>
      <c r="I183" s="81"/>
      <c r="J183" s="73"/>
      <c r="K183" s="65"/>
      <c r="L183" s="81"/>
      <c r="M183" s="81"/>
      <c r="N183" s="74"/>
      <c r="O183" s="131"/>
      <c r="P183" s="121"/>
      <c r="Q183" s="121"/>
      <c r="R183" s="169"/>
      <c r="AJ183" s="85"/>
      <c r="AK183" s="85"/>
      <c r="AM183" s="124"/>
      <c r="AO183" s="122"/>
      <c r="AP183" s="122"/>
      <c r="CB183" s="32"/>
      <c r="CC183" s="32"/>
    </row>
    <row r="184" spans="1:81" ht="12.75" customHeight="1" x14ac:dyDescent="0.2">
      <c r="A184" s="128" t="s">
        <v>1243</v>
      </c>
      <c r="B184" s="129"/>
      <c r="C184" s="129"/>
      <c r="D184" s="129"/>
      <c r="E184" s="129"/>
      <c r="F184" s="129"/>
      <c r="G184" s="129"/>
      <c r="H184" s="129"/>
      <c r="I184" s="129"/>
      <c r="J184" s="129"/>
      <c r="K184" s="129"/>
      <c r="L184" s="129"/>
      <c r="M184" s="129"/>
      <c r="N184" s="130"/>
      <c r="O184" s="131"/>
      <c r="P184" s="121"/>
      <c r="Q184" s="121"/>
      <c r="R184" s="169"/>
      <c r="AJ184" s="85"/>
      <c r="AK184" s="85"/>
      <c r="AM184" s="124"/>
      <c r="AO184" s="122"/>
      <c r="AP184" s="122"/>
      <c r="CB184" s="32"/>
      <c r="CC184" s="32"/>
    </row>
    <row r="185" spans="1:81" ht="12.75" customHeight="1" thickBot="1" x14ac:dyDescent="0.25">
      <c r="A185" s="132" t="str">
        <f>"Total : "&amp;SUM(C187:C189)+TotalJeunesCanards_3moisEtPlus</f>
        <v>Total : 0</v>
      </c>
      <c r="B185" s="76" t="s">
        <v>1247</v>
      </c>
      <c r="C185" s="76"/>
      <c r="D185" s="76"/>
      <c r="E185" s="76"/>
      <c r="F185" s="76" t="s">
        <v>1248</v>
      </c>
      <c r="G185" s="76"/>
      <c r="H185" s="76"/>
      <c r="I185" s="76"/>
      <c r="J185" s="1461" t="s">
        <v>470</v>
      </c>
      <c r="K185" s="1461"/>
      <c r="L185" s="76"/>
      <c r="M185" s="76"/>
      <c r="N185" s="71"/>
      <c r="O185" s="131"/>
      <c r="P185" s="121"/>
      <c r="Q185" s="121"/>
      <c r="R185" s="169"/>
      <c r="AJ185" s="85"/>
      <c r="AK185" s="85"/>
      <c r="AM185" s="124"/>
      <c r="AO185" s="122"/>
      <c r="AP185" s="122"/>
      <c r="CB185" s="32"/>
      <c r="CC185" s="32"/>
    </row>
    <row r="186" spans="1:81" ht="12.75" customHeight="1" thickBot="1" x14ac:dyDescent="0.25">
      <c r="A186" s="132"/>
      <c r="B186" s="76"/>
      <c r="C186" s="96" t="s">
        <v>472</v>
      </c>
      <c r="D186" s="752" t="s">
        <v>1660</v>
      </c>
      <c r="E186" s="76"/>
      <c r="F186" s="76"/>
      <c r="G186" s="96" t="s">
        <v>472</v>
      </c>
      <c r="H186" s="111" t="s">
        <v>1660</v>
      </c>
      <c r="I186" s="76"/>
      <c r="J186" s="1457"/>
      <c r="K186" s="1458"/>
      <c r="L186" s="76"/>
      <c r="M186" s="76"/>
      <c r="N186" s="71"/>
      <c r="O186" s="131"/>
      <c r="P186" s="121"/>
      <c r="Q186" s="121"/>
      <c r="R186" s="169"/>
      <c r="AJ186" s="85"/>
      <c r="AK186" s="85"/>
      <c r="AM186" s="124"/>
      <c r="AO186" s="122"/>
      <c r="AP186" s="122"/>
      <c r="CB186" s="32"/>
      <c r="CC186" s="32"/>
    </row>
    <row r="187" spans="1:81" ht="12.75" customHeight="1" thickBot="1" x14ac:dyDescent="0.25">
      <c r="A187" s="132"/>
      <c r="B187" s="93" t="s">
        <v>1378</v>
      </c>
      <c r="C187" s="749"/>
      <c r="D187" s="151"/>
      <c r="E187" s="76"/>
      <c r="F187" s="99" t="s">
        <v>1249</v>
      </c>
      <c r="G187" s="178"/>
      <c r="H187" s="748"/>
      <c r="I187" s="76"/>
      <c r="J187" s="138"/>
      <c r="K187" s="76"/>
      <c r="L187" s="76"/>
      <c r="M187" s="76"/>
      <c r="N187" s="71"/>
      <c r="O187" s="131"/>
      <c r="P187" s="121"/>
      <c r="Q187" s="121"/>
      <c r="R187" s="169"/>
      <c r="AJ187" s="85"/>
      <c r="AK187" s="85"/>
      <c r="AM187" s="124"/>
      <c r="AO187" s="122"/>
      <c r="AP187" s="122"/>
      <c r="CB187" s="32"/>
      <c r="CC187" s="32"/>
    </row>
    <row r="188" spans="1:81" ht="12.75" customHeight="1" x14ac:dyDescent="0.2">
      <c r="A188" s="132"/>
      <c r="B188" s="94" t="s">
        <v>1379</v>
      </c>
      <c r="C188" s="750"/>
      <c r="D188" s="187"/>
      <c r="E188" s="76"/>
      <c r="F188" s="76"/>
      <c r="G188" s="155"/>
      <c r="H188" s="76"/>
      <c r="I188" s="76"/>
      <c r="J188" s="1459" t="s">
        <v>742</v>
      </c>
      <c r="K188" s="1460"/>
      <c r="L188" s="76"/>
      <c r="M188" s="76"/>
      <c r="N188" s="71"/>
      <c r="O188" s="131"/>
      <c r="P188" s="121"/>
      <c r="Q188" s="121"/>
      <c r="R188" s="169"/>
      <c r="AJ188" s="85"/>
      <c r="AK188" s="85"/>
      <c r="AM188" s="124"/>
      <c r="AO188" s="122"/>
      <c r="AP188" s="122"/>
      <c r="CB188" s="32"/>
      <c r="CC188" s="32"/>
    </row>
    <row r="189" spans="1:81" ht="12.75" customHeight="1" thickBot="1" x14ac:dyDescent="0.25">
      <c r="A189" s="132"/>
      <c r="B189" s="100" t="s">
        <v>1380</v>
      </c>
      <c r="C189" s="751"/>
      <c r="D189" s="743"/>
      <c r="E189" s="76"/>
      <c r="F189" s="76"/>
      <c r="G189" s="76"/>
      <c r="H189" s="76"/>
      <c r="I189" s="76"/>
      <c r="J189" s="1457"/>
      <c r="K189" s="1458"/>
      <c r="L189" s="76"/>
      <c r="M189" s="76"/>
      <c r="N189" s="71"/>
      <c r="O189" s="131"/>
      <c r="P189" s="121"/>
      <c r="Q189" s="121"/>
      <c r="R189" s="169"/>
      <c r="AJ189" s="85"/>
      <c r="AK189" s="85"/>
      <c r="AM189" s="124"/>
      <c r="AO189" s="122"/>
      <c r="AP189" s="122"/>
      <c r="CB189" s="32"/>
      <c r="CC189" s="32"/>
    </row>
    <row r="190" spans="1:81" ht="12.75" customHeight="1" x14ac:dyDescent="0.2">
      <c r="A190" s="132"/>
      <c r="B190" s="76"/>
      <c r="C190" s="155"/>
      <c r="D190" s="76"/>
      <c r="E190" s="76"/>
      <c r="F190" s="76"/>
      <c r="G190" s="76"/>
      <c r="H190" s="76"/>
      <c r="I190" s="76"/>
      <c r="J190" s="138"/>
      <c r="K190" s="76"/>
      <c r="L190" s="76"/>
      <c r="M190" s="76"/>
      <c r="N190" s="71"/>
      <c r="O190" s="131"/>
      <c r="P190" s="121"/>
      <c r="Q190" s="121"/>
      <c r="R190" s="169"/>
      <c r="AJ190" s="85"/>
      <c r="AK190" s="85"/>
      <c r="AM190" s="124"/>
      <c r="AO190" s="122"/>
      <c r="AP190" s="122"/>
      <c r="CB190" s="32"/>
      <c r="CC190" s="32"/>
    </row>
    <row r="191" spans="1:81" ht="12.75" customHeight="1" x14ac:dyDescent="0.2">
      <c r="A191" s="132"/>
      <c r="B191" s="76"/>
      <c r="C191" s="76"/>
      <c r="D191" s="76"/>
      <c r="E191" s="76"/>
      <c r="F191" s="76"/>
      <c r="G191" s="76"/>
      <c r="H191" s="76"/>
      <c r="I191" s="76"/>
      <c r="J191" s="1459" t="s">
        <v>1703</v>
      </c>
      <c r="K191" s="1460"/>
      <c r="L191" s="76"/>
      <c r="M191" s="76"/>
      <c r="N191" s="71"/>
      <c r="O191" s="131"/>
      <c r="P191" s="121"/>
      <c r="Q191" s="121"/>
      <c r="R191" s="169"/>
      <c r="AJ191" s="85"/>
      <c r="AK191" s="85"/>
      <c r="AM191" s="124"/>
      <c r="AO191" s="122"/>
      <c r="AP191" s="122"/>
      <c r="CB191" s="32"/>
      <c r="CC191" s="32"/>
    </row>
    <row r="192" spans="1:81" ht="12.75" customHeight="1" x14ac:dyDescent="0.2">
      <c r="A192" s="132"/>
      <c r="B192" s="76"/>
      <c r="C192" s="76"/>
      <c r="D192" s="76"/>
      <c r="E192" s="76"/>
      <c r="F192" s="76"/>
      <c r="G192" s="76"/>
      <c r="H192" s="76"/>
      <c r="I192" s="76"/>
      <c r="J192" s="1457"/>
      <c r="K192" s="1458"/>
      <c r="L192" s="76"/>
      <c r="M192" s="76"/>
      <c r="N192" s="71"/>
      <c r="O192" s="131"/>
      <c r="P192" s="121"/>
      <c r="Q192" s="121"/>
      <c r="R192" s="169"/>
      <c r="AJ192" s="85"/>
      <c r="AK192" s="85"/>
      <c r="AM192" s="124"/>
      <c r="AO192" s="122"/>
      <c r="AP192" s="122"/>
      <c r="CB192" s="32"/>
      <c r="CC192" s="32"/>
    </row>
    <row r="193" spans="1:81" ht="12.75" customHeight="1" x14ac:dyDescent="0.2">
      <c r="A193" s="132"/>
      <c r="B193" s="76"/>
      <c r="C193" s="76"/>
      <c r="D193" s="76"/>
      <c r="E193" s="76"/>
      <c r="F193" s="76"/>
      <c r="G193" s="76"/>
      <c r="H193" s="76"/>
      <c r="I193" s="76"/>
      <c r="J193" s="138"/>
      <c r="K193" s="76"/>
      <c r="L193" s="76"/>
      <c r="M193" s="76"/>
      <c r="N193" s="71"/>
      <c r="O193" s="131"/>
      <c r="P193" s="121"/>
      <c r="Q193" s="121"/>
      <c r="R193" s="169"/>
      <c r="AJ193" s="85"/>
      <c r="AK193" s="85"/>
      <c r="AM193" s="124"/>
      <c r="AO193" s="122"/>
      <c r="AP193" s="122"/>
      <c r="CB193" s="32"/>
      <c r="CC193" s="32"/>
    </row>
    <row r="194" spans="1:81" ht="12.75" customHeight="1" x14ac:dyDescent="0.2">
      <c r="A194" s="132"/>
      <c r="B194" s="76"/>
      <c r="C194" s="76"/>
      <c r="D194" s="76"/>
      <c r="E194" s="76"/>
      <c r="F194" s="76"/>
      <c r="G194" s="76"/>
      <c r="H194" s="76"/>
      <c r="I194" s="76"/>
      <c r="J194" s="1462" t="s">
        <v>471</v>
      </c>
      <c r="K194" s="1463"/>
      <c r="L194" s="76"/>
      <c r="M194" s="76"/>
      <c r="N194" s="71"/>
      <c r="O194" s="131"/>
      <c r="P194" s="121"/>
      <c r="Q194" s="121"/>
      <c r="R194" s="169"/>
      <c r="AJ194" s="85"/>
      <c r="AK194" s="85"/>
      <c r="AM194" s="124"/>
      <c r="AO194" s="122"/>
      <c r="AP194" s="122"/>
      <c r="CB194" s="32"/>
      <c r="CC194" s="32"/>
    </row>
    <row r="195" spans="1:81" ht="12.75" customHeight="1" x14ac:dyDescent="0.2">
      <c r="A195" s="132"/>
      <c r="B195" s="76"/>
      <c r="C195" s="76"/>
      <c r="D195" s="76"/>
      <c r="E195" s="76"/>
      <c r="F195" s="76"/>
      <c r="G195" s="76"/>
      <c r="H195" s="76"/>
      <c r="I195" s="76"/>
      <c r="J195" s="1457"/>
      <c r="K195" s="1458"/>
      <c r="L195" s="76"/>
      <c r="M195" s="76"/>
      <c r="N195" s="71"/>
      <c r="O195" s="131"/>
      <c r="P195" s="121"/>
      <c r="Q195" s="121"/>
      <c r="R195" s="169"/>
      <c r="AJ195" s="85"/>
      <c r="AK195" s="85"/>
      <c r="AM195" s="124"/>
      <c r="AO195" s="122"/>
      <c r="AP195" s="122"/>
      <c r="CB195" s="32"/>
      <c r="CC195" s="32"/>
    </row>
    <row r="196" spans="1:81" ht="12.75" customHeight="1" thickBot="1" x14ac:dyDescent="0.25">
      <c r="A196" s="142"/>
      <c r="B196" s="143"/>
      <c r="C196" s="143"/>
      <c r="D196" s="143"/>
      <c r="E196" s="143"/>
      <c r="F196" s="143"/>
      <c r="G196" s="143"/>
      <c r="H196" s="143"/>
      <c r="I196" s="143"/>
      <c r="J196" s="143"/>
      <c r="K196" s="143"/>
      <c r="L196" s="143"/>
      <c r="M196" s="143"/>
      <c r="N196" s="144"/>
      <c r="O196" s="131"/>
      <c r="P196" s="121"/>
      <c r="Q196" s="121"/>
      <c r="AJ196" s="85"/>
      <c r="AK196" s="85"/>
      <c r="AM196" s="124"/>
      <c r="AO196" s="122"/>
      <c r="AP196" s="122"/>
      <c r="CB196" s="32"/>
      <c r="CC196" s="32"/>
    </row>
    <row r="197" spans="1:81" ht="12.75" customHeight="1" thickBot="1" x14ac:dyDescent="0.25">
      <c r="A197" s="145" t="s">
        <v>37</v>
      </c>
      <c r="B197" s="146"/>
      <c r="C197" s="146"/>
      <c r="D197" s="146"/>
      <c r="E197" s="146"/>
      <c r="F197" s="146"/>
      <c r="G197" s="146"/>
      <c r="H197" s="146"/>
      <c r="I197" s="146"/>
      <c r="J197" s="146"/>
      <c r="K197" s="146"/>
      <c r="L197" s="146"/>
      <c r="M197" s="146"/>
      <c r="N197" s="177"/>
      <c r="O197" s="131"/>
      <c r="P197" s="121"/>
      <c r="Q197" s="121"/>
      <c r="AJ197" s="85"/>
      <c r="AK197" s="85"/>
      <c r="AM197" s="124"/>
      <c r="AO197" s="122"/>
      <c r="AP197" s="122"/>
      <c r="CB197" s="32"/>
      <c r="CC197" s="32"/>
    </row>
    <row r="198" spans="1:81" ht="12.75" customHeight="1" thickBot="1" x14ac:dyDescent="0.25">
      <c r="A198" s="147" t="str">
        <f>"Total : "&amp;SUM(TotalOvins)</f>
        <v>Total : 0</v>
      </c>
      <c r="B198" s="179"/>
      <c r="C198" s="19" t="s">
        <v>27</v>
      </c>
      <c r="D198" s="111" t="s">
        <v>743</v>
      </c>
      <c r="E198" s="111" t="s">
        <v>1660</v>
      </c>
      <c r="F198" s="111" t="s">
        <v>744</v>
      </c>
      <c r="G198" s="19" t="s">
        <v>26</v>
      </c>
      <c r="H198" s="747"/>
      <c r="I198" s="80"/>
      <c r="J198" s="1461" t="s">
        <v>470</v>
      </c>
      <c r="K198" s="1461"/>
      <c r="L198" s="80"/>
      <c r="M198" s="133" t="s">
        <v>1485</v>
      </c>
      <c r="N198" s="72"/>
      <c r="O198" s="131"/>
      <c r="P198" s="121"/>
      <c r="Q198" s="121"/>
      <c r="AJ198" s="85"/>
      <c r="AK198" s="85"/>
      <c r="AM198" s="124"/>
      <c r="AO198" s="122"/>
      <c r="AP198" s="122"/>
      <c r="CB198" s="32"/>
      <c r="CC198" s="32"/>
    </row>
    <row r="199" spans="1:81" ht="12.75" customHeight="1" x14ac:dyDescent="0.2">
      <c r="A199" s="147"/>
      <c r="B199" s="42" t="s">
        <v>38</v>
      </c>
      <c r="C199" s="134"/>
      <c r="D199" s="134"/>
      <c r="E199" s="17"/>
      <c r="F199" s="135">
        <f>C199-D199</f>
        <v>0</v>
      </c>
      <c r="G199" s="156">
        <f>NbreOvinsMâlesAuPré_0_3Mois</f>
        <v>0</v>
      </c>
      <c r="H199" s="170"/>
      <c r="I199" s="80"/>
      <c r="J199" s="1457"/>
      <c r="K199" s="1458"/>
      <c r="L199" s="80"/>
      <c r="M199" s="962"/>
      <c r="N199" s="72"/>
      <c r="O199" s="131"/>
      <c r="P199" s="121"/>
      <c r="Q199" s="121"/>
      <c r="AJ199" s="85"/>
      <c r="AK199" s="85"/>
      <c r="AM199" s="124"/>
      <c r="AO199" s="122"/>
      <c r="AP199" s="122"/>
      <c r="CB199" s="32"/>
      <c r="CC199" s="32"/>
    </row>
    <row r="200" spans="1:81" ht="12.75" customHeight="1" thickBot="1" x14ac:dyDescent="0.25">
      <c r="A200" s="147"/>
      <c r="B200" s="45" t="s">
        <v>39</v>
      </c>
      <c r="C200" s="136"/>
      <c r="D200" s="136"/>
      <c r="E200" s="743"/>
      <c r="F200" s="137">
        <f t="shared" ref="F200:F206" si="1">C200-D200</f>
        <v>0</v>
      </c>
      <c r="G200" s="157">
        <f>NbreOvinsFemellesAuPré_0_3Mois</f>
        <v>0</v>
      </c>
      <c r="H200" s="170"/>
      <c r="I200" s="80"/>
      <c r="J200" s="80"/>
      <c r="K200" s="80"/>
      <c r="L200" s="80"/>
      <c r="M200" s="80"/>
      <c r="N200" s="72"/>
      <c r="O200" s="131"/>
      <c r="P200" s="121"/>
      <c r="Q200" s="121"/>
      <c r="AJ200" s="85"/>
      <c r="AK200" s="85"/>
      <c r="AM200" s="124"/>
      <c r="AO200" s="122"/>
      <c r="AP200" s="122"/>
      <c r="CB200" s="32"/>
      <c r="CC200" s="32"/>
    </row>
    <row r="201" spans="1:81" ht="12.75" customHeight="1" x14ac:dyDescent="0.2">
      <c r="A201" s="147"/>
      <c r="B201" s="43" t="s">
        <v>40</v>
      </c>
      <c r="C201" s="139"/>
      <c r="D201" s="139"/>
      <c r="E201" s="17"/>
      <c r="F201" s="135">
        <f>C201-D201</f>
        <v>0</v>
      </c>
      <c r="G201" s="156">
        <f>NbreOvinsMâlesAuPré_3_6Mois</f>
        <v>0</v>
      </c>
      <c r="H201" s="170"/>
      <c r="I201" s="80"/>
      <c r="J201" s="1459" t="s">
        <v>1492</v>
      </c>
      <c r="K201" s="1460"/>
      <c r="L201" s="80"/>
      <c r="M201" s="133" t="s">
        <v>1486</v>
      </c>
      <c r="N201" s="72"/>
      <c r="O201" s="131"/>
      <c r="P201" s="121"/>
      <c r="Q201" s="121"/>
      <c r="AJ201" s="85"/>
      <c r="AK201" s="85"/>
      <c r="AM201" s="124"/>
      <c r="AO201" s="122"/>
      <c r="AP201" s="122"/>
      <c r="CB201" s="32"/>
      <c r="CC201" s="32"/>
    </row>
    <row r="202" spans="1:81" ht="12.75" customHeight="1" thickBot="1" x14ac:dyDescent="0.25">
      <c r="A202" s="147"/>
      <c r="B202" s="29" t="s">
        <v>41</v>
      </c>
      <c r="C202" s="140"/>
      <c r="D202" s="140"/>
      <c r="E202" s="743"/>
      <c r="F202" s="137">
        <f t="shared" si="1"/>
        <v>0</v>
      </c>
      <c r="G202" s="157">
        <f>NbreOvinsFemellesAuPré_3_6Mois</f>
        <v>0</v>
      </c>
      <c r="H202" s="170"/>
      <c r="I202" s="80"/>
      <c r="J202" s="1457"/>
      <c r="K202" s="1458"/>
      <c r="L202" s="80"/>
      <c r="M202" s="962"/>
      <c r="N202" s="72"/>
      <c r="O202" s="131"/>
      <c r="P202" s="121"/>
      <c r="Q202" s="121"/>
      <c r="AJ202" s="85"/>
      <c r="AK202" s="85"/>
      <c r="AM202" s="124"/>
      <c r="AO202" s="122"/>
      <c r="AP202" s="122"/>
      <c r="CB202" s="32"/>
      <c r="CC202" s="32"/>
    </row>
    <row r="203" spans="1:81" ht="12.75" customHeight="1" x14ac:dyDescent="0.2">
      <c r="A203" s="147"/>
      <c r="B203" s="26" t="s">
        <v>42</v>
      </c>
      <c r="C203" s="139"/>
      <c r="D203" s="139"/>
      <c r="E203" s="17"/>
      <c r="F203" s="135">
        <f>C203-D203</f>
        <v>0</v>
      </c>
      <c r="G203" s="156">
        <f>NbreOvinsMâlesAuPré_6_12Mois</f>
        <v>0</v>
      </c>
      <c r="H203" s="170"/>
      <c r="I203" s="80"/>
      <c r="J203" s="152"/>
      <c r="K203" s="80"/>
      <c r="L203" s="80"/>
      <c r="M203" s="152" t="str">
        <f>IF(M202=OUI,"Ration hivernale","")</f>
        <v/>
      </c>
      <c r="N203" s="72"/>
      <c r="O203" s="131"/>
      <c r="P203" s="121"/>
      <c r="Q203" s="121"/>
      <c r="AJ203" s="85"/>
      <c r="AK203" s="85"/>
      <c r="AM203" s="124"/>
      <c r="AO203" s="122"/>
      <c r="AP203" s="122"/>
      <c r="CB203" s="32"/>
      <c r="CC203" s="32"/>
    </row>
    <row r="204" spans="1:81" ht="12.75" customHeight="1" thickBot="1" x14ac:dyDescent="0.25">
      <c r="A204" s="147"/>
      <c r="B204" s="27" t="s">
        <v>230</v>
      </c>
      <c r="C204" s="140"/>
      <c r="D204" s="140"/>
      <c r="E204" s="743"/>
      <c r="F204" s="137">
        <f t="shared" si="1"/>
        <v>0</v>
      </c>
      <c r="G204" s="158">
        <f>NbreOvinsFemellesAuPré_6_12Mois</f>
        <v>0</v>
      </c>
      <c r="H204" s="170"/>
      <c r="I204" s="80"/>
      <c r="J204" s="1459" t="s">
        <v>1701</v>
      </c>
      <c r="K204" s="1460"/>
      <c r="L204" s="80"/>
      <c r="M204" s="133" t="s">
        <v>1281</v>
      </c>
      <c r="N204" s="72"/>
      <c r="O204" s="131"/>
      <c r="P204" s="121"/>
      <c r="Q204" s="121"/>
      <c r="AJ204" s="85"/>
      <c r="AK204" s="85"/>
      <c r="AM204" s="124"/>
      <c r="AO204" s="122"/>
      <c r="AP204" s="122"/>
      <c r="CB204" s="32"/>
      <c r="CC204" s="32"/>
    </row>
    <row r="205" spans="1:81" ht="12.75" customHeight="1" x14ac:dyDescent="0.2">
      <c r="A205" s="147"/>
      <c r="B205" s="28" t="s">
        <v>231</v>
      </c>
      <c r="C205" s="139"/>
      <c r="D205" s="139"/>
      <c r="E205" s="17"/>
      <c r="F205" s="135">
        <f>C205-D205</f>
        <v>0</v>
      </c>
      <c r="G205" s="156">
        <f>SUM(NbreOvinsMâlesAuPré_12_18Mois+NbreOvinsMâlesAuPré_18_24Mois+NbreOvinsMâlesAuPré_24_36Mois+NbreOvinsMâlesAuPré_3AnsEtPlus)</f>
        <v>0</v>
      </c>
      <c r="H205" s="170"/>
      <c r="I205" s="80"/>
      <c r="J205" s="1457"/>
      <c r="K205" s="1458"/>
      <c r="L205" s="80"/>
      <c r="M205" s="962"/>
      <c r="N205" s="72"/>
      <c r="O205" s="131"/>
      <c r="P205" s="121"/>
      <c r="Q205" s="121"/>
      <c r="AJ205" s="85"/>
      <c r="AK205" s="85"/>
      <c r="AM205" s="124"/>
      <c r="AO205" s="122"/>
      <c r="AP205" s="122"/>
      <c r="CB205" s="32"/>
      <c r="CC205" s="32"/>
    </row>
    <row r="206" spans="1:81" ht="12.75" customHeight="1" thickBot="1" x14ac:dyDescent="0.25">
      <c r="A206" s="147"/>
      <c r="B206" s="29" t="s">
        <v>232</v>
      </c>
      <c r="C206" s="140"/>
      <c r="D206" s="140"/>
      <c r="E206" s="743"/>
      <c r="F206" s="137">
        <f t="shared" si="1"/>
        <v>0</v>
      </c>
      <c r="G206" s="157">
        <f>SUM(NbreOvinsFemellesAuPré_12_18Mois+NbreOvinsFemellesAuPré_18_24Mois+NbreOvinsFemellesAuPré_24_36Mois+NbreOvinsFemellesAuPré_3AnsEtPlus)</f>
        <v>0</v>
      </c>
      <c r="H206" s="170"/>
      <c r="I206" s="80"/>
      <c r="J206" s="80"/>
      <c r="K206" s="80"/>
      <c r="L206" s="80"/>
      <c r="M206" s="80"/>
      <c r="N206" s="72"/>
      <c r="O206" s="131"/>
      <c r="P206" s="121"/>
      <c r="Q206" s="121"/>
      <c r="AJ206" s="85"/>
      <c r="AK206" s="85"/>
      <c r="AM206" s="124"/>
      <c r="AO206" s="122"/>
      <c r="AP206" s="122"/>
      <c r="CB206" s="32"/>
      <c r="CC206" s="32"/>
    </row>
    <row r="207" spans="1:81" ht="12.75" customHeight="1" x14ac:dyDescent="0.2">
      <c r="A207" s="147"/>
      <c r="B207" s="80"/>
      <c r="C207" s="148"/>
      <c r="D207" s="148"/>
      <c r="E207" s="80"/>
      <c r="F207" s="80"/>
      <c r="G207" s="80"/>
      <c r="H207" s="80"/>
      <c r="I207" s="80"/>
      <c r="J207" s="1462" t="s">
        <v>471</v>
      </c>
      <c r="K207" s="1463"/>
      <c r="L207" s="80"/>
      <c r="M207" s="133" t="s">
        <v>1702</v>
      </c>
      <c r="N207" s="68"/>
      <c r="O207" s="131"/>
      <c r="P207" s="121"/>
      <c r="Q207" s="121"/>
      <c r="AJ207" s="85"/>
      <c r="AK207" s="85"/>
      <c r="AM207" s="124"/>
      <c r="AO207" s="122"/>
      <c r="AP207" s="122"/>
      <c r="CB207" s="32"/>
      <c r="CC207" s="32"/>
    </row>
    <row r="208" spans="1:81" ht="12.75" customHeight="1" x14ac:dyDescent="0.2">
      <c r="A208" s="147"/>
      <c r="B208" s="80"/>
      <c r="C208" s="80"/>
      <c r="D208" s="80"/>
      <c r="E208" s="80"/>
      <c r="F208" s="80"/>
      <c r="G208" s="80"/>
      <c r="H208" s="80"/>
      <c r="I208" s="80"/>
      <c r="J208" s="1457" t="s">
        <v>285</v>
      </c>
      <c r="K208" s="1458"/>
      <c r="L208" s="80"/>
      <c r="M208" s="962"/>
      <c r="N208" s="68"/>
      <c r="O208" s="131"/>
      <c r="P208" s="121"/>
      <c r="Q208" s="121"/>
      <c r="AJ208" s="85"/>
      <c r="AK208" s="85"/>
      <c r="AM208" s="124"/>
      <c r="AO208" s="122"/>
      <c r="AP208" s="122"/>
      <c r="CB208" s="32"/>
      <c r="CC208" s="32"/>
    </row>
    <row r="209" spans="1:81" ht="12.75" customHeight="1" x14ac:dyDescent="0.2">
      <c r="A209" s="147"/>
      <c r="B209" s="80"/>
      <c r="C209" s="80"/>
      <c r="D209" s="80"/>
      <c r="E209" s="80"/>
      <c r="F209" s="80"/>
      <c r="G209" s="80"/>
      <c r="H209" s="80"/>
      <c r="I209" s="80"/>
      <c r="J209" s="80"/>
      <c r="K209" s="80"/>
      <c r="L209" s="79"/>
      <c r="M209" s="79"/>
      <c r="N209" s="68"/>
      <c r="O209" s="131"/>
      <c r="P209" s="121"/>
      <c r="Q209" s="121"/>
      <c r="AJ209" s="85"/>
      <c r="AK209" s="85"/>
      <c r="AM209" s="124"/>
      <c r="AO209" s="122"/>
      <c r="AP209" s="122"/>
      <c r="CB209" s="32"/>
      <c r="CC209" s="32"/>
    </row>
    <row r="210" spans="1:81" ht="12.75" customHeight="1" x14ac:dyDescent="0.2">
      <c r="A210" s="147"/>
      <c r="B210" s="80"/>
      <c r="C210" s="80"/>
      <c r="D210" s="80"/>
      <c r="E210" s="80"/>
      <c r="F210" s="80"/>
      <c r="G210" s="80"/>
      <c r="H210" s="80"/>
      <c r="I210" s="80"/>
      <c r="J210" s="961" t="s">
        <v>157</v>
      </c>
      <c r="K210" s="141"/>
      <c r="L210" s="82" t="str">
        <f>IF(OR(ChoixPaillageOvins="",ChoixPaillageOvins=NON),"","coût : "&amp;ROUND(PrixPaille*0.8/SUM(NbreJoursNourrirOvins)*84*SUM(LitièreOvins[litière tout ovins])/1000,2)&amp;"€/an (si pas de mise au pré l'été, sinon "&amp;(IF(ChoixOvinsPréHiver=OUI,ROUND(LitièreOvins[[#Totals],[litière ovins races laitières]]*PrixPaille*0.8/SUM(NbreJoursNourrirOvins)*(84-NbreJoursMaxOvinsAuPré)/1000,2)&amp;"€/an)",ROUND(LitièreOvins[[#Totals],[litière tout ovins]]*PrixPaille*0.8/SUM(NbreJoursNourrirOvins)*(84-NbreJoursMaxOvinsAuPré)/1000,2)&amp;"€/an)")))</f>
        <v/>
      </c>
      <c r="M210" s="79"/>
      <c r="N210" s="68"/>
      <c r="O210" s="131"/>
      <c r="P210" s="121"/>
      <c r="Q210" s="121"/>
      <c r="AJ210" s="85"/>
      <c r="AK210" s="85"/>
      <c r="AM210" s="124"/>
      <c r="AO210" s="122"/>
      <c r="AP210" s="122"/>
      <c r="CB210" s="32"/>
      <c r="CC210" s="32"/>
    </row>
    <row r="211" spans="1:81" ht="12.75" customHeight="1" x14ac:dyDescent="0.2">
      <c r="A211" s="147"/>
      <c r="B211" s="80"/>
      <c r="C211" s="80"/>
      <c r="D211" s="80"/>
      <c r="E211" s="80"/>
      <c r="F211" s="80"/>
      <c r="G211" s="80"/>
      <c r="H211" s="80"/>
      <c r="I211" s="80"/>
      <c r="J211" s="101" t="s">
        <v>156</v>
      </c>
      <c r="K211" s="141"/>
      <c r="L211" s="82" t="str">
        <f>IF(ChoixVaccinOvins=OUI,"coût : " &amp;SUM(TotalOvins)*PrixVaccinOvin &amp;"€/an","")</f>
        <v/>
      </c>
      <c r="M211" s="79"/>
      <c r="N211" s="68"/>
      <c r="O211" s="131"/>
      <c r="P211" s="121"/>
      <c r="Q211" s="121"/>
      <c r="AJ211" s="85"/>
      <c r="AK211" s="85"/>
      <c r="AM211" s="124"/>
      <c r="AO211" s="122"/>
      <c r="AP211" s="122"/>
      <c r="CB211" s="32"/>
      <c r="CC211" s="32"/>
    </row>
    <row r="212" spans="1:81" ht="12.75" customHeight="1" thickBot="1" x14ac:dyDescent="0.25">
      <c r="A212" s="153"/>
      <c r="B212" s="81"/>
      <c r="C212" s="81"/>
      <c r="D212" s="81"/>
      <c r="E212" s="81"/>
      <c r="F212" s="81"/>
      <c r="G212" s="81"/>
      <c r="H212" s="81"/>
      <c r="I212" s="81"/>
      <c r="J212" s="81"/>
      <c r="K212" s="81"/>
      <c r="L212" s="81"/>
      <c r="M212" s="81"/>
      <c r="N212" s="74"/>
      <c r="O212" s="131"/>
      <c r="P212" s="121"/>
      <c r="Q212" s="121"/>
      <c r="AJ212" s="85"/>
      <c r="AK212" s="85"/>
      <c r="AM212" s="124"/>
      <c r="AO212" s="122"/>
      <c r="AP212" s="122"/>
      <c r="CB212" s="32"/>
      <c r="CC212" s="32"/>
    </row>
    <row r="213" spans="1:81" ht="12.75" customHeight="1" thickBot="1" x14ac:dyDescent="0.25">
      <c r="A213" s="128" t="s">
        <v>641</v>
      </c>
      <c r="B213" s="129"/>
      <c r="C213" s="129"/>
      <c r="D213" s="129"/>
      <c r="E213" s="129"/>
      <c r="F213" s="129"/>
      <c r="G213" s="129"/>
      <c r="H213" s="129"/>
      <c r="I213" s="129"/>
      <c r="J213" s="129"/>
      <c r="K213" s="129"/>
      <c r="L213" s="129"/>
      <c r="M213" s="129"/>
      <c r="N213" s="130"/>
      <c r="O213" s="131"/>
      <c r="P213" s="121"/>
      <c r="Q213" s="121"/>
      <c r="AJ213" s="85"/>
      <c r="AK213" s="85"/>
      <c r="AM213" s="124"/>
      <c r="AO213" s="122"/>
      <c r="AP213" s="122"/>
      <c r="CB213" s="32"/>
      <c r="CC213" s="32"/>
    </row>
    <row r="214" spans="1:81" ht="12.75" customHeight="1" thickBot="1" x14ac:dyDescent="0.25">
      <c r="A214" s="132" t="str">
        <f>"Total : "&amp;SUM(TotalDaims)</f>
        <v>Total : 0</v>
      </c>
      <c r="B214" s="76"/>
      <c r="C214" s="49" t="s">
        <v>472</v>
      </c>
      <c r="D214" s="111" t="s">
        <v>1660</v>
      </c>
      <c r="E214" s="111" t="s">
        <v>26</v>
      </c>
      <c r="F214" s="76"/>
      <c r="G214" s="76"/>
      <c r="H214" s="76"/>
      <c r="I214" s="76"/>
      <c r="J214" s="1461" t="s">
        <v>470</v>
      </c>
      <c r="K214" s="1461"/>
      <c r="L214" s="76"/>
      <c r="M214" s="76"/>
      <c r="N214" s="71"/>
      <c r="O214" s="131"/>
      <c r="P214" s="121"/>
      <c r="Q214" s="121"/>
      <c r="AJ214" s="85"/>
      <c r="AK214" s="85"/>
      <c r="AM214" s="124"/>
      <c r="AO214" s="122"/>
      <c r="AP214" s="122"/>
      <c r="CB214" s="32"/>
      <c r="CC214" s="32"/>
    </row>
    <row r="215" spans="1:81" ht="12.75" customHeight="1" x14ac:dyDescent="0.2">
      <c r="A215" s="132"/>
      <c r="B215" s="42" t="s">
        <v>642</v>
      </c>
      <c r="C215" s="149"/>
      <c r="D215" s="17"/>
      <c r="E215" s="135">
        <f>NbreDaimsMâlesAuPré_0_3Mois</f>
        <v>0</v>
      </c>
      <c r="F215" s="76"/>
      <c r="G215" s="76"/>
      <c r="H215" s="76"/>
      <c r="I215" s="76"/>
      <c r="J215" s="1457"/>
      <c r="K215" s="1458"/>
      <c r="L215" s="76"/>
      <c r="M215" s="76"/>
      <c r="N215" s="71"/>
      <c r="O215" s="131"/>
      <c r="P215" s="121"/>
      <c r="Q215" s="121"/>
      <c r="AJ215" s="85"/>
      <c r="AK215" s="85"/>
      <c r="AM215" s="124"/>
      <c r="AO215" s="122"/>
      <c r="AP215" s="122"/>
      <c r="CB215" s="32"/>
      <c r="CC215" s="32"/>
    </row>
    <row r="216" spans="1:81" ht="12.75" customHeight="1" thickBot="1" x14ac:dyDescent="0.25">
      <c r="A216" s="132"/>
      <c r="B216" s="27" t="s">
        <v>643</v>
      </c>
      <c r="C216" s="150"/>
      <c r="D216" s="743"/>
      <c r="E216" s="137">
        <f>NbreDaimsFemellesAuPré_0_3Mois</f>
        <v>0</v>
      </c>
      <c r="F216" s="76"/>
      <c r="G216" s="76"/>
      <c r="H216" s="76"/>
      <c r="I216" s="76"/>
      <c r="J216" s="76"/>
      <c r="K216" s="76"/>
      <c r="L216" s="76"/>
      <c r="M216" s="76"/>
      <c r="N216" s="71"/>
      <c r="O216" s="131"/>
      <c r="P216" s="121"/>
      <c r="Q216" s="121"/>
      <c r="AJ216" s="85"/>
      <c r="AK216" s="85"/>
      <c r="AM216" s="124"/>
      <c r="AO216" s="122"/>
      <c r="AP216" s="122"/>
      <c r="CB216" s="32"/>
      <c r="CC216" s="32"/>
    </row>
    <row r="217" spans="1:81" ht="12.75" customHeight="1" x14ac:dyDescent="0.2">
      <c r="A217" s="132"/>
      <c r="B217" s="43" t="s">
        <v>644</v>
      </c>
      <c r="C217" s="151"/>
      <c r="D217" s="17"/>
      <c r="E217" s="135">
        <f>NbreDaimsMâlesAuPré_3_6Mois</f>
        <v>0</v>
      </c>
      <c r="F217" s="76"/>
      <c r="G217" s="76"/>
      <c r="H217" s="76"/>
      <c r="I217" s="76"/>
      <c r="J217" s="1465" t="s">
        <v>742</v>
      </c>
      <c r="K217" s="1465"/>
      <c r="L217" s="76"/>
      <c r="M217" s="76"/>
      <c r="N217" s="71"/>
      <c r="O217" s="131"/>
      <c r="P217" s="121"/>
      <c r="Q217" s="121"/>
      <c r="AJ217" s="85"/>
      <c r="AK217" s="85"/>
      <c r="AM217" s="124"/>
      <c r="AO217" s="122"/>
      <c r="AP217" s="122"/>
      <c r="CB217" s="32"/>
      <c r="CC217" s="32"/>
    </row>
    <row r="218" spans="1:81" ht="12.75" customHeight="1" thickBot="1" x14ac:dyDescent="0.25">
      <c r="A218" s="132"/>
      <c r="B218" s="29" t="s">
        <v>645</v>
      </c>
      <c r="C218" s="743"/>
      <c r="D218" s="743"/>
      <c r="E218" s="137">
        <f>NbreDaimsFemellesAuPré_3_6Mois</f>
        <v>0</v>
      </c>
      <c r="F218" s="76"/>
      <c r="G218" s="76"/>
      <c r="H218" s="76"/>
      <c r="I218" s="76"/>
      <c r="J218" s="1464"/>
      <c r="K218" s="1464"/>
      <c r="L218" s="76"/>
      <c r="M218" s="76"/>
      <c r="N218" s="71"/>
      <c r="O218" s="131"/>
      <c r="P218" s="121"/>
      <c r="Q218" s="121"/>
      <c r="AJ218" s="85"/>
      <c r="AK218" s="85"/>
      <c r="AM218" s="124"/>
      <c r="AO218" s="122"/>
      <c r="AP218" s="122"/>
      <c r="CB218" s="32"/>
      <c r="CC218" s="32"/>
    </row>
    <row r="219" spans="1:81" ht="12.75" customHeight="1" x14ac:dyDescent="0.2">
      <c r="A219" s="132"/>
      <c r="B219" s="44" t="s">
        <v>646</v>
      </c>
      <c r="C219" s="149"/>
      <c r="D219" s="17"/>
      <c r="E219" s="135">
        <f>NbreDaimsMâlesAuPré_6_12Mois</f>
        <v>0</v>
      </c>
      <c r="F219" s="76"/>
      <c r="G219" s="76"/>
      <c r="H219" s="76"/>
      <c r="I219" s="76"/>
      <c r="J219" s="138"/>
      <c r="K219" s="76"/>
      <c r="L219" s="76"/>
      <c r="M219" s="76"/>
      <c r="N219" s="71"/>
      <c r="O219" s="131"/>
      <c r="P219" s="121"/>
      <c r="Q219" s="121"/>
      <c r="AJ219" s="85"/>
      <c r="AK219" s="85"/>
      <c r="AM219" s="124"/>
      <c r="AO219" s="122"/>
      <c r="AP219" s="122"/>
      <c r="CB219" s="32"/>
      <c r="CC219" s="32"/>
    </row>
    <row r="220" spans="1:81" ht="12.75" customHeight="1" thickBot="1" x14ac:dyDescent="0.25">
      <c r="A220" s="132"/>
      <c r="B220" s="27" t="s">
        <v>647</v>
      </c>
      <c r="C220" s="150"/>
      <c r="D220" s="743"/>
      <c r="E220" s="137">
        <f>NbreDaimsFemellesAuPré_6_12Mois</f>
        <v>0</v>
      </c>
      <c r="F220" s="76"/>
      <c r="G220" s="76"/>
      <c r="H220" s="76"/>
      <c r="I220" s="76"/>
      <c r="J220" s="1459" t="s">
        <v>1702</v>
      </c>
      <c r="K220" s="1460"/>
      <c r="L220" s="76"/>
      <c r="M220" s="76"/>
      <c r="N220" s="71"/>
      <c r="O220" s="131"/>
      <c r="P220" s="121"/>
      <c r="Q220" s="121"/>
      <c r="AJ220" s="85"/>
      <c r="AK220" s="85"/>
      <c r="AM220" s="124"/>
      <c r="AO220" s="122"/>
      <c r="AP220" s="122"/>
      <c r="CB220" s="32"/>
      <c r="CC220" s="32"/>
    </row>
    <row r="221" spans="1:81" ht="12.75" customHeight="1" x14ac:dyDescent="0.2">
      <c r="A221" s="132"/>
      <c r="B221" s="43" t="s">
        <v>648</v>
      </c>
      <c r="C221" s="151"/>
      <c r="D221" s="17"/>
      <c r="E221" s="135">
        <f>NbreDaimsMâlesAuPré_12_18Mois</f>
        <v>0</v>
      </c>
      <c r="F221" s="76"/>
      <c r="G221" s="76"/>
      <c r="H221" s="76"/>
      <c r="I221" s="76"/>
      <c r="J221" s="1457"/>
      <c r="K221" s="1458"/>
      <c r="L221" s="76"/>
      <c r="M221" s="76"/>
      <c r="N221" s="71"/>
      <c r="O221" s="131"/>
      <c r="P221" s="121"/>
      <c r="Q221" s="121"/>
      <c r="R221" s="169"/>
      <c r="AJ221" s="85"/>
      <c r="AK221" s="85"/>
      <c r="AM221" s="124"/>
      <c r="AO221" s="122"/>
      <c r="AP221" s="122"/>
      <c r="CB221" s="32"/>
      <c r="CC221" s="32"/>
    </row>
    <row r="222" spans="1:81" ht="12.75" customHeight="1" thickBot="1" x14ac:dyDescent="0.25">
      <c r="A222" s="132"/>
      <c r="B222" s="29" t="s">
        <v>649</v>
      </c>
      <c r="C222" s="743"/>
      <c r="D222" s="743"/>
      <c r="E222" s="137">
        <f>NbreDaimsFemellesAuPré_12_18Mois</f>
        <v>0</v>
      </c>
      <c r="F222" s="76"/>
      <c r="G222" s="76"/>
      <c r="H222" s="76"/>
      <c r="I222" s="76"/>
      <c r="J222" s="138"/>
      <c r="K222" s="76"/>
      <c r="L222" s="76"/>
      <c r="M222" s="76"/>
      <c r="N222" s="71"/>
      <c r="O222" s="131"/>
      <c r="P222" s="121"/>
      <c r="Q222" s="121"/>
      <c r="R222" s="169"/>
      <c r="AJ222" s="85"/>
      <c r="AK222" s="85"/>
      <c r="AM222" s="124"/>
      <c r="AO222" s="122"/>
      <c r="AP222" s="122"/>
      <c r="CB222" s="32"/>
      <c r="CC222" s="32"/>
    </row>
    <row r="223" spans="1:81" ht="12.75" customHeight="1" x14ac:dyDescent="0.2">
      <c r="A223" s="132"/>
      <c r="B223" s="44" t="s">
        <v>650</v>
      </c>
      <c r="C223" s="149"/>
      <c r="D223" s="17"/>
      <c r="E223" s="135">
        <f>NbreDaimsMâlesAuPré_18_24Mois</f>
        <v>0</v>
      </c>
      <c r="F223" s="76"/>
      <c r="G223" s="76"/>
      <c r="H223" s="76"/>
      <c r="I223" s="76"/>
      <c r="J223" s="1462" t="s">
        <v>471</v>
      </c>
      <c r="K223" s="1463"/>
      <c r="L223" s="76"/>
      <c r="M223" s="76"/>
      <c r="N223" s="71"/>
      <c r="O223" s="131"/>
      <c r="P223" s="121"/>
      <c r="Q223" s="121"/>
      <c r="R223" s="169"/>
      <c r="AJ223" s="85"/>
      <c r="AK223" s="85"/>
      <c r="AM223" s="124"/>
      <c r="AO223" s="122"/>
      <c r="AP223" s="122"/>
      <c r="CB223" s="32"/>
      <c r="CC223" s="32"/>
    </row>
    <row r="224" spans="1:81" ht="13.5" thickBot="1" x14ac:dyDescent="0.25">
      <c r="A224" s="132"/>
      <c r="B224" s="45" t="s">
        <v>651</v>
      </c>
      <c r="C224" s="150"/>
      <c r="D224" s="743"/>
      <c r="E224" s="137">
        <f>NbreDaimsFemellesAuPré_18_24Mois</f>
        <v>0</v>
      </c>
      <c r="F224" s="76"/>
      <c r="G224" s="76"/>
      <c r="H224" s="76"/>
      <c r="I224" s="76"/>
      <c r="J224" s="1457"/>
      <c r="K224" s="1458"/>
      <c r="L224" s="76"/>
      <c r="M224" s="76"/>
      <c r="N224" s="71"/>
      <c r="O224" s="32"/>
      <c r="P224" s="121"/>
      <c r="Q224" s="121"/>
      <c r="R224" s="169"/>
      <c r="AJ224" s="85"/>
      <c r="AK224" s="85"/>
      <c r="AM224" s="124"/>
      <c r="AO224" s="122"/>
      <c r="AP224" s="122"/>
      <c r="CB224" s="32"/>
      <c r="CC224" s="32"/>
    </row>
    <row r="225" spans="1:81" x14ac:dyDescent="0.2">
      <c r="A225" s="132"/>
      <c r="B225" s="43" t="s">
        <v>652</v>
      </c>
      <c r="C225" s="151"/>
      <c r="D225" s="17"/>
      <c r="E225" s="135">
        <f>NbreDaimsMâlesAuPré_24_36Mois</f>
        <v>0</v>
      </c>
      <c r="F225" s="76"/>
      <c r="G225" s="76"/>
      <c r="H225" s="76"/>
      <c r="I225" s="76"/>
      <c r="J225" s="1466"/>
      <c r="K225" s="1467"/>
      <c r="L225" s="76"/>
      <c r="M225" s="76"/>
      <c r="N225" s="71"/>
      <c r="O225" s="32"/>
      <c r="P225" s="121"/>
      <c r="Q225" s="121"/>
      <c r="R225" s="169"/>
      <c r="AJ225" s="85"/>
      <c r="AK225" s="85"/>
      <c r="AM225" s="124"/>
      <c r="AO225" s="122"/>
      <c r="AP225" s="122"/>
      <c r="CB225" s="32"/>
      <c r="CC225" s="32"/>
    </row>
    <row r="226" spans="1:81" ht="13.5" thickBot="1" x14ac:dyDescent="0.25">
      <c r="A226" s="132"/>
      <c r="B226" s="29" t="s">
        <v>653</v>
      </c>
      <c r="C226" s="743"/>
      <c r="D226" s="743"/>
      <c r="E226" s="137">
        <f>NbreDaimsFemellesAuPré_24_36Mois</f>
        <v>0</v>
      </c>
      <c r="F226" s="76"/>
      <c r="G226" s="76"/>
      <c r="H226" s="76"/>
      <c r="I226" s="76"/>
      <c r="J226" s="76"/>
      <c r="K226" s="76"/>
      <c r="L226" s="76"/>
      <c r="M226" s="76"/>
      <c r="N226" s="71"/>
      <c r="O226" s="32"/>
      <c r="P226" s="121"/>
      <c r="Q226" s="121"/>
      <c r="R226" s="169"/>
      <c r="AJ226" s="85"/>
      <c r="AK226" s="85"/>
      <c r="AM226" s="124"/>
      <c r="AO226" s="122"/>
      <c r="AP226" s="122"/>
      <c r="CB226" s="32"/>
      <c r="CC226" s="32"/>
    </row>
    <row r="227" spans="1:81" x14ac:dyDescent="0.2">
      <c r="A227" s="132"/>
      <c r="B227" s="44" t="s">
        <v>654</v>
      </c>
      <c r="C227" s="149"/>
      <c r="D227" s="17"/>
      <c r="E227" s="135">
        <f>NbreDaimsMâlesAuPré_3AnsEtPlus</f>
        <v>0</v>
      </c>
      <c r="F227" s="76"/>
      <c r="G227" s="76"/>
      <c r="H227" s="76"/>
      <c r="I227" s="76"/>
      <c r="J227" s="112" t="s">
        <v>156</v>
      </c>
      <c r="K227" s="141"/>
      <c r="L227" s="76" t="str">
        <f>IF(ChoixVaccinDaims=OUI,"coût : " &amp;SUM(TotalDaims)*PrixVaccinDaim &amp;"€/an","")</f>
        <v/>
      </c>
      <c r="M227" s="76"/>
      <c r="N227" s="71"/>
      <c r="O227" s="32"/>
      <c r="P227" s="121"/>
      <c r="Q227" s="121"/>
      <c r="R227" s="169"/>
      <c r="AJ227" s="85"/>
      <c r="AK227" s="85"/>
      <c r="AM227" s="124"/>
      <c r="AO227" s="122"/>
      <c r="AP227" s="122"/>
      <c r="CB227" s="32"/>
      <c r="CC227" s="32"/>
    </row>
    <row r="228" spans="1:81" ht="13.5" thickBot="1" x14ac:dyDescent="0.25">
      <c r="A228" s="132"/>
      <c r="B228" s="41" t="s">
        <v>655</v>
      </c>
      <c r="C228" s="743"/>
      <c r="D228" s="743"/>
      <c r="E228" s="137">
        <f>NbreDaimsFemellesAuPré_3AnsEtPlus</f>
        <v>0</v>
      </c>
      <c r="F228" s="76"/>
      <c r="G228" s="76"/>
      <c r="H228" s="76"/>
      <c r="I228" s="76"/>
      <c r="J228" s="76"/>
      <c r="K228" s="76"/>
      <c r="L228" s="76"/>
      <c r="M228" s="76"/>
      <c r="N228" s="71"/>
      <c r="O228" s="32"/>
      <c r="P228" s="121"/>
      <c r="Q228" s="121"/>
      <c r="R228" s="169"/>
      <c r="AJ228" s="85"/>
      <c r="AK228" s="85"/>
      <c r="AM228" s="124"/>
      <c r="AO228" s="122"/>
      <c r="AP228" s="122"/>
      <c r="CB228" s="32"/>
      <c r="CC228" s="32"/>
    </row>
    <row r="229" spans="1:81" hidden="1" x14ac:dyDescent="0.2">
      <c r="A229" s="132"/>
      <c r="B229" s="76"/>
      <c r="C229" s="76"/>
      <c r="D229" s="76"/>
      <c r="E229" s="76"/>
      <c r="F229" s="76"/>
      <c r="G229" s="76"/>
      <c r="H229" s="76"/>
      <c r="I229" s="76"/>
      <c r="J229" s="76"/>
      <c r="K229" s="76"/>
      <c r="L229" s="76"/>
      <c r="M229" s="76"/>
      <c r="N229" s="71"/>
      <c r="O229" s="32"/>
      <c r="P229" s="121"/>
      <c r="Q229" s="121"/>
      <c r="R229" s="169"/>
      <c r="AJ229" s="85"/>
      <c r="AK229" s="85"/>
      <c r="AM229" s="124"/>
      <c r="AO229" s="122"/>
      <c r="AP229" s="122"/>
      <c r="CB229" s="32"/>
      <c r="CC229" s="32"/>
    </row>
    <row r="230" spans="1:81" hidden="1" x14ac:dyDescent="0.2">
      <c r="A230" s="132"/>
      <c r="B230" s="76"/>
      <c r="C230" s="76"/>
      <c r="D230" s="76"/>
      <c r="E230" s="76"/>
      <c r="F230" s="76"/>
      <c r="G230" s="76"/>
      <c r="H230" s="76"/>
      <c r="I230" s="76"/>
      <c r="J230" s="76"/>
      <c r="K230" s="76"/>
      <c r="L230" s="76"/>
      <c r="M230" s="76"/>
      <c r="N230" s="71"/>
    </row>
    <row r="231" spans="1:81" hidden="1" x14ac:dyDescent="0.2">
      <c r="A231" s="132"/>
      <c r="B231" s="76"/>
      <c r="C231" s="76"/>
      <c r="D231" s="76"/>
      <c r="E231" s="76"/>
      <c r="F231" s="76"/>
      <c r="G231" s="76"/>
      <c r="H231" s="76"/>
      <c r="I231" s="76"/>
      <c r="J231" s="76"/>
      <c r="K231" s="76"/>
      <c r="L231" s="76"/>
      <c r="M231" s="76"/>
      <c r="N231" s="71"/>
    </row>
    <row r="232" spans="1:81" ht="13.5" thickBot="1" x14ac:dyDescent="0.25">
      <c r="A232" s="142"/>
      <c r="B232" s="143"/>
      <c r="C232" s="159"/>
      <c r="D232" s="143"/>
      <c r="E232" s="143"/>
      <c r="F232" s="143"/>
      <c r="G232" s="143"/>
      <c r="H232" s="143"/>
      <c r="I232" s="143"/>
      <c r="J232" s="143"/>
      <c r="K232" s="143"/>
      <c r="L232" s="143"/>
      <c r="M232" s="143"/>
      <c r="N232" s="144"/>
    </row>
    <row r="233" spans="1:81" ht="13.5" thickBot="1" x14ac:dyDescent="0.25">
      <c r="A233" s="145" t="s">
        <v>660</v>
      </c>
      <c r="B233" s="146"/>
      <c r="C233" s="146"/>
      <c r="D233" s="146"/>
      <c r="E233" s="146"/>
      <c r="F233" s="146"/>
      <c r="G233" s="146"/>
      <c r="H233" s="146"/>
      <c r="I233" s="146"/>
      <c r="J233" s="146"/>
      <c r="K233" s="146"/>
      <c r="L233" s="146"/>
      <c r="M233" s="146"/>
      <c r="N233" s="177"/>
    </row>
    <row r="234" spans="1:81" ht="13.5" thickBot="1" x14ac:dyDescent="0.25">
      <c r="A234" s="147" t="str">
        <f>"Total : "&amp;SUM(TotalChevauxSelle)</f>
        <v>Total : 0</v>
      </c>
      <c r="B234" s="80"/>
      <c r="C234" s="19" t="s">
        <v>27</v>
      </c>
      <c r="D234" s="111" t="s">
        <v>1660</v>
      </c>
      <c r="E234" s="19" t="s">
        <v>26</v>
      </c>
      <c r="F234" s="80"/>
      <c r="G234" s="80"/>
      <c r="H234" s="80"/>
      <c r="I234" s="80"/>
      <c r="J234" s="1459" t="s">
        <v>1995</v>
      </c>
      <c r="K234" s="1460"/>
      <c r="L234" s="80"/>
      <c r="M234" s="133" t="s">
        <v>1994</v>
      </c>
      <c r="N234" s="72"/>
    </row>
    <row r="235" spans="1:81" x14ac:dyDescent="0.2">
      <c r="A235" s="147"/>
      <c r="B235" s="36" t="s">
        <v>661</v>
      </c>
      <c r="C235" s="180"/>
      <c r="D235" s="17"/>
      <c r="E235" s="135">
        <f>SUM(NbreChevauxSelleMâlesAuPré_0_3Mois+NbreChevauxSelleMâlesAuPré_3_6Mois+NbreChevauxSelleMâlesAuPré_6_12Mois)</f>
        <v>0</v>
      </c>
      <c r="F235" s="80"/>
      <c r="G235" s="80"/>
      <c r="H235" s="80"/>
      <c r="I235" s="80"/>
      <c r="J235" s="1457"/>
      <c r="K235" s="1458"/>
      <c r="L235" s="80"/>
      <c r="M235" s="1073"/>
      <c r="N235" s="72"/>
    </row>
    <row r="236" spans="1:81" ht="13.5" thickBot="1" x14ac:dyDescent="0.25">
      <c r="A236" s="147"/>
      <c r="B236" s="37" t="s">
        <v>662</v>
      </c>
      <c r="C236" s="136"/>
      <c r="D236" s="743"/>
      <c r="E236" s="137">
        <f>SUM(NbreChevauxSelleFemellesAuPré_0_3Mois+NbreChevauxSelleFemellesAuPré_3_6Mois+NbreChevauxSelleFemellesAuPré_6_12Mois)</f>
        <v>0</v>
      </c>
      <c r="F236" s="80"/>
      <c r="G236" s="80"/>
      <c r="H236" s="80"/>
      <c r="I236" s="80"/>
      <c r="J236" s="152" t="str">
        <f>RationDansEcurieChevauxSelle</f>
        <v>Ration dans écurie</v>
      </c>
      <c r="K236" s="80"/>
      <c r="L236" s="80"/>
      <c r="M236" s="152" t="str">
        <f>RationDansPréChevauxSelle</f>
        <v>Ration hivernale dans pré</v>
      </c>
      <c r="N236" s="72"/>
    </row>
    <row r="237" spans="1:81" x14ac:dyDescent="0.2">
      <c r="A237" s="147"/>
      <c r="B237" s="38" t="s">
        <v>663</v>
      </c>
      <c r="C237" s="181"/>
      <c r="D237" s="17"/>
      <c r="E237" s="135">
        <f>SUM(NbreChevauxSelleMâlesAuPré_12_18Mois+NbreChevauxSelleMâlesAuPré_18_24Mois)</f>
        <v>0</v>
      </c>
      <c r="F237" s="80"/>
      <c r="G237" s="80"/>
      <c r="H237" s="80"/>
      <c r="I237" s="80"/>
      <c r="J237" s="1459" t="s">
        <v>1492</v>
      </c>
      <c r="K237" s="1460"/>
      <c r="L237" s="80"/>
      <c r="M237" s="133" t="s">
        <v>1281</v>
      </c>
      <c r="N237" s="72"/>
    </row>
    <row r="238" spans="1:81" ht="13.5" thickBot="1" x14ac:dyDescent="0.25">
      <c r="A238" s="147"/>
      <c r="B238" s="39" t="s">
        <v>666</v>
      </c>
      <c r="C238" s="140"/>
      <c r="D238" s="743"/>
      <c r="E238" s="137">
        <f>SUM(NbreChevauxSelleFemellesAuPré_12_18Mois+NbreChevauxSelleFemellesAuPré_18_24Mois)</f>
        <v>0</v>
      </c>
      <c r="F238" s="80"/>
      <c r="G238" s="80"/>
      <c r="H238" s="80"/>
      <c r="I238" s="80"/>
      <c r="J238" s="1457"/>
      <c r="K238" s="1458"/>
      <c r="L238" s="80"/>
      <c r="M238" s="962"/>
      <c r="N238" s="72"/>
    </row>
    <row r="239" spans="1:81" x14ac:dyDescent="0.2">
      <c r="A239" s="147"/>
      <c r="B239" s="40" t="s">
        <v>664</v>
      </c>
      <c r="C239" s="180"/>
      <c r="D239" s="17"/>
      <c r="E239" s="135">
        <f>NbreChevauxSelleMâlesAuPré_24_36Mois</f>
        <v>0</v>
      </c>
      <c r="F239" s="80"/>
      <c r="G239" s="80"/>
      <c r="H239" s="80"/>
      <c r="I239" s="80"/>
      <c r="J239" s="80"/>
      <c r="K239" s="80"/>
      <c r="L239" s="80"/>
      <c r="M239" s="80"/>
      <c r="N239" s="72"/>
    </row>
    <row r="240" spans="1:81" ht="13.5" thickBot="1" x14ac:dyDescent="0.25">
      <c r="A240" s="147"/>
      <c r="B240" s="37" t="s">
        <v>665</v>
      </c>
      <c r="C240" s="136"/>
      <c r="D240" s="743"/>
      <c r="E240" s="137">
        <f>NbreChevauxSelleFemellesAuPré_24_36Mois</f>
        <v>0</v>
      </c>
      <c r="F240" s="80"/>
      <c r="G240" s="80"/>
      <c r="H240" s="80"/>
      <c r="I240" s="80"/>
      <c r="J240" s="1459" t="s">
        <v>1701</v>
      </c>
      <c r="K240" s="1460"/>
      <c r="L240" s="80"/>
      <c r="M240" s="133" t="s">
        <v>1702</v>
      </c>
      <c r="N240" s="72"/>
    </row>
    <row r="241" spans="1:14" x14ac:dyDescent="0.2">
      <c r="A241" s="147"/>
      <c r="B241" s="38" t="s">
        <v>667</v>
      </c>
      <c r="C241" s="181"/>
      <c r="D241" s="17"/>
      <c r="E241" s="135">
        <f>NbreChevauxSelleMâlesAuPré_3AnsEtPlus</f>
        <v>0</v>
      </c>
      <c r="F241" s="80"/>
      <c r="G241" s="80"/>
      <c r="H241" s="80"/>
      <c r="I241" s="80"/>
      <c r="J241" s="1457"/>
      <c r="K241" s="1458"/>
      <c r="L241" s="80"/>
      <c r="M241" s="962"/>
      <c r="N241" s="72"/>
    </row>
    <row r="242" spans="1:14" ht="13.5" thickBot="1" x14ac:dyDescent="0.25">
      <c r="A242" s="147"/>
      <c r="B242" s="39" t="s">
        <v>668</v>
      </c>
      <c r="C242" s="140"/>
      <c r="D242" s="743"/>
      <c r="E242" s="137">
        <f>NbreChevauxSelleFemellesAuPré_3AnsEtPlus</f>
        <v>0</v>
      </c>
      <c r="F242" s="80"/>
      <c r="G242" s="80"/>
      <c r="H242" s="80"/>
      <c r="I242" s="80"/>
      <c r="J242" s="80"/>
      <c r="K242" s="80"/>
      <c r="L242" s="80"/>
      <c r="M242" s="80"/>
      <c r="N242" s="72"/>
    </row>
    <row r="243" spans="1:14" x14ac:dyDescent="0.2">
      <c r="A243" s="147"/>
      <c r="B243" s="80"/>
      <c r="C243" s="148"/>
      <c r="D243" s="80"/>
      <c r="E243" s="80"/>
      <c r="F243" s="80"/>
      <c r="G243" s="80"/>
      <c r="H243" s="80"/>
      <c r="I243" s="80"/>
      <c r="J243" s="34" t="s">
        <v>157</v>
      </c>
      <c r="K243" s="141"/>
      <c r="L243" s="80" t="str">
        <f>IF(ChoixChevauxSellePréHiver=OUI,"coût : 0€/an",IF(OR(ChoixPaillageChevauxSelle="",ChoixPaillageChevauxSelle=NON),"","coût : "&amp;ROUND(PrixPaille*0.8/SUM(NbreJoursNourrirChevauxSelle)*84*SUM(TotalChevauxSelle)/1000,2)&amp;"€/an (si pas de mise au pré l'été, sinon "&amp;(IF(ChoixChevauxSellePréHiver=OUI,"coût : 0€/an",ROUND(PrixPaille*0.8/SUM(NbreJoursNourrirChevauxSelle)*(84-NbreJoursMaxChevauxSelleAuPré)*SUM(TotalChevauxSelle)/1000,2)&amp;"€/an)"))))</f>
        <v/>
      </c>
      <c r="M243" s="80"/>
      <c r="N243" s="72"/>
    </row>
    <row r="244" spans="1:14" x14ac:dyDescent="0.2">
      <c r="A244" s="147"/>
      <c r="B244" s="80"/>
      <c r="C244" s="80"/>
      <c r="D244" s="80"/>
      <c r="E244" s="80"/>
      <c r="F244" s="80"/>
      <c r="G244" s="80"/>
      <c r="H244" s="80"/>
      <c r="I244" s="80"/>
      <c r="J244" s="35" t="s">
        <v>156</v>
      </c>
      <c r="K244" s="141"/>
      <c r="L244" s="80" t="str">
        <f>IF(ChoixVaccinChevauxSelle=OUI,"coût : " &amp;SUM(TotalChevauxSelle)*PrixVaccinChevauxSelle &amp;"€/an","")</f>
        <v/>
      </c>
      <c r="M244" s="80"/>
      <c r="N244" s="72"/>
    </row>
    <row r="245" spans="1:14" hidden="1" x14ac:dyDescent="0.2">
      <c r="A245" s="147"/>
      <c r="B245" s="80"/>
      <c r="C245" s="80"/>
      <c r="D245" s="80"/>
      <c r="E245" s="80"/>
      <c r="F245" s="80"/>
      <c r="G245" s="80"/>
      <c r="H245" s="80"/>
      <c r="I245" s="80"/>
      <c r="J245" s="80"/>
      <c r="K245" s="80"/>
      <c r="L245" s="80"/>
      <c r="M245" s="80"/>
      <c r="N245" s="72"/>
    </row>
    <row r="246" spans="1:14" ht="13.5" thickBot="1" x14ac:dyDescent="0.25">
      <c r="A246" s="153"/>
      <c r="B246" s="81"/>
      <c r="C246" s="81"/>
      <c r="D246" s="81"/>
      <c r="E246" s="81"/>
      <c r="F246" s="81"/>
      <c r="G246" s="81"/>
      <c r="H246" s="81"/>
      <c r="I246" s="81"/>
      <c r="J246" s="81"/>
      <c r="K246" s="81"/>
      <c r="L246" s="81"/>
      <c r="M246" s="81"/>
      <c r="N246" s="74"/>
    </row>
    <row r="247" spans="1:14" ht="13.5" thickBot="1" x14ac:dyDescent="0.25">
      <c r="A247" s="128" t="s">
        <v>1131</v>
      </c>
      <c r="B247" s="129"/>
      <c r="C247" s="129"/>
      <c r="D247" s="129"/>
      <c r="E247" s="129"/>
      <c r="F247" s="129"/>
      <c r="G247" s="129"/>
      <c r="H247" s="129"/>
      <c r="I247" s="129"/>
      <c r="J247" s="129"/>
      <c r="K247" s="129"/>
      <c r="L247" s="129"/>
      <c r="M247" s="129"/>
      <c r="N247" s="130"/>
    </row>
    <row r="248" spans="1:14" ht="13.5" thickBot="1" x14ac:dyDescent="0.25">
      <c r="A248" s="132" t="str">
        <f>"Total : "&amp;SUM(TotalChevauxTrait)</f>
        <v>Total : 0</v>
      </c>
      <c r="B248" s="76"/>
      <c r="C248" s="19" t="s">
        <v>27</v>
      </c>
      <c r="D248" s="111" t="s">
        <v>1660</v>
      </c>
      <c r="E248" s="19" t="s">
        <v>26</v>
      </c>
      <c r="F248" s="76"/>
      <c r="G248" s="76"/>
      <c r="H248" s="76"/>
      <c r="I248" s="76"/>
      <c r="J248" s="1459" t="s">
        <v>1487</v>
      </c>
      <c r="K248" s="1460"/>
      <c r="L248" s="76"/>
      <c r="M248" s="133" t="s">
        <v>1996</v>
      </c>
      <c r="N248" s="71"/>
    </row>
    <row r="249" spans="1:14" x14ac:dyDescent="0.2">
      <c r="A249" s="132"/>
      <c r="B249" s="36" t="s">
        <v>661</v>
      </c>
      <c r="C249" s="180"/>
      <c r="D249" s="17"/>
      <c r="E249" s="135">
        <f>SUM(NbreChevauxTraitMâlesAuPré_0_3Mois+NbreChevauxTraitMâlesAuPré_3_6Mois+NbreChevauxTraitMâlesAuPré_6_12Mois)</f>
        <v>0</v>
      </c>
      <c r="F249" s="76"/>
      <c r="G249" s="76"/>
      <c r="H249" s="76"/>
      <c r="I249" s="76"/>
      <c r="J249" s="1475"/>
      <c r="K249" s="1476"/>
      <c r="L249" s="76"/>
      <c r="M249" s="1073"/>
      <c r="N249" s="71"/>
    </row>
    <row r="250" spans="1:14" ht="13.5" thickBot="1" x14ac:dyDescent="0.25">
      <c r="A250" s="132"/>
      <c r="B250" s="37" t="s">
        <v>662</v>
      </c>
      <c r="C250" s="136"/>
      <c r="D250" s="743"/>
      <c r="E250" s="137">
        <f>SUM(NbreChevauxTraitFemellesAuPré_0_3Mois+NbreChevauxTraitFemellesAuPré_3_6Mois+NbreChevauxTraitFemellesAuPré_6_12Mois)</f>
        <v>0</v>
      </c>
      <c r="F250" s="76"/>
      <c r="G250" s="76"/>
      <c r="H250" s="76"/>
      <c r="I250" s="76"/>
      <c r="J250" s="138" t="str">
        <f>RationDansEcurieChevauxTrait</f>
        <v>Ration dans écurie</v>
      </c>
      <c r="K250" s="76"/>
      <c r="L250" s="76"/>
      <c r="M250" s="138" t="str">
        <f>RationDansPréChevauxTrait</f>
        <v>Ration hivernale dans pré</v>
      </c>
      <c r="N250" s="71"/>
    </row>
    <row r="251" spans="1:14" x14ac:dyDescent="0.2">
      <c r="A251" s="132"/>
      <c r="B251" s="38" t="s">
        <v>663</v>
      </c>
      <c r="C251" s="181"/>
      <c r="D251" s="17"/>
      <c r="E251" s="135">
        <f>SUM(NbreChevauxTraitMâlesAuPré_12_18Mois+NbreChevauxTraitMâlesAuPré_18_24Mois)</f>
        <v>0</v>
      </c>
      <c r="F251" s="76"/>
      <c r="G251" s="76"/>
      <c r="H251" s="76"/>
      <c r="I251" s="76"/>
      <c r="J251" s="1459" t="s">
        <v>1492</v>
      </c>
      <c r="K251" s="1460"/>
      <c r="L251" s="76"/>
      <c r="M251" s="133" t="s">
        <v>1281</v>
      </c>
      <c r="N251" s="71"/>
    </row>
    <row r="252" spans="1:14" ht="13.5" thickBot="1" x14ac:dyDescent="0.25">
      <c r="A252" s="132"/>
      <c r="B252" s="39" t="s">
        <v>666</v>
      </c>
      <c r="C252" s="140"/>
      <c r="D252" s="743"/>
      <c r="E252" s="137">
        <f>SUM(NbreChevauxTraitFemellesAuPré_12_18Mois+NbreChevauxTraitFemellesAuPré_18_24Mois)</f>
        <v>0</v>
      </c>
      <c r="F252" s="76"/>
      <c r="G252" s="76"/>
      <c r="H252" s="76"/>
      <c r="I252" s="76"/>
      <c r="J252" s="1457"/>
      <c r="K252" s="1458"/>
      <c r="L252" s="76"/>
      <c r="M252" s="962"/>
      <c r="N252" s="71"/>
    </row>
    <row r="253" spans="1:14" x14ac:dyDescent="0.2">
      <c r="A253" s="132"/>
      <c r="B253" s="40" t="s">
        <v>664</v>
      </c>
      <c r="C253" s="180"/>
      <c r="D253" s="17"/>
      <c r="E253" s="135">
        <f>NbreChevauxTraitMâlesAuPré_24_36Mois</f>
        <v>0</v>
      </c>
      <c r="F253" s="76"/>
      <c r="G253" s="76"/>
      <c r="H253" s="76"/>
      <c r="I253" s="76"/>
      <c r="J253" s="76"/>
      <c r="K253" s="76"/>
      <c r="L253" s="76"/>
      <c r="M253" s="76"/>
      <c r="N253" s="71"/>
    </row>
    <row r="254" spans="1:14" ht="13.5" thickBot="1" x14ac:dyDescent="0.25">
      <c r="A254" s="132"/>
      <c r="B254" s="37" t="s">
        <v>665</v>
      </c>
      <c r="C254" s="136"/>
      <c r="D254" s="743"/>
      <c r="E254" s="137">
        <f>NbreChevauxTraitFemellesAuPré_24_36Mois</f>
        <v>0</v>
      </c>
      <c r="F254" s="76"/>
      <c r="G254" s="76"/>
      <c r="H254" s="76"/>
      <c r="I254" s="76"/>
      <c r="J254" s="1459" t="s">
        <v>1701</v>
      </c>
      <c r="K254" s="1460"/>
      <c r="L254" s="76"/>
      <c r="M254" s="133" t="s">
        <v>1702</v>
      </c>
      <c r="N254" s="71"/>
    </row>
    <row r="255" spans="1:14" x14ac:dyDescent="0.2">
      <c r="A255" s="132"/>
      <c r="B255" s="38" t="s">
        <v>667</v>
      </c>
      <c r="C255" s="181"/>
      <c r="D255" s="17"/>
      <c r="E255" s="135">
        <f>NbreChevauxTraitMâlesAuPré_3AnsEtPlus</f>
        <v>0</v>
      </c>
      <c r="F255" s="76"/>
      <c r="G255" s="76"/>
      <c r="H255" s="76"/>
      <c r="I255" s="76"/>
      <c r="J255" s="1457"/>
      <c r="K255" s="1458"/>
      <c r="L255" s="76"/>
      <c r="M255" s="962"/>
      <c r="N255" s="71"/>
    </row>
    <row r="256" spans="1:14" ht="13.5" thickBot="1" x14ac:dyDescent="0.25">
      <c r="A256" s="132"/>
      <c r="B256" s="39" t="s">
        <v>668</v>
      </c>
      <c r="C256" s="140"/>
      <c r="D256" s="743"/>
      <c r="E256" s="137">
        <f>NbreChevauxTraitFemellesAuPré_3AnsEtPlus</f>
        <v>0</v>
      </c>
      <c r="F256" s="76"/>
      <c r="G256" s="76"/>
      <c r="H256" s="76"/>
      <c r="I256" s="76"/>
      <c r="J256" s="138"/>
      <c r="K256" s="76"/>
      <c r="L256" s="76"/>
      <c r="M256" s="76"/>
      <c r="N256" s="71"/>
    </row>
    <row r="257" spans="1:14" x14ac:dyDescent="0.2">
      <c r="A257" s="132"/>
      <c r="B257" s="76"/>
      <c r="C257" s="155"/>
      <c r="D257" s="76"/>
      <c r="E257" s="76"/>
      <c r="F257" s="76"/>
      <c r="G257" s="76"/>
      <c r="H257" s="76"/>
      <c r="I257" s="76"/>
      <c r="J257" s="34" t="s">
        <v>157</v>
      </c>
      <c r="K257" s="141"/>
      <c r="L257" s="76" t="str">
        <f>IF(ChoixChevauxTraitPréHiver=OUI,"coût : 0€/an",IF(OR(ChoixPaillageChevauxTrait="",ChoixPaillageChevauxTrait=NON),"","coût : "&amp;ROUND(PrixPaille*0.8/SUM(NbreJoursNourrirChevauxTrait)*84*SUM(TotalChevauxTrait)/1000,2)&amp;"€/an (si pas de mise au pré l'été, sinon "&amp;(IF(ChoixChevauxTraitPréHiver=OUI,"coût : 0€/an",ROUND(PrixPaille*0.8/SUM(NbreJoursNourrirChevauxTrait)*(84-NbreJoursMaxChevauxTraitAuPré)*SUM(TotalChevauxTrait)/1000,2)&amp;"€/an)"))))</f>
        <v/>
      </c>
      <c r="M257" s="76"/>
      <c r="N257" s="71"/>
    </row>
    <row r="258" spans="1:14" x14ac:dyDescent="0.2">
      <c r="A258" s="132"/>
      <c r="B258" s="76"/>
      <c r="C258" s="76"/>
      <c r="D258" s="76"/>
      <c r="E258" s="76"/>
      <c r="F258" s="76"/>
      <c r="G258" s="76"/>
      <c r="H258" s="76"/>
      <c r="I258" s="76"/>
      <c r="J258" s="35" t="s">
        <v>156</v>
      </c>
      <c r="K258" s="141"/>
      <c r="L258" s="76" t="str">
        <f>IF(ChoixVaccinChevauxTrait=OUI,"coût : " &amp;SUM(TotalChevauxTrait)*PrixVaccinChevauxTrait &amp;"€/an","")</f>
        <v/>
      </c>
      <c r="M258" s="76"/>
      <c r="N258" s="71"/>
    </row>
    <row r="259" spans="1:14" hidden="1" x14ac:dyDescent="0.2">
      <c r="A259" s="132"/>
      <c r="B259" s="76"/>
      <c r="C259" s="76"/>
      <c r="D259" s="76"/>
      <c r="E259" s="76"/>
      <c r="F259" s="76"/>
      <c r="G259" s="76"/>
      <c r="H259" s="76"/>
      <c r="I259" s="76"/>
      <c r="J259" s="76"/>
      <c r="K259" s="76"/>
      <c r="L259" s="76"/>
      <c r="M259" s="76"/>
      <c r="N259" s="71"/>
    </row>
    <row r="260" spans="1:14" ht="13.5" thickBot="1" x14ac:dyDescent="0.25">
      <c r="A260" s="142"/>
      <c r="B260" s="143"/>
      <c r="C260" s="143"/>
      <c r="D260" s="143"/>
      <c r="E260" s="143"/>
      <c r="F260" s="143"/>
      <c r="G260" s="143"/>
      <c r="H260" s="143"/>
      <c r="I260" s="143"/>
      <c r="J260" s="143"/>
      <c r="K260" s="143"/>
      <c r="L260" s="143"/>
      <c r="M260" s="143"/>
      <c r="N260" s="144"/>
    </row>
    <row r="261" spans="1:14" ht="13.5" thickBot="1" x14ac:dyDescent="0.25">
      <c r="A261" s="145" t="s">
        <v>1132</v>
      </c>
      <c r="B261" s="146"/>
      <c r="C261" s="146"/>
      <c r="D261" s="146"/>
      <c r="E261" s="146"/>
      <c r="F261" s="146"/>
      <c r="G261" s="146"/>
      <c r="H261" s="146"/>
      <c r="I261" s="146"/>
      <c r="J261" s="146"/>
      <c r="K261" s="146"/>
      <c r="L261" s="146"/>
      <c r="M261" s="146"/>
      <c r="N261" s="177"/>
    </row>
    <row r="262" spans="1:14" ht="13.5" thickBot="1" x14ac:dyDescent="0.25">
      <c r="A262" s="147" t="str">
        <f>"Total : "&amp;SUM(TotalPoneys)</f>
        <v>Total : 0</v>
      </c>
      <c r="B262" s="80"/>
      <c r="C262" s="19" t="s">
        <v>27</v>
      </c>
      <c r="D262" s="111" t="s">
        <v>1660</v>
      </c>
      <c r="E262" s="19" t="s">
        <v>26</v>
      </c>
      <c r="F262" s="80"/>
      <c r="G262" s="80"/>
      <c r="H262" s="80"/>
      <c r="I262" s="80"/>
      <c r="J262" s="1459" t="s">
        <v>1488</v>
      </c>
      <c r="K262" s="1460"/>
      <c r="L262" s="80"/>
      <c r="M262" s="133" t="s">
        <v>1997</v>
      </c>
      <c r="N262" s="72"/>
    </row>
    <row r="263" spans="1:14" x14ac:dyDescent="0.2">
      <c r="A263" s="147"/>
      <c r="B263" s="36" t="s">
        <v>661</v>
      </c>
      <c r="C263" s="180"/>
      <c r="D263" s="17"/>
      <c r="E263" s="135">
        <f>SUM(NbrePoneysMâlesAuPré_0_3Mois+NbrePoneysMâlesAuPré_3_6Mois+NbrePoneysMâlesAuPré_6_12Mois)</f>
        <v>0</v>
      </c>
      <c r="F263" s="80"/>
      <c r="G263" s="80"/>
      <c r="H263" s="80"/>
      <c r="I263" s="80"/>
      <c r="J263" s="1475"/>
      <c r="K263" s="1476"/>
      <c r="L263" s="80"/>
      <c r="M263" s="1073"/>
      <c r="N263" s="72"/>
    </row>
    <row r="264" spans="1:14" ht="13.5" thickBot="1" x14ac:dyDescent="0.25">
      <c r="A264" s="147"/>
      <c r="B264" s="37" t="s">
        <v>662</v>
      </c>
      <c r="C264" s="136"/>
      <c r="D264" s="743"/>
      <c r="E264" s="137">
        <f>SUM(NbrePoneysFemellesAuPré_0_3Mois+NbrePoneysFemellesAuPré_3_6Mois+NbrePoneysFemellesAuPré_6_12Mois)</f>
        <v>0</v>
      </c>
      <c r="F264" s="80"/>
      <c r="G264" s="80"/>
      <c r="H264" s="80"/>
      <c r="I264" s="80"/>
      <c r="J264" s="152" t="str">
        <f>RationDansEcuriePoneys</f>
        <v>Ration dans écurie</v>
      </c>
      <c r="K264" s="80"/>
      <c r="L264" s="80"/>
      <c r="M264" s="152" t="str">
        <f>RationDansPréPoneys</f>
        <v>Ration hivernale dans pré</v>
      </c>
      <c r="N264" s="72"/>
    </row>
    <row r="265" spans="1:14" x14ac:dyDescent="0.2">
      <c r="A265" s="147"/>
      <c r="B265" s="38" t="s">
        <v>663</v>
      </c>
      <c r="C265" s="181"/>
      <c r="D265" s="17"/>
      <c r="E265" s="135">
        <f>SUM(NbrePoneysMâlesAuPré_12_18Mois+NbrePoneysMâlesAuPré_18_24Mois)</f>
        <v>0</v>
      </c>
      <c r="F265" s="80"/>
      <c r="G265" s="80"/>
      <c r="H265" s="80"/>
      <c r="I265" s="80"/>
      <c r="J265" s="1459" t="s">
        <v>1492</v>
      </c>
      <c r="K265" s="1460"/>
      <c r="L265" s="80"/>
      <c r="M265" s="133" t="s">
        <v>1281</v>
      </c>
      <c r="N265" s="72"/>
    </row>
    <row r="266" spans="1:14" ht="13.5" thickBot="1" x14ac:dyDescent="0.25">
      <c r="A266" s="147"/>
      <c r="B266" s="39" t="s">
        <v>666</v>
      </c>
      <c r="C266" s="140"/>
      <c r="D266" s="743"/>
      <c r="E266" s="137">
        <f>SUM(NbrePoneysFemellesAuPré_12_18Mois+NbrePoneysFemellesAuPré_18_24Mois)</f>
        <v>0</v>
      </c>
      <c r="F266" s="80"/>
      <c r="G266" s="80"/>
      <c r="H266" s="80"/>
      <c r="I266" s="80"/>
      <c r="J266" s="1457"/>
      <c r="K266" s="1458"/>
      <c r="L266" s="80"/>
      <c r="M266" s="962"/>
      <c r="N266" s="72"/>
    </row>
    <row r="267" spans="1:14" x14ac:dyDescent="0.2">
      <c r="A267" s="147"/>
      <c r="B267" s="40" t="s">
        <v>664</v>
      </c>
      <c r="C267" s="180"/>
      <c r="D267" s="17"/>
      <c r="E267" s="135">
        <f>NbrePoneysMâlesAuPré_24_36Mois</f>
        <v>0</v>
      </c>
      <c r="F267" s="80"/>
      <c r="G267" s="80"/>
      <c r="H267" s="80"/>
      <c r="I267" s="80"/>
      <c r="J267" s="80"/>
      <c r="K267" s="80"/>
      <c r="L267" s="80"/>
      <c r="M267" s="80"/>
      <c r="N267" s="72"/>
    </row>
    <row r="268" spans="1:14" ht="13.5" thickBot="1" x14ac:dyDescent="0.25">
      <c r="A268" s="147"/>
      <c r="B268" s="37" t="s">
        <v>665</v>
      </c>
      <c r="C268" s="136"/>
      <c r="D268" s="743"/>
      <c r="E268" s="137">
        <f>NbrePoneysFemellesAuPré_24_36Mois</f>
        <v>0</v>
      </c>
      <c r="F268" s="80"/>
      <c r="G268" s="80"/>
      <c r="H268" s="80"/>
      <c r="I268" s="80"/>
      <c r="J268" s="1459" t="s">
        <v>1701</v>
      </c>
      <c r="K268" s="1460"/>
      <c r="L268" s="80"/>
      <c r="M268" s="133" t="s">
        <v>1702</v>
      </c>
      <c r="N268" s="72"/>
    </row>
    <row r="269" spans="1:14" x14ac:dyDescent="0.2">
      <c r="A269" s="147"/>
      <c r="B269" s="38" t="s">
        <v>667</v>
      </c>
      <c r="C269" s="181"/>
      <c r="D269" s="17"/>
      <c r="E269" s="135">
        <f>NbrePoneysMâlesAuPré_3AnsEtPlus</f>
        <v>0</v>
      </c>
      <c r="F269" s="80"/>
      <c r="G269" s="80"/>
      <c r="H269" s="80"/>
      <c r="I269" s="80"/>
      <c r="J269" s="1457"/>
      <c r="K269" s="1458"/>
      <c r="L269" s="80"/>
      <c r="M269" s="962"/>
      <c r="N269" s="72"/>
    </row>
    <row r="270" spans="1:14" ht="13.5" thickBot="1" x14ac:dyDescent="0.25">
      <c r="A270" s="147"/>
      <c r="B270" s="39" t="s">
        <v>668</v>
      </c>
      <c r="C270" s="140"/>
      <c r="D270" s="743"/>
      <c r="E270" s="137">
        <f>NbrePoneysFemellesAuPré_3AnsEtPlus</f>
        <v>0</v>
      </c>
      <c r="F270" s="80"/>
      <c r="G270" s="80"/>
      <c r="H270" s="80"/>
      <c r="I270" s="80"/>
      <c r="J270" s="80"/>
      <c r="K270" s="80"/>
      <c r="L270" s="80"/>
      <c r="M270" s="80"/>
      <c r="N270" s="72"/>
    </row>
    <row r="271" spans="1:14" x14ac:dyDescent="0.2">
      <c r="A271" s="147"/>
      <c r="B271" s="80"/>
      <c r="C271" s="148"/>
      <c r="D271" s="80"/>
      <c r="E271" s="80"/>
      <c r="F271" s="80"/>
      <c r="G271" s="80"/>
      <c r="H271" s="80"/>
      <c r="I271" s="80"/>
      <c r="J271" s="34" t="s">
        <v>157</v>
      </c>
      <c r="K271" s="141"/>
      <c r="L271" s="80" t="str">
        <f>IF(ChoixPoneysPréHiver=OUI,"coût : 0€/an",IF(OR(ChoixPaillagePoneys="",ChoixPaillagePoneys=NON),"","coût : "&amp;ROUND(PrixPaille*0.8/SUM(NbreJoursNourrirPoneys)*84*SUM(TotalPoneys)/1000,2)&amp;"€/an (si pas de mise au pré l'été, sinon "&amp;(IF(ChoixPoneysPréHiver=OUI,"coût : 0€/an",ROUND(PrixPaille*0.8/SUM(NbreJoursNourrirPoneys)*(84-NbreJoursMaxPoneysAuPré)*SUM(TotalPoneys)/1000,2)&amp;"€/an)"))))</f>
        <v/>
      </c>
      <c r="M271" s="80"/>
      <c r="N271" s="72"/>
    </row>
    <row r="272" spans="1:14" x14ac:dyDescent="0.2">
      <c r="A272" s="147"/>
      <c r="B272" s="80"/>
      <c r="C272" s="80"/>
      <c r="D272" s="80"/>
      <c r="E272" s="80"/>
      <c r="F272" s="80"/>
      <c r="G272" s="80"/>
      <c r="H272" s="80"/>
      <c r="I272" s="80"/>
      <c r="J272" s="35" t="s">
        <v>156</v>
      </c>
      <c r="K272" s="141"/>
      <c r="L272" s="80" t="str">
        <f>IF(ChoixVaccinPoneys=OUI,"coût : " &amp;SUM(TotalPoneys)*prixVaccinPoney &amp;"€/an","")</f>
        <v/>
      </c>
      <c r="M272" s="80"/>
      <c r="N272" s="72"/>
    </row>
    <row r="273" spans="1:14" hidden="1" x14ac:dyDescent="0.2">
      <c r="A273" s="147"/>
      <c r="B273" s="80"/>
      <c r="C273" s="80"/>
      <c r="D273" s="80"/>
      <c r="E273" s="80"/>
      <c r="F273" s="80"/>
      <c r="G273" s="80"/>
      <c r="H273" s="80"/>
      <c r="I273" s="80"/>
      <c r="J273" s="80"/>
      <c r="K273" s="80"/>
      <c r="L273" s="80"/>
      <c r="M273" s="80"/>
      <c r="N273" s="72"/>
    </row>
    <row r="274" spans="1:14" ht="13.5" thickBot="1" x14ac:dyDescent="0.25">
      <c r="A274" s="153"/>
      <c r="B274" s="81"/>
      <c r="C274" s="81"/>
      <c r="D274" s="81"/>
      <c r="E274" s="81"/>
      <c r="F274" s="81"/>
      <c r="G274" s="81"/>
      <c r="H274" s="81"/>
      <c r="I274" s="81"/>
      <c r="J274" s="81"/>
      <c r="K274" s="81"/>
      <c r="L274" s="81"/>
      <c r="M274" s="81"/>
      <c r="N274" s="74"/>
    </row>
    <row r="275" spans="1:14" x14ac:dyDescent="0.2">
      <c r="A275" s="426"/>
      <c r="B275" s="427"/>
      <c r="C275" s="427"/>
      <c r="D275" s="427"/>
      <c r="E275" s="427"/>
      <c r="F275" s="427"/>
      <c r="G275" s="427"/>
      <c r="H275" s="427"/>
      <c r="I275" s="427"/>
      <c r="J275" s="427"/>
      <c r="K275" s="427"/>
      <c r="L275" s="427"/>
      <c r="M275" s="427"/>
      <c r="N275" s="428"/>
    </row>
    <row r="276" spans="1:14" x14ac:dyDescent="0.2">
      <c r="A276" s="426"/>
      <c r="B276" s="1473" t="s">
        <v>1473</v>
      </c>
      <c r="C276" s="1474"/>
      <c r="D276" s="1474"/>
      <c r="E276" s="960" t="s">
        <v>162</v>
      </c>
      <c r="F276" s="427"/>
      <c r="G276" s="427"/>
      <c r="H276" s="427"/>
      <c r="I276" s="427"/>
      <c r="J276" s="427"/>
      <c r="K276" s="427"/>
      <c r="L276" s="427"/>
      <c r="M276" s="427"/>
      <c r="N276" s="428"/>
    </row>
    <row r="277" spans="1:14" x14ac:dyDescent="0.2">
      <c r="A277" s="426"/>
      <c r="B277" s="1473" t="s">
        <v>1476</v>
      </c>
      <c r="C277" s="1474"/>
      <c r="D277" s="1474"/>
      <c r="E277" s="960" t="s">
        <v>162</v>
      </c>
      <c r="F277" s="427"/>
      <c r="G277" s="427"/>
      <c r="H277" s="427"/>
      <c r="I277" s="427"/>
      <c r="J277" s="427"/>
      <c r="K277" s="427"/>
      <c r="L277" s="427"/>
      <c r="M277" s="427"/>
      <c r="N277" s="428"/>
    </row>
    <row r="278" spans="1:14" x14ac:dyDescent="0.2">
      <c r="A278" s="426"/>
      <c r="B278" s="1473" t="s">
        <v>1474</v>
      </c>
      <c r="C278" s="1474"/>
      <c r="D278" s="1474"/>
      <c r="E278" s="960" t="s">
        <v>162</v>
      </c>
      <c r="F278" s="427"/>
      <c r="G278" s="427"/>
      <c r="H278" s="427"/>
      <c r="I278" s="427"/>
      <c r="J278" s="427"/>
      <c r="K278" s="427"/>
      <c r="L278" s="427"/>
      <c r="M278" s="427"/>
      <c r="N278" s="428"/>
    </row>
    <row r="279" spans="1:14" x14ac:dyDescent="0.2">
      <c r="A279" s="426"/>
      <c r="B279" s="1473" t="s">
        <v>1475</v>
      </c>
      <c r="C279" s="1474"/>
      <c r="D279" s="1474"/>
      <c r="E279" s="960" t="s">
        <v>162</v>
      </c>
      <c r="F279" s="427"/>
      <c r="G279" s="427"/>
      <c r="H279" s="427"/>
      <c r="I279" s="427"/>
      <c r="J279" s="427"/>
      <c r="K279" s="427"/>
      <c r="L279" s="427"/>
      <c r="M279" s="427"/>
      <c r="N279" s="428"/>
    </row>
    <row r="280" spans="1:14" ht="13.5" thickBot="1" x14ac:dyDescent="0.25">
      <c r="A280" s="429"/>
      <c r="B280" s="430"/>
      <c r="C280" s="430"/>
      <c r="D280" s="430"/>
      <c r="E280" s="430"/>
      <c r="F280" s="430"/>
      <c r="G280" s="430"/>
      <c r="H280" s="430"/>
      <c r="I280" s="430"/>
      <c r="J280" s="430"/>
      <c r="K280" s="430"/>
      <c r="L280" s="430"/>
      <c r="M280" s="430"/>
      <c r="N280" s="431"/>
    </row>
  </sheetData>
  <sheetProtection pivotTables="0"/>
  <mergeCells count="141">
    <mergeCell ref="B276:D276"/>
    <mergeCell ref="B277:D277"/>
    <mergeCell ref="B278:D278"/>
    <mergeCell ref="B279:D279"/>
    <mergeCell ref="J266:K266"/>
    <mergeCell ref="J237:K237"/>
    <mergeCell ref="J238:K238"/>
    <mergeCell ref="J251:K251"/>
    <mergeCell ref="J252:K252"/>
    <mergeCell ref="J265:K265"/>
    <mergeCell ref="J262:K262"/>
    <mergeCell ref="J263:K263"/>
    <mergeCell ref="J254:K254"/>
    <mergeCell ref="J255:K255"/>
    <mergeCell ref="J240:K240"/>
    <mergeCell ref="J241:K241"/>
    <mergeCell ref="J268:K268"/>
    <mergeCell ref="J269:K269"/>
    <mergeCell ref="J248:K248"/>
    <mergeCell ref="J249:K249"/>
    <mergeCell ref="J27:K27"/>
    <mergeCell ref="C1:D1"/>
    <mergeCell ref="J7:K7"/>
    <mergeCell ref="J10:K10"/>
    <mergeCell ref="J8:K8"/>
    <mergeCell ref="J11:K11"/>
    <mergeCell ref="J28:K28"/>
    <mergeCell ref="J30:K30"/>
    <mergeCell ref="J47:K47"/>
    <mergeCell ref="J16:K16"/>
    <mergeCell ref="J17:K17"/>
    <mergeCell ref="J33:K33"/>
    <mergeCell ref="J34:K34"/>
    <mergeCell ref="J13:K13"/>
    <mergeCell ref="J14:K14"/>
    <mergeCell ref="J19:K19"/>
    <mergeCell ref="J20:K20"/>
    <mergeCell ref="J21:K21"/>
    <mergeCell ref="J48:K48"/>
    <mergeCell ref="J53:K53"/>
    <mergeCell ref="J31:K31"/>
    <mergeCell ref="J36:K36"/>
    <mergeCell ref="J37:K37"/>
    <mergeCell ref="J44:K44"/>
    <mergeCell ref="J45:K45"/>
    <mergeCell ref="J66:K66"/>
    <mergeCell ref="J64:K64"/>
    <mergeCell ref="J50:K50"/>
    <mergeCell ref="J51:K51"/>
    <mergeCell ref="J38:K38"/>
    <mergeCell ref="J207:K207"/>
    <mergeCell ref="J163:K163"/>
    <mergeCell ref="J98:K98"/>
    <mergeCell ref="J99:K99"/>
    <mergeCell ref="J120:K120"/>
    <mergeCell ref="J72:K72"/>
    <mergeCell ref="J123:K123"/>
    <mergeCell ref="J121:K121"/>
    <mergeCell ref="J85:K85"/>
    <mergeCell ref="J86:K86"/>
    <mergeCell ref="J104:K104"/>
    <mergeCell ref="J105:K105"/>
    <mergeCell ref="J117:K117"/>
    <mergeCell ref="J205:K205"/>
    <mergeCell ref="J201:K201"/>
    <mergeCell ref="J198:K198"/>
    <mergeCell ref="J199:K199"/>
    <mergeCell ref="J169:K169"/>
    <mergeCell ref="J170:K170"/>
    <mergeCell ref="J172:K172"/>
    <mergeCell ref="J173:K173"/>
    <mergeCell ref="J204:K204"/>
    <mergeCell ref="J191:K191"/>
    <mergeCell ref="J192:K192"/>
    <mergeCell ref="J67:K67"/>
    <mergeCell ref="J54:K54"/>
    <mergeCell ref="J63:K63"/>
    <mergeCell ref="J60:K60"/>
    <mergeCell ref="J61:K61"/>
    <mergeCell ref="J153:K153"/>
    <mergeCell ref="J124:K124"/>
    <mergeCell ref="J130:K130"/>
    <mergeCell ref="J131:K131"/>
    <mergeCell ref="J146:K146"/>
    <mergeCell ref="J147:K147"/>
    <mergeCell ref="J137:K137"/>
    <mergeCell ref="J138:K138"/>
    <mergeCell ref="J140:K140"/>
    <mergeCell ref="J141:K141"/>
    <mergeCell ref="J92:K92"/>
    <mergeCell ref="J110:K110"/>
    <mergeCell ref="J111:K111"/>
    <mergeCell ref="J82:K82"/>
    <mergeCell ref="J83:K83"/>
    <mergeCell ref="J101:K101"/>
    <mergeCell ref="J102:K102"/>
    <mergeCell ref="J118:K118"/>
    <mergeCell ref="J129:K129"/>
    <mergeCell ref="J218:K218"/>
    <mergeCell ref="J208:K208"/>
    <mergeCell ref="J217:K217"/>
    <mergeCell ref="J225:K225"/>
    <mergeCell ref="J214:K214"/>
    <mergeCell ref="J215:K215"/>
    <mergeCell ref="J223:K223"/>
    <mergeCell ref="J224:K224"/>
    <mergeCell ref="J220:K220"/>
    <mergeCell ref="J221:K221"/>
    <mergeCell ref="J234:K234"/>
    <mergeCell ref="J235:K235"/>
    <mergeCell ref="J69:K69"/>
    <mergeCell ref="J70:K70"/>
    <mergeCell ref="J107:K107"/>
    <mergeCell ref="J108:K108"/>
    <mergeCell ref="J143:K143"/>
    <mergeCell ref="J144:K144"/>
    <mergeCell ref="J175:K175"/>
    <mergeCell ref="J176:K176"/>
    <mergeCell ref="J73:K73"/>
    <mergeCell ref="J79:K79"/>
    <mergeCell ref="J80:K80"/>
    <mergeCell ref="J157:K157"/>
    <mergeCell ref="J162:K162"/>
    <mergeCell ref="J88:K88"/>
    <mergeCell ref="J89:K89"/>
    <mergeCell ref="J126:K126"/>
    <mergeCell ref="J127:K127"/>
    <mergeCell ref="J159:K159"/>
    <mergeCell ref="J160:K160"/>
    <mergeCell ref="J154:K154"/>
    <mergeCell ref="J91:K91"/>
    <mergeCell ref="J202:K202"/>
    <mergeCell ref="J195:K195"/>
    <mergeCell ref="J156:K156"/>
    <mergeCell ref="J185:K185"/>
    <mergeCell ref="J186:K186"/>
    <mergeCell ref="J188:K188"/>
    <mergeCell ref="J189:K189"/>
    <mergeCell ref="J178:K178"/>
    <mergeCell ref="J179:K179"/>
    <mergeCell ref="J194:K194"/>
  </mergeCells>
  <conditionalFormatting sqref="O104:O118">
    <cfRule type="expression" dxfId="391" priority="209" stopIfTrue="1">
      <formula>IF(OR(#REF!="",#REF!=$O$2),TRUE,FALSE)</formula>
    </cfRule>
  </conditionalFormatting>
  <conditionalFormatting sqref="M10">
    <cfRule type="cellIs" dxfId="390" priority="81" operator="equal">
      <formula>0</formula>
    </cfRule>
  </conditionalFormatting>
  <conditionalFormatting sqref="O138:O144">
    <cfRule type="expression" dxfId="389" priority="76" stopIfTrue="1">
      <formula>IF(OR(#REF!="",#REF!=$O$2),TRUE,FALSE)</formula>
    </cfRule>
  </conditionalFormatting>
  <conditionalFormatting sqref="M13">
    <cfRule type="cellIs" dxfId="388" priority="75" operator="equal">
      <formula>0</formula>
    </cfRule>
  </conditionalFormatting>
  <conditionalFormatting sqref="J234">
    <cfRule type="cellIs" dxfId="387" priority="70" operator="equal">
      <formula>0</formula>
    </cfRule>
  </conditionalFormatting>
  <conditionalFormatting sqref="J237">
    <cfRule type="cellIs" dxfId="386" priority="69" operator="equal">
      <formula>0</formula>
    </cfRule>
  </conditionalFormatting>
  <conditionalFormatting sqref="M248">
    <cfRule type="cellIs" dxfId="385" priority="68" operator="equal">
      <formula>0</formula>
    </cfRule>
  </conditionalFormatting>
  <conditionalFormatting sqref="M262">
    <cfRule type="cellIs" dxfId="384" priority="66" operator="equal">
      <formula>0</formula>
    </cfRule>
  </conditionalFormatting>
  <conditionalFormatting sqref="M201">
    <cfRule type="cellIs" dxfId="383" priority="64" operator="equal">
      <formula>0</formula>
    </cfRule>
  </conditionalFormatting>
  <conditionalFormatting sqref="M204">
    <cfRule type="cellIs" dxfId="382" priority="63" operator="equal">
      <formula>0</formula>
    </cfRule>
  </conditionalFormatting>
  <conditionalFormatting sqref="M7">
    <cfRule type="cellIs" dxfId="381" priority="62" operator="equal">
      <formula>0</formula>
    </cfRule>
  </conditionalFormatting>
  <conditionalFormatting sqref="M44">
    <cfRule type="cellIs" dxfId="380" priority="60" operator="equal">
      <formula>0</formula>
    </cfRule>
  </conditionalFormatting>
  <conditionalFormatting sqref="M198">
    <cfRule type="cellIs" dxfId="379" priority="59" operator="equal">
      <formula>0</formula>
    </cfRule>
  </conditionalFormatting>
  <conditionalFormatting sqref="M234">
    <cfRule type="cellIs" dxfId="378" priority="58" operator="equal">
      <formula>0</formula>
    </cfRule>
  </conditionalFormatting>
  <conditionalFormatting sqref="J248">
    <cfRule type="cellIs" dxfId="377" priority="57" operator="equal">
      <formula>0</formula>
    </cfRule>
  </conditionalFormatting>
  <conditionalFormatting sqref="J262">
    <cfRule type="cellIs" dxfId="376" priority="56" operator="equal">
      <formula>0</formula>
    </cfRule>
  </conditionalFormatting>
  <conditionalFormatting sqref="M16">
    <cfRule type="cellIs" dxfId="375" priority="50" operator="equal">
      <formula>0</formula>
    </cfRule>
  </conditionalFormatting>
  <conditionalFormatting sqref="M237">
    <cfRule type="cellIs" dxfId="374" priority="22" operator="equal">
      <formula>0</formula>
    </cfRule>
  </conditionalFormatting>
  <conditionalFormatting sqref="M251">
    <cfRule type="cellIs" dxfId="373" priority="21" operator="equal">
      <formula>0</formula>
    </cfRule>
  </conditionalFormatting>
  <conditionalFormatting sqref="M265">
    <cfRule type="cellIs" dxfId="372" priority="20" operator="equal">
      <formula>0</formula>
    </cfRule>
  </conditionalFormatting>
  <conditionalFormatting sqref="J251">
    <cfRule type="cellIs" dxfId="371" priority="18" operator="equal">
      <formula>0</formula>
    </cfRule>
  </conditionalFormatting>
  <conditionalFormatting sqref="J265">
    <cfRule type="cellIs" dxfId="370" priority="17" operator="equal">
      <formula>0</formula>
    </cfRule>
  </conditionalFormatting>
  <conditionalFormatting sqref="J19:K21">
    <cfRule type="expression" dxfId="369" priority="16">
      <formula>IF(OR($J$14="",$J$14=OUI),TRUE,FALSE)</formula>
    </cfRule>
  </conditionalFormatting>
  <conditionalFormatting sqref="J36:K37">
    <cfRule type="expression" dxfId="368" priority="15">
      <formula>IF($J$28="",TRUE,FALSE)</formula>
    </cfRule>
  </conditionalFormatting>
  <conditionalFormatting sqref="J53:K54">
    <cfRule type="expression" dxfId="367" priority="14">
      <formula>IF(OR($J$48="",$J$48=OUI),TRUE,FALSE)</formula>
    </cfRule>
  </conditionalFormatting>
  <conditionalFormatting sqref="J72:K73">
    <cfRule type="expression" dxfId="366" priority="13">
      <formula>IF(OR($J$67="",$J$67=OUI),TRUE,FALSE)</formula>
    </cfRule>
  </conditionalFormatting>
  <conditionalFormatting sqref="J91:K92">
    <cfRule type="expression" dxfId="365" priority="12">
      <formula>IF(OR($J$86="",$J$86=OUI),TRUE,FALSE)</formula>
    </cfRule>
  </conditionalFormatting>
  <conditionalFormatting sqref="J110:K111">
    <cfRule type="expression" dxfId="364" priority="11">
      <formula>IF(OR($J$105="",$J$105=OUI),TRUE,FALSE)</formula>
    </cfRule>
  </conditionalFormatting>
  <conditionalFormatting sqref="J129:K131">
    <cfRule type="expression" dxfId="363" priority="10">
      <formula>IF(OR($J$124="",$J$124=OUI),TRUE,FALSE)</formula>
    </cfRule>
  </conditionalFormatting>
  <conditionalFormatting sqref="J146:K147">
    <cfRule type="expression" dxfId="362" priority="9">
      <formula>IF(OR($J$141="",$J$141=OUI),TRUE,FALSE)</formula>
    </cfRule>
  </conditionalFormatting>
  <conditionalFormatting sqref="J162:K163">
    <cfRule type="expression" dxfId="361" priority="8">
      <formula>IF(OR($J$157="",$J$157=OUI),TRUE,FALSE)</formula>
    </cfRule>
  </conditionalFormatting>
  <conditionalFormatting sqref="J178:K179">
    <cfRule type="expression" dxfId="360" priority="7">
      <formula>IF(OR($J$173="",$J$173=OUI),TRUE,FALSE)</formula>
    </cfRule>
  </conditionalFormatting>
  <conditionalFormatting sqref="J194:K195">
    <cfRule type="expression" dxfId="359" priority="6">
      <formula>IF(OR($J$189="",$J$189=OUI),TRUE,FALSE)</formula>
    </cfRule>
  </conditionalFormatting>
  <conditionalFormatting sqref="J207:K208">
    <cfRule type="expression" dxfId="358" priority="5">
      <formula>IF(OR($J$202="",$J$202=OUI),TRUE,FALSE)</formula>
    </cfRule>
  </conditionalFormatting>
  <conditionalFormatting sqref="J223:K225">
    <cfRule type="expression" dxfId="357" priority="19">
      <formula>IF($J$215="",TRUE,FALSE)</formula>
    </cfRule>
  </conditionalFormatting>
  <conditionalFormatting sqref="J243:L243">
    <cfRule type="expression" dxfId="356" priority="826">
      <formula>IF(AND($M$235=OUI,$J$235=OUI),TRUE,FALSE)</formula>
    </cfRule>
  </conditionalFormatting>
  <conditionalFormatting sqref="M13:M14">
    <cfRule type="expression" dxfId="355" priority="3">
      <formula>IF(OR($M$11="",$M$11=NON),TRUE,FALSE)</formula>
    </cfRule>
  </conditionalFormatting>
  <conditionalFormatting sqref="J38:K38">
    <cfRule type="expression" dxfId="354" priority="2">
      <formula>IF($J$28="",TRUE,FALSE)</formula>
    </cfRule>
  </conditionalFormatting>
  <conditionalFormatting sqref="J75:K75">
    <cfRule type="expression" dxfId="353" priority="1">
      <formula>IF($J$64="caillebotis",TRUE,FALSE)</formula>
    </cfRule>
  </conditionalFormatting>
  <dataValidations count="1">
    <dataValidation type="list" allowBlank="1" showInputMessage="1" showErrorMessage="1" sqref="K151 K183">
      <formula1>$Y$2:$Y$3</formula1>
    </dataValidation>
  </dataValidations>
  <hyperlinks>
    <hyperlink ref="C1:D1" location="notice!A1" display="Cliques → ICI ←"/>
    <hyperlink ref="E276" location="silos!A1" display="Cliques → ICI ←"/>
    <hyperlink ref="E278" location="'bâtiments d''élevage'!A1" display="Cliques → ICI ←"/>
    <hyperlink ref="E279" location="'pâtures et foin'!A1" display="Cliques → ICI ←"/>
    <hyperlink ref="E277" location="'entrepôts et local phyto'!A1" display="Cliques → ICI ←"/>
  </hyperlinks>
  <pageMargins left="0.78740157499999996" right="0.78740157499999996" top="0.984251969" bottom="0.984251969" header="0.5" footer="0.5"/>
  <pageSetup paperSize="9" orientation="portrait" r:id="rId1"/>
  <headerFooter alignWithMargins="0"/>
  <ignoredErrors>
    <ignoredError sqref="M203"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48" id="{C56A9A7A-E580-4A1A-8504-5A8D98314786}">
            <xm:f>IF(OR($J$14=BDD!$M$3,$J$14=""),TRUE,FALSE)</xm:f>
            <x14:dxf>
              <font>
                <strike val="0"/>
                <color theme="6" tint="0.59996337778862885"/>
              </font>
              <fill>
                <patternFill>
                  <bgColor theme="6" tint="0.59996337778862885"/>
                </patternFill>
              </fill>
              <border>
                <left/>
                <right/>
                <top/>
                <bottom/>
                <vertical/>
                <horizontal/>
              </border>
            </x14:dxf>
          </x14:cfRule>
          <xm:sqref>J16:K17</xm:sqref>
        </x14:conditionalFormatting>
        <x14:conditionalFormatting xmlns:xm="http://schemas.microsoft.com/office/excel/2006/main">
          <x14:cfRule type="expression" priority="47" id="{3E48648E-A698-498F-8D4D-3F2172EF62E4}">
            <xm:f>IF($J$14=BDD!$M$2,TRUE,FALSE)</xm:f>
            <x14:dxf>
              <font>
                <color rgb="FF00FFFF"/>
              </font>
              <fill>
                <patternFill patternType="lightUp">
                  <bgColor rgb="FF00FFFF"/>
                </patternFill>
              </fill>
            </x14:dxf>
          </x14:cfRule>
          <xm:sqref>E8:E21</xm:sqref>
        </x14:conditionalFormatting>
        <x14:conditionalFormatting xmlns:xm="http://schemas.microsoft.com/office/excel/2006/main">
          <x14:cfRule type="expression" priority="46" id="{9E3E0AAC-3AE5-49DB-B6AD-C1E3A67FEB85}">
            <xm:f>IF(OR($M$14=BDD!$M$3,$M$14=""),TRUE,FALSE)</xm:f>
            <x14:dxf>
              <font>
                <strike val="0"/>
                <color theme="6" tint="0.59996337778862885"/>
              </font>
              <fill>
                <patternFill>
                  <bgColor theme="6" tint="0.59996337778862885"/>
                </patternFill>
              </fill>
              <border>
                <left/>
                <right/>
                <top/>
                <bottom/>
                <vertical/>
                <horizontal/>
              </border>
            </x14:dxf>
          </x14:cfRule>
          <xm:sqref>M16:M17</xm:sqref>
        </x14:conditionalFormatting>
        <x14:conditionalFormatting xmlns:xm="http://schemas.microsoft.com/office/excel/2006/main">
          <x14:cfRule type="expression" priority="45" id="{6792E0A6-9A62-4738-BC99-6C0FBB0F4130}">
            <xm:f>IF(OR($J$48=BDD!$M$3,$J$48=""),TRUE,FALSE)</xm:f>
            <x14:dxf>
              <font>
                <strike val="0"/>
                <color theme="6" tint="0.59996337778862885"/>
              </font>
              <fill>
                <patternFill>
                  <bgColor theme="6" tint="0.59996337778862885"/>
                </patternFill>
              </fill>
              <border>
                <left/>
                <right/>
                <top/>
                <bottom/>
                <vertical/>
                <horizontal/>
              </border>
            </x14:dxf>
          </x14:cfRule>
          <xm:sqref>J50:K51</xm:sqref>
        </x14:conditionalFormatting>
        <x14:conditionalFormatting xmlns:xm="http://schemas.microsoft.com/office/excel/2006/main">
          <x14:cfRule type="expression" priority="44" id="{8C064AA5-1077-4761-9E35-9B6BBC5288AB}">
            <xm:f>IF(OR($J$86=BDD!$M$3,$J$86=""),TRUE,FALSE)</xm:f>
            <x14:dxf>
              <font>
                <strike val="0"/>
                <color theme="6" tint="0.59996337778862885"/>
              </font>
              <fill>
                <patternFill>
                  <bgColor theme="6" tint="0.59996337778862885"/>
                </patternFill>
              </fill>
              <border>
                <left/>
                <right/>
                <top/>
                <bottom/>
                <vertical/>
                <horizontal/>
              </border>
            </x14:dxf>
          </x14:cfRule>
          <xm:sqref>J88:K89</xm:sqref>
        </x14:conditionalFormatting>
        <x14:conditionalFormatting xmlns:xm="http://schemas.microsoft.com/office/excel/2006/main">
          <x14:cfRule type="expression" priority="43" id="{261F8F70-FC12-40C0-8192-3147F56E400F}">
            <xm:f>IF(OR($J$124=BDD!$M$3,$J$124=""),TRUE,FALSE)</xm:f>
            <x14:dxf>
              <font>
                <strike val="0"/>
                <color theme="6" tint="0.59996337778862885"/>
              </font>
              <fill>
                <patternFill>
                  <bgColor theme="6" tint="0.59996337778862885"/>
                </patternFill>
              </fill>
              <border>
                <left/>
                <right/>
                <top/>
                <bottom/>
                <vertical/>
                <horizontal/>
              </border>
            </x14:dxf>
          </x14:cfRule>
          <xm:sqref>J126:K127</xm:sqref>
        </x14:conditionalFormatting>
        <x14:conditionalFormatting xmlns:xm="http://schemas.microsoft.com/office/excel/2006/main">
          <x14:cfRule type="expression" priority="42" id="{033F59C3-7461-40D9-B2A8-DA2B503FC848}">
            <xm:f>IF(OR($J$157=BDD!$M$3,$J$157=""),TRUE,FALSE)</xm:f>
            <x14:dxf>
              <font>
                <strike val="0"/>
                <color theme="6" tint="0.59996337778862885"/>
              </font>
              <fill>
                <patternFill>
                  <bgColor theme="6" tint="0.59996337778862885"/>
                </patternFill>
              </fill>
              <border>
                <left/>
                <right/>
                <top/>
                <bottom/>
                <vertical/>
                <horizontal/>
              </border>
            </x14:dxf>
          </x14:cfRule>
          <xm:sqref>J159:K160</xm:sqref>
        </x14:conditionalFormatting>
        <x14:conditionalFormatting xmlns:xm="http://schemas.microsoft.com/office/excel/2006/main">
          <x14:cfRule type="expression" priority="41" id="{C8940A27-F334-4DE2-82DC-5C44E0470435}">
            <xm:f>IF(OR($J$189=BDD!$M$3,$J$189=""),TRUE,FALSE)</xm:f>
            <x14:dxf>
              <font>
                <strike val="0"/>
                <color theme="6" tint="0.59996337778862885"/>
              </font>
              <fill>
                <patternFill>
                  <bgColor theme="6" tint="0.59996337778862885"/>
                </patternFill>
              </fill>
              <border>
                <left/>
                <right/>
                <top/>
                <bottom/>
                <vertical/>
                <horizontal/>
              </border>
            </x14:dxf>
          </x14:cfRule>
          <xm:sqref>J191:K192</xm:sqref>
        </x14:conditionalFormatting>
        <x14:conditionalFormatting xmlns:xm="http://schemas.microsoft.com/office/excel/2006/main">
          <x14:cfRule type="expression" priority="40" id="{41023355-87A1-4D6E-A3E7-EC8E4297BAB7}">
            <xm:f>IF(OR($J$218=BDD!$M$3,$J$218=""),TRUE,FALSE)</xm:f>
            <x14:dxf>
              <font>
                <strike val="0"/>
                <color theme="6" tint="0.59996337778862885"/>
              </font>
              <fill>
                <patternFill>
                  <bgColor theme="6" tint="0.59996337778862885"/>
                </patternFill>
              </fill>
              <border>
                <left/>
                <right/>
                <top/>
                <bottom/>
                <vertical/>
                <horizontal/>
              </border>
            </x14:dxf>
          </x14:cfRule>
          <xm:sqref>J220:K221</xm:sqref>
        </x14:conditionalFormatting>
        <x14:conditionalFormatting xmlns:xm="http://schemas.microsoft.com/office/excel/2006/main">
          <x14:cfRule type="expression" priority="39" id="{1C72769A-1B38-47DA-B743-6A7EA6C9C5D2}">
            <xm:f>IF(OR($J$252=BDD!$M$3,$J$252=""),TRUE,FALSE)</xm:f>
            <x14:dxf>
              <font>
                <strike val="0"/>
                <color theme="6" tint="0.59996337778862885"/>
              </font>
              <fill>
                <patternFill>
                  <bgColor theme="6" tint="0.59996337778862885"/>
                </patternFill>
              </fill>
              <border>
                <left/>
                <right/>
                <top/>
                <bottom/>
                <vertical/>
                <horizontal/>
              </border>
            </x14:dxf>
          </x14:cfRule>
          <xm:sqref>J254:K255</xm:sqref>
        </x14:conditionalFormatting>
        <x14:conditionalFormatting xmlns:xm="http://schemas.microsoft.com/office/excel/2006/main">
          <x14:cfRule type="expression" priority="37" id="{A922C8FF-1E70-4760-8391-7CDFC7D0E727}">
            <xm:f>IF(OR($J$67="",$J$67=BDD!$M$3),TRUE,FALSE)</xm:f>
            <x14:dxf>
              <font>
                <color theme="9" tint="0.79998168889431442"/>
              </font>
              <fill>
                <patternFill>
                  <bgColor theme="9" tint="0.79998168889431442"/>
                </patternFill>
              </fill>
              <border>
                <left/>
                <right/>
                <top/>
                <bottom/>
                <vertical/>
                <horizontal/>
              </border>
            </x14:dxf>
          </x14:cfRule>
          <xm:sqref>J69:K70</xm:sqref>
        </x14:conditionalFormatting>
        <x14:conditionalFormatting xmlns:xm="http://schemas.microsoft.com/office/excel/2006/main">
          <x14:cfRule type="expression" priority="36" id="{A69918AD-EDE4-4428-81F9-E7189FD1412D}">
            <xm:f>IF(OR($J$105="",$J$105=BDD!$M$3),TRUE,FALSE)</xm:f>
            <x14:dxf>
              <font>
                <color theme="9" tint="0.79998168889431442"/>
              </font>
              <fill>
                <patternFill>
                  <bgColor theme="9" tint="0.79998168889431442"/>
                </patternFill>
              </fill>
              <border>
                <left/>
                <right/>
                <top/>
                <bottom/>
                <vertical/>
                <horizontal/>
              </border>
            </x14:dxf>
          </x14:cfRule>
          <xm:sqref>J107:K108</xm:sqref>
        </x14:conditionalFormatting>
        <x14:conditionalFormatting xmlns:xm="http://schemas.microsoft.com/office/excel/2006/main">
          <x14:cfRule type="expression" priority="35" id="{95477A86-126C-493E-A546-F36B4D15C7DB}">
            <xm:f>IF(OR($J$141="",$J$141=BDD!$M$3),TRUE,FALSE)</xm:f>
            <x14:dxf>
              <font>
                <color theme="9" tint="0.79998168889431442"/>
              </font>
              <fill>
                <patternFill>
                  <bgColor theme="9" tint="0.79998168889431442"/>
                </patternFill>
              </fill>
              <border>
                <left/>
                <right/>
                <top/>
                <bottom/>
                <vertical/>
                <horizontal/>
              </border>
            </x14:dxf>
          </x14:cfRule>
          <xm:sqref>J143:K144</xm:sqref>
        </x14:conditionalFormatting>
        <x14:conditionalFormatting xmlns:xm="http://schemas.microsoft.com/office/excel/2006/main">
          <x14:cfRule type="expression" priority="34" id="{2A11C264-A640-4189-9A54-855B1B3933DE}">
            <xm:f>IF(OR($J$173="",$J$173=BDD!$M$3),TRUE,FALSE)</xm:f>
            <x14:dxf>
              <font>
                <color theme="9" tint="0.79998168889431442"/>
              </font>
              <fill>
                <patternFill>
                  <bgColor theme="9" tint="0.79998168889431442"/>
                </patternFill>
              </fill>
              <border>
                <left/>
                <right/>
                <top/>
                <bottom/>
                <vertical/>
                <horizontal/>
              </border>
            </x14:dxf>
          </x14:cfRule>
          <xm:sqref>J175:K176</xm:sqref>
        </x14:conditionalFormatting>
        <x14:conditionalFormatting xmlns:xm="http://schemas.microsoft.com/office/excel/2006/main">
          <x14:cfRule type="expression" priority="33" id="{A224484C-F344-4862-B07C-F1FBE4F3D090}">
            <xm:f>IF(OR($J$202="",$J$202=BDD!$M$3),TRUE,FALSE)</xm:f>
            <x14:dxf>
              <font>
                <color theme="9" tint="0.79998168889431442"/>
              </font>
              <fill>
                <patternFill>
                  <bgColor theme="9" tint="0.79998168889431442"/>
                </patternFill>
              </fill>
              <border>
                <left/>
                <right/>
                <top/>
                <bottom/>
                <vertical/>
                <horizontal/>
              </border>
            </x14:dxf>
          </x14:cfRule>
          <xm:sqref>J204:K205</xm:sqref>
        </x14:conditionalFormatting>
        <x14:conditionalFormatting xmlns:xm="http://schemas.microsoft.com/office/excel/2006/main">
          <x14:cfRule type="expression" priority="32" id="{307AFBAD-D60D-4AB8-8C36-D8259FC0D16E}">
            <xm:f>IF(OR($J$238="",$J$238=BDD!$M$3),TRUE,FALSE)</xm:f>
            <x14:dxf>
              <font>
                <color theme="9" tint="0.79998168889431442"/>
              </font>
              <fill>
                <patternFill>
                  <bgColor theme="9" tint="0.79998168889431442"/>
                </patternFill>
              </fill>
              <border>
                <left/>
                <right/>
                <top/>
                <bottom/>
                <vertical/>
                <horizontal/>
              </border>
            </x14:dxf>
          </x14:cfRule>
          <xm:sqref>J240:K241</xm:sqref>
        </x14:conditionalFormatting>
        <x14:conditionalFormatting xmlns:xm="http://schemas.microsoft.com/office/excel/2006/main">
          <x14:cfRule type="expression" priority="31" id="{F1FD6968-AAF9-4E45-9979-91740A0AE4A2}">
            <xm:f>IF(OR($J$266="",$J$266=BDD!$M$3),TRUE,FALSE)</xm:f>
            <x14:dxf>
              <font>
                <color theme="9" tint="0.79998168889431442"/>
              </font>
              <fill>
                <patternFill>
                  <bgColor theme="9" tint="0.79998168889431442"/>
                </patternFill>
              </fill>
              <border>
                <left/>
                <right/>
                <top/>
                <bottom/>
                <vertical/>
                <horizontal/>
              </border>
            </x14:dxf>
          </x14:cfRule>
          <xm:sqref>J268:K269</xm:sqref>
        </x14:conditionalFormatting>
        <x14:conditionalFormatting xmlns:xm="http://schemas.microsoft.com/office/excel/2006/main">
          <x14:cfRule type="expression" priority="26" id="{E850422A-BE1D-42F7-BAD6-03317A28A1EF}">
            <xm:f>IF(OR($M$205=BDD!$M$3,$M$205=""),TRUE,FALSE)</xm:f>
            <x14:dxf>
              <font>
                <strike val="0"/>
                <color theme="9" tint="0.79998168889431442"/>
              </font>
              <fill>
                <patternFill>
                  <bgColor theme="9" tint="0.79998168889431442"/>
                </patternFill>
              </fill>
              <border>
                <left/>
                <right/>
                <top/>
                <bottom/>
                <vertical/>
                <horizontal/>
              </border>
            </x14:dxf>
          </x14:cfRule>
          <xm:sqref>M207:M208</xm:sqref>
        </x14:conditionalFormatting>
        <x14:conditionalFormatting xmlns:xm="http://schemas.microsoft.com/office/excel/2006/main">
          <x14:cfRule type="expression" priority="25" id="{5DCF4396-D486-42F3-AA65-DC44A00EDB42}">
            <xm:f>IF(OR($M$238=BDD!$M$3,$M$238=""),TRUE,FALSE)</xm:f>
            <x14:dxf>
              <font>
                <strike val="0"/>
                <color theme="9" tint="0.79998168889431442"/>
              </font>
              <fill>
                <patternFill>
                  <bgColor theme="9" tint="0.79998168889431442"/>
                </patternFill>
              </fill>
              <border>
                <left/>
                <right/>
                <top/>
                <bottom/>
                <vertical/>
                <horizontal/>
              </border>
            </x14:dxf>
          </x14:cfRule>
          <xm:sqref>M240:M241</xm:sqref>
        </x14:conditionalFormatting>
        <x14:conditionalFormatting xmlns:xm="http://schemas.microsoft.com/office/excel/2006/main">
          <x14:cfRule type="expression" priority="24" id="{F67C8A10-CB1A-4AE5-A619-627D33B1833E}">
            <xm:f>IF(OR($M$252=BDD!$M$3,$M$252=""),TRUE,FALSE)</xm:f>
            <x14:dxf>
              <font>
                <strike val="0"/>
                <color theme="6" tint="0.59996337778862885"/>
              </font>
              <fill>
                <patternFill>
                  <bgColor theme="6" tint="0.59996337778862885"/>
                </patternFill>
              </fill>
              <border>
                <left/>
                <right/>
                <top/>
                <bottom/>
                <vertical/>
                <horizontal/>
              </border>
            </x14:dxf>
          </x14:cfRule>
          <xm:sqref>M254:M255</xm:sqref>
        </x14:conditionalFormatting>
        <x14:conditionalFormatting xmlns:xm="http://schemas.microsoft.com/office/excel/2006/main">
          <x14:cfRule type="expression" priority="23" id="{EB81D420-BE72-4A0F-8EE9-54432ACB70BB}">
            <xm:f>IF(OR($M$266=BDD!$M$3,$M$266=""),TRUE,FALSE)</xm:f>
            <x14:dxf>
              <font>
                <strike val="0"/>
                <color theme="9" tint="0.79998168889431442"/>
              </font>
              <fill>
                <patternFill>
                  <bgColor theme="9" tint="0.79998168889431442"/>
                </patternFill>
              </fill>
              <border>
                <left/>
                <right/>
                <top/>
                <bottom/>
                <vertical/>
                <horizontal/>
              </border>
            </x14:dxf>
          </x14:cfRule>
          <xm:sqref>M268:M269</xm:sqref>
        </x14:conditionalFormatting>
      </x14:conditionalFormattings>
    </ext>
    <ext xmlns:x14="http://schemas.microsoft.com/office/spreadsheetml/2009/9/main" uri="{CCE6A557-97BC-4b89-ADB6-D9C93CAAB3DF}">
      <x14:dataValidations xmlns:xm="http://schemas.microsoft.com/office/excel/2006/main" count="37">
        <x14:dataValidation type="list" allowBlank="1" showInputMessage="1" showErrorMessage="1">
          <x14:formula1>
            <xm:f>BDD!$GA$11:$GA$12</xm:f>
          </x14:formula1>
          <xm:sqref>J195:K195 J179:K179</xm:sqref>
        </x14:dataValidation>
        <x14:dataValidation type="list" allowBlank="1" showInputMessage="1" showErrorMessage="1">
          <x14:formula1>
            <xm:f>BDD!$DZ$8</xm:f>
          </x14:formula1>
          <xm:sqref>J215:K215</xm:sqref>
        </x14:dataValidation>
        <x14:dataValidation type="list" allowBlank="1" showInputMessage="1" showErrorMessage="1">
          <x14:formula1>
            <xm:f>BDD!$M$6:$M$10</xm:f>
          </x14:formula1>
          <xm:sqref>D4</xm:sqref>
        </x14:dataValidation>
        <x14:dataValidation type="list" allowBlank="1" showInputMessage="1" showErrorMessage="1">
          <x14:formula1>
            <xm:f>BDD!$DN$8:$DN$14</xm:f>
          </x14:formula1>
          <xm:sqref>J199:K199</xm:sqref>
        </x14:dataValidation>
        <x14:dataValidation type="list" allowBlank="1" showInputMessage="1" showErrorMessage="1">
          <x14:formula1>
            <xm:f>BDD!$BC$4:$BC$5</xm:f>
          </x14:formula1>
          <xm:sqref>J8:K8</xm:sqref>
        </x14:dataValidation>
        <x14:dataValidation type="list" allowBlank="1" showInputMessage="1" showErrorMessage="1">
          <x14:formula1>
            <xm:f>BDD!$CB$17:$CB$22</xm:f>
          </x14:formula1>
          <xm:sqref>J45:K45</xm:sqref>
        </x14:dataValidation>
        <x14:dataValidation type="list" allowBlank="1" showInputMessage="1" showErrorMessage="1">
          <x14:formula1>
            <xm:f>BDD!$CJ$4:$CJ$6</xm:f>
          </x14:formula1>
          <xm:sqref>J64:K64</xm:sqref>
        </x14:dataValidation>
        <x14:dataValidation type="list" allowBlank="1" showInputMessage="1" showErrorMessage="1">
          <x14:formula1>
            <xm:f>BDD!$CZ$4:$CZ$5</xm:f>
          </x14:formula1>
          <xm:sqref>J83:K83</xm:sqref>
        </x14:dataValidation>
        <x14:dataValidation type="list" allowBlank="1" showInputMessage="1" showErrorMessage="1">
          <x14:formula1>
            <xm:f>BDD!$DG$4:$DG$5</xm:f>
          </x14:formula1>
          <xm:sqref>J102:K102</xm:sqref>
        </x14:dataValidation>
        <x14:dataValidation type="list" allowBlank="1" showInputMessage="1" showErrorMessage="1">
          <x14:formula1>
            <xm:f>BDD!$M$2:$M$3</xm:f>
          </x14:formula1>
          <xm:sqref>J14:K14 K23:K24 J31:K31 J48:K48 K75:K76 K257:K258 K94:K95 K113:K114 J238 K165:K166 J202:K202 J266 M11 M202 M249 J252 J218 M263 M14 K40 K56:K57 K271:K272 J67 J86 J105 J124 J141:K141 J157:K157 J173:K173 K210:K211 K227 K243:K244 K133:K134 J189:K189 M205 M235 K149:K150 M8 M45 M199 J235 J249 J263 M238 M252 M266</xm:sqref>
        </x14:dataValidation>
        <x14:dataValidation type="list" allowBlank="1" showInputMessage="1" showErrorMessage="1">
          <x14:formula1>
            <xm:f>BDD!$BG$9:$BG$11</xm:f>
          </x14:formula1>
          <xm:sqref>J20:K20</xm:sqref>
        </x14:dataValidation>
        <x14:dataValidation type="list" allowBlank="1" showInputMessage="1" showErrorMessage="1">
          <x14:formula1>
            <xm:f>BDD!$BR$6:$BR$7</xm:f>
          </x14:formula1>
          <xm:sqref>J37:K37</xm:sqref>
        </x14:dataValidation>
        <x14:dataValidation type="list" allowBlank="1" showInputMessage="1" showErrorMessage="1">
          <x14:formula1>
            <xm:f>BDD!$CA$17:$CA$18</xm:f>
          </x14:formula1>
          <xm:sqref>J54:K54</xm:sqref>
        </x14:dataValidation>
        <x14:dataValidation type="list" allowBlank="1" showInputMessage="1" showErrorMessage="1">
          <x14:formula1>
            <xm:f>BDD!$CL$4:$CL$6</xm:f>
          </x14:formula1>
          <xm:sqref>J73</xm:sqref>
        </x14:dataValidation>
        <x14:dataValidation type="list" allowBlank="1" showInputMessage="1" showErrorMessage="1">
          <x14:formula1>
            <xm:f>BDD!$DB$4:$DB$5</xm:f>
          </x14:formula1>
          <xm:sqref>J92</xm:sqref>
        </x14:dataValidation>
        <x14:dataValidation type="list" allowBlank="1" showInputMessage="1" showErrorMessage="1">
          <x14:formula1>
            <xm:f>BDD!$DI$4:$DI$5</xm:f>
          </x14:formula1>
          <xm:sqref>J111</xm:sqref>
        </x14:dataValidation>
        <x14:dataValidation type="list" allowBlank="1" showInputMessage="1" showErrorMessage="1">
          <x14:formula1>
            <xm:f>BDD!$CV$4:$CV$5</xm:f>
          </x14:formula1>
          <xm:sqref>J130</xm:sqref>
        </x14:dataValidation>
        <x14:dataValidation type="list" allowBlank="1" showInputMessage="1" showErrorMessage="1">
          <x14:formula1>
            <xm:f>BDD!$CW$4:$CW$5</xm:f>
          </x14:formula1>
          <xm:sqref>J131</xm:sqref>
        </x14:dataValidation>
        <x14:dataValidation type="list" allowBlank="1" showInputMessage="1" showErrorMessage="1">
          <x14:formula1>
            <xm:f>BDD!$EI$4:$EI$5</xm:f>
          </x14:formula1>
          <xm:sqref>J147</xm:sqref>
        </x14:dataValidation>
        <x14:dataValidation type="list" allowBlank="1" showInputMessage="1" showErrorMessage="1">
          <x14:formula1>
            <xm:f>BDD!$EP$4:$EP$5</xm:f>
          </x14:formula1>
          <xm:sqref>J163</xm:sqref>
        </x14:dataValidation>
        <x14:dataValidation type="list" allowBlank="1" showInputMessage="1" showErrorMessage="1">
          <x14:formula1>
            <xm:f>BDD!$DQ$8:$DQ$10</xm:f>
          </x14:formula1>
          <xm:sqref>J208:K208</xm:sqref>
        </x14:dataValidation>
        <x14:dataValidation type="list" allowBlank="1" showInputMessage="1" showErrorMessage="1">
          <x14:formula1>
            <xm:f>BDD!$BS$4</xm:f>
          </x14:formula1>
          <xm:sqref>J28:K28</xm:sqref>
        </x14:dataValidation>
        <x14:dataValidation type="list" allowBlank="1" showInputMessage="1" showErrorMessage="1">
          <x14:formula1>
            <xm:f>BDD!$BI$9:$BI$17</xm:f>
          </x14:formula1>
          <xm:sqref>J11:K11</xm:sqref>
        </x14:dataValidation>
        <x14:dataValidation type="list" allowBlank="1" showInputMessage="1" showErrorMessage="1">
          <x14:formula1>
            <xm:f>BDD!$CM$4</xm:f>
          </x14:formula1>
          <xm:sqref>J61:K61</xm:sqref>
        </x14:dataValidation>
        <x14:dataValidation type="list" allowBlank="1" showInputMessage="1" showErrorMessage="1">
          <x14:formula1>
            <xm:f>BDD!$CW$13:$CW$14</xm:f>
          </x14:formula1>
          <xm:sqref>J121:K121</xm:sqref>
        </x14:dataValidation>
        <x14:dataValidation type="list" allowBlank="1" showInputMessage="1" showErrorMessage="1">
          <x14:formula1>
            <xm:f>BDD!$CW$8</xm:f>
          </x14:formula1>
          <xm:sqref>J118:K118</xm:sqref>
        </x14:dataValidation>
        <x14:dataValidation type="list" allowBlank="1" showInputMessage="1" showErrorMessage="1">
          <x14:formula1>
            <xm:f>BDD!$DC$4</xm:f>
          </x14:formula1>
          <xm:sqref>J80:K80</xm:sqref>
        </x14:dataValidation>
        <x14:dataValidation type="list" allowBlank="1" showInputMessage="1" showErrorMessage="1">
          <x14:formula1>
            <xm:f>BDD!$DJ$4</xm:f>
          </x14:formula1>
          <xm:sqref>J99:K99</xm:sqref>
        </x14:dataValidation>
        <x14:dataValidation type="list" allowBlank="1" showInputMessage="1" showErrorMessage="1">
          <x14:formula1>
            <xm:f>BDD!$DZ$4:$DZ$5</xm:f>
          </x14:formula1>
          <xm:sqref>J224</xm:sqref>
        </x14:dataValidation>
        <x14:dataValidation type="list" allowBlank="1" showInputMessage="1" showErrorMessage="1">
          <x14:formula1>
            <xm:f>BDD!$EA$4:$EA$5</xm:f>
          </x14:formula1>
          <xm:sqref>J225</xm:sqref>
        </x14:dataValidation>
        <x14:dataValidation type="list" allowBlank="1" showInputMessage="1" showErrorMessage="1">
          <x14:formula1>
            <xm:f>BDD!$EK$4</xm:f>
          </x14:formula1>
          <xm:sqref>J138:K138</xm:sqref>
        </x14:dataValidation>
        <x14:dataValidation type="list" allowBlank="1" showInputMessage="1" showErrorMessage="1">
          <x14:formula1>
            <xm:f>BDD!$EQ$4</xm:f>
          </x14:formula1>
          <xm:sqref>J154:K154</xm:sqref>
        </x14:dataValidation>
        <x14:dataValidation type="list" allowBlank="1" showInputMessage="1" showErrorMessage="1">
          <x14:formula1>
            <xm:f>BDD!$GB$3</xm:f>
          </x14:formula1>
          <xm:sqref>J170:K170</xm:sqref>
        </x14:dataValidation>
        <x14:dataValidation type="list" allowBlank="1" showInputMessage="1" showErrorMessage="1">
          <x14:formula1>
            <xm:f>BDD!$GB$4</xm:f>
          </x14:formula1>
          <xm:sqref>J186:K186</xm:sqref>
        </x14:dataValidation>
        <x14:dataValidation type="list" allowBlank="1" showInputMessage="1" showErrorMessage="1">
          <x14:formula1>
            <xm:f>BDD!$J$2:$J$4</xm:f>
          </x14:formula1>
          <xm:sqref>H187 D45:D52 D61:D70 D80:D85 D99:D104 D118:D123 D138:D143 D154:D159 E199:E206 D171:D173 D187:D189 H171 M269 J17:K17 M17 J34:K34 D28:D41 J51:K51 J89:K89 J127:K127 J160:K160 J192:K192 J221:K221 J255:K255 J241:K241 J70:K70 J108:K108 J144:K144 J176:K176 J205:K205 J269:K269 D235:D242 D249:D256 D263:D270 D215:D228 M208 M241 M255 E8:E21</xm:sqref>
        </x14:dataValidation>
        <x14:dataValidation type="list" allowBlank="1" showInputMessage="1" showErrorMessage="1">
          <x14:formula1>
            <xm:f>BDD!$BG$15:$BG$16</xm:f>
          </x14:formula1>
          <xm:sqref>J21:K21</xm:sqref>
        </x14:dataValidation>
        <x14:dataValidation type="list" allowBlank="1" showInputMessage="1" showErrorMessage="1">
          <x14:formula1>
            <xm:f>BDD!$BS$6:$BS$7</xm:f>
          </x14:formula1>
          <xm:sqref>J38:K38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855"/>
  <sheetViews>
    <sheetView zoomScaleNormal="100" workbookViewId="0"/>
  </sheetViews>
  <sheetFormatPr baseColWidth="10" defaultRowHeight="12.75" x14ac:dyDescent="0.2"/>
  <cols>
    <col min="1" max="1" width="11.42578125" style="328"/>
    <col min="2" max="2" width="22.7109375" style="328" bestFit="1" customWidth="1"/>
    <col min="3" max="6" width="11.42578125" style="328"/>
    <col min="7" max="7" width="14.42578125" style="328" bestFit="1" customWidth="1"/>
    <col min="8" max="8" width="11.42578125" style="328"/>
    <col min="9" max="9" width="14.42578125" style="328" bestFit="1" customWidth="1"/>
    <col min="10" max="12" width="11.42578125" style="1116"/>
    <col min="13" max="16384" width="11.42578125" style="328"/>
  </cols>
  <sheetData>
    <row r="1" spans="1:17" x14ac:dyDescent="0.2">
      <c r="A1" s="1104"/>
      <c r="B1" s="182" t="str">
        <f>cultivateurs!A34</f>
        <v>RETOUR AU SOMMAIRE?</v>
      </c>
      <c r="C1" s="1477" t="s">
        <v>162</v>
      </c>
      <c r="D1" s="1478"/>
      <c r="E1" s="129"/>
      <c r="F1" s="1105"/>
      <c r="G1" s="1105"/>
      <c r="H1" s="1105"/>
      <c r="I1" s="1105"/>
      <c r="J1" s="1105"/>
      <c r="K1" s="1105"/>
      <c r="L1" s="1105"/>
      <c r="M1" s="1105"/>
      <c r="N1" s="1105"/>
      <c r="O1" s="1105"/>
      <c r="P1" s="1105"/>
      <c r="Q1" s="1106"/>
    </row>
    <row r="2" spans="1:17" x14ac:dyDescent="0.2">
      <c r="A2" s="1107"/>
      <c r="B2" s="76"/>
      <c r="C2" s="76"/>
      <c r="D2" s="76"/>
      <c r="E2" s="76"/>
      <c r="F2" s="1108"/>
      <c r="G2" s="1108"/>
      <c r="H2" s="1108"/>
      <c r="I2" s="1108"/>
      <c r="J2" s="1108"/>
      <c r="K2" s="1108"/>
      <c r="L2" s="1108"/>
      <c r="M2" s="1108"/>
      <c r="N2" s="1108"/>
      <c r="O2" s="1108"/>
      <c r="P2" s="1108"/>
      <c r="Q2" s="1109"/>
    </row>
    <row r="3" spans="1:17" x14ac:dyDescent="0.2">
      <c r="A3" s="1107"/>
      <c r="B3" s="1479" t="s">
        <v>381</v>
      </c>
      <c r="C3" s="1480"/>
      <c r="D3" s="1480"/>
      <c r="E3" s="1481"/>
      <c r="F3" s="1108"/>
      <c r="G3" s="1108"/>
      <c r="H3" s="1108"/>
      <c r="I3" s="1108"/>
      <c r="J3" s="1108"/>
      <c r="K3" s="1108"/>
      <c r="L3" s="1108"/>
      <c r="M3" s="1108"/>
      <c r="N3" s="1108"/>
      <c r="O3" s="1108"/>
      <c r="P3" s="1108"/>
      <c r="Q3" s="1109"/>
    </row>
    <row r="4" spans="1:17" x14ac:dyDescent="0.2">
      <c r="A4" s="1107"/>
      <c r="B4" s="76"/>
      <c r="C4" s="76"/>
      <c r="D4" s="76"/>
      <c r="E4" s="76"/>
      <c r="F4" s="1108"/>
      <c r="G4" s="1108"/>
      <c r="H4" s="1108"/>
      <c r="I4" s="1108"/>
      <c r="J4" s="1108"/>
      <c r="K4" s="1108"/>
      <c r="L4" s="1108"/>
      <c r="M4" s="1108"/>
      <c r="N4" s="1108"/>
      <c r="O4" s="1108"/>
      <c r="P4" s="1108"/>
      <c r="Q4" s="1110"/>
    </row>
    <row r="5" spans="1:17" ht="13.5" thickBot="1" x14ac:dyDescent="0.25">
      <c r="A5" s="1107"/>
      <c r="B5" s="183" t="s">
        <v>353</v>
      </c>
      <c r="C5" s="1492" t="s">
        <v>1657</v>
      </c>
      <c r="D5" s="1492"/>
      <c r="E5" s="1492"/>
      <c r="F5" s="1492"/>
      <c r="G5" s="1492"/>
      <c r="H5" s="1108"/>
      <c r="I5" s="1108"/>
      <c r="J5" s="1108"/>
      <c r="K5" s="1108"/>
      <c r="L5" s="1108"/>
      <c r="M5" s="1108"/>
      <c r="N5" s="1108"/>
      <c r="O5" s="1108"/>
      <c r="P5" s="1108"/>
      <c r="Q5" s="1110"/>
    </row>
    <row r="6" spans="1:17" ht="13.5" thickBot="1" x14ac:dyDescent="0.25">
      <c r="A6" s="1107"/>
      <c r="B6" s="76"/>
      <c r="C6" s="745">
        <f>BDD!A55</f>
        <v>1</v>
      </c>
      <c r="D6" s="745">
        <f>BDD!A56</f>
        <v>2</v>
      </c>
      <c r="E6" s="745">
        <f>BDD!A57</f>
        <v>3</v>
      </c>
      <c r="F6" s="1111">
        <f>BDD!A58</f>
        <v>4</v>
      </c>
      <c r="G6" s="745">
        <f>BDD!A59</f>
        <v>5</v>
      </c>
      <c r="H6" s="76"/>
      <c r="I6" s="1108"/>
      <c r="J6" s="1108"/>
      <c r="K6" s="184" t="s">
        <v>670</v>
      </c>
      <c r="L6" s="184"/>
      <c r="M6" s="184"/>
      <c r="N6" s="184"/>
      <c r="O6" s="184"/>
      <c r="P6" s="184"/>
      <c r="Q6" s="1109"/>
    </row>
    <row r="7" spans="1:17" ht="12.75" customHeight="1" x14ac:dyDescent="0.2">
      <c r="A7" s="1107"/>
      <c r="B7" s="185" t="s">
        <v>1071</v>
      </c>
      <c r="C7" s="151"/>
      <c r="D7" s="151"/>
      <c r="E7" s="151"/>
      <c r="F7" s="151"/>
      <c r="G7" s="151"/>
      <c r="H7" s="166" t="s">
        <v>354</v>
      </c>
      <c r="I7" s="166"/>
      <c r="J7" s="76"/>
      <c r="K7" s="1483" t="s">
        <v>1241</v>
      </c>
      <c r="L7" s="1484"/>
      <c r="M7" s="1484"/>
      <c r="N7" s="1485"/>
      <c r="O7" s="1108"/>
      <c r="P7" s="1108"/>
      <c r="Q7" s="1109"/>
    </row>
    <row r="8" spans="1:17" x14ac:dyDescent="0.2">
      <c r="A8" s="1107"/>
      <c r="B8" s="186" t="s">
        <v>1073</v>
      </c>
      <c r="C8" s="187"/>
      <c r="D8" s="187"/>
      <c r="E8" s="187"/>
      <c r="F8" s="187"/>
      <c r="G8" s="187"/>
      <c r="H8" s="166" t="s">
        <v>354</v>
      </c>
      <c r="I8" s="166"/>
      <c r="J8" s="76"/>
      <c r="K8" s="1486"/>
      <c r="L8" s="1487"/>
      <c r="M8" s="1487"/>
      <c r="N8" s="1488"/>
      <c r="O8" s="1108"/>
      <c r="P8" s="1108"/>
      <c r="Q8" s="1109"/>
    </row>
    <row r="9" spans="1:17" ht="13.5" thickBot="1" x14ac:dyDescent="0.25">
      <c r="A9" s="1107"/>
      <c r="B9" s="188" t="s">
        <v>1072</v>
      </c>
      <c r="C9" s="187"/>
      <c r="D9" s="743"/>
      <c r="E9" s="743"/>
      <c r="F9" s="743"/>
      <c r="G9" s="743"/>
      <c r="H9" s="166" t="s">
        <v>354</v>
      </c>
      <c r="I9" s="166"/>
      <c r="J9" s="76"/>
      <c r="K9" s="1486"/>
      <c r="L9" s="1487"/>
      <c r="M9" s="1487"/>
      <c r="N9" s="1488"/>
      <c r="O9" s="1108"/>
      <c r="P9" s="1108"/>
      <c r="Q9" s="1109"/>
    </row>
    <row r="10" spans="1:17" ht="13.5" thickBot="1" x14ac:dyDescent="0.25">
      <c r="A10" s="1107"/>
      <c r="B10" s="186" t="s">
        <v>1236</v>
      </c>
      <c r="C10" s="187"/>
      <c r="D10" s="166" t="s">
        <v>354</v>
      </c>
      <c r="E10" s="155"/>
      <c r="F10" s="155"/>
      <c r="G10" s="155"/>
      <c r="H10" s="76"/>
      <c r="I10" s="76"/>
      <c r="J10" s="76"/>
      <c r="K10" s="1486"/>
      <c r="L10" s="1487"/>
      <c r="M10" s="1487"/>
      <c r="N10" s="1488"/>
      <c r="O10" s="1108"/>
      <c r="P10" s="1108"/>
      <c r="Q10" s="1109"/>
    </row>
    <row r="11" spans="1:17" x14ac:dyDescent="0.2">
      <c r="A11" s="1107"/>
      <c r="B11" s="188" t="s">
        <v>1074</v>
      </c>
      <c r="C11" s="187"/>
      <c r="D11" s="151"/>
      <c r="E11" s="151"/>
      <c r="F11" s="151"/>
      <c r="G11" s="151"/>
      <c r="H11" s="166" t="s">
        <v>354</v>
      </c>
      <c r="I11" s="166"/>
      <c r="J11" s="76"/>
      <c r="K11" s="1489"/>
      <c r="L11" s="1490"/>
      <c r="M11" s="1490"/>
      <c r="N11" s="1491"/>
      <c r="O11" s="1108"/>
      <c r="P11" s="1108"/>
      <c r="Q11" s="1109"/>
    </row>
    <row r="12" spans="1:17" ht="13.5" thickBot="1" x14ac:dyDescent="0.25">
      <c r="A12" s="1107"/>
      <c r="B12" s="186" t="s">
        <v>1075</v>
      </c>
      <c r="C12" s="187"/>
      <c r="D12" s="743"/>
      <c r="E12" s="743"/>
      <c r="F12" s="743"/>
      <c r="G12" s="743"/>
      <c r="H12" s="166" t="s">
        <v>354</v>
      </c>
      <c r="I12" s="166"/>
      <c r="J12" s="76"/>
      <c r="K12" s="76"/>
      <c r="L12" s="76"/>
      <c r="M12" s="76"/>
      <c r="N12" s="76"/>
      <c r="O12" s="1108"/>
      <c r="P12" s="1108"/>
      <c r="Q12" s="1109"/>
    </row>
    <row r="13" spans="1:17" ht="13.5" thickBot="1" x14ac:dyDescent="0.25">
      <c r="A13" s="1107"/>
      <c r="B13" s="188" t="s">
        <v>1110</v>
      </c>
      <c r="C13" s="187"/>
      <c r="D13" s="166" t="s">
        <v>354</v>
      </c>
      <c r="E13" s="155"/>
      <c r="F13" s="155"/>
      <c r="G13" s="155"/>
      <c r="H13" s="76"/>
      <c r="I13" s="76"/>
      <c r="J13" s="76"/>
      <c r="K13" s="76"/>
      <c r="L13" s="76"/>
      <c r="M13" s="76"/>
      <c r="N13" s="76"/>
      <c r="O13" s="1108"/>
      <c r="P13" s="1108"/>
      <c r="Q13" s="1109"/>
    </row>
    <row r="14" spans="1:17" x14ac:dyDescent="0.2">
      <c r="A14" s="1107"/>
      <c r="B14" s="186" t="s">
        <v>1076</v>
      </c>
      <c r="C14" s="187"/>
      <c r="D14" s="151"/>
      <c r="E14" s="151"/>
      <c r="F14" s="151"/>
      <c r="G14" s="151"/>
      <c r="H14" s="166" t="s">
        <v>354</v>
      </c>
      <c r="I14" s="166"/>
      <c r="J14" s="76"/>
      <c r="K14" s="1482" t="s">
        <v>253</v>
      </c>
      <c r="L14" s="1482"/>
      <c r="M14" s="1482"/>
      <c r="N14" s="141"/>
      <c r="O14" s="76"/>
      <c r="P14" s="76"/>
      <c r="Q14" s="1109"/>
    </row>
    <row r="15" spans="1:17" x14ac:dyDescent="0.2">
      <c r="A15" s="1107"/>
      <c r="B15" s="188" t="s">
        <v>1078</v>
      </c>
      <c r="C15" s="187"/>
      <c r="D15" s="187"/>
      <c r="E15" s="187"/>
      <c r="F15" s="187"/>
      <c r="G15" s="187"/>
      <c r="H15" s="166" t="s">
        <v>354</v>
      </c>
      <c r="I15" s="166"/>
      <c r="J15" s="76"/>
      <c r="K15" s="1482" t="s">
        <v>254</v>
      </c>
      <c r="L15" s="1482"/>
      <c r="M15" s="1482"/>
      <c r="N15" s="141"/>
      <c r="O15" s="76"/>
      <c r="P15" s="76"/>
      <c r="Q15" s="1109"/>
    </row>
    <row r="16" spans="1:17" x14ac:dyDescent="0.2">
      <c r="A16" s="1107"/>
      <c r="B16" s="186" t="s">
        <v>1080</v>
      </c>
      <c r="C16" s="187"/>
      <c r="D16" s="187"/>
      <c r="E16" s="187"/>
      <c r="F16" s="187"/>
      <c r="G16" s="187"/>
      <c r="H16" s="166" t="s">
        <v>354</v>
      </c>
      <c r="I16" s="166"/>
      <c r="J16" s="76"/>
      <c r="K16" s="189" t="str">
        <f>IF(ChoixSéparationPoulaillers=NON,"surface totale poulaillers :","")</f>
        <v/>
      </c>
      <c r="L16" s="189"/>
      <c r="M16" s="155"/>
      <c r="N16" s="1108" t="str">
        <f>IF(ChoixSéparationPoulaillers=NON,"m²","")</f>
        <v/>
      </c>
      <c r="O16" s="76"/>
      <c r="P16" s="76"/>
      <c r="Q16" s="1109"/>
    </row>
    <row r="17" spans="1:17" ht="13.5" thickBot="1" x14ac:dyDescent="0.25">
      <c r="A17" s="1107"/>
      <c r="B17" s="188" t="s">
        <v>1082</v>
      </c>
      <c r="C17" s="187"/>
      <c r="D17" s="743"/>
      <c r="E17" s="743"/>
      <c r="F17" s="743"/>
      <c r="G17" s="743"/>
      <c r="H17" s="166" t="s">
        <v>354</v>
      </c>
      <c r="I17" s="166"/>
      <c r="J17" s="76"/>
      <c r="K17" s="190" t="str">
        <f>IF(ChoixSéparationParcsVolailles=NON,"surface totale parcs à volailles :","")</f>
        <v/>
      </c>
      <c r="L17" s="190"/>
      <c r="M17" s="155"/>
      <c r="N17" s="1108" t="str">
        <f>IF(ChoixSéparationParcsVolailles=NON,"m²","")</f>
        <v/>
      </c>
      <c r="O17" s="76"/>
      <c r="P17" s="76"/>
      <c r="Q17" s="1109"/>
    </row>
    <row r="18" spans="1:17" x14ac:dyDescent="0.2">
      <c r="A18" s="1107"/>
      <c r="B18" s="186" t="s">
        <v>1077</v>
      </c>
      <c r="C18" s="187"/>
      <c r="D18" s="166" t="s">
        <v>354</v>
      </c>
      <c r="E18" s="155"/>
      <c r="F18" s="155"/>
      <c r="G18" s="155"/>
      <c r="H18" s="76"/>
      <c r="I18" s="76"/>
      <c r="J18" s="76"/>
      <c r="K18" s="190" t="str">
        <f>IF(ChoixSéparationPoulaillers=NON,"reste/manque poulaillers : ","")</f>
        <v/>
      </c>
      <c r="L18" s="190"/>
      <c r="M18" s="191" t="str">
        <f>IF(SurfaceTotalePoulaillers="","",SurfaceTotalePoulaillers-(SUM(TotalPoussins)*SurfacePoussinPoulailler+SUM(TotalJeuneVolaille)*SurfaceJeuneVolaillePoulailler+SUM(TotalVolailleAdulte)*SurfaceVolailleAdultePoulaille+SUM(TotalPintadeaux)*SurfacePintadeauPoulailler+SUM(TotalJeunesPintades)*SurfaceJeunePintadePoulailler+SUM(TotalPintadesAdultes)*SurfacePintadeAdultePoulailler+SUM(TotalOisons)*SurfaceOisonPoulailler+SUM(TotalJeunesOies)*SurfaceJeuneOiePoulailler+SUM(TotalOiesAdultes)*SurfaceOieAdultePoulailler+SUM(TotalCanetons)*SurfaceCanetonPoulailler+SUM(TotalJeunesCanards)*SurfaceJeuneCanardPoulailler+SUM(TotalCanardsAdultes)*SurfaceCanardAdultePoulailler))</f>
        <v/>
      </c>
      <c r="N18" s="1108" t="str">
        <f>N16</f>
        <v/>
      </c>
      <c r="O18" s="192" t="str">
        <f>IF(RésultatTotalPoulaillers="","",IF(SurfaceTotalePoulaillers-ABS(RésultatTotalPoulaillers)&lt;0,"coût : "&amp;ABS(RésultatTotalPoulaillers)*CoutPoulailler&amp;"€","coût :0€"))</f>
        <v/>
      </c>
      <c r="P18" s="192"/>
      <c r="Q18" s="1109"/>
    </row>
    <row r="19" spans="1:17" x14ac:dyDescent="0.2">
      <c r="A19" s="1107"/>
      <c r="B19" s="193" t="s">
        <v>1079</v>
      </c>
      <c r="C19" s="187"/>
      <c r="D19" s="166" t="s">
        <v>354</v>
      </c>
      <c r="E19" s="76"/>
      <c r="F19" s="76"/>
      <c r="G19" s="76"/>
      <c r="H19" s="76"/>
      <c r="I19" s="76"/>
      <c r="J19" s="76"/>
      <c r="K19" s="190" t="str">
        <f>IF(ChoixSéparationParcsVolailles=NON,"reste/manque parcs à volailles :","")</f>
        <v/>
      </c>
      <c r="L19" s="190"/>
      <c r="M19" s="191" t="str">
        <f>IF(SurfaceTotaleParcsVolailles="","",SurfaceTotaleParcsVolailles-SUM(TotalVolailles)*SurfaceVolailleParc+SUM(TotalPintades)*SurfacePintadeParc+SUM(TotalOies)*SurfaceOieParc+SUM(TotalCanards)*SurfaceCanardParc)</f>
        <v/>
      </c>
      <c r="N19" s="1108" t="str">
        <f>N17</f>
        <v/>
      </c>
      <c r="O19" s="192" t="str">
        <f>IF(RésultatTotalParcsVolailles="","",IF(SurfaceTotaleParcsVolailles-ABS(RésultatTotalParcsVolailles)&lt;0,"coût : "&amp;ABS(RésultatTotalParcsVolailles)*CoutParcVolailles&amp;"€","coût :0€"))</f>
        <v/>
      </c>
      <c r="P19" s="192"/>
      <c r="Q19" s="1109"/>
    </row>
    <row r="20" spans="1:17" x14ac:dyDescent="0.2">
      <c r="A20" s="1107"/>
      <c r="B20" s="186" t="s">
        <v>1081</v>
      </c>
      <c r="C20" s="187"/>
      <c r="D20" s="166" t="s">
        <v>354</v>
      </c>
      <c r="E20" s="76"/>
      <c r="F20" s="76"/>
      <c r="G20" s="76"/>
      <c r="H20" s="76"/>
      <c r="I20" s="76"/>
      <c r="J20" s="76"/>
      <c r="K20" s="76"/>
      <c r="L20" s="76"/>
      <c r="M20" s="76"/>
      <c r="N20" s="76"/>
      <c r="O20" s="76"/>
      <c r="P20" s="76"/>
      <c r="Q20" s="1109"/>
    </row>
    <row r="21" spans="1:17" ht="13.5" thickBot="1" x14ac:dyDescent="0.25">
      <c r="A21" s="1107"/>
      <c r="B21" s="193" t="s">
        <v>1086</v>
      </c>
      <c r="C21" s="187"/>
      <c r="D21" s="166" t="s">
        <v>354</v>
      </c>
      <c r="E21" s="76"/>
      <c r="F21" s="76"/>
      <c r="G21" s="76"/>
      <c r="H21" s="76"/>
      <c r="I21" s="76"/>
      <c r="J21" s="76"/>
      <c r="K21" s="1482" t="s">
        <v>1235</v>
      </c>
      <c r="L21" s="1482"/>
      <c r="M21" s="1482"/>
      <c r="N21" s="141"/>
      <c r="O21" s="76"/>
      <c r="P21" s="76"/>
      <c r="Q21" s="1109"/>
    </row>
    <row r="22" spans="1:17" x14ac:dyDescent="0.2">
      <c r="A22" s="1107"/>
      <c r="B22" s="186" t="s">
        <v>1087</v>
      </c>
      <c r="C22" s="187"/>
      <c r="D22" s="151"/>
      <c r="E22" s="151"/>
      <c r="F22" s="151"/>
      <c r="G22" s="151"/>
      <c r="H22" s="166" t="s">
        <v>354</v>
      </c>
      <c r="I22" s="166"/>
      <c r="J22" s="76"/>
      <c r="K22" s="76" t="str">
        <f>IF(ChoixSéparationEcuries=NON,"surface totale écuries :","")</f>
        <v/>
      </c>
      <c r="L22" s="76"/>
      <c r="M22" s="155"/>
      <c r="N22" s="76" t="str">
        <f>IF(ChoixSéparationEcuries=NON,"m²","")</f>
        <v/>
      </c>
      <c r="O22" s="76"/>
      <c r="P22" s="76"/>
      <c r="Q22" s="1109"/>
    </row>
    <row r="23" spans="1:17" x14ac:dyDescent="0.2">
      <c r="A23" s="1107"/>
      <c r="B23" s="193" t="s">
        <v>1088</v>
      </c>
      <c r="C23" s="194"/>
      <c r="D23" s="187"/>
      <c r="E23" s="187"/>
      <c r="F23" s="187"/>
      <c r="G23" s="187"/>
      <c r="H23" s="166" t="s">
        <v>354</v>
      </c>
      <c r="I23" s="166"/>
      <c r="J23" s="76"/>
      <c r="K23" s="76" t="str">
        <f>IF(ChoixSéparationEcuries=NON,"reste/manque écuries : ","")</f>
        <v/>
      </c>
      <c r="L23" s="76"/>
      <c r="M23" s="191" t="str">
        <f>IF(SurfaceTotaleEcuries="","",SurfaceTotaleEcuries-((SUM(TotalPoulainsSelle)*SurfacePoulainSelleEcurie+SUM(TotalJeunesChevauxSelle)*SurfaceJeuneChevalSelleEcurie+SUM(TotalChevauxSelleAdultes)*SurfaceChevauxSelleAdulteEcurie)+(SUM(TotalPoulainsTrait)*SurfacePoulainTraitEcurie+(SUM(TotalJeunesChevauxTrait)*SurfaceJeuneChevauxTraitEcurie+SUM(TotalChevauxTraitAdultes)*SurfaceChevauxTraitAdultesEcurie))+(SUM(TotalPoulainsPoneys)*SurfacePoulainPoneysEcuries+(SUM(TotalJeunesPoneys)*SurfaceJeunePoneysEcurie+SUM(TotalPoneysAdultes)*SurfacePoneysAdultesEcuries))))</f>
        <v/>
      </c>
      <c r="N23" s="76" t="str">
        <f>N22</f>
        <v/>
      </c>
      <c r="O23" s="84" t="str">
        <f>IF(RésultatTotalEcuries="","",IF(SurfaceTotaleEcuries-ABS(RésultatTotalEcuries)&lt;0,"coût : "&amp;ABS(RésultatTotalEcuries)*CoutEcurie&amp;"€","coût :0€"))</f>
        <v/>
      </c>
      <c r="P23" s="192"/>
      <c r="Q23" s="1109"/>
    </row>
    <row r="24" spans="1:17" ht="13.5" thickBot="1" x14ac:dyDescent="0.25">
      <c r="A24" s="1107"/>
      <c r="B24" s="195" t="s">
        <v>1089</v>
      </c>
      <c r="C24" s="743"/>
      <c r="D24" s="743"/>
      <c r="E24" s="743"/>
      <c r="F24" s="743"/>
      <c r="G24" s="743"/>
      <c r="H24" s="166" t="s">
        <v>354</v>
      </c>
      <c r="I24" s="166"/>
      <c r="J24" s="76"/>
      <c r="K24" s="76"/>
      <c r="L24" s="76"/>
      <c r="M24" s="76"/>
      <c r="N24" s="76"/>
      <c r="O24" s="1108"/>
      <c r="P24" s="1108"/>
      <c r="Q24" s="1109"/>
    </row>
    <row r="25" spans="1:17" ht="13.5" thickBot="1" x14ac:dyDescent="0.25">
      <c r="A25" s="1107"/>
      <c r="B25" s="76"/>
      <c r="C25" s="155"/>
      <c r="D25" s="155"/>
      <c r="E25" s="155"/>
      <c r="F25" s="155"/>
      <c r="G25" s="155"/>
      <c r="H25" s="76"/>
      <c r="I25" s="76"/>
      <c r="J25" s="76"/>
      <c r="K25" s="76"/>
      <c r="L25" s="76"/>
      <c r="M25" s="76"/>
      <c r="N25" s="76"/>
      <c r="O25" s="191"/>
      <c r="P25" s="192"/>
      <c r="Q25" s="1109"/>
    </row>
    <row r="26" spans="1:17" x14ac:dyDescent="0.2">
      <c r="A26" s="1107"/>
      <c r="B26" s="196" t="s">
        <v>239</v>
      </c>
      <c r="C26" s="151"/>
      <c r="D26" s="166" t="s">
        <v>132</v>
      </c>
      <c r="E26" s="76"/>
      <c r="F26" s="76"/>
      <c r="G26" s="76"/>
      <c r="H26" s="76"/>
      <c r="I26" s="76"/>
      <c r="J26" s="76"/>
      <c r="K26" s="76"/>
      <c r="L26" s="76"/>
      <c r="M26" s="76"/>
      <c r="N26" s="76"/>
      <c r="O26" s="1108"/>
      <c r="P26" s="1108"/>
      <c r="Q26" s="1109"/>
    </row>
    <row r="27" spans="1:17" ht="13.5" thickBot="1" x14ac:dyDescent="0.25">
      <c r="A27" s="1107"/>
      <c r="B27" s="48" t="s">
        <v>240</v>
      </c>
      <c r="C27" s="743"/>
      <c r="D27" s="166" t="s">
        <v>241</v>
      </c>
      <c r="E27" s="76"/>
      <c r="F27" s="76"/>
      <c r="G27" s="76"/>
      <c r="H27" s="76"/>
      <c r="I27" s="76"/>
      <c r="J27" s="76"/>
      <c r="K27" s="76"/>
      <c r="L27" s="76"/>
      <c r="M27" s="76"/>
      <c r="N27" s="76"/>
      <c r="O27" s="76"/>
      <c r="P27" s="76"/>
      <c r="Q27" s="1109"/>
    </row>
    <row r="28" spans="1:17" x14ac:dyDescent="0.2">
      <c r="A28" s="1107"/>
      <c r="B28" s="76"/>
      <c r="C28" s="155"/>
      <c r="D28" s="76"/>
      <c r="E28" s="76"/>
      <c r="F28" s="76"/>
      <c r="G28" s="76"/>
      <c r="H28" s="76"/>
      <c r="I28" s="76"/>
      <c r="J28" s="76"/>
      <c r="K28" s="76"/>
      <c r="L28" s="76"/>
      <c r="M28" s="76"/>
      <c r="N28" s="76"/>
      <c r="O28" s="76"/>
      <c r="P28" s="76"/>
      <c r="Q28" s="1109"/>
    </row>
    <row r="29" spans="1:17" x14ac:dyDescent="0.2">
      <c r="A29" s="1107"/>
      <c r="B29" s="197" t="s">
        <v>355</v>
      </c>
      <c r="C29" s="184"/>
      <c r="D29" s="166"/>
      <c r="E29" s="198" t="s">
        <v>43</v>
      </c>
      <c r="F29" s="166"/>
      <c r="G29" s="198" t="s">
        <v>1658</v>
      </c>
      <c r="H29" s="76"/>
      <c r="I29" s="199" t="s">
        <v>44</v>
      </c>
      <c r="J29" s="76"/>
      <c r="K29" s="76"/>
      <c r="L29" s="76"/>
      <c r="M29" s="76"/>
      <c r="N29" s="76"/>
      <c r="O29" s="76"/>
      <c r="P29" s="76"/>
      <c r="Q29" s="1109"/>
    </row>
    <row r="30" spans="1:17" ht="13.5" thickBot="1" x14ac:dyDescent="0.25">
      <c r="A30" s="1107"/>
      <c r="B30" s="166"/>
      <c r="C30" s="76"/>
      <c r="D30" s="166"/>
      <c r="E30" s="76"/>
      <c r="F30" s="166"/>
      <c r="G30" s="76"/>
      <c r="H30" s="76"/>
      <c r="I30" s="76"/>
      <c r="J30" s="76"/>
      <c r="K30" s="76"/>
      <c r="L30" s="76"/>
      <c r="M30" s="76"/>
      <c r="N30" s="76"/>
      <c r="O30" s="190"/>
      <c r="P30" s="76"/>
      <c r="Q30" s="1109"/>
    </row>
    <row r="31" spans="1:17" x14ac:dyDescent="0.2">
      <c r="A31" s="1107"/>
      <c r="B31" s="185" t="str">
        <f t="shared" ref="B31:B36" si="0">B7</f>
        <v>stabulation</v>
      </c>
      <c r="C31" s="200" t="str">
        <f>IF(SUM(TotalBovins)=0,"N.C.",IF(ChoixBovinsPréHiver=OUI,(SUM(TotalVeaux)-SUM(TotalVeauxAllaitants))*SurfaceVeauxStabu+(SUM(TotalJeuneBovin)-SUM(TotalJeunesBovinsAllaitants))*SurfaceJeuneBovinStabu+(TotalTaureaux-TotalTaureauxAllaitants)*SurfaceTaureauStabu+(TotalVaches-TotalVachesAllaitant)*SurfaceVacheStabu,SUM(TotalVeaux)*SurfaceVeauxStabu+SUM(TotalJeuneBovin)*SurfaceJeuneBovinStabu+TotalTaureaux*SurfaceTaureauStabu+TotalVaches*SurfaceVacheStabu))</f>
        <v>N.C.</v>
      </c>
      <c r="D31" s="166" t="s">
        <v>354</v>
      </c>
      <c r="E31" s="185" t="str">
        <f>IF(SurfaceNécessaireStabu="N.C.","N.C.",IF(AND(SUM(SurfaceExistanteStabu)="",SurfaceNécessaireStabu&gt;0),-SurfaceNécessaireStabu,SUM(SurfaceExistanteStabu)-SurfaceNécessaireStabu))</f>
        <v>N.C.</v>
      </c>
      <c r="F31" s="166" t="s">
        <v>356</v>
      </c>
      <c r="G31" s="1117"/>
      <c r="H31" s="166"/>
      <c r="I31" s="201">
        <f>IF(BilanStabu&lt;0,(ABS(BilanStabu))*VLOOKUP(Stabu,cout_et_consommation_batiments[[Batiments]:[Coût/unité]],3,FALSE)*(1+VLOOKUP(G31,niveau_equipement_batiments[[niveau d''équimement]:[surcout construction]],2,FALSE)),0)</f>
        <v>0</v>
      </c>
      <c r="J31" s="166"/>
      <c r="K31" s="166"/>
      <c r="L31" s="166"/>
      <c r="M31" s="166"/>
      <c r="N31" s="166"/>
      <c r="O31" s="76"/>
      <c r="P31" s="76"/>
      <c r="Q31" s="1109"/>
    </row>
    <row r="32" spans="1:17" x14ac:dyDescent="0.2">
      <c r="A32" s="1107"/>
      <c r="B32" s="186" t="str">
        <f t="shared" si="0"/>
        <v>chèvrerie</v>
      </c>
      <c r="C32" s="202" t="str">
        <f>IF(SUM(TotalCaprins)=0,"N.C.",SUM(TotalChevreaux)*SurfaceChevreauChèvrerie+SUM(TotalJeunesCaprins)*SurfaceJeuneCaprinChèvrerie+TotalBoucs*SurfaceBoucChèvrerie+TotalChèvres*SurfaceChèvreChèvrerie)</f>
        <v>N.C.</v>
      </c>
      <c r="D32" s="166" t="s">
        <v>354</v>
      </c>
      <c r="E32" s="203" t="str">
        <f>IF(SurfaceNécessaireChèvrerie="N.C.","N.C.",IF(AND(SUM(SurfaceExistanteChèvreries)="",SurfaceNécessaireChèvrerie&gt;0),-SurfaceNécessaireChèvrerie,SUM(SurfaceExistanteChèvreries)-SurfaceNécessaireChèvrerie))</f>
        <v>N.C.</v>
      </c>
      <c r="F32" s="166" t="s">
        <v>356</v>
      </c>
      <c r="G32" s="1118"/>
      <c r="H32" s="76"/>
      <c r="I32" s="204">
        <f>IF(BilanChèvreries&lt;0,(ABS(BilanChèvreries))*VLOOKUP(Chèvrerie,cout_et_consommation_batiments[[Batiments]:[Coût/unité]],3,FALSE)*(1+VLOOKUP(G32,niveau_equipement_batiments[[niveau d''équimement]:[surcout construction]],2,FALSE)),0)</f>
        <v>0</v>
      </c>
      <c r="J32" s="166"/>
      <c r="K32" s="166"/>
      <c r="L32" s="166"/>
      <c r="M32" s="166"/>
      <c r="N32" s="166"/>
      <c r="O32" s="76"/>
      <c r="P32" s="76"/>
      <c r="Q32" s="1109"/>
    </row>
    <row r="33" spans="1:17" ht="13.5" thickBot="1" x14ac:dyDescent="0.25">
      <c r="A33" s="1107"/>
      <c r="B33" s="188" t="str">
        <f t="shared" si="0"/>
        <v>porcherie</v>
      </c>
      <c r="C33" s="202" t="str">
        <f>IF(SUM(TotalPorcins)=0,"N.C.",SUM(TotalPorcelets)*SurfacePorceletPorcherie+SUM(TotalJeunesPorcins)*SurfaceJeunePorcinPorcherie+TotalVerrats*SurfaceVerratPorcherie+TotalTruies*SurfaceTruiePorcherie)</f>
        <v>N.C.</v>
      </c>
      <c r="D33" s="166" t="s">
        <v>354</v>
      </c>
      <c r="E33" s="188" t="str">
        <f>IF(SurfaceNécessairePorcherie="N.C.","N.C.",IF(AND(SUM(SurfaceExistantePorcheries)="",SurfaceNécessairePorcherie&gt;0),-SurfaceNécessairePorcherie,SUM(SurfaceExistantePorcheries)-SurfaceNécessairePorcherie))</f>
        <v>N.C.</v>
      </c>
      <c r="F33" s="166" t="s">
        <v>356</v>
      </c>
      <c r="G33" s="1119"/>
      <c r="H33" s="75"/>
      <c r="I33" s="205">
        <f>IF(BilanPorcheries&lt;0,(ABS(BilanPorcheries))*VLOOKUP(Porcherie,cout_et_consommation_batiments[[Batiments]:[Coût/unité]],3,FALSE)*(1+VLOOKUP(G33,niveau_equipement_batiments[[niveau d''équimement]:[surcout construction]],2,FALSE)),0)</f>
        <v>0</v>
      </c>
      <c r="J33" s="166"/>
      <c r="K33" s="166"/>
      <c r="L33" s="166"/>
      <c r="M33" s="166"/>
      <c r="N33" s="166"/>
      <c r="O33" s="76"/>
      <c r="P33" s="76"/>
      <c r="Q33" s="1109"/>
    </row>
    <row r="34" spans="1:17" ht="13.5" thickBot="1" x14ac:dyDescent="0.25">
      <c r="A34" s="1107"/>
      <c r="B34" s="186" t="str">
        <f t="shared" si="0"/>
        <v>parc et abris à porcins</v>
      </c>
      <c r="C34" s="202" t="str">
        <f>IF(OR(ChoixElevagePorcins=ElevagePorcinsLitière,ChoixElevagePorcins=ElevagePorcinsCaillebottis,SUM(TotalPorcins)=0),"N.C.",SUM(TotalPorcins)/SurfacePorcinsAbrisEtParcs)</f>
        <v>N.C.</v>
      </c>
      <c r="D34" s="166" t="s">
        <v>354</v>
      </c>
      <c r="E34" s="203" t="str">
        <f>IF(SurfaceNécessaireParcsPorcins="N.C.","N.C.",IF(AND(SurfaceExistanteParcsPorcins="",SurfaceNécessaireParcsPorcins&gt;0),-SurfaceNécessaireParcsPorcins,SurfaceExistanteParcsPorcins-SurfaceNécessaireParcsPorcins))</f>
        <v>N.C.</v>
      </c>
      <c r="F34" s="166" t="s">
        <v>356</v>
      </c>
      <c r="G34" s="166"/>
      <c r="H34" s="75"/>
      <c r="I34" s="204">
        <f>IF(BilanParcsPorcins&lt;0,(ABS(BilanParcsPorcins))*VLOOKUP(ParcsPorcins,cout_et_consommation_batiments[[Batiments]:[Coût/unité]],3,FALSE),0)</f>
        <v>0</v>
      </c>
      <c r="J34" s="76"/>
      <c r="K34" s="76"/>
      <c r="L34" s="76"/>
      <c r="M34" s="76"/>
      <c r="N34" s="76"/>
      <c r="O34" s="76"/>
      <c r="P34" s="76"/>
      <c r="Q34" s="1109"/>
    </row>
    <row r="35" spans="1:17" x14ac:dyDescent="0.2">
      <c r="A35" s="1107"/>
      <c r="B35" s="188" t="str">
        <f t="shared" si="0"/>
        <v>bergerie</v>
      </c>
      <c r="C35" s="202" t="str">
        <f>IF(SUM(TotalOvins)=0,"N.C.",IF(ChoixOvinsPréHiver=OUI,SUM(TotalAgneaux)*SurfaceAgneauBergerie+SUM(TotalJeunesOvins)*SurfaceJeuneOvinBergerie+TotalBéliers*SurfaceBélierBergerie+TotalBrebis*SurfaceBrebisBergerie,SUM(TotalAgneaux)*SurfaceAgneauBergerie+SUM(TotalJeunesOvins)*SurfaceJeuneOvinBergerie+TotalBéliers*SurfaceBélierBergerie+TotalBrebis*SurfaceBrebisBergerie))</f>
        <v>N.C.</v>
      </c>
      <c r="D35" s="166" t="s">
        <v>354</v>
      </c>
      <c r="E35" s="188" t="str">
        <f>IF(SurfaceNécessaireBergerie="N.C.","N.C.",IF(AND(SUM(SurfaceExistanteBergeries)="",SurfaceNécessaireBergerie&gt;0),-SurfaceNécessaireBergerie,SUM(SurfaceExistanteBergeries)-SurfaceNécessaireBergerie))</f>
        <v>N.C.</v>
      </c>
      <c r="F35" s="166" t="s">
        <v>354</v>
      </c>
      <c r="G35" s="1117"/>
      <c r="H35" s="75"/>
      <c r="I35" s="205">
        <f>IF(BilanBergerie&lt;0,(ABS(BilanBergerie))*VLOOKUP(Bergerie,cout_et_consommation_batiments[[Batiments]:[Coût/unité]],3,FALSE)*(1+VLOOKUP(G35,niveau_equipement_batiments[[niveau d''équimement]:[surcout construction]],2,FALSE)),0)</f>
        <v>0</v>
      </c>
      <c r="J35" s="76"/>
      <c r="K35" s="76"/>
      <c r="L35" s="76"/>
      <c r="M35" s="76"/>
      <c r="N35" s="76"/>
      <c r="O35" s="76"/>
      <c r="P35" s="76"/>
      <c r="Q35" s="1109"/>
    </row>
    <row r="36" spans="1:17" ht="13.5" thickBot="1" x14ac:dyDescent="0.25">
      <c r="A36" s="1107"/>
      <c r="B36" s="186" t="str">
        <f t="shared" si="0"/>
        <v>clapier</v>
      </c>
      <c r="C36" s="202" t="str">
        <f>IF(SUM(TotalLapins)=0,"N.C.",SUM(TotalLapereaux)*SurfaceLapereauClapier+SUM(TotalJeunesLapins)*SurfaceJeuneLapinClapier+SUM(TotalLapinsAdultes)*SurfaceLapinAdulteClapier)</f>
        <v>N.C.</v>
      </c>
      <c r="D36" s="166" t="s">
        <v>354</v>
      </c>
      <c r="E36" s="203" t="str">
        <f>IF(SurfaceNécessaireClapiers="N.C.","N.C.",IF(AND(SUM(SurfaceExistanteClapiers)="",SurfaceNécessaireClapiers&gt;0),-SurfaceNécessaireClapiers,SUM(SurfaceExistanteClapiers)-SurfaceNécessaireClapiers))</f>
        <v>N.C.</v>
      </c>
      <c r="F36" s="166" t="s">
        <v>354</v>
      </c>
      <c r="G36" s="1119"/>
      <c r="H36" s="75"/>
      <c r="I36" s="204">
        <f>IF(BilanClapiers&lt;0,(ABS(BilanClapiers))*VLOOKUP(Clapiers,cout_et_consommation_batiments[[Batiments]:[Coût/unité]],3,FALSE)*(1+VLOOKUP(G36,niveau_equipement_batiments[[niveau d''équimement]:[surcout construction]],2,FALSE)),0)</f>
        <v>0</v>
      </c>
      <c r="J36" s="166"/>
      <c r="K36" s="166"/>
      <c r="L36" s="166"/>
      <c r="M36" s="166"/>
      <c r="N36" s="166"/>
      <c r="O36" s="76"/>
      <c r="P36" s="76"/>
      <c r="Q36" s="1109"/>
    </row>
    <row r="37" spans="1:17" ht="13.5" thickBot="1" x14ac:dyDescent="0.25">
      <c r="A37" s="1107"/>
      <c r="B37" s="188" t="str">
        <f>B13</f>
        <v>parc à lapins</v>
      </c>
      <c r="C37" s="202" t="str">
        <f>IF(OR(ChoixElevageLapins=ElevageLapinsConventionnel,ChoixElevageLapins=""),"N.C.",SUM(TotalLapereaux)*SurfaceLapereauParc+SUM(TotalJeunesLapins)*SurfaceJeuneLapinParc+SUM(TotalLapinsAdultes)*SurfaceLapinAdulteParc)</f>
        <v>N.C.</v>
      </c>
      <c r="D37" s="166" t="s">
        <v>354</v>
      </c>
      <c r="E37" s="188" t="str">
        <f>IF(SurfaceNécessaireParcsLapins="N.C.","N.C.",IF(AND(SurfaceExistanteParcsLapins="",SurfaceNécessaireParcsLapins&gt;0),-SurfaceNécessaireParcsLapins,SurfaceExistanteParcsLapins-SurfaceNécessaireParcsLapins))</f>
        <v>N.C.</v>
      </c>
      <c r="F37" s="166" t="s">
        <v>354</v>
      </c>
      <c r="G37" s="166"/>
      <c r="H37" s="75"/>
      <c r="I37" s="205">
        <f>IF(BilanParcsLapins&lt;0,(ABS(BilanParcsLapins))*VLOOKUP(ParcsLapins,cout_et_consommation_batiments[[Batiments]:[Coût/unité]],3,FALSE),0)</f>
        <v>0</v>
      </c>
      <c r="J37" s="166"/>
      <c r="K37" s="166"/>
      <c r="L37" s="166"/>
      <c r="M37" s="166"/>
      <c r="N37" s="166"/>
      <c r="O37" s="76"/>
      <c r="P37" s="76"/>
      <c r="Q37" s="1109"/>
    </row>
    <row r="38" spans="1:17" x14ac:dyDescent="0.2">
      <c r="A38" s="1107"/>
      <c r="B38" s="186" t="str">
        <f>B14</f>
        <v>poulailler (poules)</v>
      </c>
      <c r="C38" s="202" t="str">
        <f>IF(OR(ChoixSéparationPoulaillers=NON,SUM(TotalVolailles)=0),"N.C.",SUM(TotalPoussins)*SurfacePoussinPoulailler+SUM(TotalJeuneVolaille)*SurfaceJeuneVolaillePoulailler+SUM(TotalVolailleAdulte)*SurfaceVolailleAdultePoulaille)</f>
        <v>N.C.</v>
      </c>
      <c r="D38" s="166" t="s">
        <v>354</v>
      </c>
      <c r="E38" s="203" t="str">
        <f>IF(SurfaceNécessairePoulaillersVolailles="N.C.","N.C.",IF(AND(SUM(SurfaceExistantePoulaillersVolailles)="",SurfaceNécessairePoulaillersVolailles&gt;0),-SurfaceNécessairePoulaillersVolailles,SUM(SurfaceExistantePoulaillersVolailles)-SurfaceNécessairePoulaillersVolailles))</f>
        <v>N.C.</v>
      </c>
      <c r="F38" s="166" t="s">
        <v>354</v>
      </c>
      <c r="G38" s="1117"/>
      <c r="H38" s="75"/>
      <c r="I38" s="204">
        <f>IF(BilanPoulaillersVolailles&lt;0,(ABS(BilanPoulaillersVolailles))*VLOOKUP(PoulaillersVolailles,cout_et_consommation_batiments[[Batiments]:[Coût/unité]],3,FALSE)*(1+VLOOKUP(G38,niveau_equipement_batiments[[niveau d''équimement]:[surcout construction]],2,FALSE)),0)</f>
        <v>0</v>
      </c>
      <c r="J38" s="166"/>
      <c r="K38" s="166"/>
      <c r="L38" s="166"/>
      <c r="M38" s="166"/>
      <c r="N38" s="166"/>
      <c r="O38" s="76"/>
      <c r="P38" s="76"/>
      <c r="Q38" s="1109"/>
    </row>
    <row r="39" spans="1:17" x14ac:dyDescent="0.2">
      <c r="A39" s="1107"/>
      <c r="B39" s="188" t="str">
        <f t="shared" ref="B39:B48" si="1">B15</f>
        <v>poulailler (pintades)</v>
      </c>
      <c r="C39" s="202" t="str">
        <f>IF(OR(ChoixSéparationPoulaillers=NON,SUM(TotalPintades)=0),"N.C.",SUM(TotalPintadeaux)*SurfacePintadeauPoulailler+SUM(TotalJeunesPintades)*SurfaceJeunePintadePoulailler+SUM(TotalPintadesAdultes)*SurfacePintadeAdultePoulailler)</f>
        <v>N.C.</v>
      </c>
      <c r="D39" s="166" t="s">
        <v>354</v>
      </c>
      <c r="E39" s="188" t="str">
        <f>IF(SurfaceNécessairePoulaillersPintades="N.C.","N.C.",IF(AND(SUM(SurfaceExistantePoulaillersPintades)="",SurfaceNécessairePoulaillersPintades&gt;0),-SurfaceNécessairePoulaillersPintades,SUM(SurfaceExistantePoulaillersPintades)-SurfaceNécessairePoulaillersPintades))</f>
        <v>N.C.</v>
      </c>
      <c r="F39" s="166" t="s">
        <v>354</v>
      </c>
      <c r="G39" s="1118"/>
      <c r="H39" s="75"/>
      <c r="I39" s="205">
        <f>IF(BilanPoulaillersPintades&lt;0,(ABS(BilanPoulaillersPintades))*VLOOKUP(PoulaillerPintades,cout_et_consommation_batiments[[Batiments]:[Coût/unité]],3,FALSE)*(1+VLOOKUP(G39,niveau_equipement_batiments[[niveau d''équimement]:[surcout construction]],2,FALSE)),0)</f>
        <v>0</v>
      </c>
      <c r="J39" s="166"/>
      <c r="K39" s="166"/>
      <c r="L39" s="166"/>
      <c r="M39" s="166"/>
      <c r="N39" s="166"/>
      <c r="O39" s="76"/>
      <c r="P39" s="76"/>
      <c r="Q39" s="1109"/>
    </row>
    <row r="40" spans="1:17" x14ac:dyDescent="0.2">
      <c r="A40" s="1107"/>
      <c r="B40" s="186" t="str">
        <f t="shared" si="1"/>
        <v>poulailler (oies)</v>
      </c>
      <c r="C40" s="202" t="str">
        <f>IF(OR(ChoixSéparationPoulaillers=NON,SUM(TotalOies)=0),"N.C.",SUM(TotalOisons)*SurfaceOisonPoulailler+SUM(TotalJeunesOies)*SurfaceJeuneOiePoulailler+SUM(TotalOiesAdultes)*SurfaceOieAdultePoulailler)</f>
        <v>N.C.</v>
      </c>
      <c r="D40" s="166" t="s">
        <v>354</v>
      </c>
      <c r="E40" s="203" t="str">
        <f>IF(SurfaceNécessairePoulaillersOies="N.C.","N.C.",IF(AND(SUM(SurfaceExistantePoulaillersOies)="",SurfaceNécessairePoulaillersOies&gt;0),-SurfaceNécessairePoulaillersOies,SUM(SurfaceExistantePoulaillersOies)-SurfaceNécessairePoulaillersOies))</f>
        <v>N.C.</v>
      </c>
      <c r="F40" s="166" t="s">
        <v>354</v>
      </c>
      <c r="G40" s="1118"/>
      <c r="H40" s="75"/>
      <c r="I40" s="204">
        <f>IF(BilanPoulaillersOies&lt;0,(ABS(BilanPoulaillersOies))*VLOOKUP(PoulaillerOies,cout_et_consommation_batiments[[Batiments]:[Coût/unité]],3,FALSE)*(1+VLOOKUP(G40,niveau_equipement_batiments[[niveau d''équimement]:[surcout construction]],2,FALSE)),0)</f>
        <v>0</v>
      </c>
      <c r="J40" s="166"/>
      <c r="K40" s="166"/>
      <c r="L40" s="166"/>
      <c r="M40" s="166"/>
      <c r="N40" s="166"/>
      <c r="O40" s="76"/>
      <c r="P40" s="76"/>
      <c r="Q40" s="1109"/>
    </row>
    <row r="41" spans="1:17" ht="13.5" thickBot="1" x14ac:dyDescent="0.25">
      <c r="A41" s="1107"/>
      <c r="B41" s="188" t="str">
        <f t="shared" si="1"/>
        <v>poulailler (canards)</v>
      </c>
      <c r="C41" s="202" t="str">
        <f>IF(OR(ChoixSéparationPoulaillers=NON,SUM(TotalCanards)=0),"N.C.",SUM(TotalCanetons)*SurfaceCanetonPoulailler+SUM(TotalJeunesCanards)*SurfaceJeuneCanardPoulailler+SUM(TotalCanardsAdultes)*SurfaceCanardAdultePoulailler)</f>
        <v>N.C.</v>
      </c>
      <c r="D41" s="166" t="s">
        <v>354</v>
      </c>
      <c r="E41" s="188" t="str">
        <f>IF(SurfaceNécessairePoulaillersCanards="N.C.","N.C.",IF(AND(SUM(SurfaceExistantePoulaillersCanards)="",SurfaceNécessairePoulaillersCanards&gt;0),-SurfaceNécessairePoulaillersCanards,SUM(SurfaceExistantePoulaillersCanards)-SurfaceNécessairePoulaillersCanards))</f>
        <v>N.C.</v>
      </c>
      <c r="F41" s="166" t="s">
        <v>354</v>
      </c>
      <c r="G41" s="1119"/>
      <c r="H41" s="75"/>
      <c r="I41" s="205">
        <f>IF(BilanPoulaillersCanards&lt;0,(ABS(BilanPoulaillersCanards))*VLOOKUP(PoulaillerCanards,cout_et_consommation_batiments[[Batiments]:[Coût/unité]],3,FALSE)*(1+VLOOKUP(G41,niveau_equipement_batiments[[niveau d''équimement]:[surcout construction]],2,FALSE)),0)</f>
        <v>0</v>
      </c>
      <c r="J41" s="166"/>
      <c r="K41" s="166"/>
      <c r="L41" s="166"/>
      <c r="M41" s="166"/>
      <c r="N41" s="166"/>
      <c r="O41" s="76"/>
      <c r="P41" s="76"/>
      <c r="Q41" s="1109"/>
    </row>
    <row r="42" spans="1:17" x14ac:dyDescent="0.2">
      <c r="A42" s="1107"/>
      <c r="B42" s="186" t="str">
        <f t="shared" si="1"/>
        <v>parc à volailles (poules)</v>
      </c>
      <c r="C42" s="202" t="str">
        <f>IF(OR(ChoixSéparationParcsVolailles=NON,ChoixElevageVolailles=ElevageVolaillesIntensif,ChoixRationVolailles="",SUM(TotalVolailles)=0),"N.C.",SUM(TotalVolailles)*SurfaceVolailleParc)</f>
        <v>N.C.</v>
      </c>
      <c r="D42" s="166" t="s">
        <v>354</v>
      </c>
      <c r="E42" s="203" t="str">
        <f>IF(SurfaceNécessaireParcsVolailles="N.C.","N.C.",IF(AND(SurfaceExistanteParcsVolailles="",SurfaceNécessaireParcsVolailles&gt;0),-SurfaceNécessaireParcsVolailles,SurfaceExistanteParcsVolailles-SurfaceNécessaireParcsVolailles))</f>
        <v>N.C.</v>
      </c>
      <c r="F42" s="166" t="s">
        <v>354</v>
      </c>
      <c r="G42" s="166"/>
      <c r="H42" s="75"/>
      <c r="I42" s="204">
        <f>IF(BilanParcsVolailles&lt;0,(ABS(BilanParcsVolailles))*VLOOKUP(ParcsVolailles,cout_et_consommation_batiments[[Batiments]:[Coût/unité]],3,FALSE),0)</f>
        <v>0</v>
      </c>
      <c r="J42" s="166"/>
      <c r="K42" s="166"/>
      <c r="L42" s="166"/>
      <c r="M42" s="166"/>
      <c r="N42" s="166"/>
      <c r="O42" s="76"/>
      <c r="P42" s="76"/>
      <c r="Q42" s="1109"/>
    </row>
    <row r="43" spans="1:17" x14ac:dyDescent="0.2">
      <c r="A43" s="1107"/>
      <c r="B43" s="188" t="str">
        <f t="shared" si="1"/>
        <v>parc à volailles (pintades)</v>
      </c>
      <c r="C43" s="202" t="str">
        <f>IF(OR(ChoixSéparationParcsVolailles=NON,ChoixElevagePintades=ElevagePintadesIntensif,ChoixRationPintades="",SUM(TotalPintades)=0),"N.C.",SUM(TotalPintades)*SurfacePintadeParc)</f>
        <v>N.C.</v>
      </c>
      <c r="D43" s="166" t="s">
        <v>354</v>
      </c>
      <c r="E43" s="188" t="str">
        <f>IF(SurfaceNécessaireParcsPintades="N.C.","N.C.",IF(AND(SurfaceExistanteParcsPintades="",SurfaceNécessaireParcsPintades&gt;0),-SurfaceNécessaireParcsPintades,SurfaceExistanteParcsPintades-SurfaceNécessaireParcsPintades))</f>
        <v>N.C.</v>
      </c>
      <c r="F43" s="166" t="s">
        <v>354</v>
      </c>
      <c r="G43" s="166"/>
      <c r="H43" s="76"/>
      <c r="I43" s="205">
        <f>IF(BilanParcsPintades&lt;0,(ABS(BilanParcsPintades))*VLOOKUP(ParcsPintades,cout_et_consommation_batiments[[Batiments]:[Coût/unité]],3,FALSE),0)</f>
        <v>0</v>
      </c>
      <c r="J43" s="166"/>
      <c r="K43" s="166"/>
      <c r="L43" s="166"/>
      <c r="M43" s="166"/>
      <c r="N43" s="166"/>
      <c r="O43" s="76"/>
      <c r="P43" s="76"/>
      <c r="Q43" s="1109"/>
    </row>
    <row r="44" spans="1:17" x14ac:dyDescent="0.2">
      <c r="A44" s="1107"/>
      <c r="B44" s="186" t="str">
        <f t="shared" si="1"/>
        <v>parc à volailles (oies)</v>
      </c>
      <c r="C44" s="202" t="str">
        <f>IF(OR(ChoixSéparationParcsVolailles=NON,SUM(TotalOies)=0),"N.C.",SUM(TotalOies)*SurfaceOieParc)</f>
        <v>N.C.</v>
      </c>
      <c r="D44" s="166" t="s">
        <v>354</v>
      </c>
      <c r="E44" s="203" t="str">
        <f>IF(SurfaceNécessaireParcsOies="N.C.","N.C.",IF(AND(SurfaceExistanteParcsOies="",SurfaceNécessaireParcsOies&gt;0),-SurfaceNécessaireParcsOies,SurfaceExistanteParcsOies-SurfaceNécessaireParcsOies))</f>
        <v>N.C.</v>
      </c>
      <c r="F44" s="166" t="s">
        <v>354</v>
      </c>
      <c r="G44" s="166"/>
      <c r="H44" s="76"/>
      <c r="I44" s="204">
        <f>IF(BilanParcsOies&lt;0,(ABS(BilanParcsOies))*VLOOKUP(ParcsOies,cout_et_consommation_batiments[[Batiments]:[Coût/unité]],3,FALSE),0)</f>
        <v>0</v>
      </c>
      <c r="J44" s="166"/>
      <c r="K44" s="166"/>
      <c r="L44" s="166"/>
      <c r="M44" s="166"/>
      <c r="N44" s="166"/>
      <c r="O44" s="76"/>
      <c r="P44" s="76"/>
      <c r="Q44" s="1109"/>
    </row>
    <row r="45" spans="1:17" ht="13.5" thickBot="1" x14ac:dyDescent="0.25">
      <c r="A45" s="1107"/>
      <c r="B45" s="188" t="str">
        <f t="shared" si="1"/>
        <v>parc à volailles (canards)</v>
      </c>
      <c r="C45" s="202" t="str">
        <f>IF(OR(ChoixSéparationParcsVolailles=NON,SUM(TotalCanards)=0),"N.C.",SUM(TotalCanards)*SurfaceCanardParc)</f>
        <v>N.C.</v>
      </c>
      <c r="D45" s="166" t="s">
        <v>354</v>
      </c>
      <c r="E45" s="188" t="str">
        <f>IF(SurfaceNécessaireParcsCanards="N.C.","N.C.",IF(AND(SurfaceExistanteParcsCanards="",SurfaceNécessaireParcsCanards&gt;0),-SurfaceNécessaireParcsCanards,SurfaceExistanteParcsCanards-SurfaceNécessaireParcsCanards))</f>
        <v>N.C.</v>
      </c>
      <c r="F45" s="166" t="s">
        <v>354</v>
      </c>
      <c r="G45" s="166"/>
      <c r="H45" s="76"/>
      <c r="I45" s="205">
        <f>IF(BilanParcsCanards&lt;0,(ABS(BilanParcsCanards))*VLOOKUP(ParcsCanards,cout_et_consommation_batiments[[Batiments]:[Coût/unité]],3,FALSE),0)</f>
        <v>0</v>
      </c>
      <c r="J45" s="166"/>
      <c r="K45" s="166"/>
      <c r="L45" s="166"/>
      <c r="M45" s="166"/>
      <c r="N45" s="166"/>
      <c r="O45" s="76"/>
      <c r="P45" s="76"/>
      <c r="Q45" s="1109"/>
    </row>
    <row r="46" spans="1:17" x14ac:dyDescent="0.2">
      <c r="A46" s="1107"/>
      <c r="B46" s="186" t="str">
        <f t="shared" si="1"/>
        <v>écurie (chevaux de selle)</v>
      </c>
      <c r="C46" s="206" t="str">
        <f>IF(OR(ChoixSéparationEcuries=NON,SUM(TotalChevauxSelle)=0),"N.C.",IF(ChoixChevauxSellePréHiver=OUI,0,(SUM(TotalPoulainsSelle)*SurfacePoulainSelleEcurie+SUM(TotalJeunesChevauxSelle)*SurfaceJeuneChevalSelleEcurie+SUM(TotalChevauxSelleAdultes)*SurfaceChevauxSelleAdulteEcurie)))</f>
        <v>N.C.</v>
      </c>
      <c r="D46" s="166" t="s">
        <v>354</v>
      </c>
      <c r="E46" s="207" t="str">
        <f>IF(SurfaceNécessaireEcuriesSelle="N.C.","N.C.",IF(AND(SUM(SurfaceExistanteEcuriesSelle)="",SurfaceNécessaireEcuriesSelle&gt;0),-SurfaceNécessaireEcuriesSelle,SUM(SurfaceExistanteEcuriesSelle)-SurfaceNécessaireEcuriesSelle))</f>
        <v>N.C.</v>
      </c>
      <c r="F46" s="166" t="s">
        <v>354</v>
      </c>
      <c r="G46" s="1117"/>
      <c r="H46" s="190"/>
      <c r="I46" s="204">
        <f>IF(BilanEcuriesSelle&lt;0,(ABS(BilanEcuriesSelle))*VLOOKUP(EcuriesSelle,cout_et_consommation_batiments[[Batiments]:[Coût/unité]],3,FALSE)*(1+VLOOKUP(G46,niveau_equipement_batiments[[niveau d''équimement]:[surcout construction]],2,FALSE)),0)</f>
        <v>0</v>
      </c>
      <c r="J46" s="166"/>
      <c r="K46" s="166"/>
      <c r="L46" s="166"/>
      <c r="M46" s="166"/>
      <c r="N46" s="166"/>
      <c r="O46" s="76"/>
      <c r="P46" s="76"/>
      <c r="Q46" s="1109"/>
    </row>
    <row r="47" spans="1:17" x14ac:dyDescent="0.2">
      <c r="A47" s="1107"/>
      <c r="B47" s="188" t="str">
        <f t="shared" si="1"/>
        <v>écurie (chevaux de trait)</v>
      </c>
      <c r="C47" s="202" t="str">
        <f>IF(OR(ChoixSéparationEcuries=NON,SUM(TotalChevauxTrait)=0),"N.C.",IF(ChoixChevauxTraitPréHiver=OUI,0,(SUM(TotalPoulainsTrait)*SurfacePoulainTraitEcurie+(SUM(TotalJeunesChevauxTrait)*SurfaceJeuneChevauxTraitEcurie+SUM(TotalChevauxTraitAdultes)*SurfaceChevauxTraitAdultesEcurie))))</f>
        <v>N.C.</v>
      </c>
      <c r="D47" s="166" t="s">
        <v>354</v>
      </c>
      <c r="E47" s="188" t="str">
        <f>IF(SurfaceNécessaireEcuriesTrait="N.C.","N.C.",IF(AND(SUM(SurfaceExistanteEcuriesTrait)="",SurfaceNécessaireEcuriesTrait&gt;0),-SurfaceNécessaireEcuriesTrait,SUM(SurfaceExistanteEcuriesTrait)-SurfaceNécessaireEcuriesTrait))</f>
        <v>N.C.</v>
      </c>
      <c r="F47" s="166" t="s">
        <v>354</v>
      </c>
      <c r="G47" s="1118"/>
      <c r="H47" s="76"/>
      <c r="I47" s="205">
        <f>IF(BilanEcuriesTrait&lt;0,(ABS(BilanEcuriesTrait))*VLOOKUP(EcuriesTrait,cout_et_consommation_batiments[[Batiments]:[Coût/unité]],3,FALSE)*(1+VLOOKUP(G47,niveau_equipement_batiments[[niveau d''équimement]:[surcout construction]],2,FALSE)),0)</f>
        <v>0</v>
      </c>
      <c r="J47" s="166"/>
      <c r="K47" s="166"/>
      <c r="L47" s="166"/>
      <c r="M47" s="166"/>
      <c r="N47" s="166"/>
      <c r="O47" s="76"/>
      <c r="P47" s="76"/>
      <c r="Q47" s="1109"/>
    </row>
    <row r="48" spans="1:17" ht="13.5" thickBot="1" x14ac:dyDescent="0.25">
      <c r="A48" s="1107"/>
      <c r="B48" s="208" t="str">
        <f t="shared" si="1"/>
        <v>écurie (poneys)</v>
      </c>
      <c r="C48" s="209" t="str">
        <f>IF(OR(ChoixSéparationEcuries=NON,SUM(TotalPoneys)=0),"N.C.",IF(ChoixPoneysPréHiver=OUI,0,(SUM(TotalPoulainsPoneys)*SurfacePoulainPoneysEcuries+(SUM(TotalJeunesPoneys)*SurfaceJeunePoneysEcurie+SUM(TotalPoneysAdultes)*SurfacePoneysAdultesEcuries))))</f>
        <v>N.C.</v>
      </c>
      <c r="D48" s="166" t="s">
        <v>354</v>
      </c>
      <c r="E48" s="210" t="str">
        <f>IF(SurfaceNécessaireEcuriesPoneys="N.C.","N.C.",IF(AND(SUM(SurfaceExistanteEcuriesPoneys)="",SurfaceNécessaireEcuriesPoneys&gt;0),-SurfaceNécessaireEcuriesPoneys,SUM(SurfaceExistanteEcuriesPoneys)-SurfaceNécessaireEcuriesPoneys))</f>
        <v>N.C.</v>
      </c>
      <c r="F48" s="166" t="s">
        <v>354</v>
      </c>
      <c r="G48" s="1119"/>
      <c r="H48" s="76"/>
      <c r="I48" s="211">
        <f>IF(BilanEcuriesPoneys&lt;0,(ABS(BilanEcuriesPoneys))*VLOOKUP(EcuriesPoneys,cout_et_consommation_batiments[[Batiments]:[Coût/unité]],3,FALSE)*(1+VLOOKUP(G48,niveau_equipement_batiments[[niveau d''équimement]:[surcout construction]],2,FALSE)),0)</f>
        <v>0</v>
      </c>
      <c r="J48" s="166"/>
      <c r="K48" s="166"/>
      <c r="L48" s="166"/>
      <c r="M48" s="166"/>
      <c r="N48" s="166"/>
      <c r="O48" s="76"/>
      <c r="P48" s="76"/>
      <c r="Q48" s="1109"/>
    </row>
    <row r="49" spans="1:17" x14ac:dyDescent="0.2">
      <c r="A49" s="1107"/>
      <c r="B49" s="76"/>
      <c r="C49" s="76"/>
      <c r="D49" s="76"/>
      <c r="E49" s="76"/>
      <c r="F49" s="76"/>
      <c r="G49" s="76"/>
      <c r="H49" s="1108"/>
      <c r="I49" s="1108"/>
      <c r="J49" s="1108"/>
      <c r="K49" s="1108"/>
      <c r="L49" s="1108"/>
      <c r="M49" s="1108"/>
      <c r="N49" s="1108"/>
      <c r="O49" s="1108"/>
      <c r="P49" s="1108"/>
      <c r="Q49" s="1109"/>
    </row>
    <row r="50" spans="1:17" x14ac:dyDescent="0.2">
      <c r="A50" s="1107"/>
      <c r="B50" s="166"/>
      <c r="C50" s="212"/>
      <c r="D50" s="212"/>
      <c r="E50" s="76"/>
      <c r="F50" s="213" t="s">
        <v>133</v>
      </c>
      <c r="G50" s="214">
        <f>SUM(I31:I48)</f>
        <v>0</v>
      </c>
      <c r="H50" s="1108"/>
      <c r="I50" s="1108"/>
      <c r="J50" s="1108"/>
      <c r="K50" s="1108"/>
      <c r="L50" s="1108"/>
      <c r="M50" s="1108"/>
      <c r="N50" s="1108"/>
      <c r="O50" s="1108"/>
      <c r="P50" s="1108"/>
      <c r="Q50" s="1109"/>
    </row>
    <row r="51" spans="1:17" x14ac:dyDescent="0.2">
      <c r="A51" s="1107"/>
      <c r="B51" s="166"/>
      <c r="C51" s="76"/>
      <c r="D51" s="76"/>
      <c r="E51" s="76"/>
      <c r="F51" s="1108"/>
      <c r="G51" s="1108"/>
      <c r="H51" s="1108"/>
      <c r="I51" s="1108"/>
      <c r="J51" s="1108"/>
      <c r="K51" s="1108"/>
      <c r="L51" s="1108"/>
      <c r="M51" s="1108"/>
      <c r="N51" s="1108"/>
      <c r="O51" s="1108"/>
      <c r="P51" s="1108"/>
      <c r="Q51" s="1109"/>
    </row>
    <row r="52" spans="1:17" x14ac:dyDescent="0.2">
      <c r="A52" s="1107"/>
      <c r="B52" s="215"/>
      <c r="C52" s="215"/>
      <c r="D52" s="215"/>
      <c r="E52" s="76"/>
      <c r="F52" s="1108"/>
      <c r="G52" s="1108"/>
      <c r="H52" s="1108"/>
      <c r="I52" s="1108"/>
      <c r="J52" s="1108"/>
      <c r="K52" s="1108"/>
      <c r="L52" s="1108"/>
      <c r="M52" s="1108"/>
      <c r="N52" s="1108"/>
      <c r="O52" s="1108"/>
      <c r="P52" s="1108"/>
      <c r="Q52" s="1109"/>
    </row>
    <row r="53" spans="1:17" x14ac:dyDescent="0.2">
      <c r="A53" s="1107"/>
      <c r="B53" s="76"/>
      <c r="C53" s="76"/>
      <c r="D53" s="76"/>
      <c r="E53" s="76"/>
      <c r="F53" s="1108"/>
      <c r="G53" s="1108"/>
      <c r="H53" s="1108"/>
      <c r="I53" s="1108"/>
      <c r="J53" s="1108"/>
      <c r="K53" s="1108"/>
      <c r="L53" s="1108"/>
      <c r="M53" s="1108"/>
      <c r="N53" s="1108"/>
      <c r="O53" s="1108"/>
      <c r="P53" s="1108"/>
      <c r="Q53" s="1109"/>
    </row>
    <row r="54" spans="1:17" x14ac:dyDescent="0.2">
      <c r="A54" s="1107"/>
      <c r="B54" s="31" t="s">
        <v>575</v>
      </c>
      <c r="C54" s="1372" t="s">
        <v>162</v>
      </c>
      <c r="D54" s="1373"/>
      <c r="E54" s="76"/>
      <c r="F54" s="1108"/>
      <c r="G54" s="1108"/>
      <c r="H54" s="1108"/>
      <c r="I54" s="1108"/>
      <c r="J54" s="1108"/>
      <c r="K54" s="1108"/>
      <c r="L54" s="1108"/>
      <c r="M54" s="1108"/>
      <c r="N54" s="1108"/>
      <c r="O54" s="1108"/>
      <c r="P54" s="1108"/>
      <c r="Q54" s="1109"/>
    </row>
    <row r="55" spans="1:17" ht="13.5" thickBot="1" x14ac:dyDescent="0.25">
      <c r="A55" s="1112"/>
      <c r="B55" s="1113"/>
      <c r="C55" s="1113"/>
      <c r="D55" s="1113"/>
      <c r="E55" s="1113"/>
      <c r="F55" s="1113"/>
      <c r="G55" s="1113"/>
      <c r="H55" s="1113"/>
      <c r="I55" s="1113"/>
      <c r="J55" s="1113"/>
      <c r="K55" s="1113"/>
      <c r="L55" s="1113"/>
      <c r="M55" s="1113"/>
      <c r="N55" s="1113"/>
      <c r="O55" s="1113"/>
      <c r="P55" s="1113"/>
      <c r="Q55" s="1114"/>
    </row>
    <row r="56" spans="1:17" x14ac:dyDescent="0.2">
      <c r="A56" s="1115"/>
      <c r="B56" s="1115"/>
      <c r="C56" s="1115"/>
      <c r="D56" s="1115"/>
      <c r="E56" s="1115"/>
      <c r="F56" s="1115"/>
      <c r="G56" s="1115"/>
      <c r="H56" s="1115"/>
      <c r="I56" s="1115"/>
      <c r="J56" s="1115"/>
      <c r="K56" s="1115"/>
      <c r="L56" s="1115"/>
      <c r="M56" s="1115"/>
    </row>
    <row r="57" spans="1:17" x14ac:dyDescent="0.2">
      <c r="A57" s="1115"/>
      <c r="B57" s="1115"/>
      <c r="C57" s="1115"/>
      <c r="D57" s="1115"/>
      <c r="E57" s="1115"/>
      <c r="F57" s="1115"/>
      <c r="G57" s="1115"/>
      <c r="H57" s="1115"/>
      <c r="I57" s="1115"/>
      <c r="J57" s="1115"/>
      <c r="K57" s="1115"/>
      <c r="L57" s="1115"/>
      <c r="M57" s="1115"/>
    </row>
    <row r="58" spans="1:17" x14ac:dyDescent="0.2">
      <c r="A58" s="1115"/>
      <c r="B58" s="1115"/>
      <c r="C58" s="1115"/>
      <c r="D58" s="1115"/>
      <c r="E58" s="1115"/>
      <c r="F58" s="1115"/>
      <c r="G58" s="1115"/>
      <c r="H58" s="1115"/>
      <c r="I58" s="1115"/>
      <c r="J58" s="1115"/>
      <c r="K58" s="1115"/>
      <c r="L58" s="1115"/>
      <c r="M58" s="1115"/>
    </row>
    <row r="59" spans="1:17" x14ac:dyDescent="0.2">
      <c r="A59" s="1115"/>
      <c r="B59" s="1115"/>
      <c r="C59" s="1115"/>
      <c r="D59" s="1115"/>
      <c r="E59" s="1115"/>
      <c r="F59" s="1115"/>
      <c r="G59" s="1115"/>
      <c r="H59" s="1115"/>
      <c r="I59" s="1115"/>
      <c r="J59" s="1115"/>
      <c r="K59" s="1115"/>
      <c r="L59" s="1115"/>
      <c r="M59" s="1115"/>
    </row>
    <row r="60" spans="1:17" x14ac:dyDescent="0.2">
      <c r="A60" s="1115"/>
      <c r="B60" s="1115"/>
      <c r="C60" s="1115"/>
      <c r="D60" s="1115"/>
      <c r="E60" s="1115"/>
      <c r="F60" s="1115"/>
      <c r="G60" s="1115"/>
      <c r="H60" s="1115"/>
      <c r="I60" s="1115"/>
      <c r="J60" s="1115"/>
      <c r="K60" s="1115"/>
      <c r="L60" s="1115"/>
      <c r="M60" s="1115"/>
    </row>
    <row r="61" spans="1:17" x14ac:dyDescent="0.2">
      <c r="A61" s="1115"/>
      <c r="B61" s="1115"/>
      <c r="C61" s="1115"/>
      <c r="D61" s="1115"/>
      <c r="E61" s="1115"/>
      <c r="F61" s="1115"/>
      <c r="G61" s="1115"/>
      <c r="H61" s="1115"/>
      <c r="I61" s="1115"/>
      <c r="J61" s="1115"/>
      <c r="K61" s="1115"/>
      <c r="L61" s="1115"/>
      <c r="M61" s="1115"/>
    </row>
    <row r="62" spans="1:17" x14ac:dyDescent="0.2">
      <c r="A62" s="1115"/>
      <c r="B62" s="1115"/>
      <c r="C62" s="1115"/>
      <c r="D62" s="1115"/>
      <c r="E62" s="1115"/>
      <c r="F62" s="1115"/>
      <c r="G62" s="1115"/>
      <c r="H62" s="1115"/>
      <c r="I62" s="1115"/>
      <c r="J62" s="1115"/>
      <c r="K62" s="1115"/>
      <c r="L62" s="1115"/>
      <c r="M62" s="1115"/>
    </row>
    <row r="63" spans="1:17" x14ac:dyDescent="0.2">
      <c r="A63" s="1115"/>
      <c r="B63" s="1115"/>
      <c r="C63" s="1115"/>
      <c r="D63" s="1115"/>
      <c r="E63" s="1115"/>
      <c r="F63" s="1115"/>
      <c r="G63" s="1115"/>
      <c r="H63" s="1115"/>
      <c r="I63" s="1115"/>
      <c r="J63" s="1115"/>
      <c r="K63" s="1115"/>
      <c r="L63" s="1115"/>
      <c r="M63" s="1115"/>
    </row>
    <row r="64" spans="1:17" x14ac:dyDescent="0.2">
      <c r="A64" s="1115"/>
      <c r="B64" s="1115"/>
      <c r="C64" s="1115"/>
      <c r="D64" s="1115"/>
      <c r="E64" s="1115"/>
      <c r="F64" s="1115"/>
      <c r="G64" s="1115"/>
      <c r="H64" s="1115"/>
      <c r="I64" s="1115"/>
      <c r="J64" s="1115"/>
      <c r="K64" s="1115"/>
      <c r="L64" s="1115"/>
      <c r="M64" s="1115"/>
    </row>
    <row r="65" spans="1:13" x14ac:dyDescent="0.2">
      <c r="A65" s="1115"/>
      <c r="B65" s="1115"/>
      <c r="C65" s="1115"/>
      <c r="D65" s="1115"/>
      <c r="E65" s="1115"/>
      <c r="F65" s="1115"/>
      <c r="G65" s="1115"/>
      <c r="H65" s="1115"/>
      <c r="I65" s="1115"/>
      <c r="J65" s="1115"/>
      <c r="K65" s="1115"/>
      <c r="L65" s="1115"/>
      <c r="M65" s="1115"/>
    </row>
    <row r="66" spans="1:13" x14ac:dyDescent="0.2">
      <c r="A66" s="1115"/>
      <c r="B66" s="1115"/>
      <c r="C66" s="1115"/>
      <c r="D66" s="1115"/>
      <c r="E66" s="1115"/>
      <c r="F66" s="1115"/>
      <c r="G66" s="1115"/>
      <c r="H66" s="1115"/>
      <c r="I66" s="1115"/>
      <c r="J66" s="1115"/>
      <c r="K66" s="1115"/>
      <c r="L66" s="1115"/>
      <c r="M66" s="1115"/>
    </row>
    <row r="67" spans="1:13" x14ac:dyDescent="0.2">
      <c r="A67" s="1115"/>
      <c r="B67" s="1115"/>
      <c r="C67" s="1115"/>
      <c r="D67" s="1115"/>
      <c r="E67" s="1115"/>
      <c r="F67" s="1115"/>
      <c r="G67" s="1115"/>
      <c r="H67" s="1115"/>
      <c r="I67" s="1115"/>
      <c r="J67" s="1115"/>
      <c r="K67" s="1115"/>
      <c r="L67" s="1115"/>
      <c r="M67" s="1115"/>
    </row>
    <row r="68" spans="1:13" x14ac:dyDescent="0.2">
      <c r="A68" s="1115"/>
      <c r="B68" s="1115"/>
      <c r="C68" s="1115"/>
      <c r="D68" s="1115"/>
      <c r="E68" s="1115"/>
      <c r="F68" s="1115"/>
      <c r="G68" s="1115"/>
      <c r="H68" s="1115"/>
      <c r="I68" s="1115"/>
      <c r="J68" s="1115"/>
      <c r="K68" s="1115"/>
      <c r="L68" s="1115"/>
      <c r="M68" s="1115"/>
    </row>
    <row r="69" spans="1:13" x14ac:dyDescent="0.2">
      <c r="A69" s="1115"/>
      <c r="B69" s="1115"/>
      <c r="C69" s="1115"/>
      <c r="D69" s="1115"/>
      <c r="E69" s="1115"/>
      <c r="F69" s="1115"/>
      <c r="G69" s="1115"/>
      <c r="H69" s="1115"/>
      <c r="I69" s="1115"/>
      <c r="J69" s="1115"/>
      <c r="K69" s="1115"/>
      <c r="L69" s="1115"/>
      <c r="M69" s="1115"/>
    </row>
    <row r="70" spans="1:13" x14ac:dyDescent="0.2">
      <c r="A70" s="1115"/>
      <c r="B70" s="1115"/>
      <c r="C70" s="1115"/>
      <c r="D70" s="1115"/>
      <c r="E70" s="1115"/>
      <c r="F70" s="1115"/>
      <c r="G70" s="1115"/>
      <c r="H70" s="1115"/>
      <c r="I70" s="1115"/>
      <c r="J70" s="1115"/>
      <c r="K70" s="1115"/>
      <c r="L70" s="1115"/>
      <c r="M70" s="1115"/>
    </row>
    <row r="71" spans="1:13" x14ac:dyDescent="0.2">
      <c r="A71" s="1115"/>
      <c r="B71" s="1115"/>
      <c r="C71" s="1115"/>
      <c r="D71" s="1115"/>
      <c r="E71" s="1115"/>
      <c r="F71" s="1115"/>
      <c r="G71" s="1115"/>
      <c r="H71" s="1115"/>
      <c r="I71" s="1115"/>
      <c r="J71" s="1115"/>
      <c r="K71" s="1115"/>
      <c r="L71" s="1115"/>
      <c r="M71" s="1115"/>
    </row>
    <row r="72" spans="1:13" x14ac:dyDescent="0.2">
      <c r="A72" s="1115"/>
      <c r="B72" s="1115"/>
      <c r="C72" s="1115"/>
      <c r="D72" s="1115"/>
      <c r="E72" s="1115"/>
      <c r="F72" s="1115"/>
      <c r="G72" s="1115"/>
      <c r="H72" s="1115"/>
      <c r="I72" s="1115"/>
      <c r="J72" s="1115"/>
      <c r="K72" s="1115"/>
      <c r="L72" s="1115"/>
      <c r="M72" s="1115"/>
    </row>
    <row r="73" spans="1:13" x14ac:dyDescent="0.2">
      <c r="A73" s="1115"/>
      <c r="B73" s="1115"/>
      <c r="C73" s="1115"/>
      <c r="D73" s="1115"/>
      <c r="E73" s="1115"/>
      <c r="F73" s="1115"/>
      <c r="G73" s="1115"/>
      <c r="H73" s="1115"/>
      <c r="I73" s="1115"/>
      <c r="J73" s="1115"/>
      <c r="K73" s="1115"/>
      <c r="L73" s="1115"/>
      <c r="M73" s="1115"/>
    </row>
    <row r="74" spans="1:13" x14ac:dyDescent="0.2">
      <c r="A74" s="1115"/>
      <c r="B74" s="1115"/>
      <c r="C74" s="1115"/>
      <c r="D74" s="1115"/>
      <c r="E74" s="1115"/>
      <c r="F74" s="1115"/>
      <c r="G74" s="1115"/>
      <c r="H74" s="1115"/>
      <c r="I74" s="1115"/>
      <c r="J74" s="1115"/>
      <c r="K74" s="1115"/>
      <c r="L74" s="1115"/>
      <c r="M74" s="1115"/>
    </row>
    <row r="75" spans="1:13" x14ac:dyDescent="0.2">
      <c r="A75" s="1115"/>
      <c r="B75" s="1115"/>
      <c r="C75" s="1115"/>
      <c r="D75" s="1115"/>
      <c r="E75" s="1115"/>
      <c r="F75" s="1115"/>
      <c r="G75" s="1115"/>
      <c r="H75" s="1115"/>
      <c r="I75" s="1115"/>
      <c r="J75" s="1115"/>
      <c r="K75" s="1115"/>
      <c r="L75" s="1115"/>
      <c r="M75" s="1115"/>
    </row>
    <row r="76" spans="1:13" x14ac:dyDescent="0.2">
      <c r="A76" s="1115"/>
      <c r="B76" s="1115"/>
      <c r="C76" s="1115"/>
      <c r="D76" s="1115"/>
      <c r="E76" s="1115"/>
      <c r="F76" s="1115"/>
      <c r="G76" s="1115"/>
      <c r="H76" s="1115"/>
      <c r="I76" s="1115"/>
      <c r="J76" s="1115"/>
      <c r="K76" s="1115"/>
      <c r="L76" s="1115"/>
      <c r="M76" s="1115"/>
    </row>
    <row r="77" spans="1:13" x14ac:dyDescent="0.2">
      <c r="A77" s="1115"/>
      <c r="B77" s="1115"/>
      <c r="C77" s="1115"/>
      <c r="D77" s="1115"/>
      <c r="E77" s="1115"/>
      <c r="F77" s="1115"/>
      <c r="G77" s="1115"/>
      <c r="H77" s="1115"/>
      <c r="I77" s="1115"/>
      <c r="J77" s="1115"/>
      <c r="K77" s="1115"/>
      <c r="L77" s="1115"/>
      <c r="M77" s="1115"/>
    </row>
    <row r="78" spans="1:13" x14ac:dyDescent="0.2">
      <c r="A78" s="1115"/>
      <c r="B78" s="1115"/>
      <c r="C78" s="1115"/>
      <c r="D78" s="1115"/>
      <c r="E78" s="1115"/>
      <c r="F78" s="1115"/>
      <c r="G78" s="1115"/>
      <c r="H78" s="1115"/>
      <c r="I78" s="1115"/>
      <c r="J78" s="1115"/>
      <c r="K78" s="1115"/>
      <c r="L78" s="1115"/>
      <c r="M78" s="1115"/>
    </row>
    <row r="79" spans="1:13" x14ac:dyDescent="0.2">
      <c r="A79" s="1115"/>
      <c r="B79" s="1115"/>
      <c r="C79" s="1115"/>
      <c r="D79" s="1115"/>
      <c r="E79" s="1115"/>
      <c r="F79" s="1115"/>
      <c r="G79" s="1115"/>
      <c r="H79" s="1115"/>
      <c r="I79" s="1115"/>
      <c r="J79" s="1115"/>
      <c r="K79" s="1115"/>
      <c r="L79" s="1115"/>
      <c r="M79" s="1115"/>
    </row>
    <row r="80" spans="1:13" x14ac:dyDescent="0.2">
      <c r="A80" s="1115"/>
      <c r="B80" s="1115"/>
      <c r="C80" s="1115"/>
      <c r="D80" s="1115"/>
      <c r="E80" s="1115"/>
      <c r="F80" s="1115"/>
      <c r="G80" s="1115"/>
      <c r="H80" s="1115"/>
      <c r="I80" s="1115"/>
      <c r="J80" s="1115"/>
      <c r="K80" s="1115"/>
      <c r="L80" s="1115"/>
      <c r="M80" s="1115"/>
    </row>
    <row r="81" spans="1:13" x14ac:dyDescent="0.2">
      <c r="A81" s="1115"/>
      <c r="B81" s="1115"/>
      <c r="C81" s="1115"/>
      <c r="D81" s="1115"/>
      <c r="E81" s="1115"/>
      <c r="F81" s="1115"/>
      <c r="G81" s="1115"/>
      <c r="H81" s="1115"/>
      <c r="I81" s="1115"/>
      <c r="J81" s="1115"/>
      <c r="K81" s="1115"/>
      <c r="L81" s="1115"/>
      <c r="M81" s="1115"/>
    </row>
    <row r="82" spans="1:13" x14ac:dyDescent="0.2">
      <c r="A82" s="1115"/>
      <c r="B82" s="1115"/>
      <c r="C82" s="1115"/>
      <c r="D82" s="1115"/>
      <c r="E82" s="1115"/>
      <c r="F82" s="1115"/>
      <c r="G82" s="1115"/>
      <c r="H82" s="1115"/>
      <c r="I82" s="1115"/>
      <c r="J82" s="1115"/>
      <c r="K82" s="1115"/>
      <c r="L82" s="1115"/>
      <c r="M82" s="1115"/>
    </row>
    <row r="83" spans="1:13" x14ac:dyDescent="0.2">
      <c r="A83" s="1115"/>
      <c r="B83" s="1115"/>
      <c r="C83" s="1115"/>
      <c r="D83" s="1115"/>
      <c r="E83" s="1115"/>
      <c r="F83" s="1115"/>
      <c r="G83" s="1115"/>
      <c r="H83" s="1115"/>
      <c r="I83" s="1115"/>
      <c r="J83" s="1115"/>
      <c r="K83" s="1115"/>
      <c r="L83" s="1115"/>
      <c r="M83" s="1115"/>
    </row>
    <row r="84" spans="1:13" x14ac:dyDescent="0.2">
      <c r="A84" s="1115"/>
      <c r="B84" s="1115"/>
      <c r="C84" s="1115"/>
      <c r="D84" s="1115"/>
      <c r="E84" s="1115"/>
      <c r="F84" s="1115"/>
      <c r="G84" s="1115"/>
      <c r="H84" s="1115"/>
      <c r="I84" s="1115"/>
      <c r="J84" s="1115"/>
      <c r="K84" s="1115"/>
      <c r="L84" s="1115"/>
      <c r="M84" s="1115"/>
    </row>
    <row r="85" spans="1:13" x14ac:dyDescent="0.2">
      <c r="A85" s="1115"/>
      <c r="B85" s="1115"/>
      <c r="C85" s="1115"/>
      <c r="D85" s="1115"/>
      <c r="E85" s="1115"/>
      <c r="F85" s="1115"/>
      <c r="G85" s="1115"/>
      <c r="H85" s="1115"/>
      <c r="I85" s="1115"/>
      <c r="J85" s="1115"/>
      <c r="K85" s="1115"/>
      <c r="L85" s="1115"/>
      <c r="M85" s="1115"/>
    </row>
    <row r="86" spans="1:13" x14ac:dyDescent="0.2">
      <c r="A86" s="1115"/>
      <c r="B86" s="1115"/>
      <c r="C86" s="1115"/>
      <c r="D86" s="1115"/>
      <c r="E86" s="1115"/>
      <c r="F86" s="1115"/>
      <c r="G86" s="1115"/>
      <c r="H86" s="1115"/>
      <c r="I86" s="1115"/>
      <c r="J86" s="1115"/>
      <c r="K86" s="1115"/>
      <c r="L86" s="1115"/>
      <c r="M86" s="1115"/>
    </row>
    <row r="87" spans="1:13" x14ac:dyDescent="0.2">
      <c r="A87" s="1115"/>
      <c r="B87" s="1115"/>
      <c r="C87" s="1115"/>
      <c r="D87" s="1115"/>
      <c r="E87" s="1115"/>
      <c r="F87" s="1115"/>
      <c r="G87" s="1115"/>
      <c r="H87" s="1115"/>
      <c r="I87" s="1115"/>
      <c r="J87" s="1115"/>
      <c r="K87" s="1115"/>
      <c r="L87" s="1115"/>
      <c r="M87" s="1115"/>
    </row>
    <row r="88" spans="1:13" x14ac:dyDescent="0.2">
      <c r="A88" s="1115"/>
      <c r="B88" s="1115"/>
      <c r="C88" s="1115"/>
      <c r="D88" s="1115"/>
      <c r="E88" s="1115"/>
      <c r="F88" s="1115"/>
      <c r="G88" s="1115"/>
      <c r="H88" s="1115"/>
      <c r="I88" s="1115"/>
      <c r="J88" s="1115"/>
      <c r="K88" s="1115"/>
      <c r="L88" s="1115"/>
      <c r="M88" s="1115"/>
    </row>
    <row r="89" spans="1:13" x14ac:dyDescent="0.2">
      <c r="A89" s="1115"/>
      <c r="B89" s="1115"/>
      <c r="C89" s="1115"/>
      <c r="D89" s="1115"/>
      <c r="E89" s="1115"/>
      <c r="F89" s="1115"/>
      <c r="G89" s="1115"/>
      <c r="H89" s="1115"/>
      <c r="I89" s="1115"/>
      <c r="J89" s="1115"/>
      <c r="K89" s="1115"/>
      <c r="L89" s="1115"/>
      <c r="M89" s="1115"/>
    </row>
    <row r="90" spans="1:13" x14ac:dyDescent="0.2">
      <c r="A90" s="1115"/>
      <c r="B90" s="1115"/>
      <c r="C90" s="1115"/>
      <c r="D90" s="1115"/>
      <c r="E90" s="1115"/>
      <c r="F90" s="1115"/>
      <c r="G90" s="1115"/>
      <c r="H90" s="1115"/>
      <c r="I90" s="1115"/>
      <c r="J90" s="1115"/>
      <c r="K90" s="1115"/>
      <c r="L90" s="1115"/>
      <c r="M90" s="1115"/>
    </row>
    <row r="91" spans="1:13" x14ac:dyDescent="0.2">
      <c r="A91" s="1115"/>
      <c r="B91" s="1115"/>
      <c r="C91" s="1115"/>
      <c r="D91" s="1115"/>
      <c r="E91" s="1115"/>
      <c r="F91" s="1115"/>
      <c r="G91" s="1115"/>
      <c r="H91" s="1115"/>
      <c r="I91" s="1115"/>
      <c r="J91" s="1115"/>
      <c r="K91" s="1115"/>
      <c r="L91" s="1115"/>
      <c r="M91" s="1115"/>
    </row>
    <row r="92" spans="1:13" x14ac:dyDescent="0.2">
      <c r="A92" s="1115"/>
      <c r="B92" s="1115"/>
      <c r="C92" s="1115"/>
      <c r="D92" s="1115"/>
      <c r="E92" s="1115"/>
      <c r="F92" s="1115"/>
      <c r="G92" s="1115"/>
      <c r="H92" s="1115"/>
      <c r="I92" s="1115"/>
      <c r="J92" s="1115"/>
      <c r="K92" s="1115"/>
      <c r="L92" s="1115"/>
      <c r="M92" s="1115"/>
    </row>
    <row r="93" spans="1:13" x14ac:dyDescent="0.2">
      <c r="A93" s="1115"/>
      <c r="B93" s="1115"/>
      <c r="C93" s="1115"/>
      <c r="D93" s="1115"/>
      <c r="E93" s="1115"/>
      <c r="F93" s="1115"/>
      <c r="G93" s="1115"/>
      <c r="H93" s="1115"/>
      <c r="I93" s="1115"/>
      <c r="J93" s="1115"/>
      <c r="K93" s="1115"/>
      <c r="L93" s="1115"/>
      <c r="M93" s="1115"/>
    </row>
    <row r="94" spans="1:13" x14ac:dyDescent="0.2">
      <c r="A94" s="1115"/>
      <c r="B94" s="1115"/>
      <c r="C94" s="1115"/>
      <c r="D94" s="1115"/>
      <c r="E94" s="1115"/>
      <c r="F94" s="1115"/>
      <c r="G94" s="1115"/>
      <c r="H94" s="1115"/>
      <c r="I94" s="1115"/>
      <c r="J94" s="1115"/>
      <c r="K94" s="1115"/>
      <c r="L94" s="1115"/>
      <c r="M94" s="1115"/>
    </row>
    <row r="95" spans="1:13" x14ac:dyDescent="0.2">
      <c r="A95" s="1115"/>
      <c r="B95" s="1115"/>
      <c r="C95" s="1115"/>
      <c r="D95" s="1115"/>
      <c r="E95" s="1115"/>
      <c r="F95" s="1115"/>
      <c r="G95" s="1115"/>
      <c r="H95" s="1115"/>
      <c r="I95" s="1115"/>
      <c r="J95" s="1115"/>
      <c r="K95" s="1115"/>
      <c r="L95" s="1115"/>
      <c r="M95" s="1115"/>
    </row>
    <row r="96" spans="1:13" x14ac:dyDescent="0.2">
      <c r="A96" s="1115"/>
      <c r="B96" s="1115"/>
      <c r="C96" s="1115"/>
      <c r="D96" s="1115"/>
      <c r="E96" s="1115"/>
      <c r="F96" s="1115"/>
      <c r="G96" s="1115"/>
      <c r="H96" s="1115"/>
      <c r="I96" s="1115"/>
      <c r="J96" s="1115"/>
      <c r="K96" s="1115"/>
      <c r="L96" s="1115"/>
      <c r="M96" s="1115"/>
    </row>
    <row r="97" spans="1:13" x14ac:dyDescent="0.2">
      <c r="A97" s="1115"/>
      <c r="B97" s="1115"/>
      <c r="C97" s="1115"/>
      <c r="D97" s="1115"/>
      <c r="E97" s="1115"/>
      <c r="F97" s="1115"/>
      <c r="G97" s="1115"/>
      <c r="H97" s="1115"/>
      <c r="I97" s="1115"/>
      <c r="J97" s="1115"/>
      <c r="K97" s="1115"/>
      <c r="L97" s="1115"/>
      <c r="M97" s="1115"/>
    </row>
    <row r="98" spans="1:13" x14ac:dyDescent="0.2">
      <c r="A98" s="1115"/>
      <c r="B98" s="1115"/>
      <c r="C98" s="1115"/>
      <c r="D98" s="1115"/>
      <c r="E98" s="1115"/>
      <c r="F98" s="1115"/>
      <c r="G98" s="1115"/>
      <c r="H98" s="1115"/>
      <c r="I98" s="1115"/>
      <c r="J98" s="1115"/>
      <c r="K98" s="1115"/>
      <c r="L98" s="1115"/>
      <c r="M98" s="1115"/>
    </row>
    <row r="99" spans="1:13" x14ac:dyDescent="0.2">
      <c r="A99" s="1115"/>
      <c r="B99" s="1115"/>
      <c r="C99" s="1115"/>
      <c r="D99" s="1115"/>
      <c r="E99" s="1115"/>
      <c r="F99" s="1115"/>
      <c r="G99" s="1115"/>
      <c r="H99" s="1115"/>
      <c r="I99" s="1115"/>
      <c r="J99" s="1115"/>
      <c r="K99" s="1115"/>
      <c r="L99" s="1115"/>
      <c r="M99" s="1115"/>
    </row>
    <row r="100" spans="1:13" x14ac:dyDescent="0.2">
      <c r="A100" s="1115"/>
      <c r="B100" s="1115"/>
      <c r="C100" s="1115"/>
      <c r="D100" s="1115"/>
      <c r="E100" s="1115"/>
      <c r="F100" s="1115"/>
      <c r="G100" s="1115"/>
      <c r="H100" s="1115"/>
      <c r="I100" s="1115"/>
      <c r="J100" s="1115"/>
      <c r="K100" s="1115"/>
      <c r="L100" s="1115"/>
      <c r="M100" s="1115"/>
    </row>
    <row r="101" spans="1:13" x14ac:dyDescent="0.2">
      <c r="A101" s="1115"/>
      <c r="B101" s="1115"/>
      <c r="C101" s="1115"/>
      <c r="D101" s="1115"/>
      <c r="E101" s="1115"/>
      <c r="F101" s="1115"/>
      <c r="G101" s="1115"/>
      <c r="H101" s="1115"/>
      <c r="I101" s="1115"/>
      <c r="J101" s="1115"/>
      <c r="K101" s="1115"/>
      <c r="L101" s="1115"/>
      <c r="M101" s="1115"/>
    </row>
    <row r="102" spans="1:13" x14ac:dyDescent="0.2">
      <c r="A102" s="1115"/>
      <c r="B102" s="1115"/>
      <c r="C102" s="1115"/>
      <c r="D102" s="1115"/>
      <c r="E102" s="1115"/>
      <c r="F102" s="1115"/>
      <c r="G102" s="1115"/>
      <c r="H102" s="1115"/>
      <c r="I102" s="1115"/>
      <c r="J102" s="1115"/>
      <c r="K102" s="1115"/>
      <c r="L102" s="1115"/>
      <c r="M102" s="1115"/>
    </row>
    <row r="103" spans="1:13" x14ac:dyDescent="0.2">
      <c r="A103" s="1115"/>
      <c r="B103" s="1115"/>
      <c r="C103" s="1115"/>
      <c r="D103" s="1115"/>
      <c r="E103" s="1115"/>
      <c r="F103" s="1115"/>
      <c r="G103" s="1115"/>
      <c r="H103" s="1115"/>
      <c r="I103" s="1115"/>
      <c r="J103" s="1115"/>
      <c r="K103" s="1115"/>
      <c r="L103" s="1115"/>
      <c r="M103" s="1115"/>
    </row>
    <row r="104" spans="1:13" x14ac:dyDescent="0.2">
      <c r="A104" s="1115"/>
      <c r="B104" s="1115"/>
      <c r="C104" s="1115"/>
      <c r="D104" s="1115"/>
      <c r="E104" s="1115"/>
      <c r="F104" s="1115"/>
      <c r="G104" s="1115"/>
      <c r="H104" s="1115"/>
      <c r="I104" s="1115"/>
      <c r="J104" s="1115"/>
      <c r="K104" s="1115"/>
      <c r="L104" s="1115"/>
      <c r="M104" s="1115"/>
    </row>
    <row r="105" spans="1:13" x14ac:dyDescent="0.2">
      <c r="A105" s="1115"/>
      <c r="B105" s="1115"/>
      <c r="C105" s="1115"/>
      <c r="D105" s="1115"/>
      <c r="E105" s="1115"/>
      <c r="F105" s="1115"/>
      <c r="G105" s="1115"/>
      <c r="H105" s="1115"/>
      <c r="I105" s="1115"/>
      <c r="J105" s="1115"/>
      <c r="K105" s="1115"/>
      <c r="L105" s="1115"/>
      <c r="M105" s="1115"/>
    </row>
    <row r="106" spans="1:13" x14ac:dyDescent="0.2">
      <c r="A106" s="1115"/>
      <c r="B106" s="1115"/>
      <c r="C106" s="1115"/>
      <c r="D106" s="1115"/>
      <c r="E106" s="1115"/>
      <c r="F106" s="1115"/>
      <c r="G106" s="1115"/>
      <c r="H106" s="1115"/>
      <c r="I106" s="1115"/>
      <c r="J106" s="1115"/>
      <c r="K106" s="1115"/>
      <c r="L106" s="1115"/>
      <c r="M106" s="1115"/>
    </row>
    <row r="107" spans="1:13" x14ac:dyDescent="0.2">
      <c r="A107" s="1115"/>
      <c r="B107" s="1115"/>
      <c r="C107" s="1115"/>
      <c r="D107" s="1115"/>
      <c r="E107" s="1115"/>
      <c r="F107" s="1115"/>
      <c r="G107" s="1115"/>
      <c r="H107" s="1115"/>
      <c r="I107" s="1115"/>
      <c r="J107" s="1115"/>
      <c r="K107" s="1115"/>
      <c r="L107" s="1115"/>
      <c r="M107" s="1115"/>
    </row>
    <row r="108" spans="1:13" x14ac:dyDescent="0.2">
      <c r="A108" s="1115"/>
      <c r="B108" s="1115"/>
      <c r="C108" s="1115"/>
      <c r="D108" s="1115"/>
      <c r="E108" s="1115"/>
      <c r="F108" s="1115"/>
      <c r="G108" s="1115"/>
      <c r="H108" s="1115"/>
      <c r="I108" s="1115"/>
      <c r="J108" s="1115"/>
      <c r="K108" s="1115"/>
      <c r="L108" s="1115"/>
      <c r="M108" s="1115"/>
    </row>
    <row r="109" spans="1:13" x14ac:dyDescent="0.2">
      <c r="A109" s="1115"/>
      <c r="B109" s="1115"/>
      <c r="C109" s="1115"/>
      <c r="D109" s="1115"/>
      <c r="E109" s="1115"/>
      <c r="F109" s="1115"/>
      <c r="G109" s="1115"/>
      <c r="H109" s="1115"/>
      <c r="I109" s="1115"/>
      <c r="J109" s="1115"/>
      <c r="K109" s="1115"/>
      <c r="L109" s="1115"/>
      <c r="M109" s="1115"/>
    </row>
    <row r="110" spans="1:13" x14ac:dyDescent="0.2">
      <c r="A110" s="1115"/>
      <c r="B110" s="1115"/>
      <c r="C110" s="1115"/>
      <c r="D110" s="1115"/>
      <c r="E110" s="1115"/>
      <c r="F110" s="1115"/>
      <c r="G110" s="1115"/>
      <c r="H110" s="1115"/>
      <c r="I110" s="1115"/>
      <c r="J110" s="1115"/>
      <c r="K110" s="1115"/>
      <c r="L110" s="1115"/>
      <c r="M110" s="1115"/>
    </row>
    <row r="111" spans="1:13" x14ac:dyDescent="0.2">
      <c r="A111" s="1115"/>
      <c r="B111" s="1115"/>
      <c r="C111" s="1115"/>
      <c r="D111" s="1115"/>
      <c r="E111" s="1115"/>
      <c r="F111" s="1115"/>
      <c r="G111" s="1115"/>
      <c r="H111" s="1115"/>
      <c r="I111" s="1115"/>
      <c r="J111" s="1115"/>
      <c r="K111" s="1115"/>
      <c r="L111" s="1115"/>
      <c r="M111" s="1115"/>
    </row>
    <row r="112" spans="1:13" x14ac:dyDescent="0.2">
      <c r="A112" s="1115"/>
      <c r="B112" s="1115"/>
      <c r="C112" s="1115"/>
      <c r="D112" s="1115"/>
      <c r="E112" s="1115"/>
      <c r="F112" s="1115"/>
      <c r="G112" s="1115"/>
      <c r="H112" s="1115"/>
      <c r="I112" s="1115"/>
      <c r="J112" s="1115"/>
      <c r="K112" s="1115"/>
      <c r="L112" s="1115"/>
      <c r="M112" s="1115"/>
    </row>
    <row r="113" spans="1:13" x14ac:dyDescent="0.2">
      <c r="A113" s="1115"/>
      <c r="B113" s="1115"/>
      <c r="C113" s="1115"/>
      <c r="D113" s="1115"/>
      <c r="E113" s="1115"/>
      <c r="F113" s="1115"/>
      <c r="G113" s="1115"/>
      <c r="H113" s="1115"/>
      <c r="I113" s="1115"/>
      <c r="J113" s="1115"/>
      <c r="K113" s="1115"/>
      <c r="L113" s="1115"/>
      <c r="M113" s="1115"/>
    </row>
    <row r="114" spans="1:13" x14ac:dyDescent="0.2">
      <c r="A114" s="1115"/>
      <c r="B114" s="1115"/>
      <c r="C114" s="1115"/>
      <c r="D114" s="1115"/>
      <c r="E114" s="1115"/>
      <c r="F114" s="1115"/>
      <c r="G114" s="1115"/>
      <c r="H114" s="1115"/>
      <c r="I114" s="1115"/>
      <c r="J114" s="1115"/>
      <c r="K114" s="1115"/>
      <c r="L114" s="1115"/>
      <c r="M114" s="1115"/>
    </row>
    <row r="115" spans="1:13" x14ac:dyDescent="0.2">
      <c r="A115" s="1115"/>
      <c r="B115" s="1115"/>
      <c r="C115" s="1115"/>
      <c r="D115" s="1115"/>
      <c r="E115" s="1115"/>
      <c r="F115" s="1115"/>
      <c r="G115" s="1115"/>
      <c r="H115" s="1115"/>
      <c r="I115" s="1115"/>
      <c r="J115" s="1115"/>
      <c r="K115" s="1115"/>
      <c r="L115" s="1115"/>
      <c r="M115" s="1115"/>
    </row>
    <row r="116" spans="1:13" x14ac:dyDescent="0.2">
      <c r="A116" s="1115"/>
      <c r="B116" s="1115"/>
      <c r="C116" s="1115"/>
      <c r="D116" s="1115"/>
      <c r="E116" s="1115"/>
      <c r="F116" s="1115"/>
      <c r="G116" s="1115"/>
      <c r="H116" s="1115"/>
      <c r="I116" s="1115"/>
      <c r="J116" s="1115"/>
      <c r="K116" s="1115"/>
      <c r="L116" s="1115"/>
      <c r="M116" s="1115"/>
    </row>
    <row r="117" spans="1:13" x14ac:dyDescent="0.2">
      <c r="A117" s="1115"/>
      <c r="B117" s="1115"/>
      <c r="C117" s="1115"/>
      <c r="D117" s="1115"/>
      <c r="E117" s="1115"/>
      <c r="F117" s="1115"/>
      <c r="G117" s="1115"/>
      <c r="H117" s="1115"/>
      <c r="I117" s="1115"/>
      <c r="J117" s="1115"/>
      <c r="K117" s="1115"/>
      <c r="L117" s="1115"/>
      <c r="M117" s="1115"/>
    </row>
    <row r="118" spans="1:13" x14ac:dyDescent="0.2">
      <c r="A118" s="1115"/>
      <c r="B118" s="1115"/>
      <c r="C118" s="1115"/>
      <c r="D118" s="1115"/>
      <c r="E118" s="1115"/>
      <c r="F118" s="1115"/>
      <c r="G118" s="1115"/>
      <c r="H118" s="1115"/>
      <c r="I118" s="1115"/>
      <c r="J118" s="1115"/>
      <c r="K118" s="1115"/>
      <c r="L118" s="1115"/>
      <c r="M118" s="1115"/>
    </row>
    <row r="119" spans="1:13" x14ac:dyDescent="0.2">
      <c r="A119" s="1115"/>
      <c r="B119" s="1115"/>
      <c r="C119" s="1115"/>
      <c r="D119" s="1115"/>
      <c r="E119" s="1115"/>
      <c r="F119" s="1115"/>
      <c r="G119" s="1115"/>
      <c r="H119" s="1115"/>
      <c r="I119" s="1115"/>
      <c r="J119" s="1115"/>
      <c r="K119" s="1115"/>
      <c r="L119" s="1115"/>
      <c r="M119" s="1115"/>
    </row>
    <row r="120" spans="1:13" x14ac:dyDescent="0.2">
      <c r="A120" s="1115"/>
      <c r="B120" s="1115"/>
      <c r="C120" s="1115"/>
      <c r="D120" s="1115"/>
      <c r="E120" s="1115"/>
      <c r="F120" s="1115"/>
      <c r="G120" s="1115"/>
      <c r="H120" s="1115"/>
      <c r="I120" s="1115"/>
      <c r="J120" s="1115"/>
      <c r="K120" s="1115"/>
      <c r="L120" s="1115"/>
      <c r="M120" s="1115"/>
    </row>
    <row r="121" spans="1:13" x14ac:dyDescent="0.2">
      <c r="A121" s="1115"/>
      <c r="B121" s="1115"/>
      <c r="C121" s="1115"/>
      <c r="D121" s="1115"/>
      <c r="E121" s="1115"/>
      <c r="F121" s="1115"/>
      <c r="G121" s="1115"/>
      <c r="H121" s="1115"/>
      <c r="I121" s="1115"/>
      <c r="J121" s="1115"/>
      <c r="K121" s="1115"/>
      <c r="L121" s="1115"/>
      <c r="M121" s="1115"/>
    </row>
    <row r="122" spans="1:13" x14ac:dyDescent="0.2">
      <c r="A122" s="1115"/>
      <c r="B122" s="1115"/>
      <c r="C122" s="1115"/>
      <c r="D122" s="1115"/>
      <c r="E122" s="1115"/>
      <c r="F122" s="1115"/>
      <c r="G122" s="1115"/>
      <c r="H122" s="1115"/>
      <c r="I122" s="1115"/>
      <c r="J122" s="1115"/>
      <c r="K122" s="1115"/>
      <c r="L122" s="1115"/>
      <c r="M122" s="1115"/>
    </row>
    <row r="123" spans="1:13" x14ac:dyDescent="0.2">
      <c r="A123" s="1115"/>
      <c r="B123" s="1115"/>
      <c r="C123" s="1115"/>
      <c r="D123" s="1115"/>
      <c r="E123" s="1115"/>
      <c r="F123" s="1115"/>
      <c r="G123" s="1115"/>
      <c r="H123" s="1115"/>
      <c r="I123" s="1115"/>
      <c r="J123" s="1115"/>
      <c r="K123" s="1115"/>
      <c r="L123" s="1115"/>
      <c r="M123" s="1115"/>
    </row>
    <row r="124" spans="1:13" x14ac:dyDescent="0.2">
      <c r="A124" s="1115"/>
      <c r="B124" s="1115"/>
      <c r="C124" s="1115"/>
      <c r="D124" s="1115"/>
      <c r="E124" s="1115"/>
      <c r="F124" s="1115"/>
      <c r="G124" s="1115"/>
      <c r="H124" s="1115"/>
      <c r="I124" s="1115"/>
      <c r="J124" s="1115"/>
      <c r="K124" s="1115"/>
      <c r="L124" s="1115"/>
      <c r="M124" s="1115"/>
    </row>
    <row r="125" spans="1:13" x14ac:dyDescent="0.2">
      <c r="A125" s="1115"/>
      <c r="B125" s="1115"/>
      <c r="C125" s="1115"/>
      <c r="D125" s="1115"/>
      <c r="E125" s="1115"/>
      <c r="F125" s="1115"/>
      <c r="G125" s="1115"/>
      <c r="H125" s="1115"/>
      <c r="I125" s="1115"/>
      <c r="J125" s="1115"/>
      <c r="K125" s="1115"/>
      <c r="L125" s="1115"/>
      <c r="M125" s="1115"/>
    </row>
    <row r="126" spans="1:13" x14ac:dyDescent="0.2">
      <c r="A126" s="1115"/>
      <c r="B126" s="1115"/>
      <c r="C126" s="1115"/>
      <c r="D126" s="1115"/>
      <c r="E126" s="1115"/>
      <c r="F126" s="1115"/>
      <c r="G126" s="1115"/>
      <c r="H126" s="1115"/>
      <c r="I126" s="1115"/>
      <c r="J126" s="1115"/>
      <c r="K126" s="1115"/>
      <c r="L126" s="1115"/>
      <c r="M126" s="1115"/>
    </row>
    <row r="127" spans="1:13" x14ac:dyDescent="0.2">
      <c r="A127" s="1115"/>
      <c r="B127" s="1115"/>
      <c r="C127" s="1115"/>
      <c r="D127" s="1115"/>
      <c r="E127" s="1115"/>
      <c r="F127" s="1115"/>
      <c r="G127" s="1115"/>
      <c r="H127" s="1115"/>
      <c r="I127" s="1115"/>
      <c r="J127" s="1115"/>
      <c r="K127" s="1115"/>
      <c r="L127" s="1115"/>
      <c r="M127" s="1115"/>
    </row>
    <row r="128" spans="1:13" x14ac:dyDescent="0.2">
      <c r="A128" s="1115"/>
      <c r="B128" s="1115"/>
      <c r="C128" s="1115"/>
      <c r="D128" s="1115"/>
      <c r="E128" s="1115"/>
      <c r="F128" s="1115"/>
      <c r="G128" s="1115"/>
      <c r="H128" s="1115"/>
      <c r="I128" s="1115"/>
      <c r="J128" s="1115"/>
      <c r="K128" s="1115"/>
      <c r="L128" s="1115"/>
      <c r="M128" s="1115"/>
    </row>
    <row r="129" spans="1:13" x14ac:dyDescent="0.2">
      <c r="A129" s="1115"/>
      <c r="B129" s="1115"/>
      <c r="C129" s="1115"/>
      <c r="D129" s="1115"/>
      <c r="E129" s="1115"/>
      <c r="F129" s="1115"/>
      <c r="G129" s="1115"/>
      <c r="H129" s="1115"/>
      <c r="I129" s="1115"/>
      <c r="J129" s="1115"/>
      <c r="K129" s="1115"/>
      <c r="L129" s="1115"/>
      <c r="M129" s="1115"/>
    </row>
    <row r="130" spans="1:13" x14ac:dyDescent="0.2">
      <c r="A130" s="1115"/>
      <c r="B130" s="1115"/>
      <c r="C130" s="1115"/>
      <c r="D130" s="1115"/>
      <c r="E130" s="1115"/>
      <c r="F130" s="1115"/>
      <c r="G130" s="1115"/>
      <c r="H130" s="1115"/>
      <c r="I130" s="1115"/>
      <c r="J130" s="1115"/>
      <c r="K130" s="1115"/>
      <c r="L130" s="1115"/>
      <c r="M130" s="1115"/>
    </row>
    <row r="131" spans="1:13" x14ac:dyDescent="0.2">
      <c r="A131" s="1115"/>
      <c r="B131" s="1115"/>
      <c r="C131" s="1115"/>
      <c r="D131" s="1115"/>
      <c r="E131" s="1115"/>
      <c r="F131" s="1115"/>
      <c r="G131" s="1115"/>
      <c r="H131" s="1115"/>
      <c r="I131" s="1115"/>
      <c r="J131" s="1115"/>
      <c r="K131" s="1115"/>
      <c r="L131" s="1115"/>
      <c r="M131" s="1115"/>
    </row>
    <row r="132" spans="1:13" x14ac:dyDescent="0.2">
      <c r="A132" s="1115"/>
      <c r="B132" s="1115"/>
      <c r="C132" s="1115"/>
      <c r="D132" s="1115"/>
      <c r="E132" s="1115"/>
      <c r="F132" s="1115"/>
      <c r="G132" s="1115"/>
      <c r="H132" s="1115"/>
      <c r="I132" s="1115"/>
      <c r="J132" s="1115"/>
      <c r="K132" s="1115"/>
      <c r="L132" s="1115"/>
      <c r="M132" s="1115"/>
    </row>
    <row r="133" spans="1:13" x14ac:dyDescent="0.2">
      <c r="A133" s="1115"/>
      <c r="B133" s="1115"/>
      <c r="C133" s="1115"/>
      <c r="D133" s="1115"/>
      <c r="E133" s="1115"/>
      <c r="F133" s="1115"/>
      <c r="G133" s="1115"/>
      <c r="H133" s="1115"/>
      <c r="I133" s="1115"/>
      <c r="J133" s="1115"/>
      <c r="K133" s="1115"/>
      <c r="L133" s="1115"/>
      <c r="M133" s="1115"/>
    </row>
    <row r="134" spans="1:13" x14ac:dyDescent="0.2">
      <c r="A134" s="1115"/>
      <c r="B134" s="1115"/>
      <c r="C134" s="1115"/>
      <c r="D134" s="1115"/>
      <c r="E134" s="1115"/>
      <c r="F134" s="1115"/>
      <c r="G134" s="1115"/>
      <c r="H134" s="1115"/>
      <c r="I134" s="1115"/>
      <c r="J134" s="1115"/>
      <c r="K134" s="1115"/>
      <c r="L134" s="1115"/>
      <c r="M134" s="1115"/>
    </row>
    <row r="135" spans="1:13" x14ac:dyDescent="0.2">
      <c r="A135" s="1115"/>
      <c r="B135" s="1115"/>
      <c r="C135" s="1115"/>
      <c r="D135" s="1115"/>
      <c r="E135" s="1115"/>
      <c r="F135" s="1115"/>
      <c r="G135" s="1115"/>
      <c r="H135" s="1115"/>
      <c r="I135" s="1115"/>
      <c r="J135" s="1115"/>
      <c r="K135" s="1115"/>
      <c r="L135" s="1115"/>
      <c r="M135" s="1115"/>
    </row>
    <row r="136" spans="1:13" x14ac:dyDescent="0.2">
      <c r="A136" s="1115"/>
      <c r="B136" s="1115"/>
      <c r="C136" s="1115"/>
      <c r="D136" s="1115"/>
      <c r="E136" s="1115"/>
      <c r="F136" s="1115"/>
      <c r="G136" s="1115"/>
      <c r="H136" s="1115"/>
      <c r="I136" s="1115"/>
      <c r="J136" s="1115"/>
      <c r="K136" s="1115"/>
      <c r="L136" s="1115"/>
      <c r="M136" s="1115"/>
    </row>
    <row r="137" spans="1:13" x14ac:dyDescent="0.2">
      <c r="A137" s="1115"/>
      <c r="B137" s="1115"/>
      <c r="C137" s="1115"/>
      <c r="D137" s="1115"/>
      <c r="E137" s="1115"/>
      <c r="F137" s="1115"/>
      <c r="G137" s="1115"/>
      <c r="H137" s="1115"/>
      <c r="I137" s="1115"/>
      <c r="J137" s="1115"/>
      <c r="K137" s="1115"/>
      <c r="L137" s="1115"/>
      <c r="M137" s="1115"/>
    </row>
    <row r="138" spans="1:13" x14ac:dyDescent="0.2">
      <c r="A138" s="1115"/>
      <c r="B138" s="1115"/>
      <c r="C138" s="1115"/>
      <c r="D138" s="1115"/>
      <c r="E138" s="1115"/>
      <c r="F138" s="1115"/>
      <c r="G138" s="1115"/>
      <c r="H138" s="1115"/>
      <c r="I138" s="1115"/>
      <c r="J138" s="1115"/>
      <c r="K138" s="1115"/>
      <c r="L138" s="1115"/>
      <c r="M138" s="1115"/>
    </row>
    <row r="139" spans="1:13" x14ac:dyDescent="0.2">
      <c r="A139" s="1115"/>
      <c r="B139" s="1115"/>
      <c r="C139" s="1115"/>
      <c r="D139" s="1115"/>
      <c r="E139" s="1115"/>
      <c r="F139" s="1115"/>
      <c r="G139" s="1115"/>
      <c r="H139" s="1115"/>
      <c r="I139" s="1115"/>
      <c r="J139" s="1115"/>
      <c r="K139" s="1115"/>
      <c r="L139" s="1115"/>
      <c r="M139" s="1115"/>
    </row>
    <row r="140" spans="1:13" x14ac:dyDescent="0.2">
      <c r="A140" s="1115"/>
      <c r="B140" s="1115"/>
      <c r="C140" s="1115"/>
      <c r="D140" s="1115"/>
      <c r="E140" s="1115"/>
      <c r="F140" s="1115"/>
      <c r="G140" s="1115"/>
      <c r="H140" s="1115"/>
      <c r="I140" s="1115"/>
      <c r="J140" s="1115"/>
      <c r="K140" s="1115"/>
      <c r="L140" s="1115"/>
      <c r="M140" s="1115"/>
    </row>
    <row r="141" spans="1:13" x14ac:dyDescent="0.2">
      <c r="A141" s="1115"/>
      <c r="B141" s="1115"/>
      <c r="C141" s="1115"/>
      <c r="D141" s="1115"/>
      <c r="E141" s="1115"/>
      <c r="F141" s="1115"/>
      <c r="G141" s="1115"/>
      <c r="H141" s="1115"/>
      <c r="I141" s="1115"/>
      <c r="J141" s="1115"/>
      <c r="K141" s="1115"/>
      <c r="L141" s="1115"/>
      <c r="M141" s="1115"/>
    </row>
    <row r="142" spans="1:13" x14ac:dyDescent="0.2">
      <c r="A142" s="1115"/>
      <c r="B142" s="1115"/>
      <c r="C142" s="1115"/>
      <c r="D142" s="1115"/>
      <c r="E142" s="1115"/>
      <c r="F142" s="1115"/>
      <c r="G142" s="1115"/>
      <c r="H142" s="1115"/>
      <c r="I142" s="1115"/>
      <c r="J142" s="1115"/>
      <c r="K142" s="1115"/>
      <c r="L142" s="1115"/>
      <c r="M142" s="1115"/>
    </row>
    <row r="143" spans="1:13" x14ac:dyDescent="0.2">
      <c r="A143" s="1115"/>
      <c r="B143" s="1115"/>
      <c r="C143" s="1115"/>
      <c r="D143" s="1115"/>
      <c r="E143" s="1115"/>
      <c r="F143" s="1115"/>
      <c r="G143" s="1115"/>
      <c r="H143" s="1115"/>
      <c r="I143" s="1115"/>
      <c r="J143" s="1115"/>
      <c r="K143" s="1115"/>
      <c r="L143" s="1115"/>
      <c r="M143" s="1115"/>
    </row>
    <row r="144" spans="1:13" x14ac:dyDescent="0.2">
      <c r="A144" s="1115"/>
      <c r="B144" s="1115"/>
      <c r="C144" s="1115"/>
      <c r="D144" s="1115"/>
      <c r="E144" s="1115"/>
      <c r="F144" s="1115"/>
      <c r="G144" s="1115"/>
      <c r="H144" s="1115"/>
      <c r="I144" s="1115"/>
      <c r="J144" s="1115"/>
      <c r="K144" s="1115"/>
      <c r="L144" s="1115"/>
      <c r="M144" s="1115"/>
    </row>
    <row r="145" spans="1:13" x14ac:dyDescent="0.2">
      <c r="A145" s="1115"/>
      <c r="B145" s="1115"/>
      <c r="C145" s="1115"/>
      <c r="D145" s="1115"/>
      <c r="E145" s="1115"/>
      <c r="F145" s="1115"/>
      <c r="G145" s="1115"/>
      <c r="H145" s="1115"/>
      <c r="I145" s="1115"/>
      <c r="J145" s="1115"/>
      <c r="K145" s="1115"/>
      <c r="L145" s="1115"/>
      <c r="M145" s="1115"/>
    </row>
    <row r="146" spans="1:13" x14ac:dyDescent="0.2">
      <c r="A146" s="1115"/>
      <c r="B146" s="1115"/>
      <c r="C146" s="1115"/>
      <c r="D146" s="1115"/>
      <c r="E146" s="1115"/>
      <c r="F146" s="1115"/>
      <c r="G146" s="1115"/>
      <c r="H146" s="1115"/>
      <c r="I146" s="1115"/>
      <c r="J146" s="1115"/>
      <c r="K146" s="1115"/>
      <c r="L146" s="1115"/>
      <c r="M146" s="1115"/>
    </row>
    <row r="147" spans="1:13" x14ac:dyDescent="0.2">
      <c r="A147" s="1115"/>
      <c r="B147" s="1115"/>
      <c r="C147" s="1115"/>
      <c r="D147" s="1115"/>
      <c r="E147" s="1115"/>
      <c r="F147" s="1115"/>
      <c r="G147" s="1115"/>
      <c r="H147" s="1115"/>
      <c r="I147" s="1115"/>
      <c r="J147" s="1115"/>
      <c r="K147" s="1115"/>
      <c r="L147" s="1115"/>
      <c r="M147" s="1115"/>
    </row>
    <row r="148" spans="1:13" x14ac:dyDescent="0.2">
      <c r="A148" s="1115"/>
      <c r="B148" s="1115"/>
      <c r="C148" s="1115"/>
      <c r="D148" s="1115"/>
      <c r="E148" s="1115"/>
      <c r="F148" s="1115"/>
      <c r="G148" s="1115"/>
      <c r="H148" s="1115"/>
      <c r="I148" s="1115"/>
      <c r="J148" s="1115"/>
      <c r="K148" s="1115"/>
      <c r="L148" s="1115"/>
      <c r="M148" s="1115"/>
    </row>
    <row r="149" spans="1:13" x14ac:dyDescent="0.2">
      <c r="A149" s="1115"/>
      <c r="B149" s="1115"/>
      <c r="C149" s="1115"/>
      <c r="D149" s="1115"/>
      <c r="E149" s="1115"/>
      <c r="F149" s="1115"/>
      <c r="G149" s="1115"/>
      <c r="H149" s="1115"/>
      <c r="I149" s="1115"/>
      <c r="J149" s="1115"/>
      <c r="K149" s="1115"/>
      <c r="L149" s="1115"/>
      <c r="M149" s="1115"/>
    </row>
    <row r="150" spans="1:13" x14ac:dyDescent="0.2">
      <c r="A150" s="1115"/>
      <c r="B150" s="1115"/>
      <c r="C150" s="1115"/>
      <c r="D150" s="1115"/>
      <c r="E150" s="1115"/>
      <c r="F150" s="1115"/>
      <c r="G150" s="1115"/>
      <c r="H150" s="1115"/>
      <c r="I150" s="1115"/>
      <c r="J150" s="1115"/>
      <c r="K150" s="1115"/>
      <c r="L150" s="1115"/>
      <c r="M150" s="1115"/>
    </row>
    <row r="151" spans="1:13" x14ac:dyDescent="0.2">
      <c r="A151" s="1115"/>
      <c r="B151" s="1115"/>
      <c r="C151" s="1115"/>
      <c r="D151" s="1115"/>
      <c r="E151" s="1115"/>
      <c r="F151" s="1115"/>
      <c r="G151" s="1115"/>
      <c r="H151" s="1115"/>
      <c r="I151" s="1115"/>
      <c r="J151" s="1115"/>
      <c r="K151" s="1115"/>
      <c r="L151" s="1115"/>
      <c r="M151" s="1115"/>
    </row>
    <row r="152" spans="1:13" x14ac:dyDescent="0.2">
      <c r="A152" s="1115"/>
      <c r="B152" s="1115"/>
      <c r="C152" s="1115"/>
      <c r="D152" s="1115"/>
      <c r="E152" s="1115"/>
      <c r="F152" s="1115"/>
      <c r="G152" s="1115"/>
      <c r="H152" s="1115"/>
      <c r="I152" s="1115"/>
      <c r="J152" s="1115"/>
      <c r="K152" s="1115"/>
      <c r="L152" s="1115"/>
      <c r="M152" s="1115"/>
    </row>
    <row r="153" spans="1:13" x14ac:dyDescent="0.2">
      <c r="A153" s="1115"/>
      <c r="B153" s="1115"/>
      <c r="C153" s="1115"/>
      <c r="D153" s="1115"/>
      <c r="E153" s="1115"/>
      <c r="F153" s="1115"/>
      <c r="G153" s="1115"/>
      <c r="H153" s="1115"/>
      <c r="I153" s="1115"/>
      <c r="J153" s="1115"/>
      <c r="K153" s="1115"/>
      <c r="L153" s="1115"/>
      <c r="M153" s="1115"/>
    </row>
    <row r="154" spans="1:13" x14ac:dyDescent="0.2">
      <c r="A154" s="1115"/>
      <c r="B154" s="1115"/>
      <c r="C154" s="1115"/>
      <c r="D154" s="1115"/>
      <c r="E154" s="1115"/>
      <c r="F154" s="1115"/>
      <c r="G154" s="1115"/>
      <c r="H154" s="1115"/>
      <c r="I154" s="1115"/>
      <c r="J154" s="1115"/>
      <c r="K154" s="1115"/>
      <c r="L154" s="1115"/>
      <c r="M154" s="1115"/>
    </row>
    <row r="155" spans="1:13" x14ac:dyDescent="0.2">
      <c r="A155" s="1115"/>
      <c r="B155" s="1115"/>
      <c r="C155" s="1115"/>
      <c r="D155" s="1115"/>
      <c r="E155" s="1115"/>
      <c r="F155" s="1115"/>
      <c r="G155" s="1115"/>
      <c r="H155" s="1115"/>
      <c r="I155" s="1115"/>
      <c r="J155" s="1115"/>
      <c r="K155" s="1115"/>
      <c r="L155" s="1115"/>
      <c r="M155" s="1115"/>
    </row>
    <row r="156" spans="1:13" x14ac:dyDescent="0.2">
      <c r="A156" s="1115"/>
      <c r="B156" s="1115"/>
      <c r="C156" s="1115"/>
      <c r="D156" s="1115"/>
      <c r="E156" s="1115"/>
      <c r="F156" s="1115"/>
      <c r="G156" s="1115"/>
      <c r="H156" s="1115"/>
      <c r="I156" s="1115"/>
      <c r="J156" s="1115"/>
      <c r="K156" s="1115"/>
      <c r="L156" s="1115"/>
      <c r="M156" s="1115"/>
    </row>
    <row r="157" spans="1:13" x14ac:dyDescent="0.2">
      <c r="A157" s="1115"/>
      <c r="B157" s="1115"/>
      <c r="C157" s="1115"/>
      <c r="D157" s="1115"/>
      <c r="E157" s="1115"/>
      <c r="F157" s="1115"/>
      <c r="G157" s="1115"/>
      <c r="H157" s="1115"/>
      <c r="I157" s="1115"/>
      <c r="J157" s="1115"/>
      <c r="K157" s="1115"/>
      <c r="L157" s="1115"/>
      <c r="M157" s="1115"/>
    </row>
    <row r="158" spans="1:13" x14ac:dyDescent="0.2">
      <c r="A158" s="1115"/>
      <c r="B158" s="1115"/>
      <c r="C158" s="1115"/>
      <c r="D158" s="1115"/>
      <c r="E158" s="1115"/>
      <c r="F158" s="1115"/>
      <c r="G158" s="1115"/>
      <c r="H158" s="1115"/>
      <c r="I158" s="1115"/>
      <c r="J158" s="1115"/>
      <c r="K158" s="1115"/>
      <c r="L158" s="1115"/>
      <c r="M158" s="1115"/>
    </row>
    <row r="159" spans="1:13" x14ac:dyDescent="0.2">
      <c r="A159" s="1115"/>
      <c r="B159" s="1115"/>
      <c r="C159" s="1115"/>
      <c r="D159" s="1115"/>
      <c r="E159" s="1115"/>
      <c r="F159" s="1115"/>
      <c r="G159" s="1115"/>
      <c r="H159" s="1115"/>
      <c r="I159" s="1115"/>
      <c r="J159" s="1115"/>
      <c r="K159" s="1115"/>
      <c r="L159" s="1115"/>
      <c r="M159" s="1115"/>
    </row>
    <row r="160" spans="1:13" x14ac:dyDescent="0.2">
      <c r="A160" s="1115"/>
      <c r="B160" s="1115"/>
      <c r="C160" s="1115"/>
      <c r="D160" s="1115"/>
      <c r="E160" s="1115"/>
      <c r="F160" s="1115"/>
      <c r="G160" s="1115"/>
      <c r="H160" s="1115"/>
      <c r="I160" s="1115"/>
      <c r="J160" s="1115"/>
      <c r="K160" s="1115"/>
      <c r="L160" s="1115"/>
      <c r="M160" s="1115"/>
    </row>
    <row r="161" spans="1:13" x14ac:dyDescent="0.2">
      <c r="A161" s="1115"/>
      <c r="B161" s="1115"/>
      <c r="C161" s="1115"/>
      <c r="D161" s="1115"/>
      <c r="E161" s="1115"/>
      <c r="F161" s="1115"/>
      <c r="G161" s="1115"/>
      <c r="H161" s="1115"/>
      <c r="I161" s="1115"/>
      <c r="J161" s="1115"/>
      <c r="K161" s="1115"/>
      <c r="L161" s="1115"/>
      <c r="M161" s="1115"/>
    </row>
    <row r="162" spans="1:13" x14ac:dyDescent="0.2">
      <c r="A162" s="1115"/>
      <c r="B162" s="1115"/>
      <c r="C162" s="1115"/>
      <c r="D162" s="1115"/>
      <c r="E162" s="1115"/>
      <c r="F162" s="1115"/>
      <c r="G162" s="1115"/>
      <c r="H162" s="1115"/>
      <c r="I162" s="1115"/>
      <c r="J162" s="1115"/>
      <c r="K162" s="1115"/>
      <c r="L162" s="1115"/>
      <c r="M162" s="1115"/>
    </row>
    <row r="163" spans="1:13" x14ac:dyDescent="0.2">
      <c r="A163" s="1115"/>
      <c r="B163" s="1115"/>
      <c r="C163" s="1115"/>
      <c r="D163" s="1115"/>
      <c r="E163" s="1115"/>
      <c r="F163" s="1115"/>
      <c r="G163" s="1115"/>
      <c r="H163" s="1115"/>
      <c r="I163" s="1115"/>
      <c r="J163" s="1115"/>
      <c r="K163" s="1115"/>
      <c r="L163" s="1115"/>
      <c r="M163" s="1115"/>
    </row>
    <row r="164" spans="1:13" x14ac:dyDescent="0.2">
      <c r="A164" s="1115"/>
      <c r="B164" s="1115"/>
      <c r="C164" s="1115"/>
      <c r="D164" s="1115"/>
      <c r="E164" s="1115"/>
      <c r="F164" s="1115"/>
      <c r="G164" s="1115"/>
      <c r="H164" s="1115"/>
      <c r="I164" s="1115"/>
      <c r="J164" s="1115"/>
      <c r="K164" s="1115"/>
      <c r="L164" s="1115"/>
      <c r="M164" s="1115"/>
    </row>
    <row r="165" spans="1:13" x14ac:dyDescent="0.2">
      <c r="A165" s="1115"/>
      <c r="B165" s="1115"/>
      <c r="C165" s="1115"/>
      <c r="D165" s="1115"/>
      <c r="E165" s="1115"/>
      <c r="F165" s="1115"/>
      <c r="G165" s="1115"/>
      <c r="H165" s="1115"/>
      <c r="I165" s="1115"/>
      <c r="J165" s="1115"/>
      <c r="K165" s="1115"/>
      <c r="L165" s="1115"/>
      <c r="M165" s="1115"/>
    </row>
    <row r="166" spans="1:13" x14ac:dyDescent="0.2">
      <c r="A166" s="1115"/>
      <c r="B166" s="1115"/>
      <c r="C166" s="1115"/>
      <c r="D166" s="1115"/>
      <c r="E166" s="1115"/>
      <c r="F166" s="1115"/>
      <c r="G166" s="1115"/>
      <c r="H166" s="1115"/>
      <c r="I166" s="1115"/>
      <c r="J166" s="1115"/>
      <c r="K166" s="1115"/>
      <c r="L166" s="1115"/>
      <c r="M166" s="1115"/>
    </row>
    <row r="167" spans="1:13" x14ac:dyDescent="0.2">
      <c r="A167" s="1115"/>
      <c r="B167" s="1115"/>
      <c r="C167" s="1115"/>
      <c r="D167" s="1115"/>
      <c r="E167" s="1115"/>
      <c r="F167" s="1115"/>
      <c r="G167" s="1115"/>
      <c r="H167" s="1115"/>
      <c r="I167" s="1115"/>
      <c r="J167" s="1115"/>
      <c r="K167" s="1115"/>
      <c r="L167" s="1115"/>
      <c r="M167" s="1115"/>
    </row>
    <row r="168" spans="1:13" x14ac:dyDescent="0.2">
      <c r="A168" s="1115"/>
      <c r="B168" s="1115"/>
      <c r="C168" s="1115"/>
      <c r="D168" s="1115"/>
      <c r="E168" s="1115"/>
      <c r="F168" s="1115"/>
      <c r="G168" s="1115"/>
      <c r="H168" s="1115"/>
      <c r="I168" s="1115"/>
      <c r="J168" s="1115"/>
      <c r="K168" s="1115"/>
      <c r="L168" s="1115"/>
      <c r="M168" s="1115"/>
    </row>
    <row r="169" spans="1:13" x14ac:dyDescent="0.2">
      <c r="A169" s="1115"/>
      <c r="B169" s="1115"/>
      <c r="C169" s="1115"/>
      <c r="D169" s="1115"/>
      <c r="E169" s="1115"/>
      <c r="F169" s="1115"/>
      <c r="G169" s="1115"/>
      <c r="H169" s="1115"/>
      <c r="I169" s="1115"/>
      <c r="J169" s="1115"/>
      <c r="K169" s="1115"/>
      <c r="L169" s="1115"/>
      <c r="M169" s="1115"/>
    </row>
    <row r="170" spans="1:13" x14ac:dyDescent="0.2">
      <c r="A170" s="1115"/>
      <c r="B170" s="1115"/>
      <c r="C170" s="1115"/>
      <c r="D170" s="1115"/>
      <c r="E170" s="1115"/>
      <c r="F170" s="1115"/>
      <c r="G170" s="1115"/>
      <c r="H170" s="1115"/>
      <c r="I170" s="1115"/>
      <c r="J170" s="1115"/>
      <c r="K170" s="1115"/>
      <c r="L170" s="1115"/>
      <c r="M170" s="1115"/>
    </row>
    <row r="171" spans="1:13" x14ac:dyDescent="0.2">
      <c r="A171" s="1115"/>
      <c r="B171" s="1115"/>
      <c r="C171" s="1115"/>
      <c r="D171" s="1115"/>
      <c r="E171" s="1115"/>
      <c r="F171" s="1115"/>
      <c r="G171" s="1115"/>
      <c r="H171" s="1115"/>
      <c r="I171" s="1115"/>
      <c r="J171" s="1115"/>
      <c r="K171" s="1115"/>
      <c r="L171" s="1115"/>
      <c r="M171" s="1115"/>
    </row>
    <row r="172" spans="1:13" x14ac:dyDescent="0.2">
      <c r="A172" s="1115"/>
      <c r="B172" s="1115"/>
      <c r="C172" s="1115"/>
      <c r="D172" s="1115"/>
      <c r="E172" s="1115"/>
      <c r="F172" s="1115"/>
      <c r="G172" s="1115"/>
      <c r="H172" s="1115"/>
      <c r="I172" s="1115"/>
      <c r="J172" s="1115"/>
      <c r="K172" s="1115"/>
      <c r="L172" s="1115"/>
      <c r="M172" s="1115"/>
    </row>
    <row r="173" spans="1:13" x14ac:dyDescent="0.2">
      <c r="A173" s="1115"/>
      <c r="B173" s="1115"/>
      <c r="C173" s="1115"/>
      <c r="D173" s="1115"/>
      <c r="E173" s="1115"/>
      <c r="F173" s="1115"/>
      <c r="G173" s="1115"/>
      <c r="H173" s="1115"/>
      <c r="I173" s="1115"/>
      <c r="J173" s="1115"/>
      <c r="K173" s="1115"/>
      <c r="L173" s="1115"/>
      <c r="M173" s="1115"/>
    </row>
    <row r="174" spans="1:13" x14ac:dyDescent="0.2">
      <c r="A174" s="1115"/>
      <c r="B174" s="1115"/>
      <c r="C174" s="1115"/>
      <c r="D174" s="1115"/>
      <c r="E174" s="1115"/>
      <c r="F174" s="1115"/>
      <c r="G174" s="1115"/>
      <c r="H174" s="1115"/>
      <c r="I174" s="1115"/>
      <c r="J174" s="1115"/>
      <c r="K174" s="1115"/>
      <c r="L174" s="1115"/>
      <c r="M174" s="1115"/>
    </row>
    <row r="175" spans="1:13" x14ac:dyDescent="0.2">
      <c r="A175" s="1115"/>
      <c r="B175" s="1115"/>
      <c r="C175" s="1115"/>
      <c r="D175" s="1115"/>
      <c r="E175" s="1115"/>
      <c r="F175" s="1115"/>
      <c r="G175" s="1115"/>
      <c r="H175" s="1115"/>
      <c r="I175" s="1115"/>
      <c r="J175" s="1115"/>
      <c r="K175" s="1115"/>
      <c r="L175" s="1115"/>
      <c r="M175" s="1115"/>
    </row>
    <row r="176" spans="1:13" x14ac:dyDescent="0.2">
      <c r="A176" s="1115"/>
      <c r="B176" s="1115"/>
      <c r="C176" s="1115"/>
      <c r="D176" s="1115"/>
      <c r="E176" s="1115"/>
      <c r="F176" s="1115"/>
      <c r="G176" s="1115"/>
      <c r="H176" s="1115"/>
      <c r="I176" s="1115"/>
      <c r="J176" s="1115"/>
      <c r="K176" s="1115"/>
      <c r="L176" s="1115"/>
      <c r="M176" s="1115"/>
    </row>
    <row r="177" spans="1:13" x14ac:dyDescent="0.2">
      <c r="A177" s="1115"/>
      <c r="B177" s="1115"/>
      <c r="C177" s="1115"/>
      <c r="D177" s="1115"/>
      <c r="E177" s="1115"/>
      <c r="F177" s="1115"/>
      <c r="G177" s="1115"/>
      <c r="H177" s="1115"/>
      <c r="I177" s="1115"/>
      <c r="J177" s="1115"/>
      <c r="K177" s="1115"/>
      <c r="L177" s="1115"/>
      <c r="M177" s="1115"/>
    </row>
    <row r="178" spans="1:13" x14ac:dyDescent="0.2">
      <c r="A178" s="1115"/>
      <c r="B178" s="1115"/>
      <c r="C178" s="1115"/>
      <c r="D178" s="1115"/>
      <c r="E178" s="1115"/>
      <c r="F178" s="1115"/>
      <c r="G178" s="1115"/>
      <c r="H178" s="1115"/>
      <c r="I178" s="1115"/>
      <c r="J178" s="1115"/>
      <c r="K178" s="1115"/>
      <c r="L178" s="1115"/>
      <c r="M178" s="1115"/>
    </row>
    <row r="179" spans="1:13" x14ac:dyDescent="0.2">
      <c r="A179" s="1115"/>
      <c r="B179" s="1115"/>
      <c r="C179" s="1115"/>
      <c r="D179" s="1115"/>
      <c r="E179" s="1115"/>
      <c r="F179" s="1115"/>
      <c r="G179" s="1115"/>
      <c r="H179" s="1115"/>
      <c r="I179" s="1115"/>
      <c r="J179" s="1115"/>
      <c r="K179" s="1115"/>
      <c r="L179" s="1115"/>
      <c r="M179" s="1115"/>
    </row>
    <row r="180" spans="1:13" x14ac:dyDescent="0.2">
      <c r="A180" s="1115"/>
      <c r="B180" s="1115"/>
      <c r="C180" s="1115"/>
      <c r="D180" s="1115"/>
      <c r="E180" s="1115"/>
      <c r="F180" s="1115"/>
      <c r="G180" s="1115"/>
      <c r="H180" s="1115"/>
      <c r="I180" s="1115"/>
      <c r="J180" s="1115"/>
      <c r="K180" s="1115"/>
      <c r="L180" s="1115"/>
      <c r="M180" s="1115"/>
    </row>
    <row r="181" spans="1:13" x14ac:dyDescent="0.2">
      <c r="A181" s="1115"/>
      <c r="B181" s="1115"/>
      <c r="C181" s="1115"/>
      <c r="D181" s="1115"/>
      <c r="E181" s="1115"/>
      <c r="F181" s="1115"/>
      <c r="G181" s="1115"/>
      <c r="H181" s="1115"/>
      <c r="I181" s="1115"/>
      <c r="J181" s="1115"/>
      <c r="K181" s="1115"/>
      <c r="L181" s="1115"/>
      <c r="M181" s="1115"/>
    </row>
    <row r="182" spans="1:13" x14ac:dyDescent="0.2">
      <c r="A182" s="1115"/>
      <c r="B182" s="1115"/>
      <c r="C182" s="1115"/>
      <c r="D182" s="1115"/>
      <c r="E182" s="1115"/>
      <c r="F182" s="1115"/>
      <c r="G182" s="1115"/>
      <c r="H182" s="1115"/>
      <c r="I182" s="1115"/>
      <c r="J182" s="1115"/>
      <c r="K182" s="1115"/>
      <c r="L182" s="1115"/>
      <c r="M182" s="1115"/>
    </row>
    <row r="183" spans="1:13" x14ac:dyDescent="0.2">
      <c r="A183" s="1115"/>
      <c r="B183" s="1115"/>
      <c r="C183" s="1115"/>
      <c r="D183" s="1115"/>
      <c r="E183" s="1115"/>
      <c r="F183" s="1115"/>
      <c r="G183" s="1115"/>
      <c r="H183" s="1115"/>
      <c r="I183" s="1115"/>
      <c r="J183" s="1115"/>
      <c r="K183" s="1115"/>
      <c r="L183" s="1115"/>
      <c r="M183" s="1115"/>
    </row>
    <row r="184" spans="1:13" x14ac:dyDescent="0.2">
      <c r="A184" s="1115"/>
      <c r="B184" s="1115"/>
      <c r="C184" s="1115"/>
      <c r="D184" s="1115"/>
      <c r="E184" s="1115"/>
      <c r="F184" s="1115"/>
      <c r="G184" s="1115"/>
      <c r="H184" s="1115"/>
      <c r="I184" s="1115"/>
      <c r="J184" s="1115"/>
      <c r="K184" s="1115"/>
      <c r="L184" s="1115"/>
      <c r="M184" s="1115"/>
    </row>
    <row r="185" spans="1:13" x14ac:dyDescent="0.2">
      <c r="A185" s="1115"/>
      <c r="B185" s="1115"/>
      <c r="C185" s="1115"/>
      <c r="D185" s="1115"/>
      <c r="E185" s="1115"/>
      <c r="F185" s="1115"/>
      <c r="G185" s="1115"/>
      <c r="H185" s="1115"/>
      <c r="I185" s="1115"/>
      <c r="J185" s="1115"/>
      <c r="K185" s="1115"/>
      <c r="L185" s="1115"/>
      <c r="M185" s="1115"/>
    </row>
    <row r="186" spans="1:13" x14ac:dyDescent="0.2">
      <c r="A186" s="1115"/>
      <c r="B186" s="1115"/>
      <c r="C186" s="1115"/>
      <c r="D186" s="1115"/>
      <c r="E186" s="1115"/>
      <c r="F186" s="1115"/>
      <c r="G186" s="1115"/>
      <c r="H186" s="1115"/>
      <c r="I186" s="1115"/>
      <c r="J186" s="1115"/>
      <c r="K186" s="1115"/>
      <c r="L186" s="1115"/>
      <c r="M186" s="1115"/>
    </row>
    <row r="187" spans="1:13" x14ac:dyDescent="0.2">
      <c r="A187" s="1115"/>
      <c r="B187" s="1115"/>
      <c r="C187" s="1115"/>
      <c r="D187" s="1115"/>
      <c r="E187" s="1115"/>
      <c r="F187" s="1115"/>
      <c r="G187" s="1115"/>
      <c r="H187" s="1115"/>
      <c r="I187" s="1115"/>
      <c r="J187" s="1115"/>
      <c r="K187" s="1115"/>
      <c r="L187" s="1115"/>
      <c r="M187" s="1115"/>
    </row>
    <row r="188" spans="1:13" x14ac:dyDescent="0.2">
      <c r="A188" s="1115"/>
      <c r="B188" s="1115"/>
      <c r="C188" s="1115"/>
      <c r="D188" s="1115"/>
      <c r="E188" s="1115"/>
      <c r="F188" s="1115"/>
      <c r="G188" s="1115"/>
      <c r="H188" s="1115"/>
      <c r="I188" s="1115"/>
      <c r="J188" s="1115"/>
      <c r="K188" s="1115"/>
      <c r="L188" s="1115"/>
      <c r="M188" s="1115"/>
    </row>
    <row r="189" spans="1:13" x14ac:dyDescent="0.2">
      <c r="A189" s="1115"/>
      <c r="B189" s="1115"/>
      <c r="C189" s="1115"/>
      <c r="D189" s="1115"/>
      <c r="E189" s="1115"/>
      <c r="F189" s="1115"/>
      <c r="G189" s="1115"/>
      <c r="H189" s="1115"/>
      <c r="I189" s="1115"/>
      <c r="J189" s="1115"/>
      <c r="K189" s="1115"/>
      <c r="L189" s="1115"/>
      <c r="M189" s="1115"/>
    </row>
    <row r="190" spans="1:13" x14ac:dyDescent="0.2">
      <c r="A190" s="1115"/>
      <c r="B190" s="1115"/>
      <c r="C190" s="1115"/>
      <c r="D190" s="1115"/>
      <c r="E190" s="1115"/>
      <c r="F190" s="1115"/>
      <c r="G190" s="1115"/>
      <c r="H190" s="1115"/>
      <c r="I190" s="1115"/>
      <c r="J190" s="1115"/>
      <c r="K190" s="1115"/>
      <c r="L190" s="1115"/>
      <c r="M190" s="1115"/>
    </row>
    <row r="191" spans="1:13" x14ac:dyDescent="0.2">
      <c r="A191" s="1115"/>
      <c r="B191" s="1115"/>
      <c r="C191" s="1115"/>
      <c r="D191" s="1115"/>
      <c r="E191" s="1115"/>
      <c r="F191" s="1115"/>
      <c r="G191" s="1115"/>
      <c r="H191" s="1115"/>
      <c r="I191" s="1115"/>
      <c r="J191" s="1115"/>
      <c r="K191" s="1115"/>
      <c r="L191" s="1115"/>
      <c r="M191" s="1115"/>
    </row>
    <row r="192" spans="1:13" x14ac:dyDescent="0.2">
      <c r="A192" s="1115"/>
      <c r="B192" s="1115"/>
      <c r="C192" s="1115"/>
      <c r="D192" s="1115"/>
      <c r="E192" s="1115"/>
      <c r="F192" s="1115"/>
      <c r="G192" s="1115"/>
      <c r="H192" s="1115"/>
      <c r="I192" s="1115"/>
      <c r="J192" s="1115"/>
      <c r="K192" s="1115"/>
      <c r="L192" s="1115"/>
      <c r="M192" s="1115"/>
    </row>
    <row r="193" spans="1:13" x14ac:dyDescent="0.2">
      <c r="A193" s="1115"/>
      <c r="B193" s="1115"/>
      <c r="C193" s="1115"/>
      <c r="D193" s="1115"/>
      <c r="E193" s="1115"/>
      <c r="F193" s="1115"/>
      <c r="G193" s="1115"/>
      <c r="H193" s="1115"/>
      <c r="I193" s="1115"/>
      <c r="J193" s="1115"/>
      <c r="K193" s="1115"/>
      <c r="L193" s="1115"/>
      <c r="M193" s="1115"/>
    </row>
    <row r="194" spans="1:13" x14ac:dyDescent="0.2">
      <c r="A194" s="1115"/>
      <c r="B194" s="1115"/>
      <c r="C194" s="1115"/>
      <c r="D194" s="1115"/>
      <c r="E194" s="1115"/>
      <c r="F194" s="1115"/>
      <c r="G194" s="1115"/>
      <c r="H194" s="1115"/>
      <c r="I194" s="1115"/>
      <c r="J194" s="1115"/>
      <c r="K194" s="1115"/>
      <c r="L194" s="1115"/>
      <c r="M194" s="1115"/>
    </row>
    <row r="195" spans="1:13" x14ac:dyDescent="0.2">
      <c r="A195" s="1115"/>
      <c r="B195" s="1115"/>
      <c r="C195" s="1115"/>
      <c r="D195" s="1115"/>
      <c r="E195" s="1115"/>
      <c r="F195" s="1115"/>
      <c r="G195" s="1115"/>
      <c r="H195" s="1115"/>
      <c r="I195" s="1115"/>
      <c r="J195" s="1115"/>
      <c r="K195" s="1115"/>
      <c r="L195" s="1115"/>
      <c r="M195" s="1115"/>
    </row>
    <row r="196" spans="1:13" x14ac:dyDescent="0.2">
      <c r="A196" s="1115"/>
      <c r="B196" s="1115"/>
      <c r="C196" s="1115"/>
      <c r="D196" s="1115"/>
      <c r="E196" s="1115"/>
      <c r="F196" s="1115"/>
      <c r="G196" s="1115"/>
      <c r="H196" s="1115"/>
      <c r="I196" s="1115"/>
      <c r="J196" s="1115"/>
      <c r="K196" s="1115"/>
      <c r="L196" s="1115"/>
      <c r="M196" s="1115"/>
    </row>
    <row r="197" spans="1:13" x14ac:dyDescent="0.2">
      <c r="A197" s="1115"/>
      <c r="B197" s="1115"/>
      <c r="C197" s="1115"/>
      <c r="D197" s="1115"/>
      <c r="E197" s="1115"/>
      <c r="F197" s="1115"/>
      <c r="G197" s="1115"/>
      <c r="H197" s="1115"/>
      <c r="I197" s="1115"/>
      <c r="J197" s="1115"/>
      <c r="K197" s="1115"/>
      <c r="L197" s="1115"/>
      <c r="M197" s="1115"/>
    </row>
    <row r="198" spans="1:13" x14ac:dyDescent="0.2">
      <c r="A198" s="1115"/>
      <c r="B198" s="1115"/>
      <c r="C198" s="1115"/>
      <c r="D198" s="1115"/>
      <c r="E198" s="1115"/>
      <c r="F198" s="1115"/>
      <c r="G198" s="1115"/>
      <c r="H198" s="1115"/>
      <c r="I198" s="1115"/>
      <c r="J198" s="1115"/>
      <c r="K198" s="1115"/>
      <c r="L198" s="1115"/>
      <c r="M198" s="1115"/>
    </row>
    <row r="199" spans="1:13" x14ac:dyDescent="0.2">
      <c r="A199" s="1115"/>
      <c r="B199" s="1115"/>
      <c r="C199" s="1115"/>
      <c r="D199" s="1115"/>
      <c r="E199" s="1115"/>
      <c r="F199" s="1115"/>
      <c r="G199" s="1115"/>
      <c r="H199" s="1115"/>
      <c r="I199" s="1115"/>
      <c r="J199" s="1115"/>
      <c r="K199" s="1115"/>
      <c r="L199" s="1115"/>
      <c r="M199" s="1115"/>
    </row>
    <row r="200" spans="1:13" x14ac:dyDescent="0.2">
      <c r="A200" s="1115"/>
      <c r="B200" s="1115"/>
      <c r="C200" s="1115"/>
      <c r="D200" s="1115"/>
      <c r="E200" s="1115"/>
      <c r="F200" s="1115"/>
      <c r="G200" s="1115"/>
      <c r="H200" s="1115"/>
      <c r="I200" s="1115"/>
      <c r="J200" s="1115"/>
      <c r="K200" s="1115"/>
      <c r="L200" s="1115"/>
      <c r="M200" s="1115"/>
    </row>
    <row r="201" spans="1:13" x14ac:dyDescent="0.2">
      <c r="A201" s="1115"/>
      <c r="B201" s="1115"/>
      <c r="C201" s="1115"/>
      <c r="D201" s="1115"/>
      <c r="E201" s="1115"/>
      <c r="F201" s="1115"/>
      <c r="G201" s="1115"/>
      <c r="H201" s="1115"/>
      <c r="I201" s="1115"/>
      <c r="J201" s="1115"/>
      <c r="K201" s="1115"/>
      <c r="L201" s="1115"/>
      <c r="M201" s="1115"/>
    </row>
    <row r="202" spans="1:13" x14ac:dyDescent="0.2">
      <c r="A202" s="1115"/>
      <c r="B202" s="1115"/>
      <c r="C202" s="1115"/>
      <c r="D202" s="1115"/>
      <c r="E202" s="1115"/>
      <c r="F202" s="1115"/>
      <c r="G202" s="1115"/>
      <c r="H202" s="1115"/>
      <c r="I202" s="1115"/>
      <c r="J202" s="1115"/>
      <c r="K202" s="1115"/>
      <c r="L202" s="1115"/>
      <c r="M202" s="1115"/>
    </row>
    <row r="203" spans="1:13" x14ac:dyDescent="0.2">
      <c r="A203" s="1115"/>
      <c r="B203" s="1115"/>
      <c r="C203" s="1115"/>
      <c r="D203" s="1115"/>
      <c r="E203" s="1115"/>
      <c r="F203" s="1115"/>
      <c r="G203" s="1115"/>
      <c r="H203" s="1115"/>
      <c r="I203" s="1115"/>
      <c r="J203" s="1115"/>
      <c r="K203" s="1115"/>
      <c r="L203" s="1115"/>
      <c r="M203" s="1115"/>
    </row>
    <row r="204" spans="1:13" x14ac:dyDescent="0.2">
      <c r="A204" s="1115"/>
      <c r="B204" s="1115"/>
      <c r="C204" s="1115"/>
      <c r="D204" s="1115"/>
      <c r="E204" s="1115"/>
      <c r="F204" s="1115"/>
      <c r="G204" s="1115"/>
      <c r="H204" s="1115"/>
      <c r="I204" s="1115"/>
      <c r="J204" s="1115"/>
      <c r="K204" s="1115"/>
      <c r="L204" s="1115"/>
      <c r="M204" s="1115"/>
    </row>
    <row r="205" spans="1:13" x14ac:dyDescent="0.2">
      <c r="A205" s="1115"/>
      <c r="B205" s="1115"/>
      <c r="C205" s="1115"/>
      <c r="D205" s="1115"/>
      <c r="E205" s="1115"/>
      <c r="F205" s="1115"/>
      <c r="G205" s="1115"/>
      <c r="H205" s="1115"/>
      <c r="I205" s="1115"/>
      <c r="J205" s="1115"/>
      <c r="K205" s="1115"/>
      <c r="L205" s="1115"/>
      <c r="M205" s="1115"/>
    </row>
    <row r="206" spans="1:13" x14ac:dyDescent="0.2">
      <c r="A206" s="1115"/>
      <c r="B206" s="1115"/>
      <c r="C206" s="1115"/>
      <c r="D206" s="1115"/>
      <c r="E206" s="1115"/>
      <c r="F206" s="1115"/>
      <c r="G206" s="1115"/>
      <c r="H206" s="1115"/>
      <c r="I206" s="1115"/>
      <c r="J206" s="1115"/>
      <c r="K206" s="1115"/>
      <c r="L206" s="1115"/>
      <c r="M206" s="1115"/>
    </row>
    <row r="207" spans="1:13" x14ac:dyDescent="0.2">
      <c r="A207" s="1115"/>
      <c r="B207" s="1115"/>
      <c r="C207" s="1115"/>
      <c r="D207" s="1115"/>
      <c r="E207" s="1115"/>
      <c r="F207" s="1115"/>
      <c r="G207" s="1115"/>
      <c r="H207" s="1115"/>
      <c r="I207" s="1115"/>
      <c r="J207" s="1115"/>
      <c r="K207" s="1115"/>
      <c r="L207" s="1115"/>
      <c r="M207" s="1115"/>
    </row>
    <row r="208" spans="1:13" x14ac:dyDescent="0.2">
      <c r="A208" s="1115"/>
      <c r="B208" s="1115"/>
      <c r="C208" s="1115"/>
      <c r="D208" s="1115"/>
      <c r="E208" s="1115"/>
      <c r="F208" s="1115"/>
      <c r="G208" s="1115"/>
      <c r="H208" s="1115"/>
      <c r="I208" s="1115"/>
      <c r="J208" s="1115"/>
      <c r="K208" s="1115"/>
      <c r="L208" s="1115"/>
      <c r="M208" s="1115"/>
    </row>
    <row r="209" spans="1:13" x14ac:dyDescent="0.2">
      <c r="A209" s="1115"/>
      <c r="B209" s="1115"/>
      <c r="C209" s="1115"/>
      <c r="D209" s="1115"/>
      <c r="E209" s="1115"/>
      <c r="F209" s="1115"/>
      <c r="G209" s="1115"/>
      <c r="H209" s="1115"/>
      <c r="I209" s="1115"/>
      <c r="J209" s="1115"/>
      <c r="K209" s="1115"/>
      <c r="L209" s="1115"/>
      <c r="M209" s="1115"/>
    </row>
    <row r="210" spans="1:13" x14ac:dyDescent="0.2">
      <c r="A210" s="1115"/>
      <c r="B210" s="1115"/>
      <c r="C210" s="1115"/>
      <c r="D210" s="1115"/>
      <c r="E210" s="1115"/>
      <c r="F210" s="1115"/>
      <c r="G210" s="1115"/>
      <c r="H210" s="1115"/>
      <c r="I210" s="1115"/>
      <c r="J210" s="1115"/>
      <c r="K210" s="1115"/>
      <c r="L210" s="1115"/>
      <c r="M210" s="1115"/>
    </row>
    <row r="211" spans="1:13" x14ac:dyDescent="0.2">
      <c r="A211" s="1115"/>
      <c r="B211" s="1115"/>
      <c r="C211" s="1115"/>
      <c r="D211" s="1115"/>
      <c r="E211" s="1115"/>
      <c r="F211" s="1115"/>
      <c r="G211" s="1115"/>
      <c r="H211" s="1115"/>
      <c r="I211" s="1115"/>
      <c r="J211" s="1115"/>
      <c r="K211" s="1115"/>
      <c r="L211" s="1115"/>
      <c r="M211" s="1115"/>
    </row>
    <row r="212" spans="1:13" x14ac:dyDescent="0.2">
      <c r="A212" s="1115"/>
      <c r="B212" s="1115"/>
      <c r="C212" s="1115"/>
      <c r="D212" s="1115"/>
      <c r="E212" s="1115"/>
      <c r="F212" s="1115"/>
      <c r="G212" s="1115"/>
      <c r="H212" s="1115"/>
      <c r="I212" s="1115"/>
      <c r="J212" s="1115"/>
      <c r="K212" s="1115"/>
      <c r="L212" s="1115"/>
      <c r="M212" s="1115"/>
    </row>
    <row r="213" spans="1:13" x14ac:dyDescent="0.2">
      <c r="A213" s="1115"/>
      <c r="B213" s="1115"/>
      <c r="C213" s="1115"/>
      <c r="D213" s="1115"/>
      <c r="E213" s="1115"/>
      <c r="F213" s="1115"/>
      <c r="G213" s="1115"/>
      <c r="H213" s="1115"/>
      <c r="I213" s="1115"/>
      <c r="J213" s="1115"/>
      <c r="K213" s="1115"/>
      <c r="L213" s="1115"/>
      <c r="M213" s="1115"/>
    </row>
    <row r="214" spans="1:13" x14ac:dyDescent="0.2">
      <c r="A214" s="1115"/>
      <c r="B214" s="1115"/>
      <c r="C214" s="1115"/>
      <c r="D214" s="1115"/>
      <c r="E214" s="1115"/>
      <c r="F214" s="1115"/>
      <c r="G214" s="1115"/>
      <c r="H214" s="1115"/>
      <c r="I214" s="1115"/>
      <c r="J214" s="1115"/>
      <c r="K214" s="1115"/>
      <c r="L214" s="1115"/>
      <c r="M214" s="1115"/>
    </row>
    <row r="215" spans="1:13" x14ac:dyDescent="0.2">
      <c r="A215" s="1115"/>
      <c r="B215" s="1115"/>
      <c r="C215" s="1115"/>
      <c r="D215" s="1115"/>
      <c r="E215" s="1115"/>
      <c r="F215" s="1115"/>
      <c r="G215" s="1115"/>
      <c r="H215" s="1115"/>
      <c r="I215" s="1115"/>
      <c r="J215" s="1115"/>
      <c r="K215" s="1115"/>
      <c r="L215" s="1115"/>
      <c r="M215" s="1115"/>
    </row>
    <row r="216" spans="1:13" x14ac:dyDescent="0.2">
      <c r="A216" s="1115"/>
      <c r="B216" s="1115"/>
      <c r="C216" s="1115"/>
      <c r="D216" s="1115"/>
      <c r="E216" s="1115"/>
      <c r="F216" s="1115"/>
      <c r="G216" s="1115"/>
      <c r="H216" s="1115"/>
      <c r="I216" s="1115"/>
      <c r="J216" s="1115"/>
      <c r="K216" s="1115"/>
      <c r="L216" s="1115"/>
      <c r="M216" s="1115"/>
    </row>
    <row r="217" spans="1:13" x14ac:dyDescent="0.2">
      <c r="A217" s="1115"/>
      <c r="B217" s="1115"/>
      <c r="C217" s="1115"/>
      <c r="D217" s="1115"/>
      <c r="E217" s="1115"/>
      <c r="F217" s="1115"/>
      <c r="G217" s="1115"/>
      <c r="H217" s="1115"/>
      <c r="I217" s="1115"/>
      <c r="J217" s="1115"/>
      <c r="K217" s="1115"/>
      <c r="L217" s="1115"/>
      <c r="M217" s="1115"/>
    </row>
    <row r="218" spans="1:13" x14ac:dyDescent="0.2">
      <c r="A218" s="1115"/>
      <c r="B218" s="1115"/>
      <c r="C218" s="1115"/>
      <c r="D218" s="1115"/>
      <c r="E218" s="1115"/>
      <c r="F218" s="1115"/>
      <c r="G218" s="1115"/>
      <c r="H218" s="1115"/>
      <c r="I218" s="1115"/>
      <c r="J218" s="1115"/>
      <c r="K218" s="1115"/>
      <c r="L218" s="1115"/>
      <c r="M218" s="1115"/>
    </row>
    <row r="219" spans="1:13" x14ac:dyDescent="0.2">
      <c r="A219" s="1115"/>
      <c r="B219" s="1115"/>
      <c r="C219" s="1115"/>
      <c r="D219" s="1115"/>
      <c r="E219" s="1115"/>
      <c r="F219" s="1115"/>
      <c r="G219" s="1115"/>
      <c r="H219" s="1115"/>
      <c r="I219" s="1115"/>
      <c r="J219" s="1115"/>
      <c r="K219" s="1115"/>
      <c r="L219" s="1115"/>
      <c r="M219" s="1115"/>
    </row>
    <row r="220" spans="1:13" x14ac:dyDescent="0.2">
      <c r="A220" s="1115"/>
      <c r="B220" s="1115"/>
      <c r="C220" s="1115"/>
      <c r="D220" s="1115"/>
      <c r="E220" s="1115"/>
      <c r="F220" s="1115"/>
      <c r="G220" s="1115"/>
      <c r="H220" s="1115"/>
      <c r="I220" s="1115"/>
      <c r="J220" s="1115"/>
      <c r="K220" s="1115"/>
      <c r="L220" s="1115"/>
      <c r="M220" s="1115"/>
    </row>
    <row r="221" spans="1:13" x14ac:dyDescent="0.2">
      <c r="A221" s="1115"/>
      <c r="B221" s="1115"/>
      <c r="C221" s="1115"/>
      <c r="D221" s="1115"/>
      <c r="E221" s="1115"/>
      <c r="F221" s="1115"/>
      <c r="G221" s="1115"/>
      <c r="H221" s="1115"/>
      <c r="I221" s="1115"/>
      <c r="J221" s="1115"/>
      <c r="K221" s="1115"/>
      <c r="L221" s="1115"/>
      <c r="M221" s="1115"/>
    </row>
    <row r="222" spans="1:13" x14ac:dyDescent="0.2">
      <c r="A222" s="1115"/>
      <c r="B222" s="1115"/>
      <c r="C222" s="1115"/>
      <c r="D222" s="1115"/>
      <c r="E222" s="1115"/>
      <c r="F222" s="1115"/>
      <c r="G222" s="1115"/>
      <c r="H222" s="1115"/>
      <c r="I222" s="1115"/>
      <c r="J222" s="1115"/>
      <c r="K222" s="1115"/>
      <c r="L222" s="1115"/>
      <c r="M222" s="1115"/>
    </row>
    <row r="223" spans="1:13" x14ac:dyDescent="0.2">
      <c r="A223" s="1115"/>
      <c r="B223" s="1115"/>
      <c r="C223" s="1115"/>
      <c r="D223" s="1115"/>
      <c r="E223" s="1115"/>
      <c r="F223" s="1115"/>
      <c r="G223" s="1115"/>
      <c r="H223" s="1115"/>
      <c r="I223" s="1115"/>
      <c r="J223" s="1115"/>
      <c r="K223" s="1115"/>
      <c r="L223" s="1115"/>
      <c r="M223" s="1115"/>
    </row>
    <row r="224" spans="1:13" x14ac:dyDescent="0.2">
      <c r="A224" s="1115"/>
      <c r="B224" s="1115"/>
      <c r="C224" s="1115"/>
      <c r="D224" s="1115"/>
      <c r="E224" s="1115"/>
      <c r="F224" s="1115"/>
      <c r="G224" s="1115"/>
      <c r="H224" s="1115"/>
      <c r="I224" s="1115"/>
      <c r="J224" s="1115"/>
      <c r="K224" s="1115"/>
      <c r="L224" s="1115"/>
      <c r="M224" s="1115"/>
    </row>
    <row r="225" spans="1:13" x14ac:dyDescent="0.2">
      <c r="A225" s="1115"/>
      <c r="B225" s="1115"/>
      <c r="C225" s="1115"/>
      <c r="D225" s="1115"/>
      <c r="E225" s="1115"/>
      <c r="F225" s="1115"/>
      <c r="G225" s="1115"/>
      <c r="H225" s="1115"/>
      <c r="I225" s="1115"/>
      <c r="J225" s="1115"/>
      <c r="K225" s="1115"/>
      <c r="L225" s="1115"/>
      <c r="M225" s="1115"/>
    </row>
    <row r="226" spans="1:13" x14ac:dyDescent="0.2">
      <c r="A226" s="1115"/>
      <c r="B226" s="1115"/>
      <c r="C226" s="1115"/>
      <c r="D226" s="1115"/>
      <c r="E226" s="1115"/>
      <c r="F226" s="1115"/>
      <c r="G226" s="1115"/>
      <c r="H226" s="1115"/>
      <c r="I226" s="1115"/>
      <c r="J226" s="1115"/>
      <c r="K226" s="1115"/>
      <c r="L226" s="1115"/>
      <c r="M226" s="1115"/>
    </row>
    <row r="227" spans="1:13" x14ac:dyDescent="0.2">
      <c r="A227" s="1115"/>
      <c r="B227" s="1115"/>
      <c r="C227" s="1115"/>
      <c r="D227" s="1115"/>
      <c r="E227" s="1115"/>
      <c r="F227" s="1115"/>
      <c r="G227" s="1115"/>
      <c r="H227" s="1115"/>
      <c r="I227" s="1115"/>
      <c r="J227" s="1115"/>
      <c r="K227" s="1115"/>
      <c r="L227" s="1115"/>
      <c r="M227" s="1115"/>
    </row>
    <row r="228" spans="1:13" x14ac:dyDescent="0.2">
      <c r="A228" s="1115"/>
      <c r="B228" s="1115"/>
      <c r="C228" s="1115"/>
      <c r="D228" s="1115"/>
      <c r="E228" s="1115"/>
      <c r="F228" s="1115"/>
      <c r="G228" s="1115"/>
      <c r="H228" s="1115"/>
      <c r="I228" s="1115"/>
      <c r="J228" s="1115"/>
      <c r="K228" s="1115"/>
      <c r="L228" s="1115"/>
      <c r="M228" s="1115"/>
    </row>
    <row r="229" spans="1:13" x14ac:dyDescent="0.2">
      <c r="A229" s="1115"/>
      <c r="B229" s="1115"/>
      <c r="C229" s="1115"/>
      <c r="D229" s="1115"/>
      <c r="E229" s="1115"/>
      <c r="F229" s="1115"/>
      <c r="G229" s="1115"/>
      <c r="H229" s="1115"/>
      <c r="I229" s="1115"/>
      <c r="J229" s="1115"/>
      <c r="K229" s="1115"/>
      <c r="L229" s="1115"/>
      <c r="M229" s="1115"/>
    </row>
    <row r="230" spans="1:13" x14ac:dyDescent="0.2">
      <c r="A230" s="1115"/>
      <c r="B230" s="1115"/>
      <c r="C230" s="1115"/>
      <c r="D230" s="1115"/>
      <c r="E230" s="1115"/>
      <c r="F230" s="1115"/>
      <c r="G230" s="1115"/>
      <c r="H230" s="1115"/>
      <c r="I230" s="1115"/>
      <c r="J230" s="1115"/>
      <c r="K230" s="1115"/>
      <c r="L230" s="1115"/>
      <c r="M230" s="1115"/>
    </row>
    <row r="231" spans="1:13" x14ac:dyDescent="0.2">
      <c r="A231" s="1115"/>
      <c r="B231" s="1115"/>
      <c r="C231" s="1115"/>
      <c r="D231" s="1115"/>
      <c r="E231" s="1115"/>
      <c r="F231" s="1115"/>
      <c r="G231" s="1115"/>
      <c r="H231" s="1115"/>
      <c r="I231" s="1115"/>
      <c r="J231" s="1115"/>
      <c r="K231" s="1115"/>
      <c r="L231" s="1115"/>
      <c r="M231" s="1115"/>
    </row>
    <row r="232" spans="1:13" x14ac:dyDescent="0.2">
      <c r="A232" s="1115"/>
      <c r="B232" s="1115"/>
      <c r="C232" s="1115"/>
      <c r="D232" s="1115"/>
      <c r="E232" s="1115"/>
      <c r="F232" s="1115"/>
      <c r="G232" s="1115"/>
      <c r="H232" s="1115"/>
      <c r="I232" s="1115"/>
      <c r="J232" s="1115"/>
      <c r="K232" s="1115"/>
      <c r="L232" s="1115"/>
      <c r="M232" s="1115"/>
    </row>
    <row r="233" spans="1:13" x14ac:dyDescent="0.2">
      <c r="A233" s="1115"/>
      <c r="B233" s="1115"/>
      <c r="C233" s="1115"/>
      <c r="D233" s="1115"/>
      <c r="E233" s="1115"/>
      <c r="F233" s="1115"/>
      <c r="G233" s="1115"/>
      <c r="H233" s="1115"/>
      <c r="I233" s="1115"/>
      <c r="J233" s="1115"/>
      <c r="K233" s="1115"/>
      <c r="L233" s="1115"/>
      <c r="M233" s="1115"/>
    </row>
    <row r="234" spans="1:13" x14ac:dyDescent="0.2">
      <c r="A234" s="1115"/>
      <c r="B234" s="1115"/>
      <c r="C234" s="1115"/>
      <c r="D234" s="1115"/>
      <c r="E234" s="1115"/>
      <c r="F234" s="1115"/>
      <c r="G234" s="1115"/>
      <c r="H234" s="1115"/>
      <c r="I234" s="1115"/>
      <c r="J234" s="1115"/>
      <c r="K234" s="1115"/>
      <c r="L234" s="1115"/>
      <c r="M234" s="1115"/>
    </row>
    <row r="235" spans="1:13" x14ac:dyDescent="0.2">
      <c r="A235" s="1115"/>
      <c r="B235" s="1115"/>
      <c r="C235" s="1115"/>
      <c r="D235" s="1115"/>
      <c r="E235" s="1115"/>
      <c r="F235" s="1115"/>
      <c r="G235" s="1115"/>
      <c r="H235" s="1115"/>
      <c r="I235" s="1115"/>
      <c r="J235" s="1115"/>
      <c r="K235" s="1115"/>
      <c r="L235" s="1115"/>
      <c r="M235" s="1115"/>
    </row>
    <row r="236" spans="1:13" x14ac:dyDescent="0.2">
      <c r="A236" s="1115"/>
      <c r="B236" s="1115"/>
      <c r="C236" s="1115"/>
      <c r="D236" s="1115"/>
      <c r="E236" s="1115"/>
      <c r="F236" s="1115"/>
      <c r="G236" s="1115"/>
      <c r="H236" s="1115"/>
      <c r="I236" s="1115"/>
      <c r="J236" s="1115"/>
      <c r="K236" s="1115"/>
      <c r="L236" s="1115"/>
      <c r="M236" s="1115"/>
    </row>
    <row r="237" spans="1:13" x14ac:dyDescent="0.2">
      <c r="A237" s="1115"/>
      <c r="B237" s="1115"/>
      <c r="C237" s="1115"/>
      <c r="D237" s="1115"/>
      <c r="E237" s="1115"/>
      <c r="F237" s="1115"/>
      <c r="G237" s="1115"/>
      <c r="H237" s="1115"/>
      <c r="I237" s="1115"/>
      <c r="J237" s="1115"/>
      <c r="K237" s="1115"/>
      <c r="L237" s="1115"/>
      <c r="M237" s="1115"/>
    </row>
    <row r="238" spans="1:13" x14ac:dyDescent="0.2">
      <c r="A238" s="1115"/>
      <c r="B238" s="1115"/>
      <c r="C238" s="1115"/>
      <c r="D238" s="1115"/>
      <c r="E238" s="1115"/>
      <c r="F238" s="1115"/>
      <c r="G238" s="1115"/>
      <c r="H238" s="1115"/>
      <c r="I238" s="1115"/>
      <c r="J238" s="1115"/>
      <c r="K238" s="1115"/>
      <c r="L238" s="1115"/>
      <c r="M238" s="1115"/>
    </row>
    <row r="239" spans="1:13" x14ac:dyDescent="0.2">
      <c r="A239" s="1115"/>
      <c r="B239" s="1115"/>
      <c r="C239" s="1115"/>
      <c r="D239" s="1115"/>
      <c r="E239" s="1115"/>
      <c r="F239" s="1115"/>
      <c r="G239" s="1115"/>
      <c r="H239" s="1115"/>
      <c r="I239" s="1115"/>
      <c r="J239" s="1115"/>
      <c r="K239" s="1115"/>
      <c r="L239" s="1115"/>
      <c r="M239" s="1115"/>
    </row>
    <row r="240" spans="1:13" x14ac:dyDescent="0.2">
      <c r="A240" s="1115"/>
      <c r="B240" s="1115"/>
      <c r="C240" s="1115"/>
      <c r="D240" s="1115"/>
      <c r="E240" s="1115"/>
      <c r="F240" s="1115"/>
      <c r="G240" s="1115"/>
      <c r="H240" s="1115"/>
      <c r="I240" s="1115"/>
      <c r="J240" s="1115"/>
      <c r="K240" s="1115"/>
      <c r="L240" s="1115"/>
      <c r="M240" s="1115"/>
    </row>
    <row r="241" spans="1:13" x14ac:dyDescent="0.2">
      <c r="A241" s="1115"/>
      <c r="B241" s="1115"/>
      <c r="C241" s="1115"/>
      <c r="D241" s="1115"/>
      <c r="E241" s="1115"/>
      <c r="F241" s="1115"/>
      <c r="G241" s="1115"/>
      <c r="H241" s="1115"/>
      <c r="I241" s="1115"/>
      <c r="J241" s="1115"/>
      <c r="K241" s="1115"/>
      <c r="L241" s="1115"/>
      <c r="M241" s="1115"/>
    </row>
    <row r="242" spans="1:13" x14ac:dyDescent="0.2">
      <c r="A242" s="1115"/>
      <c r="B242" s="1115"/>
      <c r="C242" s="1115"/>
      <c r="D242" s="1115"/>
      <c r="E242" s="1115"/>
      <c r="F242" s="1115"/>
      <c r="G242" s="1115"/>
      <c r="H242" s="1115"/>
      <c r="I242" s="1115"/>
      <c r="J242" s="1115"/>
      <c r="K242" s="1115"/>
      <c r="L242" s="1115"/>
      <c r="M242" s="1115"/>
    </row>
    <row r="243" spans="1:13" x14ac:dyDescent="0.2">
      <c r="A243" s="1115"/>
      <c r="B243" s="1115"/>
      <c r="C243" s="1115"/>
      <c r="D243" s="1115"/>
      <c r="E243" s="1115"/>
      <c r="F243" s="1115"/>
      <c r="G243" s="1115"/>
      <c r="H243" s="1115"/>
      <c r="I243" s="1115"/>
      <c r="J243" s="1115"/>
      <c r="K243" s="1115"/>
      <c r="L243" s="1115"/>
      <c r="M243" s="1115"/>
    </row>
    <row r="244" spans="1:13" x14ac:dyDescent="0.2">
      <c r="A244" s="1115"/>
      <c r="B244" s="1115"/>
      <c r="C244" s="1115"/>
      <c r="D244" s="1115"/>
      <c r="E244" s="1115"/>
      <c r="F244" s="1115"/>
      <c r="G244" s="1115"/>
      <c r="H244" s="1115"/>
      <c r="I244" s="1115"/>
      <c r="J244" s="1115"/>
      <c r="K244" s="1115"/>
      <c r="L244" s="1115"/>
      <c r="M244" s="1115"/>
    </row>
    <row r="245" spans="1:13" x14ac:dyDescent="0.2">
      <c r="A245" s="1115"/>
      <c r="B245" s="1115"/>
      <c r="C245" s="1115"/>
      <c r="D245" s="1115"/>
      <c r="E245" s="1115"/>
      <c r="F245" s="1115"/>
      <c r="G245" s="1115"/>
      <c r="H245" s="1115"/>
      <c r="I245" s="1115"/>
      <c r="J245" s="1115"/>
      <c r="K245" s="1115"/>
      <c r="L245" s="1115"/>
      <c r="M245" s="1115"/>
    </row>
    <row r="246" spans="1:13" x14ac:dyDescent="0.2">
      <c r="A246" s="1115"/>
      <c r="B246" s="1115"/>
      <c r="C246" s="1115"/>
      <c r="D246" s="1115"/>
      <c r="E246" s="1115"/>
      <c r="F246" s="1115"/>
      <c r="G246" s="1115"/>
      <c r="H246" s="1115"/>
      <c r="I246" s="1115"/>
      <c r="J246" s="1115"/>
      <c r="K246" s="1115"/>
      <c r="L246" s="1115"/>
      <c r="M246" s="1115"/>
    </row>
    <row r="247" spans="1:13" x14ac:dyDescent="0.2">
      <c r="A247" s="1115"/>
      <c r="B247" s="1115"/>
      <c r="C247" s="1115"/>
      <c r="D247" s="1115"/>
      <c r="E247" s="1115"/>
      <c r="F247" s="1115"/>
      <c r="G247" s="1115"/>
      <c r="H247" s="1115"/>
      <c r="I247" s="1115"/>
      <c r="J247" s="1115"/>
      <c r="K247" s="1115"/>
      <c r="L247" s="1115"/>
      <c r="M247" s="1115"/>
    </row>
    <row r="248" spans="1:13" x14ac:dyDescent="0.2">
      <c r="A248" s="1115"/>
      <c r="B248" s="1115"/>
      <c r="C248" s="1115"/>
      <c r="D248" s="1115"/>
      <c r="E248" s="1115"/>
      <c r="F248" s="1115"/>
      <c r="G248" s="1115"/>
      <c r="H248" s="1115"/>
      <c r="I248" s="1115"/>
      <c r="J248" s="1115"/>
      <c r="K248" s="1115"/>
      <c r="L248" s="1115"/>
      <c r="M248" s="1115"/>
    </row>
    <row r="249" spans="1:13" x14ac:dyDescent="0.2">
      <c r="A249" s="1115"/>
      <c r="B249" s="1115"/>
      <c r="C249" s="1115"/>
      <c r="D249" s="1115"/>
      <c r="E249" s="1115"/>
      <c r="F249" s="1115"/>
      <c r="G249" s="1115"/>
      <c r="H249" s="1115"/>
      <c r="I249" s="1115"/>
      <c r="J249" s="1115"/>
      <c r="K249" s="1115"/>
      <c r="L249" s="1115"/>
      <c r="M249" s="1115"/>
    </row>
    <row r="250" spans="1:13" x14ac:dyDescent="0.2">
      <c r="A250" s="1115"/>
      <c r="B250" s="1115"/>
      <c r="C250" s="1115"/>
      <c r="D250" s="1115"/>
      <c r="E250" s="1115"/>
      <c r="F250" s="1115"/>
      <c r="G250" s="1115"/>
      <c r="H250" s="1115"/>
      <c r="I250" s="1115"/>
      <c r="J250" s="1115"/>
      <c r="K250" s="1115"/>
      <c r="L250" s="1115"/>
      <c r="M250" s="1115"/>
    </row>
    <row r="251" spans="1:13" x14ac:dyDescent="0.2">
      <c r="A251" s="1115"/>
      <c r="B251" s="1115"/>
      <c r="C251" s="1115"/>
      <c r="D251" s="1115"/>
      <c r="E251" s="1115"/>
      <c r="F251" s="1115"/>
      <c r="G251" s="1115"/>
      <c r="H251" s="1115"/>
      <c r="I251" s="1115"/>
      <c r="J251" s="1115"/>
      <c r="K251" s="1115"/>
      <c r="L251" s="1115"/>
      <c r="M251" s="1115"/>
    </row>
    <row r="252" spans="1:13" x14ac:dyDescent="0.2">
      <c r="A252" s="1115"/>
      <c r="B252" s="1115"/>
      <c r="C252" s="1115"/>
      <c r="D252" s="1115"/>
      <c r="E252" s="1115"/>
      <c r="F252" s="1115"/>
      <c r="G252" s="1115"/>
      <c r="H252" s="1115"/>
      <c r="I252" s="1115"/>
      <c r="J252" s="1115"/>
      <c r="K252" s="1115"/>
      <c r="L252" s="1115"/>
      <c r="M252" s="1115"/>
    </row>
    <row r="253" spans="1:13" x14ac:dyDescent="0.2">
      <c r="A253" s="1115"/>
      <c r="B253" s="1115"/>
      <c r="C253" s="1115"/>
      <c r="D253" s="1115"/>
      <c r="E253" s="1115"/>
      <c r="F253" s="1115"/>
      <c r="G253" s="1115"/>
      <c r="H253" s="1115"/>
      <c r="I253" s="1115"/>
      <c r="J253" s="1115"/>
      <c r="K253" s="1115"/>
      <c r="L253" s="1115"/>
      <c r="M253" s="1115"/>
    </row>
    <row r="254" spans="1:13" x14ac:dyDescent="0.2">
      <c r="A254" s="1115"/>
      <c r="B254" s="1115"/>
      <c r="C254" s="1115"/>
      <c r="D254" s="1115"/>
      <c r="E254" s="1115"/>
      <c r="F254" s="1115"/>
      <c r="G254" s="1115"/>
      <c r="H254" s="1115"/>
      <c r="I254" s="1115"/>
      <c r="J254" s="1115"/>
      <c r="K254" s="1115"/>
      <c r="L254" s="1115"/>
      <c r="M254" s="1115"/>
    </row>
    <row r="255" spans="1:13" x14ac:dyDescent="0.2">
      <c r="A255" s="1115"/>
      <c r="B255" s="1115"/>
      <c r="C255" s="1115"/>
      <c r="D255" s="1115"/>
      <c r="E255" s="1115"/>
      <c r="F255" s="1115"/>
      <c r="G255" s="1115"/>
      <c r="H255" s="1115"/>
      <c r="I255" s="1115"/>
      <c r="J255" s="1115"/>
      <c r="K255" s="1115"/>
      <c r="L255" s="1115"/>
      <c r="M255" s="1115"/>
    </row>
    <row r="256" spans="1:13" x14ac:dyDescent="0.2">
      <c r="A256" s="1115"/>
      <c r="B256" s="1115"/>
      <c r="C256" s="1115"/>
      <c r="D256" s="1115"/>
      <c r="E256" s="1115"/>
      <c r="F256" s="1115"/>
      <c r="G256" s="1115"/>
      <c r="H256" s="1115"/>
      <c r="I256" s="1115"/>
      <c r="J256" s="1115"/>
      <c r="K256" s="1115"/>
      <c r="L256" s="1115"/>
      <c r="M256" s="1115"/>
    </row>
    <row r="257" spans="1:13" x14ac:dyDescent="0.2">
      <c r="A257" s="1115"/>
      <c r="B257" s="1115"/>
      <c r="C257" s="1115"/>
      <c r="D257" s="1115"/>
      <c r="E257" s="1115"/>
      <c r="F257" s="1115"/>
      <c r="G257" s="1115"/>
      <c r="H257" s="1115"/>
      <c r="I257" s="1115"/>
      <c r="J257" s="1115"/>
      <c r="K257" s="1115"/>
      <c r="L257" s="1115"/>
      <c r="M257" s="1115"/>
    </row>
    <row r="258" spans="1:13" x14ac:dyDescent="0.2">
      <c r="A258" s="1115"/>
      <c r="B258" s="1115"/>
      <c r="C258" s="1115"/>
      <c r="D258" s="1115"/>
      <c r="E258" s="1115"/>
      <c r="F258" s="1115"/>
      <c r="G258" s="1115"/>
      <c r="H258" s="1115"/>
      <c r="I258" s="1115"/>
      <c r="J258" s="1115"/>
      <c r="K258" s="1115"/>
      <c r="L258" s="1115"/>
      <c r="M258" s="1115"/>
    </row>
    <row r="259" spans="1:13" x14ac:dyDescent="0.2">
      <c r="A259" s="1115"/>
      <c r="B259" s="1115"/>
      <c r="C259" s="1115"/>
      <c r="D259" s="1115"/>
      <c r="E259" s="1115"/>
      <c r="F259" s="1115"/>
      <c r="G259" s="1115"/>
      <c r="H259" s="1115"/>
      <c r="I259" s="1115"/>
      <c r="J259" s="1115"/>
      <c r="K259" s="1115"/>
      <c r="L259" s="1115"/>
      <c r="M259" s="1115"/>
    </row>
    <row r="260" spans="1:13" x14ac:dyDescent="0.2">
      <c r="A260" s="1115"/>
      <c r="B260" s="1115"/>
      <c r="C260" s="1115"/>
      <c r="D260" s="1115"/>
      <c r="E260" s="1115"/>
      <c r="F260" s="1115"/>
      <c r="G260" s="1115"/>
      <c r="H260" s="1115"/>
      <c r="I260" s="1115"/>
      <c r="J260" s="1115"/>
      <c r="K260" s="1115"/>
      <c r="L260" s="1115"/>
      <c r="M260" s="1115"/>
    </row>
    <row r="261" spans="1:13" x14ac:dyDescent="0.2">
      <c r="A261" s="1115"/>
      <c r="B261" s="1115"/>
      <c r="C261" s="1115"/>
      <c r="D261" s="1115"/>
      <c r="E261" s="1115"/>
      <c r="F261" s="1115"/>
      <c r="G261" s="1115"/>
      <c r="H261" s="1115"/>
      <c r="I261" s="1115"/>
      <c r="J261" s="1115"/>
      <c r="K261" s="1115"/>
      <c r="L261" s="1115"/>
      <c r="M261" s="1115"/>
    </row>
    <row r="262" spans="1:13" x14ac:dyDescent="0.2">
      <c r="A262" s="1115"/>
      <c r="B262" s="1115"/>
      <c r="C262" s="1115"/>
      <c r="D262" s="1115"/>
      <c r="E262" s="1115"/>
      <c r="F262" s="1115"/>
      <c r="G262" s="1115"/>
      <c r="H262" s="1115"/>
      <c r="I262" s="1115"/>
      <c r="J262" s="1115"/>
      <c r="K262" s="1115"/>
      <c r="L262" s="1115"/>
      <c r="M262" s="1115"/>
    </row>
    <row r="263" spans="1:13" x14ac:dyDescent="0.2">
      <c r="A263" s="1115"/>
      <c r="B263" s="1115"/>
      <c r="C263" s="1115"/>
      <c r="D263" s="1115"/>
      <c r="E263" s="1115"/>
      <c r="F263" s="1115"/>
      <c r="G263" s="1115"/>
      <c r="H263" s="1115"/>
      <c r="I263" s="1115"/>
      <c r="J263" s="1115"/>
      <c r="K263" s="1115"/>
      <c r="L263" s="1115"/>
      <c r="M263" s="1115"/>
    </row>
    <row r="264" spans="1:13" x14ac:dyDescent="0.2">
      <c r="A264" s="1115"/>
      <c r="B264" s="1115"/>
      <c r="C264" s="1115"/>
      <c r="D264" s="1115"/>
      <c r="E264" s="1115"/>
      <c r="F264" s="1115"/>
      <c r="G264" s="1115"/>
      <c r="H264" s="1115"/>
      <c r="I264" s="1115"/>
      <c r="J264" s="1115"/>
      <c r="K264" s="1115"/>
      <c r="L264" s="1115"/>
      <c r="M264" s="1115"/>
    </row>
    <row r="265" spans="1:13" x14ac:dyDescent="0.2">
      <c r="A265" s="1115"/>
      <c r="B265" s="1115"/>
      <c r="C265" s="1115"/>
      <c r="D265" s="1115"/>
      <c r="E265" s="1115"/>
      <c r="F265" s="1115"/>
      <c r="G265" s="1115"/>
      <c r="H265" s="1115"/>
      <c r="I265" s="1115"/>
      <c r="J265" s="1115"/>
      <c r="K265" s="1115"/>
      <c r="L265" s="1115"/>
      <c r="M265" s="1115"/>
    </row>
    <row r="266" spans="1:13" x14ac:dyDescent="0.2">
      <c r="A266" s="1115"/>
      <c r="B266" s="1115"/>
      <c r="C266" s="1115"/>
      <c r="D266" s="1115"/>
      <c r="E266" s="1115"/>
      <c r="F266" s="1115"/>
      <c r="G266" s="1115"/>
      <c r="H266" s="1115"/>
      <c r="I266" s="1115"/>
      <c r="J266" s="1115"/>
      <c r="K266" s="1115"/>
      <c r="L266" s="1115"/>
      <c r="M266" s="1115"/>
    </row>
    <row r="267" spans="1:13" x14ac:dyDescent="0.2">
      <c r="A267" s="1115"/>
      <c r="B267" s="1115"/>
      <c r="C267" s="1115"/>
      <c r="D267" s="1115"/>
      <c r="E267" s="1115"/>
      <c r="F267" s="1115"/>
      <c r="G267" s="1115"/>
      <c r="H267" s="1115"/>
      <c r="I267" s="1115"/>
      <c r="J267" s="1115"/>
      <c r="K267" s="1115"/>
      <c r="L267" s="1115"/>
      <c r="M267" s="1115"/>
    </row>
    <row r="268" spans="1:13" x14ac:dyDescent="0.2">
      <c r="A268" s="1115"/>
      <c r="B268" s="1115"/>
      <c r="C268" s="1115"/>
      <c r="D268" s="1115"/>
      <c r="E268" s="1115"/>
      <c r="F268" s="1115"/>
      <c r="G268" s="1115"/>
      <c r="H268" s="1115"/>
      <c r="I268" s="1115"/>
      <c r="J268" s="1115"/>
      <c r="K268" s="1115"/>
      <c r="L268" s="1115"/>
      <c r="M268" s="1115"/>
    </row>
    <row r="269" spans="1:13" x14ac:dyDescent="0.2">
      <c r="A269" s="1115"/>
      <c r="B269" s="1115"/>
      <c r="C269" s="1115"/>
      <c r="D269" s="1115"/>
      <c r="E269" s="1115"/>
      <c r="F269" s="1115"/>
      <c r="G269" s="1115"/>
      <c r="H269" s="1115"/>
      <c r="I269" s="1115"/>
      <c r="J269" s="1115"/>
      <c r="K269" s="1115"/>
      <c r="L269" s="1115"/>
      <c r="M269" s="1115"/>
    </row>
    <row r="270" spans="1:13" x14ac:dyDescent="0.2">
      <c r="A270" s="1115"/>
      <c r="B270" s="1115"/>
      <c r="C270" s="1115"/>
      <c r="D270" s="1115"/>
      <c r="E270" s="1115"/>
      <c r="F270" s="1115"/>
      <c r="G270" s="1115"/>
      <c r="H270" s="1115"/>
      <c r="I270" s="1115"/>
      <c r="J270" s="1115"/>
      <c r="K270" s="1115"/>
      <c r="L270" s="1115"/>
      <c r="M270" s="1115"/>
    </row>
    <row r="271" spans="1:13" x14ac:dyDescent="0.2">
      <c r="A271" s="1115"/>
      <c r="B271" s="1115"/>
      <c r="C271" s="1115"/>
      <c r="D271" s="1115"/>
      <c r="E271" s="1115"/>
      <c r="F271" s="1115"/>
      <c r="G271" s="1115"/>
      <c r="H271" s="1115"/>
      <c r="I271" s="1115"/>
      <c r="J271" s="1115"/>
      <c r="K271" s="1115"/>
      <c r="L271" s="1115"/>
      <c r="M271" s="1115"/>
    </row>
    <row r="272" spans="1:13" x14ac:dyDescent="0.2">
      <c r="A272" s="1115"/>
      <c r="B272" s="1115"/>
      <c r="C272" s="1115"/>
      <c r="D272" s="1115"/>
      <c r="E272" s="1115"/>
      <c r="F272" s="1115"/>
      <c r="G272" s="1115"/>
      <c r="H272" s="1115"/>
      <c r="I272" s="1115"/>
      <c r="J272" s="1115"/>
      <c r="K272" s="1115"/>
      <c r="L272" s="1115"/>
      <c r="M272" s="1115"/>
    </row>
    <row r="273" spans="1:13" x14ac:dyDescent="0.2">
      <c r="A273" s="1115"/>
      <c r="B273" s="1115"/>
      <c r="C273" s="1115"/>
      <c r="D273" s="1115"/>
      <c r="E273" s="1115"/>
      <c r="F273" s="1115"/>
      <c r="G273" s="1115"/>
      <c r="H273" s="1115"/>
      <c r="I273" s="1115"/>
      <c r="J273" s="1115"/>
      <c r="K273" s="1115"/>
      <c r="L273" s="1115"/>
      <c r="M273" s="1115"/>
    </row>
    <row r="274" spans="1:13" x14ac:dyDescent="0.2">
      <c r="A274" s="1115"/>
      <c r="B274" s="1115"/>
      <c r="C274" s="1115"/>
      <c r="D274" s="1115"/>
      <c r="E274" s="1115"/>
      <c r="F274" s="1115"/>
      <c r="G274" s="1115"/>
      <c r="H274" s="1115"/>
      <c r="I274" s="1115"/>
      <c r="J274" s="1115"/>
      <c r="K274" s="1115"/>
      <c r="L274" s="1115"/>
      <c r="M274" s="1115"/>
    </row>
    <row r="275" spans="1:13" x14ac:dyDescent="0.2">
      <c r="A275" s="1115"/>
      <c r="B275" s="1115"/>
      <c r="C275" s="1115"/>
      <c r="D275" s="1115"/>
      <c r="E275" s="1115"/>
      <c r="F275" s="1115"/>
      <c r="G275" s="1115"/>
      <c r="H275" s="1115"/>
      <c r="I275" s="1115"/>
      <c r="J275" s="1115"/>
      <c r="K275" s="1115"/>
      <c r="L275" s="1115"/>
      <c r="M275" s="1115"/>
    </row>
    <row r="276" spans="1:13" x14ac:dyDescent="0.2">
      <c r="A276" s="1115"/>
      <c r="B276" s="1115"/>
      <c r="C276" s="1115"/>
      <c r="D276" s="1115"/>
      <c r="E276" s="1115"/>
      <c r="F276" s="1115"/>
      <c r="G276" s="1115"/>
      <c r="H276" s="1115"/>
      <c r="I276" s="1115"/>
      <c r="J276" s="1115"/>
      <c r="K276" s="1115"/>
      <c r="L276" s="1115"/>
      <c r="M276" s="1115"/>
    </row>
    <row r="277" spans="1:13" x14ac:dyDescent="0.2">
      <c r="A277" s="1115"/>
      <c r="B277" s="1115"/>
      <c r="C277" s="1115"/>
      <c r="D277" s="1115"/>
      <c r="E277" s="1115"/>
      <c r="F277" s="1115"/>
      <c r="G277" s="1115"/>
      <c r="H277" s="1115"/>
      <c r="I277" s="1115"/>
      <c r="J277" s="1115"/>
      <c r="K277" s="1115"/>
      <c r="L277" s="1115"/>
      <c r="M277" s="1115"/>
    </row>
    <row r="278" spans="1:13" x14ac:dyDescent="0.2">
      <c r="A278" s="1115"/>
      <c r="B278" s="1115"/>
      <c r="C278" s="1115"/>
      <c r="D278" s="1115"/>
      <c r="E278" s="1115"/>
      <c r="F278" s="1115"/>
      <c r="G278" s="1115"/>
      <c r="H278" s="1115"/>
      <c r="I278" s="1115"/>
      <c r="J278" s="1115"/>
      <c r="K278" s="1115"/>
      <c r="L278" s="1115"/>
      <c r="M278" s="1115"/>
    </row>
    <row r="279" spans="1:13" x14ac:dyDescent="0.2">
      <c r="A279" s="1115"/>
      <c r="B279" s="1115"/>
      <c r="C279" s="1115"/>
      <c r="D279" s="1115"/>
      <c r="E279" s="1115"/>
      <c r="F279" s="1115"/>
      <c r="G279" s="1115"/>
      <c r="H279" s="1115"/>
      <c r="I279" s="1115"/>
      <c r="J279" s="1115"/>
      <c r="K279" s="1115"/>
      <c r="L279" s="1115"/>
      <c r="M279" s="1115"/>
    </row>
    <row r="280" spans="1:13" x14ac:dyDescent="0.2">
      <c r="A280" s="1115"/>
      <c r="B280" s="1115"/>
      <c r="C280" s="1115"/>
      <c r="D280" s="1115"/>
      <c r="E280" s="1115"/>
      <c r="F280" s="1115"/>
      <c r="G280" s="1115"/>
      <c r="H280" s="1115"/>
      <c r="I280" s="1115"/>
      <c r="J280" s="1115"/>
      <c r="K280" s="1115"/>
      <c r="L280" s="1115"/>
      <c r="M280" s="1115"/>
    </row>
    <row r="281" spans="1:13" x14ac:dyDescent="0.2">
      <c r="A281" s="1115"/>
      <c r="B281" s="1115"/>
      <c r="C281" s="1115"/>
      <c r="D281" s="1115"/>
      <c r="E281" s="1115"/>
      <c r="F281" s="1115"/>
      <c r="G281" s="1115"/>
      <c r="H281" s="1115"/>
      <c r="I281" s="1115"/>
      <c r="J281" s="1115"/>
      <c r="K281" s="1115"/>
      <c r="L281" s="1115"/>
      <c r="M281" s="1115"/>
    </row>
    <row r="282" spans="1:13" x14ac:dyDescent="0.2">
      <c r="A282" s="1115"/>
      <c r="B282" s="1115"/>
      <c r="C282" s="1115"/>
      <c r="D282" s="1115"/>
      <c r="E282" s="1115"/>
      <c r="F282" s="1115"/>
      <c r="G282" s="1115"/>
      <c r="H282" s="1115"/>
      <c r="I282" s="1115"/>
      <c r="J282" s="1115"/>
      <c r="K282" s="1115"/>
      <c r="L282" s="1115"/>
      <c r="M282" s="1115"/>
    </row>
    <row r="283" spans="1:13" x14ac:dyDescent="0.2">
      <c r="A283" s="1115"/>
      <c r="B283" s="1115"/>
      <c r="C283" s="1115"/>
      <c r="D283" s="1115"/>
      <c r="E283" s="1115"/>
      <c r="F283" s="1115"/>
      <c r="G283" s="1115"/>
      <c r="H283" s="1115"/>
      <c r="I283" s="1115"/>
      <c r="J283" s="1115"/>
      <c r="K283" s="1115"/>
      <c r="L283" s="1115"/>
      <c r="M283" s="1115"/>
    </row>
    <row r="284" spans="1:13" x14ac:dyDescent="0.2">
      <c r="A284" s="1115"/>
      <c r="B284" s="1115"/>
      <c r="C284" s="1115"/>
      <c r="D284" s="1115"/>
      <c r="E284" s="1115"/>
      <c r="F284" s="1115"/>
      <c r="G284" s="1115"/>
      <c r="H284" s="1115"/>
      <c r="I284" s="1115"/>
      <c r="J284" s="1115"/>
      <c r="K284" s="1115"/>
      <c r="L284" s="1115"/>
      <c r="M284" s="1115"/>
    </row>
    <row r="285" spans="1:13" x14ac:dyDescent="0.2">
      <c r="A285" s="1115"/>
      <c r="B285" s="1115"/>
      <c r="C285" s="1115"/>
      <c r="D285" s="1115"/>
      <c r="E285" s="1115"/>
      <c r="F285" s="1115"/>
      <c r="G285" s="1115"/>
      <c r="H285" s="1115"/>
      <c r="I285" s="1115"/>
      <c r="J285" s="1115"/>
      <c r="K285" s="1115"/>
      <c r="L285" s="1115"/>
      <c r="M285" s="1115"/>
    </row>
    <row r="286" spans="1:13" x14ac:dyDescent="0.2">
      <c r="A286" s="1115"/>
      <c r="B286" s="1115"/>
      <c r="C286" s="1115"/>
      <c r="D286" s="1115"/>
      <c r="E286" s="1115"/>
      <c r="F286" s="1115"/>
      <c r="G286" s="1115"/>
      <c r="H286" s="1115"/>
      <c r="I286" s="1115"/>
      <c r="J286" s="1115"/>
      <c r="K286" s="1115"/>
      <c r="L286" s="1115"/>
      <c r="M286" s="1115"/>
    </row>
    <row r="287" spans="1:13" x14ac:dyDescent="0.2">
      <c r="A287" s="1115"/>
      <c r="B287" s="1115"/>
      <c r="C287" s="1115"/>
      <c r="D287" s="1115"/>
      <c r="E287" s="1115"/>
      <c r="F287" s="1115"/>
      <c r="G287" s="1115"/>
      <c r="H287" s="1115"/>
      <c r="I287" s="1115"/>
      <c r="J287" s="1115"/>
      <c r="K287" s="1115"/>
      <c r="L287" s="1115"/>
      <c r="M287" s="1115"/>
    </row>
    <row r="288" spans="1:13" x14ac:dyDescent="0.2">
      <c r="A288" s="1115"/>
      <c r="B288" s="1115"/>
      <c r="C288" s="1115"/>
      <c r="D288" s="1115"/>
      <c r="E288" s="1115"/>
      <c r="F288" s="1115"/>
      <c r="G288" s="1115"/>
      <c r="H288" s="1115"/>
      <c r="I288" s="1115"/>
      <c r="J288" s="1115"/>
      <c r="K288" s="1115"/>
      <c r="L288" s="1115"/>
      <c r="M288" s="1115"/>
    </row>
    <row r="289" spans="1:13" x14ac:dyDescent="0.2">
      <c r="A289" s="1115"/>
      <c r="B289" s="1115"/>
      <c r="C289" s="1115"/>
      <c r="D289" s="1115"/>
      <c r="E289" s="1115"/>
      <c r="F289" s="1115"/>
      <c r="G289" s="1115"/>
      <c r="H289" s="1115"/>
      <c r="I289" s="1115"/>
      <c r="J289" s="1115"/>
      <c r="K289" s="1115"/>
      <c r="L289" s="1115"/>
      <c r="M289" s="1115"/>
    </row>
    <row r="290" spans="1:13" x14ac:dyDescent="0.2">
      <c r="A290" s="1115"/>
      <c r="B290" s="1115"/>
      <c r="C290" s="1115"/>
      <c r="D290" s="1115"/>
      <c r="E290" s="1115"/>
      <c r="F290" s="1115"/>
      <c r="G290" s="1115"/>
      <c r="H290" s="1115"/>
      <c r="I290" s="1115"/>
      <c r="J290" s="1115"/>
      <c r="K290" s="1115"/>
      <c r="L290" s="1115"/>
      <c r="M290" s="1115"/>
    </row>
    <row r="291" spans="1:13" x14ac:dyDescent="0.2">
      <c r="A291" s="1115"/>
      <c r="B291" s="1115"/>
      <c r="C291" s="1115"/>
      <c r="D291" s="1115"/>
      <c r="E291" s="1115"/>
      <c r="F291" s="1115"/>
      <c r="G291" s="1115"/>
      <c r="H291" s="1115"/>
      <c r="I291" s="1115"/>
      <c r="J291" s="1115"/>
      <c r="K291" s="1115"/>
      <c r="L291" s="1115"/>
      <c r="M291" s="1115"/>
    </row>
    <row r="292" spans="1:13" x14ac:dyDescent="0.2">
      <c r="A292" s="1115"/>
      <c r="B292" s="1115"/>
      <c r="C292" s="1115"/>
      <c r="D292" s="1115"/>
      <c r="E292" s="1115"/>
      <c r="F292" s="1115"/>
      <c r="G292" s="1115"/>
      <c r="H292" s="1115"/>
      <c r="I292" s="1115"/>
      <c r="J292" s="1115"/>
      <c r="K292" s="1115"/>
      <c r="L292" s="1115"/>
      <c r="M292" s="1115"/>
    </row>
    <row r="293" spans="1:13" x14ac:dyDescent="0.2">
      <c r="A293" s="1115"/>
      <c r="B293" s="1115"/>
      <c r="C293" s="1115"/>
      <c r="D293" s="1115"/>
      <c r="E293" s="1115"/>
      <c r="F293" s="1115"/>
      <c r="G293" s="1115"/>
      <c r="H293" s="1115"/>
      <c r="I293" s="1115"/>
      <c r="J293" s="1115"/>
      <c r="K293" s="1115"/>
      <c r="L293" s="1115"/>
      <c r="M293" s="1115"/>
    </row>
    <row r="294" spans="1:13" x14ac:dyDescent="0.2">
      <c r="A294" s="1115"/>
      <c r="B294" s="1115"/>
      <c r="C294" s="1115"/>
      <c r="D294" s="1115"/>
      <c r="E294" s="1115"/>
      <c r="F294" s="1115"/>
      <c r="G294" s="1115"/>
      <c r="H294" s="1115"/>
      <c r="I294" s="1115"/>
      <c r="J294" s="1115"/>
      <c r="K294" s="1115"/>
      <c r="L294" s="1115"/>
      <c r="M294" s="1115"/>
    </row>
    <row r="295" spans="1:13" x14ac:dyDescent="0.2">
      <c r="A295" s="1115"/>
      <c r="B295" s="1115"/>
      <c r="C295" s="1115"/>
      <c r="D295" s="1115"/>
      <c r="E295" s="1115"/>
      <c r="F295" s="1115"/>
      <c r="G295" s="1115"/>
      <c r="H295" s="1115"/>
      <c r="I295" s="1115"/>
      <c r="J295" s="1115"/>
      <c r="K295" s="1115"/>
      <c r="L295" s="1115"/>
      <c r="M295" s="1115"/>
    </row>
    <row r="296" spans="1:13" x14ac:dyDescent="0.2">
      <c r="A296" s="1115"/>
      <c r="B296" s="1115"/>
      <c r="C296" s="1115"/>
      <c r="D296" s="1115"/>
      <c r="E296" s="1115"/>
      <c r="F296" s="1115"/>
      <c r="G296" s="1115"/>
      <c r="H296" s="1115"/>
      <c r="I296" s="1115"/>
      <c r="J296" s="1115"/>
      <c r="K296" s="1115"/>
      <c r="L296" s="1115"/>
      <c r="M296" s="1115"/>
    </row>
    <row r="297" spans="1:13" x14ac:dyDescent="0.2">
      <c r="A297" s="1115"/>
      <c r="B297" s="1115"/>
      <c r="C297" s="1115"/>
      <c r="D297" s="1115"/>
      <c r="E297" s="1115"/>
      <c r="F297" s="1115"/>
      <c r="G297" s="1115"/>
      <c r="H297" s="1115"/>
      <c r="I297" s="1115"/>
      <c r="J297" s="1115"/>
      <c r="K297" s="1115"/>
      <c r="L297" s="1115"/>
      <c r="M297" s="1115"/>
    </row>
    <row r="298" spans="1:13" x14ac:dyDescent="0.2">
      <c r="A298" s="1115"/>
      <c r="B298" s="1115"/>
      <c r="C298" s="1115"/>
      <c r="D298" s="1115"/>
      <c r="E298" s="1115"/>
      <c r="F298" s="1115"/>
      <c r="G298" s="1115"/>
      <c r="H298" s="1115"/>
      <c r="I298" s="1115"/>
      <c r="J298" s="1115"/>
      <c r="K298" s="1115"/>
      <c r="L298" s="1115"/>
      <c r="M298" s="1115"/>
    </row>
    <row r="299" spans="1:13" x14ac:dyDescent="0.2">
      <c r="A299" s="1115"/>
      <c r="B299" s="1115"/>
      <c r="C299" s="1115"/>
      <c r="D299" s="1115"/>
      <c r="E299" s="1115"/>
      <c r="F299" s="1115"/>
      <c r="G299" s="1115"/>
      <c r="H299" s="1115"/>
      <c r="I299" s="1115"/>
      <c r="J299" s="1115"/>
      <c r="K299" s="1115"/>
      <c r="L299" s="1115"/>
      <c r="M299" s="1115"/>
    </row>
    <row r="300" spans="1:13" x14ac:dyDescent="0.2">
      <c r="A300" s="1115"/>
      <c r="B300" s="1115"/>
      <c r="C300" s="1115"/>
      <c r="D300" s="1115"/>
      <c r="E300" s="1115"/>
      <c r="F300" s="1115"/>
      <c r="G300" s="1115"/>
      <c r="H300" s="1115"/>
      <c r="I300" s="1115"/>
      <c r="J300" s="1115"/>
      <c r="K300" s="1115"/>
      <c r="L300" s="1115"/>
      <c r="M300" s="1115"/>
    </row>
    <row r="301" spans="1:13" x14ac:dyDescent="0.2">
      <c r="A301" s="1115"/>
      <c r="B301" s="1115"/>
      <c r="C301" s="1115"/>
      <c r="D301" s="1115"/>
      <c r="E301" s="1115"/>
      <c r="F301" s="1115"/>
      <c r="G301" s="1115"/>
      <c r="H301" s="1115"/>
      <c r="I301" s="1115"/>
      <c r="J301" s="1115"/>
      <c r="K301" s="1115"/>
      <c r="L301" s="1115"/>
      <c r="M301" s="1115"/>
    </row>
    <row r="302" spans="1:13" x14ac:dyDescent="0.2">
      <c r="A302" s="1115"/>
      <c r="B302" s="1115"/>
      <c r="C302" s="1115"/>
      <c r="D302" s="1115"/>
      <c r="E302" s="1115"/>
      <c r="F302" s="1115"/>
      <c r="G302" s="1115"/>
      <c r="H302" s="1115"/>
      <c r="I302" s="1115"/>
      <c r="J302" s="1115"/>
      <c r="K302" s="1115"/>
      <c r="L302" s="1115"/>
      <c r="M302" s="1115"/>
    </row>
    <row r="303" spans="1:13" x14ac:dyDescent="0.2">
      <c r="A303" s="1115"/>
      <c r="B303" s="1115"/>
      <c r="C303" s="1115"/>
      <c r="D303" s="1115"/>
      <c r="E303" s="1115"/>
      <c r="F303" s="1115"/>
      <c r="G303" s="1115"/>
      <c r="H303" s="1115"/>
      <c r="I303" s="1115"/>
      <c r="J303" s="1115"/>
      <c r="K303" s="1115"/>
      <c r="L303" s="1115"/>
      <c r="M303" s="1115"/>
    </row>
    <row r="304" spans="1:13" x14ac:dyDescent="0.2">
      <c r="A304" s="1115"/>
      <c r="B304" s="1115"/>
      <c r="C304" s="1115"/>
      <c r="D304" s="1115"/>
      <c r="E304" s="1115"/>
      <c r="F304" s="1115"/>
      <c r="G304" s="1115"/>
      <c r="H304" s="1115"/>
      <c r="I304" s="1115"/>
      <c r="J304" s="1115"/>
      <c r="K304" s="1115"/>
      <c r="L304" s="1115"/>
      <c r="M304" s="1115"/>
    </row>
    <row r="305" spans="1:13" x14ac:dyDescent="0.2">
      <c r="A305" s="1115"/>
      <c r="B305" s="1115"/>
      <c r="C305" s="1115"/>
      <c r="D305" s="1115"/>
      <c r="E305" s="1115"/>
      <c r="F305" s="1115"/>
      <c r="G305" s="1115"/>
      <c r="H305" s="1115"/>
      <c r="I305" s="1115"/>
      <c r="J305" s="1115"/>
      <c r="K305" s="1115"/>
      <c r="L305" s="1115"/>
      <c r="M305" s="1115"/>
    </row>
    <row r="306" spans="1:13" x14ac:dyDescent="0.2">
      <c r="A306" s="1115"/>
      <c r="B306" s="1115"/>
      <c r="C306" s="1115"/>
      <c r="D306" s="1115"/>
      <c r="E306" s="1115"/>
      <c r="F306" s="1115"/>
      <c r="G306" s="1115"/>
      <c r="H306" s="1115"/>
      <c r="I306" s="1115"/>
      <c r="J306" s="1115"/>
      <c r="K306" s="1115"/>
      <c r="L306" s="1115"/>
      <c r="M306" s="1115"/>
    </row>
    <row r="307" spans="1:13" x14ac:dyDescent="0.2">
      <c r="A307" s="1115"/>
      <c r="B307" s="1115"/>
      <c r="C307" s="1115"/>
      <c r="D307" s="1115"/>
      <c r="E307" s="1115"/>
      <c r="F307" s="1115"/>
      <c r="G307" s="1115"/>
      <c r="H307" s="1115"/>
      <c r="I307" s="1115"/>
      <c r="J307" s="1115"/>
      <c r="K307" s="1115"/>
      <c r="L307" s="1115"/>
      <c r="M307" s="1115"/>
    </row>
    <row r="308" spans="1:13" x14ac:dyDescent="0.2">
      <c r="A308" s="1115"/>
      <c r="B308" s="1115"/>
      <c r="C308" s="1115"/>
      <c r="D308" s="1115"/>
      <c r="E308" s="1115"/>
      <c r="F308" s="1115"/>
      <c r="G308" s="1115"/>
      <c r="H308" s="1115"/>
      <c r="I308" s="1115"/>
      <c r="J308" s="1115"/>
      <c r="K308" s="1115"/>
      <c r="L308" s="1115"/>
      <c r="M308" s="1115"/>
    </row>
    <row r="309" spans="1:13" x14ac:dyDescent="0.2">
      <c r="A309" s="1115"/>
      <c r="B309" s="1115"/>
      <c r="C309" s="1115"/>
      <c r="D309" s="1115"/>
      <c r="E309" s="1115"/>
      <c r="F309" s="1115"/>
      <c r="G309" s="1115"/>
      <c r="H309" s="1115"/>
      <c r="I309" s="1115"/>
      <c r="J309" s="1115"/>
      <c r="K309" s="1115"/>
      <c r="L309" s="1115"/>
      <c r="M309" s="1115"/>
    </row>
    <row r="310" spans="1:13" x14ac:dyDescent="0.2">
      <c r="A310" s="1115"/>
      <c r="B310" s="1115"/>
      <c r="C310" s="1115"/>
      <c r="D310" s="1115"/>
      <c r="E310" s="1115"/>
      <c r="F310" s="1115"/>
      <c r="G310" s="1115"/>
      <c r="H310" s="1115"/>
      <c r="I310" s="1115"/>
      <c r="J310" s="1115"/>
      <c r="K310" s="1115"/>
      <c r="L310" s="1115"/>
      <c r="M310" s="1115"/>
    </row>
    <row r="311" spans="1:13" x14ac:dyDescent="0.2">
      <c r="A311" s="1115"/>
      <c r="B311" s="1115"/>
      <c r="C311" s="1115"/>
      <c r="D311" s="1115"/>
      <c r="E311" s="1115"/>
      <c r="F311" s="1115"/>
      <c r="G311" s="1115"/>
      <c r="H311" s="1115"/>
      <c r="I311" s="1115"/>
      <c r="J311" s="1115"/>
      <c r="K311" s="1115"/>
      <c r="L311" s="1115"/>
      <c r="M311" s="1115"/>
    </row>
    <row r="312" spans="1:13" x14ac:dyDescent="0.2">
      <c r="A312" s="1115"/>
      <c r="B312" s="1115"/>
      <c r="C312" s="1115"/>
      <c r="D312" s="1115"/>
      <c r="E312" s="1115"/>
      <c r="F312" s="1115"/>
      <c r="G312" s="1115"/>
      <c r="H312" s="1115"/>
      <c r="I312" s="1115"/>
      <c r="J312" s="1115"/>
      <c r="K312" s="1115"/>
      <c r="L312" s="1115"/>
      <c r="M312" s="1115"/>
    </row>
    <row r="313" spans="1:13" x14ac:dyDescent="0.2">
      <c r="A313" s="1115"/>
      <c r="B313" s="1115"/>
      <c r="C313" s="1115"/>
      <c r="D313" s="1115"/>
      <c r="E313" s="1115"/>
      <c r="F313" s="1115"/>
      <c r="G313" s="1115"/>
      <c r="H313" s="1115"/>
      <c r="I313" s="1115"/>
      <c r="J313" s="1115"/>
      <c r="K313" s="1115"/>
      <c r="L313" s="1115"/>
      <c r="M313" s="1115"/>
    </row>
    <row r="314" spans="1:13" x14ac:dyDescent="0.2">
      <c r="A314" s="1115"/>
      <c r="B314" s="1115"/>
      <c r="C314" s="1115"/>
      <c r="D314" s="1115"/>
      <c r="E314" s="1115"/>
      <c r="F314" s="1115"/>
      <c r="G314" s="1115"/>
      <c r="H314" s="1115"/>
      <c r="I314" s="1115"/>
      <c r="J314" s="1115"/>
      <c r="K314" s="1115"/>
      <c r="L314" s="1115"/>
      <c r="M314" s="1115"/>
    </row>
    <row r="315" spans="1:13" x14ac:dyDescent="0.2">
      <c r="A315" s="1115"/>
      <c r="B315" s="1115"/>
      <c r="C315" s="1115"/>
      <c r="D315" s="1115"/>
      <c r="E315" s="1115"/>
      <c r="F315" s="1115"/>
      <c r="G315" s="1115"/>
      <c r="H315" s="1115"/>
      <c r="I315" s="1115"/>
      <c r="J315" s="1115"/>
      <c r="K315" s="1115"/>
      <c r="L315" s="1115"/>
      <c r="M315" s="1115"/>
    </row>
    <row r="316" spans="1:13" x14ac:dyDescent="0.2">
      <c r="A316" s="1115"/>
      <c r="B316" s="1115"/>
      <c r="C316" s="1115"/>
      <c r="D316" s="1115"/>
      <c r="E316" s="1115"/>
      <c r="F316" s="1115"/>
      <c r="G316" s="1115"/>
      <c r="H316" s="1115"/>
      <c r="I316" s="1115"/>
      <c r="J316" s="1115"/>
      <c r="K316" s="1115"/>
      <c r="L316" s="1115"/>
      <c r="M316" s="1115"/>
    </row>
    <row r="317" spans="1:13" x14ac:dyDescent="0.2">
      <c r="A317" s="1115"/>
      <c r="B317" s="1115"/>
      <c r="C317" s="1115"/>
      <c r="D317" s="1115"/>
      <c r="E317" s="1115"/>
      <c r="F317" s="1115"/>
      <c r="G317" s="1115"/>
      <c r="H317" s="1115"/>
      <c r="I317" s="1115"/>
      <c r="J317" s="1115"/>
      <c r="K317" s="1115"/>
      <c r="L317" s="1115"/>
      <c r="M317" s="1115"/>
    </row>
    <row r="318" spans="1:13" x14ac:dyDescent="0.2">
      <c r="A318" s="1115"/>
      <c r="B318" s="1115"/>
      <c r="C318" s="1115"/>
      <c r="D318" s="1115"/>
      <c r="E318" s="1115"/>
      <c r="F318" s="1115"/>
      <c r="G318" s="1115"/>
      <c r="H318" s="1115"/>
      <c r="I318" s="1115"/>
      <c r="J318" s="1115"/>
      <c r="K318" s="1115"/>
      <c r="L318" s="1115"/>
      <c r="M318" s="1115"/>
    </row>
    <row r="319" spans="1:13" x14ac:dyDescent="0.2">
      <c r="A319" s="1115"/>
      <c r="B319" s="1115"/>
      <c r="C319" s="1115"/>
      <c r="D319" s="1115"/>
      <c r="E319" s="1115"/>
      <c r="F319" s="1115"/>
      <c r="G319" s="1115"/>
      <c r="H319" s="1115"/>
      <c r="I319" s="1115"/>
      <c r="J319" s="1115"/>
      <c r="K319" s="1115"/>
      <c r="L319" s="1115"/>
      <c r="M319" s="1115"/>
    </row>
    <row r="320" spans="1:13" x14ac:dyDescent="0.2">
      <c r="A320" s="1115"/>
      <c r="B320" s="1115"/>
      <c r="C320" s="1115"/>
      <c r="D320" s="1115"/>
      <c r="E320" s="1115"/>
      <c r="F320" s="1115"/>
      <c r="G320" s="1115"/>
      <c r="H320" s="1115"/>
      <c r="I320" s="1115"/>
      <c r="J320" s="1115"/>
      <c r="K320" s="1115"/>
      <c r="L320" s="1115"/>
      <c r="M320" s="1115"/>
    </row>
    <row r="321" spans="1:13" x14ac:dyDescent="0.2">
      <c r="A321" s="1115"/>
      <c r="B321" s="1115"/>
      <c r="C321" s="1115"/>
      <c r="D321" s="1115"/>
      <c r="E321" s="1115"/>
      <c r="F321" s="1115"/>
      <c r="G321" s="1115"/>
      <c r="H321" s="1115"/>
      <c r="I321" s="1115"/>
      <c r="J321" s="1115"/>
      <c r="K321" s="1115"/>
      <c r="L321" s="1115"/>
      <c r="M321" s="1115"/>
    </row>
    <row r="322" spans="1:13" x14ac:dyDescent="0.2">
      <c r="A322" s="1115"/>
      <c r="B322" s="1115"/>
      <c r="C322" s="1115"/>
      <c r="D322" s="1115"/>
      <c r="E322" s="1115"/>
      <c r="F322" s="1115"/>
      <c r="G322" s="1115"/>
      <c r="H322" s="1115"/>
      <c r="I322" s="1115"/>
      <c r="J322" s="1115"/>
      <c r="K322" s="1115"/>
      <c r="L322" s="1115"/>
      <c r="M322" s="1115"/>
    </row>
    <row r="323" spans="1:13" x14ac:dyDescent="0.2">
      <c r="A323" s="1115"/>
      <c r="B323" s="1115"/>
      <c r="C323" s="1115"/>
      <c r="D323" s="1115"/>
      <c r="E323" s="1115"/>
      <c r="F323" s="1115"/>
      <c r="G323" s="1115"/>
      <c r="H323" s="1115"/>
      <c r="I323" s="1115"/>
      <c r="J323" s="1115"/>
      <c r="K323" s="1115"/>
      <c r="L323" s="1115"/>
      <c r="M323" s="1115"/>
    </row>
    <row r="324" spans="1:13" x14ac:dyDescent="0.2">
      <c r="A324" s="1115"/>
      <c r="B324" s="1115"/>
      <c r="C324" s="1115"/>
      <c r="D324" s="1115"/>
      <c r="E324" s="1115"/>
      <c r="F324" s="1115"/>
      <c r="G324" s="1115"/>
      <c r="H324" s="1115"/>
      <c r="I324" s="1115"/>
      <c r="J324" s="1115"/>
      <c r="K324" s="1115"/>
      <c r="L324" s="1115"/>
      <c r="M324" s="1115"/>
    </row>
    <row r="325" spans="1:13" x14ac:dyDescent="0.2">
      <c r="A325" s="1115"/>
      <c r="B325" s="1115"/>
      <c r="C325" s="1115"/>
      <c r="D325" s="1115"/>
      <c r="E325" s="1115"/>
      <c r="F325" s="1115"/>
      <c r="G325" s="1115"/>
      <c r="H325" s="1115"/>
      <c r="I325" s="1115"/>
      <c r="J325" s="1115"/>
      <c r="K325" s="1115"/>
      <c r="L325" s="1115"/>
      <c r="M325" s="1115"/>
    </row>
    <row r="326" spans="1:13" x14ac:dyDescent="0.2">
      <c r="A326" s="1115"/>
      <c r="B326" s="1115"/>
      <c r="C326" s="1115"/>
      <c r="D326" s="1115"/>
      <c r="E326" s="1115"/>
      <c r="F326" s="1115"/>
      <c r="G326" s="1115"/>
      <c r="H326" s="1115"/>
      <c r="I326" s="1115"/>
      <c r="J326" s="1115"/>
      <c r="K326" s="1115"/>
      <c r="L326" s="1115"/>
      <c r="M326" s="1115"/>
    </row>
    <row r="327" spans="1:13" x14ac:dyDescent="0.2">
      <c r="A327" s="1115"/>
      <c r="B327" s="1115"/>
      <c r="C327" s="1115"/>
      <c r="D327" s="1115"/>
      <c r="E327" s="1115"/>
      <c r="F327" s="1115"/>
      <c r="G327" s="1115"/>
      <c r="H327" s="1115"/>
      <c r="I327" s="1115"/>
      <c r="J327" s="1115"/>
      <c r="K327" s="1115"/>
      <c r="L327" s="1115"/>
      <c r="M327" s="1115"/>
    </row>
    <row r="328" spans="1:13" x14ac:dyDescent="0.2">
      <c r="A328" s="1115"/>
      <c r="B328" s="1115"/>
      <c r="C328" s="1115"/>
      <c r="D328" s="1115"/>
      <c r="E328" s="1115"/>
      <c r="F328" s="1115"/>
      <c r="G328" s="1115"/>
      <c r="H328" s="1115"/>
      <c r="I328" s="1115"/>
      <c r="J328" s="1115"/>
      <c r="K328" s="1115"/>
      <c r="L328" s="1115"/>
      <c r="M328" s="1115"/>
    </row>
    <row r="329" spans="1:13" x14ac:dyDescent="0.2">
      <c r="A329" s="1115"/>
      <c r="B329" s="1115"/>
      <c r="C329" s="1115"/>
      <c r="D329" s="1115"/>
      <c r="E329" s="1115"/>
      <c r="F329" s="1115"/>
      <c r="G329" s="1115"/>
      <c r="H329" s="1115"/>
      <c r="I329" s="1115"/>
      <c r="J329" s="1115"/>
      <c r="K329" s="1115"/>
      <c r="L329" s="1115"/>
      <c r="M329" s="1115"/>
    </row>
    <row r="330" spans="1:13" x14ac:dyDescent="0.2">
      <c r="A330" s="1115"/>
      <c r="B330" s="1115"/>
      <c r="C330" s="1115"/>
      <c r="D330" s="1115"/>
      <c r="E330" s="1115"/>
      <c r="F330" s="1115"/>
      <c r="G330" s="1115"/>
      <c r="H330" s="1115"/>
      <c r="I330" s="1115"/>
      <c r="J330" s="1115"/>
      <c r="K330" s="1115"/>
      <c r="L330" s="1115"/>
      <c r="M330" s="1115"/>
    </row>
    <row r="331" spans="1:13" x14ac:dyDescent="0.2">
      <c r="A331" s="1115"/>
      <c r="B331" s="1115"/>
      <c r="C331" s="1115"/>
      <c r="D331" s="1115"/>
      <c r="E331" s="1115"/>
      <c r="F331" s="1115"/>
      <c r="G331" s="1115"/>
      <c r="H331" s="1115"/>
      <c r="I331" s="1115"/>
      <c r="J331" s="1115"/>
      <c r="K331" s="1115"/>
      <c r="L331" s="1115"/>
      <c r="M331" s="1115"/>
    </row>
    <row r="332" spans="1:13" x14ac:dyDescent="0.2">
      <c r="A332" s="1115"/>
      <c r="B332" s="1115"/>
      <c r="C332" s="1115"/>
      <c r="D332" s="1115"/>
      <c r="E332" s="1115"/>
      <c r="F332" s="1115"/>
      <c r="G332" s="1115"/>
      <c r="H332" s="1115"/>
      <c r="I332" s="1115"/>
      <c r="J332" s="1115"/>
      <c r="K332" s="1115"/>
      <c r="L332" s="1115"/>
      <c r="M332" s="1115"/>
    </row>
    <row r="333" spans="1:13" x14ac:dyDescent="0.2">
      <c r="A333" s="1115"/>
      <c r="B333" s="1115"/>
      <c r="C333" s="1115"/>
      <c r="D333" s="1115"/>
      <c r="E333" s="1115"/>
      <c r="F333" s="1115"/>
      <c r="G333" s="1115"/>
      <c r="H333" s="1115"/>
      <c r="I333" s="1115"/>
      <c r="J333" s="1115"/>
      <c r="K333" s="1115"/>
      <c r="L333" s="1115"/>
      <c r="M333" s="1115"/>
    </row>
    <row r="334" spans="1:13" x14ac:dyDescent="0.2">
      <c r="A334" s="1115"/>
      <c r="B334" s="1115"/>
      <c r="C334" s="1115"/>
      <c r="D334" s="1115"/>
      <c r="E334" s="1115"/>
      <c r="F334" s="1115"/>
      <c r="G334" s="1115"/>
      <c r="H334" s="1115"/>
      <c r="I334" s="1115"/>
      <c r="J334" s="1115"/>
      <c r="K334" s="1115"/>
      <c r="L334" s="1115"/>
      <c r="M334" s="1115"/>
    </row>
    <row r="335" spans="1:13" x14ac:dyDescent="0.2">
      <c r="A335" s="1115"/>
      <c r="B335" s="1115"/>
      <c r="C335" s="1115"/>
      <c r="D335" s="1115"/>
      <c r="E335" s="1115"/>
      <c r="F335" s="1115"/>
      <c r="G335" s="1115"/>
      <c r="H335" s="1115"/>
      <c r="I335" s="1115"/>
      <c r="J335" s="1115"/>
      <c r="K335" s="1115"/>
      <c r="L335" s="1115"/>
      <c r="M335" s="1115"/>
    </row>
    <row r="336" spans="1:13" x14ac:dyDescent="0.2">
      <c r="A336" s="1115"/>
      <c r="B336" s="1115"/>
      <c r="C336" s="1115"/>
      <c r="D336" s="1115"/>
      <c r="E336" s="1115"/>
      <c r="F336" s="1115"/>
      <c r="G336" s="1115"/>
      <c r="H336" s="1115"/>
      <c r="I336" s="1115"/>
      <c r="J336" s="1115"/>
      <c r="K336" s="1115"/>
      <c r="L336" s="1115"/>
      <c r="M336" s="1115"/>
    </row>
    <row r="337" spans="1:13" x14ac:dyDescent="0.2">
      <c r="A337" s="1115"/>
      <c r="B337" s="1115"/>
      <c r="C337" s="1115"/>
      <c r="D337" s="1115"/>
      <c r="E337" s="1115"/>
      <c r="F337" s="1115"/>
      <c r="G337" s="1115"/>
      <c r="H337" s="1115"/>
      <c r="I337" s="1115"/>
      <c r="J337" s="1115"/>
      <c r="K337" s="1115"/>
      <c r="L337" s="1115"/>
      <c r="M337" s="1115"/>
    </row>
    <row r="338" spans="1:13" x14ac:dyDescent="0.2">
      <c r="A338" s="1115"/>
      <c r="B338" s="1115"/>
      <c r="C338" s="1115"/>
      <c r="D338" s="1115"/>
      <c r="E338" s="1115"/>
      <c r="F338" s="1115"/>
      <c r="G338" s="1115"/>
      <c r="H338" s="1115"/>
      <c r="I338" s="1115"/>
      <c r="J338" s="1115"/>
      <c r="K338" s="1115"/>
      <c r="L338" s="1115"/>
      <c r="M338" s="1115"/>
    </row>
    <row r="339" spans="1:13" x14ac:dyDescent="0.2">
      <c r="A339" s="1115"/>
      <c r="B339" s="1115"/>
      <c r="C339" s="1115"/>
      <c r="D339" s="1115"/>
      <c r="E339" s="1115"/>
      <c r="F339" s="1115"/>
      <c r="G339" s="1115"/>
      <c r="H339" s="1115"/>
      <c r="I339" s="1115"/>
      <c r="J339" s="1115"/>
      <c r="K339" s="1115"/>
      <c r="L339" s="1115"/>
      <c r="M339" s="1115"/>
    </row>
    <row r="340" spans="1:13" x14ac:dyDescent="0.2">
      <c r="A340" s="1115"/>
      <c r="B340" s="1115"/>
      <c r="C340" s="1115"/>
      <c r="D340" s="1115"/>
      <c r="E340" s="1115"/>
      <c r="F340" s="1115"/>
      <c r="G340" s="1115"/>
      <c r="H340" s="1115"/>
      <c r="I340" s="1115"/>
      <c r="J340" s="1115"/>
      <c r="K340" s="1115"/>
      <c r="L340" s="1115"/>
      <c r="M340" s="1115"/>
    </row>
    <row r="341" spans="1:13" x14ac:dyDescent="0.2">
      <c r="A341" s="1115"/>
      <c r="B341" s="1115"/>
      <c r="C341" s="1115"/>
      <c r="D341" s="1115"/>
      <c r="E341" s="1115"/>
      <c r="F341" s="1115"/>
      <c r="G341" s="1115"/>
      <c r="H341" s="1115"/>
      <c r="I341" s="1115"/>
      <c r="J341" s="1115"/>
      <c r="K341" s="1115"/>
      <c r="L341" s="1115"/>
      <c r="M341" s="1115"/>
    </row>
    <row r="342" spans="1:13" x14ac:dyDescent="0.2">
      <c r="A342" s="1115"/>
      <c r="B342" s="1115"/>
      <c r="C342" s="1115"/>
      <c r="D342" s="1115"/>
      <c r="E342" s="1115"/>
      <c r="F342" s="1115"/>
      <c r="G342" s="1115"/>
      <c r="H342" s="1115"/>
      <c r="I342" s="1115"/>
      <c r="J342" s="1115"/>
      <c r="K342" s="1115"/>
      <c r="L342" s="1115"/>
      <c r="M342" s="1115"/>
    </row>
    <row r="343" spans="1:13" x14ac:dyDescent="0.2">
      <c r="A343" s="1115"/>
      <c r="B343" s="1115"/>
      <c r="C343" s="1115"/>
      <c r="D343" s="1115"/>
      <c r="E343" s="1115"/>
      <c r="F343" s="1115"/>
      <c r="G343" s="1115"/>
      <c r="H343" s="1115"/>
      <c r="I343" s="1115"/>
      <c r="J343" s="1115"/>
      <c r="K343" s="1115"/>
      <c r="L343" s="1115"/>
      <c r="M343" s="1115"/>
    </row>
    <row r="344" spans="1:13" x14ac:dyDescent="0.2">
      <c r="A344" s="1115"/>
      <c r="B344" s="1115"/>
      <c r="C344" s="1115"/>
      <c r="D344" s="1115"/>
      <c r="E344" s="1115"/>
      <c r="F344" s="1115"/>
      <c r="G344" s="1115"/>
      <c r="H344" s="1115"/>
      <c r="I344" s="1115"/>
      <c r="J344" s="1115"/>
      <c r="K344" s="1115"/>
      <c r="L344" s="1115"/>
      <c r="M344" s="1115"/>
    </row>
    <row r="345" spans="1:13" x14ac:dyDescent="0.2">
      <c r="A345" s="1115"/>
      <c r="B345" s="1115"/>
      <c r="C345" s="1115"/>
      <c r="D345" s="1115"/>
      <c r="E345" s="1115"/>
      <c r="F345" s="1115"/>
      <c r="G345" s="1115"/>
      <c r="H345" s="1115"/>
      <c r="I345" s="1115"/>
      <c r="J345" s="1115"/>
      <c r="K345" s="1115"/>
      <c r="L345" s="1115"/>
      <c r="M345" s="1115"/>
    </row>
    <row r="346" spans="1:13" x14ac:dyDescent="0.2">
      <c r="A346" s="1115"/>
      <c r="B346" s="1115"/>
      <c r="C346" s="1115"/>
      <c r="D346" s="1115"/>
      <c r="E346" s="1115"/>
      <c r="F346" s="1115"/>
      <c r="G346" s="1115"/>
      <c r="H346" s="1115"/>
      <c r="I346" s="1115"/>
      <c r="J346" s="1115"/>
      <c r="K346" s="1115"/>
      <c r="L346" s="1115"/>
      <c r="M346" s="1115"/>
    </row>
    <row r="347" spans="1:13" x14ac:dyDescent="0.2">
      <c r="A347" s="1115"/>
      <c r="B347" s="1115"/>
      <c r="C347" s="1115"/>
      <c r="D347" s="1115"/>
      <c r="E347" s="1115"/>
      <c r="F347" s="1115"/>
      <c r="G347" s="1115"/>
      <c r="H347" s="1115"/>
      <c r="I347" s="1115"/>
      <c r="J347" s="1115"/>
      <c r="K347" s="1115"/>
      <c r="L347" s="1115"/>
      <c r="M347" s="1115"/>
    </row>
    <row r="348" spans="1:13" x14ac:dyDescent="0.2">
      <c r="A348" s="1115"/>
      <c r="B348" s="1115"/>
      <c r="C348" s="1115"/>
      <c r="D348" s="1115"/>
      <c r="E348" s="1115"/>
      <c r="F348" s="1115"/>
      <c r="G348" s="1115"/>
      <c r="H348" s="1115"/>
      <c r="I348" s="1115"/>
      <c r="J348" s="1115"/>
      <c r="K348" s="1115"/>
      <c r="L348" s="1115"/>
      <c r="M348" s="1115"/>
    </row>
    <row r="349" spans="1:13" x14ac:dyDescent="0.2">
      <c r="A349" s="1115"/>
      <c r="B349" s="1115"/>
      <c r="C349" s="1115"/>
      <c r="D349" s="1115"/>
      <c r="E349" s="1115"/>
      <c r="F349" s="1115"/>
      <c r="G349" s="1115"/>
      <c r="H349" s="1115"/>
      <c r="I349" s="1115"/>
      <c r="J349" s="1115"/>
      <c r="K349" s="1115"/>
      <c r="L349" s="1115"/>
      <c r="M349" s="1115"/>
    </row>
    <row r="350" spans="1:13" x14ac:dyDescent="0.2">
      <c r="A350" s="1115"/>
      <c r="B350" s="1115"/>
      <c r="C350" s="1115"/>
      <c r="D350" s="1115"/>
      <c r="E350" s="1115"/>
      <c r="F350" s="1115"/>
      <c r="G350" s="1115"/>
      <c r="H350" s="1115"/>
      <c r="I350" s="1115"/>
      <c r="J350" s="1115"/>
      <c r="K350" s="1115"/>
      <c r="L350" s="1115"/>
      <c r="M350" s="1115"/>
    </row>
    <row r="351" spans="1:13" x14ac:dyDescent="0.2">
      <c r="A351" s="1115"/>
      <c r="B351" s="1115"/>
      <c r="C351" s="1115"/>
      <c r="D351" s="1115"/>
      <c r="E351" s="1115"/>
      <c r="F351" s="1115"/>
      <c r="G351" s="1115"/>
      <c r="H351" s="1115"/>
      <c r="I351" s="1115"/>
      <c r="J351" s="1115"/>
      <c r="K351" s="1115"/>
      <c r="L351" s="1115"/>
      <c r="M351" s="1115"/>
    </row>
    <row r="352" spans="1:13" x14ac:dyDescent="0.2">
      <c r="A352" s="1115"/>
      <c r="B352" s="1115"/>
      <c r="C352" s="1115"/>
      <c r="D352" s="1115"/>
      <c r="E352" s="1115"/>
      <c r="F352" s="1115"/>
      <c r="G352" s="1115"/>
      <c r="H352" s="1115"/>
      <c r="I352" s="1115"/>
      <c r="J352" s="1115"/>
      <c r="K352" s="1115"/>
      <c r="L352" s="1115"/>
      <c r="M352" s="1115"/>
    </row>
    <row r="353" spans="1:13" x14ac:dyDescent="0.2">
      <c r="A353" s="1115"/>
      <c r="B353" s="1115"/>
      <c r="C353" s="1115"/>
      <c r="D353" s="1115"/>
      <c r="E353" s="1115"/>
      <c r="F353" s="1115"/>
      <c r="G353" s="1115"/>
      <c r="H353" s="1115"/>
      <c r="I353" s="1115"/>
      <c r="J353" s="1115"/>
      <c r="K353" s="1115"/>
      <c r="L353" s="1115"/>
      <c r="M353" s="1115"/>
    </row>
    <row r="354" spans="1:13" x14ac:dyDescent="0.2">
      <c r="A354" s="1115"/>
      <c r="B354" s="1115"/>
      <c r="C354" s="1115"/>
      <c r="D354" s="1115"/>
      <c r="E354" s="1115"/>
      <c r="F354" s="1115"/>
      <c r="G354" s="1115"/>
      <c r="H354" s="1115"/>
      <c r="I354" s="1115"/>
      <c r="J354" s="1115"/>
      <c r="K354" s="1115"/>
      <c r="L354" s="1115"/>
      <c r="M354" s="1115"/>
    </row>
    <row r="355" spans="1:13" x14ac:dyDescent="0.2">
      <c r="A355" s="1115"/>
      <c r="B355" s="1115"/>
      <c r="C355" s="1115"/>
      <c r="D355" s="1115"/>
      <c r="E355" s="1115"/>
      <c r="F355" s="1115"/>
      <c r="G355" s="1115"/>
      <c r="H355" s="1115"/>
      <c r="I355" s="1115"/>
      <c r="J355" s="1115"/>
      <c r="K355" s="1115"/>
      <c r="L355" s="1115"/>
      <c r="M355" s="1115"/>
    </row>
    <row r="356" spans="1:13" x14ac:dyDescent="0.2">
      <c r="A356" s="1115"/>
      <c r="B356" s="1115"/>
      <c r="C356" s="1115"/>
      <c r="D356" s="1115"/>
      <c r="E356" s="1115"/>
      <c r="F356" s="1115"/>
      <c r="G356" s="1115"/>
      <c r="H356" s="1115"/>
      <c r="I356" s="1115"/>
      <c r="J356" s="1115"/>
      <c r="K356" s="1115"/>
      <c r="L356" s="1115"/>
      <c r="M356" s="1115"/>
    </row>
    <row r="357" spans="1:13" x14ac:dyDescent="0.2">
      <c r="A357" s="1115"/>
      <c r="B357" s="1115"/>
      <c r="C357" s="1115"/>
      <c r="D357" s="1115"/>
      <c r="E357" s="1115"/>
      <c r="F357" s="1115"/>
      <c r="G357" s="1115"/>
      <c r="H357" s="1115"/>
      <c r="I357" s="1115"/>
      <c r="J357" s="1115"/>
      <c r="K357" s="1115"/>
      <c r="L357" s="1115"/>
      <c r="M357" s="1115"/>
    </row>
    <row r="358" spans="1:13" x14ac:dyDescent="0.2">
      <c r="A358" s="1115"/>
      <c r="B358" s="1115"/>
      <c r="C358" s="1115"/>
      <c r="D358" s="1115"/>
      <c r="E358" s="1115"/>
      <c r="F358" s="1115"/>
      <c r="G358" s="1115"/>
      <c r="H358" s="1115"/>
      <c r="I358" s="1115"/>
      <c r="J358" s="1115"/>
      <c r="K358" s="1115"/>
      <c r="L358" s="1115"/>
      <c r="M358" s="1115"/>
    </row>
    <row r="359" spans="1:13" x14ac:dyDescent="0.2">
      <c r="A359" s="1115"/>
      <c r="B359" s="1115"/>
      <c r="C359" s="1115"/>
      <c r="D359" s="1115"/>
      <c r="E359" s="1115"/>
      <c r="F359" s="1115"/>
      <c r="G359" s="1115"/>
      <c r="H359" s="1115"/>
      <c r="I359" s="1115"/>
      <c r="J359" s="1115"/>
      <c r="K359" s="1115"/>
      <c r="L359" s="1115"/>
      <c r="M359" s="1115"/>
    </row>
    <row r="360" spans="1:13" x14ac:dyDescent="0.2">
      <c r="A360" s="1115"/>
      <c r="B360" s="1115"/>
      <c r="C360" s="1115"/>
      <c r="D360" s="1115"/>
      <c r="E360" s="1115"/>
      <c r="F360" s="1115"/>
      <c r="G360" s="1115"/>
      <c r="H360" s="1115"/>
      <c r="I360" s="1115"/>
      <c r="J360" s="1115"/>
      <c r="K360" s="1115"/>
      <c r="L360" s="1115"/>
      <c r="M360" s="1115"/>
    </row>
    <row r="361" spans="1:13" x14ac:dyDescent="0.2">
      <c r="A361" s="1115"/>
      <c r="B361" s="1115"/>
      <c r="C361" s="1115"/>
      <c r="D361" s="1115"/>
      <c r="E361" s="1115"/>
      <c r="F361" s="1115"/>
      <c r="G361" s="1115"/>
      <c r="H361" s="1115"/>
      <c r="I361" s="1115"/>
      <c r="J361" s="1115"/>
      <c r="K361" s="1115"/>
      <c r="L361" s="1115"/>
      <c r="M361" s="1115"/>
    </row>
    <row r="362" spans="1:13" x14ac:dyDescent="0.2">
      <c r="A362" s="1115"/>
      <c r="B362" s="1115"/>
      <c r="C362" s="1115"/>
      <c r="D362" s="1115"/>
      <c r="E362" s="1115"/>
      <c r="F362" s="1115"/>
      <c r="G362" s="1115"/>
      <c r="H362" s="1115"/>
      <c r="I362" s="1115"/>
      <c r="J362" s="1115"/>
      <c r="K362" s="1115"/>
      <c r="L362" s="1115"/>
      <c r="M362" s="1115"/>
    </row>
    <row r="363" spans="1:13" x14ac:dyDescent="0.2">
      <c r="A363" s="1115"/>
      <c r="B363" s="1115"/>
      <c r="C363" s="1115"/>
      <c r="D363" s="1115"/>
      <c r="E363" s="1115"/>
      <c r="F363" s="1115"/>
      <c r="G363" s="1115"/>
      <c r="H363" s="1115"/>
      <c r="I363" s="1115"/>
      <c r="J363" s="1115"/>
      <c r="K363" s="1115"/>
      <c r="L363" s="1115"/>
      <c r="M363" s="1115"/>
    </row>
    <row r="364" spans="1:13" x14ac:dyDescent="0.2">
      <c r="A364" s="1115"/>
      <c r="B364" s="1115"/>
      <c r="C364" s="1115"/>
      <c r="D364" s="1115"/>
      <c r="E364" s="1115"/>
      <c r="F364" s="1115"/>
      <c r="G364" s="1115"/>
      <c r="H364" s="1115"/>
      <c r="I364" s="1115"/>
      <c r="J364" s="1115"/>
      <c r="K364" s="1115"/>
      <c r="L364" s="1115"/>
      <c r="M364" s="1115"/>
    </row>
    <row r="365" spans="1:13" x14ac:dyDescent="0.2">
      <c r="A365" s="1115"/>
      <c r="B365" s="1115"/>
      <c r="C365" s="1115"/>
      <c r="D365" s="1115"/>
      <c r="E365" s="1115"/>
      <c r="F365" s="1115"/>
      <c r="G365" s="1115"/>
      <c r="H365" s="1115"/>
      <c r="I365" s="1115"/>
      <c r="J365" s="1115"/>
      <c r="K365" s="1115"/>
      <c r="L365" s="1115"/>
      <c r="M365" s="1115"/>
    </row>
    <row r="366" spans="1:13" x14ac:dyDescent="0.2">
      <c r="A366" s="1115"/>
      <c r="B366" s="1115"/>
      <c r="C366" s="1115"/>
      <c r="D366" s="1115"/>
      <c r="E366" s="1115"/>
      <c r="F366" s="1115"/>
      <c r="G366" s="1115"/>
      <c r="H366" s="1115"/>
      <c r="I366" s="1115"/>
      <c r="J366" s="1115"/>
      <c r="K366" s="1115"/>
      <c r="L366" s="1115"/>
      <c r="M366" s="1115"/>
    </row>
    <row r="367" spans="1:13" x14ac:dyDescent="0.2">
      <c r="A367" s="1115"/>
      <c r="B367" s="1115"/>
      <c r="C367" s="1115"/>
      <c r="D367" s="1115"/>
      <c r="E367" s="1115"/>
      <c r="F367" s="1115"/>
      <c r="G367" s="1115"/>
      <c r="H367" s="1115"/>
      <c r="I367" s="1115"/>
      <c r="J367" s="1115"/>
      <c r="K367" s="1115"/>
      <c r="L367" s="1115"/>
      <c r="M367" s="1115"/>
    </row>
    <row r="368" spans="1:13" x14ac:dyDescent="0.2">
      <c r="A368" s="1115"/>
      <c r="B368" s="1115"/>
      <c r="C368" s="1115"/>
      <c r="D368" s="1115"/>
      <c r="E368" s="1115"/>
      <c r="F368" s="1115"/>
      <c r="G368" s="1115"/>
      <c r="H368" s="1115"/>
      <c r="I368" s="1115"/>
      <c r="J368" s="1115"/>
      <c r="K368" s="1115"/>
      <c r="L368" s="1115"/>
      <c r="M368" s="1115"/>
    </row>
    <row r="369" spans="1:13" x14ac:dyDescent="0.2">
      <c r="A369" s="1115"/>
      <c r="B369" s="1115"/>
      <c r="C369" s="1115"/>
      <c r="D369" s="1115"/>
      <c r="E369" s="1115"/>
      <c r="F369" s="1115"/>
      <c r="G369" s="1115"/>
      <c r="H369" s="1115"/>
      <c r="I369" s="1115"/>
      <c r="J369" s="1115"/>
      <c r="K369" s="1115"/>
      <c r="L369" s="1115"/>
      <c r="M369" s="1115"/>
    </row>
    <row r="370" spans="1:13" x14ac:dyDescent="0.2">
      <c r="A370" s="1115"/>
      <c r="B370" s="1115"/>
      <c r="C370" s="1115"/>
      <c r="D370" s="1115"/>
      <c r="E370" s="1115"/>
      <c r="F370" s="1115"/>
      <c r="G370" s="1115"/>
      <c r="H370" s="1115"/>
      <c r="I370" s="1115"/>
      <c r="J370" s="1115"/>
      <c r="K370" s="1115"/>
      <c r="L370" s="1115"/>
      <c r="M370" s="1115"/>
    </row>
    <row r="371" spans="1:13" x14ac:dyDescent="0.2">
      <c r="A371" s="1115"/>
      <c r="B371" s="1115"/>
      <c r="C371" s="1115"/>
      <c r="D371" s="1115"/>
      <c r="E371" s="1115"/>
      <c r="F371" s="1115"/>
      <c r="G371" s="1115"/>
      <c r="H371" s="1115"/>
      <c r="I371" s="1115"/>
      <c r="J371" s="1115"/>
      <c r="K371" s="1115"/>
      <c r="L371" s="1115"/>
      <c r="M371" s="1115"/>
    </row>
    <row r="372" spans="1:13" x14ac:dyDescent="0.2">
      <c r="A372" s="1115"/>
      <c r="B372" s="1115"/>
      <c r="C372" s="1115"/>
      <c r="D372" s="1115"/>
      <c r="E372" s="1115"/>
      <c r="F372" s="1115"/>
      <c r="G372" s="1115"/>
      <c r="H372" s="1115"/>
      <c r="I372" s="1115"/>
      <c r="J372" s="1115"/>
      <c r="K372" s="1115"/>
      <c r="L372" s="1115"/>
      <c r="M372" s="1115"/>
    </row>
    <row r="373" spans="1:13" x14ac:dyDescent="0.2">
      <c r="A373" s="1115"/>
      <c r="B373" s="1115"/>
      <c r="C373" s="1115"/>
      <c r="D373" s="1115"/>
      <c r="E373" s="1115"/>
      <c r="F373" s="1115"/>
      <c r="G373" s="1115"/>
      <c r="H373" s="1115"/>
      <c r="I373" s="1115"/>
      <c r="J373" s="1115"/>
      <c r="K373" s="1115"/>
      <c r="L373" s="1115"/>
      <c r="M373" s="1115"/>
    </row>
    <row r="374" spans="1:13" x14ac:dyDescent="0.2">
      <c r="A374" s="1115"/>
      <c r="B374" s="1115"/>
      <c r="C374" s="1115"/>
      <c r="D374" s="1115"/>
      <c r="E374" s="1115"/>
      <c r="F374" s="1115"/>
      <c r="G374" s="1115"/>
      <c r="H374" s="1115"/>
      <c r="I374" s="1115"/>
      <c r="J374" s="1115"/>
      <c r="K374" s="1115"/>
      <c r="L374" s="1115"/>
      <c r="M374" s="1115"/>
    </row>
    <row r="375" spans="1:13" x14ac:dyDescent="0.2">
      <c r="A375" s="1115"/>
      <c r="B375" s="1115"/>
      <c r="C375" s="1115"/>
      <c r="D375" s="1115"/>
      <c r="E375" s="1115"/>
      <c r="F375" s="1115"/>
      <c r="G375" s="1115"/>
      <c r="H375" s="1115"/>
      <c r="I375" s="1115"/>
      <c r="J375" s="1115"/>
      <c r="K375" s="1115"/>
      <c r="L375" s="1115"/>
      <c r="M375" s="1115"/>
    </row>
    <row r="376" spans="1:13" x14ac:dyDescent="0.2">
      <c r="A376" s="1115"/>
      <c r="B376" s="1115"/>
      <c r="C376" s="1115"/>
      <c r="D376" s="1115"/>
      <c r="E376" s="1115"/>
      <c r="F376" s="1115"/>
      <c r="G376" s="1115"/>
      <c r="H376" s="1115"/>
      <c r="I376" s="1115"/>
      <c r="J376" s="1115"/>
      <c r="K376" s="1115"/>
      <c r="L376" s="1115"/>
      <c r="M376" s="1115"/>
    </row>
    <row r="377" spans="1:13" x14ac:dyDescent="0.2">
      <c r="A377" s="1115"/>
      <c r="B377" s="1115"/>
      <c r="C377" s="1115"/>
      <c r="D377" s="1115"/>
      <c r="E377" s="1115"/>
      <c r="F377" s="1115"/>
      <c r="G377" s="1115"/>
      <c r="H377" s="1115"/>
      <c r="I377" s="1115"/>
      <c r="J377" s="1115"/>
      <c r="K377" s="1115"/>
      <c r="L377" s="1115"/>
      <c r="M377" s="1115"/>
    </row>
    <row r="378" spans="1:13" x14ac:dyDescent="0.2">
      <c r="A378" s="1115"/>
      <c r="B378" s="1115"/>
      <c r="C378" s="1115"/>
      <c r="D378" s="1115"/>
      <c r="E378" s="1115"/>
      <c r="F378" s="1115"/>
      <c r="G378" s="1115"/>
      <c r="H378" s="1115"/>
      <c r="I378" s="1115"/>
      <c r="J378" s="1115"/>
      <c r="K378" s="1115"/>
      <c r="L378" s="1115"/>
      <c r="M378" s="1115"/>
    </row>
    <row r="379" spans="1:13" x14ac:dyDescent="0.2">
      <c r="A379" s="1115"/>
      <c r="B379" s="1115"/>
      <c r="C379" s="1115"/>
      <c r="D379" s="1115"/>
      <c r="E379" s="1115"/>
      <c r="F379" s="1115"/>
      <c r="G379" s="1115"/>
      <c r="H379" s="1115"/>
      <c r="I379" s="1115"/>
      <c r="J379" s="1115"/>
      <c r="K379" s="1115"/>
      <c r="L379" s="1115"/>
      <c r="M379" s="1115"/>
    </row>
    <row r="380" spans="1:13" x14ac:dyDescent="0.2">
      <c r="A380" s="1115"/>
      <c r="B380" s="1115"/>
      <c r="C380" s="1115"/>
      <c r="D380" s="1115"/>
      <c r="E380" s="1115"/>
      <c r="F380" s="1115"/>
      <c r="G380" s="1115"/>
      <c r="H380" s="1115"/>
      <c r="I380" s="1115"/>
      <c r="J380" s="1115"/>
      <c r="K380" s="1115"/>
      <c r="L380" s="1115"/>
      <c r="M380" s="1115"/>
    </row>
    <row r="381" spans="1:13" x14ac:dyDescent="0.2">
      <c r="A381" s="1115"/>
      <c r="B381" s="1115"/>
      <c r="C381" s="1115"/>
      <c r="D381" s="1115"/>
      <c r="E381" s="1115"/>
      <c r="F381" s="1115"/>
      <c r="G381" s="1115"/>
      <c r="H381" s="1115"/>
      <c r="I381" s="1115"/>
      <c r="J381" s="1115"/>
      <c r="K381" s="1115"/>
      <c r="L381" s="1115"/>
      <c r="M381" s="1115"/>
    </row>
    <row r="382" spans="1:13" x14ac:dyDescent="0.2">
      <c r="A382" s="1115"/>
      <c r="B382" s="1115"/>
      <c r="C382" s="1115"/>
      <c r="D382" s="1115"/>
      <c r="E382" s="1115"/>
      <c r="F382" s="1115"/>
      <c r="G382" s="1115"/>
      <c r="H382" s="1115"/>
      <c r="I382" s="1115"/>
      <c r="J382" s="1115"/>
      <c r="K382" s="1115"/>
      <c r="L382" s="1115"/>
      <c r="M382" s="1115"/>
    </row>
    <row r="383" spans="1:13" x14ac:dyDescent="0.2">
      <c r="A383" s="1115"/>
      <c r="B383" s="1115"/>
      <c r="C383" s="1115"/>
      <c r="D383" s="1115"/>
      <c r="E383" s="1115"/>
      <c r="F383" s="1115"/>
      <c r="G383" s="1115"/>
      <c r="H383" s="1115"/>
      <c r="I383" s="1115"/>
      <c r="J383" s="1115"/>
      <c r="K383" s="1115"/>
      <c r="L383" s="1115"/>
      <c r="M383" s="1115"/>
    </row>
    <row r="384" spans="1:13" x14ac:dyDescent="0.2">
      <c r="A384" s="1115"/>
      <c r="B384" s="1115"/>
      <c r="C384" s="1115"/>
      <c r="D384" s="1115"/>
      <c r="E384" s="1115"/>
      <c r="F384" s="1115"/>
      <c r="G384" s="1115"/>
      <c r="H384" s="1115"/>
      <c r="I384" s="1115"/>
      <c r="J384" s="1115"/>
      <c r="K384" s="1115"/>
      <c r="L384" s="1115"/>
      <c r="M384" s="1115"/>
    </row>
    <row r="385" spans="1:13" x14ac:dyDescent="0.2">
      <c r="A385" s="1115"/>
      <c r="B385" s="1115"/>
      <c r="C385" s="1115"/>
      <c r="D385" s="1115"/>
      <c r="E385" s="1115"/>
      <c r="F385" s="1115"/>
      <c r="G385" s="1115"/>
      <c r="H385" s="1115"/>
      <c r="I385" s="1115"/>
      <c r="J385" s="1115"/>
      <c r="K385" s="1115"/>
      <c r="L385" s="1115"/>
      <c r="M385" s="1115"/>
    </row>
    <row r="386" spans="1:13" x14ac:dyDescent="0.2">
      <c r="A386" s="1115"/>
      <c r="B386" s="1115"/>
      <c r="C386" s="1115"/>
      <c r="D386" s="1115"/>
      <c r="E386" s="1115"/>
      <c r="F386" s="1115"/>
      <c r="G386" s="1115"/>
      <c r="H386" s="1115"/>
      <c r="I386" s="1115"/>
      <c r="J386" s="1115"/>
      <c r="K386" s="1115"/>
      <c r="L386" s="1115"/>
      <c r="M386" s="1115"/>
    </row>
    <row r="387" spans="1:13" x14ac:dyDescent="0.2">
      <c r="A387" s="1115"/>
      <c r="B387" s="1115"/>
      <c r="C387" s="1115"/>
      <c r="D387" s="1115"/>
      <c r="E387" s="1115"/>
      <c r="F387" s="1115"/>
      <c r="G387" s="1115"/>
      <c r="H387" s="1115"/>
      <c r="I387" s="1115"/>
      <c r="J387" s="1115"/>
      <c r="K387" s="1115"/>
      <c r="L387" s="1115"/>
      <c r="M387" s="1115"/>
    </row>
    <row r="388" spans="1:13" x14ac:dyDescent="0.2">
      <c r="A388" s="1115"/>
      <c r="B388" s="1115"/>
      <c r="C388" s="1115"/>
      <c r="D388" s="1115"/>
      <c r="E388" s="1115"/>
      <c r="F388" s="1115"/>
      <c r="G388" s="1115"/>
      <c r="H388" s="1115"/>
      <c r="I388" s="1115"/>
      <c r="J388" s="1115"/>
      <c r="K388" s="1115"/>
      <c r="L388" s="1115"/>
      <c r="M388" s="1115"/>
    </row>
    <row r="389" spans="1:13" x14ac:dyDescent="0.2">
      <c r="A389" s="1115"/>
      <c r="B389" s="1115"/>
      <c r="C389" s="1115"/>
      <c r="D389" s="1115"/>
      <c r="E389" s="1115"/>
      <c r="F389" s="1115"/>
      <c r="G389" s="1115"/>
      <c r="H389" s="1115"/>
      <c r="I389" s="1115"/>
      <c r="J389" s="1115"/>
      <c r="K389" s="1115"/>
      <c r="L389" s="1115"/>
      <c r="M389" s="1115"/>
    </row>
    <row r="390" spans="1:13" x14ac:dyDescent="0.2">
      <c r="A390" s="1115"/>
      <c r="B390" s="1115"/>
      <c r="C390" s="1115"/>
      <c r="D390" s="1115"/>
      <c r="E390" s="1115"/>
      <c r="F390" s="1115"/>
      <c r="G390" s="1115"/>
      <c r="H390" s="1115"/>
      <c r="I390" s="1115"/>
      <c r="J390" s="1115"/>
      <c r="K390" s="1115"/>
      <c r="L390" s="1115"/>
      <c r="M390" s="1115"/>
    </row>
    <row r="391" spans="1:13" x14ac:dyDescent="0.2">
      <c r="A391" s="1115"/>
      <c r="B391" s="1115"/>
      <c r="C391" s="1115"/>
      <c r="D391" s="1115"/>
      <c r="E391" s="1115"/>
      <c r="F391" s="1115"/>
      <c r="G391" s="1115"/>
      <c r="H391" s="1115"/>
      <c r="I391" s="1115"/>
      <c r="J391" s="1115"/>
      <c r="K391" s="1115"/>
      <c r="L391" s="1115"/>
      <c r="M391" s="1115"/>
    </row>
    <row r="392" spans="1:13" x14ac:dyDescent="0.2">
      <c r="A392" s="1115"/>
      <c r="B392" s="1115"/>
      <c r="C392" s="1115"/>
      <c r="D392" s="1115"/>
      <c r="E392" s="1115"/>
      <c r="F392" s="1115"/>
      <c r="G392" s="1115"/>
      <c r="H392" s="1115"/>
      <c r="I392" s="1115"/>
      <c r="J392" s="1115"/>
      <c r="K392" s="1115"/>
      <c r="L392" s="1115"/>
      <c r="M392" s="1115"/>
    </row>
    <row r="393" spans="1:13" x14ac:dyDescent="0.2">
      <c r="A393" s="1115"/>
      <c r="B393" s="1115"/>
      <c r="C393" s="1115"/>
      <c r="D393" s="1115"/>
      <c r="E393" s="1115"/>
      <c r="F393" s="1115"/>
      <c r="G393" s="1115"/>
      <c r="H393" s="1115"/>
      <c r="I393" s="1115"/>
      <c r="J393" s="1115"/>
      <c r="K393" s="1115"/>
      <c r="L393" s="1115"/>
      <c r="M393" s="1115"/>
    </row>
    <row r="394" spans="1:13" x14ac:dyDescent="0.2">
      <c r="A394" s="1115"/>
      <c r="B394" s="1115"/>
      <c r="C394" s="1115"/>
      <c r="D394" s="1115"/>
      <c r="E394" s="1115"/>
      <c r="F394" s="1115"/>
      <c r="G394" s="1115"/>
      <c r="H394" s="1115"/>
      <c r="I394" s="1115"/>
      <c r="J394" s="1115"/>
      <c r="K394" s="1115"/>
      <c r="L394" s="1115"/>
      <c r="M394" s="1115"/>
    </row>
    <row r="395" spans="1:13" x14ac:dyDescent="0.2">
      <c r="A395" s="1115"/>
      <c r="B395" s="1115"/>
      <c r="C395" s="1115"/>
      <c r="D395" s="1115"/>
      <c r="E395" s="1115"/>
      <c r="F395" s="1115"/>
      <c r="G395" s="1115"/>
      <c r="H395" s="1115"/>
      <c r="I395" s="1115"/>
      <c r="J395" s="1115"/>
      <c r="K395" s="1115"/>
      <c r="L395" s="1115"/>
      <c r="M395" s="1115"/>
    </row>
    <row r="396" spans="1:13" x14ac:dyDescent="0.2">
      <c r="A396" s="1115"/>
      <c r="B396" s="1115"/>
      <c r="C396" s="1115"/>
      <c r="D396" s="1115"/>
      <c r="E396" s="1115"/>
      <c r="F396" s="1115"/>
      <c r="G396" s="1115"/>
      <c r="H396" s="1115"/>
      <c r="I396" s="1115"/>
      <c r="J396" s="1115"/>
      <c r="K396" s="1115"/>
      <c r="L396" s="1115"/>
      <c r="M396" s="1115"/>
    </row>
    <row r="397" spans="1:13" x14ac:dyDescent="0.2">
      <c r="A397" s="1115"/>
      <c r="B397" s="1115"/>
      <c r="C397" s="1115"/>
      <c r="D397" s="1115"/>
      <c r="E397" s="1115"/>
      <c r="F397" s="1115"/>
      <c r="G397" s="1115"/>
      <c r="H397" s="1115"/>
      <c r="I397" s="1115"/>
      <c r="J397" s="1115"/>
      <c r="K397" s="1115"/>
      <c r="L397" s="1115"/>
      <c r="M397" s="1115"/>
    </row>
    <row r="398" spans="1:13" x14ac:dyDescent="0.2">
      <c r="A398" s="1115"/>
      <c r="B398" s="1115"/>
      <c r="C398" s="1115"/>
      <c r="D398" s="1115"/>
      <c r="E398" s="1115"/>
      <c r="F398" s="1115"/>
      <c r="G398" s="1115"/>
      <c r="H398" s="1115"/>
      <c r="I398" s="1115"/>
      <c r="J398" s="1115"/>
      <c r="K398" s="1115"/>
      <c r="L398" s="1115"/>
      <c r="M398" s="1115"/>
    </row>
    <row r="399" spans="1:13" x14ac:dyDescent="0.2">
      <c r="A399" s="1115"/>
      <c r="B399" s="1115"/>
      <c r="C399" s="1115"/>
      <c r="D399" s="1115"/>
      <c r="E399" s="1115"/>
      <c r="F399" s="1115"/>
      <c r="G399" s="1115"/>
      <c r="H399" s="1115"/>
      <c r="I399" s="1115"/>
      <c r="J399" s="1115"/>
      <c r="K399" s="1115"/>
      <c r="L399" s="1115"/>
      <c r="M399" s="1115"/>
    </row>
    <row r="400" spans="1:13" x14ac:dyDescent="0.2">
      <c r="A400" s="1115"/>
      <c r="B400" s="1115"/>
      <c r="C400" s="1115"/>
      <c r="D400" s="1115"/>
      <c r="E400" s="1115"/>
      <c r="F400" s="1115"/>
      <c r="G400" s="1115"/>
      <c r="H400" s="1115"/>
      <c r="I400" s="1115"/>
      <c r="J400" s="1115"/>
      <c r="K400" s="1115"/>
      <c r="L400" s="1115"/>
      <c r="M400" s="1115"/>
    </row>
    <row r="401" spans="1:13" x14ac:dyDescent="0.2">
      <c r="A401" s="1115"/>
      <c r="B401" s="1115"/>
      <c r="C401" s="1115"/>
      <c r="D401" s="1115"/>
      <c r="E401" s="1115"/>
      <c r="F401" s="1115"/>
      <c r="G401" s="1115"/>
      <c r="H401" s="1115"/>
      <c r="I401" s="1115"/>
      <c r="J401" s="1115"/>
      <c r="K401" s="1115"/>
      <c r="L401" s="1115"/>
      <c r="M401" s="1115"/>
    </row>
    <row r="402" spans="1:13" x14ac:dyDescent="0.2">
      <c r="A402" s="1115"/>
      <c r="B402" s="1115"/>
      <c r="C402" s="1115"/>
      <c r="D402" s="1115"/>
      <c r="E402" s="1115"/>
      <c r="F402" s="1115"/>
      <c r="G402" s="1115"/>
      <c r="H402" s="1115"/>
      <c r="I402" s="1115"/>
      <c r="J402" s="1115"/>
      <c r="K402" s="1115"/>
      <c r="L402" s="1115"/>
      <c r="M402" s="1115"/>
    </row>
    <row r="403" spans="1:13" x14ac:dyDescent="0.2">
      <c r="A403" s="1115"/>
      <c r="B403" s="1115"/>
      <c r="C403" s="1115"/>
      <c r="D403" s="1115"/>
      <c r="E403" s="1115"/>
      <c r="F403" s="1115"/>
      <c r="G403" s="1115"/>
      <c r="H403" s="1115"/>
      <c r="I403" s="1115"/>
      <c r="J403" s="1115"/>
      <c r="K403" s="1115"/>
      <c r="L403" s="1115"/>
      <c r="M403" s="1115"/>
    </row>
    <row r="404" spans="1:13" x14ac:dyDescent="0.2">
      <c r="A404" s="1115"/>
      <c r="B404" s="1115"/>
      <c r="C404" s="1115"/>
      <c r="D404" s="1115"/>
      <c r="E404" s="1115"/>
      <c r="F404" s="1115"/>
      <c r="G404" s="1115"/>
      <c r="H404" s="1115"/>
      <c r="I404" s="1115"/>
      <c r="J404" s="1115"/>
      <c r="K404" s="1115"/>
      <c r="L404" s="1115"/>
      <c r="M404" s="1115"/>
    </row>
    <row r="405" spans="1:13" x14ac:dyDescent="0.2">
      <c r="A405" s="1115"/>
      <c r="B405" s="1115"/>
      <c r="C405" s="1115"/>
      <c r="D405" s="1115"/>
      <c r="E405" s="1115"/>
      <c r="F405" s="1115"/>
      <c r="G405" s="1115"/>
      <c r="H405" s="1115"/>
      <c r="I405" s="1115"/>
      <c r="J405" s="1115"/>
      <c r="K405" s="1115"/>
      <c r="L405" s="1115"/>
      <c r="M405" s="1115"/>
    </row>
    <row r="406" spans="1:13" x14ac:dyDescent="0.2">
      <c r="A406" s="1115"/>
      <c r="B406" s="1115"/>
      <c r="C406" s="1115"/>
      <c r="D406" s="1115"/>
      <c r="E406" s="1115"/>
      <c r="F406" s="1115"/>
      <c r="G406" s="1115"/>
      <c r="H406" s="1115"/>
      <c r="I406" s="1115"/>
      <c r="J406" s="1115"/>
      <c r="K406" s="1115"/>
      <c r="L406" s="1115"/>
      <c r="M406" s="1115"/>
    </row>
    <row r="407" spans="1:13" x14ac:dyDescent="0.2">
      <c r="A407" s="1115"/>
      <c r="B407" s="1115"/>
      <c r="C407" s="1115"/>
      <c r="D407" s="1115"/>
      <c r="E407" s="1115"/>
      <c r="F407" s="1115"/>
      <c r="G407" s="1115"/>
      <c r="H407" s="1115"/>
      <c r="I407" s="1115"/>
      <c r="J407" s="1115"/>
      <c r="K407" s="1115"/>
      <c r="L407" s="1115"/>
      <c r="M407" s="1115"/>
    </row>
    <row r="408" spans="1:13" x14ac:dyDescent="0.2">
      <c r="A408" s="1115"/>
      <c r="B408" s="1115"/>
      <c r="C408" s="1115"/>
      <c r="D408" s="1115"/>
      <c r="E408" s="1115"/>
      <c r="F408" s="1115"/>
      <c r="G408" s="1115"/>
      <c r="H408" s="1115"/>
      <c r="I408" s="1115"/>
      <c r="J408" s="1115"/>
      <c r="K408" s="1115"/>
      <c r="L408" s="1115"/>
      <c r="M408" s="1115"/>
    </row>
    <row r="409" spans="1:13" x14ac:dyDescent="0.2">
      <c r="A409" s="1115"/>
      <c r="B409" s="1115"/>
      <c r="C409" s="1115"/>
      <c r="D409" s="1115"/>
      <c r="E409" s="1115"/>
      <c r="F409" s="1115"/>
      <c r="G409" s="1115"/>
      <c r="H409" s="1115"/>
      <c r="I409" s="1115"/>
      <c r="J409" s="1115"/>
      <c r="K409" s="1115"/>
      <c r="L409" s="1115"/>
      <c r="M409" s="1115"/>
    </row>
    <row r="410" spans="1:13" x14ac:dyDescent="0.2">
      <c r="A410" s="1115"/>
      <c r="B410" s="1115"/>
      <c r="C410" s="1115"/>
      <c r="D410" s="1115"/>
      <c r="E410" s="1115"/>
      <c r="F410" s="1115"/>
      <c r="G410" s="1115"/>
      <c r="H410" s="1115"/>
      <c r="I410" s="1115"/>
      <c r="J410" s="1115"/>
      <c r="K410" s="1115"/>
      <c r="L410" s="1115"/>
      <c r="M410" s="1115"/>
    </row>
    <row r="411" spans="1:13" x14ac:dyDescent="0.2">
      <c r="A411" s="1115"/>
      <c r="B411" s="1115"/>
      <c r="C411" s="1115"/>
      <c r="D411" s="1115"/>
      <c r="E411" s="1115"/>
      <c r="F411" s="1115"/>
      <c r="G411" s="1115"/>
      <c r="H411" s="1115"/>
      <c r="I411" s="1115"/>
      <c r="J411" s="1115"/>
      <c r="K411" s="1115"/>
      <c r="L411" s="1115"/>
      <c r="M411" s="1115"/>
    </row>
    <row r="412" spans="1:13" x14ac:dyDescent="0.2">
      <c r="A412" s="1115"/>
      <c r="B412" s="1115"/>
      <c r="C412" s="1115"/>
      <c r="D412" s="1115"/>
      <c r="E412" s="1115"/>
      <c r="F412" s="1115"/>
      <c r="G412" s="1115"/>
      <c r="H412" s="1115"/>
      <c r="I412" s="1115"/>
      <c r="J412" s="1115"/>
      <c r="K412" s="1115"/>
      <c r="L412" s="1115"/>
      <c r="M412" s="1115"/>
    </row>
    <row r="413" spans="1:13" x14ac:dyDescent="0.2">
      <c r="A413" s="1115"/>
      <c r="B413" s="1115"/>
      <c r="C413" s="1115"/>
      <c r="D413" s="1115"/>
      <c r="E413" s="1115"/>
      <c r="F413" s="1115"/>
      <c r="G413" s="1115"/>
      <c r="H413" s="1115"/>
      <c r="I413" s="1115"/>
      <c r="J413" s="1115"/>
      <c r="K413" s="1115"/>
      <c r="L413" s="1115"/>
      <c r="M413" s="1115"/>
    </row>
    <row r="414" spans="1:13" x14ac:dyDescent="0.2">
      <c r="A414" s="1115"/>
      <c r="B414" s="1115"/>
      <c r="C414" s="1115"/>
      <c r="D414" s="1115"/>
      <c r="E414" s="1115"/>
      <c r="F414" s="1115"/>
      <c r="G414" s="1115"/>
      <c r="H414" s="1115"/>
      <c r="I414" s="1115"/>
      <c r="J414" s="1115"/>
      <c r="K414" s="1115"/>
      <c r="L414" s="1115"/>
      <c r="M414" s="1115"/>
    </row>
    <row r="415" spans="1:13" x14ac:dyDescent="0.2">
      <c r="A415" s="1115"/>
      <c r="B415" s="1115"/>
      <c r="C415" s="1115"/>
      <c r="D415" s="1115"/>
      <c r="E415" s="1115"/>
      <c r="F415" s="1115"/>
      <c r="G415" s="1115"/>
      <c r="H415" s="1115"/>
      <c r="I415" s="1115"/>
      <c r="J415" s="1115"/>
      <c r="K415" s="1115"/>
      <c r="L415" s="1115"/>
      <c r="M415" s="1115"/>
    </row>
    <row r="416" spans="1:13" x14ac:dyDescent="0.2">
      <c r="A416" s="1115"/>
      <c r="B416" s="1115"/>
      <c r="C416" s="1115"/>
      <c r="D416" s="1115"/>
      <c r="E416" s="1115"/>
      <c r="F416" s="1115"/>
      <c r="G416" s="1115"/>
      <c r="H416" s="1115"/>
      <c r="I416" s="1115"/>
      <c r="J416" s="1115"/>
      <c r="K416" s="1115"/>
      <c r="L416" s="1115"/>
      <c r="M416" s="1115"/>
    </row>
    <row r="417" spans="1:13" x14ac:dyDescent="0.2">
      <c r="A417" s="1115"/>
      <c r="B417" s="1115"/>
      <c r="C417" s="1115"/>
      <c r="D417" s="1115"/>
      <c r="E417" s="1115"/>
      <c r="F417" s="1115"/>
      <c r="G417" s="1115"/>
      <c r="H417" s="1115"/>
      <c r="I417" s="1115"/>
      <c r="J417" s="1115"/>
      <c r="K417" s="1115"/>
      <c r="L417" s="1115"/>
      <c r="M417" s="1115"/>
    </row>
    <row r="418" spans="1:13" x14ac:dyDescent="0.2">
      <c r="A418" s="1115"/>
      <c r="B418" s="1115"/>
      <c r="C418" s="1115"/>
      <c r="D418" s="1115"/>
      <c r="E418" s="1115"/>
      <c r="F418" s="1115"/>
      <c r="G418" s="1115"/>
      <c r="H418" s="1115"/>
      <c r="I418" s="1115"/>
      <c r="J418" s="1115"/>
      <c r="K418" s="1115"/>
      <c r="L418" s="1115"/>
      <c r="M418" s="1115"/>
    </row>
    <row r="419" spans="1:13" x14ac:dyDescent="0.2">
      <c r="A419" s="1115"/>
      <c r="B419" s="1115"/>
      <c r="C419" s="1115"/>
      <c r="D419" s="1115"/>
      <c r="E419" s="1115"/>
      <c r="F419" s="1115"/>
      <c r="G419" s="1115"/>
      <c r="H419" s="1115"/>
      <c r="I419" s="1115"/>
      <c r="J419" s="1115"/>
      <c r="K419" s="1115"/>
      <c r="L419" s="1115"/>
      <c r="M419" s="1115"/>
    </row>
    <row r="420" spans="1:13" x14ac:dyDescent="0.2">
      <c r="A420" s="1115"/>
      <c r="B420" s="1115"/>
      <c r="C420" s="1115"/>
      <c r="D420" s="1115"/>
      <c r="E420" s="1115"/>
      <c r="F420" s="1115"/>
      <c r="G420" s="1115"/>
      <c r="H420" s="1115"/>
      <c r="I420" s="1115"/>
      <c r="J420" s="1115"/>
      <c r="K420" s="1115"/>
      <c r="L420" s="1115"/>
      <c r="M420" s="1115"/>
    </row>
    <row r="421" spans="1:13" x14ac:dyDescent="0.2">
      <c r="A421" s="1115"/>
      <c r="B421" s="1115"/>
      <c r="C421" s="1115"/>
      <c r="D421" s="1115"/>
      <c r="E421" s="1115"/>
      <c r="F421" s="1115"/>
      <c r="G421" s="1115"/>
      <c r="H421" s="1115"/>
      <c r="I421" s="1115"/>
      <c r="J421" s="1115"/>
      <c r="K421" s="1115"/>
      <c r="L421" s="1115"/>
      <c r="M421" s="1115"/>
    </row>
    <row r="422" spans="1:13" x14ac:dyDescent="0.2">
      <c r="A422" s="1115"/>
      <c r="B422" s="1115"/>
      <c r="C422" s="1115"/>
      <c r="D422" s="1115"/>
      <c r="E422" s="1115"/>
      <c r="F422" s="1115"/>
      <c r="G422" s="1115"/>
      <c r="H422" s="1115"/>
      <c r="I422" s="1115"/>
      <c r="J422" s="1115"/>
      <c r="K422" s="1115"/>
      <c r="L422" s="1115"/>
      <c r="M422" s="1115"/>
    </row>
    <row r="423" spans="1:13" x14ac:dyDescent="0.2">
      <c r="A423" s="1115"/>
      <c r="B423" s="1115"/>
      <c r="C423" s="1115"/>
      <c r="D423" s="1115"/>
      <c r="E423" s="1115"/>
      <c r="F423" s="1115"/>
      <c r="G423" s="1115"/>
      <c r="H423" s="1115"/>
      <c r="I423" s="1115"/>
      <c r="J423" s="1115"/>
      <c r="K423" s="1115"/>
      <c r="L423" s="1115"/>
      <c r="M423" s="1115"/>
    </row>
    <row r="424" spans="1:13" x14ac:dyDescent="0.2">
      <c r="A424" s="1115"/>
      <c r="B424" s="1115"/>
      <c r="C424" s="1115"/>
      <c r="D424" s="1115"/>
      <c r="E424" s="1115"/>
      <c r="F424" s="1115"/>
      <c r="G424" s="1115"/>
      <c r="H424" s="1115"/>
      <c r="I424" s="1115"/>
      <c r="J424" s="1115"/>
      <c r="K424" s="1115"/>
      <c r="L424" s="1115"/>
      <c r="M424" s="1115"/>
    </row>
    <row r="425" spans="1:13" x14ac:dyDescent="0.2">
      <c r="A425" s="1115"/>
      <c r="B425" s="1115"/>
      <c r="C425" s="1115"/>
      <c r="D425" s="1115"/>
      <c r="E425" s="1115"/>
      <c r="F425" s="1115"/>
      <c r="G425" s="1115"/>
      <c r="H425" s="1115"/>
      <c r="I425" s="1115"/>
      <c r="J425" s="1115"/>
      <c r="K425" s="1115"/>
      <c r="L425" s="1115"/>
      <c r="M425" s="1115"/>
    </row>
    <row r="426" spans="1:13" x14ac:dyDescent="0.2">
      <c r="A426" s="1115"/>
      <c r="B426" s="1115"/>
      <c r="C426" s="1115"/>
      <c r="D426" s="1115"/>
      <c r="E426" s="1115"/>
      <c r="F426" s="1115"/>
      <c r="G426" s="1115"/>
      <c r="H426" s="1115"/>
      <c r="I426" s="1115"/>
      <c r="J426" s="1115"/>
      <c r="K426" s="1115"/>
      <c r="L426" s="1115"/>
      <c r="M426" s="1115"/>
    </row>
    <row r="427" spans="1:13" x14ac:dyDescent="0.2">
      <c r="A427" s="1115"/>
      <c r="B427" s="1115"/>
      <c r="C427" s="1115"/>
      <c r="D427" s="1115"/>
      <c r="E427" s="1115"/>
      <c r="F427" s="1115"/>
      <c r="G427" s="1115"/>
      <c r="H427" s="1115"/>
      <c r="I427" s="1115"/>
      <c r="J427" s="1115"/>
      <c r="K427" s="1115"/>
      <c r="L427" s="1115"/>
      <c r="M427" s="1115"/>
    </row>
    <row r="428" spans="1:13" x14ac:dyDescent="0.2">
      <c r="A428" s="1115"/>
      <c r="B428" s="1115"/>
      <c r="C428" s="1115"/>
      <c r="D428" s="1115"/>
      <c r="E428" s="1115"/>
      <c r="F428" s="1115"/>
      <c r="G428" s="1115"/>
      <c r="H428" s="1115"/>
      <c r="I428" s="1115"/>
      <c r="J428" s="1115"/>
      <c r="K428" s="1115"/>
      <c r="L428" s="1115"/>
      <c r="M428" s="1115"/>
    </row>
    <row r="429" spans="1:13" x14ac:dyDescent="0.2">
      <c r="A429" s="1115"/>
      <c r="B429" s="1115"/>
      <c r="C429" s="1115"/>
      <c r="D429" s="1115"/>
      <c r="E429" s="1115"/>
      <c r="F429" s="1115"/>
      <c r="G429" s="1115"/>
      <c r="H429" s="1115"/>
      <c r="I429" s="1115"/>
      <c r="J429" s="1115"/>
      <c r="K429" s="1115"/>
      <c r="L429" s="1115"/>
      <c r="M429" s="1115"/>
    </row>
    <row r="430" spans="1:13" x14ac:dyDescent="0.2">
      <c r="A430" s="1115"/>
      <c r="B430" s="1115"/>
      <c r="C430" s="1115"/>
      <c r="D430" s="1115"/>
      <c r="E430" s="1115"/>
      <c r="F430" s="1115"/>
      <c r="G430" s="1115"/>
      <c r="H430" s="1115"/>
      <c r="I430" s="1115"/>
      <c r="J430" s="1115"/>
      <c r="K430" s="1115"/>
      <c r="L430" s="1115"/>
      <c r="M430" s="1115"/>
    </row>
    <row r="431" spans="1:13" x14ac:dyDescent="0.2">
      <c r="A431" s="1115"/>
      <c r="B431" s="1115"/>
      <c r="C431" s="1115"/>
      <c r="D431" s="1115"/>
      <c r="E431" s="1115"/>
      <c r="F431" s="1115"/>
      <c r="G431" s="1115"/>
      <c r="H431" s="1115"/>
      <c r="I431" s="1115"/>
      <c r="J431" s="1115"/>
      <c r="K431" s="1115"/>
      <c r="L431" s="1115"/>
      <c r="M431" s="1115"/>
    </row>
    <row r="432" spans="1:13" x14ac:dyDescent="0.2">
      <c r="A432" s="1115"/>
      <c r="B432" s="1115"/>
      <c r="C432" s="1115"/>
      <c r="D432" s="1115"/>
      <c r="E432" s="1115"/>
      <c r="F432" s="1115"/>
      <c r="G432" s="1115"/>
      <c r="H432" s="1115"/>
      <c r="I432" s="1115"/>
      <c r="J432" s="1115"/>
      <c r="K432" s="1115"/>
      <c r="L432" s="1115"/>
      <c r="M432" s="1115"/>
    </row>
    <row r="433" spans="1:13" x14ac:dyDescent="0.2">
      <c r="A433" s="1115"/>
      <c r="B433" s="1115"/>
      <c r="C433" s="1115"/>
      <c r="D433" s="1115"/>
      <c r="E433" s="1115"/>
      <c r="F433" s="1115"/>
      <c r="G433" s="1115"/>
      <c r="H433" s="1115"/>
      <c r="I433" s="1115"/>
      <c r="J433" s="1115"/>
      <c r="K433" s="1115"/>
      <c r="L433" s="1115"/>
      <c r="M433" s="1115"/>
    </row>
    <row r="434" spans="1:13" x14ac:dyDescent="0.2">
      <c r="A434" s="1115"/>
      <c r="B434" s="1115"/>
      <c r="C434" s="1115"/>
      <c r="D434" s="1115"/>
      <c r="E434" s="1115"/>
      <c r="F434" s="1115"/>
      <c r="G434" s="1115"/>
      <c r="H434" s="1115"/>
      <c r="I434" s="1115"/>
      <c r="J434" s="1115"/>
      <c r="K434" s="1115"/>
      <c r="L434" s="1115"/>
      <c r="M434" s="1115"/>
    </row>
    <row r="435" spans="1:13" x14ac:dyDescent="0.2">
      <c r="A435" s="1115"/>
      <c r="B435" s="1115"/>
      <c r="C435" s="1115"/>
      <c r="D435" s="1115"/>
      <c r="E435" s="1115"/>
      <c r="F435" s="1115"/>
      <c r="G435" s="1115"/>
      <c r="H435" s="1115"/>
      <c r="I435" s="1115"/>
      <c r="J435" s="1115"/>
      <c r="K435" s="1115"/>
      <c r="L435" s="1115"/>
      <c r="M435" s="1115"/>
    </row>
    <row r="436" spans="1:13" x14ac:dyDescent="0.2">
      <c r="A436" s="1115"/>
      <c r="B436" s="1115"/>
      <c r="C436" s="1115"/>
      <c r="D436" s="1115"/>
      <c r="E436" s="1115"/>
      <c r="F436" s="1115"/>
      <c r="G436" s="1115"/>
      <c r="H436" s="1115"/>
      <c r="I436" s="1115"/>
      <c r="J436" s="1115"/>
      <c r="K436" s="1115"/>
      <c r="L436" s="1115"/>
      <c r="M436" s="1115"/>
    </row>
    <row r="437" spans="1:13" x14ac:dyDescent="0.2">
      <c r="A437" s="1115"/>
      <c r="B437" s="1115"/>
      <c r="C437" s="1115"/>
      <c r="D437" s="1115"/>
      <c r="E437" s="1115"/>
      <c r="F437" s="1115"/>
      <c r="G437" s="1115"/>
      <c r="H437" s="1115"/>
      <c r="I437" s="1115"/>
      <c r="J437" s="1115"/>
      <c r="K437" s="1115"/>
      <c r="L437" s="1115"/>
      <c r="M437" s="1115"/>
    </row>
    <row r="438" spans="1:13" x14ac:dyDescent="0.2">
      <c r="A438" s="1115"/>
      <c r="B438" s="1115"/>
      <c r="C438" s="1115"/>
      <c r="D438" s="1115"/>
      <c r="E438" s="1115"/>
      <c r="F438" s="1115"/>
      <c r="G438" s="1115"/>
      <c r="H438" s="1115"/>
      <c r="I438" s="1115"/>
      <c r="J438" s="1115"/>
      <c r="K438" s="1115"/>
      <c r="L438" s="1115"/>
      <c r="M438" s="1115"/>
    </row>
    <row r="439" spans="1:13" x14ac:dyDescent="0.2">
      <c r="A439" s="1115"/>
      <c r="B439" s="1115"/>
      <c r="C439" s="1115"/>
      <c r="D439" s="1115"/>
      <c r="E439" s="1115"/>
      <c r="F439" s="1115"/>
      <c r="G439" s="1115"/>
      <c r="H439" s="1115"/>
      <c r="I439" s="1115"/>
      <c r="J439" s="1115"/>
      <c r="K439" s="1115"/>
      <c r="L439" s="1115"/>
      <c r="M439" s="1115"/>
    </row>
    <row r="440" spans="1:13" x14ac:dyDescent="0.2">
      <c r="A440" s="1115"/>
      <c r="B440" s="1115"/>
      <c r="C440" s="1115"/>
      <c r="D440" s="1115"/>
      <c r="E440" s="1115"/>
      <c r="F440" s="1115"/>
      <c r="G440" s="1115"/>
      <c r="H440" s="1115"/>
      <c r="I440" s="1115"/>
      <c r="J440" s="1115"/>
      <c r="K440" s="1115"/>
      <c r="L440" s="1115"/>
      <c r="M440" s="1115"/>
    </row>
    <row r="441" spans="1:13" x14ac:dyDescent="0.2">
      <c r="A441" s="1115"/>
      <c r="B441" s="1115"/>
      <c r="C441" s="1115"/>
      <c r="D441" s="1115"/>
      <c r="E441" s="1115"/>
      <c r="F441" s="1115"/>
      <c r="G441" s="1115"/>
      <c r="H441" s="1115"/>
      <c r="I441" s="1115"/>
      <c r="J441" s="1115"/>
      <c r="K441" s="1115"/>
      <c r="L441" s="1115"/>
      <c r="M441" s="1115"/>
    </row>
    <row r="442" spans="1:13" x14ac:dyDescent="0.2">
      <c r="A442" s="1115"/>
      <c r="B442" s="1115"/>
      <c r="C442" s="1115"/>
      <c r="D442" s="1115"/>
      <c r="E442" s="1115"/>
      <c r="F442" s="1115"/>
      <c r="G442" s="1115"/>
      <c r="H442" s="1115"/>
      <c r="I442" s="1115"/>
      <c r="J442" s="1115"/>
      <c r="K442" s="1115"/>
      <c r="L442" s="1115"/>
      <c r="M442" s="1115"/>
    </row>
    <row r="443" spans="1:13" x14ac:dyDescent="0.2">
      <c r="A443" s="1115"/>
      <c r="B443" s="1115"/>
      <c r="C443" s="1115"/>
      <c r="D443" s="1115"/>
      <c r="E443" s="1115"/>
      <c r="F443" s="1115"/>
      <c r="G443" s="1115"/>
      <c r="H443" s="1115"/>
      <c r="I443" s="1115"/>
      <c r="J443" s="1115"/>
      <c r="K443" s="1115"/>
      <c r="L443" s="1115"/>
      <c r="M443" s="1115"/>
    </row>
    <row r="444" spans="1:13" x14ac:dyDescent="0.2">
      <c r="A444" s="1115"/>
      <c r="B444" s="1115"/>
      <c r="C444" s="1115"/>
      <c r="D444" s="1115"/>
      <c r="E444" s="1115"/>
      <c r="F444" s="1115"/>
      <c r="G444" s="1115"/>
      <c r="H444" s="1115"/>
      <c r="I444" s="1115"/>
      <c r="J444" s="1115"/>
      <c r="K444" s="1115"/>
      <c r="L444" s="1115"/>
      <c r="M444" s="1115"/>
    </row>
    <row r="445" spans="1:13" x14ac:dyDescent="0.2">
      <c r="A445" s="1115"/>
      <c r="B445" s="1115"/>
      <c r="C445" s="1115"/>
      <c r="D445" s="1115"/>
      <c r="E445" s="1115"/>
      <c r="F445" s="1115"/>
      <c r="G445" s="1115"/>
      <c r="H445" s="1115"/>
      <c r="I445" s="1115"/>
      <c r="J445" s="1115"/>
      <c r="K445" s="1115"/>
      <c r="L445" s="1115"/>
      <c r="M445" s="1115"/>
    </row>
    <row r="446" spans="1:13" x14ac:dyDescent="0.2">
      <c r="A446" s="1115"/>
      <c r="B446" s="1115"/>
      <c r="C446" s="1115"/>
      <c r="D446" s="1115"/>
      <c r="E446" s="1115"/>
      <c r="F446" s="1115"/>
      <c r="G446" s="1115"/>
      <c r="H446" s="1115"/>
      <c r="I446" s="1115"/>
      <c r="J446" s="1115"/>
      <c r="K446" s="1115"/>
      <c r="L446" s="1115"/>
      <c r="M446" s="1115"/>
    </row>
    <row r="447" spans="1:13" x14ac:dyDescent="0.2">
      <c r="A447" s="1115"/>
      <c r="B447" s="1115"/>
      <c r="C447" s="1115"/>
      <c r="D447" s="1115"/>
      <c r="E447" s="1115"/>
      <c r="F447" s="1115"/>
      <c r="G447" s="1115"/>
      <c r="H447" s="1115"/>
      <c r="I447" s="1115"/>
      <c r="J447" s="1115"/>
      <c r="K447" s="1115"/>
      <c r="L447" s="1115"/>
      <c r="M447" s="1115"/>
    </row>
    <row r="448" spans="1:13" x14ac:dyDescent="0.2">
      <c r="A448" s="1115"/>
      <c r="B448" s="1115"/>
      <c r="C448" s="1115"/>
      <c r="D448" s="1115"/>
      <c r="E448" s="1115"/>
      <c r="F448" s="1115"/>
      <c r="G448" s="1115"/>
      <c r="H448" s="1115"/>
      <c r="I448" s="1115"/>
      <c r="J448" s="1115"/>
      <c r="K448" s="1115"/>
      <c r="L448" s="1115"/>
      <c r="M448" s="1115"/>
    </row>
    <row r="449" spans="1:13" x14ac:dyDescent="0.2">
      <c r="A449" s="1115"/>
      <c r="B449" s="1115"/>
      <c r="C449" s="1115"/>
      <c r="D449" s="1115"/>
      <c r="E449" s="1115"/>
      <c r="F449" s="1115"/>
      <c r="G449" s="1115"/>
      <c r="H449" s="1115"/>
      <c r="I449" s="1115"/>
      <c r="J449" s="1115"/>
      <c r="K449" s="1115"/>
      <c r="L449" s="1115"/>
      <c r="M449" s="1115"/>
    </row>
    <row r="450" spans="1:13" x14ac:dyDescent="0.2">
      <c r="A450" s="1115"/>
      <c r="B450" s="1115"/>
      <c r="C450" s="1115"/>
      <c r="D450" s="1115"/>
      <c r="E450" s="1115"/>
      <c r="F450" s="1115"/>
      <c r="G450" s="1115"/>
      <c r="H450" s="1115"/>
      <c r="I450" s="1115"/>
      <c r="J450" s="1115"/>
      <c r="K450" s="1115"/>
      <c r="L450" s="1115"/>
      <c r="M450" s="1115"/>
    </row>
    <row r="451" spans="1:13" x14ac:dyDescent="0.2">
      <c r="A451" s="1115"/>
      <c r="B451" s="1115"/>
      <c r="C451" s="1115"/>
      <c r="D451" s="1115"/>
      <c r="E451" s="1115"/>
      <c r="F451" s="1115"/>
      <c r="G451" s="1115"/>
      <c r="H451" s="1115"/>
      <c r="I451" s="1115"/>
      <c r="J451" s="1115"/>
      <c r="K451" s="1115"/>
      <c r="L451" s="1115"/>
      <c r="M451" s="1115"/>
    </row>
    <row r="452" spans="1:13" x14ac:dyDescent="0.2">
      <c r="A452" s="1115"/>
      <c r="B452" s="1115"/>
      <c r="C452" s="1115"/>
      <c r="D452" s="1115"/>
      <c r="E452" s="1115"/>
      <c r="F452" s="1115"/>
      <c r="G452" s="1115"/>
      <c r="H452" s="1115"/>
      <c r="I452" s="1115"/>
      <c r="J452" s="1115"/>
      <c r="K452" s="1115"/>
      <c r="L452" s="1115"/>
      <c r="M452" s="1115"/>
    </row>
    <row r="453" spans="1:13" x14ac:dyDescent="0.2">
      <c r="A453" s="1115"/>
      <c r="B453" s="1115"/>
      <c r="C453" s="1115"/>
      <c r="D453" s="1115"/>
      <c r="E453" s="1115"/>
      <c r="F453" s="1115"/>
      <c r="G453" s="1115"/>
      <c r="H453" s="1115"/>
      <c r="I453" s="1115"/>
      <c r="J453" s="1115"/>
      <c r="K453" s="1115"/>
      <c r="L453" s="1115"/>
      <c r="M453" s="1115"/>
    </row>
    <row r="454" spans="1:13" x14ac:dyDescent="0.2">
      <c r="A454" s="1115"/>
      <c r="B454" s="1115"/>
      <c r="C454" s="1115"/>
      <c r="D454" s="1115"/>
      <c r="E454" s="1115"/>
      <c r="F454" s="1115"/>
      <c r="G454" s="1115"/>
      <c r="H454" s="1115"/>
      <c r="I454" s="1115"/>
      <c r="J454" s="1115"/>
      <c r="K454" s="1115"/>
      <c r="L454" s="1115"/>
      <c r="M454" s="1115"/>
    </row>
    <row r="455" spans="1:13" x14ac:dyDescent="0.2">
      <c r="A455" s="1115"/>
      <c r="B455" s="1115"/>
      <c r="C455" s="1115"/>
      <c r="D455" s="1115"/>
      <c r="E455" s="1115"/>
      <c r="F455" s="1115"/>
      <c r="G455" s="1115"/>
      <c r="H455" s="1115"/>
      <c r="I455" s="1115"/>
      <c r="J455" s="1115"/>
      <c r="K455" s="1115"/>
      <c r="L455" s="1115"/>
      <c r="M455" s="1115"/>
    </row>
    <row r="456" spans="1:13" x14ac:dyDescent="0.2">
      <c r="A456" s="1115"/>
      <c r="B456" s="1115"/>
      <c r="C456" s="1115"/>
      <c r="D456" s="1115"/>
      <c r="E456" s="1115"/>
      <c r="F456" s="1115"/>
      <c r="G456" s="1115"/>
      <c r="H456" s="1115"/>
      <c r="I456" s="1115"/>
      <c r="J456" s="1115"/>
      <c r="K456" s="1115"/>
      <c r="L456" s="1115"/>
      <c r="M456" s="1115"/>
    </row>
    <row r="457" spans="1:13" x14ac:dyDescent="0.2">
      <c r="A457" s="1115"/>
      <c r="B457" s="1115"/>
      <c r="C457" s="1115"/>
      <c r="D457" s="1115"/>
      <c r="E457" s="1115"/>
      <c r="F457" s="1115"/>
      <c r="G457" s="1115"/>
      <c r="H457" s="1115"/>
      <c r="I457" s="1115"/>
      <c r="J457" s="1115"/>
      <c r="K457" s="1115"/>
      <c r="L457" s="1115"/>
      <c r="M457" s="1115"/>
    </row>
    <row r="458" spans="1:13" x14ac:dyDescent="0.2">
      <c r="A458" s="1115"/>
      <c r="B458" s="1115"/>
      <c r="C458" s="1115"/>
      <c r="D458" s="1115"/>
      <c r="E458" s="1115"/>
      <c r="F458" s="1115"/>
      <c r="G458" s="1115"/>
      <c r="H458" s="1115"/>
      <c r="I458" s="1115"/>
      <c r="J458" s="1115"/>
      <c r="K458" s="1115"/>
      <c r="L458" s="1115"/>
      <c r="M458" s="1115"/>
    </row>
    <row r="459" spans="1:13" x14ac:dyDescent="0.2">
      <c r="A459" s="1115"/>
      <c r="B459" s="1115"/>
      <c r="C459" s="1115"/>
      <c r="D459" s="1115"/>
      <c r="E459" s="1115"/>
      <c r="F459" s="1115"/>
      <c r="G459" s="1115"/>
      <c r="H459" s="1115"/>
      <c r="I459" s="1115"/>
      <c r="J459" s="1115"/>
      <c r="K459" s="1115"/>
      <c r="L459" s="1115"/>
      <c r="M459" s="1115"/>
    </row>
    <row r="460" spans="1:13" x14ac:dyDescent="0.2">
      <c r="A460" s="1115"/>
      <c r="B460" s="1115"/>
      <c r="C460" s="1115"/>
      <c r="D460" s="1115"/>
      <c r="E460" s="1115"/>
      <c r="F460" s="1115"/>
      <c r="G460" s="1115"/>
      <c r="H460" s="1115"/>
      <c r="I460" s="1115"/>
      <c r="J460" s="1115"/>
      <c r="K460" s="1115"/>
      <c r="L460" s="1115"/>
      <c r="M460" s="1115"/>
    </row>
    <row r="461" spans="1:13" x14ac:dyDescent="0.2">
      <c r="A461" s="1115"/>
      <c r="B461" s="1115"/>
      <c r="C461" s="1115"/>
      <c r="D461" s="1115"/>
      <c r="E461" s="1115"/>
      <c r="F461" s="1115"/>
      <c r="G461" s="1115"/>
      <c r="H461" s="1115"/>
      <c r="I461" s="1115"/>
      <c r="J461" s="1115"/>
      <c r="K461" s="1115"/>
      <c r="L461" s="1115"/>
      <c r="M461" s="1115"/>
    </row>
    <row r="462" spans="1:13" x14ac:dyDescent="0.2">
      <c r="A462" s="1115"/>
      <c r="B462" s="1115"/>
      <c r="C462" s="1115"/>
      <c r="D462" s="1115"/>
      <c r="E462" s="1115"/>
      <c r="F462" s="1115"/>
      <c r="G462" s="1115"/>
      <c r="H462" s="1115"/>
      <c r="I462" s="1115"/>
      <c r="J462" s="1115"/>
      <c r="K462" s="1115"/>
      <c r="L462" s="1115"/>
      <c r="M462" s="1115"/>
    </row>
    <row r="463" spans="1:13" x14ac:dyDescent="0.2">
      <c r="A463" s="1115"/>
      <c r="B463" s="1115"/>
      <c r="C463" s="1115"/>
      <c r="D463" s="1115"/>
      <c r="E463" s="1115"/>
      <c r="F463" s="1115"/>
      <c r="G463" s="1115"/>
      <c r="H463" s="1115"/>
      <c r="I463" s="1115"/>
      <c r="J463" s="1115"/>
      <c r="K463" s="1115"/>
      <c r="L463" s="1115"/>
      <c r="M463" s="1115"/>
    </row>
    <row r="464" spans="1:13" x14ac:dyDescent="0.2">
      <c r="A464" s="1115"/>
      <c r="B464" s="1115"/>
      <c r="C464" s="1115"/>
      <c r="D464" s="1115"/>
      <c r="E464" s="1115"/>
      <c r="F464" s="1115"/>
      <c r="G464" s="1115"/>
      <c r="H464" s="1115"/>
      <c r="I464" s="1115"/>
      <c r="J464" s="1115"/>
      <c r="K464" s="1115"/>
      <c r="L464" s="1115"/>
      <c r="M464" s="1115"/>
    </row>
    <row r="465" spans="1:13" x14ac:dyDescent="0.2">
      <c r="A465" s="1115"/>
      <c r="B465" s="1115"/>
      <c r="C465" s="1115"/>
      <c r="D465" s="1115"/>
      <c r="E465" s="1115"/>
      <c r="F465" s="1115"/>
      <c r="G465" s="1115"/>
      <c r="H465" s="1115"/>
      <c r="I465" s="1115"/>
      <c r="J465" s="1115"/>
      <c r="K465" s="1115"/>
      <c r="L465" s="1115"/>
      <c r="M465" s="1115"/>
    </row>
    <row r="466" spans="1:13" x14ac:dyDescent="0.2">
      <c r="A466" s="1115"/>
      <c r="B466" s="1115"/>
      <c r="C466" s="1115"/>
      <c r="D466" s="1115"/>
      <c r="E466" s="1115"/>
      <c r="F466" s="1115"/>
      <c r="G466" s="1115"/>
      <c r="H466" s="1115"/>
      <c r="I466" s="1115"/>
      <c r="J466" s="1115"/>
      <c r="K466" s="1115"/>
      <c r="L466" s="1115"/>
      <c r="M466" s="1115"/>
    </row>
    <row r="467" spans="1:13" x14ac:dyDescent="0.2">
      <c r="A467" s="1115"/>
      <c r="B467" s="1115"/>
      <c r="C467" s="1115"/>
      <c r="D467" s="1115"/>
      <c r="E467" s="1115"/>
      <c r="F467" s="1115"/>
      <c r="G467" s="1115"/>
      <c r="H467" s="1115"/>
      <c r="I467" s="1115"/>
      <c r="J467" s="1115"/>
      <c r="K467" s="1115"/>
      <c r="L467" s="1115"/>
      <c r="M467" s="1115"/>
    </row>
    <row r="468" spans="1:13" x14ac:dyDescent="0.2">
      <c r="A468" s="1115"/>
      <c r="B468" s="1115"/>
      <c r="C468" s="1115"/>
      <c r="D468" s="1115"/>
      <c r="E468" s="1115"/>
      <c r="F468" s="1115"/>
      <c r="G468" s="1115"/>
      <c r="H468" s="1115"/>
      <c r="I468" s="1115"/>
      <c r="J468" s="1115"/>
      <c r="K468" s="1115"/>
      <c r="L468" s="1115"/>
      <c r="M468" s="1115"/>
    </row>
    <row r="469" spans="1:13" x14ac:dyDescent="0.2">
      <c r="A469" s="1115"/>
      <c r="B469" s="1115"/>
      <c r="C469" s="1115"/>
      <c r="D469" s="1115"/>
      <c r="E469" s="1115"/>
      <c r="F469" s="1115"/>
      <c r="G469" s="1115"/>
      <c r="H469" s="1115"/>
      <c r="I469" s="1115"/>
      <c r="J469" s="1115"/>
      <c r="K469" s="1115"/>
      <c r="L469" s="1115"/>
      <c r="M469" s="1115"/>
    </row>
    <row r="470" spans="1:13" x14ac:dyDescent="0.2">
      <c r="A470" s="1115"/>
      <c r="B470" s="1115"/>
      <c r="C470" s="1115"/>
      <c r="D470" s="1115"/>
      <c r="E470" s="1115"/>
      <c r="F470" s="1115"/>
      <c r="G470" s="1115"/>
      <c r="H470" s="1115"/>
      <c r="I470" s="1115"/>
      <c r="J470" s="1115"/>
      <c r="K470" s="1115"/>
      <c r="L470" s="1115"/>
      <c r="M470" s="1115"/>
    </row>
    <row r="471" spans="1:13" x14ac:dyDescent="0.2">
      <c r="A471" s="1115"/>
      <c r="B471" s="1115"/>
      <c r="C471" s="1115"/>
      <c r="D471" s="1115"/>
      <c r="E471" s="1115"/>
      <c r="F471" s="1115"/>
      <c r="G471" s="1115"/>
      <c r="H471" s="1115"/>
      <c r="I471" s="1115"/>
      <c r="J471" s="1115"/>
      <c r="K471" s="1115"/>
      <c r="L471" s="1115"/>
      <c r="M471" s="1115"/>
    </row>
    <row r="472" spans="1:13" x14ac:dyDescent="0.2">
      <c r="A472" s="1115"/>
      <c r="B472" s="1115"/>
      <c r="C472" s="1115"/>
      <c r="D472" s="1115"/>
      <c r="E472" s="1115"/>
      <c r="F472" s="1115"/>
      <c r="G472" s="1115"/>
      <c r="H472" s="1115"/>
      <c r="I472" s="1115"/>
      <c r="J472" s="1115"/>
      <c r="K472" s="1115"/>
      <c r="L472" s="1115"/>
      <c r="M472" s="1115"/>
    </row>
    <row r="473" spans="1:13" x14ac:dyDescent="0.2">
      <c r="A473" s="1115"/>
      <c r="B473" s="1115"/>
      <c r="C473" s="1115"/>
      <c r="D473" s="1115"/>
      <c r="E473" s="1115"/>
      <c r="F473" s="1115"/>
      <c r="G473" s="1115"/>
      <c r="H473" s="1115"/>
      <c r="I473" s="1115"/>
      <c r="J473" s="1115"/>
      <c r="K473" s="1115"/>
      <c r="L473" s="1115"/>
      <c r="M473" s="1115"/>
    </row>
    <row r="474" spans="1:13" x14ac:dyDescent="0.2">
      <c r="A474" s="1115"/>
      <c r="B474" s="1115"/>
      <c r="C474" s="1115"/>
      <c r="D474" s="1115"/>
      <c r="E474" s="1115"/>
      <c r="F474" s="1115"/>
      <c r="G474" s="1115"/>
      <c r="H474" s="1115"/>
      <c r="I474" s="1115"/>
      <c r="J474" s="1115"/>
      <c r="K474" s="1115"/>
      <c r="L474" s="1115"/>
      <c r="M474" s="1115"/>
    </row>
    <row r="475" spans="1:13" x14ac:dyDescent="0.2">
      <c r="A475" s="1115"/>
      <c r="B475" s="1115"/>
      <c r="C475" s="1115"/>
      <c r="D475" s="1115"/>
      <c r="E475" s="1115"/>
      <c r="F475" s="1115"/>
      <c r="G475" s="1115"/>
      <c r="H475" s="1115"/>
      <c r="I475" s="1115"/>
      <c r="J475" s="1115"/>
      <c r="K475" s="1115"/>
      <c r="L475" s="1115"/>
      <c r="M475" s="1115"/>
    </row>
    <row r="476" spans="1:13" x14ac:dyDescent="0.2">
      <c r="A476" s="1115"/>
      <c r="B476" s="1115"/>
      <c r="C476" s="1115"/>
      <c r="D476" s="1115"/>
      <c r="E476" s="1115"/>
      <c r="F476" s="1115"/>
      <c r="G476" s="1115"/>
      <c r="H476" s="1115"/>
      <c r="I476" s="1115"/>
      <c r="J476" s="1115"/>
      <c r="K476" s="1115"/>
      <c r="L476" s="1115"/>
      <c r="M476" s="1115"/>
    </row>
    <row r="477" spans="1:13" x14ac:dyDescent="0.2">
      <c r="A477" s="1115"/>
      <c r="B477" s="1115"/>
      <c r="C477" s="1115"/>
      <c r="D477" s="1115"/>
      <c r="E477" s="1115"/>
      <c r="F477" s="1115"/>
      <c r="G477" s="1115"/>
      <c r="H477" s="1115"/>
      <c r="I477" s="1115"/>
      <c r="J477" s="1115"/>
      <c r="K477" s="1115"/>
      <c r="L477" s="1115"/>
      <c r="M477" s="1115"/>
    </row>
    <row r="478" spans="1:13" x14ac:dyDescent="0.2">
      <c r="A478" s="1115"/>
      <c r="B478" s="1115"/>
      <c r="C478" s="1115"/>
      <c r="D478" s="1115"/>
      <c r="E478" s="1115"/>
      <c r="F478" s="1115"/>
      <c r="G478" s="1115"/>
      <c r="H478" s="1115"/>
      <c r="I478" s="1115"/>
      <c r="J478" s="1115"/>
      <c r="K478" s="1115"/>
      <c r="L478" s="1115"/>
      <c r="M478" s="1115"/>
    </row>
    <row r="479" spans="1:13" x14ac:dyDescent="0.2">
      <c r="A479" s="1115"/>
      <c r="B479" s="1115"/>
      <c r="C479" s="1115"/>
      <c r="D479" s="1115"/>
      <c r="E479" s="1115"/>
      <c r="F479" s="1115"/>
      <c r="G479" s="1115"/>
      <c r="H479" s="1115"/>
      <c r="I479" s="1115"/>
      <c r="J479" s="1115"/>
      <c r="K479" s="1115"/>
      <c r="L479" s="1115"/>
      <c r="M479" s="1115"/>
    </row>
    <row r="480" spans="1:13" x14ac:dyDescent="0.2">
      <c r="A480" s="1115"/>
      <c r="B480" s="1115"/>
      <c r="C480" s="1115"/>
      <c r="D480" s="1115"/>
      <c r="E480" s="1115"/>
      <c r="F480" s="1115"/>
      <c r="G480" s="1115"/>
      <c r="H480" s="1115"/>
      <c r="I480" s="1115"/>
      <c r="J480" s="1115"/>
      <c r="K480" s="1115"/>
      <c r="L480" s="1115"/>
      <c r="M480" s="1115"/>
    </row>
    <row r="481" spans="1:13" x14ac:dyDescent="0.2">
      <c r="A481" s="1115"/>
      <c r="B481" s="1115"/>
      <c r="C481" s="1115"/>
      <c r="D481" s="1115"/>
      <c r="E481" s="1115"/>
      <c r="F481" s="1115"/>
      <c r="G481" s="1115"/>
      <c r="H481" s="1115"/>
      <c r="I481" s="1115"/>
      <c r="J481" s="1115"/>
      <c r="K481" s="1115"/>
      <c r="L481" s="1115"/>
      <c r="M481" s="1115"/>
    </row>
    <row r="482" spans="1:13" x14ac:dyDescent="0.2">
      <c r="A482" s="1115"/>
      <c r="B482" s="1115"/>
      <c r="C482" s="1115"/>
      <c r="D482" s="1115"/>
      <c r="E482" s="1115"/>
      <c r="F482" s="1115"/>
      <c r="G482" s="1115"/>
      <c r="H482" s="1115"/>
      <c r="I482" s="1115"/>
      <c r="J482" s="1115"/>
      <c r="K482" s="1115"/>
      <c r="L482" s="1115"/>
      <c r="M482" s="1115"/>
    </row>
    <row r="483" spans="1:13" x14ac:dyDescent="0.2">
      <c r="A483" s="1115"/>
      <c r="B483" s="1115"/>
      <c r="C483" s="1115"/>
      <c r="D483" s="1115"/>
      <c r="E483" s="1115"/>
      <c r="F483" s="1115"/>
      <c r="G483" s="1115"/>
      <c r="H483" s="1115"/>
      <c r="I483" s="1115"/>
      <c r="J483" s="1115"/>
      <c r="K483" s="1115"/>
      <c r="L483" s="1115"/>
      <c r="M483" s="1115"/>
    </row>
    <row r="484" spans="1:13" x14ac:dyDescent="0.2">
      <c r="A484" s="1115"/>
      <c r="B484" s="1115"/>
      <c r="C484" s="1115"/>
      <c r="D484" s="1115"/>
      <c r="E484" s="1115"/>
      <c r="F484" s="1115"/>
      <c r="G484" s="1115"/>
      <c r="H484" s="1115"/>
      <c r="I484" s="1115"/>
      <c r="J484" s="1115"/>
      <c r="K484" s="1115"/>
      <c r="L484" s="1115"/>
      <c r="M484" s="1115"/>
    </row>
    <row r="485" spans="1:13" x14ac:dyDescent="0.2">
      <c r="A485" s="1115"/>
      <c r="B485" s="1115"/>
      <c r="C485" s="1115"/>
      <c r="D485" s="1115"/>
      <c r="E485" s="1115"/>
      <c r="F485" s="1115"/>
      <c r="G485" s="1115"/>
      <c r="H485" s="1115"/>
      <c r="I485" s="1115"/>
      <c r="J485" s="1115"/>
      <c r="K485" s="1115"/>
      <c r="L485" s="1115"/>
      <c r="M485" s="1115"/>
    </row>
    <row r="486" spans="1:13" x14ac:dyDescent="0.2">
      <c r="A486" s="1115"/>
      <c r="B486" s="1115"/>
      <c r="C486" s="1115"/>
      <c r="D486" s="1115"/>
      <c r="E486" s="1115"/>
      <c r="F486" s="1115"/>
      <c r="G486" s="1115"/>
      <c r="H486" s="1115"/>
      <c r="I486" s="1115"/>
      <c r="J486" s="1115"/>
      <c r="K486" s="1115"/>
      <c r="L486" s="1115"/>
      <c r="M486" s="1115"/>
    </row>
    <row r="487" spans="1:13" x14ac:dyDescent="0.2">
      <c r="A487" s="1115"/>
      <c r="B487" s="1115"/>
      <c r="C487" s="1115"/>
      <c r="D487" s="1115"/>
      <c r="E487" s="1115"/>
      <c r="F487" s="1115"/>
      <c r="G487" s="1115"/>
      <c r="H487" s="1115"/>
      <c r="I487" s="1115"/>
      <c r="J487" s="1115"/>
      <c r="K487" s="1115"/>
      <c r="L487" s="1115"/>
      <c r="M487" s="1115"/>
    </row>
    <row r="488" spans="1:13" x14ac:dyDescent="0.2">
      <c r="A488" s="1115"/>
      <c r="B488" s="1115"/>
      <c r="C488" s="1115"/>
      <c r="D488" s="1115"/>
      <c r="E488" s="1115"/>
      <c r="F488" s="1115"/>
      <c r="G488" s="1115"/>
      <c r="H488" s="1115"/>
      <c r="I488" s="1115"/>
      <c r="J488" s="1115"/>
      <c r="K488" s="1115"/>
      <c r="L488" s="1115"/>
      <c r="M488" s="1115"/>
    </row>
    <row r="489" spans="1:13" x14ac:dyDescent="0.2">
      <c r="A489" s="1115"/>
      <c r="B489" s="1115"/>
      <c r="C489" s="1115"/>
      <c r="D489" s="1115"/>
      <c r="E489" s="1115"/>
      <c r="F489" s="1115"/>
      <c r="G489" s="1115"/>
      <c r="H489" s="1115"/>
      <c r="I489" s="1115"/>
      <c r="J489" s="1115"/>
      <c r="K489" s="1115"/>
      <c r="L489" s="1115"/>
      <c r="M489" s="1115"/>
    </row>
    <row r="490" spans="1:13" x14ac:dyDescent="0.2">
      <c r="A490" s="1115"/>
      <c r="B490" s="1115"/>
      <c r="C490" s="1115"/>
      <c r="D490" s="1115"/>
      <c r="E490" s="1115"/>
      <c r="F490" s="1115"/>
      <c r="G490" s="1115"/>
      <c r="H490" s="1115"/>
      <c r="I490" s="1115"/>
      <c r="J490" s="1115"/>
      <c r="K490" s="1115"/>
      <c r="L490" s="1115"/>
      <c r="M490" s="1115"/>
    </row>
    <row r="491" spans="1:13" x14ac:dyDescent="0.2">
      <c r="A491" s="1115"/>
      <c r="B491" s="1115"/>
      <c r="C491" s="1115"/>
      <c r="D491" s="1115"/>
      <c r="E491" s="1115"/>
      <c r="F491" s="1115"/>
      <c r="G491" s="1115"/>
      <c r="H491" s="1115"/>
      <c r="I491" s="1115"/>
      <c r="J491" s="1115"/>
      <c r="K491" s="1115"/>
      <c r="L491" s="1115"/>
      <c r="M491" s="1115"/>
    </row>
    <row r="492" spans="1:13" x14ac:dyDescent="0.2">
      <c r="A492" s="1115"/>
      <c r="B492" s="1115"/>
      <c r="C492" s="1115"/>
      <c r="D492" s="1115"/>
      <c r="E492" s="1115"/>
      <c r="F492" s="1115"/>
      <c r="G492" s="1115"/>
      <c r="H492" s="1115"/>
      <c r="I492" s="1115"/>
      <c r="J492" s="1115"/>
      <c r="K492" s="1115"/>
      <c r="L492" s="1115"/>
      <c r="M492" s="1115"/>
    </row>
    <row r="493" spans="1:13" x14ac:dyDescent="0.2">
      <c r="A493" s="1115"/>
      <c r="B493" s="1115"/>
      <c r="C493" s="1115"/>
      <c r="D493" s="1115"/>
      <c r="E493" s="1115"/>
      <c r="F493" s="1115"/>
      <c r="G493" s="1115"/>
      <c r="H493" s="1115"/>
      <c r="I493" s="1115"/>
      <c r="J493" s="1115"/>
      <c r="K493" s="1115"/>
      <c r="L493" s="1115"/>
      <c r="M493" s="1115"/>
    </row>
    <row r="494" spans="1:13" x14ac:dyDescent="0.2">
      <c r="A494" s="1115"/>
      <c r="B494" s="1115"/>
      <c r="C494" s="1115"/>
      <c r="D494" s="1115"/>
      <c r="E494" s="1115"/>
      <c r="F494" s="1115"/>
      <c r="G494" s="1115"/>
      <c r="H494" s="1115"/>
      <c r="I494" s="1115"/>
      <c r="J494" s="1115"/>
      <c r="K494" s="1115"/>
      <c r="L494" s="1115"/>
      <c r="M494" s="1115"/>
    </row>
    <row r="495" spans="1:13" x14ac:dyDescent="0.2">
      <c r="A495" s="1115"/>
      <c r="B495" s="1115"/>
      <c r="C495" s="1115"/>
      <c r="D495" s="1115"/>
      <c r="E495" s="1115"/>
      <c r="F495" s="1115"/>
      <c r="G495" s="1115"/>
      <c r="H495" s="1115"/>
      <c r="I495" s="1115"/>
      <c r="J495" s="1115"/>
      <c r="K495" s="1115"/>
      <c r="L495" s="1115"/>
      <c r="M495" s="1115"/>
    </row>
    <row r="496" spans="1:13" x14ac:dyDescent="0.2">
      <c r="A496" s="1115"/>
      <c r="B496" s="1115"/>
      <c r="C496" s="1115"/>
      <c r="D496" s="1115"/>
      <c r="E496" s="1115"/>
      <c r="F496" s="1115"/>
      <c r="G496" s="1115"/>
      <c r="H496" s="1115"/>
      <c r="I496" s="1115"/>
      <c r="J496" s="1115"/>
      <c r="K496" s="1115"/>
      <c r="L496" s="1115"/>
      <c r="M496" s="1115"/>
    </row>
    <row r="497" spans="1:13" x14ac:dyDescent="0.2">
      <c r="A497" s="1115"/>
      <c r="B497" s="1115"/>
      <c r="C497" s="1115"/>
      <c r="D497" s="1115"/>
      <c r="E497" s="1115"/>
      <c r="F497" s="1115"/>
      <c r="G497" s="1115"/>
      <c r="H497" s="1115"/>
      <c r="I497" s="1115"/>
      <c r="J497" s="1115"/>
      <c r="K497" s="1115"/>
      <c r="L497" s="1115"/>
      <c r="M497" s="1115"/>
    </row>
    <row r="498" spans="1:13" x14ac:dyDescent="0.2">
      <c r="A498" s="1115"/>
      <c r="B498" s="1115"/>
      <c r="C498" s="1115"/>
      <c r="D498" s="1115"/>
      <c r="E498" s="1115"/>
      <c r="F498" s="1115"/>
      <c r="G498" s="1115"/>
      <c r="H498" s="1115"/>
      <c r="I498" s="1115"/>
      <c r="J498" s="1115"/>
      <c r="K498" s="1115"/>
      <c r="L498" s="1115"/>
      <c r="M498" s="1115"/>
    </row>
    <row r="499" spans="1:13" x14ac:dyDescent="0.2">
      <c r="A499" s="1115"/>
      <c r="B499" s="1115"/>
      <c r="C499" s="1115"/>
      <c r="D499" s="1115"/>
      <c r="E499" s="1115"/>
      <c r="F499" s="1115"/>
      <c r="G499" s="1115"/>
      <c r="H499" s="1115"/>
      <c r="I499" s="1115"/>
      <c r="J499" s="1115"/>
      <c r="K499" s="1115"/>
      <c r="L499" s="1115"/>
      <c r="M499" s="1115"/>
    </row>
    <row r="500" spans="1:13" x14ac:dyDescent="0.2">
      <c r="A500" s="1115"/>
      <c r="B500" s="1115"/>
      <c r="C500" s="1115"/>
      <c r="D500" s="1115"/>
      <c r="E500" s="1115"/>
      <c r="F500" s="1115"/>
      <c r="G500" s="1115"/>
      <c r="H500" s="1115"/>
      <c r="I500" s="1115"/>
      <c r="J500" s="1115"/>
      <c r="K500" s="1115"/>
      <c r="L500" s="1115"/>
      <c r="M500" s="1115"/>
    </row>
    <row r="501" spans="1:13" x14ac:dyDescent="0.2">
      <c r="A501" s="1115"/>
      <c r="B501" s="1115"/>
      <c r="C501" s="1115"/>
      <c r="D501" s="1115"/>
      <c r="E501" s="1115"/>
      <c r="F501" s="1115"/>
      <c r="G501" s="1115"/>
      <c r="H501" s="1115"/>
      <c r="I501" s="1115"/>
      <c r="J501" s="1115"/>
      <c r="K501" s="1115"/>
      <c r="L501" s="1115"/>
      <c r="M501" s="1115"/>
    </row>
    <row r="502" spans="1:13" x14ac:dyDescent="0.2">
      <c r="A502" s="1115"/>
      <c r="B502" s="1115"/>
      <c r="C502" s="1115"/>
      <c r="D502" s="1115"/>
      <c r="E502" s="1115"/>
      <c r="F502" s="1115"/>
      <c r="G502" s="1115"/>
      <c r="H502" s="1115"/>
      <c r="I502" s="1115"/>
      <c r="J502" s="1115"/>
      <c r="K502" s="1115"/>
      <c r="L502" s="1115"/>
      <c r="M502" s="1115"/>
    </row>
    <row r="503" spans="1:13" x14ac:dyDescent="0.2">
      <c r="A503" s="1115"/>
      <c r="B503" s="1115"/>
      <c r="C503" s="1115"/>
      <c r="D503" s="1115"/>
      <c r="E503" s="1115"/>
      <c r="F503" s="1115"/>
      <c r="G503" s="1115"/>
      <c r="H503" s="1115"/>
      <c r="I503" s="1115"/>
      <c r="J503" s="1115"/>
      <c r="K503" s="1115"/>
      <c r="L503" s="1115"/>
      <c r="M503" s="1115"/>
    </row>
    <row r="504" spans="1:13" x14ac:dyDescent="0.2">
      <c r="A504" s="1115"/>
      <c r="B504" s="1115"/>
      <c r="C504" s="1115"/>
      <c r="D504" s="1115"/>
      <c r="E504" s="1115"/>
      <c r="F504" s="1115"/>
      <c r="G504" s="1115"/>
      <c r="H504" s="1115"/>
      <c r="I504" s="1115"/>
      <c r="J504" s="1115"/>
      <c r="K504" s="1115"/>
      <c r="L504" s="1115"/>
      <c r="M504" s="1115"/>
    </row>
    <row r="505" spans="1:13" x14ac:dyDescent="0.2">
      <c r="A505" s="1115"/>
      <c r="B505" s="1115"/>
      <c r="C505" s="1115"/>
      <c r="D505" s="1115"/>
      <c r="E505" s="1115"/>
      <c r="F505" s="1115"/>
      <c r="G505" s="1115"/>
      <c r="H505" s="1115"/>
      <c r="I505" s="1115"/>
      <c r="J505" s="1115"/>
      <c r="K505" s="1115"/>
      <c r="L505" s="1115"/>
      <c r="M505" s="1115"/>
    </row>
    <row r="506" spans="1:13" x14ac:dyDescent="0.2">
      <c r="A506" s="1115"/>
      <c r="B506" s="1115"/>
      <c r="C506" s="1115"/>
      <c r="D506" s="1115"/>
      <c r="E506" s="1115"/>
      <c r="F506" s="1115"/>
      <c r="G506" s="1115"/>
      <c r="H506" s="1115"/>
      <c r="I506" s="1115"/>
      <c r="J506" s="1115"/>
      <c r="K506" s="1115"/>
      <c r="L506" s="1115"/>
      <c r="M506" s="1115"/>
    </row>
    <row r="507" spans="1:13" x14ac:dyDescent="0.2">
      <c r="A507" s="1115"/>
      <c r="B507" s="1115"/>
      <c r="C507" s="1115"/>
      <c r="D507" s="1115"/>
      <c r="E507" s="1115"/>
      <c r="F507" s="1115"/>
      <c r="G507" s="1115"/>
      <c r="H507" s="1115"/>
      <c r="I507" s="1115"/>
      <c r="J507" s="1115"/>
      <c r="K507" s="1115"/>
      <c r="L507" s="1115"/>
      <c r="M507" s="1115"/>
    </row>
    <row r="508" spans="1:13" x14ac:dyDescent="0.2">
      <c r="A508" s="1115"/>
      <c r="B508" s="1115"/>
      <c r="C508" s="1115"/>
      <c r="D508" s="1115"/>
      <c r="E508" s="1115"/>
      <c r="F508" s="1115"/>
      <c r="G508" s="1115"/>
      <c r="H508" s="1115"/>
      <c r="I508" s="1115"/>
      <c r="J508" s="1115"/>
      <c r="K508" s="1115"/>
      <c r="L508" s="1115"/>
      <c r="M508" s="1115"/>
    </row>
    <row r="509" spans="1:13" x14ac:dyDescent="0.2">
      <c r="A509" s="1115"/>
      <c r="B509" s="1115"/>
      <c r="C509" s="1115"/>
      <c r="D509" s="1115"/>
      <c r="E509" s="1115"/>
      <c r="F509" s="1115"/>
      <c r="G509" s="1115"/>
      <c r="H509" s="1115"/>
      <c r="I509" s="1115"/>
      <c r="J509" s="1115"/>
      <c r="K509" s="1115"/>
      <c r="L509" s="1115"/>
      <c r="M509" s="1115"/>
    </row>
    <row r="510" spans="1:13" x14ac:dyDescent="0.2">
      <c r="A510" s="1115"/>
      <c r="B510" s="1115"/>
      <c r="C510" s="1115"/>
      <c r="D510" s="1115"/>
      <c r="E510" s="1115"/>
      <c r="F510" s="1115"/>
      <c r="G510" s="1115"/>
      <c r="H510" s="1115"/>
      <c r="I510" s="1115"/>
      <c r="J510" s="1115"/>
      <c r="K510" s="1115"/>
      <c r="L510" s="1115"/>
      <c r="M510" s="1115"/>
    </row>
    <row r="511" spans="1:13" x14ac:dyDescent="0.2">
      <c r="A511" s="1115"/>
      <c r="B511" s="1115"/>
      <c r="C511" s="1115"/>
      <c r="D511" s="1115"/>
      <c r="E511" s="1115"/>
      <c r="F511" s="1115"/>
      <c r="G511" s="1115"/>
      <c r="H511" s="1115"/>
      <c r="I511" s="1115"/>
      <c r="J511" s="1115"/>
      <c r="K511" s="1115"/>
      <c r="L511" s="1115"/>
      <c r="M511" s="1115"/>
    </row>
    <row r="512" spans="1:13" x14ac:dyDescent="0.2">
      <c r="A512" s="1115"/>
      <c r="B512" s="1115"/>
      <c r="C512" s="1115"/>
      <c r="D512" s="1115"/>
      <c r="E512" s="1115"/>
      <c r="F512" s="1115"/>
      <c r="G512" s="1115"/>
      <c r="H512" s="1115"/>
      <c r="I512" s="1115"/>
      <c r="J512" s="1115"/>
      <c r="K512" s="1115"/>
      <c r="L512" s="1115"/>
      <c r="M512" s="1115"/>
    </row>
    <row r="513" spans="1:13" x14ac:dyDescent="0.2">
      <c r="A513" s="1115"/>
      <c r="B513" s="1115"/>
      <c r="C513" s="1115"/>
      <c r="D513" s="1115"/>
      <c r="E513" s="1115"/>
      <c r="F513" s="1115"/>
      <c r="G513" s="1115"/>
      <c r="H513" s="1115"/>
      <c r="I513" s="1115"/>
      <c r="J513" s="1115"/>
      <c r="K513" s="1115"/>
      <c r="L513" s="1115"/>
      <c r="M513" s="1115"/>
    </row>
    <row r="514" spans="1:13" x14ac:dyDescent="0.2">
      <c r="A514" s="1115"/>
      <c r="B514" s="1115"/>
      <c r="C514" s="1115"/>
      <c r="D514" s="1115"/>
      <c r="E514" s="1115"/>
      <c r="F514" s="1115"/>
      <c r="G514" s="1115"/>
      <c r="H514" s="1115"/>
      <c r="I514" s="1115"/>
      <c r="J514" s="1115"/>
      <c r="K514" s="1115"/>
      <c r="L514" s="1115"/>
      <c r="M514" s="1115"/>
    </row>
    <row r="515" spans="1:13" x14ac:dyDescent="0.2">
      <c r="A515" s="1115"/>
      <c r="B515" s="1115"/>
      <c r="C515" s="1115"/>
      <c r="D515" s="1115"/>
      <c r="E515" s="1115"/>
      <c r="F515" s="1115"/>
      <c r="G515" s="1115"/>
      <c r="H515" s="1115"/>
      <c r="I515" s="1115"/>
      <c r="J515" s="1115"/>
      <c r="K515" s="1115"/>
      <c r="L515" s="1115"/>
      <c r="M515" s="1115"/>
    </row>
    <row r="516" spans="1:13" x14ac:dyDescent="0.2">
      <c r="A516" s="1115"/>
      <c r="B516" s="1115"/>
      <c r="C516" s="1115"/>
      <c r="D516" s="1115"/>
      <c r="E516" s="1115"/>
      <c r="F516" s="1115"/>
      <c r="G516" s="1115"/>
      <c r="H516" s="1115"/>
      <c r="I516" s="1115"/>
      <c r="J516" s="1115"/>
      <c r="K516" s="1115"/>
      <c r="L516" s="1115"/>
      <c r="M516" s="1115"/>
    </row>
    <row r="517" spans="1:13" x14ac:dyDescent="0.2">
      <c r="A517" s="1115"/>
      <c r="B517" s="1115"/>
      <c r="C517" s="1115"/>
      <c r="D517" s="1115"/>
      <c r="E517" s="1115"/>
      <c r="F517" s="1115"/>
      <c r="G517" s="1115"/>
      <c r="H517" s="1115"/>
      <c r="I517" s="1115"/>
      <c r="J517" s="1115"/>
      <c r="K517" s="1115"/>
      <c r="L517" s="1115"/>
      <c r="M517" s="1115"/>
    </row>
    <row r="518" spans="1:13" x14ac:dyDescent="0.2">
      <c r="A518" s="1115"/>
      <c r="B518" s="1115"/>
      <c r="C518" s="1115"/>
      <c r="D518" s="1115"/>
      <c r="E518" s="1115"/>
      <c r="F518" s="1115"/>
      <c r="G518" s="1115"/>
      <c r="H518" s="1115"/>
      <c r="I518" s="1115"/>
      <c r="J518" s="1115"/>
      <c r="K518" s="1115"/>
      <c r="L518" s="1115"/>
      <c r="M518" s="1115"/>
    </row>
    <row r="519" spans="1:13" x14ac:dyDescent="0.2">
      <c r="A519" s="1115"/>
      <c r="B519" s="1115"/>
      <c r="C519" s="1115"/>
      <c r="D519" s="1115"/>
      <c r="E519" s="1115"/>
      <c r="F519" s="1115"/>
      <c r="G519" s="1115"/>
      <c r="H519" s="1115"/>
      <c r="I519" s="1115"/>
      <c r="J519" s="1115"/>
      <c r="K519" s="1115"/>
      <c r="L519" s="1115"/>
      <c r="M519" s="1115"/>
    </row>
    <row r="520" spans="1:13" x14ac:dyDescent="0.2">
      <c r="A520" s="1115"/>
      <c r="B520" s="1115"/>
      <c r="C520" s="1115"/>
      <c r="D520" s="1115"/>
      <c r="E520" s="1115"/>
      <c r="F520" s="1115"/>
      <c r="G520" s="1115"/>
      <c r="H520" s="1115"/>
      <c r="I520" s="1115"/>
      <c r="J520" s="1115"/>
      <c r="K520" s="1115"/>
      <c r="L520" s="1115"/>
      <c r="M520" s="1115"/>
    </row>
    <row r="521" spans="1:13" x14ac:dyDescent="0.2">
      <c r="A521" s="1115"/>
      <c r="B521" s="1115"/>
      <c r="C521" s="1115"/>
      <c r="D521" s="1115"/>
      <c r="E521" s="1115"/>
      <c r="F521" s="1115"/>
      <c r="G521" s="1115"/>
      <c r="H521" s="1115"/>
      <c r="I521" s="1115"/>
      <c r="J521" s="1115"/>
      <c r="K521" s="1115"/>
      <c r="L521" s="1115"/>
      <c r="M521" s="1115"/>
    </row>
    <row r="522" spans="1:13" x14ac:dyDescent="0.2">
      <c r="A522" s="1115"/>
      <c r="B522" s="1115"/>
      <c r="C522" s="1115"/>
      <c r="D522" s="1115"/>
      <c r="E522" s="1115"/>
      <c r="F522" s="1115"/>
      <c r="G522" s="1115"/>
      <c r="H522" s="1115"/>
      <c r="I522" s="1115"/>
      <c r="J522" s="1115"/>
      <c r="K522" s="1115"/>
      <c r="L522" s="1115"/>
      <c r="M522" s="1115"/>
    </row>
    <row r="523" spans="1:13" x14ac:dyDescent="0.2">
      <c r="A523" s="1115"/>
      <c r="B523" s="1115"/>
      <c r="C523" s="1115"/>
      <c r="D523" s="1115"/>
      <c r="E523" s="1115"/>
      <c r="F523" s="1115"/>
      <c r="G523" s="1115"/>
      <c r="H523" s="1115"/>
      <c r="I523" s="1115"/>
      <c r="J523" s="1115"/>
      <c r="K523" s="1115"/>
      <c r="L523" s="1115"/>
      <c r="M523" s="1115"/>
    </row>
    <row r="524" spans="1:13" x14ac:dyDescent="0.2">
      <c r="A524" s="1115"/>
      <c r="B524" s="1115"/>
      <c r="C524" s="1115"/>
      <c r="D524" s="1115"/>
      <c r="E524" s="1115"/>
      <c r="F524" s="1115"/>
      <c r="G524" s="1115"/>
      <c r="H524" s="1115"/>
      <c r="I524" s="1115"/>
      <c r="J524" s="1115"/>
      <c r="K524" s="1115"/>
      <c r="L524" s="1115"/>
      <c r="M524" s="1115"/>
    </row>
    <row r="525" spans="1:13" x14ac:dyDescent="0.2">
      <c r="A525" s="1115"/>
      <c r="B525" s="1115"/>
      <c r="C525" s="1115"/>
      <c r="D525" s="1115"/>
      <c r="E525" s="1115"/>
      <c r="F525" s="1115"/>
      <c r="G525" s="1115"/>
      <c r="H525" s="1115"/>
      <c r="I525" s="1115"/>
      <c r="J525" s="1115"/>
      <c r="K525" s="1115"/>
      <c r="L525" s="1115"/>
      <c r="M525" s="1115"/>
    </row>
    <row r="526" spans="1:13" x14ac:dyDescent="0.2">
      <c r="A526" s="1115"/>
      <c r="B526" s="1115"/>
      <c r="C526" s="1115"/>
      <c r="D526" s="1115"/>
      <c r="E526" s="1115"/>
      <c r="F526" s="1115"/>
      <c r="G526" s="1115"/>
      <c r="H526" s="1115"/>
      <c r="I526" s="1115"/>
      <c r="J526" s="1115"/>
      <c r="K526" s="1115"/>
      <c r="L526" s="1115"/>
      <c r="M526" s="1115"/>
    </row>
    <row r="527" spans="1:13" x14ac:dyDescent="0.2">
      <c r="A527" s="1115"/>
      <c r="B527" s="1115"/>
      <c r="C527" s="1115"/>
      <c r="D527" s="1115"/>
      <c r="E527" s="1115"/>
      <c r="F527" s="1115"/>
      <c r="G527" s="1115"/>
      <c r="H527" s="1115"/>
      <c r="I527" s="1115"/>
      <c r="J527" s="1115"/>
      <c r="K527" s="1115"/>
      <c r="L527" s="1115"/>
      <c r="M527" s="1115"/>
    </row>
    <row r="528" spans="1:13" x14ac:dyDescent="0.2">
      <c r="A528" s="1115"/>
      <c r="B528" s="1115"/>
      <c r="C528" s="1115"/>
      <c r="D528" s="1115"/>
      <c r="E528" s="1115"/>
      <c r="F528" s="1115"/>
      <c r="G528" s="1115"/>
      <c r="H528" s="1115"/>
      <c r="I528" s="1115"/>
      <c r="J528" s="1115"/>
      <c r="K528" s="1115"/>
      <c r="L528" s="1115"/>
      <c r="M528" s="1115"/>
    </row>
    <row r="529" spans="1:13" x14ac:dyDescent="0.2">
      <c r="A529" s="1115"/>
      <c r="B529" s="1115"/>
      <c r="C529" s="1115"/>
      <c r="D529" s="1115"/>
      <c r="E529" s="1115"/>
      <c r="F529" s="1115"/>
      <c r="G529" s="1115"/>
      <c r="H529" s="1115"/>
      <c r="I529" s="1115"/>
      <c r="J529" s="1115"/>
      <c r="K529" s="1115"/>
      <c r="L529" s="1115"/>
      <c r="M529" s="1115"/>
    </row>
    <row r="530" spans="1:13" x14ac:dyDescent="0.2">
      <c r="A530" s="1115"/>
      <c r="B530" s="1115"/>
      <c r="C530" s="1115"/>
      <c r="D530" s="1115"/>
      <c r="E530" s="1115"/>
      <c r="F530" s="1115"/>
      <c r="G530" s="1115"/>
      <c r="H530" s="1115"/>
      <c r="I530" s="1115"/>
      <c r="J530" s="1115"/>
      <c r="K530" s="1115"/>
      <c r="L530" s="1115"/>
      <c r="M530" s="1115"/>
    </row>
    <row r="531" spans="1:13" x14ac:dyDescent="0.2">
      <c r="A531" s="1115"/>
      <c r="B531" s="1115"/>
      <c r="C531" s="1115"/>
      <c r="D531" s="1115"/>
      <c r="E531" s="1115"/>
      <c r="F531" s="1115"/>
      <c r="G531" s="1115"/>
      <c r="H531" s="1115"/>
      <c r="I531" s="1115"/>
      <c r="J531" s="1115"/>
      <c r="K531" s="1115"/>
      <c r="L531" s="1115"/>
      <c r="M531" s="1115"/>
    </row>
    <row r="532" spans="1:13" x14ac:dyDescent="0.2">
      <c r="A532" s="1115"/>
      <c r="B532" s="1115"/>
      <c r="C532" s="1115"/>
      <c r="D532" s="1115"/>
      <c r="E532" s="1115"/>
      <c r="F532" s="1115"/>
      <c r="G532" s="1115"/>
      <c r="H532" s="1115"/>
      <c r="I532" s="1115"/>
      <c r="J532" s="1115"/>
      <c r="K532" s="1115"/>
      <c r="L532" s="1115"/>
      <c r="M532" s="1115"/>
    </row>
    <row r="533" spans="1:13" x14ac:dyDescent="0.2">
      <c r="A533" s="1115"/>
      <c r="B533" s="1115"/>
      <c r="C533" s="1115"/>
      <c r="D533" s="1115"/>
      <c r="E533" s="1115"/>
      <c r="F533" s="1115"/>
      <c r="G533" s="1115"/>
      <c r="H533" s="1115"/>
      <c r="I533" s="1115"/>
      <c r="J533" s="1115"/>
      <c r="K533" s="1115"/>
      <c r="L533" s="1115"/>
      <c r="M533" s="1115"/>
    </row>
    <row r="534" spans="1:13" x14ac:dyDescent="0.2">
      <c r="A534" s="1115"/>
      <c r="B534" s="1115"/>
      <c r="C534" s="1115"/>
      <c r="D534" s="1115"/>
      <c r="E534" s="1115"/>
      <c r="F534" s="1115"/>
      <c r="G534" s="1115"/>
      <c r="H534" s="1115"/>
      <c r="I534" s="1115"/>
      <c r="J534" s="1115"/>
      <c r="K534" s="1115"/>
      <c r="L534" s="1115"/>
      <c r="M534" s="1115"/>
    </row>
    <row r="535" spans="1:13" x14ac:dyDescent="0.2">
      <c r="A535" s="1115"/>
      <c r="B535" s="1115"/>
      <c r="C535" s="1115"/>
      <c r="D535" s="1115"/>
      <c r="E535" s="1115"/>
      <c r="F535" s="1115"/>
      <c r="G535" s="1115"/>
      <c r="H535" s="1115"/>
      <c r="I535" s="1115"/>
      <c r="J535" s="1115"/>
      <c r="K535" s="1115"/>
      <c r="L535" s="1115"/>
      <c r="M535" s="1115"/>
    </row>
    <row r="536" spans="1:13" x14ac:dyDescent="0.2">
      <c r="A536" s="1115"/>
      <c r="B536" s="1115"/>
      <c r="C536" s="1115"/>
      <c r="D536" s="1115"/>
      <c r="E536" s="1115"/>
      <c r="F536" s="1115"/>
      <c r="G536" s="1115"/>
      <c r="H536" s="1115"/>
      <c r="I536" s="1115"/>
      <c r="J536" s="1115"/>
      <c r="K536" s="1115"/>
      <c r="L536" s="1115"/>
      <c r="M536" s="1115"/>
    </row>
    <row r="537" spans="1:13" x14ac:dyDescent="0.2">
      <c r="A537" s="1115"/>
      <c r="B537" s="1115"/>
      <c r="C537" s="1115"/>
      <c r="D537" s="1115"/>
      <c r="E537" s="1115"/>
      <c r="F537" s="1115"/>
      <c r="G537" s="1115"/>
      <c r="H537" s="1115"/>
      <c r="I537" s="1115"/>
      <c r="J537" s="1115"/>
      <c r="K537" s="1115"/>
      <c r="L537" s="1115"/>
      <c r="M537" s="1115"/>
    </row>
    <row r="538" spans="1:13" x14ac:dyDescent="0.2">
      <c r="A538" s="1115"/>
      <c r="B538" s="1115"/>
      <c r="C538" s="1115"/>
      <c r="D538" s="1115"/>
      <c r="E538" s="1115"/>
      <c r="F538" s="1115"/>
      <c r="G538" s="1115"/>
      <c r="H538" s="1115"/>
      <c r="I538" s="1115"/>
      <c r="J538" s="1115"/>
      <c r="K538" s="1115"/>
      <c r="L538" s="1115"/>
      <c r="M538" s="1115"/>
    </row>
    <row r="539" spans="1:13" x14ac:dyDescent="0.2">
      <c r="A539" s="1115"/>
      <c r="B539" s="1115"/>
      <c r="C539" s="1115"/>
      <c r="D539" s="1115"/>
      <c r="E539" s="1115"/>
      <c r="F539" s="1115"/>
      <c r="G539" s="1115"/>
      <c r="H539" s="1115"/>
      <c r="I539" s="1115"/>
      <c r="J539" s="1115"/>
      <c r="K539" s="1115"/>
      <c r="L539" s="1115"/>
      <c r="M539" s="1115"/>
    </row>
    <row r="540" spans="1:13" x14ac:dyDescent="0.2">
      <c r="A540" s="1115"/>
      <c r="B540" s="1115"/>
      <c r="C540" s="1115"/>
      <c r="D540" s="1115"/>
      <c r="E540" s="1115"/>
      <c r="F540" s="1115"/>
      <c r="G540" s="1115"/>
      <c r="H540" s="1115"/>
      <c r="I540" s="1115"/>
      <c r="J540" s="1115"/>
      <c r="K540" s="1115"/>
      <c r="L540" s="1115"/>
      <c r="M540" s="1115"/>
    </row>
    <row r="541" spans="1:13" x14ac:dyDescent="0.2">
      <c r="A541" s="1115"/>
      <c r="B541" s="1115"/>
      <c r="C541" s="1115"/>
      <c r="D541" s="1115"/>
      <c r="E541" s="1115"/>
      <c r="F541" s="1115"/>
      <c r="G541" s="1115"/>
      <c r="H541" s="1115"/>
      <c r="I541" s="1115"/>
      <c r="J541" s="1115"/>
      <c r="K541" s="1115"/>
      <c r="L541" s="1115"/>
      <c r="M541" s="1115"/>
    </row>
    <row r="542" spans="1:13" x14ac:dyDescent="0.2">
      <c r="A542" s="1115"/>
      <c r="B542" s="1115"/>
      <c r="C542" s="1115"/>
      <c r="D542" s="1115"/>
      <c r="E542" s="1115"/>
      <c r="F542" s="1115"/>
      <c r="G542" s="1115"/>
      <c r="H542" s="1115"/>
      <c r="I542" s="1115"/>
      <c r="J542" s="1115"/>
      <c r="K542" s="1115"/>
      <c r="L542" s="1115"/>
      <c r="M542" s="1115"/>
    </row>
    <row r="543" spans="1:13" x14ac:dyDescent="0.2">
      <c r="A543" s="1115"/>
      <c r="B543" s="1115"/>
      <c r="C543" s="1115"/>
      <c r="D543" s="1115"/>
      <c r="E543" s="1115"/>
      <c r="F543" s="1115"/>
      <c r="G543" s="1115"/>
      <c r="H543" s="1115"/>
      <c r="I543" s="1115"/>
      <c r="J543" s="1115"/>
      <c r="K543" s="1115"/>
      <c r="L543" s="1115"/>
      <c r="M543" s="1115"/>
    </row>
    <row r="544" spans="1:13" x14ac:dyDescent="0.2">
      <c r="A544" s="1115"/>
      <c r="B544" s="1115"/>
      <c r="C544" s="1115"/>
      <c r="D544" s="1115"/>
      <c r="E544" s="1115"/>
      <c r="F544" s="1115"/>
      <c r="G544" s="1115"/>
      <c r="H544" s="1115"/>
      <c r="I544" s="1115"/>
      <c r="J544" s="1115"/>
      <c r="K544" s="1115"/>
      <c r="L544" s="1115"/>
      <c r="M544" s="1115"/>
    </row>
    <row r="545" spans="1:13" x14ac:dyDescent="0.2">
      <c r="A545" s="1115"/>
      <c r="B545" s="1115"/>
      <c r="C545" s="1115"/>
      <c r="D545" s="1115"/>
      <c r="E545" s="1115"/>
      <c r="F545" s="1115"/>
      <c r="G545" s="1115"/>
      <c r="H545" s="1115"/>
      <c r="I545" s="1115"/>
      <c r="J545" s="1115"/>
      <c r="K545" s="1115"/>
      <c r="L545" s="1115"/>
      <c r="M545" s="1115"/>
    </row>
    <row r="546" spans="1:13" x14ac:dyDescent="0.2">
      <c r="A546" s="1115"/>
      <c r="B546" s="1115"/>
      <c r="C546" s="1115"/>
      <c r="D546" s="1115"/>
      <c r="E546" s="1115"/>
      <c r="F546" s="1115"/>
      <c r="G546" s="1115"/>
      <c r="H546" s="1115"/>
      <c r="I546" s="1115"/>
      <c r="J546" s="1115"/>
      <c r="K546" s="1115"/>
      <c r="L546" s="1115"/>
      <c r="M546" s="1115"/>
    </row>
    <row r="547" spans="1:13" x14ac:dyDescent="0.2">
      <c r="A547" s="1115"/>
      <c r="B547" s="1115"/>
      <c r="C547" s="1115"/>
      <c r="D547" s="1115"/>
      <c r="E547" s="1115"/>
      <c r="F547" s="1115"/>
      <c r="G547" s="1115"/>
      <c r="H547" s="1115"/>
      <c r="I547" s="1115"/>
      <c r="J547" s="1115"/>
      <c r="K547" s="1115"/>
      <c r="L547" s="1115"/>
      <c r="M547" s="1115"/>
    </row>
    <row r="548" spans="1:13" x14ac:dyDescent="0.2">
      <c r="A548" s="1115"/>
      <c r="B548" s="1115"/>
      <c r="C548" s="1115"/>
      <c r="D548" s="1115"/>
      <c r="E548" s="1115"/>
      <c r="F548" s="1115"/>
      <c r="G548" s="1115"/>
      <c r="H548" s="1115"/>
      <c r="I548" s="1115"/>
      <c r="J548" s="1115"/>
      <c r="K548" s="1115"/>
      <c r="L548" s="1115"/>
      <c r="M548" s="1115"/>
    </row>
    <row r="549" spans="1:13" x14ac:dyDescent="0.2">
      <c r="A549" s="1115"/>
      <c r="B549" s="1115"/>
      <c r="C549" s="1115"/>
      <c r="D549" s="1115"/>
      <c r="E549" s="1115"/>
      <c r="F549" s="1115"/>
      <c r="G549" s="1115"/>
      <c r="H549" s="1115"/>
      <c r="I549" s="1115"/>
      <c r="J549" s="1115"/>
      <c r="K549" s="1115"/>
      <c r="L549" s="1115"/>
      <c r="M549" s="1115"/>
    </row>
    <row r="550" spans="1:13" x14ac:dyDescent="0.2">
      <c r="A550" s="1115"/>
      <c r="B550" s="1115"/>
      <c r="C550" s="1115"/>
      <c r="D550" s="1115"/>
      <c r="E550" s="1115"/>
      <c r="F550" s="1115"/>
      <c r="G550" s="1115"/>
      <c r="H550" s="1115"/>
      <c r="I550" s="1115"/>
      <c r="J550" s="1115"/>
      <c r="K550" s="1115"/>
      <c r="L550" s="1115"/>
      <c r="M550" s="1115"/>
    </row>
    <row r="551" spans="1:13" x14ac:dyDescent="0.2">
      <c r="A551" s="1115"/>
      <c r="B551" s="1115"/>
      <c r="C551" s="1115"/>
      <c r="D551" s="1115"/>
      <c r="E551" s="1115"/>
      <c r="F551" s="1115"/>
      <c r="G551" s="1115"/>
      <c r="H551" s="1115"/>
      <c r="I551" s="1115"/>
      <c r="J551" s="1115"/>
      <c r="K551" s="1115"/>
      <c r="L551" s="1115"/>
      <c r="M551" s="1115"/>
    </row>
    <row r="552" spans="1:13" x14ac:dyDescent="0.2">
      <c r="A552" s="1115"/>
      <c r="B552" s="1115"/>
      <c r="C552" s="1115"/>
      <c r="D552" s="1115"/>
      <c r="E552" s="1115"/>
      <c r="F552" s="1115"/>
      <c r="G552" s="1115"/>
      <c r="H552" s="1115"/>
      <c r="I552" s="1115"/>
      <c r="J552" s="1115"/>
      <c r="K552" s="1115"/>
      <c r="L552" s="1115"/>
      <c r="M552" s="1115"/>
    </row>
    <row r="553" spans="1:13" x14ac:dyDescent="0.2">
      <c r="A553" s="1115"/>
      <c r="B553" s="1115"/>
      <c r="C553" s="1115"/>
      <c r="D553" s="1115"/>
      <c r="E553" s="1115"/>
      <c r="F553" s="1115"/>
      <c r="G553" s="1115"/>
      <c r="H553" s="1115"/>
      <c r="I553" s="1115"/>
      <c r="J553" s="1115"/>
      <c r="K553" s="1115"/>
      <c r="L553" s="1115"/>
      <c r="M553" s="1115"/>
    </row>
    <row r="554" spans="1:13" x14ac:dyDescent="0.2">
      <c r="A554" s="1115"/>
      <c r="B554" s="1115"/>
      <c r="C554" s="1115"/>
      <c r="D554" s="1115"/>
      <c r="E554" s="1115"/>
      <c r="F554" s="1115"/>
      <c r="G554" s="1115"/>
      <c r="H554" s="1115"/>
      <c r="I554" s="1115"/>
      <c r="J554" s="1115"/>
      <c r="K554" s="1115"/>
      <c r="L554" s="1115"/>
      <c r="M554" s="1115"/>
    </row>
    <row r="555" spans="1:13" x14ac:dyDescent="0.2">
      <c r="A555" s="1115"/>
      <c r="B555" s="1115"/>
      <c r="C555" s="1115"/>
      <c r="D555" s="1115"/>
      <c r="E555" s="1115"/>
      <c r="F555" s="1115"/>
      <c r="G555" s="1115"/>
      <c r="H555" s="1115"/>
      <c r="I555" s="1115"/>
      <c r="J555" s="1115"/>
      <c r="K555" s="1115"/>
      <c r="L555" s="1115"/>
      <c r="M555" s="1115"/>
    </row>
    <row r="556" spans="1:13" x14ac:dyDescent="0.2">
      <c r="A556" s="1115"/>
      <c r="B556" s="1115"/>
      <c r="C556" s="1115"/>
      <c r="D556" s="1115"/>
      <c r="E556" s="1115"/>
      <c r="F556" s="1115"/>
      <c r="G556" s="1115"/>
      <c r="H556" s="1115"/>
      <c r="I556" s="1115"/>
      <c r="J556" s="1115"/>
      <c r="K556" s="1115"/>
      <c r="L556" s="1115"/>
      <c r="M556" s="1115"/>
    </row>
    <row r="557" spans="1:13" x14ac:dyDescent="0.2">
      <c r="A557" s="1115"/>
      <c r="B557" s="1115"/>
      <c r="C557" s="1115"/>
      <c r="D557" s="1115"/>
      <c r="E557" s="1115"/>
      <c r="F557" s="1115"/>
      <c r="G557" s="1115"/>
      <c r="H557" s="1115"/>
      <c r="I557" s="1115"/>
      <c r="J557" s="1115"/>
      <c r="K557" s="1115"/>
      <c r="L557" s="1115"/>
      <c r="M557" s="1115"/>
    </row>
    <row r="558" spans="1:13" x14ac:dyDescent="0.2">
      <c r="A558" s="1115"/>
      <c r="B558" s="1115"/>
      <c r="C558" s="1115"/>
      <c r="D558" s="1115"/>
      <c r="E558" s="1115"/>
      <c r="F558" s="1115"/>
      <c r="G558" s="1115"/>
      <c r="H558" s="1115"/>
      <c r="I558" s="1115"/>
      <c r="J558" s="1115"/>
      <c r="K558" s="1115"/>
      <c r="L558" s="1115"/>
      <c r="M558" s="1115"/>
    </row>
    <row r="559" spans="1:13" x14ac:dyDescent="0.2">
      <c r="A559" s="1115"/>
      <c r="B559" s="1115"/>
      <c r="C559" s="1115"/>
      <c r="D559" s="1115"/>
      <c r="E559" s="1115"/>
      <c r="F559" s="1115"/>
      <c r="G559" s="1115"/>
      <c r="H559" s="1115"/>
      <c r="I559" s="1115"/>
      <c r="J559" s="1115"/>
      <c r="K559" s="1115"/>
      <c r="L559" s="1115"/>
      <c r="M559" s="1115"/>
    </row>
    <row r="560" spans="1:13" x14ac:dyDescent="0.2">
      <c r="A560" s="1115"/>
      <c r="B560" s="1115"/>
      <c r="C560" s="1115"/>
      <c r="D560" s="1115"/>
      <c r="E560" s="1115"/>
      <c r="F560" s="1115"/>
      <c r="G560" s="1115"/>
      <c r="H560" s="1115"/>
      <c r="I560" s="1115"/>
      <c r="J560" s="1115"/>
      <c r="K560" s="1115"/>
      <c r="L560" s="1115"/>
      <c r="M560" s="1115"/>
    </row>
    <row r="561" spans="1:13" x14ac:dyDescent="0.2">
      <c r="A561" s="1115"/>
      <c r="B561" s="1115"/>
      <c r="C561" s="1115"/>
      <c r="D561" s="1115"/>
      <c r="E561" s="1115"/>
      <c r="F561" s="1115"/>
      <c r="G561" s="1115"/>
      <c r="H561" s="1115"/>
      <c r="I561" s="1115"/>
      <c r="J561" s="1115"/>
      <c r="K561" s="1115"/>
      <c r="L561" s="1115"/>
      <c r="M561" s="1115"/>
    </row>
    <row r="562" spans="1:13" x14ac:dyDescent="0.2">
      <c r="A562" s="1115"/>
      <c r="B562" s="1115"/>
      <c r="C562" s="1115"/>
      <c r="D562" s="1115"/>
      <c r="E562" s="1115"/>
      <c r="F562" s="1115"/>
      <c r="G562" s="1115"/>
      <c r="H562" s="1115"/>
      <c r="I562" s="1115"/>
      <c r="J562" s="1115"/>
      <c r="K562" s="1115"/>
      <c r="L562" s="1115"/>
      <c r="M562" s="1115"/>
    </row>
    <row r="563" spans="1:13" x14ac:dyDescent="0.2">
      <c r="A563" s="1115"/>
      <c r="B563" s="1115"/>
      <c r="C563" s="1115"/>
      <c r="D563" s="1115"/>
      <c r="E563" s="1115"/>
      <c r="F563" s="1115"/>
      <c r="G563" s="1115"/>
      <c r="H563" s="1115"/>
      <c r="I563" s="1115"/>
      <c r="J563" s="1115"/>
      <c r="K563" s="1115"/>
      <c r="L563" s="1115"/>
      <c r="M563" s="1115"/>
    </row>
    <row r="564" spans="1:13" x14ac:dyDescent="0.2">
      <c r="A564" s="1115"/>
      <c r="B564" s="1115"/>
      <c r="C564" s="1115"/>
      <c r="D564" s="1115"/>
      <c r="E564" s="1115"/>
      <c r="F564" s="1115"/>
      <c r="G564" s="1115"/>
      <c r="H564" s="1115"/>
      <c r="I564" s="1115"/>
      <c r="J564" s="1115"/>
      <c r="K564" s="1115"/>
      <c r="L564" s="1115"/>
      <c r="M564" s="1115"/>
    </row>
    <row r="565" spans="1:13" x14ac:dyDescent="0.2">
      <c r="A565" s="1115"/>
      <c r="B565" s="1115"/>
      <c r="C565" s="1115"/>
      <c r="D565" s="1115"/>
      <c r="E565" s="1115"/>
      <c r="F565" s="1115"/>
      <c r="G565" s="1115"/>
      <c r="H565" s="1115"/>
      <c r="I565" s="1115"/>
      <c r="J565" s="1115"/>
      <c r="K565" s="1115"/>
      <c r="L565" s="1115"/>
      <c r="M565" s="1115"/>
    </row>
    <row r="566" spans="1:13" x14ac:dyDescent="0.2">
      <c r="A566" s="1115"/>
      <c r="B566" s="1115"/>
      <c r="C566" s="1115"/>
      <c r="D566" s="1115"/>
      <c r="E566" s="1115"/>
      <c r="F566" s="1115"/>
      <c r="G566" s="1115"/>
      <c r="H566" s="1115"/>
      <c r="I566" s="1115"/>
      <c r="J566" s="1115"/>
      <c r="K566" s="1115"/>
      <c r="L566" s="1115"/>
      <c r="M566" s="1115"/>
    </row>
    <row r="567" spans="1:13" x14ac:dyDescent="0.2">
      <c r="A567" s="1115"/>
      <c r="B567" s="1115"/>
      <c r="C567" s="1115"/>
      <c r="D567" s="1115"/>
      <c r="E567" s="1115"/>
      <c r="F567" s="1115"/>
      <c r="G567" s="1115"/>
      <c r="H567" s="1115"/>
      <c r="I567" s="1115"/>
      <c r="J567" s="1115"/>
      <c r="K567" s="1115"/>
      <c r="L567" s="1115"/>
      <c r="M567" s="1115"/>
    </row>
    <row r="568" spans="1:13" x14ac:dyDescent="0.2">
      <c r="A568" s="1115"/>
      <c r="B568" s="1115"/>
      <c r="C568" s="1115"/>
      <c r="D568" s="1115"/>
      <c r="E568" s="1115"/>
      <c r="F568" s="1115"/>
      <c r="G568" s="1115"/>
      <c r="H568" s="1115"/>
      <c r="I568" s="1115"/>
      <c r="J568" s="1115"/>
      <c r="K568" s="1115"/>
      <c r="L568" s="1115"/>
      <c r="M568" s="1115"/>
    </row>
    <row r="569" spans="1:13" x14ac:dyDescent="0.2">
      <c r="A569" s="1115"/>
      <c r="B569" s="1115"/>
      <c r="C569" s="1115"/>
      <c r="D569" s="1115"/>
      <c r="E569" s="1115"/>
      <c r="F569" s="1115"/>
      <c r="G569" s="1115"/>
      <c r="H569" s="1115"/>
      <c r="I569" s="1115"/>
      <c r="J569" s="1115"/>
      <c r="K569" s="1115"/>
      <c r="L569" s="1115"/>
      <c r="M569" s="1115"/>
    </row>
    <row r="570" spans="1:13" x14ac:dyDescent="0.2">
      <c r="A570" s="1115"/>
      <c r="B570" s="1115"/>
      <c r="C570" s="1115"/>
      <c r="D570" s="1115"/>
      <c r="E570" s="1115"/>
      <c r="F570" s="1115"/>
      <c r="G570" s="1115"/>
      <c r="H570" s="1115"/>
      <c r="I570" s="1115"/>
      <c r="J570" s="1115"/>
      <c r="K570" s="1115"/>
      <c r="L570" s="1115"/>
      <c r="M570" s="1115"/>
    </row>
    <row r="571" spans="1:13" x14ac:dyDescent="0.2">
      <c r="A571" s="1115"/>
      <c r="B571" s="1115"/>
      <c r="C571" s="1115"/>
      <c r="D571" s="1115"/>
      <c r="E571" s="1115"/>
      <c r="F571" s="1115"/>
      <c r="G571" s="1115"/>
      <c r="H571" s="1115"/>
      <c r="I571" s="1115"/>
      <c r="J571" s="1115"/>
      <c r="K571" s="1115"/>
      <c r="L571" s="1115"/>
      <c r="M571" s="1115"/>
    </row>
    <row r="572" spans="1:13" x14ac:dyDescent="0.2">
      <c r="A572" s="1115"/>
      <c r="B572" s="1115"/>
      <c r="C572" s="1115"/>
      <c r="D572" s="1115"/>
      <c r="E572" s="1115"/>
      <c r="F572" s="1115"/>
      <c r="G572" s="1115"/>
      <c r="H572" s="1115"/>
      <c r="I572" s="1115"/>
      <c r="J572" s="1115"/>
      <c r="K572" s="1115"/>
      <c r="L572" s="1115"/>
      <c r="M572" s="1115"/>
    </row>
    <row r="573" spans="1:13" x14ac:dyDescent="0.2">
      <c r="A573" s="1115"/>
      <c r="B573" s="1115"/>
      <c r="C573" s="1115"/>
      <c r="D573" s="1115"/>
      <c r="E573" s="1115"/>
      <c r="F573" s="1115"/>
      <c r="G573" s="1115"/>
      <c r="H573" s="1115"/>
      <c r="I573" s="1115"/>
      <c r="J573" s="1115"/>
      <c r="K573" s="1115"/>
      <c r="L573" s="1115"/>
      <c r="M573" s="1115"/>
    </row>
    <row r="574" spans="1:13" x14ac:dyDescent="0.2">
      <c r="A574" s="1115"/>
      <c r="B574" s="1115"/>
      <c r="C574" s="1115"/>
      <c r="D574" s="1115"/>
      <c r="E574" s="1115"/>
      <c r="F574" s="1115"/>
      <c r="G574" s="1115"/>
      <c r="H574" s="1115"/>
      <c r="I574" s="1115"/>
      <c r="J574" s="1115"/>
      <c r="K574" s="1115"/>
      <c r="L574" s="1115"/>
      <c r="M574" s="1115"/>
    </row>
    <row r="575" spans="1:13" x14ac:dyDescent="0.2">
      <c r="A575" s="1115"/>
      <c r="B575" s="1115"/>
      <c r="C575" s="1115"/>
      <c r="D575" s="1115"/>
      <c r="E575" s="1115"/>
      <c r="F575" s="1115"/>
      <c r="G575" s="1115"/>
      <c r="H575" s="1115"/>
      <c r="I575" s="1115"/>
      <c r="J575" s="1115"/>
      <c r="K575" s="1115"/>
      <c r="L575" s="1115"/>
      <c r="M575" s="1115"/>
    </row>
    <row r="576" spans="1:13" x14ac:dyDescent="0.2">
      <c r="A576" s="1115"/>
      <c r="B576" s="1115"/>
      <c r="C576" s="1115"/>
      <c r="D576" s="1115"/>
      <c r="E576" s="1115"/>
      <c r="F576" s="1115"/>
      <c r="G576" s="1115"/>
      <c r="H576" s="1115"/>
      <c r="I576" s="1115"/>
      <c r="J576" s="1115"/>
      <c r="K576" s="1115"/>
      <c r="L576" s="1115"/>
      <c r="M576" s="1115"/>
    </row>
    <row r="577" spans="1:13" x14ac:dyDescent="0.2">
      <c r="A577" s="1115"/>
      <c r="B577" s="1115"/>
      <c r="C577" s="1115"/>
      <c r="D577" s="1115"/>
      <c r="E577" s="1115"/>
      <c r="F577" s="1115"/>
      <c r="G577" s="1115"/>
      <c r="H577" s="1115"/>
      <c r="I577" s="1115"/>
      <c r="J577" s="1115"/>
      <c r="K577" s="1115"/>
      <c r="L577" s="1115"/>
      <c r="M577" s="1115"/>
    </row>
    <row r="578" spans="1:13" x14ac:dyDescent="0.2">
      <c r="A578" s="1115"/>
      <c r="B578" s="1115"/>
      <c r="C578" s="1115"/>
      <c r="D578" s="1115"/>
      <c r="E578" s="1115"/>
      <c r="F578" s="1115"/>
      <c r="G578" s="1115"/>
      <c r="H578" s="1115"/>
      <c r="I578" s="1115"/>
      <c r="J578" s="1115"/>
      <c r="K578" s="1115"/>
      <c r="L578" s="1115"/>
      <c r="M578" s="1115"/>
    </row>
    <row r="579" spans="1:13" x14ac:dyDescent="0.2">
      <c r="A579" s="1115"/>
      <c r="B579" s="1115"/>
      <c r="C579" s="1115"/>
      <c r="D579" s="1115"/>
      <c r="E579" s="1115"/>
      <c r="F579" s="1115"/>
      <c r="G579" s="1115"/>
      <c r="H579" s="1115"/>
      <c r="I579" s="1115"/>
      <c r="J579" s="1115"/>
      <c r="K579" s="1115"/>
      <c r="L579" s="1115"/>
      <c r="M579" s="1115"/>
    </row>
    <row r="580" spans="1:13" x14ac:dyDescent="0.2">
      <c r="A580" s="1115"/>
      <c r="B580" s="1115"/>
      <c r="C580" s="1115"/>
      <c r="D580" s="1115"/>
      <c r="E580" s="1115"/>
      <c r="F580" s="1115"/>
      <c r="G580" s="1115"/>
      <c r="H580" s="1115"/>
      <c r="I580" s="1115"/>
      <c r="J580" s="1115"/>
      <c r="K580" s="1115"/>
      <c r="L580" s="1115"/>
      <c r="M580" s="1115"/>
    </row>
    <row r="581" spans="1:13" x14ac:dyDescent="0.2">
      <c r="A581" s="1115"/>
      <c r="B581" s="1115"/>
      <c r="C581" s="1115"/>
      <c r="D581" s="1115"/>
      <c r="E581" s="1115"/>
      <c r="F581" s="1115"/>
      <c r="G581" s="1115"/>
      <c r="H581" s="1115"/>
      <c r="I581" s="1115"/>
      <c r="J581" s="1115"/>
      <c r="K581" s="1115"/>
      <c r="L581" s="1115"/>
      <c r="M581" s="1115"/>
    </row>
    <row r="582" spans="1:13" x14ac:dyDescent="0.2">
      <c r="A582" s="1115"/>
      <c r="B582" s="1115"/>
      <c r="C582" s="1115"/>
      <c r="D582" s="1115"/>
      <c r="E582" s="1115"/>
      <c r="F582" s="1115"/>
      <c r="G582" s="1115"/>
      <c r="H582" s="1115"/>
      <c r="I582" s="1115"/>
      <c r="J582" s="1115"/>
      <c r="K582" s="1115"/>
      <c r="L582" s="1115"/>
      <c r="M582" s="1115"/>
    </row>
    <row r="583" spans="1:13" x14ac:dyDescent="0.2">
      <c r="A583" s="1115"/>
      <c r="B583" s="1115"/>
      <c r="C583" s="1115"/>
      <c r="D583" s="1115"/>
      <c r="E583" s="1115"/>
      <c r="F583" s="1115"/>
      <c r="G583" s="1115"/>
      <c r="H583" s="1115"/>
      <c r="I583" s="1115"/>
      <c r="J583" s="1115"/>
      <c r="K583" s="1115"/>
      <c r="L583" s="1115"/>
      <c r="M583" s="1115"/>
    </row>
    <row r="584" spans="1:13" x14ac:dyDescent="0.2">
      <c r="A584" s="1115"/>
      <c r="B584" s="1115"/>
      <c r="C584" s="1115"/>
      <c r="D584" s="1115"/>
      <c r="E584" s="1115"/>
      <c r="F584" s="1115"/>
      <c r="G584" s="1115"/>
      <c r="H584" s="1115"/>
      <c r="I584" s="1115"/>
      <c r="J584" s="1115"/>
      <c r="K584" s="1115"/>
      <c r="L584" s="1115"/>
      <c r="M584" s="1115"/>
    </row>
    <row r="585" spans="1:13" x14ac:dyDescent="0.2">
      <c r="A585" s="1115"/>
      <c r="B585" s="1115"/>
      <c r="C585" s="1115"/>
      <c r="D585" s="1115"/>
      <c r="E585" s="1115"/>
      <c r="F585" s="1115"/>
      <c r="G585" s="1115"/>
      <c r="H585" s="1115"/>
      <c r="I585" s="1115"/>
      <c r="J585" s="1115"/>
      <c r="K585" s="1115"/>
      <c r="L585" s="1115"/>
      <c r="M585" s="1115"/>
    </row>
    <row r="586" spans="1:13" x14ac:dyDescent="0.2">
      <c r="A586" s="1115"/>
      <c r="B586" s="1115"/>
      <c r="C586" s="1115"/>
      <c r="D586" s="1115"/>
      <c r="E586" s="1115"/>
      <c r="F586" s="1115"/>
      <c r="G586" s="1115"/>
      <c r="H586" s="1115"/>
      <c r="I586" s="1115"/>
      <c r="J586" s="1115"/>
      <c r="K586" s="1115"/>
      <c r="L586" s="1115"/>
      <c r="M586" s="1115"/>
    </row>
    <row r="587" spans="1:13" x14ac:dyDescent="0.2">
      <c r="A587" s="1115"/>
      <c r="B587" s="1115"/>
      <c r="C587" s="1115"/>
      <c r="D587" s="1115"/>
      <c r="E587" s="1115"/>
      <c r="F587" s="1115"/>
      <c r="G587" s="1115"/>
      <c r="H587" s="1115"/>
      <c r="I587" s="1115"/>
      <c r="J587" s="1115"/>
      <c r="K587" s="1115"/>
      <c r="L587" s="1115"/>
      <c r="M587" s="1115"/>
    </row>
    <row r="588" spans="1:13" x14ac:dyDescent="0.2">
      <c r="A588" s="1115"/>
      <c r="B588" s="1115"/>
      <c r="C588" s="1115"/>
      <c r="D588" s="1115"/>
      <c r="E588" s="1115"/>
      <c r="F588" s="1115"/>
      <c r="G588" s="1115"/>
      <c r="H588" s="1115"/>
      <c r="I588" s="1115"/>
      <c r="J588" s="1115"/>
      <c r="K588" s="1115"/>
      <c r="L588" s="1115"/>
      <c r="M588" s="1115"/>
    </row>
    <row r="589" spans="1:13" x14ac:dyDescent="0.2">
      <c r="A589" s="1115"/>
      <c r="B589" s="1115"/>
      <c r="C589" s="1115"/>
      <c r="D589" s="1115"/>
      <c r="E589" s="1115"/>
      <c r="F589" s="1115"/>
      <c r="G589" s="1115"/>
      <c r="H589" s="1115"/>
      <c r="I589" s="1115"/>
      <c r="J589" s="1115"/>
      <c r="K589" s="1115"/>
      <c r="L589" s="1115"/>
      <c r="M589" s="1115"/>
    </row>
    <row r="590" spans="1:13" x14ac:dyDescent="0.2">
      <c r="A590" s="1115"/>
      <c r="B590" s="1115"/>
      <c r="C590" s="1115"/>
      <c r="D590" s="1115"/>
      <c r="E590" s="1115"/>
      <c r="F590" s="1115"/>
      <c r="G590" s="1115"/>
      <c r="H590" s="1115"/>
      <c r="I590" s="1115"/>
      <c r="J590" s="1115"/>
      <c r="K590" s="1115"/>
      <c r="L590" s="1115"/>
      <c r="M590" s="1115"/>
    </row>
    <row r="591" spans="1:13" x14ac:dyDescent="0.2">
      <c r="A591" s="1115"/>
      <c r="B591" s="1115"/>
      <c r="C591" s="1115"/>
      <c r="D591" s="1115"/>
      <c r="E591" s="1115"/>
      <c r="F591" s="1115"/>
      <c r="G591" s="1115"/>
      <c r="H591" s="1115"/>
      <c r="I591" s="1115"/>
      <c r="J591" s="1115"/>
      <c r="K591" s="1115"/>
      <c r="L591" s="1115"/>
      <c r="M591" s="1115"/>
    </row>
    <row r="592" spans="1:13" x14ac:dyDescent="0.2">
      <c r="A592" s="1115"/>
      <c r="B592" s="1115"/>
      <c r="C592" s="1115"/>
      <c r="D592" s="1115"/>
      <c r="E592" s="1115"/>
      <c r="F592" s="1115"/>
      <c r="G592" s="1115"/>
      <c r="H592" s="1115"/>
      <c r="I592" s="1115"/>
      <c r="J592" s="1115"/>
      <c r="K592" s="1115"/>
      <c r="L592" s="1115"/>
      <c r="M592" s="1115"/>
    </row>
    <row r="593" spans="1:13" x14ac:dyDescent="0.2">
      <c r="A593" s="1115"/>
      <c r="B593" s="1115"/>
      <c r="C593" s="1115"/>
      <c r="D593" s="1115"/>
      <c r="E593" s="1115"/>
      <c r="F593" s="1115"/>
      <c r="G593" s="1115"/>
      <c r="H593" s="1115"/>
      <c r="I593" s="1115"/>
      <c r="J593" s="1115"/>
      <c r="K593" s="1115"/>
      <c r="L593" s="1115"/>
      <c r="M593" s="1115"/>
    </row>
    <row r="594" spans="1:13" x14ac:dyDescent="0.2">
      <c r="A594" s="1115"/>
      <c r="B594" s="1115"/>
      <c r="C594" s="1115"/>
      <c r="D594" s="1115"/>
      <c r="E594" s="1115"/>
      <c r="F594" s="1115"/>
      <c r="G594" s="1115"/>
      <c r="H594" s="1115"/>
      <c r="I594" s="1115"/>
      <c r="J594" s="1115"/>
      <c r="K594" s="1115"/>
      <c r="L594" s="1115"/>
      <c r="M594" s="1115"/>
    </row>
    <row r="595" spans="1:13" x14ac:dyDescent="0.2">
      <c r="A595" s="1115"/>
      <c r="B595" s="1115"/>
      <c r="C595" s="1115"/>
      <c r="D595" s="1115"/>
      <c r="E595" s="1115"/>
      <c r="F595" s="1115"/>
      <c r="G595" s="1115"/>
      <c r="H595" s="1115"/>
      <c r="I595" s="1115"/>
      <c r="J595" s="1115"/>
      <c r="K595" s="1115"/>
      <c r="L595" s="1115"/>
      <c r="M595" s="1115"/>
    </row>
    <row r="596" spans="1:13" x14ac:dyDescent="0.2">
      <c r="A596" s="1115"/>
      <c r="B596" s="1115"/>
      <c r="C596" s="1115"/>
      <c r="D596" s="1115"/>
      <c r="E596" s="1115"/>
      <c r="F596" s="1115"/>
      <c r="G596" s="1115"/>
      <c r="H596" s="1115"/>
      <c r="I596" s="1115"/>
      <c r="J596" s="1115"/>
      <c r="K596" s="1115"/>
      <c r="L596" s="1115"/>
      <c r="M596" s="1115"/>
    </row>
    <row r="597" spans="1:13" x14ac:dyDescent="0.2">
      <c r="A597" s="1115"/>
      <c r="B597" s="1115"/>
      <c r="C597" s="1115"/>
      <c r="D597" s="1115"/>
      <c r="E597" s="1115"/>
      <c r="F597" s="1115"/>
      <c r="G597" s="1115"/>
      <c r="H597" s="1115"/>
      <c r="I597" s="1115"/>
      <c r="J597" s="1115"/>
      <c r="K597" s="1115"/>
      <c r="L597" s="1115"/>
      <c r="M597" s="1115"/>
    </row>
    <row r="598" spans="1:13" x14ac:dyDescent="0.2">
      <c r="A598" s="1115"/>
      <c r="B598" s="1115"/>
      <c r="C598" s="1115"/>
      <c r="D598" s="1115"/>
      <c r="E598" s="1115"/>
      <c r="F598" s="1115"/>
      <c r="G598" s="1115"/>
      <c r="H598" s="1115"/>
      <c r="I598" s="1115"/>
      <c r="J598" s="1115"/>
      <c r="K598" s="1115"/>
      <c r="L598" s="1115"/>
      <c r="M598" s="1115"/>
    </row>
    <row r="599" spans="1:13" x14ac:dyDescent="0.2">
      <c r="A599" s="1115"/>
      <c r="B599" s="1115"/>
      <c r="C599" s="1115"/>
      <c r="D599" s="1115"/>
      <c r="E599" s="1115"/>
      <c r="F599" s="1115"/>
      <c r="G599" s="1115"/>
      <c r="H599" s="1115"/>
      <c r="I599" s="1115"/>
      <c r="J599" s="1115"/>
      <c r="K599" s="1115"/>
      <c r="L599" s="1115"/>
      <c r="M599" s="1115"/>
    </row>
    <row r="600" spans="1:13" x14ac:dyDescent="0.2">
      <c r="A600" s="1115"/>
      <c r="B600" s="1115"/>
      <c r="C600" s="1115"/>
      <c r="D600" s="1115"/>
      <c r="E600" s="1115"/>
      <c r="F600" s="1115"/>
      <c r="G600" s="1115"/>
      <c r="H600" s="1115"/>
      <c r="I600" s="1115"/>
      <c r="J600" s="1115"/>
      <c r="K600" s="1115"/>
      <c r="L600" s="1115"/>
      <c r="M600" s="1115"/>
    </row>
    <row r="601" spans="1:13" x14ac:dyDescent="0.2">
      <c r="A601" s="1115"/>
      <c r="B601" s="1115"/>
      <c r="C601" s="1115"/>
      <c r="D601" s="1115"/>
      <c r="E601" s="1115"/>
      <c r="F601" s="1115"/>
      <c r="G601" s="1115"/>
      <c r="H601" s="1115"/>
      <c r="I601" s="1115"/>
      <c r="J601" s="1115"/>
      <c r="K601" s="1115"/>
      <c r="L601" s="1115"/>
      <c r="M601" s="1115"/>
    </row>
    <row r="602" spans="1:13" x14ac:dyDescent="0.2">
      <c r="A602" s="1115"/>
      <c r="B602" s="1115"/>
      <c r="C602" s="1115"/>
      <c r="D602" s="1115"/>
      <c r="E602" s="1115"/>
      <c r="F602" s="1115"/>
      <c r="G602" s="1115"/>
      <c r="H602" s="1115"/>
      <c r="I602" s="1115"/>
      <c r="J602" s="1115"/>
      <c r="K602" s="1115"/>
      <c r="L602" s="1115"/>
      <c r="M602" s="1115"/>
    </row>
    <row r="603" spans="1:13" x14ac:dyDescent="0.2">
      <c r="A603" s="1115"/>
      <c r="B603" s="1115"/>
      <c r="C603" s="1115"/>
      <c r="D603" s="1115"/>
      <c r="E603" s="1115"/>
      <c r="F603" s="1115"/>
      <c r="G603" s="1115"/>
      <c r="H603" s="1115"/>
      <c r="I603" s="1115"/>
      <c r="J603" s="1115"/>
      <c r="K603" s="1115"/>
      <c r="L603" s="1115"/>
      <c r="M603" s="1115"/>
    </row>
    <row r="604" spans="1:13" x14ac:dyDescent="0.2">
      <c r="A604" s="1115"/>
      <c r="B604" s="1115"/>
      <c r="C604" s="1115"/>
      <c r="D604" s="1115"/>
      <c r="E604" s="1115"/>
      <c r="F604" s="1115"/>
      <c r="G604" s="1115"/>
      <c r="H604" s="1115"/>
      <c r="I604" s="1115"/>
      <c r="J604" s="1115"/>
      <c r="K604" s="1115"/>
      <c r="L604" s="1115"/>
      <c r="M604" s="1115"/>
    </row>
    <row r="605" spans="1:13" x14ac:dyDescent="0.2">
      <c r="A605" s="1115"/>
      <c r="B605" s="1115"/>
      <c r="C605" s="1115"/>
      <c r="D605" s="1115"/>
      <c r="E605" s="1115"/>
      <c r="F605" s="1115"/>
      <c r="G605" s="1115"/>
      <c r="H605" s="1115"/>
      <c r="I605" s="1115"/>
      <c r="J605" s="1115"/>
      <c r="K605" s="1115"/>
      <c r="L605" s="1115"/>
      <c r="M605" s="1115"/>
    </row>
    <row r="606" spans="1:13" x14ac:dyDescent="0.2">
      <c r="A606" s="1115"/>
      <c r="B606" s="1115"/>
      <c r="C606" s="1115"/>
      <c r="D606" s="1115"/>
      <c r="E606" s="1115"/>
      <c r="F606" s="1115"/>
      <c r="G606" s="1115"/>
      <c r="H606" s="1115"/>
      <c r="I606" s="1115"/>
      <c r="J606" s="1115"/>
      <c r="K606" s="1115"/>
      <c r="L606" s="1115"/>
      <c r="M606" s="1115"/>
    </row>
    <row r="607" spans="1:13" x14ac:dyDescent="0.2">
      <c r="A607" s="1115"/>
      <c r="B607" s="1115"/>
      <c r="C607" s="1115"/>
      <c r="D607" s="1115"/>
      <c r="E607" s="1115"/>
      <c r="F607" s="1115"/>
      <c r="G607" s="1115"/>
      <c r="H607" s="1115"/>
      <c r="I607" s="1115"/>
      <c r="J607" s="1115"/>
      <c r="K607" s="1115"/>
      <c r="L607" s="1115"/>
      <c r="M607" s="1115"/>
    </row>
    <row r="608" spans="1:13" x14ac:dyDescent="0.2">
      <c r="A608" s="1115"/>
      <c r="B608" s="1115"/>
      <c r="C608" s="1115"/>
      <c r="D608" s="1115"/>
      <c r="E608" s="1115"/>
      <c r="F608" s="1115"/>
      <c r="G608" s="1115"/>
      <c r="H608" s="1115"/>
      <c r="I608" s="1115"/>
      <c r="J608" s="1115"/>
      <c r="K608" s="1115"/>
      <c r="L608" s="1115"/>
      <c r="M608" s="1115"/>
    </row>
    <row r="609" spans="1:13" x14ac:dyDescent="0.2">
      <c r="A609" s="1115"/>
      <c r="B609" s="1115"/>
      <c r="C609" s="1115"/>
      <c r="D609" s="1115"/>
      <c r="E609" s="1115"/>
      <c r="F609" s="1115"/>
      <c r="G609" s="1115"/>
      <c r="H609" s="1115"/>
      <c r="I609" s="1115"/>
      <c r="J609" s="1115"/>
      <c r="K609" s="1115"/>
      <c r="L609" s="1115"/>
      <c r="M609" s="1115"/>
    </row>
    <row r="610" spans="1:13" x14ac:dyDescent="0.2">
      <c r="A610" s="1115"/>
      <c r="B610" s="1115"/>
      <c r="C610" s="1115"/>
      <c r="D610" s="1115"/>
      <c r="E610" s="1115"/>
      <c r="F610" s="1115"/>
      <c r="G610" s="1115"/>
      <c r="H610" s="1115"/>
      <c r="I610" s="1115"/>
      <c r="J610" s="1115"/>
      <c r="K610" s="1115"/>
      <c r="L610" s="1115"/>
      <c r="M610" s="1115"/>
    </row>
    <row r="611" spans="1:13" x14ac:dyDescent="0.2">
      <c r="A611" s="1115"/>
      <c r="B611" s="1115"/>
      <c r="C611" s="1115"/>
      <c r="D611" s="1115"/>
      <c r="E611" s="1115"/>
      <c r="F611" s="1115"/>
      <c r="G611" s="1115"/>
      <c r="H611" s="1115"/>
      <c r="I611" s="1115"/>
      <c r="J611" s="1115"/>
      <c r="K611" s="1115"/>
      <c r="L611" s="1115"/>
      <c r="M611" s="1115"/>
    </row>
    <row r="612" spans="1:13" x14ac:dyDescent="0.2">
      <c r="A612" s="1115"/>
      <c r="B612" s="1115"/>
      <c r="C612" s="1115"/>
      <c r="D612" s="1115"/>
      <c r="E612" s="1115"/>
      <c r="F612" s="1115"/>
      <c r="G612" s="1115"/>
      <c r="H612" s="1115"/>
      <c r="I612" s="1115"/>
      <c r="J612" s="1115"/>
      <c r="K612" s="1115"/>
      <c r="L612" s="1115"/>
      <c r="M612" s="1115"/>
    </row>
    <row r="613" spans="1:13" x14ac:dyDescent="0.2">
      <c r="A613" s="1115"/>
      <c r="B613" s="1115"/>
      <c r="C613" s="1115"/>
      <c r="D613" s="1115"/>
      <c r="E613" s="1115"/>
      <c r="F613" s="1115"/>
      <c r="G613" s="1115"/>
      <c r="H613" s="1115"/>
      <c r="I613" s="1115"/>
      <c r="J613" s="1115"/>
      <c r="K613" s="1115"/>
      <c r="L613" s="1115"/>
      <c r="M613" s="1115"/>
    </row>
    <row r="614" spans="1:13" x14ac:dyDescent="0.2">
      <c r="A614" s="1115"/>
      <c r="B614" s="1115"/>
      <c r="C614" s="1115"/>
      <c r="D614" s="1115"/>
      <c r="E614" s="1115"/>
      <c r="F614" s="1115"/>
      <c r="G614" s="1115"/>
      <c r="H614" s="1115"/>
      <c r="I614" s="1115"/>
      <c r="J614" s="1115"/>
      <c r="K614" s="1115"/>
      <c r="L614" s="1115"/>
      <c r="M614" s="1115"/>
    </row>
    <row r="615" spans="1:13" x14ac:dyDescent="0.2">
      <c r="A615" s="1115"/>
      <c r="B615" s="1115"/>
      <c r="C615" s="1115"/>
      <c r="D615" s="1115"/>
      <c r="E615" s="1115"/>
      <c r="F615" s="1115"/>
      <c r="G615" s="1115"/>
      <c r="H615" s="1115"/>
      <c r="I615" s="1115"/>
      <c r="J615" s="1115"/>
      <c r="K615" s="1115"/>
      <c r="L615" s="1115"/>
      <c r="M615" s="1115"/>
    </row>
    <row r="616" spans="1:13" x14ac:dyDescent="0.2">
      <c r="A616" s="1115"/>
      <c r="B616" s="1115"/>
      <c r="C616" s="1115"/>
      <c r="D616" s="1115"/>
      <c r="E616" s="1115"/>
      <c r="F616" s="1115"/>
      <c r="G616" s="1115"/>
      <c r="H616" s="1115"/>
      <c r="I616" s="1115"/>
      <c r="J616" s="1115"/>
      <c r="K616" s="1115"/>
      <c r="L616" s="1115"/>
      <c r="M616" s="1115"/>
    </row>
    <row r="617" spans="1:13" x14ac:dyDescent="0.2">
      <c r="A617" s="1115"/>
      <c r="B617" s="1115"/>
      <c r="C617" s="1115"/>
      <c r="D617" s="1115"/>
      <c r="E617" s="1115"/>
      <c r="F617" s="1115"/>
      <c r="G617" s="1115"/>
      <c r="H617" s="1115"/>
      <c r="I617" s="1115"/>
      <c r="J617" s="1115"/>
      <c r="K617" s="1115"/>
      <c r="L617" s="1115"/>
      <c r="M617" s="1115"/>
    </row>
    <row r="618" spans="1:13" x14ac:dyDescent="0.2">
      <c r="A618" s="1115"/>
      <c r="B618" s="1115"/>
      <c r="C618" s="1115"/>
      <c r="D618" s="1115"/>
      <c r="E618" s="1115"/>
      <c r="F618" s="1115"/>
      <c r="G618" s="1115"/>
      <c r="H618" s="1115"/>
      <c r="I618" s="1115"/>
      <c r="J618" s="1115"/>
      <c r="K618" s="1115"/>
      <c r="L618" s="1115"/>
      <c r="M618" s="1115"/>
    </row>
    <row r="619" spans="1:13" x14ac:dyDescent="0.2">
      <c r="A619" s="1115"/>
      <c r="B619" s="1115"/>
      <c r="C619" s="1115"/>
      <c r="D619" s="1115"/>
      <c r="E619" s="1115"/>
      <c r="F619" s="1115"/>
      <c r="G619" s="1115"/>
      <c r="H619" s="1115"/>
      <c r="I619" s="1115"/>
      <c r="J619" s="1115"/>
      <c r="K619" s="1115"/>
      <c r="L619" s="1115"/>
      <c r="M619" s="1115"/>
    </row>
    <row r="620" spans="1:13" x14ac:dyDescent="0.2">
      <c r="A620" s="1115"/>
      <c r="B620" s="1115"/>
      <c r="C620" s="1115"/>
      <c r="D620" s="1115"/>
      <c r="E620" s="1115"/>
      <c r="F620" s="1115"/>
      <c r="G620" s="1115"/>
      <c r="H620" s="1115"/>
      <c r="I620" s="1115"/>
      <c r="J620" s="1115"/>
      <c r="K620" s="1115"/>
      <c r="L620" s="1115"/>
      <c r="M620" s="1115"/>
    </row>
    <row r="621" spans="1:13" x14ac:dyDescent="0.2">
      <c r="A621" s="1115"/>
      <c r="B621" s="1115"/>
      <c r="C621" s="1115"/>
      <c r="D621" s="1115"/>
      <c r="E621" s="1115"/>
      <c r="F621" s="1115"/>
      <c r="G621" s="1115"/>
      <c r="H621" s="1115"/>
      <c r="I621" s="1115"/>
      <c r="J621" s="1115"/>
      <c r="K621" s="1115"/>
      <c r="L621" s="1115"/>
      <c r="M621" s="1115"/>
    </row>
    <row r="622" spans="1:13" x14ac:dyDescent="0.2">
      <c r="A622" s="1115"/>
      <c r="B622" s="1115"/>
      <c r="C622" s="1115"/>
      <c r="D622" s="1115"/>
      <c r="E622" s="1115"/>
      <c r="F622" s="1115"/>
      <c r="G622" s="1115"/>
      <c r="H622" s="1115"/>
      <c r="I622" s="1115"/>
      <c r="J622" s="1115"/>
      <c r="K622" s="1115"/>
      <c r="L622" s="1115"/>
      <c r="M622" s="1115"/>
    </row>
    <row r="623" spans="1:13" x14ac:dyDescent="0.2">
      <c r="A623" s="1115"/>
      <c r="B623" s="1115"/>
      <c r="C623" s="1115"/>
      <c r="D623" s="1115"/>
      <c r="E623" s="1115"/>
      <c r="F623" s="1115"/>
      <c r="G623" s="1115"/>
      <c r="H623" s="1115"/>
      <c r="I623" s="1115"/>
      <c r="J623" s="1115"/>
      <c r="K623" s="1115"/>
      <c r="L623" s="1115"/>
      <c r="M623" s="1115"/>
    </row>
    <row r="624" spans="1:13" x14ac:dyDescent="0.2">
      <c r="A624" s="1115"/>
      <c r="B624" s="1115"/>
      <c r="C624" s="1115"/>
      <c r="D624" s="1115"/>
      <c r="E624" s="1115"/>
      <c r="F624" s="1115"/>
      <c r="G624" s="1115"/>
      <c r="H624" s="1115"/>
      <c r="I624" s="1115"/>
      <c r="J624" s="1115"/>
      <c r="K624" s="1115"/>
      <c r="L624" s="1115"/>
      <c r="M624" s="1115"/>
    </row>
    <row r="625" spans="1:13" x14ac:dyDescent="0.2">
      <c r="A625" s="1115"/>
      <c r="B625" s="1115"/>
      <c r="C625" s="1115"/>
      <c r="D625" s="1115"/>
      <c r="E625" s="1115"/>
      <c r="F625" s="1115"/>
      <c r="G625" s="1115"/>
      <c r="H625" s="1115"/>
      <c r="I625" s="1115"/>
      <c r="J625" s="1115"/>
      <c r="K625" s="1115"/>
      <c r="L625" s="1115"/>
      <c r="M625" s="1115"/>
    </row>
    <row r="626" spans="1:13" x14ac:dyDescent="0.2">
      <c r="A626" s="1115"/>
      <c r="B626" s="1115"/>
      <c r="C626" s="1115"/>
      <c r="D626" s="1115"/>
      <c r="E626" s="1115"/>
      <c r="F626" s="1115"/>
      <c r="G626" s="1115"/>
      <c r="H626" s="1115"/>
      <c r="I626" s="1115"/>
      <c r="J626" s="1115"/>
      <c r="K626" s="1115"/>
      <c r="L626" s="1115"/>
      <c r="M626" s="1115"/>
    </row>
    <row r="627" spans="1:13" x14ac:dyDescent="0.2">
      <c r="A627" s="1115"/>
      <c r="B627" s="1115"/>
      <c r="C627" s="1115"/>
      <c r="D627" s="1115"/>
      <c r="E627" s="1115"/>
      <c r="F627" s="1115"/>
      <c r="G627" s="1115"/>
      <c r="H627" s="1115"/>
      <c r="I627" s="1115"/>
      <c r="J627" s="1115"/>
      <c r="K627" s="1115"/>
      <c r="L627" s="1115"/>
      <c r="M627" s="1115"/>
    </row>
    <row r="628" spans="1:13" x14ac:dyDescent="0.2">
      <c r="A628" s="1115"/>
      <c r="B628" s="1115"/>
      <c r="C628" s="1115"/>
      <c r="D628" s="1115"/>
      <c r="E628" s="1115"/>
      <c r="F628" s="1115"/>
      <c r="G628" s="1115"/>
      <c r="H628" s="1115"/>
      <c r="I628" s="1115"/>
      <c r="J628" s="1115"/>
      <c r="K628" s="1115"/>
      <c r="L628" s="1115"/>
      <c r="M628" s="1115"/>
    </row>
    <row r="629" spans="1:13" x14ac:dyDescent="0.2">
      <c r="A629" s="1115"/>
      <c r="B629" s="1115"/>
      <c r="C629" s="1115"/>
      <c r="D629" s="1115"/>
      <c r="E629" s="1115"/>
      <c r="F629" s="1115"/>
      <c r="G629" s="1115"/>
      <c r="H629" s="1115"/>
      <c r="I629" s="1115"/>
      <c r="J629" s="1115"/>
      <c r="K629" s="1115"/>
      <c r="L629" s="1115"/>
      <c r="M629" s="1115"/>
    </row>
    <row r="630" spans="1:13" x14ac:dyDescent="0.2">
      <c r="A630" s="1115"/>
      <c r="B630" s="1115"/>
      <c r="C630" s="1115"/>
      <c r="D630" s="1115"/>
      <c r="E630" s="1115"/>
      <c r="F630" s="1115"/>
      <c r="G630" s="1115"/>
      <c r="H630" s="1115"/>
      <c r="I630" s="1115"/>
      <c r="J630" s="1115"/>
      <c r="K630" s="1115"/>
      <c r="L630" s="1115"/>
      <c r="M630" s="1115"/>
    </row>
    <row r="631" spans="1:13" x14ac:dyDescent="0.2">
      <c r="A631" s="1115"/>
      <c r="B631" s="1115"/>
      <c r="C631" s="1115"/>
      <c r="D631" s="1115"/>
      <c r="E631" s="1115"/>
      <c r="F631" s="1115"/>
      <c r="G631" s="1115"/>
      <c r="H631" s="1115"/>
      <c r="I631" s="1115"/>
      <c r="J631" s="1115"/>
      <c r="K631" s="1115"/>
      <c r="L631" s="1115"/>
      <c r="M631" s="1115"/>
    </row>
    <row r="632" spans="1:13" x14ac:dyDescent="0.2">
      <c r="A632" s="1115"/>
      <c r="B632" s="1115"/>
      <c r="C632" s="1115"/>
      <c r="D632" s="1115"/>
      <c r="E632" s="1115"/>
      <c r="F632" s="1115"/>
      <c r="G632" s="1115"/>
      <c r="H632" s="1115"/>
      <c r="I632" s="1115"/>
      <c r="J632" s="1115"/>
      <c r="K632" s="1115"/>
      <c r="L632" s="1115"/>
      <c r="M632" s="1115"/>
    </row>
    <row r="633" spans="1:13" x14ac:dyDescent="0.2">
      <c r="A633" s="1115"/>
      <c r="B633" s="1115"/>
      <c r="C633" s="1115"/>
      <c r="D633" s="1115"/>
      <c r="E633" s="1115"/>
      <c r="F633" s="1115"/>
      <c r="G633" s="1115"/>
      <c r="H633" s="1115"/>
      <c r="I633" s="1115"/>
      <c r="J633" s="1115"/>
      <c r="K633" s="1115"/>
      <c r="L633" s="1115"/>
      <c r="M633" s="1115"/>
    </row>
    <row r="634" spans="1:13" x14ac:dyDescent="0.2">
      <c r="A634" s="1115"/>
      <c r="B634" s="1115"/>
      <c r="C634" s="1115"/>
      <c r="D634" s="1115"/>
      <c r="E634" s="1115"/>
      <c r="F634" s="1115"/>
      <c r="G634" s="1115"/>
      <c r="H634" s="1115"/>
      <c r="I634" s="1115"/>
      <c r="J634" s="1115"/>
      <c r="K634" s="1115"/>
      <c r="L634" s="1115"/>
      <c r="M634" s="1115"/>
    </row>
    <row r="635" spans="1:13" x14ac:dyDescent="0.2">
      <c r="A635" s="1115"/>
      <c r="B635" s="1115"/>
      <c r="C635" s="1115"/>
      <c r="D635" s="1115"/>
      <c r="E635" s="1115"/>
      <c r="F635" s="1115"/>
      <c r="G635" s="1115"/>
      <c r="H635" s="1115"/>
      <c r="I635" s="1115"/>
      <c r="J635" s="1115"/>
      <c r="K635" s="1115"/>
      <c r="L635" s="1115"/>
      <c r="M635" s="1115"/>
    </row>
    <row r="636" spans="1:13" x14ac:dyDescent="0.2">
      <c r="A636" s="1115"/>
      <c r="B636" s="1115"/>
      <c r="C636" s="1115"/>
      <c r="D636" s="1115"/>
      <c r="E636" s="1115"/>
      <c r="F636" s="1115"/>
      <c r="G636" s="1115"/>
      <c r="H636" s="1115"/>
      <c r="I636" s="1115"/>
      <c r="J636" s="1115"/>
      <c r="K636" s="1115"/>
      <c r="L636" s="1115"/>
      <c r="M636" s="1115"/>
    </row>
    <row r="637" spans="1:13" x14ac:dyDescent="0.2">
      <c r="A637" s="1115"/>
      <c r="B637" s="1115"/>
      <c r="C637" s="1115"/>
      <c r="D637" s="1115"/>
      <c r="E637" s="1115"/>
      <c r="F637" s="1115"/>
      <c r="G637" s="1115"/>
      <c r="H637" s="1115"/>
      <c r="I637" s="1115"/>
      <c r="J637" s="1115"/>
      <c r="K637" s="1115"/>
      <c r="L637" s="1115"/>
      <c r="M637" s="1115"/>
    </row>
    <row r="638" spans="1:13" x14ac:dyDescent="0.2">
      <c r="A638" s="1115"/>
      <c r="B638" s="1115"/>
      <c r="C638" s="1115"/>
      <c r="D638" s="1115"/>
      <c r="E638" s="1115"/>
      <c r="F638" s="1115"/>
      <c r="G638" s="1115"/>
      <c r="H638" s="1115"/>
      <c r="I638" s="1115"/>
      <c r="J638" s="1115"/>
      <c r="K638" s="1115"/>
      <c r="L638" s="1115"/>
      <c r="M638" s="1115"/>
    </row>
    <row r="639" spans="1:13" x14ac:dyDescent="0.2">
      <c r="A639" s="1115"/>
      <c r="B639" s="1115"/>
      <c r="C639" s="1115"/>
      <c r="D639" s="1115"/>
      <c r="E639" s="1115"/>
      <c r="F639" s="1115"/>
      <c r="G639" s="1115"/>
      <c r="H639" s="1115"/>
      <c r="I639" s="1115"/>
      <c r="J639" s="1115"/>
      <c r="K639" s="1115"/>
      <c r="L639" s="1115"/>
      <c r="M639" s="1115"/>
    </row>
    <row r="640" spans="1:13" x14ac:dyDescent="0.2">
      <c r="A640" s="1115"/>
      <c r="B640" s="1115"/>
      <c r="C640" s="1115"/>
      <c r="D640" s="1115"/>
      <c r="E640" s="1115"/>
      <c r="F640" s="1115"/>
      <c r="G640" s="1115"/>
      <c r="H640" s="1115"/>
      <c r="I640" s="1115"/>
      <c r="J640" s="1115"/>
      <c r="K640" s="1115"/>
      <c r="L640" s="1115"/>
      <c r="M640" s="1115"/>
    </row>
    <row r="641" spans="1:13" x14ac:dyDescent="0.2">
      <c r="A641" s="1115"/>
      <c r="B641" s="1115"/>
      <c r="C641" s="1115"/>
      <c r="D641" s="1115"/>
      <c r="E641" s="1115"/>
      <c r="F641" s="1115"/>
      <c r="G641" s="1115"/>
      <c r="H641" s="1115"/>
      <c r="I641" s="1115"/>
      <c r="J641" s="1115"/>
      <c r="K641" s="1115"/>
      <c r="L641" s="1115"/>
      <c r="M641" s="1115"/>
    </row>
    <row r="642" spans="1:13" x14ac:dyDescent="0.2">
      <c r="A642" s="1115"/>
      <c r="B642" s="1115"/>
      <c r="C642" s="1115"/>
      <c r="D642" s="1115"/>
      <c r="E642" s="1115"/>
      <c r="F642" s="1115"/>
      <c r="G642" s="1115"/>
      <c r="H642" s="1115"/>
      <c r="I642" s="1115"/>
      <c r="J642" s="1115"/>
      <c r="K642" s="1115"/>
      <c r="L642" s="1115"/>
      <c r="M642" s="1115"/>
    </row>
    <row r="643" spans="1:13" x14ac:dyDescent="0.2">
      <c r="A643" s="1115"/>
      <c r="B643" s="1115"/>
      <c r="C643" s="1115"/>
      <c r="D643" s="1115"/>
      <c r="E643" s="1115"/>
      <c r="F643" s="1115"/>
      <c r="G643" s="1115"/>
      <c r="H643" s="1115"/>
      <c r="I643" s="1115"/>
      <c r="J643" s="1115"/>
      <c r="K643" s="1115"/>
      <c r="L643" s="1115"/>
      <c r="M643" s="1115"/>
    </row>
    <row r="644" spans="1:13" x14ac:dyDescent="0.2">
      <c r="A644" s="1115"/>
      <c r="B644" s="1115"/>
      <c r="C644" s="1115"/>
      <c r="D644" s="1115"/>
      <c r="E644" s="1115"/>
      <c r="F644" s="1115"/>
      <c r="G644" s="1115"/>
      <c r="H644" s="1115"/>
      <c r="I644" s="1115"/>
      <c r="J644" s="1115"/>
      <c r="K644" s="1115"/>
      <c r="L644" s="1115"/>
      <c r="M644" s="1115"/>
    </row>
    <row r="645" spans="1:13" x14ac:dyDescent="0.2">
      <c r="A645" s="1115"/>
      <c r="B645" s="1115"/>
      <c r="C645" s="1115"/>
      <c r="D645" s="1115"/>
      <c r="E645" s="1115"/>
      <c r="F645" s="1115"/>
      <c r="G645" s="1115"/>
      <c r="H645" s="1115"/>
      <c r="I645" s="1115"/>
      <c r="J645" s="1115"/>
      <c r="K645" s="1115"/>
      <c r="L645" s="1115"/>
      <c r="M645" s="1115"/>
    </row>
    <row r="646" spans="1:13" x14ac:dyDescent="0.2">
      <c r="A646" s="1115"/>
      <c r="B646" s="1115"/>
      <c r="C646" s="1115"/>
      <c r="D646" s="1115"/>
      <c r="E646" s="1115"/>
      <c r="F646" s="1115"/>
      <c r="G646" s="1115"/>
      <c r="H646" s="1115"/>
      <c r="I646" s="1115"/>
      <c r="J646" s="1115"/>
      <c r="K646" s="1115"/>
      <c r="L646" s="1115"/>
      <c r="M646" s="1115"/>
    </row>
    <row r="647" spans="1:13" x14ac:dyDescent="0.2">
      <c r="A647" s="1115"/>
      <c r="B647" s="1115"/>
      <c r="C647" s="1115"/>
      <c r="D647" s="1115"/>
      <c r="E647" s="1115"/>
      <c r="F647" s="1115"/>
      <c r="G647" s="1115"/>
      <c r="H647" s="1115"/>
      <c r="I647" s="1115"/>
      <c r="J647" s="1115"/>
      <c r="K647" s="1115"/>
      <c r="L647" s="1115"/>
      <c r="M647" s="1115"/>
    </row>
    <row r="648" spans="1:13" x14ac:dyDescent="0.2">
      <c r="A648" s="1115"/>
      <c r="B648" s="1115"/>
      <c r="C648" s="1115"/>
      <c r="D648" s="1115"/>
      <c r="E648" s="1115"/>
      <c r="F648" s="1115"/>
      <c r="G648" s="1115"/>
      <c r="H648" s="1115"/>
      <c r="I648" s="1115"/>
      <c r="J648" s="1115"/>
      <c r="K648" s="1115"/>
      <c r="L648" s="1115"/>
      <c r="M648" s="1115"/>
    </row>
    <row r="649" spans="1:13" x14ac:dyDescent="0.2">
      <c r="A649" s="1115"/>
      <c r="B649" s="1115"/>
      <c r="C649" s="1115"/>
      <c r="D649" s="1115"/>
      <c r="E649" s="1115"/>
      <c r="F649" s="1115"/>
      <c r="G649" s="1115"/>
      <c r="H649" s="1115"/>
      <c r="I649" s="1115"/>
      <c r="J649" s="1115"/>
      <c r="K649" s="1115"/>
      <c r="L649" s="1115"/>
      <c r="M649" s="1115"/>
    </row>
    <row r="650" spans="1:13" x14ac:dyDescent="0.2">
      <c r="A650" s="1115"/>
      <c r="B650" s="1115"/>
      <c r="C650" s="1115"/>
      <c r="D650" s="1115"/>
      <c r="E650" s="1115"/>
      <c r="F650" s="1115"/>
      <c r="G650" s="1115"/>
      <c r="H650" s="1115"/>
      <c r="I650" s="1115"/>
      <c r="J650" s="1115"/>
      <c r="K650" s="1115"/>
      <c r="L650" s="1115"/>
      <c r="M650" s="1115"/>
    </row>
    <row r="651" spans="1:13" x14ac:dyDescent="0.2">
      <c r="A651" s="1115"/>
      <c r="B651" s="1115"/>
      <c r="C651" s="1115"/>
      <c r="D651" s="1115"/>
      <c r="E651" s="1115"/>
      <c r="F651" s="1115"/>
      <c r="G651" s="1115"/>
      <c r="H651" s="1115"/>
      <c r="I651" s="1115"/>
      <c r="J651" s="1115"/>
      <c r="K651" s="1115"/>
      <c r="L651" s="1115"/>
      <c r="M651" s="1115"/>
    </row>
    <row r="652" spans="1:13" x14ac:dyDescent="0.2">
      <c r="A652" s="1115"/>
      <c r="B652" s="1115"/>
      <c r="C652" s="1115"/>
      <c r="D652" s="1115"/>
      <c r="E652" s="1115"/>
      <c r="F652" s="1115"/>
      <c r="G652" s="1115"/>
      <c r="H652" s="1115"/>
      <c r="I652" s="1115"/>
      <c r="J652" s="1115"/>
      <c r="K652" s="1115"/>
      <c r="L652" s="1115"/>
      <c r="M652" s="1115"/>
    </row>
    <row r="653" spans="1:13" x14ac:dyDescent="0.2">
      <c r="A653" s="1115"/>
      <c r="B653" s="1115"/>
      <c r="C653" s="1115"/>
      <c r="D653" s="1115"/>
      <c r="E653" s="1115"/>
      <c r="F653" s="1115"/>
      <c r="G653" s="1115"/>
      <c r="H653" s="1115"/>
      <c r="I653" s="1115"/>
      <c r="J653" s="1115"/>
      <c r="K653" s="1115"/>
      <c r="L653" s="1115"/>
      <c r="M653" s="1115"/>
    </row>
    <row r="654" spans="1:13" x14ac:dyDescent="0.2">
      <c r="A654" s="1115"/>
      <c r="B654" s="1115"/>
      <c r="C654" s="1115"/>
      <c r="D654" s="1115"/>
      <c r="E654" s="1115"/>
      <c r="F654" s="1115"/>
      <c r="G654" s="1115"/>
      <c r="H654" s="1115"/>
      <c r="I654" s="1115"/>
      <c r="J654" s="1115"/>
      <c r="K654" s="1115"/>
      <c r="L654" s="1115"/>
      <c r="M654" s="1115"/>
    </row>
    <row r="655" spans="1:13" x14ac:dyDescent="0.2">
      <c r="A655" s="1115"/>
      <c r="B655" s="1115"/>
      <c r="C655" s="1115"/>
      <c r="D655" s="1115"/>
      <c r="E655" s="1115"/>
      <c r="F655" s="1115"/>
      <c r="G655" s="1115"/>
      <c r="H655" s="1115"/>
      <c r="I655" s="1115"/>
      <c r="J655" s="1115"/>
      <c r="K655" s="1115"/>
      <c r="L655" s="1115"/>
      <c r="M655" s="1115"/>
    </row>
    <row r="656" spans="1:13" x14ac:dyDescent="0.2">
      <c r="A656" s="1115"/>
      <c r="B656" s="1115"/>
      <c r="C656" s="1115"/>
      <c r="D656" s="1115"/>
      <c r="E656" s="1115"/>
      <c r="F656" s="1115"/>
      <c r="G656" s="1115"/>
      <c r="H656" s="1115"/>
      <c r="I656" s="1115"/>
      <c r="J656" s="1115"/>
      <c r="K656" s="1115"/>
      <c r="L656" s="1115"/>
      <c r="M656" s="1115"/>
    </row>
    <row r="657" spans="1:13" x14ac:dyDescent="0.2">
      <c r="A657" s="1115"/>
      <c r="B657" s="1115"/>
      <c r="C657" s="1115"/>
      <c r="D657" s="1115"/>
      <c r="E657" s="1115"/>
      <c r="F657" s="1115"/>
      <c r="G657" s="1115"/>
      <c r="H657" s="1115"/>
      <c r="I657" s="1115"/>
      <c r="J657" s="1115"/>
      <c r="K657" s="1115"/>
      <c r="L657" s="1115"/>
      <c r="M657" s="1115"/>
    </row>
    <row r="658" spans="1:13" x14ac:dyDescent="0.2">
      <c r="A658" s="1115"/>
      <c r="B658" s="1115"/>
      <c r="C658" s="1115"/>
      <c r="D658" s="1115"/>
      <c r="E658" s="1115"/>
      <c r="F658" s="1115"/>
      <c r="G658" s="1115"/>
      <c r="H658" s="1115"/>
      <c r="I658" s="1115"/>
      <c r="J658" s="1115"/>
      <c r="K658" s="1115"/>
      <c r="L658" s="1115"/>
      <c r="M658" s="1115"/>
    </row>
    <row r="659" spans="1:13" x14ac:dyDescent="0.2">
      <c r="A659" s="1115"/>
      <c r="B659" s="1115"/>
      <c r="C659" s="1115"/>
      <c r="D659" s="1115"/>
      <c r="E659" s="1115"/>
      <c r="F659" s="1115"/>
      <c r="G659" s="1115"/>
      <c r="H659" s="1115"/>
      <c r="I659" s="1115"/>
      <c r="J659" s="1115"/>
      <c r="K659" s="1115"/>
      <c r="L659" s="1115"/>
      <c r="M659" s="1115"/>
    </row>
    <row r="660" spans="1:13" x14ac:dyDescent="0.2">
      <c r="A660" s="1115"/>
      <c r="B660" s="1115"/>
      <c r="C660" s="1115"/>
      <c r="D660" s="1115"/>
      <c r="E660" s="1115"/>
      <c r="F660" s="1115"/>
      <c r="G660" s="1115"/>
      <c r="H660" s="1115"/>
      <c r="I660" s="1115"/>
      <c r="J660" s="1115"/>
      <c r="K660" s="1115"/>
      <c r="L660" s="1115"/>
      <c r="M660" s="1115"/>
    </row>
    <row r="661" spans="1:13" x14ac:dyDescent="0.2">
      <c r="A661" s="1115"/>
      <c r="B661" s="1115"/>
      <c r="C661" s="1115"/>
      <c r="D661" s="1115"/>
      <c r="E661" s="1115"/>
      <c r="F661" s="1115"/>
      <c r="G661" s="1115"/>
      <c r="H661" s="1115"/>
      <c r="I661" s="1115"/>
      <c r="J661" s="1115"/>
      <c r="K661" s="1115"/>
      <c r="L661" s="1115"/>
      <c r="M661" s="1115"/>
    </row>
    <row r="662" spans="1:13" x14ac:dyDescent="0.2">
      <c r="A662" s="1115"/>
      <c r="B662" s="1115"/>
      <c r="C662" s="1115"/>
      <c r="D662" s="1115"/>
      <c r="E662" s="1115"/>
      <c r="F662" s="1115"/>
      <c r="G662" s="1115"/>
      <c r="H662" s="1115"/>
      <c r="I662" s="1115"/>
      <c r="J662" s="1115"/>
      <c r="K662" s="1115"/>
      <c r="L662" s="1115"/>
      <c r="M662" s="1115"/>
    </row>
    <row r="663" spans="1:13" x14ac:dyDescent="0.2">
      <c r="A663" s="1115"/>
      <c r="B663" s="1115"/>
      <c r="C663" s="1115"/>
      <c r="D663" s="1115"/>
      <c r="E663" s="1115"/>
      <c r="F663" s="1115"/>
      <c r="G663" s="1115"/>
      <c r="H663" s="1115"/>
      <c r="I663" s="1115"/>
      <c r="J663" s="1115"/>
      <c r="K663" s="1115"/>
      <c r="L663" s="1115"/>
      <c r="M663" s="1115"/>
    </row>
    <row r="664" spans="1:13" x14ac:dyDescent="0.2">
      <c r="A664" s="1115"/>
      <c r="B664" s="1115"/>
      <c r="C664" s="1115"/>
      <c r="D664" s="1115"/>
      <c r="E664" s="1115"/>
      <c r="F664" s="1115"/>
      <c r="G664" s="1115"/>
      <c r="H664" s="1115"/>
      <c r="I664" s="1115"/>
      <c r="J664" s="1115"/>
      <c r="K664" s="1115"/>
      <c r="L664" s="1115"/>
      <c r="M664" s="1115"/>
    </row>
    <row r="665" spans="1:13" x14ac:dyDescent="0.2">
      <c r="A665" s="1115"/>
      <c r="B665" s="1115"/>
      <c r="C665" s="1115"/>
      <c r="D665" s="1115"/>
      <c r="E665" s="1115"/>
      <c r="F665" s="1115"/>
      <c r="G665" s="1115"/>
      <c r="H665" s="1115"/>
      <c r="I665" s="1115"/>
      <c r="J665" s="1115"/>
      <c r="K665" s="1115"/>
      <c r="L665" s="1115"/>
      <c r="M665" s="1115"/>
    </row>
    <row r="666" spans="1:13" x14ac:dyDescent="0.2">
      <c r="A666" s="1115"/>
      <c r="B666" s="1115"/>
      <c r="C666" s="1115"/>
      <c r="D666" s="1115"/>
      <c r="E666" s="1115"/>
      <c r="F666" s="1115"/>
      <c r="G666" s="1115"/>
      <c r="H666" s="1115"/>
      <c r="I666" s="1115"/>
      <c r="J666" s="1115"/>
      <c r="K666" s="1115"/>
      <c r="L666" s="1115"/>
      <c r="M666" s="1115"/>
    </row>
    <row r="667" spans="1:13" x14ac:dyDescent="0.2">
      <c r="A667" s="1115"/>
      <c r="B667" s="1115"/>
      <c r="C667" s="1115"/>
      <c r="D667" s="1115"/>
      <c r="E667" s="1115"/>
      <c r="F667" s="1115"/>
      <c r="G667" s="1115"/>
      <c r="H667" s="1115"/>
      <c r="I667" s="1115"/>
      <c r="J667" s="1115"/>
      <c r="K667" s="1115"/>
      <c r="L667" s="1115"/>
      <c r="M667" s="1115"/>
    </row>
    <row r="668" spans="1:13" x14ac:dyDescent="0.2">
      <c r="A668" s="1115"/>
      <c r="B668" s="1115"/>
      <c r="C668" s="1115"/>
      <c r="D668" s="1115"/>
      <c r="E668" s="1115"/>
      <c r="F668" s="1115"/>
      <c r="G668" s="1115"/>
      <c r="H668" s="1115"/>
      <c r="I668" s="1115"/>
      <c r="J668" s="1115"/>
      <c r="K668" s="1115"/>
      <c r="L668" s="1115"/>
      <c r="M668" s="1115"/>
    </row>
    <row r="669" spans="1:13" x14ac:dyDescent="0.2">
      <c r="A669" s="1115"/>
      <c r="B669" s="1115"/>
      <c r="C669" s="1115"/>
      <c r="D669" s="1115"/>
      <c r="E669" s="1115"/>
      <c r="F669" s="1115"/>
      <c r="G669" s="1115"/>
      <c r="H669" s="1115"/>
      <c r="I669" s="1115"/>
      <c r="J669" s="1115"/>
      <c r="K669" s="1115"/>
      <c r="L669" s="1115"/>
      <c r="M669" s="1115"/>
    </row>
    <row r="670" spans="1:13" x14ac:dyDescent="0.2">
      <c r="A670" s="1115"/>
      <c r="B670" s="1115"/>
      <c r="C670" s="1115"/>
      <c r="D670" s="1115"/>
      <c r="E670" s="1115"/>
      <c r="F670" s="1115"/>
      <c r="G670" s="1115"/>
      <c r="H670" s="1115"/>
      <c r="I670" s="1115"/>
      <c r="J670" s="1115"/>
      <c r="K670" s="1115"/>
      <c r="L670" s="1115"/>
      <c r="M670" s="1115"/>
    </row>
    <row r="671" spans="1:13" x14ac:dyDescent="0.2">
      <c r="A671" s="1115"/>
      <c r="B671" s="1115"/>
      <c r="C671" s="1115"/>
      <c r="D671" s="1115"/>
      <c r="E671" s="1115"/>
      <c r="F671" s="1115"/>
      <c r="G671" s="1115"/>
      <c r="H671" s="1115"/>
      <c r="I671" s="1115"/>
      <c r="J671" s="1115"/>
      <c r="K671" s="1115"/>
      <c r="L671" s="1115"/>
      <c r="M671" s="1115"/>
    </row>
    <row r="672" spans="1:13" x14ac:dyDescent="0.2">
      <c r="A672" s="1115"/>
      <c r="B672" s="1115"/>
      <c r="C672" s="1115"/>
      <c r="D672" s="1115"/>
      <c r="E672" s="1115"/>
      <c r="F672" s="1115"/>
      <c r="G672" s="1115"/>
      <c r="H672" s="1115"/>
      <c r="I672" s="1115"/>
      <c r="J672" s="1115"/>
      <c r="K672" s="1115"/>
      <c r="L672" s="1115"/>
      <c r="M672" s="1115"/>
    </row>
    <row r="673" spans="1:13" x14ac:dyDescent="0.2">
      <c r="A673" s="1115"/>
      <c r="B673" s="1115"/>
      <c r="C673" s="1115"/>
      <c r="D673" s="1115"/>
      <c r="E673" s="1115"/>
      <c r="F673" s="1115"/>
      <c r="G673" s="1115"/>
      <c r="H673" s="1115"/>
      <c r="I673" s="1115"/>
      <c r="J673" s="1115"/>
      <c r="K673" s="1115"/>
      <c r="L673" s="1115"/>
      <c r="M673" s="1115"/>
    </row>
    <row r="674" spans="1:13" x14ac:dyDescent="0.2">
      <c r="A674" s="1115"/>
      <c r="B674" s="1115"/>
      <c r="C674" s="1115"/>
      <c r="D674" s="1115"/>
      <c r="E674" s="1115"/>
      <c r="F674" s="1115"/>
      <c r="G674" s="1115"/>
      <c r="H674" s="1115"/>
      <c r="I674" s="1115"/>
      <c r="J674" s="1115"/>
      <c r="K674" s="1115"/>
      <c r="L674" s="1115"/>
      <c r="M674" s="1115"/>
    </row>
    <row r="675" spans="1:13" x14ac:dyDescent="0.2">
      <c r="A675" s="1115"/>
      <c r="B675" s="1115"/>
      <c r="C675" s="1115"/>
      <c r="D675" s="1115"/>
      <c r="E675" s="1115"/>
      <c r="F675" s="1115"/>
      <c r="G675" s="1115"/>
      <c r="H675" s="1115"/>
      <c r="I675" s="1115"/>
      <c r="J675" s="1115"/>
      <c r="K675" s="1115"/>
      <c r="L675" s="1115"/>
      <c r="M675" s="1115"/>
    </row>
    <row r="676" spans="1:13" x14ac:dyDescent="0.2">
      <c r="A676" s="1115"/>
      <c r="B676" s="1115"/>
      <c r="C676" s="1115"/>
      <c r="D676" s="1115"/>
      <c r="E676" s="1115"/>
      <c r="F676" s="1115"/>
      <c r="G676" s="1115"/>
      <c r="H676" s="1115"/>
      <c r="I676" s="1115"/>
      <c r="J676" s="1115"/>
      <c r="K676" s="1115"/>
      <c r="L676" s="1115"/>
      <c r="M676" s="1115"/>
    </row>
    <row r="677" spans="1:13" x14ac:dyDescent="0.2">
      <c r="A677" s="1115"/>
      <c r="B677" s="1115"/>
      <c r="C677" s="1115"/>
      <c r="D677" s="1115"/>
      <c r="E677" s="1115"/>
      <c r="F677" s="1115"/>
      <c r="G677" s="1115"/>
      <c r="H677" s="1115"/>
      <c r="I677" s="1115"/>
      <c r="J677" s="1115"/>
      <c r="K677" s="1115"/>
      <c r="L677" s="1115"/>
      <c r="M677" s="1115"/>
    </row>
    <row r="678" spans="1:13" x14ac:dyDescent="0.2">
      <c r="A678" s="1115"/>
      <c r="B678" s="1115"/>
      <c r="C678" s="1115"/>
      <c r="D678" s="1115"/>
      <c r="E678" s="1115"/>
      <c r="F678" s="1115"/>
      <c r="G678" s="1115"/>
      <c r="H678" s="1115"/>
      <c r="I678" s="1115"/>
      <c r="J678" s="1115"/>
      <c r="K678" s="1115"/>
      <c r="L678" s="1115"/>
      <c r="M678" s="1115"/>
    </row>
    <row r="679" spans="1:13" x14ac:dyDescent="0.2">
      <c r="A679" s="1115"/>
      <c r="B679" s="1115"/>
      <c r="C679" s="1115"/>
      <c r="D679" s="1115"/>
      <c r="E679" s="1115"/>
      <c r="F679" s="1115"/>
      <c r="G679" s="1115"/>
      <c r="H679" s="1115"/>
      <c r="I679" s="1115"/>
      <c r="J679" s="1115"/>
      <c r="K679" s="1115"/>
      <c r="L679" s="1115"/>
      <c r="M679" s="1115"/>
    </row>
    <row r="680" spans="1:13" x14ac:dyDescent="0.2">
      <c r="A680" s="1115"/>
      <c r="B680" s="1115"/>
      <c r="C680" s="1115"/>
      <c r="D680" s="1115"/>
      <c r="E680" s="1115"/>
      <c r="F680" s="1115"/>
      <c r="G680" s="1115"/>
      <c r="H680" s="1115"/>
      <c r="I680" s="1115"/>
      <c r="J680" s="1115"/>
      <c r="K680" s="1115"/>
      <c r="L680" s="1115"/>
      <c r="M680" s="1115"/>
    </row>
    <row r="681" spans="1:13" x14ac:dyDescent="0.2">
      <c r="A681" s="1115"/>
      <c r="B681" s="1115"/>
      <c r="C681" s="1115"/>
      <c r="D681" s="1115"/>
      <c r="E681" s="1115"/>
      <c r="F681" s="1115"/>
      <c r="G681" s="1115"/>
      <c r="H681" s="1115"/>
      <c r="I681" s="1115"/>
      <c r="J681" s="1115"/>
      <c r="K681" s="1115"/>
      <c r="L681" s="1115"/>
      <c r="M681" s="1115"/>
    </row>
    <row r="682" spans="1:13" x14ac:dyDescent="0.2">
      <c r="A682" s="1115"/>
      <c r="B682" s="1115"/>
      <c r="C682" s="1115"/>
      <c r="D682" s="1115"/>
      <c r="E682" s="1115"/>
      <c r="F682" s="1115"/>
      <c r="G682" s="1115"/>
      <c r="H682" s="1115"/>
      <c r="I682" s="1115"/>
      <c r="J682" s="1115"/>
      <c r="K682" s="1115"/>
      <c r="L682" s="1115"/>
      <c r="M682" s="1115"/>
    </row>
    <row r="683" spans="1:13" x14ac:dyDescent="0.2">
      <c r="A683" s="1115"/>
      <c r="B683" s="1115"/>
      <c r="C683" s="1115"/>
      <c r="D683" s="1115"/>
      <c r="E683" s="1115"/>
      <c r="F683" s="1115"/>
      <c r="G683" s="1115"/>
      <c r="H683" s="1115"/>
      <c r="I683" s="1115"/>
      <c r="J683" s="1115"/>
      <c r="K683" s="1115"/>
      <c r="L683" s="1115"/>
      <c r="M683" s="1115"/>
    </row>
    <row r="684" spans="1:13" x14ac:dyDescent="0.2">
      <c r="A684" s="1115"/>
      <c r="B684" s="1115"/>
      <c r="C684" s="1115"/>
      <c r="D684" s="1115"/>
      <c r="E684" s="1115"/>
      <c r="F684" s="1115"/>
      <c r="G684" s="1115"/>
      <c r="H684" s="1115"/>
      <c r="I684" s="1115"/>
      <c r="J684" s="1115"/>
      <c r="K684" s="1115"/>
      <c r="L684" s="1115"/>
      <c r="M684" s="1115"/>
    </row>
    <row r="685" spans="1:13" x14ac:dyDescent="0.2">
      <c r="A685" s="1115"/>
      <c r="B685" s="1115"/>
      <c r="C685" s="1115"/>
      <c r="D685" s="1115"/>
      <c r="E685" s="1115"/>
      <c r="F685" s="1115"/>
      <c r="G685" s="1115"/>
      <c r="H685" s="1115"/>
      <c r="I685" s="1115"/>
      <c r="J685" s="1115"/>
      <c r="K685" s="1115"/>
      <c r="L685" s="1115"/>
      <c r="M685" s="1115"/>
    </row>
    <row r="686" spans="1:13" x14ac:dyDescent="0.2">
      <c r="A686" s="1115"/>
      <c r="B686" s="1115"/>
      <c r="C686" s="1115"/>
      <c r="D686" s="1115"/>
      <c r="E686" s="1115"/>
      <c r="F686" s="1115"/>
      <c r="G686" s="1115"/>
      <c r="H686" s="1115"/>
      <c r="I686" s="1115"/>
      <c r="J686" s="1115"/>
      <c r="K686" s="1115"/>
      <c r="L686" s="1115"/>
      <c r="M686" s="1115"/>
    </row>
    <row r="687" spans="1:13" x14ac:dyDescent="0.2">
      <c r="A687" s="1115"/>
      <c r="B687" s="1115"/>
      <c r="C687" s="1115"/>
      <c r="D687" s="1115"/>
      <c r="E687" s="1115"/>
      <c r="F687" s="1115"/>
      <c r="G687" s="1115"/>
      <c r="H687" s="1115"/>
      <c r="I687" s="1115"/>
      <c r="J687" s="1115"/>
      <c r="K687" s="1115"/>
      <c r="L687" s="1115"/>
      <c r="M687" s="1115"/>
    </row>
    <row r="688" spans="1:13" x14ac:dyDescent="0.2">
      <c r="A688" s="1115"/>
      <c r="B688" s="1115"/>
      <c r="C688" s="1115"/>
      <c r="D688" s="1115"/>
      <c r="E688" s="1115"/>
      <c r="F688" s="1115"/>
      <c r="G688" s="1115"/>
      <c r="H688" s="1115"/>
      <c r="I688" s="1115"/>
      <c r="J688" s="1115"/>
      <c r="K688" s="1115"/>
      <c r="L688" s="1115"/>
      <c r="M688" s="1115"/>
    </row>
    <row r="689" spans="1:13" x14ac:dyDescent="0.2">
      <c r="A689" s="1115"/>
      <c r="B689" s="1115"/>
      <c r="C689" s="1115"/>
      <c r="D689" s="1115"/>
      <c r="E689" s="1115"/>
      <c r="F689" s="1115"/>
      <c r="G689" s="1115"/>
      <c r="H689" s="1115"/>
      <c r="I689" s="1115"/>
      <c r="J689" s="1115"/>
      <c r="K689" s="1115"/>
      <c r="L689" s="1115"/>
      <c r="M689" s="1115"/>
    </row>
    <row r="690" spans="1:13" x14ac:dyDescent="0.2">
      <c r="A690" s="1115"/>
      <c r="B690" s="1115"/>
      <c r="C690" s="1115"/>
      <c r="D690" s="1115"/>
      <c r="E690" s="1115"/>
      <c r="F690" s="1115"/>
      <c r="G690" s="1115"/>
      <c r="H690" s="1115"/>
      <c r="I690" s="1115"/>
      <c r="J690" s="1115"/>
      <c r="K690" s="1115"/>
      <c r="L690" s="1115"/>
      <c r="M690" s="1115"/>
    </row>
    <row r="691" spans="1:13" x14ac:dyDescent="0.2">
      <c r="A691" s="1115"/>
      <c r="B691" s="1115"/>
      <c r="C691" s="1115"/>
      <c r="D691" s="1115"/>
      <c r="E691" s="1115"/>
      <c r="F691" s="1115"/>
      <c r="G691" s="1115"/>
      <c r="H691" s="1115"/>
      <c r="I691" s="1115"/>
      <c r="J691" s="1115"/>
      <c r="K691" s="1115"/>
      <c r="L691" s="1115"/>
      <c r="M691" s="1115"/>
    </row>
    <row r="692" spans="1:13" x14ac:dyDescent="0.2">
      <c r="A692" s="1115"/>
      <c r="B692" s="1115"/>
      <c r="C692" s="1115"/>
      <c r="D692" s="1115"/>
      <c r="E692" s="1115"/>
      <c r="F692" s="1115"/>
      <c r="G692" s="1115"/>
      <c r="H692" s="1115"/>
      <c r="I692" s="1115"/>
      <c r="J692" s="1115"/>
      <c r="K692" s="1115"/>
      <c r="L692" s="1115"/>
      <c r="M692" s="1115"/>
    </row>
    <row r="693" spans="1:13" x14ac:dyDescent="0.2">
      <c r="A693" s="1115"/>
      <c r="B693" s="1115"/>
      <c r="C693" s="1115"/>
      <c r="D693" s="1115"/>
      <c r="E693" s="1115"/>
      <c r="F693" s="1115"/>
      <c r="G693" s="1115"/>
      <c r="H693" s="1115"/>
      <c r="I693" s="1115"/>
      <c r="J693" s="1115"/>
      <c r="K693" s="1115"/>
      <c r="L693" s="1115"/>
      <c r="M693" s="1115"/>
    </row>
    <row r="694" spans="1:13" x14ac:dyDescent="0.2">
      <c r="A694" s="1115"/>
      <c r="B694" s="1115"/>
      <c r="C694" s="1115"/>
      <c r="D694" s="1115"/>
      <c r="E694" s="1115"/>
      <c r="F694" s="1115"/>
      <c r="G694" s="1115"/>
      <c r="H694" s="1115"/>
      <c r="I694" s="1115"/>
      <c r="J694" s="1115"/>
      <c r="K694" s="1115"/>
      <c r="L694" s="1115"/>
      <c r="M694" s="1115"/>
    </row>
    <row r="695" spans="1:13" x14ac:dyDescent="0.2">
      <c r="A695" s="1115"/>
      <c r="B695" s="1115"/>
      <c r="C695" s="1115"/>
      <c r="D695" s="1115"/>
      <c r="E695" s="1115"/>
      <c r="F695" s="1115"/>
      <c r="G695" s="1115"/>
      <c r="H695" s="1115"/>
      <c r="I695" s="1115"/>
      <c r="J695" s="1115"/>
      <c r="K695" s="1115"/>
      <c r="L695" s="1115"/>
      <c r="M695" s="1115"/>
    </row>
    <row r="696" spans="1:13" x14ac:dyDescent="0.2">
      <c r="A696" s="1115"/>
      <c r="B696" s="1115"/>
      <c r="C696" s="1115"/>
      <c r="D696" s="1115"/>
      <c r="E696" s="1115"/>
      <c r="F696" s="1115"/>
      <c r="G696" s="1115"/>
      <c r="H696" s="1115"/>
      <c r="I696" s="1115"/>
      <c r="J696" s="1115"/>
      <c r="K696" s="1115"/>
      <c r="L696" s="1115"/>
      <c r="M696" s="1115"/>
    </row>
    <row r="697" spans="1:13" x14ac:dyDescent="0.2">
      <c r="A697" s="1115"/>
      <c r="B697" s="1115"/>
      <c r="C697" s="1115"/>
      <c r="D697" s="1115"/>
      <c r="E697" s="1115"/>
      <c r="F697" s="1115"/>
      <c r="G697" s="1115"/>
      <c r="H697" s="1115"/>
      <c r="I697" s="1115"/>
      <c r="J697" s="1115"/>
      <c r="K697" s="1115"/>
      <c r="L697" s="1115"/>
      <c r="M697" s="1115"/>
    </row>
    <row r="698" spans="1:13" x14ac:dyDescent="0.2">
      <c r="A698" s="1115"/>
      <c r="B698" s="1115"/>
      <c r="C698" s="1115"/>
      <c r="D698" s="1115"/>
      <c r="E698" s="1115"/>
      <c r="F698" s="1115"/>
      <c r="G698" s="1115"/>
      <c r="H698" s="1115"/>
      <c r="I698" s="1115"/>
      <c r="J698" s="1115"/>
      <c r="K698" s="1115"/>
      <c r="L698" s="1115"/>
      <c r="M698" s="1115"/>
    </row>
    <row r="699" spans="1:13" x14ac:dyDescent="0.2">
      <c r="A699" s="1115"/>
      <c r="B699" s="1115"/>
      <c r="C699" s="1115"/>
      <c r="D699" s="1115"/>
      <c r="E699" s="1115"/>
      <c r="F699" s="1115"/>
      <c r="G699" s="1115"/>
      <c r="H699" s="1115"/>
      <c r="I699" s="1115"/>
      <c r="J699" s="1115"/>
      <c r="K699" s="1115"/>
      <c r="L699" s="1115"/>
      <c r="M699" s="1115"/>
    </row>
    <row r="700" spans="1:13" x14ac:dyDescent="0.2">
      <c r="A700" s="1115"/>
      <c r="B700" s="1115"/>
      <c r="C700" s="1115"/>
      <c r="D700" s="1115"/>
      <c r="E700" s="1115"/>
      <c r="F700" s="1115"/>
      <c r="G700" s="1115"/>
      <c r="H700" s="1115"/>
      <c r="I700" s="1115"/>
      <c r="J700" s="1115"/>
      <c r="K700" s="1115"/>
      <c r="L700" s="1115"/>
      <c r="M700" s="1115"/>
    </row>
    <row r="701" spans="1:13" x14ac:dyDescent="0.2">
      <c r="A701" s="1115"/>
      <c r="B701" s="1115"/>
      <c r="C701" s="1115"/>
      <c r="D701" s="1115"/>
      <c r="E701" s="1115"/>
      <c r="F701" s="1115"/>
      <c r="G701" s="1115"/>
      <c r="H701" s="1115"/>
      <c r="I701" s="1115"/>
      <c r="J701" s="1115"/>
      <c r="K701" s="1115"/>
      <c r="L701" s="1115"/>
      <c r="M701" s="1115"/>
    </row>
    <row r="702" spans="1:13" x14ac:dyDescent="0.2">
      <c r="A702" s="1115"/>
      <c r="B702" s="1115"/>
      <c r="C702" s="1115"/>
      <c r="D702" s="1115"/>
      <c r="E702" s="1115"/>
      <c r="F702" s="1115"/>
      <c r="G702" s="1115"/>
      <c r="H702" s="1115"/>
      <c r="I702" s="1115"/>
      <c r="J702" s="1115"/>
      <c r="K702" s="1115"/>
      <c r="L702" s="1115"/>
      <c r="M702" s="1115"/>
    </row>
    <row r="703" spans="1:13" x14ac:dyDescent="0.2">
      <c r="A703" s="1115"/>
      <c r="B703" s="1115"/>
      <c r="C703" s="1115"/>
      <c r="D703" s="1115"/>
      <c r="E703" s="1115"/>
      <c r="F703" s="1115"/>
      <c r="G703" s="1115"/>
      <c r="H703" s="1115"/>
      <c r="I703" s="1115"/>
      <c r="J703" s="1115"/>
      <c r="K703" s="1115"/>
      <c r="L703" s="1115"/>
      <c r="M703" s="1115"/>
    </row>
    <row r="704" spans="1:13" x14ac:dyDescent="0.2">
      <c r="A704" s="1115"/>
      <c r="B704" s="1115"/>
      <c r="C704" s="1115"/>
      <c r="D704" s="1115"/>
      <c r="E704" s="1115"/>
      <c r="F704" s="1115"/>
      <c r="G704" s="1115"/>
      <c r="H704" s="1115"/>
      <c r="I704" s="1115"/>
      <c r="J704" s="1115"/>
      <c r="K704" s="1115"/>
      <c r="L704" s="1115"/>
      <c r="M704" s="1115"/>
    </row>
    <row r="705" spans="1:13" x14ac:dyDescent="0.2">
      <c r="A705" s="1115"/>
      <c r="B705" s="1115"/>
      <c r="C705" s="1115"/>
      <c r="D705" s="1115"/>
      <c r="E705" s="1115"/>
      <c r="F705" s="1115"/>
      <c r="G705" s="1115"/>
      <c r="H705" s="1115"/>
      <c r="I705" s="1115"/>
      <c r="J705" s="1115"/>
      <c r="K705" s="1115"/>
      <c r="L705" s="1115"/>
      <c r="M705" s="1115"/>
    </row>
    <row r="706" spans="1:13" x14ac:dyDescent="0.2">
      <c r="A706" s="1115"/>
      <c r="B706" s="1115"/>
      <c r="C706" s="1115"/>
      <c r="D706" s="1115"/>
      <c r="E706" s="1115"/>
      <c r="F706" s="1115"/>
      <c r="G706" s="1115"/>
      <c r="H706" s="1115"/>
      <c r="I706" s="1115"/>
      <c r="J706" s="1115"/>
      <c r="K706" s="1115"/>
      <c r="L706" s="1115"/>
      <c r="M706" s="1115"/>
    </row>
    <row r="707" spans="1:13" x14ac:dyDescent="0.2">
      <c r="A707" s="1115"/>
      <c r="B707" s="1115"/>
      <c r="C707" s="1115"/>
      <c r="D707" s="1115"/>
      <c r="E707" s="1115"/>
      <c r="F707" s="1115"/>
      <c r="G707" s="1115"/>
      <c r="H707" s="1115"/>
      <c r="I707" s="1115"/>
      <c r="J707" s="1115"/>
      <c r="K707" s="1115"/>
      <c r="L707" s="1115"/>
      <c r="M707" s="1115"/>
    </row>
    <row r="708" spans="1:13" x14ac:dyDescent="0.2">
      <c r="A708" s="1115"/>
      <c r="B708" s="1115"/>
      <c r="C708" s="1115"/>
      <c r="D708" s="1115"/>
      <c r="E708" s="1115"/>
      <c r="F708" s="1115"/>
      <c r="G708" s="1115"/>
      <c r="H708" s="1115"/>
      <c r="I708" s="1115"/>
      <c r="J708" s="1115"/>
      <c r="K708" s="1115"/>
      <c r="L708" s="1115"/>
      <c r="M708" s="1115"/>
    </row>
    <row r="709" spans="1:13" x14ac:dyDescent="0.2">
      <c r="A709" s="1115"/>
      <c r="B709" s="1115"/>
      <c r="C709" s="1115"/>
      <c r="D709" s="1115"/>
      <c r="E709" s="1115"/>
      <c r="F709" s="1115"/>
      <c r="G709" s="1115"/>
      <c r="H709" s="1115"/>
      <c r="I709" s="1115"/>
      <c r="J709" s="1115"/>
      <c r="K709" s="1115"/>
      <c r="L709" s="1115"/>
      <c r="M709" s="1115"/>
    </row>
    <row r="710" spans="1:13" x14ac:dyDescent="0.2">
      <c r="A710" s="1115"/>
      <c r="B710" s="1115"/>
      <c r="C710" s="1115"/>
      <c r="D710" s="1115"/>
      <c r="E710" s="1115"/>
      <c r="F710" s="1115"/>
      <c r="G710" s="1115"/>
      <c r="H710" s="1115"/>
      <c r="I710" s="1115"/>
      <c r="J710" s="1115"/>
      <c r="K710" s="1115"/>
      <c r="L710" s="1115"/>
      <c r="M710" s="1115"/>
    </row>
    <row r="711" spans="1:13" x14ac:dyDescent="0.2">
      <c r="A711" s="1115"/>
      <c r="B711" s="1115"/>
      <c r="C711" s="1115"/>
      <c r="D711" s="1115"/>
      <c r="E711" s="1115"/>
      <c r="F711" s="1115"/>
      <c r="G711" s="1115"/>
      <c r="H711" s="1115"/>
      <c r="I711" s="1115"/>
      <c r="J711" s="1115"/>
      <c r="K711" s="1115"/>
      <c r="L711" s="1115"/>
      <c r="M711" s="1115"/>
    </row>
    <row r="712" spans="1:13" x14ac:dyDescent="0.2">
      <c r="A712" s="1115"/>
      <c r="B712" s="1115"/>
      <c r="C712" s="1115"/>
      <c r="D712" s="1115"/>
      <c r="E712" s="1115"/>
      <c r="F712" s="1115"/>
      <c r="G712" s="1115"/>
      <c r="H712" s="1115"/>
      <c r="I712" s="1115"/>
      <c r="J712" s="1115"/>
      <c r="K712" s="1115"/>
      <c r="L712" s="1115"/>
      <c r="M712" s="1115"/>
    </row>
    <row r="713" spans="1:13" x14ac:dyDescent="0.2">
      <c r="A713" s="1115"/>
      <c r="B713" s="1115"/>
      <c r="C713" s="1115"/>
      <c r="D713" s="1115"/>
      <c r="E713" s="1115"/>
      <c r="F713" s="1115"/>
      <c r="G713" s="1115"/>
      <c r="H713" s="1115"/>
      <c r="I713" s="1115"/>
      <c r="J713" s="1115"/>
      <c r="K713" s="1115"/>
      <c r="L713" s="1115"/>
      <c r="M713" s="1115"/>
    </row>
    <row r="714" spans="1:13" x14ac:dyDescent="0.2">
      <c r="A714" s="1115"/>
      <c r="B714" s="1115"/>
      <c r="C714" s="1115"/>
      <c r="D714" s="1115"/>
      <c r="E714" s="1115"/>
      <c r="F714" s="1115"/>
      <c r="G714" s="1115"/>
      <c r="H714" s="1115"/>
      <c r="I714" s="1115"/>
      <c r="J714" s="1115"/>
      <c r="K714" s="1115"/>
      <c r="L714" s="1115"/>
      <c r="M714" s="1115"/>
    </row>
    <row r="715" spans="1:13" x14ac:dyDescent="0.2">
      <c r="A715" s="1115"/>
      <c r="B715" s="1115"/>
      <c r="C715" s="1115"/>
      <c r="D715" s="1115"/>
      <c r="E715" s="1115"/>
      <c r="F715" s="1115"/>
      <c r="G715" s="1115"/>
      <c r="H715" s="1115"/>
      <c r="I715" s="1115"/>
      <c r="J715" s="1115"/>
      <c r="K715" s="1115"/>
      <c r="L715" s="1115"/>
      <c r="M715" s="1115"/>
    </row>
    <row r="716" spans="1:13" x14ac:dyDescent="0.2">
      <c r="A716" s="1115"/>
      <c r="B716" s="1115"/>
      <c r="C716" s="1115"/>
      <c r="D716" s="1115"/>
      <c r="E716" s="1115"/>
      <c r="F716" s="1115"/>
      <c r="G716" s="1115"/>
      <c r="H716" s="1115"/>
      <c r="I716" s="1115"/>
      <c r="J716" s="1115"/>
      <c r="K716" s="1115"/>
      <c r="L716" s="1115"/>
      <c r="M716" s="1115"/>
    </row>
    <row r="717" spans="1:13" x14ac:dyDescent="0.2">
      <c r="A717" s="1115"/>
      <c r="B717" s="1115"/>
      <c r="C717" s="1115"/>
      <c r="D717" s="1115"/>
      <c r="E717" s="1115"/>
      <c r="F717" s="1115"/>
      <c r="G717" s="1115"/>
      <c r="H717" s="1115"/>
      <c r="I717" s="1115"/>
      <c r="J717" s="1115"/>
      <c r="K717" s="1115"/>
      <c r="L717" s="1115"/>
      <c r="M717" s="1115"/>
    </row>
    <row r="718" spans="1:13" x14ac:dyDescent="0.2">
      <c r="A718" s="1115"/>
      <c r="B718" s="1115"/>
      <c r="C718" s="1115"/>
      <c r="D718" s="1115"/>
      <c r="E718" s="1115"/>
      <c r="F718" s="1115"/>
      <c r="G718" s="1115"/>
      <c r="H718" s="1115"/>
      <c r="I718" s="1115"/>
      <c r="J718" s="1115"/>
      <c r="K718" s="1115"/>
      <c r="L718" s="1115"/>
      <c r="M718" s="1115"/>
    </row>
    <row r="719" spans="1:13" x14ac:dyDescent="0.2">
      <c r="A719" s="1115"/>
      <c r="B719" s="1115"/>
      <c r="C719" s="1115"/>
      <c r="D719" s="1115"/>
      <c r="E719" s="1115"/>
      <c r="F719" s="1115"/>
      <c r="G719" s="1115"/>
      <c r="H719" s="1115"/>
      <c r="I719" s="1115"/>
      <c r="J719" s="1115"/>
      <c r="K719" s="1115"/>
      <c r="L719" s="1115"/>
      <c r="M719" s="1115"/>
    </row>
    <row r="720" spans="1:13" x14ac:dyDescent="0.2">
      <c r="A720" s="1115"/>
      <c r="B720" s="1115"/>
      <c r="C720" s="1115"/>
      <c r="D720" s="1115"/>
      <c r="E720" s="1115"/>
      <c r="F720" s="1115"/>
      <c r="G720" s="1115"/>
      <c r="H720" s="1115"/>
      <c r="I720" s="1115"/>
      <c r="J720" s="1115"/>
      <c r="K720" s="1115"/>
      <c r="L720" s="1115"/>
      <c r="M720" s="1115"/>
    </row>
    <row r="721" spans="1:13" x14ac:dyDescent="0.2">
      <c r="A721" s="1115"/>
      <c r="B721" s="1115"/>
      <c r="C721" s="1115"/>
      <c r="D721" s="1115"/>
      <c r="E721" s="1115"/>
      <c r="F721" s="1115"/>
      <c r="G721" s="1115"/>
      <c r="H721" s="1115"/>
      <c r="I721" s="1115"/>
      <c r="J721" s="1115"/>
      <c r="K721" s="1115"/>
      <c r="L721" s="1115"/>
      <c r="M721" s="1115"/>
    </row>
    <row r="722" spans="1:13" x14ac:dyDescent="0.2">
      <c r="A722" s="1115"/>
      <c r="B722" s="1115"/>
      <c r="C722" s="1115"/>
      <c r="D722" s="1115"/>
      <c r="E722" s="1115"/>
      <c r="F722" s="1115"/>
      <c r="G722" s="1115"/>
      <c r="H722" s="1115"/>
      <c r="I722" s="1115"/>
      <c r="J722" s="1115"/>
      <c r="K722" s="1115"/>
      <c r="L722" s="1115"/>
      <c r="M722" s="1115"/>
    </row>
    <row r="723" spans="1:13" x14ac:dyDescent="0.2">
      <c r="A723" s="1115"/>
      <c r="B723" s="1115"/>
      <c r="C723" s="1115"/>
      <c r="D723" s="1115"/>
      <c r="E723" s="1115"/>
      <c r="F723" s="1115"/>
      <c r="G723" s="1115"/>
      <c r="H723" s="1115"/>
      <c r="I723" s="1115"/>
      <c r="J723" s="1115"/>
      <c r="K723" s="1115"/>
      <c r="L723" s="1115"/>
      <c r="M723" s="1115"/>
    </row>
    <row r="724" spans="1:13" x14ac:dyDescent="0.2">
      <c r="A724" s="1115"/>
      <c r="B724" s="1115"/>
      <c r="C724" s="1115"/>
      <c r="D724" s="1115"/>
      <c r="E724" s="1115"/>
      <c r="F724" s="1115"/>
      <c r="G724" s="1115"/>
      <c r="H724" s="1115"/>
      <c r="I724" s="1115"/>
      <c r="J724" s="1115"/>
      <c r="K724" s="1115"/>
      <c r="L724" s="1115"/>
      <c r="M724" s="1115"/>
    </row>
    <row r="725" spans="1:13" x14ac:dyDescent="0.2">
      <c r="A725" s="1115"/>
      <c r="B725" s="1115"/>
      <c r="C725" s="1115"/>
      <c r="D725" s="1115"/>
      <c r="E725" s="1115"/>
      <c r="F725" s="1115"/>
      <c r="G725" s="1115"/>
      <c r="H725" s="1115"/>
      <c r="I725" s="1115"/>
      <c r="J725" s="1115"/>
      <c r="K725" s="1115"/>
      <c r="L725" s="1115"/>
      <c r="M725" s="1115"/>
    </row>
    <row r="726" spans="1:13" x14ac:dyDescent="0.2">
      <c r="A726" s="1115"/>
      <c r="B726" s="1115"/>
      <c r="C726" s="1115"/>
      <c r="D726" s="1115"/>
      <c r="E726" s="1115"/>
      <c r="F726" s="1115"/>
      <c r="G726" s="1115"/>
      <c r="H726" s="1115"/>
      <c r="I726" s="1115"/>
      <c r="J726" s="1115"/>
      <c r="K726" s="1115"/>
      <c r="L726" s="1115"/>
      <c r="M726" s="1115"/>
    </row>
    <row r="727" spans="1:13" x14ac:dyDescent="0.2">
      <c r="A727" s="1115"/>
      <c r="B727" s="1115"/>
      <c r="C727" s="1115"/>
      <c r="D727" s="1115"/>
      <c r="E727" s="1115"/>
      <c r="F727" s="1115"/>
      <c r="G727" s="1115"/>
      <c r="H727" s="1115"/>
      <c r="I727" s="1115"/>
      <c r="J727" s="1115"/>
      <c r="K727" s="1115"/>
      <c r="L727" s="1115"/>
      <c r="M727" s="1115"/>
    </row>
    <row r="728" spans="1:13" x14ac:dyDescent="0.2">
      <c r="A728" s="1115"/>
      <c r="B728" s="1115"/>
      <c r="C728" s="1115"/>
      <c r="D728" s="1115"/>
      <c r="E728" s="1115"/>
      <c r="F728" s="1115"/>
      <c r="G728" s="1115"/>
      <c r="H728" s="1115"/>
      <c r="I728" s="1115"/>
      <c r="J728" s="1115"/>
      <c r="K728" s="1115"/>
      <c r="L728" s="1115"/>
      <c r="M728" s="1115"/>
    </row>
    <row r="729" spans="1:13" x14ac:dyDescent="0.2">
      <c r="A729" s="1115"/>
      <c r="B729" s="1115"/>
      <c r="C729" s="1115"/>
      <c r="D729" s="1115"/>
      <c r="E729" s="1115"/>
      <c r="F729" s="1115"/>
      <c r="G729" s="1115"/>
      <c r="H729" s="1115"/>
      <c r="I729" s="1115"/>
      <c r="J729" s="1115"/>
      <c r="K729" s="1115"/>
      <c r="L729" s="1115"/>
      <c r="M729" s="1115"/>
    </row>
    <row r="730" spans="1:13" x14ac:dyDescent="0.2">
      <c r="A730" s="1115"/>
      <c r="B730" s="1115"/>
      <c r="C730" s="1115"/>
      <c r="D730" s="1115"/>
      <c r="E730" s="1115"/>
      <c r="F730" s="1115"/>
      <c r="G730" s="1115"/>
      <c r="H730" s="1115"/>
      <c r="I730" s="1115"/>
      <c r="J730" s="1115"/>
      <c r="K730" s="1115"/>
      <c r="L730" s="1115"/>
      <c r="M730" s="1115"/>
    </row>
    <row r="731" spans="1:13" x14ac:dyDescent="0.2">
      <c r="A731" s="1115"/>
      <c r="B731" s="1115"/>
      <c r="C731" s="1115"/>
      <c r="D731" s="1115"/>
      <c r="E731" s="1115"/>
      <c r="F731" s="1115"/>
      <c r="G731" s="1115"/>
      <c r="H731" s="1115"/>
      <c r="I731" s="1115"/>
      <c r="J731" s="1115"/>
      <c r="K731" s="1115"/>
      <c r="L731" s="1115"/>
      <c r="M731" s="1115"/>
    </row>
    <row r="732" spans="1:13" x14ac:dyDescent="0.2">
      <c r="A732" s="1115"/>
      <c r="B732" s="1115"/>
      <c r="C732" s="1115"/>
      <c r="D732" s="1115"/>
      <c r="E732" s="1115"/>
      <c r="F732" s="1115"/>
      <c r="G732" s="1115"/>
      <c r="H732" s="1115"/>
      <c r="I732" s="1115"/>
      <c r="J732" s="1115"/>
      <c r="K732" s="1115"/>
      <c r="L732" s="1115"/>
      <c r="M732" s="1115"/>
    </row>
    <row r="733" spans="1:13" x14ac:dyDescent="0.2">
      <c r="A733" s="1115"/>
      <c r="B733" s="1115"/>
      <c r="C733" s="1115"/>
      <c r="D733" s="1115"/>
      <c r="E733" s="1115"/>
      <c r="F733" s="1115"/>
      <c r="G733" s="1115"/>
      <c r="H733" s="1115"/>
      <c r="I733" s="1115"/>
      <c r="J733" s="1115"/>
      <c r="K733" s="1115"/>
      <c r="L733" s="1115"/>
      <c r="M733" s="1115"/>
    </row>
    <row r="734" spans="1:13" x14ac:dyDescent="0.2">
      <c r="A734" s="1115"/>
      <c r="B734" s="1115"/>
      <c r="C734" s="1115"/>
      <c r="D734" s="1115"/>
      <c r="E734" s="1115"/>
      <c r="F734" s="1115"/>
      <c r="G734" s="1115"/>
      <c r="H734" s="1115"/>
      <c r="I734" s="1115"/>
      <c r="J734" s="1115"/>
      <c r="K734" s="1115"/>
      <c r="L734" s="1115"/>
      <c r="M734" s="1115"/>
    </row>
    <row r="735" spans="1:13" x14ac:dyDescent="0.2">
      <c r="A735" s="1115"/>
      <c r="B735" s="1115"/>
      <c r="C735" s="1115"/>
      <c r="D735" s="1115"/>
      <c r="E735" s="1115"/>
      <c r="F735" s="1115"/>
      <c r="G735" s="1115"/>
      <c r="H735" s="1115"/>
      <c r="I735" s="1115"/>
      <c r="J735" s="1115"/>
      <c r="K735" s="1115"/>
      <c r="L735" s="1115"/>
      <c r="M735" s="1115"/>
    </row>
    <row r="736" spans="1:13" x14ac:dyDescent="0.2">
      <c r="A736" s="1115"/>
      <c r="B736" s="1115"/>
      <c r="C736" s="1115"/>
      <c r="D736" s="1115"/>
      <c r="E736" s="1115"/>
      <c r="F736" s="1115"/>
      <c r="G736" s="1115"/>
      <c r="H736" s="1115"/>
      <c r="I736" s="1115"/>
      <c r="J736" s="1115"/>
      <c r="K736" s="1115"/>
      <c r="L736" s="1115"/>
      <c r="M736" s="1115"/>
    </row>
    <row r="737" spans="1:13" x14ac:dyDescent="0.2">
      <c r="A737" s="1115"/>
      <c r="B737" s="1115"/>
      <c r="C737" s="1115"/>
      <c r="D737" s="1115"/>
      <c r="E737" s="1115"/>
      <c r="F737" s="1115"/>
      <c r="G737" s="1115"/>
      <c r="H737" s="1115"/>
      <c r="I737" s="1115"/>
      <c r="J737" s="1115"/>
      <c r="K737" s="1115"/>
      <c r="L737" s="1115"/>
      <c r="M737" s="1115"/>
    </row>
    <row r="738" spans="1:13" x14ac:dyDescent="0.2">
      <c r="A738" s="1115"/>
      <c r="B738" s="1115"/>
      <c r="C738" s="1115"/>
      <c r="D738" s="1115"/>
      <c r="E738" s="1115"/>
      <c r="F738" s="1115"/>
      <c r="G738" s="1115"/>
      <c r="H738" s="1115"/>
      <c r="I738" s="1115"/>
      <c r="J738" s="1115"/>
      <c r="K738" s="1115"/>
      <c r="L738" s="1115"/>
      <c r="M738" s="1115"/>
    </row>
    <row r="739" spans="1:13" x14ac:dyDescent="0.2">
      <c r="A739" s="1115"/>
      <c r="B739" s="1115"/>
      <c r="C739" s="1115"/>
      <c r="D739" s="1115"/>
      <c r="E739" s="1115"/>
      <c r="F739" s="1115"/>
      <c r="G739" s="1115"/>
      <c r="H739" s="1115"/>
      <c r="I739" s="1115"/>
      <c r="J739" s="1115"/>
      <c r="K739" s="1115"/>
      <c r="L739" s="1115"/>
      <c r="M739" s="1115"/>
    </row>
    <row r="740" spans="1:13" x14ac:dyDescent="0.2">
      <c r="A740" s="1115"/>
      <c r="B740" s="1115"/>
      <c r="C740" s="1115"/>
      <c r="D740" s="1115"/>
      <c r="E740" s="1115"/>
      <c r="F740" s="1115"/>
      <c r="G740" s="1115"/>
      <c r="H740" s="1115"/>
      <c r="I740" s="1115"/>
      <c r="J740" s="1115"/>
      <c r="K740" s="1115"/>
      <c r="L740" s="1115"/>
      <c r="M740" s="1115"/>
    </row>
    <row r="741" spans="1:13" x14ac:dyDescent="0.2">
      <c r="A741" s="1115"/>
      <c r="B741" s="1115"/>
      <c r="C741" s="1115"/>
      <c r="D741" s="1115"/>
      <c r="E741" s="1115"/>
      <c r="F741" s="1115"/>
      <c r="G741" s="1115"/>
      <c r="H741" s="1115"/>
      <c r="I741" s="1115"/>
      <c r="J741" s="1115"/>
      <c r="K741" s="1115"/>
      <c r="L741" s="1115"/>
      <c r="M741" s="1115"/>
    </row>
    <row r="742" spans="1:13" x14ac:dyDescent="0.2">
      <c r="A742" s="1115"/>
      <c r="B742" s="1115"/>
      <c r="C742" s="1115"/>
      <c r="D742" s="1115"/>
      <c r="E742" s="1115"/>
      <c r="F742" s="1115"/>
      <c r="G742" s="1115"/>
      <c r="H742" s="1115"/>
      <c r="I742" s="1115"/>
      <c r="J742" s="1115"/>
      <c r="K742" s="1115"/>
      <c r="L742" s="1115"/>
      <c r="M742" s="1115"/>
    </row>
    <row r="743" spans="1:13" x14ac:dyDescent="0.2">
      <c r="A743" s="1115"/>
      <c r="B743" s="1115"/>
      <c r="C743" s="1115"/>
      <c r="D743" s="1115"/>
      <c r="E743" s="1115"/>
      <c r="F743" s="1115"/>
      <c r="G743" s="1115"/>
      <c r="H743" s="1115"/>
      <c r="I743" s="1115"/>
      <c r="J743" s="1115"/>
      <c r="K743" s="1115"/>
      <c r="L743" s="1115"/>
      <c r="M743" s="1115"/>
    </row>
    <row r="744" spans="1:13" x14ac:dyDescent="0.2">
      <c r="A744" s="1115"/>
      <c r="B744" s="1115"/>
      <c r="C744" s="1115"/>
      <c r="D744" s="1115"/>
      <c r="E744" s="1115"/>
      <c r="F744" s="1115"/>
      <c r="G744" s="1115"/>
      <c r="H744" s="1115"/>
      <c r="I744" s="1115"/>
      <c r="J744" s="1115"/>
      <c r="K744" s="1115"/>
      <c r="L744" s="1115"/>
      <c r="M744" s="1115"/>
    </row>
    <row r="745" spans="1:13" x14ac:dyDescent="0.2">
      <c r="A745" s="1115"/>
      <c r="B745" s="1115"/>
      <c r="C745" s="1115"/>
      <c r="D745" s="1115"/>
      <c r="E745" s="1115"/>
      <c r="F745" s="1115"/>
      <c r="G745" s="1115"/>
      <c r="H745" s="1115"/>
      <c r="I745" s="1115"/>
      <c r="J745" s="1115"/>
      <c r="K745" s="1115"/>
      <c r="L745" s="1115"/>
      <c r="M745" s="1115"/>
    </row>
    <row r="746" spans="1:13" x14ac:dyDescent="0.2">
      <c r="A746" s="1115"/>
      <c r="B746" s="1115"/>
      <c r="C746" s="1115"/>
      <c r="D746" s="1115"/>
      <c r="E746" s="1115"/>
      <c r="F746" s="1115"/>
      <c r="G746" s="1115"/>
      <c r="H746" s="1115"/>
      <c r="I746" s="1115"/>
      <c r="J746" s="1115"/>
      <c r="K746" s="1115"/>
      <c r="L746" s="1115"/>
      <c r="M746" s="1115"/>
    </row>
    <row r="747" spans="1:13" x14ac:dyDescent="0.2">
      <c r="A747" s="1115"/>
      <c r="B747" s="1115"/>
      <c r="C747" s="1115"/>
      <c r="D747" s="1115"/>
      <c r="E747" s="1115"/>
      <c r="F747" s="1115"/>
      <c r="G747" s="1115"/>
      <c r="H747" s="1115"/>
      <c r="I747" s="1115"/>
      <c r="J747" s="1115"/>
      <c r="K747" s="1115"/>
      <c r="L747" s="1115"/>
      <c r="M747" s="1115"/>
    </row>
    <row r="748" spans="1:13" x14ac:dyDescent="0.2">
      <c r="A748" s="1115"/>
      <c r="B748" s="1115"/>
      <c r="C748" s="1115"/>
      <c r="D748" s="1115"/>
      <c r="E748" s="1115"/>
      <c r="F748" s="1115"/>
      <c r="G748" s="1115"/>
      <c r="H748" s="1115"/>
      <c r="I748" s="1115"/>
      <c r="J748" s="1115"/>
      <c r="K748" s="1115"/>
      <c r="L748" s="1115"/>
      <c r="M748" s="1115"/>
    </row>
    <row r="749" spans="1:13" x14ac:dyDescent="0.2">
      <c r="A749" s="1115"/>
      <c r="B749" s="1115"/>
      <c r="C749" s="1115"/>
      <c r="D749" s="1115"/>
      <c r="E749" s="1115"/>
      <c r="F749" s="1115"/>
      <c r="G749" s="1115"/>
      <c r="H749" s="1115"/>
      <c r="I749" s="1115"/>
      <c r="J749" s="1115"/>
      <c r="K749" s="1115"/>
      <c r="L749" s="1115"/>
      <c r="M749" s="1115"/>
    </row>
    <row r="750" spans="1:13" x14ac:dyDescent="0.2">
      <c r="A750" s="1115"/>
      <c r="B750" s="1115"/>
      <c r="C750" s="1115"/>
      <c r="D750" s="1115"/>
      <c r="E750" s="1115"/>
      <c r="F750" s="1115"/>
      <c r="G750" s="1115"/>
      <c r="H750" s="1115"/>
      <c r="I750" s="1115"/>
      <c r="J750" s="1115"/>
      <c r="K750" s="1115"/>
      <c r="L750" s="1115"/>
      <c r="M750" s="1115"/>
    </row>
    <row r="751" spans="1:13" x14ac:dyDescent="0.2">
      <c r="A751" s="1115"/>
      <c r="B751" s="1115"/>
      <c r="C751" s="1115"/>
      <c r="D751" s="1115"/>
      <c r="E751" s="1115"/>
      <c r="F751" s="1115"/>
      <c r="G751" s="1115"/>
      <c r="H751" s="1115"/>
      <c r="I751" s="1115"/>
      <c r="J751" s="1115"/>
      <c r="K751" s="1115"/>
      <c r="L751" s="1115"/>
      <c r="M751" s="1115"/>
    </row>
    <row r="752" spans="1:13" x14ac:dyDescent="0.2">
      <c r="A752" s="1115"/>
      <c r="B752" s="1115"/>
      <c r="C752" s="1115"/>
      <c r="D752" s="1115"/>
      <c r="E752" s="1115"/>
      <c r="F752" s="1115"/>
      <c r="G752" s="1115"/>
      <c r="H752" s="1115"/>
      <c r="I752" s="1115"/>
      <c r="J752" s="1115"/>
      <c r="K752" s="1115"/>
      <c r="L752" s="1115"/>
      <c r="M752" s="1115"/>
    </row>
    <row r="753" spans="1:13" x14ac:dyDescent="0.2">
      <c r="A753" s="1115"/>
      <c r="B753" s="1115"/>
      <c r="C753" s="1115"/>
      <c r="D753" s="1115"/>
      <c r="E753" s="1115"/>
      <c r="F753" s="1115"/>
      <c r="G753" s="1115"/>
      <c r="H753" s="1115"/>
      <c r="I753" s="1115"/>
      <c r="J753" s="1115"/>
      <c r="K753" s="1115"/>
      <c r="L753" s="1115"/>
      <c r="M753" s="1115"/>
    </row>
    <row r="754" spans="1:13" x14ac:dyDescent="0.2">
      <c r="A754" s="1115"/>
      <c r="B754" s="1115"/>
      <c r="C754" s="1115"/>
      <c r="D754" s="1115"/>
      <c r="E754" s="1115"/>
      <c r="F754" s="1115"/>
      <c r="G754" s="1115"/>
      <c r="H754" s="1115"/>
      <c r="I754" s="1115"/>
      <c r="J754" s="1115"/>
      <c r="K754" s="1115"/>
      <c r="L754" s="1115"/>
      <c r="M754" s="1115"/>
    </row>
    <row r="755" spans="1:13" x14ac:dyDescent="0.2">
      <c r="A755" s="1115"/>
      <c r="B755" s="1115"/>
      <c r="C755" s="1115"/>
      <c r="D755" s="1115"/>
      <c r="E755" s="1115"/>
      <c r="F755" s="1115"/>
      <c r="G755" s="1115"/>
      <c r="H755" s="1115"/>
      <c r="I755" s="1115"/>
      <c r="J755" s="1115"/>
      <c r="K755" s="1115"/>
      <c r="L755" s="1115"/>
      <c r="M755" s="1115"/>
    </row>
    <row r="756" spans="1:13" x14ac:dyDescent="0.2">
      <c r="A756" s="1115"/>
      <c r="B756" s="1115"/>
      <c r="C756" s="1115"/>
      <c r="D756" s="1115"/>
      <c r="E756" s="1115"/>
      <c r="F756" s="1115"/>
      <c r="G756" s="1115"/>
      <c r="H756" s="1115"/>
      <c r="I756" s="1115"/>
      <c r="J756" s="1115"/>
      <c r="K756" s="1115"/>
      <c r="L756" s="1115"/>
      <c r="M756" s="1115"/>
    </row>
    <row r="757" spans="1:13" x14ac:dyDescent="0.2">
      <c r="A757" s="1115"/>
      <c r="B757" s="1115"/>
      <c r="C757" s="1115"/>
      <c r="D757" s="1115"/>
      <c r="E757" s="1115"/>
      <c r="F757" s="1115"/>
      <c r="G757" s="1115"/>
      <c r="H757" s="1115"/>
      <c r="I757" s="1115"/>
      <c r="J757" s="1115"/>
      <c r="K757" s="1115"/>
      <c r="L757" s="1115"/>
      <c r="M757" s="1115"/>
    </row>
    <row r="758" spans="1:13" x14ac:dyDescent="0.2">
      <c r="A758" s="1115"/>
      <c r="B758" s="1115"/>
      <c r="C758" s="1115"/>
      <c r="D758" s="1115"/>
      <c r="E758" s="1115"/>
      <c r="F758" s="1115"/>
      <c r="G758" s="1115"/>
      <c r="H758" s="1115"/>
      <c r="I758" s="1115"/>
      <c r="J758" s="1115"/>
      <c r="K758" s="1115"/>
      <c r="L758" s="1115"/>
      <c r="M758" s="1115"/>
    </row>
    <row r="759" spans="1:13" x14ac:dyDescent="0.2">
      <c r="A759" s="1115"/>
      <c r="B759" s="1115"/>
      <c r="C759" s="1115"/>
      <c r="D759" s="1115"/>
      <c r="E759" s="1115"/>
      <c r="F759" s="1115"/>
      <c r="G759" s="1115"/>
      <c r="H759" s="1115"/>
      <c r="I759" s="1115"/>
      <c r="J759" s="1115"/>
      <c r="K759" s="1115"/>
      <c r="L759" s="1115"/>
      <c r="M759" s="1115"/>
    </row>
    <row r="760" spans="1:13" x14ac:dyDescent="0.2">
      <c r="A760" s="1115"/>
      <c r="B760" s="1115"/>
      <c r="C760" s="1115"/>
      <c r="D760" s="1115"/>
      <c r="E760" s="1115"/>
      <c r="F760" s="1115"/>
      <c r="G760" s="1115"/>
      <c r="H760" s="1115"/>
      <c r="I760" s="1115"/>
      <c r="J760" s="1115"/>
      <c r="K760" s="1115"/>
      <c r="L760" s="1115"/>
      <c r="M760" s="1115"/>
    </row>
    <row r="761" spans="1:13" x14ac:dyDescent="0.2">
      <c r="A761" s="1115"/>
      <c r="B761" s="1115"/>
      <c r="C761" s="1115"/>
      <c r="D761" s="1115"/>
      <c r="E761" s="1115"/>
      <c r="F761" s="1115"/>
      <c r="G761" s="1115"/>
      <c r="H761" s="1115"/>
      <c r="I761" s="1115"/>
      <c r="J761" s="1115"/>
      <c r="K761" s="1115"/>
      <c r="L761" s="1115"/>
      <c r="M761" s="1115"/>
    </row>
    <row r="762" spans="1:13" x14ac:dyDescent="0.2">
      <c r="A762" s="1115"/>
      <c r="B762" s="1115"/>
      <c r="C762" s="1115"/>
      <c r="D762" s="1115"/>
      <c r="E762" s="1115"/>
      <c r="F762" s="1115"/>
      <c r="G762" s="1115"/>
      <c r="H762" s="1115"/>
      <c r="I762" s="1115"/>
      <c r="J762" s="1115"/>
      <c r="K762" s="1115"/>
      <c r="L762" s="1115"/>
      <c r="M762" s="1115"/>
    </row>
    <row r="763" spans="1:13" x14ac:dyDescent="0.2">
      <c r="A763" s="1115"/>
      <c r="B763" s="1115"/>
      <c r="C763" s="1115"/>
      <c r="D763" s="1115"/>
      <c r="E763" s="1115"/>
      <c r="F763" s="1115"/>
      <c r="G763" s="1115"/>
      <c r="H763" s="1115"/>
      <c r="I763" s="1115"/>
      <c r="J763" s="1115"/>
      <c r="K763" s="1115"/>
      <c r="L763" s="1115"/>
      <c r="M763" s="1115"/>
    </row>
    <row r="764" spans="1:13" x14ac:dyDescent="0.2">
      <c r="A764" s="1115"/>
      <c r="B764" s="1115"/>
      <c r="C764" s="1115"/>
      <c r="D764" s="1115"/>
      <c r="E764" s="1115"/>
      <c r="F764" s="1115"/>
      <c r="G764" s="1115"/>
      <c r="H764" s="1115"/>
      <c r="I764" s="1115"/>
      <c r="J764" s="1115"/>
      <c r="K764" s="1115"/>
      <c r="L764" s="1115"/>
      <c r="M764" s="1115"/>
    </row>
    <row r="765" spans="1:13" x14ac:dyDescent="0.2">
      <c r="A765" s="1115"/>
      <c r="B765" s="1115"/>
      <c r="C765" s="1115"/>
      <c r="D765" s="1115"/>
      <c r="E765" s="1115"/>
      <c r="F765" s="1115"/>
      <c r="G765" s="1115"/>
      <c r="H765" s="1115"/>
      <c r="I765" s="1115"/>
      <c r="J765" s="1115"/>
      <c r="K765" s="1115"/>
      <c r="L765" s="1115"/>
      <c r="M765" s="1115"/>
    </row>
    <row r="766" spans="1:13" x14ac:dyDescent="0.2">
      <c r="A766" s="1115"/>
      <c r="B766" s="1115"/>
      <c r="C766" s="1115"/>
      <c r="D766" s="1115"/>
      <c r="E766" s="1115"/>
      <c r="F766" s="1115"/>
      <c r="G766" s="1115"/>
      <c r="H766" s="1115"/>
      <c r="I766" s="1115"/>
      <c r="J766" s="1115"/>
      <c r="K766" s="1115"/>
      <c r="L766" s="1115"/>
      <c r="M766" s="1115"/>
    </row>
    <row r="767" spans="1:13" x14ac:dyDescent="0.2">
      <c r="A767" s="1115"/>
      <c r="B767" s="1115"/>
      <c r="C767" s="1115"/>
      <c r="D767" s="1115"/>
      <c r="E767" s="1115"/>
      <c r="F767" s="1115"/>
      <c r="G767" s="1115"/>
      <c r="H767" s="1115"/>
      <c r="I767" s="1115"/>
      <c r="J767" s="1115"/>
      <c r="K767" s="1115"/>
      <c r="L767" s="1115"/>
      <c r="M767" s="1115"/>
    </row>
    <row r="768" spans="1:13" x14ac:dyDescent="0.2">
      <c r="A768" s="1115"/>
      <c r="B768" s="1115"/>
      <c r="C768" s="1115"/>
      <c r="D768" s="1115"/>
      <c r="E768" s="1115"/>
      <c r="F768" s="1115"/>
      <c r="G768" s="1115"/>
      <c r="H768" s="1115"/>
      <c r="I768" s="1115"/>
      <c r="J768" s="1115"/>
      <c r="K768" s="1115"/>
      <c r="L768" s="1115"/>
      <c r="M768" s="1115"/>
    </row>
    <row r="769" spans="1:13" x14ac:dyDescent="0.2">
      <c r="A769" s="1115"/>
      <c r="B769" s="1115"/>
      <c r="C769" s="1115"/>
      <c r="D769" s="1115"/>
      <c r="E769" s="1115"/>
      <c r="F769" s="1115"/>
      <c r="G769" s="1115"/>
      <c r="H769" s="1115"/>
      <c r="I769" s="1115"/>
      <c r="J769" s="1115"/>
      <c r="K769" s="1115"/>
      <c r="L769" s="1115"/>
      <c r="M769" s="1115"/>
    </row>
    <row r="770" spans="1:13" x14ac:dyDescent="0.2">
      <c r="A770" s="1115"/>
      <c r="B770" s="1115"/>
      <c r="C770" s="1115"/>
      <c r="D770" s="1115"/>
      <c r="E770" s="1115"/>
      <c r="F770" s="1115"/>
      <c r="G770" s="1115"/>
      <c r="H770" s="1115"/>
      <c r="I770" s="1115"/>
      <c r="J770" s="1115"/>
      <c r="K770" s="1115"/>
      <c r="L770" s="1115"/>
      <c r="M770" s="1115"/>
    </row>
    <row r="771" spans="1:13" x14ac:dyDescent="0.2">
      <c r="A771" s="1115"/>
      <c r="B771" s="1115"/>
      <c r="C771" s="1115"/>
      <c r="D771" s="1115"/>
      <c r="E771" s="1115"/>
      <c r="F771" s="1115"/>
      <c r="G771" s="1115"/>
      <c r="H771" s="1115"/>
      <c r="I771" s="1115"/>
      <c r="J771" s="1115"/>
      <c r="K771" s="1115"/>
      <c r="L771" s="1115"/>
      <c r="M771" s="1115"/>
    </row>
    <row r="772" spans="1:13" x14ac:dyDescent="0.2">
      <c r="A772" s="1115"/>
      <c r="B772" s="1115"/>
      <c r="C772" s="1115"/>
      <c r="D772" s="1115"/>
      <c r="E772" s="1115"/>
      <c r="F772" s="1115"/>
      <c r="G772" s="1115"/>
      <c r="H772" s="1115"/>
      <c r="I772" s="1115"/>
      <c r="J772" s="1115"/>
      <c r="K772" s="1115"/>
      <c r="L772" s="1115"/>
      <c r="M772" s="1115"/>
    </row>
    <row r="773" spans="1:13" x14ac:dyDescent="0.2">
      <c r="A773" s="1115"/>
      <c r="B773" s="1115"/>
      <c r="C773" s="1115"/>
      <c r="D773" s="1115"/>
      <c r="E773" s="1115"/>
      <c r="F773" s="1115"/>
      <c r="G773" s="1115"/>
      <c r="H773" s="1115"/>
      <c r="I773" s="1115"/>
      <c r="J773" s="1115"/>
      <c r="K773" s="1115"/>
      <c r="L773" s="1115"/>
      <c r="M773" s="1115"/>
    </row>
    <row r="774" spans="1:13" x14ac:dyDescent="0.2">
      <c r="A774" s="1115"/>
      <c r="B774" s="1115"/>
      <c r="C774" s="1115"/>
      <c r="D774" s="1115"/>
      <c r="E774" s="1115"/>
      <c r="F774" s="1115"/>
      <c r="G774" s="1115"/>
      <c r="H774" s="1115"/>
      <c r="I774" s="1115"/>
      <c r="J774" s="1115"/>
      <c r="K774" s="1115"/>
      <c r="L774" s="1115"/>
      <c r="M774" s="1115"/>
    </row>
    <row r="775" spans="1:13" x14ac:dyDescent="0.2">
      <c r="A775" s="1115"/>
      <c r="B775" s="1115"/>
      <c r="C775" s="1115"/>
      <c r="D775" s="1115"/>
      <c r="E775" s="1115"/>
      <c r="F775" s="1115"/>
      <c r="G775" s="1115"/>
      <c r="H775" s="1115"/>
      <c r="I775" s="1115"/>
      <c r="J775" s="1115"/>
      <c r="K775" s="1115"/>
      <c r="L775" s="1115"/>
      <c r="M775" s="1115"/>
    </row>
    <row r="776" spans="1:13" x14ac:dyDescent="0.2">
      <c r="A776" s="1115"/>
      <c r="B776" s="1115"/>
      <c r="C776" s="1115"/>
      <c r="D776" s="1115"/>
      <c r="E776" s="1115"/>
      <c r="F776" s="1115"/>
      <c r="G776" s="1115"/>
      <c r="H776" s="1115"/>
      <c r="I776" s="1115"/>
      <c r="J776" s="1115"/>
      <c r="K776" s="1115"/>
      <c r="L776" s="1115"/>
      <c r="M776" s="1115"/>
    </row>
    <row r="777" spans="1:13" x14ac:dyDescent="0.2">
      <c r="A777" s="1115"/>
      <c r="B777" s="1115"/>
      <c r="C777" s="1115"/>
      <c r="D777" s="1115"/>
      <c r="E777" s="1115"/>
      <c r="F777" s="1115"/>
      <c r="G777" s="1115"/>
      <c r="H777" s="1115"/>
      <c r="I777" s="1115"/>
      <c r="J777" s="1115"/>
      <c r="K777" s="1115"/>
      <c r="L777" s="1115"/>
      <c r="M777" s="1115"/>
    </row>
    <row r="778" spans="1:13" x14ac:dyDescent="0.2">
      <c r="A778" s="1115"/>
      <c r="B778" s="1115"/>
      <c r="C778" s="1115"/>
      <c r="D778" s="1115"/>
      <c r="E778" s="1115"/>
      <c r="F778" s="1115"/>
      <c r="G778" s="1115"/>
      <c r="H778" s="1115"/>
      <c r="I778" s="1115"/>
      <c r="J778" s="1115"/>
      <c r="K778" s="1115"/>
      <c r="L778" s="1115"/>
      <c r="M778" s="1115"/>
    </row>
    <row r="779" spans="1:13" x14ac:dyDescent="0.2">
      <c r="A779" s="1115"/>
      <c r="B779" s="1115"/>
      <c r="C779" s="1115"/>
      <c r="D779" s="1115"/>
      <c r="E779" s="1115"/>
      <c r="F779" s="1115"/>
      <c r="G779" s="1115"/>
      <c r="H779" s="1115"/>
      <c r="I779" s="1115"/>
      <c r="J779" s="1115"/>
      <c r="K779" s="1115"/>
      <c r="L779" s="1115"/>
      <c r="M779" s="1115"/>
    </row>
    <row r="780" spans="1:13" x14ac:dyDescent="0.2">
      <c r="A780" s="1115"/>
      <c r="B780" s="1115"/>
      <c r="C780" s="1115"/>
      <c r="D780" s="1115"/>
      <c r="E780" s="1115"/>
      <c r="F780" s="1115"/>
      <c r="G780" s="1115"/>
      <c r="H780" s="1115"/>
      <c r="I780" s="1115"/>
      <c r="J780" s="1115"/>
      <c r="K780" s="1115"/>
      <c r="L780" s="1115"/>
      <c r="M780" s="1115"/>
    </row>
    <row r="781" spans="1:13" x14ac:dyDescent="0.2">
      <c r="A781" s="1115"/>
      <c r="B781" s="1115"/>
      <c r="C781" s="1115"/>
      <c r="D781" s="1115"/>
      <c r="E781" s="1115"/>
      <c r="F781" s="1115"/>
      <c r="G781" s="1115"/>
      <c r="H781" s="1115"/>
      <c r="I781" s="1115"/>
      <c r="J781" s="1115"/>
      <c r="K781" s="1115"/>
      <c r="L781" s="1115"/>
      <c r="M781" s="1115"/>
    </row>
    <row r="782" spans="1:13" x14ac:dyDescent="0.2">
      <c r="A782" s="1115"/>
      <c r="B782" s="1115"/>
      <c r="C782" s="1115"/>
      <c r="D782" s="1115"/>
      <c r="E782" s="1115"/>
      <c r="F782" s="1115"/>
      <c r="G782" s="1115"/>
      <c r="H782" s="1115"/>
      <c r="I782" s="1115"/>
      <c r="J782" s="1115"/>
      <c r="K782" s="1115"/>
      <c r="L782" s="1115"/>
      <c r="M782" s="1115"/>
    </row>
    <row r="783" spans="1:13" x14ac:dyDescent="0.2">
      <c r="A783" s="1115"/>
      <c r="B783" s="1115"/>
      <c r="C783" s="1115"/>
      <c r="D783" s="1115"/>
      <c r="E783" s="1115"/>
      <c r="F783" s="1115"/>
      <c r="G783" s="1115"/>
      <c r="H783" s="1115"/>
      <c r="I783" s="1115"/>
      <c r="J783" s="1115"/>
      <c r="K783" s="1115"/>
      <c r="L783" s="1115"/>
      <c r="M783" s="1115"/>
    </row>
    <row r="784" spans="1:13" x14ac:dyDescent="0.2">
      <c r="A784" s="1115"/>
      <c r="B784" s="1115"/>
      <c r="C784" s="1115"/>
      <c r="D784" s="1115"/>
      <c r="E784" s="1115"/>
      <c r="F784" s="1115"/>
      <c r="G784" s="1115"/>
      <c r="H784" s="1115"/>
      <c r="I784" s="1115"/>
      <c r="J784" s="1115"/>
      <c r="K784" s="1115"/>
      <c r="L784" s="1115"/>
      <c r="M784" s="1115"/>
    </row>
    <row r="785" spans="1:13" x14ac:dyDescent="0.2">
      <c r="A785" s="1115"/>
      <c r="B785" s="1115"/>
      <c r="C785" s="1115"/>
      <c r="D785" s="1115"/>
      <c r="E785" s="1115"/>
      <c r="F785" s="1115"/>
      <c r="G785" s="1115"/>
      <c r="H785" s="1115"/>
      <c r="I785" s="1115"/>
      <c r="J785" s="1115"/>
      <c r="K785" s="1115"/>
      <c r="L785" s="1115"/>
      <c r="M785" s="1115"/>
    </row>
    <row r="786" spans="1:13" x14ac:dyDescent="0.2">
      <c r="A786" s="1115"/>
      <c r="B786" s="1115"/>
      <c r="C786" s="1115"/>
      <c r="D786" s="1115"/>
      <c r="E786" s="1115"/>
      <c r="F786" s="1115"/>
      <c r="G786" s="1115"/>
      <c r="H786" s="1115"/>
      <c r="I786" s="1115"/>
      <c r="J786" s="1115"/>
      <c r="K786" s="1115"/>
      <c r="L786" s="1115"/>
      <c r="M786" s="1115"/>
    </row>
    <row r="787" spans="1:13" x14ac:dyDescent="0.2">
      <c r="A787" s="1115"/>
      <c r="B787" s="1115"/>
      <c r="C787" s="1115"/>
      <c r="D787" s="1115"/>
      <c r="E787" s="1115"/>
      <c r="F787" s="1115"/>
      <c r="G787" s="1115"/>
      <c r="H787" s="1115"/>
      <c r="I787" s="1115"/>
      <c r="J787" s="1115"/>
      <c r="K787" s="1115"/>
      <c r="L787" s="1115"/>
      <c r="M787" s="1115"/>
    </row>
    <row r="788" spans="1:13" x14ac:dyDescent="0.2">
      <c r="A788" s="1115"/>
      <c r="B788" s="1115"/>
      <c r="C788" s="1115"/>
      <c r="D788" s="1115"/>
      <c r="E788" s="1115"/>
      <c r="F788" s="1115"/>
      <c r="G788" s="1115"/>
      <c r="H788" s="1115"/>
      <c r="I788" s="1115"/>
      <c r="J788" s="1115"/>
      <c r="K788" s="1115"/>
      <c r="L788" s="1115"/>
      <c r="M788" s="1115"/>
    </row>
    <row r="789" spans="1:13" x14ac:dyDescent="0.2">
      <c r="A789" s="1115"/>
      <c r="B789" s="1115"/>
      <c r="C789" s="1115"/>
      <c r="D789" s="1115"/>
      <c r="E789" s="1115"/>
      <c r="F789" s="1115"/>
      <c r="G789" s="1115"/>
      <c r="H789" s="1115"/>
      <c r="I789" s="1115"/>
      <c r="J789" s="1115"/>
      <c r="K789" s="1115"/>
      <c r="L789" s="1115"/>
      <c r="M789" s="1115"/>
    </row>
    <row r="790" spans="1:13" x14ac:dyDescent="0.2">
      <c r="A790" s="1115"/>
      <c r="B790" s="1115"/>
      <c r="C790" s="1115"/>
      <c r="D790" s="1115"/>
      <c r="E790" s="1115"/>
      <c r="F790" s="1115"/>
      <c r="G790" s="1115"/>
      <c r="H790" s="1115"/>
      <c r="I790" s="1115"/>
      <c r="J790" s="1115"/>
      <c r="K790" s="1115"/>
      <c r="L790" s="1115"/>
      <c r="M790" s="1115"/>
    </row>
    <row r="791" spans="1:13" x14ac:dyDescent="0.2">
      <c r="A791" s="1115"/>
      <c r="B791" s="1115"/>
      <c r="C791" s="1115"/>
      <c r="D791" s="1115"/>
      <c r="E791" s="1115"/>
      <c r="F791" s="1115"/>
      <c r="G791" s="1115"/>
      <c r="H791" s="1115"/>
      <c r="I791" s="1115"/>
      <c r="J791" s="1115"/>
      <c r="K791" s="1115"/>
      <c r="L791" s="1115"/>
      <c r="M791" s="1115"/>
    </row>
    <row r="792" spans="1:13" x14ac:dyDescent="0.2">
      <c r="A792" s="1115"/>
      <c r="B792" s="1115"/>
      <c r="C792" s="1115"/>
      <c r="D792" s="1115"/>
      <c r="E792" s="1115"/>
      <c r="F792" s="1115"/>
      <c r="G792" s="1115"/>
      <c r="H792" s="1115"/>
      <c r="I792" s="1115"/>
      <c r="J792" s="1115"/>
      <c r="K792" s="1115"/>
      <c r="L792" s="1115"/>
      <c r="M792" s="1115"/>
    </row>
    <row r="793" spans="1:13" x14ac:dyDescent="0.2">
      <c r="A793" s="1115"/>
      <c r="B793" s="1115"/>
      <c r="C793" s="1115"/>
      <c r="D793" s="1115"/>
      <c r="E793" s="1115"/>
      <c r="F793" s="1115"/>
      <c r="G793" s="1115"/>
      <c r="H793" s="1115"/>
      <c r="I793" s="1115"/>
      <c r="J793" s="1115"/>
      <c r="K793" s="1115"/>
      <c r="L793" s="1115"/>
      <c r="M793" s="1115"/>
    </row>
    <row r="794" spans="1:13" x14ac:dyDescent="0.2">
      <c r="A794" s="1115"/>
      <c r="B794" s="1115"/>
      <c r="C794" s="1115"/>
      <c r="D794" s="1115"/>
      <c r="E794" s="1115"/>
      <c r="F794" s="1115"/>
      <c r="G794" s="1115"/>
      <c r="H794" s="1115"/>
      <c r="I794" s="1115"/>
      <c r="J794" s="1115"/>
      <c r="K794" s="1115"/>
      <c r="L794" s="1115"/>
      <c r="M794" s="1115"/>
    </row>
    <row r="795" spans="1:13" x14ac:dyDescent="0.2">
      <c r="A795" s="1115"/>
      <c r="B795" s="1115"/>
      <c r="C795" s="1115"/>
      <c r="D795" s="1115"/>
      <c r="E795" s="1115"/>
      <c r="F795" s="1115"/>
      <c r="G795" s="1115"/>
      <c r="H795" s="1115"/>
      <c r="I795" s="1115"/>
      <c r="J795" s="1115"/>
      <c r="K795" s="1115"/>
      <c r="L795" s="1115"/>
      <c r="M795" s="1115"/>
    </row>
    <row r="796" spans="1:13" x14ac:dyDescent="0.2">
      <c r="A796" s="1115"/>
      <c r="B796" s="1115"/>
      <c r="C796" s="1115"/>
      <c r="D796" s="1115"/>
      <c r="E796" s="1115"/>
      <c r="F796" s="1115"/>
      <c r="G796" s="1115"/>
      <c r="H796" s="1115"/>
      <c r="I796" s="1115"/>
      <c r="J796" s="1115"/>
      <c r="K796" s="1115"/>
      <c r="L796" s="1115"/>
      <c r="M796" s="1115"/>
    </row>
    <row r="797" spans="1:13" x14ac:dyDescent="0.2">
      <c r="A797" s="1115"/>
      <c r="B797" s="1115"/>
      <c r="C797" s="1115"/>
      <c r="D797" s="1115"/>
      <c r="E797" s="1115"/>
      <c r="F797" s="1115"/>
      <c r="G797" s="1115"/>
      <c r="H797" s="1115"/>
      <c r="I797" s="1115"/>
      <c r="J797" s="1115"/>
      <c r="K797" s="1115"/>
      <c r="L797" s="1115"/>
      <c r="M797" s="1115"/>
    </row>
    <row r="798" spans="1:13" x14ac:dyDescent="0.2">
      <c r="A798" s="1115"/>
      <c r="B798" s="1115"/>
      <c r="C798" s="1115"/>
      <c r="D798" s="1115"/>
      <c r="E798" s="1115"/>
      <c r="F798" s="1115"/>
      <c r="G798" s="1115"/>
      <c r="H798" s="1115"/>
      <c r="I798" s="1115"/>
      <c r="J798" s="1115"/>
      <c r="K798" s="1115"/>
      <c r="L798" s="1115"/>
      <c r="M798" s="1115"/>
    </row>
    <row r="799" spans="1:13" x14ac:dyDescent="0.2">
      <c r="A799" s="1115"/>
      <c r="B799" s="1115"/>
      <c r="C799" s="1115"/>
      <c r="D799" s="1115"/>
      <c r="E799" s="1115"/>
      <c r="F799" s="1115"/>
      <c r="G799" s="1115"/>
      <c r="H799" s="1115"/>
      <c r="I799" s="1115"/>
      <c r="J799" s="1115"/>
      <c r="K799" s="1115"/>
      <c r="L799" s="1115"/>
      <c r="M799" s="1115"/>
    </row>
    <row r="800" spans="1:13" x14ac:dyDescent="0.2">
      <c r="A800" s="1115"/>
      <c r="B800" s="1115"/>
      <c r="C800" s="1115"/>
      <c r="D800" s="1115"/>
      <c r="E800" s="1115"/>
      <c r="F800" s="1115"/>
      <c r="G800" s="1115"/>
      <c r="H800" s="1115"/>
      <c r="I800" s="1115"/>
      <c r="J800" s="1115"/>
      <c r="K800" s="1115"/>
      <c r="L800" s="1115"/>
      <c r="M800" s="1115"/>
    </row>
    <row r="801" spans="1:13" x14ac:dyDescent="0.2">
      <c r="A801" s="1115"/>
      <c r="B801" s="1115"/>
      <c r="C801" s="1115"/>
      <c r="D801" s="1115"/>
      <c r="E801" s="1115"/>
      <c r="F801" s="1115"/>
      <c r="G801" s="1115"/>
      <c r="H801" s="1115"/>
      <c r="I801" s="1115"/>
      <c r="J801" s="1115"/>
      <c r="K801" s="1115"/>
      <c r="L801" s="1115"/>
      <c r="M801" s="1115"/>
    </row>
    <row r="802" spans="1:13" x14ac:dyDescent="0.2">
      <c r="A802" s="1115"/>
      <c r="B802" s="1115"/>
      <c r="C802" s="1115"/>
      <c r="D802" s="1115"/>
      <c r="E802" s="1115"/>
      <c r="F802" s="1115"/>
      <c r="G802" s="1115"/>
      <c r="H802" s="1115"/>
      <c r="I802" s="1115"/>
      <c r="J802" s="1115"/>
      <c r="K802" s="1115"/>
      <c r="L802" s="1115"/>
      <c r="M802" s="1115"/>
    </row>
    <row r="803" spans="1:13" x14ac:dyDescent="0.2">
      <c r="A803" s="1115"/>
      <c r="B803" s="1115"/>
      <c r="C803" s="1115"/>
      <c r="D803" s="1115"/>
      <c r="E803" s="1115"/>
      <c r="F803" s="1115"/>
      <c r="G803" s="1115"/>
      <c r="H803" s="1115"/>
      <c r="I803" s="1115"/>
      <c r="J803" s="1115"/>
      <c r="K803" s="1115"/>
      <c r="L803" s="1115"/>
      <c r="M803" s="1115"/>
    </row>
    <row r="804" spans="1:13" x14ac:dyDescent="0.2">
      <c r="A804" s="1115"/>
      <c r="B804" s="1115"/>
      <c r="C804" s="1115"/>
      <c r="D804" s="1115"/>
      <c r="E804" s="1115"/>
      <c r="F804" s="1115"/>
      <c r="G804" s="1115"/>
      <c r="H804" s="1115"/>
      <c r="I804" s="1115"/>
      <c r="J804" s="1115"/>
      <c r="K804" s="1115"/>
      <c r="L804" s="1115"/>
      <c r="M804" s="1115"/>
    </row>
    <row r="805" spans="1:13" x14ac:dyDescent="0.2">
      <c r="A805" s="1115"/>
      <c r="B805" s="1115"/>
      <c r="C805" s="1115"/>
      <c r="D805" s="1115"/>
      <c r="E805" s="1115"/>
      <c r="F805" s="1115"/>
      <c r="G805" s="1115"/>
      <c r="H805" s="1115"/>
      <c r="I805" s="1115"/>
      <c r="J805" s="1115"/>
      <c r="K805" s="1115"/>
      <c r="L805" s="1115"/>
      <c r="M805" s="1115"/>
    </row>
    <row r="806" spans="1:13" x14ac:dyDescent="0.2">
      <c r="A806" s="1115"/>
      <c r="B806" s="1115"/>
      <c r="C806" s="1115"/>
      <c r="D806" s="1115"/>
      <c r="E806" s="1115"/>
      <c r="F806" s="1115"/>
      <c r="G806" s="1115"/>
      <c r="H806" s="1115"/>
      <c r="I806" s="1115"/>
      <c r="J806" s="1115"/>
      <c r="K806" s="1115"/>
      <c r="L806" s="1115"/>
      <c r="M806" s="1115"/>
    </row>
    <row r="807" spans="1:13" x14ac:dyDescent="0.2">
      <c r="A807" s="1115"/>
      <c r="B807" s="1115"/>
      <c r="C807" s="1115"/>
      <c r="D807" s="1115"/>
      <c r="E807" s="1115"/>
      <c r="F807" s="1115"/>
      <c r="G807" s="1115"/>
      <c r="H807" s="1115"/>
      <c r="I807" s="1115"/>
      <c r="J807" s="1115"/>
      <c r="K807" s="1115"/>
      <c r="L807" s="1115"/>
      <c r="M807" s="1115"/>
    </row>
    <row r="808" spans="1:13" x14ac:dyDescent="0.2">
      <c r="A808" s="1115"/>
      <c r="B808" s="1115"/>
      <c r="C808" s="1115"/>
      <c r="D808" s="1115"/>
      <c r="E808" s="1115"/>
      <c r="F808" s="1115"/>
      <c r="G808" s="1115"/>
      <c r="H808" s="1115"/>
      <c r="I808" s="1115"/>
      <c r="J808" s="1115"/>
      <c r="K808" s="1115"/>
      <c r="L808" s="1115"/>
      <c r="M808" s="1115"/>
    </row>
    <row r="809" spans="1:13" x14ac:dyDescent="0.2">
      <c r="A809" s="1115"/>
      <c r="B809" s="1115"/>
      <c r="C809" s="1115"/>
      <c r="D809" s="1115"/>
      <c r="E809" s="1115"/>
      <c r="F809" s="1115"/>
      <c r="G809" s="1115"/>
      <c r="H809" s="1115"/>
      <c r="I809" s="1115"/>
      <c r="J809" s="1115"/>
      <c r="K809" s="1115"/>
      <c r="L809" s="1115"/>
      <c r="M809" s="1115"/>
    </row>
    <row r="810" spans="1:13" x14ac:dyDescent="0.2">
      <c r="A810" s="1115"/>
      <c r="B810" s="1115"/>
      <c r="C810" s="1115"/>
      <c r="D810" s="1115"/>
      <c r="E810" s="1115"/>
      <c r="F810" s="1115"/>
      <c r="G810" s="1115"/>
      <c r="H810" s="1115"/>
      <c r="I810" s="1115"/>
      <c r="J810" s="1115"/>
      <c r="K810" s="1115"/>
      <c r="L810" s="1115"/>
      <c r="M810" s="1115"/>
    </row>
    <row r="811" spans="1:13" x14ac:dyDescent="0.2">
      <c r="A811" s="1115"/>
      <c r="B811" s="1115"/>
      <c r="C811" s="1115"/>
      <c r="D811" s="1115"/>
      <c r="E811" s="1115"/>
      <c r="F811" s="1115"/>
      <c r="G811" s="1115"/>
      <c r="H811" s="1115"/>
      <c r="I811" s="1115"/>
      <c r="J811" s="1115"/>
      <c r="K811" s="1115"/>
      <c r="L811" s="1115"/>
      <c r="M811" s="1115"/>
    </row>
    <row r="812" spans="1:13" x14ac:dyDescent="0.2">
      <c r="A812" s="1115"/>
      <c r="B812" s="1115"/>
      <c r="C812" s="1115"/>
      <c r="D812" s="1115"/>
      <c r="E812" s="1115"/>
      <c r="F812" s="1115"/>
      <c r="G812" s="1115"/>
      <c r="H812" s="1115"/>
      <c r="I812" s="1115"/>
      <c r="J812" s="1115"/>
      <c r="K812" s="1115"/>
      <c r="L812" s="1115"/>
      <c r="M812" s="1115"/>
    </row>
    <row r="813" spans="1:13" x14ac:dyDescent="0.2">
      <c r="A813" s="1115"/>
      <c r="B813" s="1115"/>
      <c r="C813" s="1115"/>
      <c r="D813" s="1115"/>
      <c r="E813" s="1115"/>
      <c r="F813" s="1115"/>
      <c r="G813" s="1115"/>
      <c r="H813" s="1115"/>
      <c r="I813" s="1115"/>
      <c r="J813" s="1115"/>
      <c r="K813" s="1115"/>
      <c r="L813" s="1115"/>
      <c r="M813" s="1115"/>
    </row>
    <row r="814" spans="1:13" x14ac:dyDescent="0.2">
      <c r="A814" s="1115"/>
      <c r="B814" s="1115"/>
      <c r="C814" s="1115"/>
      <c r="D814" s="1115"/>
      <c r="E814" s="1115"/>
      <c r="F814" s="1115"/>
      <c r="G814" s="1115"/>
      <c r="H814" s="1115"/>
      <c r="I814" s="1115"/>
      <c r="J814" s="1115"/>
      <c r="K814" s="1115"/>
      <c r="L814" s="1115"/>
      <c r="M814" s="1115"/>
    </row>
    <row r="815" spans="1:13" x14ac:dyDescent="0.2">
      <c r="A815" s="1115"/>
      <c r="B815" s="1115"/>
      <c r="C815" s="1115"/>
      <c r="D815" s="1115"/>
      <c r="E815" s="1115"/>
      <c r="F815" s="1115"/>
      <c r="G815" s="1115"/>
      <c r="H815" s="1115"/>
      <c r="I815" s="1115"/>
      <c r="J815" s="1115"/>
      <c r="K815" s="1115"/>
      <c r="L815" s="1115"/>
      <c r="M815" s="1115"/>
    </row>
    <row r="816" spans="1:13" x14ac:dyDescent="0.2">
      <c r="A816" s="1115"/>
      <c r="B816" s="1115"/>
      <c r="C816" s="1115"/>
      <c r="D816" s="1115"/>
      <c r="E816" s="1115"/>
      <c r="F816" s="1115"/>
      <c r="G816" s="1115"/>
      <c r="H816" s="1115"/>
      <c r="I816" s="1115"/>
      <c r="J816" s="1115"/>
      <c r="K816" s="1115"/>
      <c r="L816" s="1115"/>
      <c r="M816" s="1115"/>
    </row>
    <row r="817" spans="1:13" x14ac:dyDescent="0.2">
      <c r="A817" s="1115"/>
      <c r="B817" s="1115"/>
      <c r="C817" s="1115"/>
      <c r="D817" s="1115"/>
      <c r="E817" s="1115"/>
      <c r="F817" s="1115"/>
      <c r="G817" s="1115"/>
      <c r="H817" s="1115"/>
      <c r="I817" s="1115"/>
      <c r="J817" s="1115"/>
      <c r="K817" s="1115"/>
      <c r="L817" s="1115"/>
      <c r="M817" s="1115"/>
    </row>
    <row r="818" spans="1:13" x14ac:dyDescent="0.2">
      <c r="A818" s="1115"/>
      <c r="B818" s="1115"/>
      <c r="C818" s="1115"/>
      <c r="D818" s="1115"/>
      <c r="E818" s="1115"/>
      <c r="F818" s="1115"/>
      <c r="G818" s="1115"/>
      <c r="H818" s="1115"/>
      <c r="I818" s="1115"/>
      <c r="J818" s="1115"/>
      <c r="K818" s="1115"/>
      <c r="L818" s="1115"/>
      <c r="M818" s="1115"/>
    </row>
    <row r="819" spans="1:13" x14ac:dyDescent="0.2">
      <c r="A819" s="1115"/>
      <c r="B819" s="1115"/>
      <c r="C819" s="1115"/>
      <c r="D819" s="1115"/>
      <c r="E819" s="1115"/>
      <c r="F819" s="1115"/>
      <c r="G819" s="1115"/>
      <c r="H819" s="1115"/>
      <c r="I819" s="1115"/>
      <c r="J819" s="1115"/>
      <c r="K819" s="1115"/>
      <c r="L819" s="1115"/>
      <c r="M819" s="1115"/>
    </row>
    <row r="820" spans="1:13" x14ac:dyDescent="0.2">
      <c r="A820" s="1115"/>
      <c r="B820" s="1115"/>
      <c r="C820" s="1115"/>
      <c r="D820" s="1115"/>
      <c r="E820" s="1115"/>
      <c r="F820" s="1115"/>
      <c r="G820" s="1115"/>
      <c r="H820" s="1115"/>
      <c r="I820" s="1115"/>
      <c r="J820" s="1115"/>
      <c r="K820" s="1115"/>
      <c r="L820" s="1115"/>
      <c r="M820" s="1115"/>
    </row>
    <row r="821" spans="1:13" x14ac:dyDescent="0.2">
      <c r="A821" s="1115"/>
      <c r="B821" s="1115"/>
      <c r="C821" s="1115"/>
      <c r="D821" s="1115"/>
      <c r="E821" s="1115"/>
      <c r="F821" s="1115"/>
      <c r="G821" s="1115"/>
      <c r="H821" s="1115"/>
      <c r="I821" s="1115"/>
      <c r="J821" s="1115"/>
      <c r="K821" s="1115"/>
      <c r="L821" s="1115"/>
      <c r="M821" s="1115"/>
    </row>
    <row r="822" spans="1:13" x14ac:dyDescent="0.2">
      <c r="A822" s="1115"/>
      <c r="B822" s="1115"/>
      <c r="C822" s="1115"/>
      <c r="D822" s="1115"/>
      <c r="E822" s="1115"/>
      <c r="F822" s="1115"/>
      <c r="G822" s="1115"/>
      <c r="H822" s="1115"/>
      <c r="I822" s="1115"/>
      <c r="J822" s="1115"/>
      <c r="K822" s="1115"/>
      <c r="L822" s="1115"/>
      <c r="M822" s="1115"/>
    </row>
    <row r="823" spans="1:13" x14ac:dyDescent="0.2">
      <c r="A823" s="1115"/>
      <c r="B823" s="1115"/>
      <c r="C823" s="1115"/>
      <c r="D823" s="1115"/>
      <c r="E823" s="1115"/>
      <c r="F823" s="1115"/>
      <c r="G823" s="1115"/>
      <c r="H823" s="1115"/>
      <c r="I823" s="1115"/>
      <c r="J823" s="1115"/>
      <c r="K823" s="1115"/>
      <c r="L823" s="1115"/>
      <c r="M823" s="1115"/>
    </row>
    <row r="824" spans="1:13" x14ac:dyDescent="0.2">
      <c r="A824" s="1115"/>
      <c r="B824" s="1115"/>
      <c r="C824" s="1115"/>
      <c r="D824" s="1115"/>
      <c r="E824" s="1115"/>
      <c r="F824" s="1115"/>
      <c r="G824" s="1115"/>
      <c r="H824" s="1115"/>
      <c r="I824" s="1115"/>
      <c r="J824" s="1115"/>
      <c r="K824" s="1115"/>
      <c r="L824" s="1115"/>
      <c r="M824" s="1115"/>
    </row>
    <row r="825" spans="1:13" x14ac:dyDescent="0.2">
      <c r="A825" s="1115"/>
      <c r="B825" s="1115"/>
      <c r="C825" s="1115"/>
      <c r="D825" s="1115"/>
      <c r="E825" s="1115"/>
      <c r="F825" s="1115"/>
      <c r="G825" s="1115"/>
      <c r="H825" s="1115"/>
      <c r="I825" s="1115"/>
      <c r="J825" s="1115"/>
      <c r="K825" s="1115"/>
      <c r="L825" s="1115"/>
      <c r="M825" s="1115"/>
    </row>
    <row r="826" spans="1:13" x14ac:dyDescent="0.2">
      <c r="A826" s="1115"/>
      <c r="B826" s="1115"/>
      <c r="C826" s="1115"/>
      <c r="D826" s="1115"/>
      <c r="E826" s="1115"/>
      <c r="F826" s="1115"/>
      <c r="G826" s="1115"/>
      <c r="H826" s="1115"/>
      <c r="I826" s="1115"/>
      <c r="J826" s="1115"/>
      <c r="K826" s="1115"/>
      <c r="L826" s="1115"/>
      <c r="M826" s="1115"/>
    </row>
    <row r="827" spans="1:13" x14ac:dyDescent="0.2">
      <c r="A827" s="1115"/>
      <c r="B827" s="1115"/>
      <c r="C827" s="1115"/>
      <c r="D827" s="1115"/>
      <c r="E827" s="1115"/>
      <c r="F827" s="1115"/>
      <c r="G827" s="1115"/>
      <c r="H827" s="1115"/>
      <c r="I827" s="1115"/>
      <c r="J827" s="1115"/>
      <c r="K827" s="1115"/>
      <c r="L827" s="1115"/>
      <c r="M827" s="1115"/>
    </row>
    <row r="828" spans="1:13" x14ac:dyDescent="0.2">
      <c r="A828" s="1115"/>
      <c r="B828" s="1115"/>
      <c r="C828" s="1115"/>
      <c r="D828" s="1115"/>
      <c r="E828" s="1115"/>
      <c r="F828" s="1115"/>
      <c r="G828" s="1115"/>
      <c r="H828" s="1115"/>
      <c r="I828" s="1115"/>
      <c r="J828" s="1115"/>
      <c r="K828" s="1115"/>
      <c r="L828" s="1115"/>
      <c r="M828" s="1115"/>
    </row>
    <row r="829" spans="1:13" x14ac:dyDescent="0.2">
      <c r="A829" s="1115"/>
      <c r="B829" s="1115"/>
      <c r="C829" s="1115"/>
      <c r="D829" s="1115"/>
      <c r="E829" s="1115"/>
      <c r="F829" s="1115"/>
      <c r="G829" s="1115"/>
      <c r="H829" s="1115"/>
      <c r="I829" s="1115"/>
      <c r="J829" s="1115"/>
      <c r="K829" s="1115"/>
      <c r="L829" s="1115"/>
      <c r="M829" s="1115"/>
    </row>
    <row r="830" spans="1:13" x14ac:dyDescent="0.2">
      <c r="A830" s="1115"/>
      <c r="B830" s="1115"/>
      <c r="C830" s="1115"/>
      <c r="D830" s="1115"/>
      <c r="E830" s="1115"/>
      <c r="F830" s="1115"/>
      <c r="G830" s="1115"/>
      <c r="H830" s="1115"/>
      <c r="I830" s="1115"/>
      <c r="J830" s="1115"/>
      <c r="K830" s="1115"/>
      <c r="L830" s="1115"/>
      <c r="M830" s="1115"/>
    </row>
    <row r="831" spans="1:13" x14ac:dyDescent="0.2">
      <c r="A831" s="1115"/>
      <c r="B831" s="1115"/>
      <c r="C831" s="1115"/>
      <c r="D831" s="1115"/>
      <c r="E831" s="1115"/>
      <c r="F831" s="1115"/>
      <c r="G831" s="1115"/>
      <c r="H831" s="1115"/>
      <c r="I831" s="1115"/>
      <c r="J831" s="1115"/>
      <c r="K831" s="1115"/>
      <c r="L831" s="1115"/>
      <c r="M831" s="1115"/>
    </row>
    <row r="832" spans="1:13" x14ac:dyDescent="0.2">
      <c r="A832" s="1115"/>
      <c r="B832" s="1115"/>
      <c r="C832" s="1115"/>
      <c r="D832" s="1115"/>
      <c r="E832" s="1115"/>
      <c r="F832" s="1115"/>
      <c r="G832" s="1115"/>
      <c r="H832" s="1115"/>
      <c r="I832" s="1115"/>
      <c r="J832" s="1115"/>
      <c r="K832" s="1115"/>
      <c r="L832" s="1115"/>
      <c r="M832" s="1115"/>
    </row>
    <row r="833" spans="1:13" x14ac:dyDescent="0.2">
      <c r="A833" s="1115"/>
      <c r="B833" s="1115"/>
      <c r="C833" s="1115"/>
      <c r="D833" s="1115"/>
      <c r="E833" s="1115"/>
      <c r="F833" s="1115"/>
      <c r="G833" s="1115"/>
      <c r="H833" s="1115"/>
      <c r="I833" s="1115"/>
      <c r="J833" s="1115"/>
      <c r="K833" s="1115"/>
      <c r="L833" s="1115"/>
      <c r="M833" s="1115"/>
    </row>
    <row r="834" spans="1:13" x14ac:dyDescent="0.2">
      <c r="A834" s="1115"/>
      <c r="B834" s="1115"/>
      <c r="C834" s="1115"/>
      <c r="D834" s="1115"/>
      <c r="E834" s="1115"/>
      <c r="F834" s="1115"/>
      <c r="G834" s="1115"/>
      <c r="H834" s="1115"/>
      <c r="I834" s="1115"/>
      <c r="J834" s="1115"/>
      <c r="K834" s="1115"/>
      <c r="L834" s="1115"/>
      <c r="M834" s="1115"/>
    </row>
    <row r="835" spans="1:13" x14ac:dyDescent="0.2">
      <c r="A835" s="1115"/>
      <c r="B835" s="1115"/>
      <c r="C835" s="1115"/>
      <c r="D835" s="1115"/>
      <c r="E835" s="1115"/>
      <c r="F835" s="1115"/>
      <c r="G835" s="1115"/>
      <c r="H835" s="1115"/>
      <c r="I835" s="1115"/>
      <c r="J835" s="1115"/>
      <c r="K835" s="1115"/>
      <c r="L835" s="1115"/>
      <c r="M835" s="1115"/>
    </row>
    <row r="836" spans="1:13" x14ac:dyDescent="0.2">
      <c r="A836" s="1115"/>
      <c r="B836" s="1115"/>
      <c r="C836" s="1115"/>
      <c r="D836" s="1115"/>
      <c r="E836" s="1115"/>
      <c r="F836" s="1115"/>
      <c r="G836" s="1115"/>
      <c r="H836" s="1115"/>
      <c r="I836" s="1115"/>
      <c r="J836" s="1115"/>
      <c r="K836" s="1115"/>
      <c r="L836" s="1115"/>
      <c r="M836" s="1115"/>
    </row>
    <row r="837" spans="1:13" x14ac:dyDescent="0.2">
      <c r="A837" s="1115"/>
      <c r="B837" s="1115"/>
      <c r="C837" s="1115"/>
      <c r="D837" s="1115"/>
      <c r="E837" s="1115"/>
      <c r="F837" s="1115"/>
      <c r="G837" s="1115"/>
      <c r="H837" s="1115"/>
      <c r="I837" s="1115"/>
      <c r="J837" s="1115"/>
      <c r="K837" s="1115"/>
      <c r="L837" s="1115"/>
      <c r="M837" s="1115"/>
    </row>
    <row r="838" spans="1:13" x14ac:dyDescent="0.2">
      <c r="A838" s="1115"/>
      <c r="B838" s="1115"/>
      <c r="C838" s="1115"/>
      <c r="D838" s="1115"/>
      <c r="E838" s="1115"/>
      <c r="F838" s="1115"/>
      <c r="G838" s="1115"/>
      <c r="H838" s="1115"/>
      <c r="I838" s="1115"/>
      <c r="J838" s="1115"/>
      <c r="K838" s="1115"/>
      <c r="L838" s="1115"/>
      <c r="M838" s="1115"/>
    </row>
    <row r="839" spans="1:13" x14ac:dyDescent="0.2">
      <c r="A839" s="1115"/>
      <c r="B839" s="1115"/>
      <c r="C839" s="1115"/>
      <c r="D839" s="1115"/>
      <c r="E839" s="1115"/>
      <c r="F839" s="1115"/>
      <c r="G839" s="1115"/>
      <c r="H839" s="1115"/>
      <c r="I839" s="1115"/>
      <c r="J839" s="1115"/>
      <c r="K839" s="1115"/>
      <c r="L839" s="1115"/>
      <c r="M839" s="1115"/>
    </row>
    <row r="840" spans="1:13" x14ac:dyDescent="0.2">
      <c r="A840" s="1115"/>
      <c r="B840" s="1115"/>
      <c r="C840" s="1115"/>
      <c r="D840" s="1115"/>
      <c r="E840" s="1115"/>
      <c r="F840" s="1115"/>
      <c r="G840" s="1115"/>
      <c r="H840" s="1115"/>
      <c r="I840" s="1115"/>
      <c r="J840" s="1115"/>
      <c r="K840" s="1115"/>
      <c r="L840" s="1115"/>
      <c r="M840" s="1115"/>
    </row>
    <row r="841" spans="1:13" x14ac:dyDescent="0.2">
      <c r="A841" s="1115"/>
      <c r="B841" s="1115"/>
      <c r="C841" s="1115"/>
      <c r="D841" s="1115"/>
      <c r="E841" s="1115"/>
      <c r="F841" s="1115"/>
      <c r="G841" s="1115"/>
      <c r="H841" s="1115"/>
      <c r="I841" s="1115"/>
      <c r="J841" s="1115"/>
      <c r="K841" s="1115"/>
      <c r="L841" s="1115"/>
      <c r="M841" s="1115"/>
    </row>
    <row r="842" spans="1:13" x14ac:dyDescent="0.2">
      <c r="A842" s="1115"/>
      <c r="B842" s="1115"/>
      <c r="C842" s="1115"/>
      <c r="D842" s="1115"/>
      <c r="E842" s="1115"/>
      <c r="F842" s="1115"/>
      <c r="G842" s="1115"/>
      <c r="H842" s="1115"/>
      <c r="I842" s="1115"/>
      <c r="J842" s="1115"/>
      <c r="K842" s="1115"/>
      <c r="L842" s="1115"/>
      <c r="M842" s="1115"/>
    </row>
    <row r="843" spans="1:13" x14ac:dyDescent="0.2">
      <c r="A843" s="1115"/>
      <c r="B843" s="1115"/>
      <c r="C843" s="1115"/>
      <c r="D843" s="1115"/>
      <c r="E843" s="1115"/>
      <c r="F843" s="1115"/>
      <c r="G843" s="1115"/>
      <c r="H843" s="1115"/>
      <c r="I843" s="1115"/>
      <c r="J843" s="1115"/>
      <c r="K843" s="1115"/>
      <c r="L843" s="1115"/>
      <c r="M843" s="1115"/>
    </row>
    <row r="844" spans="1:13" x14ac:dyDescent="0.2">
      <c r="A844" s="1115"/>
      <c r="B844" s="1115"/>
      <c r="C844" s="1115"/>
      <c r="D844" s="1115"/>
      <c r="E844" s="1115"/>
      <c r="F844" s="1115"/>
      <c r="G844" s="1115"/>
      <c r="H844" s="1115"/>
      <c r="I844" s="1115"/>
      <c r="J844" s="1115"/>
      <c r="K844" s="1115"/>
      <c r="L844" s="1115"/>
      <c r="M844" s="1115"/>
    </row>
    <row r="845" spans="1:13" x14ac:dyDescent="0.2">
      <c r="A845" s="1115"/>
      <c r="B845" s="1115"/>
      <c r="C845" s="1115"/>
      <c r="D845" s="1115"/>
      <c r="E845" s="1115"/>
      <c r="F845" s="1115"/>
      <c r="G845" s="1115"/>
      <c r="H845" s="1115"/>
      <c r="I845" s="1115"/>
      <c r="J845" s="1115"/>
      <c r="K845" s="1115"/>
      <c r="L845" s="1115"/>
      <c r="M845" s="1115"/>
    </row>
    <row r="846" spans="1:13" x14ac:dyDescent="0.2">
      <c r="A846" s="1115"/>
      <c r="B846" s="1115"/>
      <c r="C846" s="1115"/>
      <c r="D846" s="1115"/>
      <c r="E846" s="1115"/>
      <c r="F846" s="1115"/>
      <c r="G846" s="1115"/>
      <c r="H846" s="1115"/>
      <c r="I846" s="1115"/>
      <c r="J846" s="1115"/>
      <c r="K846" s="1115"/>
      <c r="L846" s="1115"/>
      <c r="M846" s="1115"/>
    </row>
    <row r="847" spans="1:13" x14ac:dyDescent="0.2">
      <c r="A847" s="1115"/>
      <c r="B847" s="1115"/>
      <c r="C847" s="1115"/>
      <c r="D847" s="1115"/>
      <c r="E847" s="1115"/>
      <c r="F847" s="1115"/>
      <c r="G847" s="1115"/>
      <c r="H847" s="1115"/>
      <c r="I847" s="1115"/>
      <c r="J847" s="1115"/>
      <c r="K847" s="1115"/>
      <c r="L847" s="1115"/>
      <c r="M847" s="1115"/>
    </row>
    <row r="848" spans="1:13" x14ac:dyDescent="0.2">
      <c r="A848" s="1115"/>
      <c r="B848" s="1115"/>
      <c r="C848" s="1115"/>
      <c r="D848" s="1115"/>
      <c r="E848" s="1115"/>
      <c r="F848" s="1115"/>
      <c r="G848" s="1115"/>
      <c r="H848" s="1115"/>
      <c r="I848" s="1115"/>
      <c r="J848" s="1115"/>
      <c r="K848" s="1115"/>
      <c r="L848" s="1115"/>
      <c r="M848" s="1115"/>
    </row>
    <row r="849" spans="1:13" x14ac:dyDescent="0.2">
      <c r="A849" s="1115"/>
      <c r="B849" s="1115"/>
      <c r="C849" s="1115"/>
      <c r="D849" s="1115"/>
      <c r="E849" s="1115"/>
      <c r="F849" s="1115"/>
      <c r="G849" s="1115"/>
      <c r="H849" s="1115"/>
      <c r="I849" s="1115"/>
      <c r="J849" s="1115"/>
      <c r="K849" s="1115"/>
      <c r="L849" s="1115"/>
      <c r="M849" s="1115"/>
    </row>
    <row r="850" spans="1:13" x14ac:dyDescent="0.2">
      <c r="A850" s="1115"/>
      <c r="B850" s="1115"/>
      <c r="C850" s="1115"/>
      <c r="D850" s="1115"/>
      <c r="E850" s="1115"/>
      <c r="F850" s="1115"/>
      <c r="G850" s="1115"/>
      <c r="H850" s="1115"/>
      <c r="I850" s="1115"/>
      <c r="J850" s="1115"/>
      <c r="K850" s="1115"/>
      <c r="L850" s="1115"/>
      <c r="M850" s="1115"/>
    </row>
    <row r="851" spans="1:13" x14ac:dyDescent="0.2">
      <c r="A851" s="1115"/>
      <c r="B851" s="1115"/>
      <c r="C851" s="1115"/>
      <c r="D851" s="1115"/>
      <c r="E851" s="1115"/>
      <c r="F851" s="1115"/>
      <c r="G851" s="1115"/>
      <c r="H851" s="1115"/>
      <c r="I851" s="1115"/>
      <c r="J851" s="1115"/>
      <c r="K851" s="1115"/>
      <c r="L851" s="1115"/>
      <c r="M851" s="1115"/>
    </row>
    <row r="852" spans="1:13" x14ac:dyDescent="0.2">
      <c r="A852" s="1115"/>
      <c r="B852" s="1115"/>
      <c r="C852" s="1115"/>
      <c r="D852" s="1115"/>
      <c r="E852" s="1115"/>
      <c r="F852" s="1115"/>
      <c r="G852" s="1115"/>
      <c r="H852" s="1115"/>
      <c r="I852" s="1115"/>
      <c r="J852" s="1115"/>
      <c r="K852" s="1115"/>
      <c r="L852" s="1115"/>
      <c r="M852" s="1115"/>
    </row>
    <row r="853" spans="1:13" x14ac:dyDescent="0.2">
      <c r="A853" s="1115"/>
      <c r="B853" s="1115"/>
      <c r="C853" s="1115"/>
      <c r="D853" s="1115"/>
      <c r="E853" s="1115"/>
      <c r="F853" s="1115"/>
      <c r="G853" s="1115"/>
      <c r="H853" s="1115"/>
      <c r="I853" s="1115"/>
      <c r="J853" s="1115"/>
      <c r="K853" s="1115"/>
      <c r="L853" s="1115"/>
      <c r="M853" s="1115"/>
    </row>
    <row r="854" spans="1:13" x14ac:dyDescent="0.2">
      <c r="A854" s="1115"/>
      <c r="B854" s="1115"/>
      <c r="C854" s="1115"/>
      <c r="D854" s="1115"/>
      <c r="E854" s="1115"/>
      <c r="F854" s="1115"/>
      <c r="G854" s="1115"/>
      <c r="H854" s="1115"/>
      <c r="I854" s="1115"/>
      <c r="J854" s="1115"/>
      <c r="K854" s="1115"/>
      <c r="L854" s="1115"/>
      <c r="M854" s="1115"/>
    </row>
    <row r="855" spans="1:13" x14ac:dyDescent="0.2">
      <c r="A855" s="1115"/>
      <c r="B855" s="1115"/>
      <c r="C855" s="1115"/>
      <c r="D855" s="1115"/>
      <c r="E855" s="1115"/>
      <c r="F855" s="1115"/>
      <c r="G855" s="1115"/>
      <c r="H855" s="1115"/>
      <c r="I855" s="1115"/>
      <c r="J855" s="1115"/>
      <c r="K855" s="1115"/>
      <c r="L855" s="1115"/>
      <c r="M855" s="1115"/>
    </row>
    <row r="856" spans="1:13" x14ac:dyDescent="0.2">
      <c r="A856" s="1115"/>
      <c r="B856" s="1115"/>
      <c r="C856" s="1115"/>
      <c r="D856" s="1115"/>
      <c r="E856" s="1115"/>
      <c r="F856" s="1115"/>
      <c r="G856" s="1115"/>
      <c r="H856" s="1115"/>
      <c r="I856" s="1115"/>
      <c r="J856" s="1115"/>
      <c r="K856" s="1115"/>
      <c r="L856" s="1115"/>
      <c r="M856" s="1115"/>
    </row>
    <row r="857" spans="1:13" x14ac:dyDescent="0.2">
      <c r="A857" s="1115"/>
      <c r="B857" s="1115"/>
      <c r="C857" s="1115"/>
      <c r="D857" s="1115"/>
      <c r="E857" s="1115"/>
      <c r="F857" s="1115"/>
      <c r="G857" s="1115"/>
      <c r="H857" s="1115"/>
      <c r="I857" s="1115"/>
      <c r="J857" s="1115"/>
      <c r="K857" s="1115"/>
      <c r="L857" s="1115"/>
      <c r="M857" s="1115"/>
    </row>
    <row r="858" spans="1:13" x14ac:dyDescent="0.2">
      <c r="A858" s="1115"/>
      <c r="B858" s="1115"/>
      <c r="C858" s="1115"/>
      <c r="D858" s="1115"/>
      <c r="E858" s="1115"/>
      <c r="F858" s="1115"/>
      <c r="G858" s="1115"/>
      <c r="H858" s="1115"/>
      <c r="I858" s="1115"/>
      <c r="J858" s="1115"/>
      <c r="K858" s="1115"/>
      <c r="L858" s="1115"/>
      <c r="M858" s="1115"/>
    </row>
    <row r="859" spans="1:13" x14ac:dyDescent="0.2">
      <c r="A859" s="1115"/>
      <c r="B859" s="1115"/>
      <c r="C859" s="1115"/>
      <c r="D859" s="1115"/>
      <c r="E859" s="1115"/>
      <c r="F859" s="1115"/>
      <c r="G859" s="1115"/>
      <c r="H859" s="1115"/>
      <c r="I859" s="1115"/>
      <c r="J859" s="1115"/>
      <c r="K859" s="1115"/>
      <c r="L859" s="1115"/>
      <c r="M859" s="1115"/>
    </row>
    <row r="860" spans="1:13" x14ac:dyDescent="0.2">
      <c r="A860" s="1115"/>
      <c r="B860" s="1115"/>
      <c r="C860" s="1115"/>
      <c r="D860" s="1115"/>
      <c r="E860" s="1115"/>
      <c r="F860" s="1115"/>
      <c r="G860" s="1115"/>
      <c r="H860" s="1115"/>
      <c r="I860" s="1115"/>
      <c r="J860" s="1115"/>
      <c r="K860" s="1115"/>
      <c r="L860" s="1115"/>
      <c r="M860" s="1115"/>
    </row>
    <row r="861" spans="1:13" x14ac:dyDescent="0.2">
      <c r="A861" s="1115"/>
      <c r="B861" s="1115"/>
      <c r="C861" s="1115"/>
      <c r="D861" s="1115"/>
      <c r="E861" s="1115"/>
      <c r="F861" s="1115"/>
      <c r="G861" s="1115"/>
      <c r="H861" s="1115"/>
      <c r="I861" s="1115"/>
      <c r="J861" s="1115"/>
      <c r="K861" s="1115"/>
      <c r="L861" s="1115"/>
      <c r="M861" s="1115"/>
    </row>
    <row r="862" spans="1:13" x14ac:dyDescent="0.2">
      <c r="A862" s="1115"/>
      <c r="B862" s="1115"/>
      <c r="C862" s="1115"/>
      <c r="D862" s="1115"/>
      <c r="E862" s="1115"/>
      <c r="F862" s="1115"/>
      <c r="G862" s="1115"/>
      <c r="H862" s="1115"/>
      <c r="I862" s="1115"/>
      <c r="J862" s="1115"/>
      <c r="K862" s="1115"/>
      <c r="L862" s="1115"/>
      <c r="M862" s="1115"/>
    </row>
    <row r="863" spans="1:13" x14ac:dyDescent="0.2">
      <c r="A863" s="1115"/>
      <c r="B863" s="1115"/>
      <c r="C863" s="1115"/>
      <c r="D863" s="1115"/>
      <c r="E863" s="1115"/>
      <c r="F863" s="1115"/>
      <c r="G863" s="1115"/>
      <c r="H863" s="1115"/>
      <c r="I863" s="1115"/>
      <c r="J863" s="1115"/>
      <c r="K863" s="1115"/>
      <c r="L863" s="1115"/>
      <c r="M863" s="1115"/>
    </row>
    <row r="864" spans="1:13" x14ac:dyDescent="0.2">
      <c r="A864" s="1115"/>
      <c r="B864" s="1115"/>
      <c r="C864" s="1115"/>
      <c r="D864" s="1115"/>
      <c r="E864" s="1115"/>
      <c r="F864" s="1115"/>
      <c r="G864" s="1115"/>
      <c r="H864" s="1115"/>
      <c r="I864" s="1115"/>
      <c r="J864" s="1115"/>
      <c r="K864" s="1115"/>
      <c r="L864" s="1115"/>
      <c r="M864" s="1115"/>
    </row>
    <row r="865" spans="1:13" x14ac:dyDescent="0.2">
      <c r="A865" s="1115"/>
      <c r="B865" s="1115"/>
      <c r="C865" s="1115"/>
      <c r="D865" s="1115"/>
      <c r="E865" s="1115"/>
      <c r="F865" s="1115"/>
      <c r="G865" s="1115"/>
      <c r="H865" s="1115"/>
      <c r="I865" s="1115"/>
      <c r="J865" s="1115"/>
      <c r="K865" s="1115"/>
      <c r="L865" s="1115"/>
      <c r="M865" s="1115"/>
    </row>
    <row r="866" spans="1:13" x14ac:dyDescent="0.2">
      <c r="A866" s="1115"/>
      <c r="B866" s="1115"/>
      <c r="C866" s="1115"/>
      <c r="D866" s="1115"/>
      <c r="E866" s="1115"/>
      <c r="F866" s="1115"/>
      <c r="G866" s="1115"/>
      <c r="H866" s="1115"/>
      <c r="I866" s="1115"/>
      <c r="J866" s="1115"/>
      <c r="K866" s="1115"/>
      <c r="L866" s="1115"/>
      <c r="M866" s="1115"/>
    </row>
    <row r="867" spans="1:13" x14ac:dyDescent="0.2">
      <c r="A867" s="1115"/>
      <c r="B867" s="1115"/>
      <c r="C867" s="1115"/>
      <c r="D867" s="1115"/>
      <c r="E867" s="1115"/>
      <c r="F867" s="1115"/>
      <c r="G867" s="1115"/>
      <c r="H867" s="1115"/>
      <c r="I867" s="1115"/>
      <c r="J867" s="1115"/>
      <c r="K867" s="1115"/>
      <c r="L867" s="1115"/>
      <c r="M867" s="1115"/>
    </row>
    <row r="868" spans="1:13" x14ac:dyDescent="0.2">
      <c r="A868" s="1115"/>
      <c r="B868" s="1115"/>
      <c r="C868" s="1115"/>
      <c r="D868" s="1115"/>
      <c r="E868" s="1115"/>
      <c r="F868" s="1115"/>
      <c r="G868" s="1115"/>
      <c r="H868" s="1115"/>
      <c r="I868" s="1115"/>
      <c r="J868" s="1115"/>
      <c r="K868" s="1115"/>
      <c r="L868" s="1115"/>
      <c r="M868" s="1115"/>
    </row>
    <row r="869" spans="1:13" x14ac:dyDescent="0.2">
      <c r="A869" s="1115"/>
      <c r="B869" s="1115"/>
      <c r="C869" s="1115"/>
      <c r="D869" s="1115"/>
      <c r="E869" s="1115"/>
      <c r="F869" s="1115"/>
      <c r="G869" s="1115"/>
      <c r="H869" s="1115"/>
      <c r="I869" s="1115"/>
      <c r="J869" s="1115"/>
      <c r="K869" s="1115"/>
      <c r="L869" s="1115"/>
      <c r="M869" s="1115"/>
    </row>
    <row r="870" spans="1:13" x14ac:dyDescent="0.2">
      <c r="A870" s="1115"/>
      <c r="B870" s="1115"/>
      <c r="C870" s="1115"/>
      <c r="D870" s="1115"/>
      <c r="E870" s="1115"/>
      <c r="F870" s="1115"/>
      <c r="G870" s="1115"/>
      <c r="H870" s="1115"/>
      <c r="I870" s="1115"/>
      <c r="J870" s="1115"/>
      <c r="K870" s="1115"/>
      <c r="L870" s="1115"/>
      <c r="M870" s="1115"/>
    </row>
    <row r="871" spans="1:13" x14ac:dyDescent="0.2">
      <c r="A871" s="1115"/>
      <c r="B871" s="1115"/>
      <c r="C871" s="1115"/>
      <c r="D871" s="1115"/>
      <c r="E871" s="1115"/>
      <c r="F871" s="1115"/>
      <c r="G871" s="1115"/>
      <c r="H871" s="1115"/>
      <c r="I871" s="1115"/>
      <c r="J871" s="1115"/>
      <c r="K871" s="1115"/>
      <c r="L871" s="1115"/>
      <c r="M871" s="1115"/>
    </row>
    <row r="872" spans="1:13" x14ac:dyDescent="0.2">
      <c r="A872" s="1115"/>
      <c r="B872" s="1115"/>
      <c r="C872" s="1115"/>
      <c r="D872" s="1115"/>
      <c r="E872" s="1115"/>
      <c r="F872" s="1115"/>
      <c r="G872" s="1115"/>
      <c r="H872" s="1115"/>
      <c r="I872" s="1115"/>
      <c r="J872" s="1115"/>
      <c r="K872" s="1115"/>
      <c r="L872" s="1115"/>
      <c r="M872" s="1115"/>
    </row>
    <row r="873" spans="1:13" x14ac:dyDescent="0.2">
      <c r="A873" s="1115"/>
      <c r="B873" s="1115"/>
      <c r="C873" s="1115"/>
      <c r="D873" s="1115"/>
      <c r="E873" s="1115"/>
      <c r="F873" s="1115"/>
      <c r="G873" s="1115"/>
      <c r="H873" s="1115"/>
      <c r="I873" s="1115"/>
      <c r="J873" s="1115"/>
      <c r="K873" s="1115"/>
      <c r="L873" s="1115"/>
      <c r="M873" s="1115"/>
    </row>
    <row r="874" spans="1:13" x14ac:dyDescent="0.2">
      <c r="A874" s="1115"/>
      <c r="B874" s="1115"/>
      <c r="C874" s="1115"/>
      <c r="D874" s="1115"/>
      <c r="E874" s="1115"/>
      <c r="F874" s="1115"/>
      <c r="G874" s="1115"/>
      <c r="H874" s="1115"/>
      <c r="I874" s="1115"/>
      <c r="J874" s="1115"/>
      <c r="K874" s="1115"/>
      <c r="L874" s="1115"/>
      <c r="M874" s="1115"/>
    </row>
    <row r="875" spans="1:13" x14ac:dyDescent="0.2">
      <c r="A875" s="1115"/>
      <c r="B875" s="1115"/>
      <c r="C875" s="1115"/>
      <c r="D875" s="1115"/>
      <c r="E875" s="1115"/>
      <c r="F875" s="1115"/>
      <c r="G875" s="1115"/>
      <c r="H875" s="1115"/>
      <c r="I875" s="1115"/>
      <c r="J875" s="1115"/>
      <c r="K875" s="1115"/>
      <c r="L875" s="1115"/>
      <c r="M875" s="1115"/>
    </row>
    <row r="876" spans="1:13" x14ac:dyDescent="0.2">
      <c r="A876" s="1115"/>
      <c r="B876" s="1115"/>
      <c r="C876" s="1115"/>
      <c r="D876" s="1115"/>
      <c r="E876" s="1115"/>
      <c r="F876" s="1115"/>
      <c r="G876" s="1115"/>
      <c r="H876" s="1115"/>
      <c r="I876" s="1115"/>
      <c r="J876" s="1115"/>
      <c r="K876" s="1115"/>
      <c r="L876" s="1115"/>
      <c r="M876" s="1115"/>
    </row>
    <row r="877" spans="1:13" x14ac:dyDescent="0.2">
      <c r="A877" s="1115"/>
      <c r="B877" s="1115"/>
      <c r="C877" s="1115"/>
      <c r="D877" s="1115"/>
      <c r="E877" s="1115"/>
      <c r="F877" s="1115"/>
      <c r="G877" s="1115"/>
      <c r="H877" s="1115"/>
      <c r="I877" s="1115"/>
      <c r="J877" s="1115"/>
      <c r="K877" s="1115"/>
      <c r="L877" s="1115"/>
      <c r="M877" s="1115"/>
    </row>
    <row r="878" spans="1:13" x14ac:dyDescent="0.2">
      <c r="A878" s="1115"/>
      <c r="B878" s="1115"/>
      <c r="C878" s="1115"/>
      <c r="D878" s="1115"/>
      <c r="E878" s="1115"/>
      <c r="F878" s="1115"/>
      <c r="G878" s="1115"/>
      <c r="H878" s="1115"/>
      <c r="I878" s="1115"/>
      <c r="J878" s="1115"/>
      <c r="K878" s="1115"/>
      <c r="L878" s="1115"/>
      <c r="M878" s="1115"/>
    </row>
    <row r="879" spans="1:13" x14ac:dyDescent="0.2">
      <c r="A879" s="1115"/>
      <c r="B879" s="1115"/>
      <c r="C879" s="1115"/>
      <c r="D879" s="1115"/>
      <c r="E879" s="1115"/>
      <c r="F879" s="1115"/>
      <c r="G879" s="1115"/>
      <c r="H879" s="1115"/>
      <c r="I879" s="1115"/>
      <c r="J879" s="1115"/>
      <c r="K879" s="1115"/>
      <c r="L879" s="1115"/>
      <c r="M879" s="1115"/>
    </row>
    <row r="880" spans="1:13" x14ac:dyDescent="0.2">
      <c r="A880" s="1115"/>
      <c r="B880" s="1115"/>
      <c r="C880" s="1115"/>
      <c r="D880" s="1115"/>
      <c r="E880" s="1115"/>
      <c r="F880" s="1115"/>
      <c r="G880" s="1115"/>
      <c r="H880" s="1115"/>
      <c r="I880" s="1115"/>
      <c r="J880" s="1115"/>
      <c r="K880" s="1115"/>
      <c r="L880" s="1115"/>
      <c r="M880" s="1115"/>
    </row>
    <row r="881" spans="1:13" x14ac:dyDescent="0.2">
      <c r="A881" s="1115"/>
      <c r="B881" s="1115"/>
      <c r="C881" s="1115"/>
      <c r="D881" s="1115"/>
      <c r="E881" s="1115"/>
      <c r="F881" s="1115"/>
      <c r="G881" s="1115"/>
      <c r="H881" s="1115"/>
      <c r="I881" s="1115"/>
      <c r="J881" s="1115"/>
      <c r="K881" s="1115"/>
      <c r="L881" s="1115"/>
      <c r="M881" s="1115"/>
    </row>
    <row r="882" spans="1:13" x14ac:dyDescent="0.2">
      <c r="A882" s="1115"/>
      <c r="B882" s="1115"/>
      <c r="C882" s="1115"/>
      <c r="D882" s="1115"/>
      <c r="E882" s="1115"/>
      <c r="F882" s="1115"/>
      <c r="G882" s="1115"/>
      <c r="H882" s="1115"/>
      <c r="I882" s="1115"/>
      <c r="J882" s="1115"/>
      <c r="K882" s="1115"/>
      <c r="L882" s="1115"/>
      <c r="M882" s="1115"/>
    </row>
    <row r="883" spans="1:13" x14ac:dyDescent="0.2">
      <c r="A883" s="1115"/>
      <c r="B883" s="1115"/>
      <c r="C883" s="1115"/>
      <c r="D883" s="1115"/>
      <c r="E883" s="1115"/>
      <c r="F883" s="1115"/>
      <c r="G883" s="1115"/>
      <c r="H883" s="1115"/>
      <c r="I883" s="1115"/>
      <c r="J883" s="1115"/>
      <c r="K883" s="1115"/>
      <c r="L883" s="1115"/>
      <c r="M883" s="1115"/>
    </row>
    <row r="884" spans="1:13" x14ac:dyDescent="0.2">
      <c r="A884" s="1115"/>
      <c r="B884" s="1115"/>
      <c r="C884" s="1115"/>
      <c r="D884" s="1115"/>
      <c r="E884" s="1115"/>
      <c r="F884" s="1115"/>
      <c r="G884" s="1115"/>
      <c r="H884" s="1115"/>
      <c r="I884" s="1115"/>
      <c r="J884" s="1115"/>
      <c r="K884" s="1115"/>
      <c r="L884" s="1115"/>
      <c r="M884" s="1115"/>
    </row>
    <row r="885" spans="1:13" x14ac:dyDescent="0.2">
      <c r="A885" s="1115"/>
      <c r="B885" s="1115"/>
      <c r="C885" s="1115"/>
      <c r="D885" s="1115"/>
      <c r="E885" s="1115"/>
      <c r="F885" s="1115"/>
      <c r="G885" s="1115"/>
      <c r="H885" s="1115"/>
      <c r="I885" s="1115"/>
      <c r="J885" s="1115"/>
      <c r="K885" s="1115"/>
      <c r="L885" s="1115"/>
      <c r="M885" s="1115"/>
    </row>
    <row r="886" spans="1:13" x14ac:dyDescent="0.2">
      <c r="A886" s="1115"/>
      <c r="B886" s="1115"/>
      <c r="C886" s="1115"/>
      <c r="D886" s="1115"/>
      <c r="E886" s="1115"/>
      <c r="F886" s="1115"/>
      <c r="G886" s="1115"/>
      <c r="H886" s="1115"/>
      <c r="I886" s="1115"/>
      <c r="J886" s="1115"/>
      <c r="K886" s="1115"/>
      <c r="L886" s="1115"/>
      <c r="M886" s="1115"/>
    </row>
    <row r="887" spans="1:13" x14ac:dyDescent="0.2">
      <c r="A887" s="1115"/>
      <c r="B887" s="1115"/>
      <c r="C887" s="1115"/>
      <c r="D887" s="1115"/>
      <c r="E887" s="1115"/>
      <c r="F887" s="1115"/>
      <c r="G887" s="1115"/>
      <c r="H887" s="1115"/>
      <c r="I887" s="1115"/>
      <c r="J887" s="1115"/>
      <c r="K887" s="1115"/>
      <c r="L887" s="1115"/>
      <c r="M887" s="1115"/>
    </row>
    <row r="888" spans="1:13" x14ac:dyDescent="0.2">
      <c r="A888" s="1115"/>
      <c r="B888" s="1115"/>
      <c r="C888" s="1115"/>
      <c r="D888" s="1115"/>
      <c r="E888" s="1115"/>
      <c r="F888" s="1115"/>
      <c r="G888" s="1115"/>
      <c r="H888" s="1115"/>
      <c r="I888" s="1115"/>
      <c r="J888" s="1115"/>
      <c r="K888" s="1115"/>
      <c r="L888" s="1115"/>
      <c r="M888" s="1115"/>
    </row>
    <row r="889" spans="1:13" x14ac:dyDescent="0.2">
      <c r="A889" s="1115"/>
      <c r="B889" s="1115"/>
      <c r="C889" s="1115"/>
      <c r="D889" s="1115"/>
      <c r="E889" s="1115"/>
      <c r="F889" s="1115"/>
      <c r="G889" s="1115"/>
      <c r="H889" s="1115"/>
      <c r="I889" s="1115"/>
      <c r="J889" s="1115"/>
      <c r="K889" s="1115"/>
      <c r="L889" s="1115"/>
      <c r="M889" s="1115"/>
    </row>
    <row r="890" spans="1:13" x14ac:dyDescent="0.2">
      <c r="A890" s="1115"/>
      <c r="B890" s="1115"/>
      <c r="C890" s="1115"/>
      <c r="D890" s="1115"/>
      <c r="E890" s="1115"/>
      <c r="F890" s="1115"/>
      <c r="G890" s="1115"/>
      <c r="H890" s="1115"/>
      <c r="I890" s="1115"/>
      <c r="J890" s="1115"/>
      <c r="K890" s="1115"/>
      <c r="L890" s="1115"/>
      <c r="M890" s="1115"/>
    </row>
    <row r="891" spans="1:13" x14ac:dyDescent="0.2">
      <c r="A891" s="1115"/>
      <c r="B891" s="1115"/>
      <c r="C891" s="1115"/>
      <c r="D891" s="1115"/>
      <c r="E891" s="1115"/>
      <c r="F891" s="1115"/>
      <c r="G891" s="1115"/>
      <c r="H891" s="1115"/>
      <c r="I891" s="1115"/>
      <c r="J891" s="1115"/>
      <c r="K891" s="1115"/>
      <c r="L891" s="1115"/>
      <c r="M891" s="1115"/>
    </row>
    <row r="892" spans="1:13" x14ac:dyDescent="0.2">
      <c r="A892" s="1115"/>
      <c r="B892" s="1115"/>
      <c r="C892" s="1115"/>
      <c r="D892" s="1115"/>
      <c r="E892" s="1115"/>
      <c r="F892" s="1115"/>
      <c r="G892" s="1115"/>
      <c r="H892" s="1115"/>
      <c r="I892" s="1115"/>
      <c r="J892" s="1115"/>
      <c r="K892" s="1115"/>
      <c r="L892" s="1115"/>
      <c r="M892" s="1115"/>
    </row>
    <row r="893" spans="1:13" x14ac:dyDescent="0.2">
      <c r="A893" s="1115"/>
      <c r="B893" s="1115"/>
      <c r="C893" s="1115"/>
      <c r="D893" s="1115"/>
      <c r="E893" s="1115"/>
      <c r="F893" s="1115"/>
      <c r="G893" s="1115"/>
      <c r="H893" s="1115"/>
      <c r="I893" s="1115"/>
      <c r="J893" s="1115"/>
      <c r="K893" s="1115"/>
      <c r="L893" s="1115"/>
      <c r="M893" s="1115"/>
    </row>
    <row r="894" spans="1:13" x14ac:dyDescent="0.2">
      <c r="A894" s="1115"/>
      <c r="B894" s="1115"/>
      <c r="C894" s="1115"/>
      <c r="D894" s="1115"/>
      <c r="E894" s="1115"/>
      <c r="F894" s="1115"/>
      <c r="G894" s="1115"/>
      <c r="H894" s="1115"/>
      <c r="I894" s="1115"/>
      <c r="J894" s="1115"/>
      <c r="K894" s="1115"/>
      <c r="L894" s="1115"/>
      <c r="M894" s="1115"/>
    </row>
    <row r="895" spans="1:13" x14ac:dyDescent="0.2">
      <c r="A895" s="1115"/>
      <c r="B895" s="1115"/>
      <c r="C895" s="1115"/>
      <c r="D895" s="1115"/>
      <c r="E895" s="1115"/>
      <c r="F895" s="1115"/>
      <c r="G895" s="1115"/>
      <c r="H895" s="1115"/>
      <c r="I895" s="1115"/>
      <c r="J895" s="1115"/>
      <c r="K895" s="1115"/>
      <c r="L895" s="1115"/>
      <c r="M895" s="1115"/>
    </row>
    <row r="896" spans="1:13" x14ac:dyDescent="0.2">
      <c r="A896" s="1115"/>
      <c r="B896" s="1115"/>
      <c r="C896" s="1115"/>
      <c r="D896" s="1115"/>
      <c r="E896" s="1115"/>
      <c r="F896" s="1115"/>
      <c r="G896" s="1115"/>
      <c r="H896" s="1115"/>
      <c r="I896" s="1115"/>
      <c r="J896" s="1115"/>
      <c r="K896" s="1115"/>
      <c r="L896" s="1115"/>
      <c r="M896" s="1115"/>
    </row>
    <row r="897" spans="1:13" x14ac:dyDescent="0.2">
      <c r="A897" s="1115"/>
      <c r="B897" s="1115"/>
      <c r="C897" s="1115"/>
      <c r="D897" s="1115"/>
      <c r="E897" s="1115"/>
      <c r="F897" s="1115"/>
      <c r="G897" s="1115"/>
      <c r="H897" s="1115"/>
      <c r="I897" s="1115"/>
      <c r="J897" s="1115"/>
      <c r="K897" s="1115"/>
      <c r="L897" s="1115"/>
      <c r="M897" s="1115"/>
    </row>
    <row r="898" spans="1:13" x14ac:dyDescent="0.2">
      <c r="A898" s="1115"/>
      <c r="B898" s="1115"/>
      <c r="C898" s="1115"/>
      <c r="D898" s="1115"/>
      <c r="E898" s="1115"/>
      <c r="F898" s="1115"/>
      <c r="G898" s="1115"/>
      <c r="H898" s="1115"/>
      <c r="I898" s="1115"/>
      <c r="J898" s="1115"/>
      <c r="K898" s="1115"/>
      <c r="L898" s="1115"/>
      <c r="M898" s="1115"/>
    </row>
    <row r="899" spans="1:13" x14ac:dyDescent="0.2">
      <c r="A899" s="1115"/>
      <c r="B899" s="1115"/>
      <c r="C899" s="1115"/>
      <c r="D899" s="1115"/>
      <c r="E899" s="1115"/>
      <c r="F899" s="1115"/>
      <c r="G899" s="1115"/>
      <c r="H899" s="1115"/>
      <c r="I899" s="1115"/>
      <c r="J899" s="1115"/>
      <c r="K899" s="1115"/>
      <c r="L899" s="1115"/>
      <c r="M899" s="1115"/>
    </row>
    <row r="900" spans="1:13" x14ac:dyDescent="0.2">
      <c r="A900" s="1115"/>
      <c r="B900" s="1115"/>
      <c r="C900" s="1115"/>
      <c r="D900" s="1115"/>
      <c r="E900" s="1115"/>
      <c r="F900" s="1115"/>
      <c r="G900" s="1115"/>
      <c r="H900" s="1115"/>
      <c r="I900" s="1115"/>
      <c r="J900" s="1115"/>
      <c r="K900" s="1115"/>
      <c r="L900" s="1115"/>
      <c r="M900" s="1115"/>
    </row>
    <row r="901" spans="1:13" x14ac:dyDescent="0.2">
      <c r="A901" s="1115"/>
      <c r="B901" s="1115"/>
      <c r="C901" s="1115"/>
      <c r="D901" s="1115"/>
      <c r="E901" s="1115"/>
      <c r="F901" s="1115"/>
      <c r="G901" s="1115"/>
      <c r="H901" s="1115"/>
      <c r="I901" s="1115"/>
      <c r="J901" s="1115"/>
      <c r="K901" s="1115"/>
      <c r="L901" s="1115"/>
      <c r="M901" s="1115"/>
    </row>
    <row r="902" spans="1:13" x14ac:dyDescent="0.2">
      <c r="A902" s="1115"/>
      <c r="B902" s="1115"/>
      <c r="C902" s="1115"/>
      <c r="D902" s="1115"/>
      <c r="E902" s="1115"/>
      <c r="F902" s="1115"/>
      <c r="G902" s="1115"/>
      <c r="H902" s="1115"/>
      <c r="I902" s="1115"/>
      <c r="J902" s="1115"/>
      <c r="K902" s="1115"/>
      <c r="L902" s="1115"/>
      <c r="M902" s="1115"/>
    </row>
    <row r="903" spans="1:13" x14ac:dyDescent="0.2">
      <c r="A903" s="1115"/>
      <c r="B903" s="1115"/>
      <c r="C903" s="1115"/>
      <c r="D903" s="1115"/>
      <c r="E903" s="1115"/>
      <c r="F903" s="1115"/>
      <c r="G903" s="1115"/>
      <c r="H903" s="1115"/>
      <c r="I903" s="1115"/>
      <c r="J903" s="1115"/>
      <c r="K903" s="1115"/>
      <c r="L903" s="1115"/>
      <c r="M903" s="1115"/>
    </row>
    <row r="904" spans="1:13" x14ac:dyDescent="0.2">
      <c r="A904" s="1115"/>
      <c r="B904" s="1115"/>
      <c r="C904" s="1115"/>
      <c r="D904" s="1115"/>
      <c r="E904" s="1115"/>
      <c r="F904" s="1115"/>
      <c r="G904" s="1115"/>
      <c r="H904" s="1115"/>
      <c r="I904" s="1115"/>
      <c r="J904" s="1115"/>
      <c r="K904" s="1115"/>
      <c r="L904" s="1115"/>
      <c r="M904" s="1115"/>
    </row>
    <row r="905" spans="1:13" x14ac:dyDescent="0.2">
      <c r="A905" s="1115"/>
      <c r="B905" s="1115"/>
      <c r="C905" s="1115"/>
      <c r="D905" s="1115"/>
      <c r="E905" s="1115"/>
      <c r="F905" s="1115"/>
      <c r="G905" s="1115"/>
      <c r="H905" s="1115"/>
      <c r="I905" s="1115"/>
      <c r="J905" s="1115"/>
      <c r="K905" s="1115"/>
      <c r="L905" s="1115"/>
      <c r="M905" s="1115"/>
    </row>
    <row r="906" spans="1:13" x14ac:dyDescent="0.2">
      <c r="A906" s="1115"/>
      <c r="B906" s="1115"/>
      <c r="C906" s="1115"/>
      <c r="D906" s="1115"/>
      <c r="E906" s="1115"/>
      <c r="F906" s="1115"/>
      <c r="G906" s="1115"/>
      <c r="H906" s="1115"/>
      <c r="I906" s="1115"/>
      <c r="J906" s="1115"/>
      <c r="K906" s="1115"/>
      <c r="L906" s="1115"/>
      <c r="M906" s="1115"/>
    </row>
    <row r="907" spans="1:13" x14ac:dyDescent="0.2">
      <c r="A907" s="1115"/>
      <c r="B907" s="1115"/>
      <c r="C907" s="1115"/>
      <c r="D907" s="1115"/>
      <c r="E907" s="1115"/>
      <c r="F907" s="1115"/>
      <c r="G907" s="1115"/>
      <c r="H907" s="1115"/>
      <c r="I907" s="1115"/>
      <c r="J907" s="1115"/>
      <c r="K907" s="1115"/>
      <c r="L907" s="1115"/>
      <c r="M907" s="1115"/>
    </row>
    <row r="908" spans="1:13" x14ac:dyDescent="0.2">
      <c r="A908" s="1115"/>
      <c r="B908" s="1115"/>
      <c r="C908" s="1115"/>
      <c r="D908" s="1115"/>
      <c r="E908" s="1115"/>
      <c r="F908" s="1115"/>
      <c r="G908" s="1115"/>
      <c r="H908" s="1115"/>
      <c r="I908" s="1115"/>
      <c r="J908" s="1115"/>
      <c r="K908" s="1115"/>
      <c r="L908" s="1115"/>
      <c r="M908" s="1115"/>
    </row>
    <row r="909" spans="1:13" x14ac:dyDescent="0.2">
      <c r="A909" s="1115"/>
      <c r="B909" s="1115"/>
      <c r="C909" s="1115"/>
      <c r="D909" s="1115"/>
      <c r="E909" s="1115"/>
      <c r="F909" s="1115"/>
      <c r="G909" s="1115"/>
      <c r="H909" s="1115"/>
      <c r="I909" s="1115"/>
      <c r="J909" s="1115"/>
      <c r="K909" s="1115"/>
      <c r="L909" s="1115"/>
      <c r="M909" s="1115"/>
    </row>
    <row r="910" spans="1:13" x14ac:dyDescent="0.2">
      <c r="A910" s="1115"/>
      <c r="B910" s="1115"/>
      <c r="C910" s="1115"/>
      <c r="D910" s="1115"/>
      <c r="E910" s="1115"/>
      <c r="F910" s="1115"/>
      <c r="G910" s="1115"/>
      <c r="H910" s="1115"/>
      <c r="I910" s="1115"/>
      <c r="J910" s="1115"/>
      <c r="K910" s="1115"/>
      <c r="L910" s="1115"/>
      <c r="M910" s="1115"/>
    </row>
    <row r="911" spans="1:13" x14ac:dyDescent="0.2">
      <c r="A911" s="1115"/>
      <c r="B911" s="1115"/>
      <c r="C911" s="1115"/>
      <c r="D911" s="1115"/>
      <c r="E911" s="1115"/>
      <c r="F911" s="1115"/>
      <c r="G911" s="1115"/>
      <c r="H911" s="1115"/>
      <c r="I911" s="1115"/>
      <c r="J911" s="1115"/>
      <c r="K911" s="1115"/>
      <c r="L911" s="1115"/>
      <c r="M911" s="1115"/>
    </row>
    <row r="912" spans="1:13" x14ac:dyDescent="0.2">
      <c r="A912" s="1115"/>
      <c r="B912" s="1115"/>
      <c r="C912" s="1115"/>
      <c r="D912" s="1115"/>
      <c r="E912" s="1115"/>
      <c r="F912" s="1115"/>
      <c r="G912" s="1115"/>
      <c r="H912" s="1115"/>
      <c r="I912" s="1115"/>
      <c r="J912" s="1115"/>
      <c r="K912" s="1115"/>
      <c r="L912" s="1115"/>
      <c r="M912" s="1115"/>
    </row>
    <row r="913" spans="1:13" x14ac:dyDescent="0.2">
      <c r="A913" s="1115"/>
      <c r="B913" s="1115"/>
      <c r="C913" s="1115"/>
      <c r="D913" s="1115"/>
      <c r="E913" s="1115"/>
      <c r="F913" s="1115"/>
      <c r="G913" s="1115"/>
      <c r="H913" s="1115"/>
      <c r="I913" s="1115"/>
      <c r="J913" s="1115"/>
      <c r="K913" s="1115"/>
      <c r="L913" s="1115"/>
      <c r="M913" s="1115"/>
    </row>
    <row r="914" spans="1:13" x14ac:dyDescent="0.2">
      <c r="A914" s="1115"/>
      <c r="B914" s="1115"/>
      <c r="C914" s="1115"/>
      <c r="D914" s="1115"/>
      <c r="E914" s="1115"/>
      <c r="F914" s="1115"/>
      <c r="G914" s="1115"/>
      <c r="H914" s="1115"/>
      <c r="I914" s="1115"/>
      <c r="J914" s="1115"/>
      <c r="K914" s="1115"/>
      <c r="L914" s="1115"/>
      <c r="M914" s="1115"/>
    </row>
    <row r="915" spans="1:13" x14ac:dyDescent="0.2">
      <c r="A915" s="1115"/>
      <c r="B915" s="1115"/>
      <c r="C915" s="1115"/>
      <c r="D915" s="1115"/>
      <c r="E915" s="1115"/>
      <c r="F915" s="1115"/>
      <c r="G915" s="1115"/>
      <c r="H915" s="1115"/>
      <c r="I915" s="1115"/>
      <c r="J915" s="1115"/>
      <c r="K915" s="1115"/>
      <c r="L915" s="1115"/>
      <c r="M915" s="1115"/>
    </row>
    <row r="916" spans="1:13" x14ac:dyDescent="0.2">
      <c r="A916" s="1115"/>
      <c r="B916" s="1115"/>
      <c r="C916" s="1115"/>
      <c r="D916" s="1115"/>
      <c r="E916" s="1115"/>
      <c r="F916" s="1115"/>
      <c r="G916" s="1115"/>
      <c r="H916" s="1115"/>
      <c r="I916" s="1115"/>
      <c r="J916" s="1115"/>
      <c r="K916" s="1115"/>
      <c r="L916" s="1115"/>
      <c r="M916" s="1115"/>
    </row>
    <row r="917" spans="1:13" x14ac:dyDescent="0.2">
      <c r="A917" s="1115"/>
      <c r="B917" s="1115"/>
      <c r="C917" s="1115"/>
      <c r="D917" s="1115"/>
      <c r="E917" s="1115"/>
      <c r="F917" s="1115"/>
      <c r="G917" s="1115"/>
      <c r="H917" s="1115"/>
      <c r="I917" s="1115"/>
      <c r="J917" s="1115"/>
      <c r="K917" s="1115"/>
      <c r="L917" s="1115"/>
      <c r="M917" s="1115"/>
    </row>
    <row r="918" spans="1:13" x14ac:dyDescent="0.2">
      <c r="A918" s="1115"/>
      <c r="B918" s="1115"/>
      <c r="C918" s="1115"/>
      <c r="D918" s="1115"/>
      <c r="E918" s="1115"/>
      <c r="F918" s="1115"/>
      <c r="G918" s="1115"/>
      <c r="H918" s="1115"/>
      <c r="I918" s="1115"/>
      <c r="J918" s="1115"/>
      <c r="K918" s="1115"/>
      <c r="L918" s="1115"/>
      <c r="M918" s="1115"/>
    </row>
    <row r="919" spans="1:13" x14ac:dyDescent="0.2">
      <c r="A919" s="1115"/>
      <c r="B919" s="1115"/>
      <c r="C919" s="1115"/>
      <c r="D919" s="1115"/>
      <c r="E919" s="1115"/>
      <c r="F919" s="1115"/>
      <c r="G919" s="1115"/>
      <c r="H919" s="1115"/>
      <c r="I919" s="1115"/>
      <c r="J919" s="1115"/>
      <c r="K919" s="1115"/>
      <c r="L919" s="1115"/>
      <c r="M919" s="1115"/>
    </row>
    <row r="920" spans="1:13" x14ac:dyDescent="0.2">
      <c r="A920" s="1115"/>
      <c r="B920" s="1115"/>
      <c r="C920" s="1115"/>
      <c r="D920" s="1115"/>
      <c r="E920" s="1115"/>
      <c r="F920" s="1115"/>
      <c r="G920" s="1115"/>
      <c r="H920" s="1115"/>
      <c r="I920" s="1115"/>
      <c r="J920" s="1115"/>
      <c r="K920" s="1115"/>
      <c r="L920" s="1115"/>
      <c r="M920" s="1115"/>
    </row>
    <row r="921" spans="1:13" x14ac:dyDescent="0.2">
      <c r="A921" s="1115"/>
      <c r="B921" s="1115"/>
      <c r="C921" s="1115"/>
      <c r="D921" s="1115"/>
      <c r="E921" s="1115"/>
      <c r="F921" s="1115"/>
      <c r="G921" s="1115"/>
      <c r="H921" s="1115"/>
      <c r="I921" s="1115"/>
      <c r="J921" s="1115"/>
      <c r="K921" s="1115"/>
      <c r="L921" s="1115"/>
      <c r="M921" s="1115"/>
    </row>
    <row r="922" spans="1:13" x14ac:dyDescent="0.2">
      <c r="A922" s="1115"/>
      <c r="B922" s="1115"/>
      <c r="C922" s="1115"/>
      <c r="D922" s="1115"/>
      <c r="E922" s="1115"/>
      <c r="F922" s="1115"/>
      <c r="G922" s="1115"/>
      <c r="H922" s="1115"/>
      <c r="I922" s="1115"/>
      <c r="J922" s="1115"/>
      <c r="K922" s="1115"/>
      <c r="L922" s="1115"/>
      <c r="M922" s="1115"/>
    </row>
    <row r="923" spans="1:13" x14ac:dyDescent="0.2">
      <c r="A923" s="1115"/>
      <c r="B923" s="1115"/>
      <c r="C923" s="1115"/>
      <c r="D923" s="1115"/>
      <c r="E923" s="1115"/>
      <c r="F923" s="1115"/>
      <c r="G923" s="1115"/>
      <c r="H923" s="1115"/>
      <c r="I923" s="1115"/>
      <c r="J923" s="1115"/>
      <c r="K923" s="1115"/>
      <c r="L923" s="1115"/>
      <c r="M923" s="1115"/>
    </row>
    <row r="924" spans="1:13" x14ac:dyDescent="0.2">
      <c r="A924" s="1115"/>
      <c r="B924" s="1115"/>
      <c r="C924" s="1115"/>
      <c r="D924" s="1115"/>
      <c r="E924" s="1115"/>
      <c r="F924" s="1115"/>
      <c r="G924" s="1115"/>
      <c r="H924" s="1115"/>
      <c r="I924" s="1115"/>
      <c r="J924" s="1115"/>
      <c r="K924" s="1115"/>
      <c r="L924" s="1115"/>
      <c r="M924" s="1115"/>
    </row>
    <row r="925" spans="1:13" x14ac:dyDescent="0.2">
      <c r="A925" s="1115"/>
      <c r="B925" s="1115"/>
      <c r="C925" s="1115"/>
      <c r="D925" s="1115"/>
      <c r="E925" s="1115"/>
      <c r="F925" s="1115"/>
      <c r="G925" s="1115"/>
      <c r="H925" s="1115"/>
      <c r="I925" s="1115"/>
      <c r="J925" s="1115"/>
      <c r="K925" s="1115"/>
      <c r="L925" s="1115"/>
      <c r="M925" s="1115"/>
    </row>
    <row r="926" spans="1:13" x14ac:dyDescent="0.2">
      <c r="A926" s="1115"/>
      <c r="B926" s="1115"/>
      <c r="C926" s="1115"/>
      <c r="D926" s="1115"/>
      <c r="E926" s="1115"/>
      <c r="F926" s="1115"/>
      <c r="G926" s="1115"/>
      <c r="H926" s="1115"/>
      <c r="I926" s="1115"/>
      <c r="J926" s="1115"/>
      <c r="K926" s="1115"/>
      <c r="L926" s="1115"/>
      <c r="M926" s="1115"/>
    </row>
    <row r="927" spans="1:13" x14ac:dyDescent="0.2">
      <c r="A927" s="1115"/>
      <c r="B927" s="1115"/>
      <c r="C927" s="1115"/>
      <c r="D927" s="1115"/>
      <c r="E927" s="1115"/>
      <c r="F927" s="1115"/>
      <c r="G927" s="1115"/>
      <c r="H927" s="1115"/>
      <c r="I927" s="1115"/>
      <c r="J927" s="1115"/>
      <c r="K927" s="1115"/>
      <c r="L927" s="1115"/>
      <c r="M927" s="1115"/>
    </row>
    <row r="928" spans="1:13" x14ac:dyDescent="0.2">
      <c r="A928" s="1115"/>
      <c r="B928" s="1115"/>
      <c r="C928" s="1115"/>
      <c r="D928" s="1115"/>
      <c r="E928" s="1115"/>
      <c r="F928" s="1115"/>
      <c r="G928" s="1115"/>
      <c r="H928" s="1115"/>
      <c r="I928" s="1115"/>
      <c r="J928" s="1115"/>
      <c r="K928" s="1115"/>
      <c r="L928" s="1115"/>
      <c r="M928" s="1115"/>
    </row>
    <row r="929" spans="1:13" x14ac:dyDescent="0.2">
      <c r="A929" s="1115"/>
      <c r="B929" s="1115"/>
      <c r="C929" s="1115"/>
      <c r="D929" s="1115"/>
      <c r="E929" s="1115"/>
      <c r="F929" s="1115"/>
      <c r="G929" s="1115"/>
      <c r="H929" s="1115"/>
      <c r="I929" s="1115"/>
      <c r="J929" s="1115"/>
      <c r="K929" s="1115"/>
      <c r="L929" s="1115"/>
      <c r="M929" s="1115"/>
    </row>
    <row r="930" spans="1:13" x14ac:dyDescent="0.2">
      <c r="A930" s="1115"/>
      <c r="B930" s="1115"/>
      <c r="C930" s="1115"/>
      <c r="D930" s="1115"/>
      <c r="E930" s="1115"/>
      <c r="F930" s="1115"/>
      <c r="G930" s="1115"/>
      <c r="H930" s="1115"/>
      <c r="I930" s="1115"/>
      <c r="J930" s="1115"/>
      <c r="K930" s="1115"/>
      <c r="L930" s="1115"/>
      <c r="M930" s="1115"/>
    </row>
    <row r="931" spans="1:13" x14ac:dyDescent="0.2">
      <c r="A931" s="1115"/>
      <c r="B931" s="1115"/>
      <c r="C931" s="1115"/>
      <c r="D931" s="1115"/>
      <c r="E931" s="1115"/>
      <c r="F931" s="1115"/>
      <c r="G931" s="1115"/>
      <c r="H931" s="1115"/>
      <c r="I931" s="1115"/>
      <c r="J931" s="1115"/>
      <c r="K931" s="1115"/>
      <c r="L931" s="1115"/>
      <c r="M931" s="1115"/>
    </row>
    <row r="932" spans="1:13" x14ac:dyDescent="0.2">
      <c r="A932" s="1115"/>
      <c r="B932" s="1115"/>
      <c r="C932" s="1115"/>
      <c r="D932" s="1115"/>
      <c r="E932" s="1115"/>
      <c r="F932" s="1115"/>
      <c r="G932" s="1115"/>
      <c r="H932" s="1115"/>
      <c r="I932" s="1115"/>
      <c r="J932" s="1115"/>
      <c r="K932" s="1115"/>
      <c r="L932" s="1115"/>
      <c r="M932" s="1115"/>
    </row>
    <row r="933" spans="1:13" x14ac:dyDescent="0.2">
      <c r="A933" s="1115"/>
      <c r="B933" s="1115"/>
      <c r="C933" s="1115"/>
      <c r="D933" s="1115"/>
      <c r="E933" s="1115"/>
      <c r="F933" s="1115"/>
      <c r="G933" s="1115"/>
      <c r="H933" s="1115"/>
      <c r="I933" s="1115"/>
      <c r="J933" s="1115"/>
      <c r="K933" s="1115"/>
      <c r="L933" s="1115"/>
      <c r="M933" s="1115"/>
    </row>
    <row r="934" spans="1:13" x14ac:dyDescent="0.2">
      <c r="A934" s="1115"/>
      <c r="B934" s="1115"/>
      <c r="C934" s="1115"/>
      <c r="D934" s="1115"/>
      <c r="E934" s="1115"/>
      <c r="F934" s="1115"/>
      <c r="G934" s="1115"/>
      <c r="H934" s="1115"/>
      <c r="I934" s="1115"/>
      <c r="J934" s="1115"/>
      <c r="K934" s="1115"/>
      <c r="L934" s="1115"/>
      <c r="M934" s="1115"/>
    </row>
    <row r="935" spans="1:13" x14ac:dyDescent="0.2">
      <c r="A935" s="1115"/>
      <c r="B935" s="1115"/>
      <c r="C935" s="1115"/>
      <c r="D935" s="1115"/>
      <c r="E935" s="1115"/>
      <c r="F935" s="1115"/>
      <c r="G935" s="1115"/>
      <c r="H935" s="1115"/>
      <c r="I935" s="1115"/>
      <c r="J935" s="1115"/>
      <c r="K935" s="1115"/>
      <c r="L935" s="1115"/>
      <c r="M935" s="1115"/>
    </row>
    <row r="936" spans="1:13" x14ac:dyDescent="0.2">
      <c r="A936" s="1115"/>
      <c r="B936" s="1115"/>
      <c r="C936" s="1115"/>
      <c r="D936" s="1115"/>
      <c r="E936" s="1115"/>
      <c r="F936" s="1115"/>
      <c r="G936" s="1115"/>
      <c r="H936" s="1115"/>
      <c r="I936" s="1115"/>
      <c r="J936" s="1115"/>
      <c r="K936" s="1115"/>
      <c r="L936" s="1115"/>
      <c r="M936" s="1115"/>
    </row>
    <row r="937" spans="1:13" x14ac:dyDescent="0.2">
      <c r="A937" s="1115"/>
      <c r="B937" s="1115"/>
      <c r="C937" s="1115"/>
      <c r="D937" s="1115"/>
      <c r="E937" s="1115"/>
      <c r="F937" s="1115"/>
      <c r="G937" s="1115"/>
      <c r="H937" s="1115"/>
      <c r="I937" s="1115"/>
      <c r="J937" s="1115"/>
      <c r="K937" s="1115"/>
      <c r="L937" s="1115"/>
      <c r="M937" s="1115"/>
    </row>
    <row r="938" spans="1:13" x14ac:dyDescent="0.2">
      <c r="A938" s="1115"/>
      <c r="B938" s="1115"/>
      <c r="C938" s="1115"/>
      <c r="D938" s="1115"/>
      <c r="E938" s="1115"/>
      <c r="F938" s="1115"/>
      <c r="G938" s="1115"/>
      <c r="H938" s="1115"/>
      <c r="I938" s="1115"/>
      <c r="J938" s="1115"/>
      <c r="K938" s="1115"/>
      <c r="L938" s="1115"/>
      <c r="M938" s="1115"/>
    </row>
    <row r="939" spans="1:13" x14ac:dyDescent="0.2">
      <c r="A939" s="1115"/>
      <c r="B939" s="1115"/>
      <c r="C939" s="1115"/>
      <c r="D939" s="1115"/>
      <c r="E939" s="1115"/>
      <c r="F939" s="1115"/>
      <c r="G939" s="1115"/>
      <c r="H939" s="1115"/>
      <c r="I939" s="1115"/>
      <c r="J939" s="1115"/>
      <c r="K939" s="1115"/>
      <c r="L939" s="1115"/>
      <c r="M939" s="1115"/>
    </row>
    <row r="940" spans="1:13" x14ac:dyDescent="0.2">
      <c r="A940" s="1115"/>
      <c r="B940" s="1115"/>
      <c r="C940" s="1115"/>
      <c r="D940" s="1115"/>
      <c r="E940" s="1115"/>
      <c r="F940" s="1115"/>
      <c r="G940" s="1115"/>
      <c r="H940" s="1115"/>
      <c r="I940" s="1115"/>
      <c r="J940" s="1115"/>
      <c r="K940" s="1115"/>
      <c r="L940" s="1115"/>
      <c r="M940" s="1115"/>
    </row>
    <row r="941" spans="1:13" x14ac:dyDescent="0.2">
      <c r="A941" s="1115"/>
      <c r="B941" s="1115"/>
      <c r="C941" s="1115"/>
      <c r="D941" s="1115"/>
      <c r="E941" s="1115"/>
      <c r="F941" s="1115"/>
      <c r="G941" s="1115"/>
      <c r="H941" s="1115"/>
      <c r="I941" s="1115"/>
      <c r="J941" s="1115"/>
      <c r="K941" s="1115"/>
      <c r="L941" s="1115"/>
      <c r="M941" s="1115"/>
    </row>
    <row r="942" spans="1:13" x14ac:dyDescent="0.2">
      <c r="A942" s="1115"/>
      <c r="B942" s="1115"/>
      <c r="C942" s="1115"/>
      <c r="D942" s="1115"/>
      <c r="E942" s="1115"/>
      <c r="F942" s="1115"/>
      <c r="G942" s="1115"/>
      <c r="H942" s="1115"/>
      <c r="I942" s="1115"/>
      <c r="J942" s="1115"/>
      <c r="K942" s="1115"/>
      <c r="L942" s="1115"/>
      <c r="M942" s="1115"/>
    </row>
    <row r="943" spans="1:13" x14ac:dyDescent="0.2">
      <c r="A943" s="1115"/>
      <c r="B943" s="1115"/>
      <c r="C943" s="1115"/>
      <c r="D943" s="1115"/>
      <c r="E943" s="1115"/>
      <c r="F943" s="1115"/>
      <c r="G943" s="1115"/>
      <c r="H943" s="1115"/>
      <c r="I943" s="1115"/>
      <c r="J943" s="1115"/>
      <c r="K943" s="1115"/>
      <c r="L943" s="1115"/>
      <c r="M943" s="1115"/>
    </row>
    <row r="944" spans="1:13" x14ac:dyDescent="0.2">
      <c r="A944" s="1115"/>
      <c r="B944" s="1115"/>
      <c r="C944" s="1115"/>
      <c r="D944" s="1115"/>
      <c r="E944" s="1115"/>
      <c r="F944" s="1115"/>
      <c r="G944" s="1115"/>
      <c r="H944" s="1115"/>
      <c r="I944" s="1115"/>
      <c r="J944" s="1115"/>
      <c r="K944" s="1115"/>
      <c r="L944" s="1115"/>
      <c r="M944" s="1115"/>
    </row>
    <row r="945" spans="1:13" x14ac:dyDescent="0.2">
      <c r="A945" s="1115"/>
      <c r="B945" s="1115"/>
      <c r="C945" s="1115"/>
      <c r="D945" s="1115"/>
      <c r="E945" s="1115"/>
      <c r="F945" s="1115"/>
      <c r="G945" s="1115"/>
      <c r="H945" s="1115"/>
      <c r="I945" s="1115"/>
      <c r="J945" s="1115"/>
      <c r="K945" s="1115"/>
      <c r="L945" s="1115"/>
      <c r="M945" s="1115"/>
    </row>
    <row r="946" spans="1:13" x14ac:dyDescent="0.2">
      <c r="A946" s="1115"/>
      <c r="B946" s="1115"/>
      <c r="C946" s="1115"/>
      <c r="D946" s="1115"/>
      <c r="E946" s="1115"/>
      <c r="F946" s="1115"/>
      <c r="G946" s="1115"/>
      <c r="H946" s="1115"/>
      <c r="I946" s="1115"/>
      <c r="J946" s="1115"/>
      <c r="K946" s="1115"/>
      <c r="L946" s="1115"/>
      <c r="M946" s="1115"/>
    </row>
    <row r="947" spans="1:13" x14ac:dyDescent="0.2">
      <c r="A947" s="1115"/>
      <c r="B947" s="1115"/>
      <c r="C947" s="1115"/>
      <c r="D947" s="1115"/>
      <c r="E947" s="1115"/>
      <c r="F947" s="1115"/>
      <c r="G947" s="1115"/>
      <c r="H947" s="1115"/>
      <c r="I947" s="1115"/>
      <c r="J947" s="1115"/>
      <c r="K947" s="1115"/>
      <c r="L947" s="1115"/>
      <c r="M947" s="1115"/>
    </row>
    <row r="948" spans="1:13" x14ac:dyDescent="0.2">
      <c r="A948" s="1115"/>
      <c r="B948" s="1115"/>
      <c r="C948" s="1115"/>
      <c r="D948" s="1115"/>
      <c r="E948" s="1115"/>
      <c r="F948" s="1115"/>
      <c r="G948" s="1115"/>
      <c r="H948" s="1115"/>
      <c r="I948" s="1115"/>
      <c r="J948" s="1115"/>
      <c r="K948" s="1115"/>
      <c r="L948" s="1115"/>
      <c r="M948" s="1115"/>
    </row>
    <row r="949" spans="1:13" x14ac:dyDescent="0.2">
      <c r="A949" s="1115"/>
      <c r="B949" s="1115"/>
      <c r="C949" s="1115"/>
      <c r="D949" s="1115"/>
      <c r="E949" s="1115"/>
      <c r="F949" s="1115"/>
      <c r="G949" s="1115"/>
      <c r="H949" s="1115"/>
      <c r="I949" s="1115"/>
      <c r="J949" s="1115"/>
      <c r="K949" s="1115"/>
      <c r="L949" s="1115"/>
      <c r="M949" s="1115"/>
    </row>
    <row r="950" spans="1:13" x14ac:dyDescent="0.2">
      <c r="A950" s="1115"/>
      <c r="B950" s="1115"/>
      <c r="C950" s="1115"/>
      <c r="D950" s="1115"/>
      <c r="E950" s="1115"/>
      <c r="F950" s="1115"/>
      <c r="G950" s="1115"/>
      <c r="H950" s="1115"/>
      <c r="I950" s="1115"/>
      <c r="J950" s="1115"/>
      <c r="K950" s="1115"/>
      <c r="L950" s="1115"/>
      <c r="M950" s="1115"/>
    </row>
    <row r="951" spans="1:13" x14ac:dyDescent="0.2">
      <c r="A951" s="1115"/>
      <c r="B951" s="1115"/>
      <c r="C951" s="1115"/>
      <c r="D951" s="1115"/>
      <c r="E951" s="1115"/>
      <c r="F951" s="1115"/>
      <c r="G951" s="1115"/>
      <c r="H951" s="1115"/>
      <c r="I951" s="1115"/>
      <c r="J951" s="1115"/>
      <c r="K951" s="1115"/>
      <c r="L951" s="1115"/>
      <c r="M951" s="1115"/>
    </row>
    <row r="952" spans="1:13" x14ac:dyDescent="0.2">
      <c r="A952" s="1115"/>
      <c r="B952" s="1115"/>
      <c r="C952" s="1115"/>
      <c r="D952" s="1115"/>
      <c r="E952" s="1115"/>
      <c r="F952" s="1115"/>
      <c r="G952" s="1115"/>
      <c r="H952" s="1115"/>
      <c r="I952" s="1115"/>
      <c r="J952" s="1115"/>
      <c r="K952" s="1115"/>
      <c r="L952" s="1115"/>
      <c r="M952" s="1115"/>
    </row>
    <row r="953" spans="1:13" x14ac:dyDescent="0.2">
      <c r="A953" s="1115"/>
      <c r="B953" s="1115"/>
      <c r="C953" s="1115"/>
      <c r="D953" s="1115"/>
      <c r="E953" s="1115"/>
      <c r="F953" s="1115"/>
      <c r="G953" s="1115"/>
      <c r="H953" s="1115"/>
      <c r="I953" s="1115"/>
      <c r="J953" s="1115"/>
      <c r="K953" s="1115"/>
      <c r="L953" s="1115"/>
      <c r="M953" s="1115"/>
    </row>
    <row r="954" spans="1:13" x14ac:dyDescent="0.2">
      <c r="A954" s="1115"/>
      <c r="B954" s="1115"/>
      <c r="C954" s="1115"/>
      <c r="D954" s="1115"/>
      <c r="E954" s="1115"/>
      <c r="F954" s="1115"/>
      <c r="G954" s="1115"/>
      <c r="H954" s="1115"/>
      <c r="I954" s="1115"/>
      <c r="J954" s="1115"/>
      <c r="K954" s="1115"/>
      <c r="L954" s="1115"/>
      <c r="M954" s="1115"/>
    </row>
    <row r="955" spans="1:13" x14ac:dyDescent="0.2">
      <c r="A955" s="1115"/>
      <c r="B955" s="1115"/>
      <c r="C955" s="1115"/>
      <c r="D955" s="1115"/>
      <c r="E955" s="1115"/>
      <c r="F955" s="1115"/>
      <c r="G955" s="1115"/>
      <c r="H955" s="1115"/>
      <c r="I955" s="1115"/>
      <c r="J955" s="1115"/>
      <c r="K955" s="1115"/>
      <c r="L955" s="1115"/>
      <c r="M955" s="1115"/>
    </row>
    <row r="956" spans="1:13" x14ac:dyDescent="0.2">
      <c r="A956" s="1115"/>
      <c r="B956" s="1115"/>
      <c r="C956" s="1115"/>
      <c r="D956" s="1115"/>
      <c r="E956" s="1115"/>
      <c r="F956" s="1115"/>
      <c r="G956" s="1115"/>
      <c r="H956" s="1115"/>
      <c r="I956" s="1115"/>
      <c r="J956" s="1115"/>
      <c r="K956" s="1115"/>
      <c r="L956" s="1115"/>
      <c r="M956" s="1115"/>
    </row>
    <row r="957" spans="1:13" x14ac:dyDescent="0.2">
      <c r="A957" s="1115"/>
      <c r="B957" s="1115"/>
      <c r="C957" s="1115"/>
      <c r="D957" s="1115"/>
      <c r="E957" s="1115"/>
      <c r="F957" s="1115"/>
      <c r="G957" s="1115"/>
      <c r="H957" s="1115"/>
      <c r="I957" s="1115"/>
      <c r="J957" s="1115"/>
      <c r="K957" s="1115"/>
      <c r="L957" s="1115"/>
      <c r="M957" s="1115"/>
    </row>
    <row r="958" spans="1:13" x14ac:dyDescent="0.2">
      <c r="A958" s="1115"/>
      <c r="B958" s="1115"/>
      <c r="C958" s="1115"/>
      <c r="D958" s="1115"/>
      <c r="E958" s="1115"/>
      <c r="F958" s="1115"/>
      <c r="G958" s="1115"/>
      <c r="H958" s="1115"/>
      <c r="I958" s="1115"/>
      <c r="J958" s="1115"/>
      <c r="K958" s="1115"/>
      <c r="L958" s="1115"/>
      <c r="M958" s="1115"/>
    </row>
    <row r="959" spans="1:13" x14ac:dyDescent="0.2">
      <c r="A959" s="1115"/>
      <c r="B959" s="1115"/>
      <c r="C959" s="1115"/>
      <c r="D959" s="1115"/>
      <c r="E959" s="1115"/>
      <c r="F959" s="1115"/>
      <c r="G959" s="1115"/>
      <c r="H959" s="1115"/>
      <c r="I959" s="1115"/>
      <c r="J959" s="1115"/>
      <c r="K959" s="1115"/>
      <c r="L959" s="1115"/>
      <c r="M959" s="1115"/>
    </row>
    <row r="960" spans="1:13" x14ac:dyDescent="0.2">
      <c r="A960" s="1115"/>
      <c r="B960" s="1115"/>
      <c r="C960" s="1115"/>
      <c r="D960" s="1115"/>
      <c r="E960" s="1115"/>
      <c r="F960" s="1115"/>
      <c r="G960" s="1115"/>
      <c r="H960" s="1115"/>
      <c r="I960" s="1115"/>
      <c r="J960" s="1115"/>
      <c r="K960" s="1115"/>
      <c r="L960" s="1115"/>
      <c r="M960" s="1115"/>
    </row>
    <row r="961" spans="1:13" x14ac:dyDescent="0.2">
      <c r="A961" s="1115"/>
      <c r="B961" s="1115"/>
      <c r="C961" s="1115"/>
      <c r="D961" s="1115"/>
      <c r="E961" s="1115"/>
      <c r="F961" s="1115"/>
      <c r="G961" s="1115"/>
      <c r="H961" s="1115"/>
      <c r="I961" s="1115"/>
      <c r="J961" s="1115"/>
      <c r="K961" s="1115"/>
      <c r="L961" s="1115"/>
      <c r="M961" s="1115"/>
    </row>
    <row r="962" spans="1:13" x14ac:dyDescent="0.2">
      <c r="A962" s="1115"/>
      <c r="B962" s="1115"/>
      <c r="C962" s="1115"/>
      <c r="D962" s="1115"/>
      <c r="E962" s="1115"/>
      <c r="F962" s="1115"/>
      <c r="G962" s="1115"/>
      <c r="H962" s="1115"/>
      <c r="I962" s="1115"/>
      <c r="J962" s="1115"/>
      <c r="K962" s="1115"/>
      <c r="L962" s="1115"/>
      <c r="M962" s="1115"/>
    </row>
    <row r="963" spans="1:13" x14ac:dyDescent="0.2">
      <c r="A963" s="1115"/>
      <c r="B963" s="1115"/>
      <c r="C963" s="1115"/>
      <c r="D963" s="1115"/>
      <c r="E963" s="1115"/>
      <c r="F963" s="1115"/>
      <c r="G963" s="1115"/>
      <c r="H963" s="1115"/>
      <c r="I963" s="1115"/>
      <c r="J963" s="1115"/>
      <c r="K963" s="1115"/>
      <c r="L963" s="1115"/>
      <c r="M963" s="1115"/>
    </row>
    <row r="964" spans="1:13" x14ac:dyDescent="0.2">
      <c r="A964" s="1115"/>
      <c r="B964" s="1115"/>
      <c r="C964" s="1115"/>
      <c r="D964" s="1115"/>
      <c r="E964" s="1115"/>
      <c r="F964" s="1115"/>
      <c r="G964" s="1115"/>
      <c r="H964" s="1115"/>
      <c r="I964" s="1115"/>
      <c r="J964" s="1115"/>
      <c r="K964" s="1115"/>
      <c r="L964" s="1115"/>
      <c r="M964" s="1115"/>
    </row>
    <row r="965" spans="1:13" x14ac:dyDescent="0.2">
      <c r="A965" s="1115"/>
      <c r="B965" s="1115"/>
      <c r="C965" s="1115"/>
      <c r="D965" s="1115"/>
      <c r="E965" s="1115"/>
      <c r="F965" s="1115"/>
      <c r="G965" s="1115"/>
      <c r="H965" s="1115"/>
      <c r="I965" s="1115"/>
      <c r="J965" s="1115"/>
      <c r="K965" s="1115"/>
      <c r="L965" s="1115"/>
      <c r="M965" s="1115"/>
    </row>
    <row r="966" spans="1:13" x14ac:dyDescent="0.2">
      <c r="A966" s="1115"/>
      <c r="B966" s="1115"/>
      <c r="C966" s="1115"/>
      <c r="D966" s="1115"/>
      <c r="E966" s="1115"/>
      <c r="F966" s="1115"/>
      <c r="G966" s="1115"/>
      <c r="H966" s="1115"/>
      <c r="I966" s="1115"/>
      <c r="J966" s="1115"/>
      <c r="K966" s="1115"/>
      <c r="L966" s="1115"/>
      <c r="M966" s="1115"/>
    </row>
    <row r="967" spans="1:13" x14ac:dyDescent="0.2">
      <c r="A967" s="1115"/>
      <c r="B967" s="1115"/>
      <c r="C967" s="1115"/>
      <c r="D967" s="1115"/>
      <c r="E967" s="1115"/>
      <c r="F967" s="1115"/>
      <c r="G967" s="1115"/>
      <c r="H967" s="1115"/>
      <c r="I967" s="1115"/>
      <c r="J967" s="1115"/>
      <c r="K967" s="1115"/>
      <c r="L967" s="1115"/>
      <c r="M967" s="1115"/>
    </row>
    <row r="968" spans="1:13" x14ac:dyDescent="0.2">
      <c r="A968" s="1115"/>
      <c r="B968" s="1115"/>
      <c r="C968" s="1115"/>
      <c r="D968" s="1115"/>
      <c r="E968" s="1115"/>
      <c r="F968" s="1115"/>
      <c r="G968" s="1115"/>
      <c r="H968" s="1115"/>
      <c r="I968" s="1115"/>
      <c r="J968" s="1115"/>
      <c r="K968" s="1115"/>
      <c r="L968" s="1115"/>
      <c r="M968" s="1115"/>
    </row>
    <row r="969" spans="1:13" x14ac:dyDescent="0.2">
      <c r="A969" s="1115"/>
      <c r="B969" s="1115"/>
      <c r="C969" s="1115"/>
      <c r="D969" s="1115"/>
      <c r="E969" s="1115"/>
      <c r="F969" s="1115"/>
      <c r="G969" s="1115"/>
      <c r="H969" s="1115"/>
      <c r="I969" s="1115"/>
      <c r="J969" s="1115"/>
      <c r="K969" s="1115"/>
      <c r="L969" s="1115"/>
      <c r="M969" s="1115"/>
    </row>
    <row r="970" spans="1:13" x14ac:dyDescent="0.2">
      <c r="A970" s="1115"/>
      <c r="B970" s="1115"/>
      <c r="C970" s="1115"/>
      <c r="D970" s="1115"/>
      <c r="E970" s="1115"/>
      <c r="F970" s="1115"/>
      <c r="G970" s="1115"/>
      <c r="H970" s="1115"/>
      <c r="I970" s="1115"/>
      <c r="J970" s="1115"/>
      <c r="K970" s="1115"/>
      <c r="L970" s="1115"/>
      <c r="M970" s="1115"/>
    </row>
    <row r="971" spans="1:13" x14ac:dyDescent="0.2">
      <c r="A971" s="1115"/>
      <c r="B971" s="1115"/>
      <c r="C971" s="1115"/>
      <c r="D971" s="1115"/>
      <c r="E971" s="1115"/>
      <c r="F971" s="1115"/>
      <c r="G971" s="1115"/>
      <c r="H971" s="1115"/>
      <c r="I971" s="1115"/>
      <c r="J971" s="1115"/>
      <c r="K971" s="1115"/>
      <c r="L971" s="1115"/>
      <c r="M971" s="1115"/>
    </row>
    <row r="972" spans="1:13" x14ac:dyDescent="0.2">
      <c r="A972" s="1115"/>
      <c r="B972" s="1115"/>
      <c r="C972" s="1115"/>
      <c r="D972" s="1115"/>
      <c r="E972" s="1115"/>
      <c r="F972" s="1115"/>
      <c r="G972" s="1115"/>
      <c r="H972" s="1115"/>
      <c r="I972" s="1115"/>
      <c r="J972" s="1115"/>
      <c r="K972" s="1115"/>
      <c r="L972" s="1115"/>
      <c r="M972" s="1115"/>
    </row>
    <row r="973" spans="1:13" x14ac:dyDescent="0.2">
      <c r="A973" s="1115"/>
      <c r="B973" s="1115"/>
      <c r="C973" s="1115"/>
      <c r="D973" s="1115"/>
      <c r="E973" s="1115"/>
      <c r="F973" s="1115"/>
      <c r="G973" s="1115"/>
      <c r="H973" s="1115"/>
      <c r="I973" s="1115"/>
      <c r="J973" s="1115"/>
      <c r="K973" s="1115"/>
      <c r="L973" s="1115"/>
      <c r="M973" s="1115"/>
    </row>
    <row r="974" spans="1:13" x14ac:dyDescent="0.2">
      <c r="A974" s="1115"/>
      <c r="B974" s="1115"/>
      <c r="C974" s="1115"/>
      <c r="D974" s="1115"/>
      <c r="E974" s="1115"/>
      <c r="F974" s="1115"/>
      <c r="G974" s="1115"/>
      <c r="H974" s="1115"/>
      <c r="I974" s="1115"/>
      <c r="J974" s="1115"/>
      <c r="K974" s="1115"/>
      <c r="L974" s="1115"/>
      <c r="M974" s="1115"/>
    </row>
    <row r="975" spans="1:13" x14ac:dyDescent="0.2">
      <c r="A975" s="1115"/>
      <c r="B975" s="1115"/>
      <c r="C975" s="1115"/>
      <c r="D975" s="1115"/>
      <c r="E975" s="1115"/>
      <c r="F975" s="1115"/>
      <c r="G975" s="1115"/>
      <c r="H975" s="1115"/>
      <c r="I975" s="1115"/>
      <c r="J975" s="1115"/>
      <c r="K975" s="1115"/>
      <c r="L975" s="1115"/>
      <c r="M975" s="1115"/>
    </row>
    <row r="976" spans="1:13" x14ac:dyDescent="0.2">
      <c r="A976" s="1115"/>
      <c r="B976" s="1115"/>
      <c r="C976" s="1115"/>
      <c r="D976" s="1115"/>
      <c r="E976" s="1115"/>
      <c r="F976" s="1115"/>
      <c r="G976" s="1115"/>
      <c r="H976" s="1115"/>
      <c r="I976" s="1115"/>
      <c r="J976" s="1115"/>
      <c r="K976" s="1115"/>
      <c r="L976" s="1115"/>
      <c r="M976" s="1115"/>
    </row>
    <row r="977" spans="1:13" x14ac:dyDescent="0.2">
      <c r="A977" s="1115"/>
      <c r="B977" s="1115"/>
      <c r="C977" s="1115"/>
      <c r="D977" s="1115"/>
      <c r="E977" s="1115"/>
      <c r="F977" s="1115"/>
      <c r="G977" s="1115"/>
      <c r="H977" s="1115"/>
      <c r="I977" s="1115"/>
      <c r="J977" s="1115"/>
      <c r="K977" s="1115"/>
      <c r="L977" s="1115"/>
      <c r="M977" s="1115"/>
    </row>
    <row r="978" spans="1:13" x14ac:dyDescent="0.2">
      <c r="A978" s="1115"/>
      <c r="B978" s="1115"/>
      <c r="C978" s="1115"/>
      <c r="D978" s="1115"/>
      <c r="E978" s="1115"/>
      <c r="F978" s="1115"/>
      <c r="G978" s="1115"/>
      <c r="H978" s="1115"/>
      <c r="I978" s="1115"/>
      <c r="J978" s="1115"/>
      <c r="K978" s="1115"/>
      <c r="L978" s="1115"/>
      <c r="M978" s="1115"/>
    </row>
    <row r="979" spans="1:13" x14ac:dyDescent="0.2">
      <c r="A979" s="1115"/>
      <c r="B979" s="1115"/>
      <c r="C979" s="1115"/>
      <c r="D979" s="1115"/>
      <c r="E979" s="1115"/>
      <c r="F979" s="1115"/>
      <c r="G979" s="1115"/>
      <c r="H979" s="1115"/>
      <c r="I979" s="1115"/>
      <c r="J979" s="1115"/>
      <c r="K979" s="1115"/>
      <c r="L979" s="1115"/>
      <c r="M979" s="1115"/>
    </row>
    <row r="980" spans="1:13" x14ac:dyDescent="0.2">
      <c r="A980" s="1115"/>
      <c r="B980" s="1115"/>
      <c r="C980" s="1115"/>
      <c r="D980" s="1115"/>
      <c r="E980" s="1115"/>
      <c r="F980" s="1115"/>
      <c r="G980" s="1115"/>
      <c r="H980" s="1115"/>
      <c r="I980" s="1115"/>
      <c r="J980" s="1115"/>
      <c r="K980" s="1115"/>
      <c r="L980" s="1115"/>
      <c r="M980" s="1115"/>
    </row>
    <row r="981" spans="1:13" x14ac:dyDescent="0.2">
      <c r="A981" s="1115"/>
      <c r="B981" s="1115"/>
      <c r="C981" s="1115"/>
      <c r="D981" s="1115"/>
      <c r="E981" s="1115"/>
      <c r="F981" s="1115"/>
      <c r="G981" s="1115"/>
      <c r="H981" s="1115"/>
      <c r="I981" s="1115"/>
      <c r="J981" s="1115"/>
      <c r="K981" s="1115"/>
      <c r="L981" s="1115"/>
      <c r="M981" s="1115"/>
    </row>
    <row r="982" spans="1:13" x14ac:dyDescent="0.2">
      <c r="A982" s="1115"/>
      <c r="B982" s="1115"/>
      <c r="C982" s="1115"/>
      <c r="D982" s="1115"/>
      <c r="E982" s="1115"/>
      <c r="F982" s="1115"/>
      <c r="G982" s="1115"/>
      <c r="H982" s="1115"/>
      <c r="I982" s="1115"/>
      <c r="J982" s="1115"/>
      <c r="K982" s="1115"/>
      <c r="L982" s="1115"/>
      <c r="M982" s="1115"/>
    </row>
    <row r="983" spans="1:13" x14ac:dyDescent="0.2">
      <c r="A983" s="1115"/>
      <c r="B983" s="1115"/>
      <c r="C983" s="1115"/>
      <c r="D983" s="1115"/>
      <c r="E983" s="1115"/>
      <c r="F983" s="1115"/>
      <c r="G983" s="1115"/>
      <c r="H983" s="1115"/>
      <c r="I983" s="1115"/>
      <c r="J983" s="1115"/>
      <c r="K983" s="1115"/>
      <c r="L983" s="1115"/>
      <c r="M983" s="1115"/>
    </row>
    <row r="984" spans="1:13" x14ac:dyDescent="0.2">
      <c r="A984" s="1115"/>
      <c r="B984" s="1115"/>
      <c r="C984" s="1115"/>
      <c r="D984" s="1115"/>
      <c r="E984" s="1115"/>
      <c r="F984" s="1115"/>
      <c r="G984" s="1115"/>
      <c r="H984" s="1115"/>
      <c r="I984" s="1115"/>
      <c r="J984" s="1115"/>
      <c r="K984" s="1115"/>
      <c r="L984" s="1115"/>
      <c r="M984" s="1115"/>
    </row>
    <row r="985" spans="1:13" x14ac:dyDescent="0.2">
      <c r="A985" s="1115"/>
      <c r="B985" s="1115"/>
      <c r="C985" s="1115"/>
      <c r="D985" s="1115"/>
      <c r="E985" s="1115"/>
      <c r="F985" s="1115"/>
      <c r="G985" s="1115"/>
      <c r="H985" s="1115"/>
      <c r="I985" s="1115"/>
      <c r="J985" s="1115"/>
      <c r="K985" s="1115"/>
      <c r="L985" s="1115"/>
      <c r="M985" s="1115"/>
    </row>
    <row r="986" spans="1:13" x14ac:dyDescent="0.2">
      <c r="A986" s="1115"/>
      <c r="B986" s="1115"/>
      <c r="C986" s="1115"/>
      <c r="D986" s="1115"/>
      <c r="E986" s="1115"/>
      <c r="F986" s="1115"/>
      <c r="G986" s="1115"/>
      <c r="H986" s="1115"/>
      <c r="I986" s="1115"/>
      <c r="J986" s="1115"/>
      <c r="K986" s="1115"/>
      <c r="L986" s="1115"/>
      <c r="M986" s="1115"/>
    </row>
    <row r="987" spans="1:13" x14ac:dyDescent="0.2">
      <c r="A987" s="1115"/>
      <c r="B987" s="1115"/>
      <c r="C987" s="1115"/>
      <c r="D987" s="1115"/>
      <c r="E987" s="1115"/>
      <c r="F987" s="1115"/>
      <c r="G987" s="1115"/>
      <c r="H987" s="1115"/>
      <c r="I987" s="1115"/>
      <c r="J987" s="1115"/>
      <c r="K987" s="1115"/>
      <c r="L987" s="1115"/>
      <c r="M987" s="1115"/>
    </row>
    <row r="988" spans="1:13" x14ac:dyDescent="0.2">
      <c r="A988" s="1115"/>
      <c r="B988" s="1115"/>
      <c r="C988" s="1115"/>
      <c r="D988" s="1115"/>
      <c r="E988" s="1115"/>
      <c r="F988" s="1115"/>
      <c r="G988" s="1115"/>
      <c r="H988" s="1115"/>
      <c r="I988" s="1115"/>
      <c r="J988" s="1115"/>
      <c r="K988" s="1115"/>
      <c r="L988" s="1115"/>
      <c r="M988" s="1115"/>
    </row>
    <row r="989" spans="1:13" x14ac:dyDescent="0.2">
      <c r="A989" s="1115"/>
      <c r="B989" s="1115"/>
      <c r="C989" s="1115"/>
      <c r="D989" s="1115"/>
      <c r="E989" s="1115"/>
      <c r="F989" s="1115"/>
      <c r="G989" s="1115"/>
      <c r="H989" s="1115"/>
      <c r="I989" s="1115"/>
      <c r="J989" s="1115"/>
      <c r="K989" s="1115"/>
      <c r="L989" s="1115"/>
      <c r="M989" s="1115"/>
    </row>
    <row r="990" spans="1:13" x14ac:dyDescent="0.2">
      <c r="A990" s="1115"/>
      <c r="B990" s="1115"/>
      <c r="C990" s="1115"/>
      <c r="D990" s="1115"/>
      <c r="E990" s="1115"/>
      <c r="F990" s="1115"/>
      <c r="G990" s="1115"/>
      <c r="H990" s="1115"/>
      <c r="I990" s="1115"/>
      <c r="J990" s="1115"/>
      <c r="K990" s="1115"/>
      <c r="L990" s="1115"/>
      <c r="M990" s="1115"/>
    </row>
    <row r="991" spans="1:13" x14ac:dyDescent="0.2">
      <c r="A991" s="1115"/>
      <c r="B991" s="1115"/>
      <c r="C991" s="1115"/>
      <c r="D991" s="1115"/>
      <c r="E991" s="1115"/>
      <c r="F991" s="1115"/>
      <c r="G991" s="1115"/>
      <c r="H991" s="1115"/>
      <c r="I991" s="1115"/>
      <c r="J991" s="1115"/>
      <c r="K991" s="1115"/>
      <c r="L991" s="1115"/>
      <c r="M991" s="1115"/>
    </row>
    <row r="992" spans="1:13" x14ac:dyDescent="0.2">
      <c r="A992" s="1115"/>
      <c r="B992" s="1115"/>
      <c r="C992" s="1115"/>
      <c r="D992" s="1115"/>
      <c r="E992" s="1115"/>
      <c r="F992" s="1115"/>
      <c r="G992" s="1115"/>
      <c r="H992" s="1115"/>
      <c r="I992" s="1115"/>
      <c r="J992" s="1115"/>
      <c r="K992" s="1115"/>
      <c r="L992" s="1115"/>
      <c r="M992" s="1115"/>
    </row>
    <row r="993" spans="1:13" x14ac:dyDescent="0.2">
      <c r="A993" s="1115"/>
      <c r="B993" s="1115"/>
      <c r="C993" s="1115"/>
      <c r="D993" s="1115"/>
      <c r="E993" s="1115"/>
      <c r="F993" s="1115"/>
      <c r="G993" s="1115"/>
      <c r="H993" s="1115"/>
      <c r="I993" s="1115"/>
      <c r="J993" s="1115"/>
      <c r="K993" s="1115"/>
      <c r="L993" s="1115"/>
      <c r="M993" s="1115"/>
    </row>
    <row r="994" spans="1:13" x14ac:dyDescent="0.2">
      <c r="A994" s="1115"/>
      <c r="B994" s="1115"/>
      <c r="C994" s="1115"/>
      <c r="D994" s="1115"/>
      <c r="E994" s="1115"/>
      <c r="F994" s="1115"/>
      <c r="G994" s="1115"/>
      <c r="H994" s="1115"/>
      <c r="I994" s="1115"/>
      <c r="J994" s="1115"/>
      <c r="K994" s="1115"/>
      <c r="L994" s="1115"/>
      <c r="M994" s="1115"/>
    </row>
    <row r="995" spans="1:13" x14ac:dyDescent="0.2">
      <c r="A995" s="1115"/>
      <c r="B995" s="1115"/>
      <c r="C995" s="1115"/>
      <c r="D995" s="1115"/>
      <c r="E995" s="1115"/>
      <c r="F995" s="1115"/>
      <c r="G995" s="1115"/>
      <c r="H995" s="1115"/>
      <c r="I995" s="1115"/>
      <c r="J995" s="1115"/>
      <c r="K995" s="1115"/>
      <c r="L995" s="1115"/>
      <c r="M995" s="1115"/>
    </row>
    <row r="996" spans="1:13" x14ac:dyDescent="0.2">
      <c r="A996" s="1115"/>
      <c r="B996" s="1115"/>
      <c r="C996" s="1115"/>
      <c r="D996" s="1115"/>
      <c r="E996" s="1115"/>
      <c r="F996" s="1115"/>
      <c r="G996" s="1115"/>
      <c r="H996" s="1115"/>
      <c r="I996" s="1115"/>
      <c r="J996" s="1115"/>
      <c r="K996" s="1115"/>
      <c r="L996" s="1115"/>
      <c r="M996" s="1115"/>
    </row>
    <row r="997" spans="1:13" x14ac:dyDescent="0.2">
      <c r="A997" s="1115"/>
      <c r="B997" s="1115"/>
      <c r="C997" s="1115"/>
      <c r="D997" s="1115"/>
      <c r="E997" s="1115"/>
      <c r="F997" s="1115"/>
      <c r="G997" s="1115"/>
      <c r="H997" s="1115"/>
      <c r="I997" s="1115"/>
      <c r="J997" s="1115"/>
      <c r="K997" s="1115"/>
      <c r="L997" s="1115"/>
      <c r="M997" s="1115"/>
    </row>
    <row r="998" spans="1:13" x14ac:dyDescent="0.2">
      <c r="A998" s="1115"/>
      <c r="B998" s="1115"/>
      <c r="C998" s="1115"/>
      <c r="D998" s="1115"/>
      <c r="E998" s="1115"/>
      <c r="F998" s="1115"/>
      <c r="G998" s="1115"/>
      <c r="H998" s="1115"/>
      <c r="I998" s="1115"/>
      <c r="J998" s="1115"/>
      <c r="K998" s="1115"/>
      <c r="L998" s="1115"/>
      <c r="M998" s="1115"/>
    </row>
    <row r="999" spans="1:13" x14ac:dyDescent="0.2">
      <c r="A999" s="1115"/>
      <c r="B999" s="1115"/>
      <c r="C999" s="1115"/>
      <c r="D999" s="1115"/>
      <c r="E999" s="1115"/>
      <c r="F999" s="1115"/>
      <c r="G999" s="1115"/>
      <c r="H999" s="1115"/>
      <c r="I999" s="1115"/>
      <c r="J999" s="1115"/>
      <c r="K999" s="1115"/>
      <c r="L999" s="1115"/>
      <c r="M999" s="1115"/>
    </row>
    <row r="1000" spans="1:13" x14ac:dyDescent="0.2">
      <c r="A1000" s="1115"/>
      <c r="B1000" s="1115"/>
      <c r="C1000" s="1115"/>
      <c r="D1000" s="1115"/>
      <c r="E1000" s="1115"/>
      <c r="F1000" s="1115"/>
      <c r="G1000" s="1115"/>
      <c r="H1000" s="1115"/>
      <c r="I1000" s="1115"/>
      <c r="J1000" s="1115"/>
      <c r="K1000" s="1115"/>
      <c r="L1000" s="1115"/>
      <c r="M1000" s="1115"/>
    </row>
    <row r="1001" spans="1:13" x14ac:dyDescent="0.2">
      <c r="A1001" s="1115"/>
      <c r="B1001" s="1115"/>
      <c r="C1001" s="1115"/>
      <c r="D1001" s="1115"/>
      <c r="E1001" s="1115"/>
      <c r="F1001" s="1115"/>
      <c r="G1001" s="1115"/>
      <c r="H1001" s="1115"/>
      <c r="I1001" s="1115"/>
      <c r="J1001" s="1115"/>
      <c r="K1001" s="1115"/>
      <c r="L1001" s="1115"/>
      <c r="M1001" s="1115"/>
    </row>
    <row r="1002" spans="1:13" x14ac:dyDescent="0.2">
      <c r="A1002" s="1115"/>
      <c r="B1002" s="1115"/>
      <c r="C1002" s="1115"/>
      <c r="D1002" s="1115"/>
      <c r="E1002" s="1115"/>
      <c r="F1002" s="1115"/>
      <c r="G1002" s="1115"/>
      <c r="H1002" s="1115"/>
      <c r="I1002" s="1115"/>
      <c r="J1002" s="1115"/>
      <c r="K1002" s="1115"/>
      <c r="L1002" s="1115"/>
      <c r="M1002" s="1115"/>
    </row>
    <row r="1003" spans="1:13" x14ac:dyDescent="0.2">
      <c r="A1003" s="1115"/>
      <c r="B1003" s="1115"/>
      <c r="C1003" s="1115"/>
      <c r="D1003" s="1115"/>
      <c r="E1003" s="1115"/>
      <c r="F1003" s="1115"/>
      <c r="G1003" s="1115"/>
      <c r="H1003" s="1115"/>
      <c r="I1003" s="1115"/>
      <c r="J1003" s="1115"/>
      <c r="K1003" s="1115"/>
      <c r="L1003" s="1115"/>
      <c r="M1003" s="1115"/>
    </row>
    <row r="1004" spans="1:13" x14ac:dyDescent="0.2">
      <c r="A1004" s="1115"/>
      <c r="B1004" s="1115"/>
      <c r="C1004" s="1115"/>
      <c r="D1004" s="1115"/>
      <c r="E1004" s="1115"/>
      <c r="F1004" s="1115"/>
      <c r="G1004" s="1115"/>
      <c r="H1004" s="1115"/>
      <c r="I1004" s="1115"/>
      <c r="J1004" s="1115"/>
      <c r="K1004" s="1115"/>
      <c r="L1004" s="1115"/>
      <c r="M1004" s="1115"/>
    </row>
    <row r="1005" spans="1:13" x14ac:dyDescent="0.2">
      <c r="A1005" s="1115"/>
      <c r="B1005" s="1115"/>
      <c r="C1005" s="1115"/>
      <c r="D1005" s="1115"/>
      <c r="E1005" s="1115"/>
      <c r="F1005" s="1115"/>
      <c r="G1005" s="1115"/>
      <c r="H1005" s="1115"/>
      <c r="I1005" s="1115"/>
      <c r="J1005" s="1115"/>
      <c r="K1005" s="1115"/>
      <c r="L1005" s="1115"/>
      <c r="M1005" s="1115"/>
    </row>
    <row r="1006" spans="1:13" x14ac:dyDescent="0.2">
      <c r="A1006" s="1115"/>
      <c r="B1006" s="1115"/>
      <c r="C1006" s="1115"/>
      <c r="D1006" s="1115"/>
      <c r="E1006" s="1115"/>
      <c r="F1006" s="1115"/>
      <c r="G1006" s="1115"/>
      <c r="H1006" s="1115"/>
      <c r="I1006" s="1115"/>
      <c r="J1006" s="1115"/>
      <c r="K1006" s="1115"/>
      <c r="L1006" s="1115"/>
      <c r="M1006" s="1115"/>
    </row>
    <row r="1007" spans="1:13" x14ac:dyDescent="0.2">
      <c r="A1007" s="1115"/>
      <c r="B1007" s="1115"/>
      <c r="C1007" s="1115"/>
      <c r="D1007" s="1115"/>
      <c r="E1007" s="1115"/>
      <c r="F1007" s="1115"/>
      <c r="G1007" s="1115"/>
      <c r="H1007" s="1115"/>
      <c r="I1007" s="1115"/>
      <c r="J1007" s="1115"/>
      <c r="K1007" s="1115"/>
      <c r="L1007" s="1115"/>
      <c r="M1007" s="1115"/>
    </row>
    <row r="1008" spans="1:13" x14ac:dyDescent="0.2">
      <c r="A1008" s="1115"/>
      <c r="B1008" s="1115"/>
      <c r="C1008" s="1115"/>
      <c r="D1008" s="1115"/>
      <c r="E1008" s="1115"/>
      <c r="F1008" s="1115"/>
      <c r="G1008" s="1115"/>
      <c r="H1008" s="1115"/>
      <c r="I1008" s="1115"/>
      <c r="J1008" s="1115"/>
      <c r="K1008" s="1115"/>
      <c r="L1008" s="1115"/>
      <c r="M1008" s="1115"/>
    </row>
    <row r="1009" spans="1:13" x14ac:dyDescent="0.2">
      <c r="A1009" s="1115"/>
      <c r="B1009" s="1115"/>
      <c r="C1009" s="1115"/>
      <c r="D1009" s="1115"/>
      <c r="E1009" s="1115"/>
      <c r="F1009" s="1115"/>
      <c r="G1009" s="1115"/>
      <c r="H1009" s="1115"/>
      <c r="I1009" s="1115"/>
      <c r="J1009" s="1115"/>
      <c r="K1009" s="1115"/>
      <c r="L1009" s="1115"/>
      <c r="M1009" s="1115"/>
    </row>
    <row r="1010" spans="1:13" x14ac:dyDescent="0.2">
      <c r="A1010" s="1115"/>
      <c r="B1010" s="1115"/>
      <c r="C1010" s="1115"/>
      <c r="D1010" s="1115"/>
      <c r="E1010" s="1115"/>
      <c r="F1010" s="1115"/>
      <c r="G1010" s="1115"/>
      <c r="H1010" s="1115"/>
      <c r="I1010" s="1115"/>
      <c r="J1010" s="1115"/>
      <c r="K1010" s="1115"/>
      <c r="L1010" s="1115"/>
      <c r="M1010" s="1115"/>
    </row>
    <row r="1011" spans="1:13" x14ac:dyDescent="0.2">
      <c r="A1011" s="1115"/>
      <c r="B1011" s="1115"/>
      <c r="C1011" s="1115"/>
      <c r="D1011" s="1115"/>
      <c r="E1011" s="1115"/>
      <c r="F1011" s="1115"/>
      <c r="G1011" s="1115"/>
      <c r="H1011" s="1115"/>
      <c r="I1011" s="1115"/>
      <c r="J1011" s="1115"/>
      <c r="K1011" s="1115"/>
      <c r="L1011" s="1115"/>
      <c r="M1011" s="1115"/>
    </row>
    <row r="1012" spans="1:13" x14ac:dyDescent="0.2">
      <c r="A1012" s="1115"/>
      <c r="B1012" s="1115"/>
      <c r="C1012" s="1115"/>
      <c r="D1012" s="1115"/>
      <c r="E1012" s="1115"/>
      <c r="F1012" s="1115"/>
      <c r="G1012" s="1115"/>
      <c r="H1012" s="1115"/>
      <c r="I1012" s="1115"/>
      <c r="J1012" s="1115"/>
      <c r="K1012" s="1115"/>
      <c r="L1012" s="1115"/>
      <c r="M1012" s="1115"/>
    </row>
    <row r="1013" spans="1:13" x14ac:dyDescent="0.2">
      <c r="A1013" s="1115"/>
      <c r="B1013" s="1115"/>
      <c r="C1013" s="1115"/>
      <c r="D1013" s="1115"/>
      <c r="E1013" s="1115"/>
      <c r="F1013" s="1115"/>
      <c r="G1013" s="1115"/>
      <c r="H1013" s="1115"/>
      <c r="I1013" s="1115"/>
      <c r="J1013" s="1115"/>
      <c r="K1013" s="1115"/>
      <c r="L1013" s="1115"/>
      <c r="M1013" s="1115"/>
    </row>
    <row r="1014" spans="1:13" x14ac:dyDescent="0.2">
      <c r="A1014" s="1115"/>
      <c r="B1014" s="1115"/>
      <c r="C1014" s="1115"/>
      <c r="D1014" s="1115"/>
      <c r="E1014" s="1115"/>
      <c r="F1014" s="1115"/>
      <c r="G1014" s="1115"/>
      <c r="H1014" s="1115"/>
      <c r="I1014" s="1115"/>
      <c r="J1014" s="1115"/>
      <c r="K1014" s="1115"/>
      <c r="L1014" s="1115"/>
      <c r="M1014" s="1115"/>
    </row>
    <row r="1015" spans="1:13" x14ac:dyDescent="0.2">
      <c r="A1015" s="1115"/>
      <c r="B1015" s="1115"/>
      <c r="C1015" s="1115"/>
      <c r="D1015" s="1115"/>
      <c r="E1015" s="1115"/>
      <c r="F1015" s="1115"/>
      <c r="G1015" s="1115"/>
      <c r="H1015" s="1115"/>
      <c r="I1015" s="1115"/>
      <c r="J1015" s="1115"/>
      <c r="K1015" s="1115"/>
      <c r="L1015" s="1115"/>
      <c r="M1015" s="1115"/>
    </row>
    <row r="1016" spans="1:13" x14ac:dyDescent="0.2">
      <c r="A1016" s="1115"/>
      <c r="B1016" s="1115"/>
      <c r="C1016" s="1115"/>
      <c r="D1016" s="1115"/>
      <c r="E1016" s="1115"/>
      <c r="F1016" s="1115"/>
      <c r="G1016" s="1115"/>
      <c r="H1016" s="1115"/>
      <c r="I1016" s="1115"/>
      <c r="J1016" s="1115"/>
      <c r="K1016" s="1115"/>
      <c r="L1016" s="1115"/>
      <c r="M1016" s="1115"/>
    </row>
    <row r="1017" spans="1:13" x14ac:dyDescent="0.2">
      <c r="A1017" s="1115"/>
      <c r="B1017" s="1115"/>
      <c r="C1017" s="1115"/>
      <c r="D1017" s="1115"/>
      <c r="E1017" s="1115"/>
      <c r="F1017" s="1115"/>
      <c r="G1017" s="1115"/>
      <c r="H1017" s="1115"/>
      <c r="I1017" s="1115"/>
      <c r="J1017" s="1115"/>
      <c r="K1017" s="1115"/>
      <c r="L1017" s="1115"/>
      <c r="M1017" s="1115"/>
    </row>
    <row r="1018" spans="1:13" x14ac:dyDescent="0.2">
      <c r="A1018" s="1115"/>
      <c r="B1018" s="1115"/>
      <c r="C1018" s="1115"/>
      <c r="D1018" s="1115"/>
      <c r="E1018" s="1115"/>
      <c r="F1018" s="1115"/>
      <c r="G1018" s="1115"/>
      <c r="H1018" s="1115"/>
      <c r="I1018" s="1115"/>
      <c r="J1018" s="1115"/>
      <c r="K1018" s="1115"/>
      <c r="L1018" s="1115"/>
      <c r="M1018" s="1115"/>
    </row>
    <row r="1019" spans="1:13" x14ac:dyDescent="0.2">
      <c r="A1019" s="1115"/>
      <c r="B1019" s="1115"/>
      <c r="C1019" s="1115"/>
      <c r="D1019" s="1115"/>
      <c r="E1019" s="1115"/>
      <c r="F1019" s="1115"/>
      <c r="G1019" s="1115"/>
      <c r="H1019" s="1115"/>
      <c r="I1019" s="1115"/>
      <c r="J1019" s="1115"/>
      <c r="K1019" s="1115"/>
      <c r="L1019" s="1115"/>
      <c r="M1019" s="1115"/>
    </row>
    <row r="1020" spans="1:13" x14ac:dyDescent="0.2">
      <c r="A1020" s="1115"/>
      <c r="B1020" s="1115"/>
      <c r="C1020" s="1115"/>
      <c r="D1020" s="1115"/>
      <c r="E1020" s="1115"/>
      <c r="F1020" s="1115"/>
      <c r="G1020" s="1115"/>
      <c r="H1020" s="1115"/>
      <c r="I1020" s="1115"/>
      <c r="J1020" s="1115"/>
      <c r="K1020" s="1115"/>
      <c r="L1020" s="1115"/>
      <c r="M1020" s="1115"/>
    </row>
    <row r="1021" spans="1:13" x14ac:dyDescent="0.2">
      <c r="A1021" s="1115"/>
      <c r="B1021" s="1115"/>
      <c r="C1021" s="1115"/>
      <c r="D1021" s="1115"/>
      <c r="E1021" s="1115"/>
      <c r="F1021" s="1115"/>
      <c r="G1021" s="1115"/>
      <c r="H1021" s="1115"/>
      <c r="I1021" s="1115"/>
      <c r="J1021" s="1115"/>
      <c r="K1021" s="1115"/>
      <c r="L1021" s="1115"/>
      <c r="M1021" s="1115"/>
    </row>
    <row r="1022" spans="1:13" x14ac:dyDescent="0.2">
      <c r="A1022" s="1115"/>
      <c r="B1022" s="1115"/>
      <c r="C1022" s="1115"/>
      <c r="D1022" s="1115"/>
      <c r="E1022" s="1115"/>
      <c r="F1022" s="1115"/>
      <c r="G1022" s="1115"/>
      <c r="H1022" s="1115"/>
      <c r="I1022" s="1115"/>
      <c r="J1022" s="1115"/>
      <c r="K1022" s="1115"/>
      <c r="L1022" s="1115"/>
      <c r="M1022" s="1115"/>
    </row>
    <row r="1023" spans="1:13" x14ac:dyDescent="0.2">
      <c r="A1023" s="1115"/>
      <c r="B1023" s="1115"/>
      <c r="C1023" s="1115"/>
      <c r="D1023" s="1115"/>
      <c r="E1023" s="1115"/>
      <c r="F1023" s="1115"/>
      <c r="G1023" s="1115"/>
      <c r="H1023" s="1115"/>
      <c r="I1023" s="1115"/>
      <c r="J1023" s="1115"/>
      <c r="K1023" s="1115"/>
      <c r="L1023" s="1115"/>
      <c r="M1023" s="1115"/>
    </row>
    <row r="1024" spans="1:13" x14ac:dyDescent="0.2">
      <c r="A1024" s="1115"/>
      <c r="B1024" s="1115"/>
      <c r="C1024" s="1115"/>
      <c r="D1024" s="1115"/>
      <c r="E1024" s="1115"/>
      <c r="F1024" s="1115"/>
      <c r="G1024" s="1115"/>
      <c r="H1024" s="1115"/>
      <c r="I1024" s="1115"/>
      <c r="J1024" s="1115"/>
      <c r="K1024" s="1115"/>
      <c r="L1024" s="1115"/>
      <c r="M1024" s="1115"/>
    </row>
    <row r="1025" spans="1:13" x14ac:dyDescent="0.2">
      <c r="A1025" s="1115"/>
      <c r="B1025" s="1115"/>
      <c r="C1025" s="1115"/>
      <c r="D1025" s="1115"/>
      <c r="E1025" s="1115"/>
      <c r="F1025" s="1115"/>
      <c r="G1025" s="1115"/>
      <c r="H1025" s="1115"/>
      <c r="I1025" s="1115"/>
      <c r="J1025" s="1115"/>
      <c r="K1025" s="1115"/>
      <c r="L1025" s="1115"/>
      <c r="M1025" s="1115"/>
    </row>
    <row r="1026" spans="1:13" x14ac:dyDescent="0.2">
      <c r="A1026" s="1115"/>
      <c r="B1026" s="1115"/>
      <c r="C1026" s="1115"/>
      <c r="D1026" s="1115"/>
      <c r="E1026" s="1115"/>
      <c r="F1026" s="1115"/>
      <c r="G1026" s="1115"/>
      <c r="H1026" s="1115"/>
      <c r="I1026" s="1115"/>
      <c r="J1026" s="1115"/>
      <c r="K1026" s="1115"/>
      <c r="L1026" s="1115"/>
      <c r="M1026" s="1115"/>
    </row>
    <row r="1027" spans="1:13" x14ac:dyDescent="0.2">
      <c r="A1027" s="1115"/>
      <c r="B1027" s="1115"/>
      <c r="C1027" s="1115"/>
      <c r="D1027" s="1115"/>
      <c r="E1027" s="1115"/>
      <c r="F1027" s="1115"/>
      <c r="G1027" s="1115"/>
      <c r="H1027" s="1115"/>
      <c r="I1027" s="1115"/>
      <c r="J1027" s="1115"/>
      <c r="K1027" s="1115"/>
      <c r="L1027" s="1115"/>
      <c r="M1027" s="1115"/>
    </row>
    <row r="1028" spans="1:13" x14ac:dyDescent="0.2">
      <c r="A1028" s="1115"/>
      <c r="B1028" s="1115"/>
      <c r="C1028" s="1115"/>
      <c r="D1028" s="1115"/>
      <c r="E1028" s="1115"/>
      <c r="F1028" s="1115"/>
      <c r="G1028" s="1115"/>
      <c r="H1028" s="1115"/>
      <c r="I1028" s="1115"/>
      <c r="J1028" s="1115"/>
      <c r="K1028" s="1115"/>
      <c r="L1028" s="1115"/>
      <c r="M1028" s="1115"/>
    </row>
    <row r="1029" spans="1:13" x14ac:dyDescent="0.2">
      <c r="A1029" s="1115"/>
      <c r="B1029" s="1115"/>
      <c r="C1029" s="1115"/>
      <c r="D1029" s="1115"/>
      <c r="E1029" s="1115"/>
      <c r="F1029" s="1115"/>
      <c r="G1029" s="1115"/>
      <c r="H1029" s="1115"/>
      <c r="I1029" s="1115"/>
      <c r="J1029" s="1115"/>
      <c r="K1029" s="1115"/>
      <c r="L1029" s="1115"/>
      <c r="M1029" s="1115"/>
    </row>
    <row r="1030" spans="1:13" x14ac:dyDescent="0.2">
      <c r="A1030" s="1115"/>
      <c r="B1030" s="1115"/>
      <c r="C1030" s="1115"/>
      <c r="D1030" s="1115"/>
      <c r="E1030" s="1115"/>
      <c r="F1030" s="1115"/>
      <c r="G1030" s="1115"/>
      <c r="H1030" s="1115"/>
      <c r="I1030" s="1115"/>
      <c r="J1030" s="1115"/>
      <c r="K1030" s="1115"/>
      <c r="L1030" s="1115"/>
      <c r="M1030" s="1115"/>
    </row>
    <row r="1031" spans="1:13" x14ac:dyDescent="0.2">
      <c r="A1031" s="1115"/>
      <c r="B1031" s="1115"/>
      <c r="C1031" s="1115"/>
      <c r="D1031" s="1115"/>
      <c r="E1031" s="1115"/>
      <c r="F1031" s="1115"/>
      <c r="G1031" s="1115"/>
      <c r="H1031" s="1115"/>
      <c r="I1031" s="1115"/>
      <c r="J1031" s="1115"/>
      <c r="K1031" s="1115"/>
      <c r="L1031" s="1115"/>
      <c r="M1031" s="1115"/>
    </row>
    <row r="1032" spans="1:13" x14ac:dyDescent="0.2">
      <c r="A1032" s="1115"/>
      <c r="B1032" s="1115"/>
      <c r="C1032" s="1115"/>
      <c r="D1032" s="1115"/>
      <c r="E1032" s="1115"/>
      <c r="F1032" s="1115"/>
      <c r="G1032" s="1115"/>
      <c r="H1032" s="1115"/>
      <c r="I1032" s="1115"/>
      <c r="J1032" s="1115"/>
      <c r="K1032" s="1115"/>
      <c r="L1032" s="1115"/>
      <c r="M1032" s="1115"/>
    </row>
    <row r="1033" spans="1:13" x14ac:dyDescent="0.2">
      <c r="A1033" s="1115"/>
      <c r="B1033" s="1115"/>
      <c r="C1033" s="1115"/>
      <c r="D1033" s="1115"/>
      <c r="E1033" s="1115"/>
      <c r="F1033" s="1115"/>
      <c r="G1033" s="1115"/>
      <c r="H1033" s="1115"/>
      <c r="I1033" s="1115"/>
      <c r="J1033" s="1115"/>
      <c r="K1033" s="1115"/>
      <c r="L1033" s="1115"/>
      <c r="M1033" s="1115"/>
    </row>
    <row r="1034" spans="1:13" x14ac:dyDescent="0.2">
      <c r="A1034" s="1115"/>
      <c r="B1034" s="1115"/>
      <c r="C1034" s="1115"/>
      <c r="D1034" s="1115"/>
      <c r="E1034" s="1115"/>
      <c r="F1034" s="1115"/>
      <c r="G1034" s="1115"/>
      <c r="H1034" s="1115"/>
      <c r="I1034" s="1115"/>
      <c r="J1034" s="1115"/>
      <c r="K1034" s="1115"/>
      <c r="L1034" s="1115"/>
      <c r="M1034" s="1115"/>
    </row>
    <row r="1035" spans="1:13" x14ac:dyDescent="0.2">
      <c r="A1035" s="1115"/>
      <c r="B1035" s="1115"/>
      <c r="C1035" s="1115"/>
      <c r="D1035" s="1115"/>
      <c r="E1035" s="1115"/>
      <c r="F1035" s="1115"/>
      <c r="G1035" s="1115"/>
      <c r="H1035" s="1115"/>
      <c r="I1035" s="1115"/>
      <c r="J1035" s="1115"/>
      <c r="K1035" s="1115"/>
      <c r="L1035" s="1115"/>
      <c r="M1035" s="1115"/>
    </row>
    <row r="1036" spans="1:13" x14ac:dyDescent="0.2">
      <c r="A1036" s="1115"/>
      <c r="B1036" s="1115"/>
      <c r="C1036" s="1115"/>
      <c r="D1036" s="1115"/>
      <c r="E1036" s="1115"/>
      <c r="F1036" s="1115"/>
      <c r="G1036" s="1115"/>
      <c r="H1036" s="1115"/>
      <c r="I1036" s="1115"/>
      <c r="J1036" s="1115"/>
      <c r="K1036" s="1115"/>
      <c r="L1036" s="1115"/>
      <c r="M1036" s="1115"/>
    </row>
    <row r="1037" spans="1:13" x14ac:dyDescent="0.2">
      <c r="A1037" s="1115"/>
      <c r="B1037" s="1115"/>
      <c r="C1037" s="1115"/>
      <c r="D1037" s="1115"/>
      <c r="E1037" s="1115"/>
      <c r="F1037" s="1115"/>
      <c r="G1037" s="1115"/>
      <c r="H1037" s="1115"/>
      <c r="I1037" s="1115"/>
      <c r="J1037" s="1115"/>
      <c r="K1037" s="1115"/>
      <c r="L1037" s="1115"/>
      <c r="M1037" s="1115"/>
    </row>
    <row r="1038" spans="1:13" x14ac:dyDescent="0.2">
      <c r="A1038" s="1115"/>
      <c r="B1038" s="1115"/>
      <c r="C1038" s="1115"/>
      <c r="D1038" s="1115"/>
      <c r="E1038" s="1115"/>
      <c r="F1038" s="1115"/>
      <c r="G1038" s="1115"/>
      <c r="H1038" s="1115"/>
      <c r="I1038" s="1115"/>
      <c r="J1038" s="1115"/>
      <c r="K1038" s="1115"/>
      <c r="L1038" s="1115"/>
      <c r="M1038" s="1115"/>
    </row>
    <row r="1039" spans="1:13" x14ac:dyDescent="0.2">
      <c r="A1039" s="1115"/>
      <c r="B1039" s="1115"/>
      <c r="C1039" s="1115"/>
      <c r="D1039" s="1115"/>
      <c r="E1039" s="1115"/>
      <c r="F1039" s="1115"/>
      <c r="G1039" s="1115"/>
      <c r="H1039" s="1115"/>
      <c r="I1039" s="1115"/>
      <c r="J1039" s="1115"/>
      <c r="K1039" s="1115"/>
      <c r="L1039" s="1115"/>
      <c r="M1039" s="1115"/>
    </row>
    <row r="1040" spans="1:13" x14ac:dyDescent="0.2">
      <c r="A1040" s="1115"/>
      <c r="B1040" s="1115"/>
      <c r="C1040" s="1115"/>
      <c r="D1040" s="1115"/>
      <c r="E1040" s="1115"/>
      <c r="F1040" s="1115"/>
      <c r="G1040" s="1115"/>
      <c r="H1040" s="1115"/>
      <c r="I1040" s="1115"/>
      <c r="J1040" s="1115"/>
      <c r="K1040" s="1115"/>
      <c r="L1040" s="1115"/>
      <c r="M1040" s="1115"/>
    </row>
    <row r="1041" spans="1:13" x14ac:dyDescent="0.2">
      <c r="A1041" s="1115"/>
      <c r="B1041" s="1115"/>
      <c r="C1041" s="1115"/>
      <c r="D1041" s="1115"/>
      <c r="E1041" s="1115"/>
      <c r="F1041" s="1115"/>
      <c r="G1041" s="1115"/>
      <c r="H1041" s="1115"/>
      <c r="I1041" s="1115"/>
      <c r="J1041" s="1115"/>
      <c r="K1041" s="1115"/>
      <c r="L1041" s="1115"/>
      <c r="M1041" s="1115"/>
    </row>
    <row r="1042" spans="1:13" x14ac:dyDescent="0.2">
      <c r="A1042" s="1115"/>
      <c r="B1042" s="1115"/>
      <c r="C1042" s="1115"/>
      <c r="D1042" s="1115"/>
      <c r="E1042" s="1115"/>
      <c r="F1042" s="1115"/>
      <c r="G1042" s="1115"/>
      <c r="H1042" s="1115"/>
      <c r="I1042" s="1115"/>
      <c r="J1042" s="1115"/>
      <c r="K1042" s="1115"/>
      <c r="L1042" s="1115"/>
      <c r="M1042" s="1115"/>
    </row>
    <row r="1043" spans="1:13" x14ac:dyDescent="0.2">
      <c r="A1043" s="1115"/>
      <c r="B1043" s="1115"/>
      <c r="C1043" s="1115"/>
      <c r="D1043" s="1115"/>
      <c r="E1043" s="1115"/>
      <c r="F1043" s="1115"/>
      <c r="G1043" s="1115"/>
      <c r="H1043" s="1115"/>
      <c r="I1043" s="1115"/>
      <c r="J1043" s="1115"/>
      <c r="K1043" s="1115"/>
      <c r="L1043" s="1115"/>
      <c r="M1043" s="1115"/>
    </row>
    <row r="1044" spans="1:13" x14ac:dyDescent="0.2">
      <c r="A1044" s="1115"/>
      <c r="B1044" s="1115"/>
      <c r="C1044" s="1115"/>
      <c r="D1044" s="1115"/>
      <c r="E1044" s="1115"/>
      <c r="F1044" s="1115"/>
      <c r="G1044" s="1115"/>
      <c r="H1044" s="1115"/>
      <c r="I1044" s="1115"/>
      <c r="J1044" s="1115"/>
      <c r="K1044" s="1115"/>
      <c r="L1044" s="1115"/>
      <c r="M1044" s="1115"/>
    </row>
    <row r="1045" spans="1:13" x14ac:dyDescent="0.2">
      <c r="A1045" s="1115"/>
      <c r="B1045" s="1115"/>
      <c r="C1045" s="1115"/>
      <c r="D1045" s="1115"/>
      <c r="E1045" s="1115"/>
      <c r="F1045" s="1115"/>
      <c r="G1045" s="1115"/>
      <c r="H1045" s="1115"/>
      <c r="I1045" s="1115"/>
      <c r="J1045" s="1115"/>
      <c r="K1045" s="1115"/>
      <c r="L1045" s="1115"/>
      <c r="M1045" s="1115"/>
    </row>
    <row r="1046" spans="1:13" x14ac:dyDescent="0.2">
      <c r="A1046" s="1115"/>
      <c r="B1046" s="1115"/>
      <c r="C1046" s="1115"/>
      <c r="D1046" s="1115"/>
      <c r="E1046" s="1115"/>
      <c r="F1046" s="1115"/>
      <c r="G1046" s="1115"/>
      <c r="H1046" s="1115"/>
      <c r="I1046" s="1115"/>
      <c r="J1046" s="1115"/>
      <c r="K1046" s="1115"/>
      <c r="L1046" s="1115"/>
      <c r="M1046" s="1115"/>
    </row>
    <row r="1047" spans="1:13" x14ac:dyDescent="0.2">
      <c r="A1047" s="1115"/>
      <c r="B1047" s="1115"/>
      <c r="C1047" s="1115"/>
      <c r="D1047" s="1115"/>
      <c r="E1047" s="1115"/>
      <c r="F1047" s="1115"/>
      <c r="G1047" s="1115"/>
      <c r="H1047" s="1115"/>
      <c r="I1047" s="1115"/>
      <c r="J1047" s="1115"/>
      <c r="K1047" s="1115"/>
      <c r="L1047" s="1115"/>
      <c r="M1047" s="1115"/>
    </row>
    <row r="1048" spans="1:13" x14ac:dyDescent="0.2">
      <c r="A1048" s="1115"/>
      <c r="B1048" s="1115"/>
      <c r="C1048" s="1115"/>
      <c r="D1048" s="1115"/>
      <c r="E1048" s="1115"/>
      <c r="F1048" s="1115"/>
      <c r="G1048" s="1115"/>
      <c r="H1048" s="1115"/>
      <c r="I1048" s="1115"/>
      <c r="J1048" s="1115"/>
      <c r="K1048" s="1115"/>
      <c r="L1048" s="1115"/>
      <c r="M1048" s="1115"/>
    </row>
    <row r="1049" spans="1:13" x14ac:dyDescent="0.2">
      <c r="A1049" s="1115"/>
      <c r="B1049" s="1115"/>
      <c r="C1049" s="1115"/>
      <c r="D1049" s="1115"/>
      <c r="E1049" s="1115"/>
      <c r="F1049" s="1115"/>
      <c r="G1049" s="1115"/>
      <c r="H1049" s="1115"/>
      <c r="I1049" s="1115"/>
      <c r="J1049" s="1115"/>
      <c r="K1049" s="1115"/>
      <c r="L1049" s="1115"/>
      <c r="M1049" s="1115"/>
    </row>
    <row r="1050" spans="1:13" x14ac:dyDescent="0.2">
      <c r="A1050" s="1115"/>
      <c r="B1050" s="1115"/>
      <c r="C1050" s="1115"/>
      <c r="D1050" s="1115"/>
      <c r="E1050" s="1115"/>
      <c r="F1050" s="1115"/>
      <c r="G1050" s="1115"/>
      <c r="H1050" s="1115"/>
      <c r="I1050" s="1115"/>
      <c r="J1050" s="1115"/>
      <c r="K1050" s="1115"/>
      <c r="L1050" s="1115"/>
      <c r="M1050" s="1115"/>
    </row>
    <row r="1051" spans="1:13" x14ac:dyDescent="0.2">
      <c r="A1051" s="1115"/>
      <c r="B1051" s="1115"/>
      <c r="C1051" s="1115"/>
      <c r="D1051" s="1115"/>
      <c r="E1051" s="1115"/>
      <c r="F1051" s="1115"/>
      <c r="G1051" s="1115"/>
      <c r="H1051" s="1115"/>
      <c r="I1051" s="1115"/>
      <c r="J1051" s="1115"/>
      <c r="K1051" s="1115"/>
      <c r="L1051" s="1115"/>
      <c r="M1051" s="1115"/>
    </row>
    <row r="1052" spans="1:13" x14ac:dyDescent="0.2">
      <c r="A1052" s="1115"/>
      <c r="B1052" s="1115"/>
      <c r="C1052" s="1115"/>
      <c r="D1052" s="1115"/>
      <c r="E1052" s="1115"/>
      <c r="F1052" s="1115"/>
      <c r="G1052" s="1115"/>
      <c r="H1052" s="1115"/>
      <c r="I1052" s="1115"/>
      <c r="J1052" s="1115"/>
      <c r="K1052" s="1115"/>
      <c r="L1052" s="1115"/>
      <c r="M1052" s="1115"/>
    </row>
    <row r="1053" spans="1:13" x14ac:dyDescent="0.2">
      <c r="A1053" s="1115"/>
      <c r="B1053" s="1115"/>
      <c r="C1053" s="1115"/>
      <c r="D1053" s="1115"/>
      <c r="E1053" s="1115"/>
      <c r="F1053" s="1115"/>
      <c r="G1053" s="1115"/>
      <c r="H1053" s="1115"/>
      <c r="I1053" s="1115"/>
      <c r="J1053" s="1115"/>
      <c r="K1053" s="1115"/>
      <c r="L1053" s="1115"/>
      <c r="M1053" s="1115"/>
    </row>
    <row r="1054" spans="1:13" x14ac:dyDescent="0.2">
      <c r="A1054" s="1115"/>
      <c r="B1054" s="1115"/>
      <c r="C1054" s="1115"/>
      <c r="D1054" s="1115"/>
      <c r="E1054" s="1115"/>
      <c r="F1054" s="1115"/>
      <c r="G1054" s="1115"/>
      <c r="H1054" s="1115"/>
      <c r="I1054" s="1115"/>
      <c r="J1054" s="1115"/>
      <c r="K1054" s="1115"/>
      <c r="L1054" s="1115"/>
      <c r="M1054" s="1115"/>
    </row>
    <row r="1055" spans="1:13" x14ac:dyDescent="0.2">
      <c r="A1055" s="1115"/>
      <c r="B1055" s="1115"/>
      <c r="C1055" s="1115"/>
      <c r="D1055" s="1115"/>
      <c r="E1055" s="1115"/>
      <c r="F1055" s="1115"/>
      <c r="G1055" s="1115"/>
      <c r="H1055" s="1115"/>
      <c r="I1055" s="1115"/>
      <c r="J1055" s="1115"/>
      <c r="K1055" s="1115"/>
      <c r="L1055" s="1115"/>
      <c r="M1055" s="1115"/>
    </row>
    <row r="1056" spans="1:13" x14ac:dyDescent="0.2">
      <c r="A1056" s="1115"/>
      <c r="B1056" s="1115"/>
      <c r="C1056" s="1115"/>
      <c r="D1056" s="1115"/>
      <c r="E1056" s="1115"/>
      <c r="F1056" s="1115"/>
      <c r="G1056" s="1115"/>
      <c r="H1056" s="1115"/>
      <c r="I1056" s="1115"/>
      <c r="J1056" s="1115"/>
      <c r="K1056" s="1115"/>
      <c r="L1056" s="1115"/>
      <c r="M1056" s="1115"/>
    </row>
    <row r="1057" spans="1:13" x14ac:dyDescent="0.2">
      <c r="A1057" s="1115"/>
      <c r="B1057" s="1115"/>
      <c r="C1057" s="1115"/>
      <c r="D1057" s="1115"/>
      <c r="E1057" s="1115"/>
      <c r="F1057" s="1115"/>
      <c r="G1057" s="1115"/>
      <c r="H1057" s="1115"/>
      <c r="I1057" s="1115"/>
      <c r="J1057" s="1115"/>
      <c r="K1057" s="1115"/>
      <c r="L1057" s="1115"/>
      <c r="M1057" s="1115"/>
    </row>
    <row r="1058" spans="1:13" x14ac:dyDescent="0.2">
      <c r="A1058" s="1115"/>
      <c r="B1058" s="1115"/>
      <c r="C1058" s="1115"/>
      <c r="D1058" s="1115"/>
      <c r="E1058" s="1115"/>
      <c r="F1058" s="1115"/>
      <c r="G1058" s="1115"/>
      <c r="H1058" s="1115"/>
      <c r="I1058" s="1115"/>
      <c r="J1058" s="1115"/>
      <c r="K1058" s="1115"/>
      <c r="L1058" s="1115"/>
      <c r="M1058" s="1115"/>
    </row>
    <row r="1059" spans="1:13" x14ac:dyDescent="0.2">
      <c r="A1059" s="1115"/>
      <c r="B1059" s="1115"/>
      <c r="C1059" s="1115"/>
      <c r="D1059" s="1115"/>
      <c r="E1059" s="1115"/>
      <c r="F1059" s="1115"/>
      <c r="G1059" s="1115"/>
      <c r="H1059" s="1115"/>
      <c r="I1059" s="1115"/>
      <c r="J1059" s="1115"/>
      <c r="K1059" s="1115"/>
      <c r="L1059" s="1115"/>
      <c r="M1059" s="1115"/>
    </row>
    <row r="1060" spans="1:13" x14ac:dyDescent="0.2">
      <c r="A1060" s="1115"/>
      <c r="B1060" s="1115"/>
      <c r="C1060" s="1115"/>
      <c r="D1060" s="1115"/>
      <c r="E1060" s="1115"/>
      <c r="F1060" s="1115"/>
      <c r="G1060" s="1115"/>
      <c r="H1060" s="1115"/>
      <c r="I1060" s="1115"/>
      <c r="J1060" s="1115"/>
      <c r="K1060" s="1115"/>
      <c r="L1060" s="1115"/>
      <c r="M1060" s="1115"/>
    </row>
    <row r="1061" spans="1:13" x14ac:dyDescent="0.2">
      <c r="A1061" s="1115"/>
      <c r="B1061" s="1115"/>
      <c r="C1061" s="1115"/>
      <c r="D1061" s="1115"/>
      <c r="E1061" s="1115"/>
      <c r="F1061" s="1115"/>
      <c r="G1061" s="1115"/>
      <c r="H1061" s="1115"/>
      <c r="I1061" s="1115"/>
      <c r="J1061" s="1115"/>
      <c r="K1061" s="1115"/>
      <c r="L1061" s="1115"/>
      <c r="M1061" s="1115"/>
    </row>
    <row r="1062" spans="1:13" x14ac:dyDescent="0.2">
      <c r="A1062" s="1115"/>
      <c r="B1062" s="1115"/>
      <c r="C1062" s="1115"/>
      <c r="D1062" s="1115"/>
      <c r="E1062" s="1115"/>
      <c r="F1062" s="1115"/>
      <c r="G1062" s="1115"/>
      <c r="H1062" s="1115"/>
      <c r="I1062" s="1115"/>
      <c r="J1062" s="1115"/>
      <c r="K1062" s="1115"/>
      <c r="L1062" s="1115"/>
      <c r="M1062" s="1115"/>
    </row>
    <row r="1063" spans="1:13" x14ac:dyDescent="0.2">
      <c r="A1063" s="1115"/>
      <c r="B1063" s="1115"/>
      <c r="C1063" s="1115"/>
      <c r="D1063" s="1115"/>
      <c r="E1063" s="1115"/>
      <c r="F1063" s="1115"/>
      <c r="G1063" s="1115"/>
      <c r="H1063" s="1115"/>
      <c r="I1063" s="1115"/>
      <c r="J1063" s="1115"/>
      <c r="K1063" s="1115"/>
      <c r="L1063" s="1115"/>
      <c r="M1063" s="1115"/>
    </row>
    <row r="1064" spans="1:13" x14ac:dyDescent="0.2">
      <c r="A1064" s="1115"/>
      <c r="B1064" s="1115"/>
      <c r="C1064" s="1115"/>
      <c r="D1064" s="1115"/>
      <c r="E1064" s="1115"/>
      <c r="F1064" s="1115"/>
      <c r="G1064" s="1115"/>
      <c r="H1064" s="1115"/>
      <c r="I1064" s="1115"/>
      <c r="J1064" s="1115"/>
      <c r="K1064" s="1115"/>
      <c r="L1064" s="1115"/>
      <c r="M1064" s="1115"/>
    </row>
    <row r="1065" spans="1:13" x14ac:dyDescent="0.2">
      <c r="A1065" s="1115"/>
      <c r="B1065" s="1115"/>
      <c r="C1065" s="1115"/>
      <c r="D1065" s="1115"/>
      <c r="E1065" s="1115"/>
      <c r="F1065" s="1115"/>
      <c r="G1065" s="1115"/>
      <c r="H1065" s="1115"/>
      <c r="I1065" s="1115"/>
      <c r="J1065" s="1115"/>
      <c r="K1065" s="1115"/>
      <c r="L1065" s="1115"/>
      <c r="M1065" s="1115"/>
    </row>
    <row r="1066" spans="1:13" x14ac:dyDescent="0.2">
      <c r="A1066" s="1115"/>
      <c r="B1066" s="1115"/>
      <c r="C1066" s="1115"/>
      <c r="D1066" s="1115"/>
      <c r="E1066" s="1115"/>
      <c r="F1066" s="1115"/>
      <c r="G1066" s="1115"/>
      <c r="H1066" s="1115"/>
      <c r="I1066" s="1115"/>
      <c r="J1066" s="1115"/>
      <c r="K1066" s="1115"/>
      <c r="L1066" s="1115"/>
      <c r="M1066" s="1115"/>
    </row>
    <row r="1067" spans="1:13" x14ac:dyDescent="0.2">
      <c r="A1067" s="1115"/>
      <c r="B1067" s="1115"/>
      <c r="C1067" s="1115"/>
      <c r="D1067" s="1115"/>
      <c r="E1067" s="1115"/>
      <c r="F1067" s="1115"/>
      <c r="G1067" s="1115"/>
      <c r="H1067" s="1115"/>
      <c r="I1067" s="1115"/>
      <c r="J1067" s="1115"/>
      <c r="K1067" s="1115"/>
      <c r="L1067" s="1115"/>
      <c r="M1067" s="1115"/>
    </row>
    <row r="1068" spans="1:13" x14ac:dyDescent="0.2">
      <c r="A1068" s="1115"/>
      <c r="B1068" s="1115"/>
      <c r="C1068" s="1115"/>
      <c r="D1068" s="1115"/>
      <c r="E1068" s="1115"/>
      <c r="F1068" s="1115"/>
      <c r="G1068" s="1115"/>
      <c r="H1068" s="1115"/>
      <c r="I1068" s="1115"/>
      <c r="J1068" s="1115"/>
      <c r="K1068" s="1115"/>
      <c r="L1068" s="1115"/>
      <c r="M1068" s="1115"/>
    </row>
    <row r="1069" spans="1:13" x14ac:dyDescent="0.2">
      <c r="A1069" s="1115"/>
      <c r="B1069" s="1115"/>
      <c r="C1069" s="1115"/>
      <c r="D1069" s="1115"/>
      <c r="E1069" s="1115"/>
      <c r="F1069" s="1115"/>
      <c r="G1069" s="1115"/>
      <c r="H1069" s="1115"/>
      <c r="I1069" s="1115"/>
      <c r="J1069" s="1115"/>
      <c r="K1069" s="1115"/>
      <c r="L1069" s="1115"/>
      <c r="M1069" s="1115"/>
    </row>
    <row r="1070" spans="1:13" x14ac:dyDescent="0.2">
      <c r="A1070" s="1115"/>
      <c r="B1070" s="1115"/>
      <c r="C1070" s="1115"/>
      <c r="D1070" s="1115"/>
      <c r="E1070" s="1115"/>
      <c r="F1070" s="1115"/>
      <c r="G1070" s="1115"/>
      <c r="H1070" s="1115"/>
      <c r="I1070" s="1115"/>
      <c r="J1070" s="1115"/>
      <c r="K1070" s="1115"/>
      <c r="L1070" s="1115"/>
      <c r="M1070" s="1115"/>
    </row>
    <row r="1071" spans="1:13" x14ac:dyDescent="0.2">
      <c r="A1071" s="1115"/>
      <c r="B1071" s="1115"/>
      <c r="C1071" s="1115"/>
      <c r="D1071" s="1115"/>
      <c r="E1071" s="1115"/>
      <c r="F1071" s="1115"/>
      <c r="G1071" s="1115"/>
      <c r="H1071" s="1115"/>
      <c r="I1071" s="1115"/>
      <c r="J1071" s="1115"/>
      <c r="K1071" s="1115"/>
      <c r="L1071" s="1115"/>
      <c r="M1071" s="1115"/>
    </row>
    <row r="1072" spans="1:13" x14ac:dyDescent="0.2">
      <c r="A1072" s="1115"/>
      <c r="B1072" s="1115"/>
      <c r="C1072" s="1115"/>
      <c r="D1072" s="1115"/>
      <c r="E1072" s="1115"/>
      <c r="F1072" s="1115"/>
      <c r="G1072" s="1115"/>
      <c r="H1072" s="1115"/>
      <c r="I1072" s="1115"/>
      <c r="J1072" s="1115"/>
      <c r="K1072" s="1115"/>
      <c r="L1072" s="1115"/>
      <c r="M1072" s="1115"/>
    </row>
    <row r="1073" spans="1:13" x14ac:dyDescent="0.2">
      <c r="A1073" s="1115"/>
      <c r="B1073" s="1115"/>
      <c r="C1073" s="1115"/>
      <c r="D1073" s="1115"/>
      <c r="E1073" s="1115"/>
      <c r="F1073" s="1115"/>
      <c r="G1073" s="1115"/>
      <c r="H1073" s="1115"/>
      <c r="I1073" s="1115"/>
      <c r="J1073" s="1115"/>
      <c r="K1073" s="1115"/>
      <c r="L1073" s="1115"/>
      <c r="M1073" s="1115"/>
    </row>
    <row r="1074" spans="1:13" x14ac:dyDescent="0.2">
      <c r="A1074" s="1115"/>
      <c r="B1074" s="1115"/>
      <c r="C1074" s="1115"/>
      <c r="D1074" s="1115"/>
      <c r="E1074" s="1115"/>
      <c r="F1074" s="1115"/>
      <c r="G1074" s="1115"/>
      <c r="H1074" s="1115"/>
      <c r="I1074" s="1115"/>
      <c r="J1074" s="1115"/>
      <c r="K1074" s="1115"/>
      <c r="L1074" s="1115"/>
      <c r="M1074" s="1115"/>
    </row>
    <row r="1075" spans="1:13" x14ac:dyDescent="0.2">
      <c r="A1075" s="1115"/>
      <c r="B1075" s="1115"/>
      <c r="C1075" s="1115"/>
      <c r="D1075" s="1115"/>
      <c r="E1075" s="1115"/>
      <c r="F1075" s="1115"/>
      <c r="G1075" s="1115"/>
      <c r="H1075" s="1115"/>
      <c r="I1075" s="1115"/>
      <c r="J1075" s="1115"/>
      <c r="K1075" s="1115"/>
      <c r="L1075" s="1115"/>
      <c r="M1075" s="1115"/>
    </row>
    <row r="1076" spans="1:13" x14ac:dyDescent="0.2">
      <c r="A1076" s="1115"/>
      <c r="B1076" s="1115"/>
      <c r="C1076" s="1115"/>
      <c r="D1076" s="1115"/>
      <c r="E1076" s="1115"/>
      <c r="F1076" s="1115"/>
      <c r="G1076" s="1115"/>
      <c r="H1076" s="1115"/>
      <c r="I1076" s="1115"/>
      <c r="J1076" s="1115"/>
      <c r="K1076" s="1115"/>
      <c r="L1076" s="1115"/>
      <c r="M1076" s="1115"/>
    </row>
    <row r="1077" spans="1:13" x14ac:dyDescent="0.2">
      <c r="A1077" s="1115"/>
      <c r="B1077" s="1115"/>
      <c r="C1077" s="1115"/>
      <c r="D1077" s="1115"/>
      <c r="E1077" s="1115"/>
      <c r="F1077" s="1115"/>
      <c r="G1077" s="1115"/>
      <c r="H1077" s="1115"/>
      <c r="I1077" s="1115"/>
      <c r="J1077" s="1115"/>
      <c r="K1077" s="1115"/>
      <c r="L1077" s="1115"/>
      <c r="M1077" s="1115"/>
    </row>
    <row r="1078" spans="1:13" x14ac:dyDescent="0.2">
      <c r="A1078" s="1115"/>
      <c r="B1078" s="1115"/>
      <c r="C1078" s="1115"/>
      <c r="D1078" s="1115"/>
      <c r="E1078" s="1115"/>
      <c r="F1078" s="1115"/>
      <c r="G1078" s="1115"/>
      <c r="H1078" s="1115"/>
      <c r="I1078" s="1115"/>
      <c r="J1078" s="1115"/>
      <c r="K1078" s="1115"/>
      <c r="L1078" s="1115"/>
      <c r="M1078" s="1115"/>
    </row>
    <row r="1079" spans="1:13" x14ac:dyDescent="0.2">
      <c r="A1079" s="1115"/>
      <c r="B1079" s="1115"/>
      <c r="C1079" s="1115"/>
      <c r="D1079" s="1115"/>
      <c r="E1079" s="1115"/>
      <c r="F1079" s="1115"/>
      <c r="G1079" s="1115"/>
      <c r="H1079" s="1115"/>
      <c r="I1079" s="1115"/>
      <c r="J1079" s="1115"/>
      <c r="K1079" s="1115"/>
      <c r="L1079" s="1115"/>
      <c r="M1079" s="1115"/>
    </row>
    <row r="1080" spans="1:13" x14ac:dyDescent="0.2">
      <c r="A1080" s="1115"/>
      <c r="B1080" s="1115"/>
      <c r="C1080" s="1115"/>
      <c r="D1080" s="1115"/>
      <c r="E1080" s="1115"/>
      <c r="F1080" s="1115"/>
      <c r="G1080" s="1115"/>
      <c r="H1080" s="1115"/>
      <c r="I1080" s="1115"/>
      <c r="J1080" s="1115"/>
      <c r="K1080" s="1115"/>
      <c r="L1080" s="1115"/>
      <c r="M1080" s="1115"/>
    </row>
    <row r="1081" spans="1:13" x14ac:dyDescent="0.2">
      <c r="A1081" s="1115"/>
      <c r="B1081" s="1115"/>
      <c r="C1081" s="1115"/>
      <c r="D1081" s="1115"/>
      <c r="E1081" s="1115"/>
      <c r="F1081" s="1115"/>
      <c r="G1081" s="1115"/>
      <c r="H1081" s="1115"/>
      <c r="I1081" s="1115"/>
      <c r="J1081" s="1115"/>
      <c r="K1081" s="1115"/>
      <c r="L1081" s="1115"/>
      <c r="M1081" s="1115"/>
    </row>
    <row r="1082" spans="1:13" x14ac:dyDescent="0.2">
      <c r="A1082" s="1115"/>
      <c r="B1082" s="1115"/>
      <c r="C1082" s="1115"/>
      <c r="D1082" s="1115"/>
      <c r="E1082" s="1115"/>
      <c r="F1082" s="1115"/>
      <c r="G1082" s="1115"/>
      <c r="H1082" s="1115"/>
      <c r="I1082" s="1115"/>
      <c r="J1082" s="1115"/>
      <c r="K1082" s="1115"/>
      <c r="L1082" s="1115"/>
      <c r="M1082" s="1115"/>
    </row>
    <row r="1083" spans="1:13" x14ac:dyDescent="0.2">
      <c r="A1083" s="1115"/>
      <c r="B1083" s="1115"/>
      <c r="C1083" s="1115"/>
      <c r="D1083" s="1115"/>
      <c r="E1083" s="1115"/>
      <c r="F1083" s="1115"/>
      <c r="G1083" s="1115"/>
      <c r="H1083" s="1115"/>
      <c r="I1083" s="1115"/>
      <c r="J1083" s="1115"/>
      <c r="K1083" s="1115"/>
      <c r="L1083" s="1115"/>
      <c r="M1083" s="1115"/>
    </row>
    <row r="1084" spans="1:13" x14ac:dyDescent="0.2">
      <c r="A1084" s="1115"/>
      <c r="B1084" s="1115"/>
      <c r="C1084" s="1115"/>
      <c r="D1084" s="1115"/>
      <c r="E1084" s="1115"/>
      <c r="F1084" s="1115"/>
      <c r="G1084" s="1115"/>
      <c r="H1084" s="1115"/>
      <c r="I1084" s="1115"/>
      <c r="J1084" s="1115"/>
      <c r="K1084" s="1115"/>
      <c r="L1084" s="1115"/>
      <c r="M1084" s="1115"/>
    </row>
    <row r="1085" spans="1:13" x14ac:dyDescent="0.2">
      <c r="A1085" s="1115"/>
      <c r="B1085" s="1115"/>
      <c r="C1085" s="1115"/>
      <c r="D1085" s="1115"/>
      <c r="E1085" s="1115"/>
      <c r="F1085" s="1115"/>
      <c r="G1085" s="1115"/>
      <c r="H1085" s="1115"/>
      <c r="I1085" s="1115"/>
      <c r="J1085" s="1115"/>
      <c r="K1085" s="1115"/>
      <c r="L1085" s="1115"/>
      <c r="M1085" s="1115"/>
    </row>
    <row r="1086" spans="1:13" x14ac:dyDescent="0.2">
      <c r="A1086" s="1115"/>
      <c r="B1086" s="1115"/>
      <c r="C1086" s="1115"/>
      <c r="D1086" s="1115"/>
      <c r="E1086" s="1115"/>
      <c r="F1086" s="1115"/>
      <c r="G1086" s="1115"/>
      <c r="H1086" s="1115"/>
      <c r="I1086" s="1115"/>
      <c r="J1086" s="1115"/>
      <c r="K1086" s="1115"/>
      <c r="L1086" s="1115"/>
      <c r="M1086" s="1115"/>
    </row>
    <row r="1087" spans="1:13" x14ac:dyDescent="0.2">
      <c r="A1087" s="1115"/>
      <c r="B1087" s="1115"/>
      <c r="C1087" s="1115"/>
      <c r="D1087" s="1115"/>
      <c r="E1087" s="1115"/>
      <c r="F1087" s="1115"/>
      <c r="G1087" s="1115"/>
      <c r="H1087" s="1115"/>
      <c r="I1087" s="1115"/>
      <c r="J1087" s="1115"/>
      <c r="K1087" s="1115"/>
      <c r="L1087" s="1115"/>
      <c r="M1087" s="1115"/>
    </row>
    <row r="1088" spans="1:13" x14ac:dyDescent="0.2">
      <c r="A1088" s="1115"/>
      <c r="B1088" s="1115"/>
      <c r="C1088" s="1115"/>
      <c r="D1088" s="1115"/>
      <c r="E1088" s="1115"/>
      <c r="F1088" s="1115"/>
      <c r="G1088" s="1115"/>
      <c r="H1088" s="1115"/>
      <c r="I1088" s="1115"/>
      <c r="J1088" s="1115"/>
      <c r="K1088" s="1115"/>
      <c r="L1088" s="1115"/>
      <c r="M1088" s="1115"/>
    </row>
    <row r="1089" spans="1:13" x14ac:dyDescent="0.2">
      <c r="A1089" s="1115"/>
      <c r="B1089" s="1115"/>
      <c r="C1089" s="1115"/>
      <c r="D1089" s="1115"/>
      <c r="E1089" s="1115"/>
      <c r="F1089" s="1115"/>
      <c r="G1089" s="1115"/>
      <c r="H1089" s="1115"/>
      <c r="I1089" s="1115"/>
      <c r="J1089" s="1115"/>
      <c r="K1089" s="1115"/>
      <c r="L1089" s="1115"/>
      <c r="M1089" s="1115"/>
    </row>
    <row r="1090" spans="1:13" x14ac:dyDescent="0.2">
      <c r="A1090" s="1115"/>
      <c r="B1090" s="1115"/>
      <c r="C1090" s="1115"/>
      <c r="D1090" s="1115"/>
      <c r="E1090" s="1115"/>
      <c r="F1090" s="1115"/>
      <c r="G1090" s="1115"/>
      <c r="H1090" s="1115"/>
      <c r="I1090" s="1115"/>
      <c r="J1090" s="1115"/>
      <c r="K1090" s="1115"/>
      <c r="L1090" s="1115"/>
      <c r="M1090" s="1115"/>
    </row>
    <row r="1091" spans="1:13" x14ac:dyDescent="0.2">
      <c r="A1091" s="1115"/>
      <c r="B1091" s="1115"/>
      <c r="C1091" s="1115"/>
      <c r="D1091" s="1115"/>
      <c r="E1091" s="1115"/>
      <c r="F1091" s="1115"/>
      <c r="G1091" s="1115"/>
      <c r="H1091" s="1115"/>
      <c r="I1091" s="1115"/>
      <c r="J1091" s="1115"/>
      <c r="K1091" s="1115"/>
      <c r="L1091" s="1115"/>
      <c r="M1091" s="1115"/>
    </row>
    <row r="1092" spans="1:13" x14ac:dyDescent="0.2">
      <c r="A1092" s="1115"/>
      <c r="B1092" s="1115"/>
      <c r="C1092" s="1115"/>
      <c r="D1092" s="1115"/>
      <c r="E1092" s="1115"/>
      <c r="F1092" s="1115"/>
      <c r="G1092" s="1115"/>
      <c r="H1092" s="1115"/>
      <c r="I1092" s="1115"/>
      <c r="J1092" s="1115"/>
      <c r="K1092" s="1115"/>
      <c r="L1092" s="1115"/>
      <c r="M1092" s="1115"/>
    </row>
    <row r="1093" spans="1:13" x14ac:dyDescent="0.2">
      <c r="A1093" s="1115"/>
      <c r="B1093" s="1115"/>
      <c r="C1093" s="1115"/>
      <c r="D1093" s="1115"/>
      <c r="E1093" s="1115"/>
      <c r="F1093" s="1115"/>
      <c r="G1093" s="1115"/>
      <c r="H1093" s="1115"/>
      <c r="I1093" s="1115"/>
      <c r="J1093" s="1115"/>
      <c r="K1093" s="1115"/>
      <c r="L1093" s="1115"/>
      <c r="M1093" s="1115"/>
    </row>
    <row r="1094" spans="1:13" x14ac:dyDescent="0.2">
      <c r="A1094" s="1115"/>
      <c r="B1094" s="1115"/>
      <c r="C1094" s="1115"/>
      <c r="D1094" s="1115"/>
      <c r="E1094" s="1115"/>
      <c r="F1094" s="1115"/>
      <c r="G1094" s="1115"/>
      <c r="H1094" s="1115"/>
      <c r="I1094" s="1115"/>
      <c r="J1094" s="1115"/>
      <c r="K1094" s="1115"/>
      <c r="L1094" s="1115"/>
      <c r="M1094" s="1115"/>
    </row>
    <row r="1095" spans="1:13" x14ac:dyDescent="0.2">
      <c r="A1095" s="1115"/>
      <c r="B1095" s="1115"/>
      <c r="C1095" s="1115"/>
      <c r="D1095" s="1115"/>
      <c r="E1095" s="1115"/>
      <c r="F1095" s="1115"/>
      <c r="G1095" s="1115"/>
      <c r="H1095" s="1115"/>
      <c r="I1095" s="1115"/>
      <c r="J1095" s="1115"/>
      <c r="K1095" s="1115"/>
      <c r="L1095" s="1115"/>
      <c r="M1095" s="1115"/>
    </row>
    <row r="1096" spans="1:13" x14ac:dyDescent="0.2">
      <c r="A1096" s="1115"/>
      <c r="B1096" s="1115"/>
      <c r="C1096" s="1115"/>
      <c r="D1096" s="1115"/>
      <c r="E1096" s="1115"/>
      <c r="F1096" s="1115"/>
      <c r="G1096" s="1115"/>
      <c r="H1096" s="1115"/>
      <c r="I1096" s="1115"/>
      <c r="J1096" s="1115"/>
      <c r="K1096" s="1115"/>
      <c r="L1096" s="1115"/>
      <c r="M1096" s="1115"/>
    </row>
    <row r="1097" spans="1:13" x14ac:dyDescent="0.2">
      <c r="A1097" s="1115"/>
      <c r="B1097" s="1115"/>
      <c r="C1097" s="1115"/>
      <c r="D1097" s="1115"/>
      <c r="E1097" s="1115"/>
      <c r="F1097" s="1115"/>
      <c r="G1097" s="1115"/>
      <c r="H1097" s="1115"/>
      <c r="I1097" s="1115"/>
      <c r="J1097" s="1115"/>
      <c r="K1097" s="1115"/>
      <c r="L1097" s="1115"/>
      <c r="M1097" s="1115"/>
    </row>
    <row r="1098" spans="1:13" x14ac:dyDescent="0.2">
      <c r="A1098" s="1115"/>
      <c r="B1098" s="1115"/>
      <c r="C1098" s="1115"/>
      <c r="D1098" s="1115"/>
      <c r="E1098" s="1115"/>
      <c r="F1098" s="1115"/>
      <c r="G1098" s="1115"/>
      <c r="H1098" s="1115"/>
      <c r="I1098" s="1115"/>
      <c r="J1098" s="1115"/>
      <c r="K1098" s="1115"/>
      <c r="L1098" s="1115"/>
      <c r="M1098" s="1115"/>
    </row>
    <row r="1099" spans="1:13" x14ac:dyDescent="0.2">
      <c r="A1099" s="1115"/>
      <c r="B1099" s="1115"/>
      <c r="C1099" s="1115"/>
      <c r="D1099" s="1115"/>
      <c r="E1099" s="1115"/>
      <c r="F1099" s="1115"/>
      <c r="G1099" s="1115"/>
      <c r="H1099" s="1115"/>
      <c r="I1099" s="1115"/>
      <c r="J1099" s="1115"/>
      <c r="K1099" s="1115"/>
      <c r="L1099" s="1115"/>
      <c r="M1099" s="1115"/>
    </row>
    <row r="1100" spans="1:13" x14ac:dyDescent="0.2">
      <c r="A1100" s="1115"/>
      <c r="B1100" s="1115"/>
      <c r="C1100" s="1115"/>
      <c r="D1100" s="1115"/>
      <c r="E1100" s="1115"/>
      <c r="F1100" s="1115"/>
      <c r="G1100" s="1115"/>
      <c r="H1100" s="1115"/>
      <c r="I1100" s="1115"/>
      <c r="J1100" s="1115"/>
      <c r="K1100" s="1115"/>
      <c r="L1100" s="1115"/>
      <c r="M1100" s="1115"/>
    </row>
    <row r="1101" spans="1:13" x14ac:dyDescent="0.2">
      <c r="A1101" s="1115"/>
      <c r="B1101" s="1115"/>
      <c r="C1101" s="1115"/>
      <c r="D1101" s="1115"/>
      <c r="E1101" s="1115"/>
      <c r="F1101" s="1115"/>
      <c r="G1101" s="1115"/>
      <c r="H1101" s="1115"/>
      <c r="I1101" s="1115"/>
      <c r="J1101" s="1115"/>
      <c r="K1101" s="1115"/>
      <c r="L1101" s="1115"/>
      <c r="M1101" s="1115"/>
    </row>
    <row r="1102" spans="1:13" x14ac:dyDescent="0.2">
      <c r="A1102" s="1115"/>
      <c r="B1102" s="1115"/>
      <c r="C1102" s="1115"/>
      <c r="D1102" s="1115"/>
      <c r="E1102" s="1115"/>
      <c r="F1102" s="1115"/>
      <c r="G1102" s="1115"/>
      <c r="H1102" s="1115"/>
      <c r="I1102" s="1115"/>
      <c r="J1102" s="1115"/>
      <c r="K1102" s="1115"/>
      <c r="L1102" s="1115"/>
      <c r="M1102" s="1115"/>
    </row>
    <row r="1103" spans="1:13" x14ac:dyDescent="0.2">
      <c r="A1103" s="1115"/>
      <c r="B1103" s="1115"/>
      <c r="C1103" s="1115"/>
      <c r="D1103" s="1115"/>
      <c r="E1103" s="1115"/>
      <c r="F1103" s="1115"/>
      <c r="G1103" s="1115"/>
      <c r="H1103" s="1115"/>
      <c r="I1103" s="1115"/>
      <c r="J1103" s="1115"/>
      <c r="K1103" s="1115"/>
      <c r="L1103" s="1115"/>
      <c r="M1103" s="1115"/>
    </row>
    <row r="1104" spans="1:13" x14ac:dyDescent="0.2">
      <c r="A1104" s="1115"/>
      <c r="B1104" s="1115"/>
      <c r="C1104" s="1115"/>
      <c r="D1104" s="1115"/>
      <c r="E1104" s="1115"/>
      <c r="F1104" s="1115"/>
      <c r="G1104" s="1115"/>
      <c r="H1104" s="1115"/>
      <c r="I1104" s="1115"/>
      <c r="J1104" s="1115"/>
      <c r="K1104" s="1115"/>
      <c r="L1104" s="1115"/>
      <c r="M1104" s="1115"/>
    </row>
    <row r="1105" spans="1:13" x14ac:dyDescent="0.2">
      <c r="A1105" s="1115"/>
      <c r="B1105" s="1115"/>
      <c r="C1105" s="1115"/>
      <c r="D1105" s="1115"/>
      <c r="E1105" s="1115"/>
      <c r="F1105" s="1115"/>
      <c r="G1105" s="1115"/>
      <c r="H1105" s="1115"/>
      <c r="I1105" s="1115"/>
      <c r="J1105" s="1115"/>
      <c r="K1105" s="1115"/>
      <c r="L1105" s="1115"/>
      <c r="M1105" s="1115"/>
    </row>
    <row r="1106" spans="1:13" x14ac:dyDescent="0.2">
      <c r="A1106" s="1115"/>
      <c r="B1106" s="1115"/>
      <c r="C1106" s="1115"/>
      <c r="D1106" s="1115"/>
      <c r="E1106" s="1115"/>
      <c r="F1106" s="1115"/>
      <c r="G1106" s="1115"/>
      <c r="H1106" s="1115"/>
      <c r="I1106" s="1115"/>
      <c r="J1106" s="1115"/>
      <c r="K1106" s="1115"/>
      <c r="L1106" s="1115"/>
      <c r="M1106" s="1115"/>
    </row>
    <row r="1107" spans="1:13" x14ac:dyDescent="0.2">
      <c r="A1107" s="1115"/>
      <c r="B1107" s="1115"/>
      <c r="C1107" s="1115"/>
      <c r="D1107" s="1115"/>
      <c r="E1107" s="1115"/>
      <c r="F1107" s="1115"/>
      <c r="G1107" s="1115"/>
      <c r="H1107" s="1115"/>
      <c r="I1107" s="1115"/>
      <c r="J1107" s="1115"/>
      <c r="K1107" s="1115"/>
      <c r="L1107" s="1115"/>
      <c r="M1107" s="1115"/>
    </row>
    <row r="1108" spans="1:13" x14ac:dyDescent="0.2">
      <c r="A1108" s="1115"/>
      <c r="B1108" s="1115"/>
      <c r="C1108" s="1115"/>
      <c r="D1108" s="1115"/>
      <c r="E1108" s="1115"/>
      <c r="F1108" s="1115"/>
      <c r="G1108" s="1115"/>
      <c r="H1108" s="1115"/>
      <c r="I1108" s="1115"/>
      <c r="J1108" s="1115"/>
      <c r="K1108" s="1115"/>
      <c r="L1108" s="1115"/>
      <c r="M1108" s="1115"/>
    </row>
    <row r="1109" spans="1:13" x14ac:dyDescent="0.2">
      <c r="A1109" s="1115"/>
      <c r="B1109" s="1115"/>
      <c r="C1109" s="1115"/>
      <c r="D1109" s="1115"/>
      <c r="E1109" s="1115"/>
      <c r="F1109" s="1115"/>
      <c r="G1109" s="1115"/>
      <c r="H1109" s="1115"/>
      <c r="I1109" s="1115"/>
      <c r="J1109" s="1115"/>
      <c r="K1109" s="1115"/>
      <c r="L1109" s="1115"/>
      <c r="M1109" s="1115"/>
    </row>
    <row r="1110" spans="1:13" x14ac:dyDescent="0.2">
      <c r="A1110" s="1115"/>
      <c r="B1110" s="1115"/>
      <c r="C1110" s="1115"/>
      <c r="D1110" s="1115"/>
      <c r="E1110" s="1115"/>
      <c r="F1110" s="1115"/>
      <c r="G1110" s="1115"/>
      <c r="H1110" s="1115"/>
      <c r="I1110" s="1115"/>
      <c r="J1110" s="1115"/>
      <c r="K1110" s="1115"/>
      <c r="L1110" s="1115"/>
      <c r="M1110" s="1115"/>
    </row>
    <row r="1111" spans="1:13" x14ac:dyDescent="0.2">
      <c r="A1111" s="1115"/>
      <c r="B1111" s="1115"/>
      <c r="C1111" s="1115"/>
      <c r="D1111" s="1115"/>
      <c r="E1111" s="1115"/>
      <c r="F1111" s="1115"/>
      <c r="G1111" s="1115"/>
      <c r="H1111" s="1115"/>
      <c r="I1111" s="1115"/>
      <c r="J1111" s="1115"/>
      <c r="K1111" s="1115"/>
      <c r="L1111" s="1115"/>
      <c r="M1111" s="1115"/>
    </row>
    <row r="1112" spans="1:13" x14ac:dyDescent="0.2">
      <c r="A1112" s="1115"/>
      <c r="B1112" s="1115"/>
      <c r="C1112" s="1115"/>
      <c r="D1112" s="1115"/>
      <c r="E1112" s="1115"/>
      <c r="F1112" s="1115"/>
      <c r="G1112" s="1115"/>
      <c r="H1112" s="1115"/>
      <c r="I1112" s="1115"/>
      <c r="J1112" s="1115"/>
      <c r="K1112" s="1115"/>
      <c r="L1112" s="1115"/>
      <c r="M1112" s="1115"/>
    </row>
    <row r="1113" spans="1:13" x14ac:dyDescent="0.2">
      <c r="A1113" s="1115"/>
      <c r="B1113" s="1115"/>
      <c r="C1113" s="1115"/>
      <c r="D1113" s="1115"/>
      <c r="E1113" s="1115"/>
      <c r="F1113" s="1115"/>
      <c r="G1113" s="1115"/>
      <c r="H1113" s="1115"/>
      <c r="I1113" s="1115"/>
      <c r="J1113" s="1115"/>
      <c r="K1113" s="1115"/>
      <c r="L1113" s="1115"/>
      <c r="M1113" s="1115"/>
    </row>
    <row r="1114" spans="1:13" x14ac:dyDescent="0.2">
      <c r="A1114" s="1115"/>
      <c r="B1114" s="1115"/>
      <c r="C1114" s="1115"/>
      <c r="D1114" s="1115"/>
      <c r="E1114" s="1115"/>
      <c r="F1114" s="1115"/>
      <c r="G1114" s="1115"/>
      <c r="H1114" s="1115"/>
      <c r="I1114" s="1115"/>
      <c r="J1114" s="1115"/>
      <c r="K1114" s="1115"/>
      <c r="L1114" s="1115"/>
      <c r="M1114" s="1115"/>
    </row>
    <row r="1115" spans="1:13" x14ac:dyDescent="0.2">
      <c r="A1115" s="1115"/>
      <c r="B1115" s="1115"/>
      <c r="C1115" s="1115"/>
      <c r="D1115" s="1115"/>
      <c r="E1115" s="1115"/>
      <c r="F1115" s="1115"/>
      <c r="G1115" s="1115"/>
      <c r="H1115" s="1115"/>
      <c r="I1115" s="1115"/>
      <c r="J1115" s="1115"/>
      <c r="K1115" s="1115"/>
      <c r="L1115" s="1115"/>
      <c r="M1115" s="1115"/>
    </row>
    <row r="1116" spans="1:13" x14ac:dyDescent="0.2">
      <c r="A1116" s="1115"/>
      <c r="B1116" s="1115"/>
      <c r="C1116" s="1115"/>
      <c r="D1116" s="1115"/>
      <c r="E1116" s="1115"/>
      <c r="F1116" s="1115"/>
      <c r="G1116" s="1115"/>
      <c r="H1116" s="1115"/>
      <c r="I1116" s="1115"/>
      <c r="J1116" s="1115"/>
      <c r="K1116" s="1115"/>
      <c r="L1116" s="1115"/>
      <c r="M1116" s="1115"/>
    </row>
    <row r="1117" spans="1:13" x14ac:dyDescent="0.2">
      <c r="A1117" s="1115"/>
      <c r="B1117" s="1115"/>
      <c r="C1117" s="1115"/>
      <c r="D1117" s="1115"/>
      <c r="E1117" s="1115"/>
      <c r="F1117" s="1115"/>
      <c r="G1117" s="1115"/>
      <c r="H1117" s="1115"/>
      <c r="I1117" s="1115"/>
      <c r="J1117" s="1115"/>
      <c r="K1117" s="1115"/>
      <c r="L1117" s="1115"/>
      <c r="M1117" s="1115"/>
    </row>
    <row r="1118" spans="1:13" x14ac:dyDescent="0.2">
      <c r="A1118" s="1115"/>
      <c r="B1118" s="1115"/>
      <c r="C1118" s="1115"/>
      <c r="D1118" s="1115"/>
      <c r="E1118" s="1115"/>
      <c r="F1118" s="1115"/>
      <c r="G1118" s="1115"/>
      <c r="H1118" s="1115"/>
      <c r="I1118" s="1115"/>
      <c r="J1118" s="1115"/>
      <c r="K1118" s="1115"/>
      <c r="L1118" s="1115"/>
      <c r="M1118" s="1115"/>
    </row>
    <row r="1119" spans="1:13" x14ac:dyDescent="0.2">
      <c r="A1119" s="1115"/>
      <c r="B1119" s="1115"/>
      <c r="C1119" s="1115"/>
      <c r="D1119" s="1115"/>
      <c r="E1119" s="1115"/>
      <c r="F1119" s="1115"/>
      <c r="G1119" s="1115"/>
      <c r="H1119" s="1115"/>
      <c r="I1119" s="1115"/>
      <c r="J1119" s="1115"/>
      <c r="K1119" s="1115"/>
      <c r="L1119" s="1115"/>
      <c r="M1119" s="1115"/>
    </row>
    <row r="1120" spans="1:13" x14ac:dyDescent="0.2">
      <c r="A1120" s="1115"/>
      <c r="B1120" s="1115"/>
      <c r="C1120" s="1115"/>
      <c r="D1120" s="1115"/>
      <c r="E1120" s="1115"/>
      <c r="F1120" s="1115"/>
      <c r="G1120" s="1115"/>
      <c r="H1120" s="1115"/>
      <c r="I1120" s="1115"/>
      <c r="J1120" s="1115"/>
      <c r="K1120" s="1115"/>
      <c r="L1120" s="1115"/>
      <c r="M1120" s="1115"/>
    </row>
    <row r="1121" spans="1:13" x14ac:dyDescent="0.2">
      <c r="A1121" s="1115"/>
      <c r="B1121" s="1115"/>
      <c r="C1121" s="1115"/>
      <c r="D1121" s="1115"/>
      <c r="E1121" s="1115"/>
      <c r="F1121" s="1115"/>
      <c r="G1121" s="1115"/>
      <c r="H1121" s="1115"/>
      <c r="I1121" s="1115"/>
      <c r="J1121" s="1115"/>
      <c r="K1121" s="1115"/>
      <c r="L1121" s="1115"/>
      <c r="M1121" s="1115"/>
    </row>
    <row r="1122" spans="1:13" x14ac:dyDescent="0.2">
      <c r="A1122" s="1115"/>
      <c r="B1122" s="1115"/>
      <c r="C1122" s="1115"/>
      <c r="D1122" s="1115"/>
      <c r="E1122" s="1115"/>
      <c r="F1122" s="1115"/>
      <c r="G1122" s="1115"/>
      <c r="H1122" s="1115"/>
      <c r="I1122" s="1115"/>
      <c r="J1122" s="1115"/>
      <c r="K1122" s="1115"/>
      <c r="L1122" s="1115"/>
      <c r="M1122" s="1115"/>
    </row>
    <row r="1123" spans="1:13" x14ac:dyDescent="0.2">
      <c r="A1123" s="1115"/>
      <c r="B1123" s="1115"/>
      <c r="C1123" s="1115"/>
      <c r="D1123" s="1115"/>
      <c r="E1123" s="1115"/>
      <c r="F1123" s="1115"/>
      <c r="G1123" s="1115"/>
      <c r="H1123" s="1115"/>
      <c r="I1123" s="1115"/>
      <c r="J1123" s="1115"/>
      <c r="K1123" s="1115"/>
      <c r="L1123" s="1115"/>
      <c r="M1123" s="1115"/>
    </row>
    <row r="1124" spans="1:13" x14ac:dyDescent="0.2">
      <c r="A1124" s="1115"/>
      <c r="B1124" s="1115"/>
      <c r="C1124" s="1115"/>
      <c r="D1124" s="1115"/>
      <c r="E1124" s="1115"/>
      <c r="F1124" s="1115"/>
      <c r="G1124" s="1115"/>
      <c r="H1124" s="1115"/>
      <c r="I1124" s="1115"/>
      <c r="J1124" s="1115"/>
      <c r="K1124" s="1115"/>
      <c r="L1124" s="1115"/>
      <c r="M1124" s="1115"/>
    </row>
    <row r="1125" spans="1:13" x14ac:dyDescent="0.2">
      <c r="A1125" s="1115"/>
      <c r="B1125" s="1115"/>
      <c r="C1125" s="1115"/>
      <c r="D1125" s="1115"/>
      <c r="E1125" s="1115"/>
      <c r="F1125" s="1115"/>
      <c r="G1125" s="1115"/>
      <c r="H1125" s="1115"/>
      <c r="I1125" s="1115"/>
      <c r="J1125" s="1115"/>
      <c r="K1125" s="1115"/>
      <c r="L1125" s="1115"/>
      <c r="M1125" s="1115"/>
    </row>
    <row r="1126" spans="1:13" x14ac:dyDescent="0.2">
      <c r="A1126" s="1115"/>
      <c r="B1126" s="1115"/>
      <c r="C1126" s="1115"/>
      <c r="D1126" s="1115"/>
      <c r="E1126" s="1115"/>
      <c r="F1126" s="1115"/>
      <c r="G1126" s="1115"/>
      <c r="H1126" s="1115"/>
      <c r="I1126" s="1115"/>
      <c r="J1126" s="1115"/>
      <c r="K1126" s="1115"/>
      <c r="L1126" s="1115"/>
      <c r="M1126" s="1115"/>
    </row>
    <row r="1127" spans="1:13" x14ac:dyDescent="0.2">
      <c r="A1127" s="1115"/>
      <c r="B1127" s="1115"/>
      <c r="C1127" s="1115"/>
      <c r="D1127" s="1115"/>
      <c r="E1127" s="1115"/>
      <c r="F1127" s="1115"/>
      <c r="G1127" s="1115"/>
      <c r="H1127" s="1115"/>
      <c r="I1127" s="1115"/>
      <c r="J1127" s="1115"/>
      <c r="K1127" s="1115"/>
      <c r="L1127" s="1115"/>
      <c r="M1127" s="1115"/>
    </row>
    <row r="1128" spans="1:13" x14ac:dyDescent="0.2">
      <c r="A1128" s="1115"/>
      <c r="B1128" s="1115"/>
      <c r="C1128" s="1115"/>
      <c r="D1128" s="1115"/>
      <c r="E1128" s="1115"/>
      <c r="F1128" s="1115"/>
      <c r="G1128" s="1115"/>
      <c r="H1128" s="1115"/>
      <c r="I1128" s="1115"/>
      <c r="J1128" s="1115"/>
      <c r="K1128" s="1115"/>
      <c r="L1128" s="1115"/>
      <c r="M1128" s="1115"/>
    </row>
    <row r="1129" spans="1:13" x14ac:dyDescent="0.2">
      <c r="A1129" s="1115"/>
      <c r="B1129" s="1115"/>
      <c r="C1129" s="1115"/>
      <c r="D1129" s="1115"/>
      <c r="E1129" s="1115"/>
      <c r="F1129" s="1115"/>
      <c r="G1129" s="1115"/>
      <c r="H1129" s="1115"/>
      <c r="I1129" s="1115"/>
      <c r="J1129" s="1115"/>
      <c r="K1129" s="1115"/>
      <c r="L1129" s="1115"/>
      <c r="M1129" s="1115"/>
    </row>
    <row r="1130" spans="1:13" x14ac:dyDescent="0.2">
      <c r="A1130" s="1115"/>
      <c r="B1130" s="1115"/>
      <c r="C1130" s="1115"/>
      <c r="D1130" s="1115"/>
      <c r="E1130" s="1115"/>
      <c r="F1130" s="1115"/>
      <c r="G1130" s="1115"/>
      <c r="H1130" s="1115"/>
      <c r="I1130" s="1115"/>
      <c r="J1130" s="1115"/>
      <c r="K1130" s="1115"/>
      <c r="L1130" s="1115"/>
      <c r="M1130" s="1115"/>
    </row>
    <row r="1131" spans="1:13" x14ac:dyDescent="0.2">
      <c r="A1131" s="1115"/>
      <c r="B1131" s="1115"/>
      <c r="C1131" s="1115"/>
      <c r="D1131" s="1115"/>
      <c r="E1131" s="1115"/>
      <c r="F1131" s="1115"/>
      <c r="G1131" s="1115"/>
      <c r="H1131" s="1115"/>
      <c r="I1131" s="1115"/>
      <c r="J1131" s="1115"/>
      <c r="K1131" s="1115"/>
      <c r="L1131" s="1115"/>
      <c r="M1131" s="1115"/>
    </row>
    <row r="1132" spans="1:13" x14ac:dyDescent="0.2">
      <c r="A1132" s="1115"/>
      <c r="B1132" s="1115"/>
      <c r="C1132" s="1115"/>
      <c r="D1132" s="1115"/>
      <c r="E1132" s="1115"/>
      <c r="F1132" s="1115"/>
      <c r="G1132" s="1115"/>
      <c r="H1132" s="1115"/>
      <c r="I1132" s="1115"/>
      <c r="J1132" s="1115"/>
      <c r="K1132" s="1115"/>
      <c r="L1132" s="1115"/>
      <c r="M1132" s="1115"/>
    </row>
    <row r="1133" spans="1:13" x14ac:dyDescent="0.2">
      <c r="A1133" s="1115"/>
      <c r="B1133" s="1115"/>
      <c r="C1133" s="1115"/>
      <c r="D1133" s="1115"/>
      <c r="E1133" s="1115"/>
      <c r="F1133" s="1115"/>
      <c r="G1133" s="1115"/>
      <c r="H1133" s="1115"/>
      <c r="I1133" s="1115"/>
      <c r="J1133" s="1115"/>
      <c r="K1133" s="1115"/>
      <c r="L1133" s="1115"/>
      <c r="M1133" s="1115"/>
    </row>
    <row r="1134" spans="1:13" x14ac:dyDescent="0.2">
      <c r="A1134" s="1115"/>
      <c r="B1134" s="1115"/>
      <c r="C1134" s="1115"/>
      <c r="D1134" s="1115"/>
      <c r="E1134" s="1115"/>
      <c r="F1134" s="1115"/>
      <c r="G1134" s="1115"/>
      <c r="H1134" s="1115"/>
      <c r="I1134" s="1115"/>
      <c r="J1134" s="1115"/>
      <c r="K1134" s="1115"/>
      <c r="L1134" s="1115"/>
      <c r="M1134" s="1115"/>
    </row>
    <row r="1135" spans="1:13" x14ac:dyDescent="0.2">
      <c r="A1135" s="1115"/>
      <c r="B1135" s="1115"/>
      <c r="C1135" s="1115"/>
      <c r="D1135" s="1115"/>
      <c r="E1135" s="1115"/>
      <c r="F1135" s="1115"/>
      <c r="G1135" s="1115"/>
      <c r="H1135" s="1115"/>
      <c r="I1135" s="1115"/>
      <c r="J1135" s="1115"/>
      <c r="K1135" s="1115"/>
      <c r="L1135" s="1115"/>
      <c r="M1135" s="1115"/>
    </row>
    <row r="1136" spans="1:13" x14ac:dyDescent="0.2">
      <c r="A1136" s="1115"/>
      <c r="B1136" s="1115"/>
      <c r="C1136" s="1115"/>
      <c r="D1136" s="1115"/>
      <c r="E1136" s="1115"/>
      <c r="F1136" s="1115"/>
      <c r="G1136" s="1115"/>
      <c r="H1136" s="1115"/>
      <c r="I1136" s="1115"/>
      <c r="J1136" s="1115"/>
      <c r="K1136" s="1115"/>
      <c r="L1136" s="1115"/>
      <c r="M1136" s="1115"/>
    </row>
    <row r="1137" spans="1:13" x14ac:dyDescent="0.2">
      <c r="A1137" s="1115"/>
      <c r="B1137" s="1115"/>
      <c r="C1137" s="1115"/>
      <c r="D1137" s="1115"/>
      <c r="E1137" s="1115"/>
      <c r="F1137" s="1115"/>
      <c r="G1137" s="1115"/>
      <c r="H1137" s="1115"/>
      <c r="I1137" s="1115"/>
      <c r="J1137" s="1115"/>
      <c r="K1137" s="1115"/>
      <c r="L1137" s="1115"/>
      <c r="M1137" s="1115"/>
    </row>
    <row r="1138" spans="1:13" x14ac:dyDescent="0.2">
      <c r="A1138" s="1115"/>
      <c r="B1138" s="1115"/>
      <c r="C1138" s="1115"/>
      <c r="D1138" s="1115"/>
      <c r="E1138" s="1115"/>
      <c r="F1138" s="1115"/>
      <c r="G1138" s="1115"/>
      <c r="H1138" s="1115"/>
      <c r="I1138" s="1115"/>
      <c r="J1138" s="1115"/>
      <c r="K1138" s="1115"/>
      <c r="L1138" s="1115"/>
      <c r="M1138" s="1115"/>
    </row>
    <row r="1139" spans="1:13" x14ac:dyDescent="0.2">
      <c r="A1139" s="1115"/>
      <c r="B1139" s="1115"/>
      <c r="C1139" s="1115"/>
      <c r="D1139" s="1115"/>
      <c r="E1139" s="1115"/>
      <c r="F1139" s="1115"/>
      <c r="G1139" s="1115"/>
      <c r="H1139" s="1115"/>
      <c r="I1139" s="1115"/>
      <c r="J1139" s="1115"/>
      <c r="K1139" s="1115"/>
      <c r="L1139" s="1115"/>
      <c r="M1139" s="1115"/>
    </row>
    <row r="1140" spans="1:13" x14ac:dyDescent="0.2">
      <c r="A1140" s="1115"/>
      <c r="B1140" s="1115"/>
      <c r="C1140" s="1115"/>
      <c r="D1140" s="1115"/>
      <c r="E1140" s="1115"/>
      <c r="F1140" s="1115"/>
      <c r="G1140" s="1115"/>
      <c r="H1140" s="1115"/>
      <c r="I1140" s="1115"/>
      <c r="J1140" s="1115"/>
      <c r="K1140" s="1115"/>
      <c r="L1140" s="1115"/>
      <c r="M1140" s="1115"/>
    </row>
    <row r="1141" spans="1:13" x14ac:dyDescent="0.2">
      <c r="A1141" s="1115"/>
      <c r="B1141" s="1115"/>
      <c r="C1141" s="1115"/>
      <c r="D1141" s="1115"/>
      <c r="E1141" s="1115"/>
      <c r="F1141" s="1115"/>
      <c r="G1141" s="1115"/>
      <c r="H1141" s="1115"/>
      <c r="I1141" s="1115"/>
      <c r="J1141" s="1115"/>
      <c r="K1141" s="1115"/>
      <c r="L1141" s="1115"/>
      <c r="M1141" s="1115"/>
    </row>
    <row r="1142" spans="1:13" x14ac:dyDescent="0.2">
      <c r="A1142" s="1115"/>
      <c r="B1142" s="1115"/>
      <c r="C1142" s="1115"/>
      <c r="D1142" s="1115"/>
      <c r="E1142" s="1115"/>
      <c r="F1142" s="1115"/>
      <c r="G1142" s="1115"/>
      <c r="H1142" s="1115"/>
      <c r="I1142" s="1115"/>
      <c r="J1142" s="1115"/>
      <c r="K1142" s="1115"/>
      <c r="L1142" s="1115"/>
      <c r="M1142" s="1115"/>
    </row>
    <row r="1143" spans="1:13" x14ac:dyDescent="0.2">
      <c r="A1143" s="1115"/>
      <c r="B1143" s="1115"/>
      <c r="C1143" s="1115"/>
      <c r="D1143" s="1115"/>
      <c r="E1143" s="1115"/>
      <c r="F1143" s="1115"/>
      <c r="G1143" s="1115"/>
      <c r="H1143" s="1115"/>
      <c r="I1143" s="1115"/>
      <c r="J1143" s="1115"/>
      <c r="K1143" s="1115"/>
      <c r="L1143" s="1115"/>
      <c r="M1143" s="1115"/>
    </row>
    <row r="1144" spans="1:13" x14ac:dyDescent="0.2">
      <c r="A1144" s="1115"/>
      <c r="B1144" s="1115"/>
      <c r="C1144" s="1115"/>
      <c r="D1144" s="1115"/>
      <c r="E1144" s="1115"/>
      <c r="F1144" s="1115"/>
      <c r="G1144" s="1115"/>
      <c r="H1144" s="1115"/>
      <c r="I1144" s="1115"/>
      <c r="J1144" s="1115"/>
      <c r="K1144" s="1115"/>
      <c r="L1144" s="1115"/>
      <c r="M1144" s="1115"/>
    </row>
    <row r="1145" spans="1:13" x14ac:dyDescent="0.2">
      <c r="A1145" s="1115"/>
      <c r="B1145" s="1115"/>
      <c r="C1145" s="1115"/>
      <c r="D1145" s="1115"/>
      <c r="E1145" s="1115"/>
      <c r="F1145" s="1115"/>
      <c r="G1145" s="1115"/>
      <c r="H1145" s="1115"/>
      <c r="I1145" s="1115"/>
      <c r="J1145" s="1115"/>
      <c r="K1145" s="1115"/>
      <c r="L1145" s="1115"/>
      <c r="M1145" s="1115"/>
    </row>
    <row r="1146" spans="1:13" x14ac:dyDescent="0.2">
      <c r="A1146" s="1115"/>
      <c r="B1146" s="1115"/>
      <c r="C1146" s="1115"/>
      <c r="D1146" s="1115"/>
      <c r="E1146" s="1115"/>
      <c r="F1146" s="1115"/>
      <c r="G1146" s="1115"/>
      <c r="H1146" s="1115"/>
      <c r="I1146" s="1115"/>
      <c r="J1146" s="1115"/>
      <c r="K1146" s="1115"/>
      <c r="L1146" s="1115"/>
      <c r="M1146" s="1115"/>
    </row>
    <row r="1147" spans="1:13" x14ac:dyDescent="0.2">
      <c r="A1147" s="1115"/>
      <c r="B1147" s="1115"/>
      <c r="C1147" s="1115"/>
      <c r="D1147" s="1115"/>
      <c r="E1147" s="1115"/>
      <c r="F1147" s="1115"/>
      <c r="G1147" s="1115"/>
      <c r="H1147" s="1115"/>
      <c r="I1147" s="1115"/>
      <c r="J1147" s="1115"/>
      <c r="K1147" s="1115"/>
      <c r="L1147" s="1115"/>
      <c r="M1147" s="1115"/>
    </row>
    <row r="1148" spans="1:13" x14ac:dyDescent="0.2">
      <c r="A1148" s="1115"/>
      <c r="B1148" s="1115"/>
      <c r="C1148" s="1115"/>
      <c r="D1148" s="1115"/>
      <c r="E1148" s="1115"/>
      <c r="F1148" s="1115"/>
      <c r="G1148" s="1115"/>
      <c r="H1148" s="1115"/>
      <c r="I1148" s="1115"/>
      <c r="J1148" s="1115"/>
      <c r="K1148" s="1115"/>
      <c r="L1148" s="1115"/>
      <c r="M1148" s="1115"/>
    </row>
    <row r="1149" spans="1:13" x14ac:dyDescent="0.2">
      <c r="A1149" s="1115"/>
      <c r="B1149" s="1115"/>
      <c r="C1149" s="1115"/>
      <c r="D1149" s="1115"/>
      <c r="E1149" s="1115"/>
      <c r="F1149" s="1115"/>
      <c r="G1149" s="1115"/>
      <c r="H1149" s="1115"/>
      <c r="I1149" s="1115"/>
      <c r="J1149" s="1115"/>
      <c r="K1149" s="1115"/>
      <c r="L1149" s="1115"/>
      <c r="M1149" s="1115"/>
    </row>
    <row r="1150" spans="1:13" x14ac:dyDescent="0.2">
      <c r="A1150" s="1115"/>
      <c r="B1150" s="1115"/>
      <c r="C1150" s="1115"/>
      <c r="D1150" s="1115"/>
      <c r="E1150" s="1115"/>
      <c r="F1150" s="1115"/>
      <c r="G1150" s="1115"/>
      <c r="H1150" s="1115"/>
      <c r="I1150" s="1115"/>
      <c r="J1150" s="1115"/>
      <c r="K1150" s="1115"/>
      <c r="L1150" s="1115"/>
      <c r="M1150" s="1115"/>
    </row>
    <row r="1151" spans="1:13" x14ac:dyDescent="0.2">
      <c r="A1151" s="1115"/>
      <c r="B1151" s="1115"/>
      <c r="C1151" s="1115"/>
      <c r="D1151" s="1115"/>
      <c r="E1151" s="1115"/>
      <c r="F1151" s="1115"/>
      <c r="G1151" s="1115"/>
      <c r="H1151" s="1115"/>
      <c r="I1151" s="1115"/>
      <c r="J1151" s="1115"/>
      <c r="K1151" s="1115"/>
      <c r="L1151" s="1115"/>
      <c r="M1151" s="1115"/>
    </row>
    <row r="1152" spans="1:13" x14ac:dyDescent="0.2">
      <c r="A1152" s="1115"/>
      <c r="B1152" s="1115"/>
      <c r="C1152" s="1115"/>
      <c r="D1152" s="1115"/>
      <c r="E1152" s="1115"/>
      <c r="F1152" s="1115"/>
      <c r="G1152" s="1115"/>
      <c r="H1152" s="1115"/>
      <c r="I1152" s="1115"/>
      <c r="J1152" s="1115"/>
      <c r="K1152" s="1115"/>
      <c r="L1152" s="1115"/>
      <c r="M1152" s="1115"/>
    </row>
    <row r="1153" spans="1:13" x14ac:dyDescent="0.2">
      <c r="A1153" s="1115"/>
      <c r="B1153" s="1115"/>
      <c r="C1153" s="1115"/>
      <c r="D1153" s="1115"/>
      <c r="E1153" s="1115"/>
      <c r="F1153" s="1115"/>
      <c r="G1153" s="1115"/>
      <c r="H1153" s="1115"/>
      <c r="I1153" s="1115"/>
      <c r="J1153" s="1115"/>
      <c r="K1153" s="1115"/>
      <c r="L1153" s="1115"/>
      <c r="M1153" s="1115"/>
    </row>
    <row r="1154" spans="1:13" x14ac:dyDescent="0.2">
      <c r="A1154" s="1115"/>
      <c r="B1154" s="1115"/>
      <c r="C1154" s="1115"/>
      <c r="D1154" s="1115"/>
      <c r="E1154" s="1115"/>
      <c r="F1154" s="1115"/>
      <c r="G1154" s="1115"/>
      <c r="H1154" s="1115"/>
      <c r="I1154" s="1115"/>
      <c r="J1154" s="1115"/>
      <c r="K1154" s="1115"/>
      <c r="L1154" s="1115"/>
      <c r="M1154" s="1115"/>
    </row>
    <row r="1155" spans="1:13" x14ac:dyDescent="0.2">
      <c r="A1155" s="1115"/>
      <c r="B1155" s="1115"/>
      <c r="C1155" s="1115"/>
      <c r="D1155" s="1115"/>
      <c r="E1155" s="1115"/>
      <c r="F1155" s="1115"/>
      <c r="G1155" s="1115"/>
      <c r="H1155" s="1115"/>
      <c r="I1155" s="1115"/>
      <c r="J1155" s="1115"/>
      <c r="K1155" s="1115"/>
      <c r="L1155" s="1115"/>
      <c r="M1155" s="1115"/>
    </row>
    <row r="1156" spans="1:13" x14ac:dyDescent="0.2">
      <c r="A1156" s="1115"/>
      <c r="B1156" s="1115"/>
      <c r="C1156" s="1115"/>
      <c r="D1156" s="1115"/>
      <c r="E1156" s="1115"/>
      <c r="F1156" s="1115"/>
      <c r="G1156" s="1115"/>
      <c r="H1156" s="1115"/>
      <c r="I1156" s="1115"/>
      <c r="J1156" s="1115"/>
      <c r="K1156" s="1115"/>
      <c r="L1156" s="1115"/>
      <c r="M1156" s="1115"/>
    </row>
    <row r="1157" spans="1:13" x14ac:dyDescent="0.2">
      <c r="A1157" s="1115"/>
      <c r="B1157" s="1115"/>
      <c r="C1157" s="1115"/>
      <c r="D1157" s="1115"/>
      <c r="E1157" s="1115"/>
      <c r="F1157" s="1115"/>
      <c r="G1157" s="1115"/>
      <c r="H1157" s="1115"/>
      <c r="I1157" s="1115"/>
      <c r="J1157" s="1115"/>
      <c r="K1157" s="1115"/>
      <c r="L1157" s="1115"/>
      <c r="M1157" s="1115"/>
    </row>
    <row r="1158" spans="1:13" x14ac:dyDescent="0.2">
      <c r="A1158" s="1115"/>
      <c r="B1158" s="1115"/>
      <c r="C1158" s="1115"/>
      <c r="D1158" s="1115"/>
      <c r="E1158" s="1115"/>
      <c r="F1158" s="1115"/>
      <c r="G1158" s="1115"/>
      <c r="H1158" s="1115"/>
      <c r="I1158" s="1115"/>
      <c r="J1158" s="1115"/>
      <c r="K1158" s="1115"/>
      <c r="L1158" s="1115"/>
      <c r="M1158" s="1115"/>
    </row>
    <row r="1159" spans="1:13" x14ac:dyDescent="0.2">
      <c r="A1159" s="1115"/>
      <c r="B1159" s="1115"/>
      <c r="C1159" s="1115"/>
      <c r="D1159" s="1115"/>
      <c r="E1159" s="1115"/>
      <c r="F1159" s="1115"/>
      <c r="G1159" s="1115"/>
      <c r="H1159" s="1115"/>
      <c r="I1159" s="1115"/>
      <c r="J1159" s="1115"/>
      <c r="K1159" s="1115"/>
      <c r="L1159" s="1115"/>
      <c r="M1159" s="1115"/>
    </row>
    <row r="1160" spans="1:13" x14ac:dyDescent="0.2">
      <c r="A1160" s="1115"/>
      <c r="B1160" s="1115"/>
      <c r="C1160" s="1115"/>
      <c r="D1160" s="1115"/>
      <c r="E1160" s="1115"/>
      <c r="F1160" s="1115"/>
      <c r="G1160" s="1115"/>
      <c r="H1160" s="1115"/>
      <c r="I1160" s="1115"/>
      <c r="J1160" s="1115"/>
      <c r="K1160" s="1115"/>
      <c r="L1160" s="1115"/>
      <c r="M1160" s="1115"/>
    </row>
    <row r="1161" spans="1:13" x14ac:dyDescent="0.2">
      <c r="A1161" s="1115"/>
      <c r="B1161" s="1115"/>
      <c r="C1161" s="1115"/>
      <c r="D1161" s="1115"/>
      <c r="E1161" s="1115"/>
      <c r="F1161" s="1115"/>
      <c r="G1161" s="1115"/>
      <c r="H1161" s="1115"/>
      <c r="I1161" s="1115"/>
      <c r="J1161" s="1115"/>
      <c r="K1161" s="1115"/>
      <c r="L1161" s="1115"/>
      <c r="M1161" s="1115"/>
    </row>
    <row r="1162" spans="1:13" x14ac:dyDescent="0.2">
      <c r="A1162" s="1115"/>
      <c r="B1162" s="1115"/>
      <c r="C1162" s="1115"/>
      <c r="D1162" s="1115"/>
      <c r="E1162" s="1115"/>
      <c r="F1162" s="1115"/>
      <c r="G1162" s="1115"/>
      <c r="H1162" s="1115"/>
      <c r="I1162" s="1115"/>
      <c r="J1162" s="1115"/>
      <c r="K1162" s="1115"/>
      <c r="L1162" s="1115"/>
      <c r="M1162" s="1115"/>
    </row>
    <row r="1163" spans="1:13" x14ac:dyDescent="0.2">
      <c r="A1163" s="1115"/>
      <c r="B1163" s="1115"/>
      <c r="C1163" s="1115"/>
      <c r="D1163" s="1115"/>
      <c r="E1163" s="1115"/>
      <c r="F1163" s="1115"/>
      <c r="G1163" s="1115"/>
      <c r="H1163" s="1115"/>
      <c r="I1163" s="1115"/>
      <c r="J1163" s="1115"/>
      <c r="K1163" s="1115"/>
      <c r="L1163" s="1115"/>
      <c r="M1163" s="1115"/>
    </row>
    <row r="1164" spans="1:13" x14ac:dyDescent="0.2">
      <c r="A1164" s="1115"/>
      <c r="B1164" s="1115"/>
      <c r="C1164" s="1115"/>
      <c r="D1164" s="1115"/>
      <c r="E1164" s="1115"/>
      <c r="F1164" s="1115"/>
      <c r="G1164" s="1115"/>
      <c r="H1164" s="1115"/>
      <c r="I1164" s="1115"/>
      <c r="J1164" s="1115"/>
      <c r="K1164" s="1115"/>
      <c r="L1164" s="1115"/>
      <c r="M1164" s="1115"/>
    </row>
    <row r="1165" spans="1:13" x14ac:dyDescent="0.2">
      <c r="A1165" s="1115"/>
      <c r="B1165" s="1115"/>
      <c r="C1165" s="1115"/>
      <c r="D1165" s="1115"/>
      <c r="E1165" s="1115"/>
      <c r="F1165" s="1115"/>
      <c r="G1165" s="1115"/>
      <c r="H1165" s="1115"/>
      <c r="I1165" s="1115"/>
      <c r="J1165" s="1115"/>
      <c r="K1165" s="1115"/>
      <c r="L1165" s="1115"/>
      <c r="M1165" s="1115"/>
    </row>
    <row r="1166" spans="1:13" x14ac:dyDescent="0.2">
      <c r="A1166" s="1115"/>
      <c r="B1166" s="1115"/>
      <c r="C1166" s="1115"/>
      <c r="D1166" s="1115"/>
      <c r="E1166" s="1115"/>
      <c r="F1166" s="1115"/>
      <c r="G1166" s="1115"/>
      <c r="H1166" s="1115"/>
      <c r="I1166" s="1115"/>
      <c r="J1166" s="1115"/>
      <c r="K1166" s="1115"/>
      <c r="L1166" s="1115"/>
      <c r="M1166" s="1115"/>
    </row>
    <row r="1167" spans="1:13" x14ac:dyDescent="0.2">
      <c r="A1167" s="1115"/>
      <c r="B1167" s="1115"/>
      <c r="C1167" s="1115"/>
      <c r="D1167" s="1115"/>
      <c r="E1167" s="1115"/>
      <c r="F1167" s="1115"/>
      <c r="G1167" s="1115"/>
      <c r="H1167" s="1115"/>
      <c r="I1167" s="1115"/>
      <c r="J1167" s="1115"/>
      <c r="K1167" s="1115"/>
      <c r="L1167" s="1115"/>
      <c r="M1167" s="1115"/>
    </row>
    <row r="1168" spans="1:13" x14ac:dyDescent="0.2">
      <c r="A1168" s="1115"/>
      <c r="B1168" s="1115"/>
      <c r="C1168" s="1115"/>
      <c r="D1168" s="1115"/>
      <c r="E1168" s="1115"/>
      <c r="F1168" s="1115"/>
      <c r="G1168" s="1115"/>
      <c r="H1168" s="1115"/>
      <c r="I1168" s="1115"/>
      <c r="J1168" s="1115"/>
      <c r="K1168" s="1115"/>
      <c r="L1168" s="1115"/>
      <c r="M1168" s="1115"/>
    </row>
    <row r="1169" spans="1:13" x14ac:dyDescent="0.2">
      <c r="A1169" s="1115"/>
      <c r="B1169" s="1115"/>
      <c r="C1169" s="1115"/>
      <c r="D1169" s="1115"/>
      <c r="E1169" s="1115"/>
      <c r="F1169" s="1115"/>
      <c r="G1169" s="1115"/>
      <c r="H1169" s="1115"/>
      <c r="I1169" s="1115"/>
      <c r="J1169" s="1115"/>
      <c r="K1169" s="1115"/>
      <c r="L1169" s="1115"/>
      <c r="M1169" s="1115"/>
    </row>
    <row r="1170" spans="1:13" x14ac:dyDescent="0.2">
      <c r="A1170" s="1115"/>
      <c r="B1170" s="1115"/>
      <c r="C1170" s="1115"/>
      <c r="D1170" s="1115"/>
      <c r="E1170" s="1115"/>
      <c r="F1170" s="1115"/>
      <c r="G1170" s="1115"/>
      <c r="H1170" s="1115"/>
      <c r="I1170" s="1115"/>
      <c r="J1170" s="1115"/>
      <c r="K1170" s="1115"/>
      <c r="L1170" s="1115"/>
      <c r="M1170" s="1115"/>
    </row>
    <row r="1171" spans="1:13" x14ac:dyDescent="0.2">
      <c r="A1171" s="1115"/>
      <c r="B1171" s="1115"/>
      <c r="C1171" s="1115"/>
      <c r="D1171" s="1115"/>
      <c r="E1171" s="1115"/>
      <c r="F1171" s="1115"/>
      <c r="G1171" s="1115"/>
      <c r="H1171" s="1115"/>
      <c r="I1171" s="1115"/>
      <c r="J1171" s="1115"/>
      <c r="K1171" s="1115"/>
      <c r="L1171" s="1115"/>
      <c r="M1171" s="1115"/>
    </row>
    <row r="1172" spans="1:13" x14ac:dyDescent="0.2">
      <c r="A1172" s="1115"/>
      <c r="B1172" s="1115"/>
      <c r="C1172" s="1115"/>
      <c r="D1172" s="1115"/>
      <c r="E1172" s="1115"/>
      <c r="F1172" s="1115"/>
      <c r="G1172" s="1115"/>
      <c r="H1172" s="1115"/>
      <c r="I1172" s="1115"/>
      <c r="J1172" s="1115"/>
      <c r="K1172" s="1115"/>
      <c r="L1172" s="1115"/>
      <c r="M1172" s="1115"/>
    </row>
    <row r="1173" spans="1:13" x14ac:dyDescent="0.2">
      <c r="A1173" s="1115"/>
      <c r="B1173" s="1115"/>
      <c r="C1173" s="1115"/>
      <c r="D1173" s="1115"/>
      <c r="E1173" s="1115"/>
      <c r="F1173" s="1115"/>
      <c r="G1173" s="1115"/>
      <c r="H1173" s="1115"/>
      <c r="I1173" s="1115"/>
      <c r="J1173" s="1115"/>
      <c r="K1173" s="1115"/>
      <c r="L1173" s="1115"/>
      <c r="M1173" s="1115"/>
    </row>
    <row r="1174" spans="1:13" x14ac:dyDescent="0.2">
      <c r="A1174" s="1115"/>
      <c r="B1174" s="1115"/>
      <c r="C1174" s="1115"/>
      <c r="D1174" s="1115"/>
      <c r="E1174" s="1115"/>
      <c r="F1174" s="1115"/>
      <c r="G1174" s="1115"/>
      <c r="H1174" s="1115"/>
      <c r="I1174" s="1115"/>
      <c r="J1174" s="1115"/>
      <c r="K1174" s="1115"/>
      <c r="L1174" s="1115"/>
      <c r="M1174" s="1115"/>
    </row>
    <row r="1175" spans="1:13" x14ac:dyDescent="0.2">
      <c r="A1175" s="1115"/>
      <c r="B1175" s="1115"/>
      <c r="C1175" s="1115"/>
      <c r="D1175" s="1115"/>
      <c r="E1175" s="1115"/>
      <c r="F1175" s="1115"/>
      <c r="G1175" s="1115"/>
      <c r="H1175" s="1115"/>
      <c r="I1175" s="1115"/>
      <c r="J1175" s="1115"/>
      <c r="K1175" s="1115"/>
      <c r="L1175" s="1115"/>
      <c r="M1175" s="1115"/>
    </row>
    <row r="1176" spans="1:13" x14ac:dyDescent="0.2">
      <c r="A1176" s="1115"/>
      <c r="B1176" s="1115"/>
      <c r="C1176" s="1115"/>
      <c r="D1176" s="1115"/>
      <c r="E1176" s="1115"/>
      <c r="F1176" s="1115"/>
      <c r="G1176" s="1115"/>
      <c r="H1176" s="1115"/>
      <c r="I1176" s="1115"/>
      <c r="J1176" s="1115"/>
      <c r="K1176" s="1115"/>
      <c r="L1176" s="1115"/>
      <c r="M1176" s="1115"/>
    </row>
    <row r="1177" spans="1:13" x14ac:dyDescent="0.2">
      <c r="A1177" s="1115"/>
      <c r="B1177" s="1115"/>
      <c r="C1177" s="1115"/>
      <c r="D1177" s="1115"/>
      <c r="E1177" s="1115"/>
      <c r="F1177" s="1115"/>
      <c r="G1177" s="1115"/>
      <c r="H1177" s="1115"/>
      <c r="I1177" s="1115"/>
      <c r="J1177" s="1115"/>
      <c r="K1177" s="1115"/>
      <c r="L1177" s="1115"/>
      <c r="M1177" s="1115"/>
    </row>
    <row r="1178" spans="1:13" x14ac:dyDescent="0.2">
      <c r="A1178" s="1115"/>
      <c r="B1178" s="1115"/>
      <c r="C1178" s="1115"/>
      <c r="D1178" s="1115"/>
      <c r="E1178" s="1115"/>
      <c r="F1178" s="1115"/>
      <c r="G1178" s="1115"/>
      <c r="H1178" s="1115"/>
      <c r="I1178" s="1115"/>
      <c r="J1178" s="1115"/>
      <c r="K1178" s="1115"/>
      <c r="L1178" s="1115"/>
      <c r="M1178" s="1115"/>
    </row>
    <row r="1179" spans="1:13" x14ac:dyDescent="0.2">
      <c r="A1179" s="1115"/>
      <c r="B1179" s="1115"/>
      <c r="C1179" s="1115"/>
      <c r="D1179" s="1115"/>
      <c r="E1179" s="1115"/>
      <c r="F1179" s="1115"/>
      <c r="G1179" s="1115"/>
      <c r="H1179" s="1115"/>
      <c r="I1179" s="1115"/>
      <c r="J1179" s="1115"/>
      <c r="K1179" s="1115"/>
      <c r="L1179" s="1115"/>
      <c r="M1179" s="1115"/>
    </row>
    <row r="1180" spans="1:13" x14ac:dyDescent="0.2">
      <c r="A1180" s="1115"/>
      <c r="B1180" s="1115"/>
      <c r="C1180" s="1115"/>
      <c r="D1180" s="1115"/>
      <c r="E1180" s="1115"/>
      <c r="F1180" s="1115"/>
      <c r="G1180" s="1115"/>
      <c r="H1180" s="1115"/>
      <c r="I1180" s="1115"/>
      <c r="J1180" s="1115"/>
      <c r="K1180" s="1115"/>
      <c r="L1180" s="1115"/>
      <c r="M1180" s="1115"/>
    </row>
    <row r="1181" spans="1:13" x14ac:dyDescent="0.2">
      <c r="A1181" s="1115"/>
      <c r="B1181" s="1115"/>
      <c r="C1181" s="1115"/>
      <c r="D1181" s="1115"/>
      <c r="E1181" s="1115"/>
      <c r="F1181" s="1115"/>
      <c r="G1181" s="1115"/>
      <c r="H1181" s="1115"/>
      <c r="I1181" s="1115"/>
      <c r="J1181" s="1115"/>
      <c r="K1181" s="1115"/>
      <c r="L1181" s="1115"/>
      <c r="M1181" s="1115"/>
    </row>
    <row r="1182" spans="1:13" x14ac:dyDescent="0.2">
      <c r="A1182" s="1115"/>
      <c r="B1182" s="1115"/>
      <c r="C1182" s="1115"/>
      <c r="D1182" s="1115"/>
      <c r="E1182" s="1115"/>
      <c r="F1182" s="1115"/>
      <c r="G1182" s="1115"/>
      <c r="H1182" s="1115"/>
      <c r="I1182" s="1115"/>
      <c r="J1182" s="1115"/>
      <c r="K1182" s="1115"/>
      <c r="L1182" s="1115"/>
      <c r="M1182" s="1115"/>
    </row>
    <row r="1183" spans="1:13" x14ac:dyDescent="0.2">
      <c r="A1183" s="1115"/>
      <c r="B1183" s="1115"/>
      <c r="C1183" s="1115"/>
      <c r="D1183" s="1115"/>
      <c r="E1183" s="1115"/>
      <c r="F1183" s="1115"/>
      <c r="G1183" s="1115"/>
      <c r="H1183" s="1115"/>
      <c r="I1183" s="1115"/>
      <c r="J1183" s="1115"/>
      <c r="K1183" s="1115"/>
      <c r="L1183" s="1115"/>
      <c r="M1183" s="1115"/>
    </row>
    <row r="1184" spans="1:13" x14ac:dyDescent="0.2">
      <c r="A1184" s="1115"/>
      <c r="B1184" s="1115"/>
      <c r="C1184" s="1115"/>
      <c r="D1184" s="1115"/>
      <c r="E1184" s="1115"/>
      <c r="F1184" s="1115"/>
      <c r="G1184" s="1115"/>
      <c r="H1184" s="1115"/>
      <c r="I1184" s="1115"/>
      <c r="J1184" s="1115"/>
      <c r="K1184" s="1115"/>
      <c r="L1184" s="1115"/>
      <c r="M1184" s="1115"/>
    </row>
    <row r="1185" spans="1:13" x14ac:dyDescent="0.2">
      <c r="A1185" s="1115"/>
      <c r="B1185" s="1115"/>
      <c r="C1185" s="1115"/>
      <c r="D1185" s="1115"/>
      <c r="E1185" s="1115"/>
      <c r="F1185" s="1115"/>
      <c r="G1185" s="1115"/>
      <c r="H1185" s="1115"/>
      <c r="I1185" s="1115"/>
      <c r="J1185" s="1115"/>
      <c r="K1185" s="1115"/>
      <c r="L1185" s="1115"/>
      <c r="M1185" s="1115"/>
    </row>
    <row r="1186" spans="1:13" x14ac:dyDescent="0.2">
      <c r="A1186" s="1115"/>
      <c r="B1186" s="1115"/>
      <c r="C1186" s="1115"/>
      <c r="D1186" s="1115"/>
      <c r="E1186" s="1115"/>
      <c r="F1186" s="1115"/>
      <c r="G1186" s="1115"/>
      <c r="H1186" s="1115"/>
      <c r="I1186" s="1115"/>
      <c r="J1186" s="1115"/>
      <c r="K1186" s="1115"/>
      <c r="L1186" s="1115"/>
      <c r="M1186" s="1115"/>
    </row>
    <row r="1187" spans="1:13" x14ac:dyDescent="0.2">
      <c r="A1187" s="1115"/>
      <c r="B1187" s="1115"/>
      <c r="C1187" s="1115"/>
      <c r="D1187" s="1115"/>
      <c r="E1187" s="1115"/>
      <c r="F1187" s="1115"/>
      <c r="G1187" s="1115"/>
      <c r="H1187" s="1115"/>
      <c r="I1187" s="1115"/>
      <c r="J1187" s="1115"/>
      <c r="K1187" s="1115"/>
      <c r="L1187" s="1115"/>
      <c r="M1187" s="1115"/>
    </row>
    <row r="1188" spans="1:13" x14ac:dyDescent="0.2">
      <c r="A1188" s="1115"/>
      <c r="B1188" s="1115"/>
      <c r="C1188" s="1115"/>
      <c r="D1188" s="1115"/>
      <c r="E1188" s="1115"/>
      <c r="F1188" s="1115"/>
      <c r="G1188" s="1115"/>
      <c r="H1188" s="1115"/>
      <c r="I1188" s="1115"/>
      <c r="J1188" s="1115"/>
      <c r="K1188" s="1115"/>
      <c r="L1188" s="1115"/>
      <c r="M1188" s="1115"/>
    </row>
    <row r="1189" spans="1:13" x14ac:dyDescent="0.2">
      <c r="A1189" s="1115"/>
      <c r="B1189" s="1115"/>
      <c r="C1189" s="1115"/>
      <c r="D1189" s="1115"/>
      <c r="E1189" s="1115"/>
      <c r="F1189" s="1115"/>
      <c r="G1189" s="1115"/>
      <c r="H1189" s="1115"/>
      <c r="I1189" s="1115"/>
      <c r="J1189" s="1115"/>
      <c r="K1189" s="1115"/>
      <c r="L1189" s="1115"/>
      <c r="M1189" s="1115"/>
    </row>
    <row r="1190" spans="1:13" x14ac:dyDescent="0.2">
      <c r="A1190" s="1115"/>
      <c r="B1190" s="1115"/>
      <c r="C1190" s="1115"/>
      <c r="D1190" s="1115"/>
      <c r="E1190" s="1115"/>
      <c r="F1190" s="1115"/>
      <c r="G1190" s="1115"/>
      <c r="H1190" s="1115"/>
      <c r="I1190" s="1115"/>
      <c r="J1190" s="1115"/>
      <c r="K1190" s="1115"/>
      <c r="L1190" s="1115"/>
      <c r="M1190" s="1115"/>
    </row>
    <row r="1191" spans="1:13" x14ac:dyDescent="0.2">
      <c r="A1191" s="1115"/>
      <c r="B1191" s="1115"/>
      <c r="C1191" s="1115"/>
      <c r="D1191" s="1115"/>
      <c r="E1191" s="1115"/>
      <c r="F1191" s="1115"/>
      <c r="G1191" s="1115"/>
      <c r="H1191" s="1115"/>
      <c r="I1191" s="1115"/>
      <c r="J1191" s="1115"/>
      <c r="K1191" s="1115"/>
      <c r="L1191" s="1115"/>
      <c r="M1191" s="1115"/>
    </row>
    <row r="1192" spans="1:13" x14ac:dyDescent="0.2">
      <c r="A1192" s="1115"/>
      <c r="B1192" s="1115"/>
      <c r="C1192" s="1115"/>
      <c r="D1192" s="1115"/>
      <c r="E1192" s="1115"/>
      <c r="F1192" s="1115"/>
      <c r="G1192" s="1115"/>
      <c r="H1192" s="1115"/>
      <c r="I1192" s="1115"/>
      <c r="J1192" s="1115"/>
      <c r="K1192" s="1115"/>
      <c r="L1192" s="1115"/>
      <c r="M1192" s="1115"/>
    </row>
    <row r="1193" spans="1:13" x14ac:dyDescent="0.2">
      <c r="A1193" s="1115"/>
      <c r="B1193" s="1115"/>
      <c r="C1193" s="1115"/>
      <c r="D1193" s="1115"/>
      <c r="E1193" s="1115"/>
      <c r="F1193" s="1115"/>
      <c r="G1193" s="1115"/>
      <c r="H1193" s="1115"/>
      <c r="I1193" s="1115"/>
      <c r="J1193" s="1115"/>
      <c r="K1193" s="1115"/>
      <c r="L1193" s="1115"/>
      <c r="M1193" s="1115"/>
    </row>
    <row r="1194" spans="1:13" x14ac:dyDescent="0.2">
      <c r="A1194" s="1115"/>
      <c r="B1194" s="1115"/>
      <c r="C1194" s="1115"/>
      <c r="D1194" s="1115"/>
      <c r="E1194" s="1115"/>
      <c r="F1194" s="1115"/>
      <c r="G1194" s="1115"/>
      <c r="H1194" s="1115"/>
      <c r="I1194" s="1115"/>
      <c r="J1194" s="1115"/>
      <c r="K1194" s="1115"/>
      <c r="L1194" s="1115"/>
      <c r="M1194" s="1115"/>
    </row>
    <row r="1195" spans="1:13" x14ac:dyDescent="0.2">
      <c r="A1195" s="1115"/>
      <c r="B1195" s="1115"/>
      <c r="C1195" s="1115"/>
      <c r="D1195" s="1115"/>
      <c r="E1195" s="1115"/>
      <c r="F1195" s="1115"/>
      <c r="G1195" s="1115"/>
      <c r="H1195" s="1115"/>
      <c r="I1195" s="1115"/>
      <c r="J1195" s="1115"/>
      <c r="K1195" s="1115"/>
      <c r="L1195" s="1115"/>
      <c r="M1195" s="1115"/>
    </row>
    <row r="1196" spans="1:13" x14ac:dyDescent="0.2">
      <c r="A1196" s="1115"/>
      <c r="B1196" s="1115"/>
      <c r="C1196" s="1115"/>
      <c r="D1196" s="1115"/>
      <c r="E1196" s="1115"/>
      <c r="F1196" s="1115"/>
      <c r="G1196" s="1115"/>
      <c r="H1196" s="1115"/>
      <c r="I1196" s="1115"/>
      <c r="J1196" s="1115"/>
      <c r="K1196" s="1115"/>
      <c r="L1196" s="1115"/>
      <c r="M1196" s="1115"/>
    </row>
    <row r="1197" spans="1:13" x14ac:dyDescent="0.2">
      <c r="A1197" s="1115"/>
      <c r="B1197" s="1115"/>
      <c r="C1197" s="1115"/>
      <c r="D1197" s="1115"/>
      <c r="E1197" s="1115"/>
      <c r="F1197" s="1115"/>
      <c r="G1197" s="1115"/>
      <c r="H1197" s="1115"/>
      <c r="I1197" s="1115"/>
      <c r="J1197" s="1115"/>
      <c r="K1197" s="1115"/>
      <c r="L1197" s="1115"/>
      <c r="M1197" s="1115"/>
    </row>
    <row r="1198" spans="1:13" x14ac:dyDescent="0.2">
      <c r="A1198" s="1115"/>
      <c r="B1198" s="1115"/>
      <c r="C1198" s="1115"/>
      <c r="D1198" s="1115"/>
      <c r="E1198" s="1115"/>
      <c r="F1198" s="1115"/>
      <c r="G1198" s="1115"/>
      <c r="H1198" s="1115"/>
      <c r="I1198" s="1115"/>
      <c r="J1198" s="1115"/>
      <c r="K1198" s="1115"/>
      <c r="L1198" s="1115"/>
      <c r="M1198" s="1115"/>
    </row>
    <row r="1199" spans="1:13" x14ac:dyDescent="0.2">
      <c r="A1199" s="1115"/>
      <c r="B1199" s="1115"/>
      <c r="C1199" s="1115"/>
      <c r="D1199" s="1115"/>
      <c r="E1199" s="1115"/>
      <c r="F1199" s="1115"/>
      <c r="G1199" s="1115"/>
      <c r="H1199" s="1115"/>
      <c r="I1199" s="1115"/>
      <c r="J1199" s="1115"/>
      <c r="K1199" s="1115"/>
      <c r="L1199" s="1115"/>
      <c r="M1199" s="1115"/>
    </row>
    <row r="1200" spans="1:13" x14ac:dyDescent="0.2">
      <c r="A1200" s="1115"/>
      <c r="B1200" s="1115"/>
      <c r="C1200" s="1115"/>
      <c r="D1200" s="1115"/>
      <c r="E1200" s="1115"/>
      <c r="F1200" s="1115"/>
      <c r="G1200" s="1115"/>
      <c r="H1200" s="1115"/>
      <c r="I1200" s="1115"/>
      <c r="J1200" s="1115"/>
      <c r="K1200" s="1115"/>
      <c r="L1200" s="1115"/>
      <c r="M1200" s="1115"/>
    </row>
    <row r="1201" spans="1:13" x14ac:dyDescent="0.2">
      <c r="A1201" s="1115"/>
      <c r="B1201" s="1115"/>
      <c r="C1201" s="1115"/>
      <c r="D1201" s="1115"/>
      <c r="E1201" s="1115"/>
      <c r="F1201" s="1115"/>
      <c r="G1201" s="1115"/>
      <c r="H1201" s="1115"/>
      <c r="I1201" s="1115"/>
      <c r="J1201" s="1115"/>
      <c r="K1201" s="1115"/>
      <c r="L1201" s="1115"/>
      <c r="M1201" s="1115"/>
    </row>
    <row r="1202" spans="1:13" x14ac:dyDescent="0.2">
      <c r="A1202" s="1115"/>
      <c r="B1202" s="1115"/>
      <c r="C1202" s="1115"/>
      <c r="D1202" s="1115"/>
      <c r="E1202" s="1115"/>
      <c r="F1202" s="1115"/>
      <c r="G1202" s="1115"/>
      <c r="H1202" s="1115"/>
      <c r="I1202" s="1115"/>
      <c r="J1202" s="1115"/>
      <c r="K1202" s="1115"/>
      <c r="L1202" s="1115"/>
      <c r="M1202" s="1115"/>
    </row>
    <row r="1203" spans="1:13" x14ac:dyDescent="0.2">
      <c r="A1203" s="1115"/>
      <c r="B1203" s="1115"/>
      <c r="C1203" s="1115"/>
      <c r="D1203" s="1115"/>
      <c r="E1203" s="1115"/>
      <c r="F1203" s="1115"/>
      <c r="G1203" s="1115"/>
      <c r="H1203" s="1115"/>
      <c r="I1203" s="1115"/>
      <c r="J1203" s="1115"/>
      <c r="K1203" s="1115"/>
      <c r="L1203" s="1115"/>
      <c r="M1203" s="1115"/>
    </row>
    <row r="1204" spans="1:13" x14ac:dyDescent="0.2">
      <c r="A1204" s="1115"/>
      <c r="B1204" s="1115"/>
      <c r="C1204" s="1115"/>
      <c r="D1204" s="1115"/>
      <c r="E1204" s="1115"/>
      <c r="F1204" s="1115"/>
      <c r="G1204" s="1115"/>
      <c r="H1204" s="1115"/>
      <c r="I1204" s="1115"/>
      <c r="J1204" s="1115"/>
      <c r="K1204" s="1115"/>
      <c r="L1204" s="1115"/>
      <c r="M1204" s="1115"/>
    </row>
    <row r="1205" spans="1:13" x14ac:dyDescent="0.2">
      <c r="A1205" s="1115"/>
      <c r="B1205" s="1115"/>
      <c r="C1205" s="1115"/>
      <c r="D1205" s="1115"/>
      <c r="E1205" s="1115"/>
      <c r="F1205" s="1115"/>
      <c r="G1205" s="1115"/>
      <c r="H1205" s="1115"/>
      <c r="I1205" s="1115"/>
      <c r="J1205" s="1115"/>
      <c r="K1205" s="1115"/>
      <c r="L1205" s="1115"/>
      <c r="M1205" s="1115"/>
    </row>
    <row r="1206" spans="1:13" x14ac:dyDescent="0.2">
      <c r="A1206" s="1115"/>
      <c r="B1206" s="1115"/>
      <c r="C1206" s="1115"/>
      <c r="D1206" s="1115"/>
      <c r="E1206" s="1115"/>
      <c r="F1206" s="1115"/>
      <c r="G1206" s="1115"/>
      <c r="H1206" s="1115"/>
      <c r="I1206" s="1115"/>
      <c r="J1206" s="1115"/>
      <c r="K1206" s="1115"/>
      <c r="L1206" s="1115"/>
      <c r="M1206" s="1115"/>
    </row>
    <row r="1207" spans="1:13" x14ac:dyDescent="0.2">
      <c r="A1207" s="1115"/>
      <c r="B1207" s="1115"/>
      <c r="C1207" s="1115"/>
      <c r="D1207" s="1115"/>
      <c r="E1207" s="1115"/>
      <c r="F1207" s="1115"/>
      <c r="G1207" s="1115"/>
      <c r="H1207" s="1115"/>
      <c r="I1207" s="1115"/>
      <c r="J1207" s="1115"/>
      <c r="K1207" s="1115"/>
      <c r="L1207" s="1115"/>
      <c r="M1207" s="1115"/>
    </row>
    <row r="1208" spans="1:13" x14ac:dyDescent="0.2">
      <c r="A1208" s="1115"/>
      <c r="B1208" s="1115"/>
      <c r="C1208" s="1115"/>
      <c r="D1208" s="1115"/>
      <c r="E1208" s="1115"/>
      <c r="F1208" s="1115"/>
      <c r="G1208" s="1115"/>
      <c r="H1208" s="1115"/>
      <c r="I1208" s="1115"/>
      <c r="J1208" s="1115"/>
      <c r="K1208" s="1115"/>
      <c r="L1208" s="1115"/>
      <c r="M1208" s="1115"/>
    </row>
    <row r="1209" spans="1:13" x14ac:dyDescent="0.2">
      <c r="A1209" s="1115"/>
      <c r="B1209" s="1115"/>
      <c r="C1209" s="1115"/>
      <c r="D1209" s="1115"/>
      <c r="E1209" s="1115"/>
      <c r="F1209" s="1115"/>
      <c r="G1209" s="1115"/>
      <c r="H1209" s="1115"/>
      <c r="I1209" s="1115"/>
      <c r="J1209" s="1115"/>
      <c r="K1209" s="1115"/>
      <c r="L1209" s="1115"/>
      <c r="M1209" s="1115"/>
    </row>
    <row r="1210" spans="1:13" x14ac:dyDescent="0.2">
      <c r="A1210" s="1115"/>
      <c r="B1210" s="1115"/>
      <c r="C1210" s="1115"/>
      <c r="D1210" s="1115"/>
      <c r="E1210" s="1115"/>
      <c r="F1210" s="1115"/>
      <c r="G1210" s="1115"/>
      <c r="H1210" s="1115"/>
      <c r="I1210" s="1115"/>
      <c r="J1210" s="1115"/>
      <c r="K1210" s="1115"/>
      <c r="L1210" s="1115"/>
      <c r="M1210" s="1115"/>
    </row>
    <row r="1211" spans="1:13" x14ac:dyDescent="0.2">
      <c r="A1211" s="1115"/>
      <c r="B1211" s="1115"/>
      <c r="C1211" s="1115"/>
      <c r="D1211" s="1115"/>
      <c r="E1211" s="1115"/>
      <c r="F1211" s="1115"/>
      <c r="G1211" s="1115"/>
      <c r="H1211" s="1115"/>
      <c r="I1211" s="1115"/>
      <c r="J1211" s="1115"/>
      <c r="K1211" s="1115"/>
      <c r="L1211" s="1115"/>
      <c r="M1211" s="1115"/>
    </row>
    <row r="1212" spans="1:13" x14ac:dyDescent="0.2">
      <c r="A1212" s="1115"/>
      <c r="B1212" s="1115"/>
      <c r="C1212" s="1115"/>
      <c r="D1212" s="1115"/>
      <c r="E1212" s="1115"/>
      <c r="F1212" s="1115"/>
      <c r="G1212" s="1115"/>
      <c r="H1212" s="1115"/>
      <c r="I1212" s="1115"/>
      <c r="J1212" s="1115"/>
      <c r="K1212" s="1115"/>
      <c r="L1212" s="1115"/>
      <c r="M1212" s="1115"/>
    </row>
    <row r="1213" spans="1:13" x14ac:dyDescent="0.2">
      <c r="A1213" s="1115"/>
      <c r="B1213" s="1115"/>
      <c r="C1213" s="1115"/>
      <c r="D1213" s="1115"/>
      <c r="E1213" s="1115"/>
      <c r="F1213" s="1115"/>
      <c r="G1213" s="1115"/>
      <c r="H1213" s="1115"/>
      <c r="I1213" s="1115"/>
      <c r="J1213" s="1115"/>
      <c r="K1213" s="1115"/>
      <c r="L1213" s="1115"/>
      <c r="M1213" s="1115"/>
    </row>
    <row r="1214" spans="1:13" x14ac:dyDescent="0.2">
      <c r="A1214" s="1115"/>
      <c r="B1214" s="1115"/>
      <c r="C1214" s="1115"/>
      <c r="D1214" s="1115"/>
      <c r="E1214" s="1115"/>
      <c r="F1214" s="1115"/>
      <c r="G1214" s="1115"/>
      <c r="H1214" s="1115"/>
      <c r="I1214" s="1115"/>
      <c r="J1214" s="1115"/>
      <c r="K1214" s="1115"/>
      <c r="L1214" s="1115"/>
      <c r="M1214" s="1115"/>
    </row>
    <row r="1215" spans="1:13" x14ac:dyDescent="0.2">
      <c r="A1215" s="1115"/>
      <c r="B1215" s="1115"/>
      <c r="C1215" s="1115"/>
      <c r="D1215" s="1115"/>
      <c r="E1215" s="1115"/>
      <c r="F1215" s="1115"/>
      <c r="G1215" s="1115"/>
      <c r="H1215" s="1115"/>
      <c r="I1215" s="1115"/>
      <c r="J1215" s="1115"/>
      <c r="K1215" s="1115"/>
      <c r="L1215" s="1115"/>
      <c r="M1215" s="1115"/>
    </row>
    <row r="1216" spans="1:13" x14ac:dyDescent="0.2">
      <c r="A1216" s="1115"/>
      <c r="B1216" s="1115"/>
      <c r="C1216" s="1115"/>
      <c r="D1216" s="1115"/>
      <c r="E1216" s="1115"/>
      <c r="F1216" s="1115"/>
      <c r="G1216" s="1115"/>
      <c r="H1216" s="1115"/>
      <c r="I1216" s="1115"/>
      <c r="J1216" s="1115"/>
      <c r="K1216" s="1115"/>
      <c r="L1216" s="1115"/>
      <c r="M1216" s="1115"/>
    </row>
    <row r="1217" spans="1:13" x14ac:dyDescent="0.2">
      <c r="A1217" s="1115"/>
      <c r="B1217" s="1115"/>
      <c r="C1217" s="1115"/>
      <c r="D1217" s="1115"/>
      <c r="E1217" s="1115"/>
      <c r="F1217" s="1115"/>
      <c r="G1217" s="1115"/>
      <c r="H1217" s="1115"/>
      <c r="I1217" s="1115"/>
      <c r="J1217" s="1115"/>
      <c r="K1217" s="1115"/>
      <c r="L1217" s="1115"/>
      <c r="M1217" s="1115"/>
    </row>
    <row r="1218" spans="1:13" x14ac:dyDescent="0.2">
      <c r="A1218" s="1115"/>
      <c r="B1218" s="1115"/>
      <c r="C1218" s="1115"/>
      <c r="D1218" s="1115"/>
      <c r="E1218" s="1115"/>
      <c r="F1218" s="1115"/>
      <c r="G1218" s="1115"/>
      <c r="H1218" s="1115"/>
      <c r="I1218" s="1115"/>
      <c r="J1218" s="1115"/>
      <c r="K1218" s="1115"/>
      <c r="L1218" s="1115"/>
      <c r="M1218" s="1115"/>
    </row>
    <row r="1219" spans="1:13" x14ac:dyDescent="0.2">
      <c r="A1219" s="1115"/>
      <c r="B1219" s="1115"/>
      <c r="C1219" s="1115"/>
      <c r="D1219" s="1115"/>
      <c r="E1219" s="1115"/>
      <c r="F1219" s="1115"/>
      <c r="G1219" s="1115"/>
      <c r="H1219" s="1115"/>
      <c r="I1219" s="1115"/>
      <c r="J1219" s="1115"/>
      <c r="K1219" s="1115"/>
      <c r="L1219" s="1115"/>
      <c r="M1219" s="1115"/>
    </row>
    <row r="1220" spans="1:13" x14ac:dyDescent="0.2">
      <c r="A1220" s="1115"/>
      <c r="B1220" s="1115"/>
      <c r="C1220" s="1115"/>
      <c r="D1220" s="1115"/>
      <c r="E1220" s="1115"/>
      <c r="F1220" s="1115"/>
      <c r="G1220" s="1115"/>
      <c r="H1220" s="1115"/>
      <c r="I1220" s="1115"/>
      <c r="J1220" s="1115"/>
      <c r="K1220" s="1115"/>
      <c r="L1220" s="1115"/>
      <c r="M1220" s="1115"/>
    </row>
    <row r="1221" spans="1:13" x14ac:dyDescent="0.2">
      <c r="A1221" s="1115"/>
      <c r="B1221" s="1115"/>
      <c r="C1221" s="1115"/>
      <c r="D1221" s="1115"/>
      <c r="E1221" s="1115"/>
      <c r="F1221" s="1115"/>
      <c r="G1221" s="1115"/>
      <c r="H1221" s="1115"/>
      <c r="I1221" s="1115"/>
      <c r="J1221" s="1115"/>
      <c r="K1221" s="1115"/>
      <c r="L1221" s="1115"/>
      <c r="M1221" s="1115"/>
    </row>
    <row r="1222" spans="1:13" x14ac:dyDescent="0.2">
      <c r="A1222" s="1115"/>
      <c r="B1222" s="1115"/>
      <c r="C1222" s="1115"/>
      <c r="D1222" s="1115"/>
      <c r="E1222" s="1115"/>
      <c r="F1222" s="1115"/>
      <c r="G1222" s="1115"/>
      <c r="H1222" s="1115"/>
      <c r="I1222" s="1115"/>
      <c r="J1222" s="1115"/>
      <c r="K1222" s="1115"/>
      <c r="L1222" s="1115"/>
      <c r="M1222" s="1115"/>
    </row>
    <row r="1223" spans="1:13" x14ac:dyDescent="0.2">
      <c r="A1223" s="1115"/>
      <c r="B1223" s="1115"/>
      <c r="C1223" s="1115"/>
      <c r="D1223" s="1115"/>
      <c r="E1223" s="1115"/>
      <c r="F1223" s="1115"/>
      <c r="G1223" s="1115"/>
      <c r="H1223" s="1115"/>
      <c r="I1223" s="1115"/>
      <c r="J1223" s="1115"/>
      <c r="K1223" s="1115"/>
      <c r="L1223" s="1115"/>
      <c r="M1223" s="1115"/>
    </row>
    <row r="1224" spans="1:13" x14ac:dyDescent="0.2">
      <c r="A1224" s="1115"/>
      <c r="B1224" s="1115"/>
      <c r="C1224" s="1115"/>
      <c r="D1224" s="1115"/>
      <c r="E1224" s="1115"/>
      <c r="F1224" s="1115"/>
      <c r="G1224" s="1115"/>
      <c r="H1224" s="1115"/>
      <c r="I1224" s="1115"/>
      <c r="J1224" s="1115"/>
      <c r="K1224" s="1115"/>
      <c r="L1224" s="1115"/>
      <c r="M1224" s="1115"/>
    </row>
    <row r="1225" spans="1:13" x14ac:dyDescent="0.2">
      <c r="A1225" s="1115"/>
      <c r="B1225" s="1115"/>
      <c r="C1225" s="1115"/>
      <c r="D1225" s="1115"/>
      <c r="E1225" s="1115"/>
      <c r="F1225" s="1115"/>
      <c r="G1225" s="1115"/>
      <c r="H1225" s="1115"/>
      <c r="I1225" s="1115"/>
      <c r="J1225" s="1115"/>
      <c r="K1225" s="1115"/>
      <c r="L1225" s="1115"/>
      <c r="M1225" s="1115"/>
    </row>
    <row r="1226" spans="1:13" x14ac:dyDescent="0.2">
      <c r="A1226" s="1115"/>
      <c r="B1226" s="1115"/>
      <c r="C1226" s="1115"/>
      <c r="D1226" s="1115"/>
      <c r="E1226" s="1115"/>
      <c r="F1226" s="1115"/>
      <c r="G1226" s="1115"/>
      <c r="H1226" s="1115"/>
      <c r="I1226" s="1115"/>
      <c r="J1226" s="1115"/>
      <c r="K1226" s="1115"/>
      <c r="L1226" s="1115"/>
      <c r="M1226" s="1115"/>
    </row>
    <row r="1227" spans="1:13" x14ac:dyDescent="0.2">
      <c r="A1227" s="1115"/>
      <c r="B1227" s="1115"/>
      <c r="C1227" s="1115"/>
      <c r="D1227" s="1115"/>
      <c r="E1227" s="1115"/>
      <c r="F1227" s="1115"/>
      <c r="G1227" s="1115"/>
      <c r="H1227" s="1115"/>
      <c r="I1227" s="1115"/>
      <c r="J1227" s="1115"/>
      <c r="K1227" s="1115"/>
      <c r="L1227" s="1115"/>
      <c r="M1227" s="1115"/>
    </row>
    <row r="1228" spans="1:13" x14ac:dyDescent="0.2">
      <c r="A1228" s="1115"/>
      <c r="B1228" s="1115"/>
      <c r="C1228" s="1115"/>
      <c r="D1228" s="1115"/>
      <c r="E1228" s="1115"/>
      <c r="F1228" s="1115"/>
      <c r="G1228" s="1115"/>
      <c r="H1228" s="1115"/>
      <c r="I1228" s="1115"/>
      <c r="J1228" s="1115"/>
      <c r="K1228" s="1115"/>
      <c r="L1228" s="1115"/>
      <c r="M1228" s="1115"/>
    </row>
    <row r="1229" spans="1:13" x14ac:dyDescent="0.2">
      <c r="A1229" s="1115"/>
      <c r="B1229" s="1115"/>
      <c r="C1229" s="1115"/>
      <c r="D1229" s="1115"/>
      <c r="E1229" s="1115"/>
      <c r="F1229" s="1115"/>
      <c r="G1229" s="1115"/>
      <c r="H1229" s="1115"/>
      <c r="I1229" s="1115"/>
      <c r="J1229" s="1115"/>
      <c r="K1229" s="1115"/>
      <c r="L1229" s="1115"/>
      <c r="M1229" s="1115"/>
    </row>
    <row r="1230" spans="1:13" x14ac:dyDescent="0.2">
      <c r="A1230" s="1115"/>
      <c r="B1230" s="1115"/>
      <c r="C1230" s="1115"/>
      <c r="D1230" s="1115"/>
      <c r="E1230" s="1115"/>
      <c r="F1230" s="1115"/>
      <c r="G1230" s="1115"/>
      <c r="H1230" s="1115"/>
      <c r="I1230" s="1115"/>
      <c r="J1230" s="1115"/>
      <c r="K1230" s="1115"/>
      <c r="L1230" s="1115"/>
      <c r="M1230" s="1115"/>
    </row>
    <row r="1231" spans="1:13" x14ac:dyDescent="0.2">
      <c r="A1231" s="1115"/>
      <c r="B1231" s="1115"/>
      <c r="C1231" s="1115"/>
      <c r="D1231" s="1115"/>
      <c r="E1231" s="1115"/>
      <c r="F1231" s="1115"/>
      <c r="G1231" s="1115"/>
      <c r="H1231" s="1115"/>
      <c r="I1231" s="1115"/>
      <c r="J1231" s="1115"/>
      <c r="K1231" s="1115"/>
      <c r="L1231" s="1115"/>
      <c r="M1231" s="1115"/>
    </row>
    <row r="1232" spans="1:13" x14ac:dyDescent="0.2">
      <c r="A1232" s="1115"/>
      <c r="B1232" s="1115"/>
      <c r="C1232" s="1115"/>
      <c r="D1232" s="1115"/>
      <c r="E1232" s="1115"/>
      <c r="F1232" s="1115"/>
      <c r="G1232" s="1115"/>
      <c r="H1232" s="1115"/>
      <c r="I1232" s="1115"/>
      <c r="J1232" s="1115"/>
      <c r="K1232" s="1115"/>
      <c r="L1232" s="1115"/>
      <c r="M1232" s="1115"/>
    </row>
    <row r="1233" spans="1:13" x14ac:dyDescent="0.2">
      <c r="A1233" s="1115"/>
      <c r="B1233" s="1115"/>
      <c r="C1233" s="1115"/>
      <c r="D1233" s="1115"/>
      <c r="E1233" s="1115"/>
      <c r="F1233" s="1115"/>
      <c r="G1233" s="1115"/>
      <c r="H1233" s="1115"/>
      <c r="I1233" s="1115"/>
      <c r="J1233" s="1115"/>
      <c r="K1233" s="1115"/>
      <c r="L1233" s="1115"/>
      <c r="M1233" s="1115"/>
    </row>
    <row r="1234" spans="1:13" x14ac:dyDescent="0.2">
      <c r="A1234" s="1115"/>
      <c r="B1234" s="1115"/>
      <c r="C1234" s="1115"/>
      <c r="D1234" s="1115"/>
      <c r="E1234" s="1115"/>
      <c r="F1234" s="1115"/>
      <c r="G1234" s="1115"/>
      <c r="H1234" s="1115"/>
      <c r="I1234" s="1115"/>
      <c r="J1234" s="1115"/>
      <c r="K1234" s="1115"/>
      <c r="L1234" s="1115"/>
      <c r="M1234" s="1115"/>
    </row>
    <row r="1235" spans="1:13" x14ac:dyDescent="0.2">
      <c r="A1235" s="1115"/>
      <c r="B1235" s="1115"/>
      <c r="C1235" s="1115"/>
      <c r="D1235" s="1115"/>
      <c r="E1235" s="1115"/>
      <c r="F1235" s="1115"/>
      <c r="G1235" s="1115"/>
      <c r="H1235" s="1115"/>
      <c r="I1235" s="1115"/>
      <c r="J1235" s="1115"/>
      <c r="K1235" s="1115"/>
      <c r="L1235" s="1115"/>
      <c r="M1235" s="1115"/>
    </row>
    <row r="1236" spans="1:13" x14ac:dyDescent="0.2">
      <c r="A1236" s="1115"/>
      <c r="B1236" s="1115"/>
      <c r="C1236" s="1115"/>
      <c r="D1236" s="1115"/>
      <c r="E1236" s="1115"/>
      <c r="F1236" s="1115"/>
      <c r="G1236" s="1115"/>
      <c r="H1236" s="1115"/>
      <c r="I1236" s="1115"/>
      <c r="J1236" s="1115"/>
      <c r="K1236" s="1115"/>
      <c r="L1236" s="1115"/>
      <c r="M1236" s="1115"/>
    </row>
    <row r="1237" spans="1:13" x14ac:dyDescent="0.2">
      <c r="A1237" s="1115"/>
      <c r="B1237" s="1115"/>
      <c r="C1237" s="1115"/>
      <c r="D1237" s="1115"/>
      <c r="E1237" s="1115"/>
      <c r="F1237" s="1115"/>
      <c r="G1237" s="1115"/>
      <c r="H1237" s="1115"/>
      <c r="I1237" s="1115"/>
      <c r="J1237" s="1115"/>
      <c r="K1237" s="1115"/>
      <c r="L1237" s="1115"/>
      <c r="M1237" s="1115"/>
    </row>
    <row r="1238" spans="1:13" x14ac:dyDescent="0.2">
      <c r="A1238" s="1115"/>
      <c r="B1238" s="1115"/>
      <c r="C1238" s="1115"/>
      <c r="D1238" s="1115"/>
      <c r="E1238" s="1115"/>
      <c r="F1238" s="1115"/>
      <c r="G1238" s="1115"/>
      <c r="H1238" s="1115"/>
      <c r="I1238" s="1115"/>
      <c r="J1238" s="1115"/>
      <c r="K1238" s="1115"/>
      <c r="L1238" s="1115"/>
      <c r="M1238" s="1115"/>
    </row>
    <row r="1239" spans="1:13" x14ac:dyDescent="0.2">
      <c r="A1239" s="1115"/>
      <c r="B1239" s="1115"/>
      <c r="C1239" s="1115"/>
      <c r="D1239" s="1115"/>
      <c r="E1239" s="1115"/>
      <c r="F1239" s="1115"/>
      <c r="G1239" s="1115"/>
      <c r="H1239" s="1115"/>
      <c r="I1239" s="1115"/>
      <c r="J1239" s="1115"/>
      <c r="K1239" s="1115"/>
      <c r="L1239" s="1115"/>
      <c r="M1239" s="1115"/>
    </row>
    <row r="1240" spans="1:13" x14ac:dyDescent="0.2">
      <c r="A1240" s="1115"/>
      <c r="B1240" s="1115"/>
      <c r="C1240" s="1115"/>
      <c r="D1240" s="1115"/>
      <c r="E1240" s="1115"/>
      <c r="F1240" s="1115"/>
      <c r="G1240" s="1115"/>
      <c r="H1240" s="1115"/>
      <c r="I1240" s="1115"/>
      <c r="J1240" s="1115"/>
      <c r="K1240" s="1115"/>
      <c r="L1240" s="1115"/>
      <c r="M1240" s="1115"/>
    </row>
    <row r="1241" spans="1:13" x14ac:dyDescent="0.2">
      <c r="A1241" s="1115"/>
      <c r="B1241" s="1115"/>
      <c r="C1241" s="1115"/>
      <c r="D1241" s="1115"/>
      <c r="E1241" s="1115"/>
      <c r="F1241" s="1115"/>
      <c r="G1241" s="1115"/>
      <c r="H1241" s="1115"/>
      <c r="I1241" s="1115"/>
      <c r="J1241" s="1115"/>
      <c r="K1241" s="1115"/>
      <c r="L1241" s="1115"/>
      <c r="M1241" s="1115"/>
    </row>
    <row r="1242" spans="1:13" x14ac:dyDescent="0.2">
      <c r="A1242" s="1115"/>
      <c r="B1242" s="1115"/>
      <c r="C1242" s="1115"/>
      <c r="D1242" s="1115"/>
      <c r="E1242" s="1115"/>
      <c r="F1242" s="1115"/>
      <c r="G1242" s="1115"/>
      <c r="H1242" s="1115"/>
      <c r="I1242" s="1115"/>
      <c r="J1242" s="1115"/>
      <c r="K1242" s="1115"/>
      <c r="L1242" s="1115"/>
      <c r="M1242" s="1115"/>
    </row>
    <row r="1243" spans="1:13" x14ac:dyDescent="0.2">
      <c r="A1243" s="1115"/>
      <c r="B1243" s="1115"/>
      <c r="C1243" s="1115"/>
      <c r="D1243" s="1115"/>
      <c r="E1243" s="1115"/>
      <c r="F1243" s="1115"/>
      <c r="G1243" s="1115"/>
      <c r="H1243" s="1115"/>
      <c r="I1243" s="1115"/>
      <c r="J1243" s="1115"/>
      <c r="K1243" s="1115"/>
      <c r="L1243" s="1115"/>
      <c r="M1243" s="1115"/>
    </row>
    <row r="1244" spans="1:13" x14ac:dyDescent="0.2">
      <c r="A1244" s="1115"/>
      <c r="B1244" s="1115"/>
      <c r="C1244" s="1115"/>
      <c r="D1244" s="1115"/>
      <c r="E1244" s="1115"/>
      <c r="F1244" s="1115"/>
      <c r="G1244" s="1115"/>
      <c r="H1244" s="1115"/>
      <c r="I1244" s="1115"/>
      <c r="J1244" s="1115"/>
      <c r="K1244" s="1115"/>
      <c r="L1244" s="1115"/>
      <c r="M1244" s="1115"/>
    </row>
    <row r="1245" spans="1:13" x14ac:dyDescent="0.2">
      <c r="A1245" s="1115"/>
      <c r="B1245" s="1115"/>
      <c r="C1245" s="1115"/>
      <c r="D1245" s="1115"/>
      <c r="E1245" s="1115"/>
      <c r="F1245" s="1115"/>
      <c r="G1245" s="1115"/>
      <c r="H1245" s="1115"/>
      <c r="I1245" s="1115"/>
      <c r="J1245" s="1115"/>
      <c r="K1245" s="1115"/>
      <c r="L1245" s="1115"/>
      <c r="M1245" s="1115"/>
    </row>
    <row r="1246" spans="1:13" x14ac:dyDescent="0.2">
      <c r="A1246" s="1115"/>
      <c r="B1246" s="1115"/>
      <c r="C1246" s="1115"/>
      <c r="D1246" s="1115"/>
      <c r="E1246" s="1115"/>
      <c r="F1246" s="1115"/>
      <c r="G1246" s="1115"/>
      <c r="H1246" s="1115"/>
      <c r="I1246" s="1115"/>
      <c r="J1246" s="1115"/>
      <c r="K1246" s="1115"/>
      <c r="L1246" s="1115"/>
      <c r="M1246" s="1115"/>
    </row>
    <row r="1247" spans="1:13" x14ac:dyDescent="0.2">
      <c r="A1247" s="1115"/>
      <c r="B1247" s="1115"/>
      <c r="C1247" s="1115"/>
      <c r="D1247" s="1115"/>
      <c r="E1247" s="1115"/>
      <c r="F1247" s="1115"/>
      <c r="G1247" s="1115"/>
      <c r="H1247" s="1115"/>
      <c r="I1247" s="1115"/>
      <c r="J1247" s="1115"/>
      <c r="K1247" s="1115"/>
      <c r="L1247" s="1115"/>
      <c r="M1247" s="1115"/>
    </row>
    <row r="1248" spans="1:13" x14ac:dyDescent="0.2">
      <c r="A1248" s="1115"/>
      <c r="B1248" s="1115"/>
      <c r="C1248" s="1115"/>
      <c r="D1248" s="1115"/>
      <c r="E1248" s="1115"/>
      <c r="F1248" s="1115"/>
      <c r="G1248" s="1115"/>
      <c r="H1248" s="1115"/>
      <c r="I1248" s="1115"/>
      <c r="J1248" s="1115"/>
      <c r="K1248" s="1115"/>
      <c r="L1248" s="1115"/>
      <c r="M1248" s="1115"/>
    </row>
    <row r="1249" spans="1:13" x14ac:dyDescent="0.2">
      <c r="A1249" s="1115"/>
      <c r="B1249" s="1115"/>
      <c r="C1249" s="1115"/>
      <c r="D1249" s="1115"/>
      <c r="E1249" s="1115"/>
      <c r="F1249" s="1115"/>
      <c r="G1249" s="1115"/>
      <c r="H1249" s="1115"/>
      <c r="I1249" s="1115"/>
      <c r="J1249" s="1115"/>
      <c r="K1249" s="1115"/>
      <c r="L1249" s="1115"/>
      <c r="M1249" s="1115"/>
    </row>
    <row r="1250" spans="1:13" x14ac:dyDescent="0.2">
      <c r="A1250" s="1115"/>
      <c r="B1250" s="1115"/>
      <c r="C1250" s="1115"/>
      <c r="D1250" s="1115"/>
      <c r="E1250" s="1115"/>
      <c r="F1250" s="1115"/>
      <c r="G1250" s="1115"/>
      <c r="H1250" s="1115"/>
      <c r="I1250" s="1115"/>
      <c r="J1250" s="1115"/>
      <c r="K1250" s="1115"/>
      <c r="L1250" s="1115"/>
      <c r="M1250" s="1115"/>
    </row>
    <row r="1251" spans="1:13" x14ac:dyDescent="0.2">
      <c r="A1251" s="1115"/>
      <c r="B1251" s="1115"/>
      <c r="C1251" s="1115"/>
      <c r="D1251" s="1115"/>
      <c r="E1251" s="1115"/>
      <c r="F1251" s="1115"/>
      <c r="G1251" s="1115"/>
      <c r="H1251" s="1115"/>
      <c r="I1251" s="1115"/>
      <c r="J1251" s="1115"/>
      <c r="K1251" s="1115"/>
      <c r="L1251" s="1115"/>
      <c r="M1251" s="1115"/>
    </row>
    <row r="1252" spans="1:13" x14ac:dyDescent="0.2">
      <c r="A1252" s="1115"/>
      <c r="B1252" s="1115"/>
      <c r="C1252" s="1115"/>
      <c r="D1252" s="1115"/>
      <c r="E1252" s="1115"/>
      <c r="F1252" s="1115"/>
      <c r="G1252" s="1115"/>
      <c r="H1252" s="1115"/>
      <c r="I1252" s="1115"/>
      <c r="J1252" s="1115"/>
      <c r="K1252" s="1115"/>
      <c r="L1252" s="1115"/>
      <c r="M1252" s="1115"/>
    </row>
    <row r="1253" spans="1:13" x14ac:dyDescent="0.2">
      <c r="A1253" s="1115"/>
      <c r="B1253" s="1115"/>
      <c r="C1253" s="1115"/>
      <c r="D1253" s="1115"/>
      <c r="E1253" s="1115"/>
      <c r="F1253" s="1115"/>
      <c r="G1253" s="1115"/>
      <c r="H1253" s="1115"/>
      <c r="I1253" s="1115"/>
      <c r="J1253" s="1115"/>
      <c r="K1253" s="1115"/>
      <c r="L1253" s="1115"/>
      <c r="M1253" s="1115"/>
    </row>
    <row r="1254" spans="1:13" x14ac:dyDescent="0.2">
      <c r="A1254" s="1115"/>
      <c r="B1254" s="1115"/>
      <c r="C1254" s="1115"/>
      <c r="D1254" s="1115"/>
      <c r="E1254" s="1115"/>
      <c r="F1254" s="1115"/>
      <c r="G1254" s="1115"/>
      <c r="H1254" s="1115"/>
      <c r="I1254" s="1115"/>
      <c r="J1254" s="1115"/>
      <c r="K1254" s="1115"/>
      <c r="L1254" s="1115"/>
      <c r="M1254" s="1115"/>
    </row>
    <row r="1255" spans="1:13" x14ac:dyDescent="0.2">
      <c r="A1255" s="1115"/>
      <c r="B1255" s="1115"/>
      <c r="C1255" s="1115"/>
      <c r="D1255" s="1115"/>
      <c r="E1255" s="1115"/>
      <c r="F1255" s="1115"/>
      <c r="G1255" s="1115"/>
      <c r="H1255" s="1115"/>
      <c r="I1255" s="1115"/>
      <c r="J1255" s="1115"/>
      <c r="K1255" s="1115"/>
      <c r="L1255" s="1115"/>
      <c r="M1255" s="1115"/>
    </row>
    <row r="1256" spans="1:13" x14ac:dyDescent="0.2">
      <c r="A1256" s="1115"/>
      <c r="B1256" s="1115"/>
      <c r="C1256" s="1115"/>
      <c r="D1256" s="1115"/>
      <c r="E1256" s="1115"/>
      <c r="F1256" s="1115"/>
      <c r="G1256" s="1115"/>
      <c r="H1256" s="1115"/>
      <c r="I1256" s="1115"/>
      <c r="J1256" s="1115"/>
      <c r="K1256" s="1115"/>
      <c r="L1256" s="1115"/>
      <c r="M1256" s="1115"/>
    </row>
    <row r="1257" spans="1:13" x14ac:dyDescent="0.2">
      <c r="A1257" s="1115"/>
      <c r="B1257" s="1115"/>
      <c r="C1257" s="1115"/>
      <c r="D1257" s="1115"/>
      <c r="E1257" s="1115"/>
      <c r="F1257" s="1115"/>
      <c r="G1257" s="1115"/>
      <c r="H1257" s="1115"/>
      <c r="I1257" s="1115"/>
      <c r="J1257" s="1115"/>
      <c r="K1257" s="1115"/>
      <c r="L1257" s="1115"/>
      <c r="M1257" s="1115"/>
    </row>
    <row r="1258" spans="1:13" x14ac:dyDescent="0.2">
      <c r="A1258" s="1115"/>
      <c r="B1258" s="1115"/>
      <c r="C1258" s="1115"/>
      <c r="D1258" s="1115"/>
      <c r="E1258" s="1115"/>
      <c r="F1258" s="1115"/>
      <c r="G1258" s="1115"/>
      <c r="H1258" s="1115"/>
      <c r="I1258" s="1115"/>
      <c r="J1258" s="1115"/>
      <c r="K1258" s="1115"/>
      <c r="L1258" s="1115"/>
      <c r="M1258" s="1115"/>
    </row>
    <row r="1259" spans="1:13" x14ac:dyDescent="0.2">
      <c r="A1259" s="1115"/>
      <c r="B1259" s="1115"/>
      <c r="C1259" s="1115"/>
      <c r="D1259" s="1115"/>
      <c r="E1259" s="1115"/>
      <c r="F1259" s="1115"/>
      <c r="G1259" s="1115"/>
      <c r="H1259" s="1115"/>
      <c r="I1259" s="1115"/>
      <c r="J1259" s="1115"/>
      <c r="K1259" s="1115"/>
      <c r="L1259" s="1115"/>
      <c r="M1259" s="1115"/>
    </row>
    <row r="1260" spans="1:13" x14ac:dyDescent="0.2">
      <c r="A1260" s="1115"/>
      <c r="B1260" s="1115"/>
      <c r="C1260" s="1115"/>
      <c r="D1260" s="1115"/>
      <c r="E1260" s="1115"/>
      <c r="F1260" s="1115"/>
      <c r="G1260" s="1115"/>
      <c r="H1260" s="1115"/>
      <c r="I1260" s="1115"/>
      <c r="J1260" s="1115"/>
      <c r="K1260" s="1115"/>
      <c r="L1260" s="1115"/>
      <c r="M1260" s="1115"/>
    </row>
    <row r="1261" spans="1:13" x14ac:dyDescent="0.2">
      <c r="A1261" s="1115"/>
      <c r="B1261" s="1115"/>
      <c r="C1261" s="1115"/>
      <c r="D1261" s="1115"/>
      <c r="E1261" s="1115"/>
      <c r="F1261" s="1115"/>
      <c r="G1261" s="1115"/>
      <c r="H1261" s="1115"/>
      <c r="I1261" s="1115"/>
      <c r="J1261" s="1115"/>
      <c r="K1261" s="1115"/>
      <c r="L1261" s="1115"/>
      <c r="M1261" s="1115"/>
    </row>
    <row r="1262" spans="1:13" x14ac:dyDescent="0.2">
      <c r="A1262" s="1115"/>
      <c r="B1262" s="1115"/>
      <c r="C1262" s="1115"/>
      <c r="D1262" s="1115"/>
      <c r="E1262" s="1115"/>
      <c r="F1262" s="1115"/>
      <c r="G1262" s="1115"/>
      <c r="H1262" s="1115"/>
      <c r="I1262" s="1115"/>
      <c r="J1262" s="1115"/>
      <c r="K1262" s="1115"/>
      <c r="L1262" s="1115"/>
      <c r="M1262" s="1115"/>
    </row>
    <row r="1263" spans="1:13" x14ac:dyDescent="0.2">
      <c r="A1263" s="1115"/>
      <c r="B1263" s="1115"/>
      <c r="C1263" s="1115"/>
      <c r="D1263" s="1115"/>
      <c r="E1263" s="1115"/>
      <c r="F1263" s="1115"/>
      <c r="G1263" s="1115"/>
      <c r="H1263" s="1115"/>
      <c r="I1263" s="1115"/>
      <c r="J1263" s="1115"/>
      <c r="K1263" s="1115"/>
      <c r="L1263" s="1115"/>
      <c r="M1263" s="1115"/>
    </row>
    <row r="1264" spans="1:13" x14ac:dyDescent="0.2">
      <c r="A1264" s="1115"/>
      <c r="B1264" s="1115"/>
      <c r="C1264" s="1115"/>
      <c r="D1264" s="1115"/>
      <c r="E1264" s="1115"/>
      <c r="F1264" s="1115"/>
      <c r="G1264" s="1115"/>
      <c r="H1264" s="1115"/>
      <c r="I1264" s="1115"/>
      <c r="J1264" s="1115"/>
      <c r="K1264" s="1115"/>
      <c r="L1264" s="1115"/>
      <c r="M1264" s="1115"/>
    </row>
    <row r="1265" spans="1:13" x14ac:dyDescent="0.2">
      <c r="A1265" s="1115"/>
      <c r="B1265" s="1115"/>
      <c r="C1265" s="1115"/>
      <c r="D1265" s="1115"/>
      <c r="E1265" s="1115"/>
      <c r="F1265" s="1115"/>
      <c r="G1265" s="1115"/>
      <c r="H1265" s="1115"/>
      <c r="I1265" s="1115"/>
      <c r="J1265" s="1115"/>
      <c r="K1265" s="1115"/>
      <c r="L1265" s="1115"/>
      <c r="M1265" s="1115"/>
    </row>
    <row r="1266" spans="1:13" x14ac:dyDescent="0.2">
      <c r="A1266" s="1115"/>
      <c r="B1266" s="1115"/>
      <c r="C1266" s="1115"/>
      <c r="D1266" s="1115"/>
      <c r="E1266" s="1115"/>
      <c r="F1266" s="1115"/>
      <c r="G1266" s="1115"/>
      <c r="H1266" s="1115"/>
      <c r="I1266" s="1115"/>
      <c r="J1266" s="1115"/>
      <c r="K1266" s="1115"/>
      <c r="L1266" s="1115"/>
      <c r="M1266" s="1115"/>
    </row>
    <row r="1267" spans="1:13" x14ac:dyDescent="0.2">
      <c r="A1267" s="1115"/>
      <c r="B1267" s="1115"/>
      <c r="C1267" s="1115"/>
      <c r="D1267" s="1115"/>
      <c r="E1267" s="1115"/>
      <c r="F1267" s="1115"/>
      <c r="G1267" s="1115"/>
      <c r="H1267" s="1115"/>
      <c r="I1267" s="1115"/>
      <c r="J1267" s="1115"/>
      <c r="K1267" s="1115"/>
      <c r="L1267" s="1115"/>
      <c r="M1267" s="1115"/>
    </row>
    <row r="1268" spans="1:13" x14ac:dyDescent="0.2">
      <c r="A1268" s="1115"/>
      <c r="B1268" s="1115"/>
      <c r="C1268" s="1115"/>
      <c r="D1268" s="1115"/>
      <c r="E1268" s="1115"/>
      <c r="F1268" s="1115"/>
      <c r="G1268" s="1115"/>
      <c r="H1268" s="1115"/>
      <c r="I1268" s="1115"/>
      <c r="J1268" s="1115"/>
      <c r="K1268" s="1115"/>
      <c r="L1268" s="1115"/>
      <c r="M1268" s="1115"/>
    </row>
    <row r="1269" spans="1:13" x14ac:dyDescent="0.2">
      <c r="A1269" s="1115"/>
      <c r="B1269" s="1115"/>
      <c r="C1269" s="1115"/>
      <c r="D1269" s="1115"/>
      <c r="E1269" s="1115"/>
      <c r="F1269" s="1115"/>
      <c r="G1269" s="1115"/>
      <c r="H1269" s="1115"/>
      <c r="I1269" s="1115"/>
      <c r="J1269" s="1115"/>
      <c r="K1269" s="1115"/>
      <c r="L1269" s="1115"/>
      <c r="M1269" s="1115"/>
    </row>
    <row r="1270" spans="1:13" x14ac:dyDescent="0.2">
      <c r="A1270" s="1115"/>
      <c r="B1270" s="1115"/>
      <c r="C1270" s="1115"/>
      <c r="D1270" s="1115"/>
      <c r="E1270" s="1115"/>
      <c r="F1270" s="1115"/>
      <c r="G1270" s="1115"/>
      <c r="H1270" s="1115"/>
      <c r="I1270" s="1115"/>
      <c r="J1270" s="1115"/>
      <c r="K1270" s="1115"/>
      <c r="L1270" s="1115"/>
      <c r="M1270" s="1115"/>
    </row>
    <row r="1271" spans="1:13" x14ac:dyDescent="0.2">
      <c r="A1271" s="1115"/>
      <c r="B1271" s="1115"/>
      <c r="C1271" s="1115"/>
      <c r="D1271" s="1115"/>
      <c r="E1271" s="1115"/>
      <c r="F1271" s="1115"/>
      <c r="G1271" s="1115"/>
      <c r="H1271" s="1115"/>
      <c r="I1271" s="1115"/>
      <c r="J1271" s="1115"/>
      <c r="K1271" s="1115"/>
      <c r="L1271" s="1115"/>
      <c r="M1271" s="1115"/>
    </row>
    <row r="1272" spans="1:13" x14ac:dyDescent="0.2">
      <c r="A1272" s="1115"/>
      <c r="B1272" s="1115"/>
      <c r="C1272" s="1115"/>
      <c r="D1272" s="1115"/>
      <c r="E1272" s="1115"/>
      <c r="F1272" s="1115"/>
      <c r="G1272" s="1115"/>
      <c r="H1272" s="1115"/>
      <c r="I1272" s="1115"/>
      <c r="J1272" s="1115"/>
      <c r="K1272" s="1115"/>
      <c r="L1272" s="1115"/>
      <c r="M1272" s="1115"/>
    </row>
    <row r="1273" spans="1:13" x14ac:dyDescent="0.2">
      <c r="A1273" s="1115"/>
      <c r="B1273" s="1115"/>
      <c r="C1273" s="1115"/>
      <c r="D1273" s="1115"/>
      <c r="E1273" s="1115"/>
      <c r="F1273" s="1115"/>
      <c r="G1273" s="1115"/>
      <c r="H1273" s="1115"/>
      <c r="I1273" s="1115"/>
      <c r="J1273" s="1115"/>
      <c r="K1273" s="1115"/>
      <c r="L1273" s="1115"/>
      <c r="M1273" s="1115"/>
    </row>
    <row r="1274" spans="1:13" x14ac:dyDescent="0.2">
      <c r="A1274" s="1115"/>
      <c r="B1274" s="1115"/>
      <c r="C1274" s="1115"/>
      <c r="D1274" s="1115"/>
      <c r="E1274" s="1115"/>
      <c r="F1274" s="1115"/>
      <c r="G1274" s="1115"/>
      <c r="H1274" s="1115"/>
      <c r="I1274" s="1115"/>
      <c r="J1274" s="1115"/>
      <c r="K1274" s="1115"/>
      <c r="L1274" s="1115"/>
      <c r="M1274" s="1115"/>
    </row>
    <row r="1275" spans="1:13" x14ac:dyDescent="0.2">
      <c r="A1275" s="1115"/>
      <c r="B1275" s="1115"/>
      <c r="C1275" s="1115"/>
      <c r="D1275" s="1115"/>
      <c r="E1275" s="1115"/>
      <c r="F1275" s="1115"/>
      <c r="G1275" s="1115"/>
      <c r="H1275" s="1115"/>
      <c r="I1275" s="1115"/>
      <c r="J1275" s="1115"/>
      <c r="K1275" s="1115"/>
      <c r="L1275" s="1115"/>
      <c r="M1275" s="1115"/>
    </row>
    <row r="1276" spans="1:13" x14ac:dyDescent="0.2">
      <c r="A1276" s="1115"/>
      <c r="B1276" s="1115"/>
      <c r="C1276" s="1115"/>
      <c r="D1276" s="1115"/>
      <c r="E1276" s="1115"/>
      <c r="F1276" s="1115"/>
      <c r="G1276" s="1115"/>
      <c r="H1276" s="1115"/>
      <c r="I1276" s="1115"/>
      <c r="J1276" s="1115"/>
      <c r="K1276" s="1115"/>
      <c r="L1276" s="1115"/>
      <c r="M1276" s="1115"/>
    </row>
    <row r="1277" spans="1:13" x14ac:dyDescent="0.2">
      <c r="A1277" s="1115"/>
      <c r="B1277" s="1115"/>
      <c r="C1277" s="1115"/>
      <c r="D1277" s="1115"/>
      <c r="E1277" s="1115"/>
      <c r="F1277" s="1115"/>
      <c r="G1277" s="1115"/>
      <c r="H1277" s="1115"/>
      <c r="I1277" s="1115"/>
      <c r="J1277" s="1115"/>
      <c r="K1277" s="1115"/>
      <c r="L1277" s="1115"/>
      <c r="M1277" s="1115"/>
    </row>
    <row r="1278" spans="1:13" x14ac:dyDescent="0.2">
      <c r="A1278" s="1115"/>
      <c r="B1278" s="1115"/>
      <c r="C1278" s="1115"/>
      <c r="D1278" s="1115"/>
      <c r="E1278" s="1115"/>
      <c r="F1278" s="1115"/>
      <c r="G1278" s="1115"/>
      <c r="H1278" s="1115"/>
      <c r="I1278" s="1115"/>
      <c r="J1278" s="1115"/>
      <c r="K1278" s="1115"/>
      <c r="L1278" s="1115"/>
      <c r="M1278" s="1115"/>
    </row>
    <row r="1279" spans="1:13" x14ac:dyDescent="0.2">
      <c r="A1279" s="1115"/>
      <c r="B1279" s="1115"/>
      <c r="C1279" s="1115"/>
      <c r="D1279" s="1115"/>
      <c r="E1279" s="1115"/>
      <c r="F1279" s="1115"/>
      <c r="G1279" s="1115"/>
      <c r="H1279" s="1115"/>
      <c r="I1279" s="1115"/>
      <c r="J1279" s="1115"/>
      <c r="K1279" s="1115"/>
      <c r="L1279" s="1115"/>
      <c r="M1279" s="1115"/>
    </row>
    <row r="1280" spans="1:13" x14ac:dyDescent="0.2">
      <c r="A1280" s="1115"/>
      <c r="B1280" s="1115"/>
      <c r="C1280" s="1115"/>
      <c r="D1280" s="1115"/>
      <c r="E1280" s="1115"/>
      <c r="F1280" s="1115"/>
      <c r="G1280" s="1115"/>
      <c r="H1280" s="1115"/>
      <c r="I1280" s="1115"/>
      <c r="J1280" s="1115"/>
      <c r="K1280" s="1115"/>
      <c r="L1280" s="1115"/>
      <c r="M1280" s="1115"/>
    </row>
    <row r="1281" spans="1:13" x14ac:dyDescent="0.2">
      <c r="A1281" s="1115"/>
      <c r="B1281" s="1115"/>
      <c r="C1281" s="1115"/>
      <c r="D1281" s="1115"/>
      <c r="E1281" s="1115"/>
      <c r="F1281" s="1115"/>
      <c r="G1281" s="1115"/>
      <c r="H1281" s="1115"/>
      <c r="I1281" s="1115"/>
      <c r="J1281" s="1115"/>
      <c r="K1281" s="1115"/>
      <c r="L1281" s="1115"/>
      <c r="M1281" s="1115"/>
    </row>
    <row r="1282" spans="1:13" x14ac:dyDescent="0.2">
      <c r="A1282" s="1115"/>
      <c r="B1282" s="1115"/>
      <c r="C1282" s="1115"/>
      <c r="D1282" s="1115"/>
      <c r="E1282" s="1115"/>
      <c r="F1282" s="1115"/>
      <c r="G1282" s="1115"/>
      <c r="H1282" s="1115"/>
      <c r="I1282" s="1115"/>
      <c r="J1282" s="1115"/>
      <c r="K1282" s="1115"/>
      <c r="L1282" s="1115"/>
      <c r="M1282" s="1115"/>
    </row>
    <row r="1283" spans="1:13" x14ac:dyDescent="0.2">
      <c r="A1283" s="1115"/>
      <c r="B1283" s="1115"/>
      <c r="C1283" s="1115"/>
      <c r="D1283" s="1115"/>
      <c r="E1283" s="1115"/>
      <c r="F1283" s="1115"/>
      <c r="G1283" s="1115"/>
      <c r="H1283" s="1115"/>
      <c r="I1283" s="1115"/>
      <c r="J1283" s="1115"/>
      <c r="K1283" s="1115"/>
      <c r="L1283" s="1115"/>
      <c r="M1283" s="1115"/>
    </row>
    <row r="1284" spans="1:13" x14ac:dyDescent="0.2">
      <c r="A1284" s="1115"/>
      <c r="B1284" s="1115"/>
      <c r="C1284" s="1115"/>
      <c r="D1284" s="1115"/>
      <c r="E1284" s="1115"/>
      <c r="F1284" s="1115"/>
      <c r="G1284" s="1115"/>
      <c r="H1284" s="1115"/>
      <c r="I1284" s="1115"/>
      <c r="J1284" s="1115"/>
      <c r="K1284" s="1115"/>
      <c r="L1284" s="1115"/>
      <c r="M1284" s="1115"/>
    </row>
    <row r="1285" spans="1:13" x14ac:dyDescent="0.2">
      <c r="A1285" s="1115"/>
      <c r="B1285" s="1115"/>
      <c r="C1285" s="1115"/>
      <c r="D1285" s="1115"/>
      <c r="E1285" s="1115"/>
      <c r="F1285" s="1115"/>
      <c r="G1285" s="1115"/>
      <c r="H1285" s="1115"/>
      <c r="I1285" s="1115"/>
      <c r="J1285" s="1115"/>
      <c r="K1285" s="1115"/>
      <c r="L1285" s="1115"/>
      <c r="M1285" s="1115"/>
    </row>
    <row r="1286" spans="1:13" x14ac:dyDescent="0.2">
      <c r="A1286" s="1115"/>
      <c r="B1286" s="1115"/>
      <c r="C1286" s="1115"/>
      <c r="D1286" s="1115"/>
      <c r="E1286" s="1115"/>
      <c r="F1286" s="1115"/>
      <c r="G1286" s="1115"/>
      <c r="H1286" s="1115"/>
      <c r="I1286" s="1115"/>
      <c r="J1286" s="1115"/>
      <c r="K1286" s="1115"/>
      <c r="L1286" s="1115"/>
      <c r="M1286" s="1115"/>
    </row>
    <row r="1287" spans="1:13" x14ac:dyDescent="0.2">
      <c r="A1287" s="1115"/>
      <c r="B1287" s="1115"/>
      <c r="C1287" s="1115"/>
      <c r="D1287" s="1115"/>
      <c r="E1287" s="1115"/>
      <c r="F1287" s="1115"/>
      <c r="G1287" s="1115"/>
      <c r="H1287" s="1115"/>
      <c r="I1287" s="1115"/>
      <c r="J1287" s="1115"/>
      <c r="K1287" s="1115"/>
      <c r="L1287" s="1115"/>
      <c r="M1287" s="1115"/>
    </row>
    <row r="1288" spans="1:13" x14ac:dyDescent="0.2">
      <c r="A1288" s="1115"/>
      <c r="B1288" s="1115"/>
      <c r="C1288" s="1115"/>
      <c r="D1288" s="1115"/>
      <c r="E1288" s="1115"/>
      <c r="F1288" s="1115"/>
      <c r="G1288" s="1115"/>
      <c r="H1288" s="1115"/>
      <c r="I1288" s="1115"/>
      <c r="J1288" s="1115"/>
      <c r="K1288" s="1115"/>
      <c r="L1288" s="1115"/>
      <c r="M1288" s="1115"/>
    </row>
    <row r="1289" spans="1:13" x14ac:dyDescent="0.2">
      <c r="A1289" s="1115"/>
      <c r="B1289" s="1115"/>
      <c r="C1289" s="1115"/>
      <c r="D1289" s="1115"/>
      <c r="E1289" s="1115"/>
      <c r="F1289" s="1115"/>
      <c r="G1289" s="1115"/>
      <c r="H1289" s="1115"/>
      <c r="I1289" s="1115"/>
      <c r="J1289" s="1115"/>
      <c r="K1289" s="1115"/>
      <c r="L1289" s="1115"/>
      <c r="M1289" s="1115"/>
    </row>
    <row r="1290" spans="1:13" x14ac:dyDescent="0.2">
      <c r="A1290" s="1115"/>
      <c r="B1290" s="1115"/>
      <c r="C1290" s="1115"/>
      <c r="D1290" s="1115"/>
      <c r="E1290" s="1115"/>
      <c r="F1290" s="1115"/>
      <c r="G1290" s="1115"/>
      <c r="H1290" s="1115"/>
      <c r="I1290" s="1115"/>
      <c r="J1290" s="1115"/>
      <c r="K1290" s="1115"/>
      <c r="L1290" s="1115"/>
      <c r="M1290" s="1115"/>
    </row>
    <row r="1291" spans="1:13" x14ac:dyDescent="0.2">
      <c r="A1291" s="1115"/>
      <c r="B1291" s="1115"/>
      <c r="C1291" s="1115"/>
      <c r="D1291" s="1115"/>
      <c r="E1291" s="1115"/>
      <c r="F1291" s="1115"/>
      <c r="G1291" s="1115"/>
      <c r="H1291" s="1115"/>
      <c r="I1291" s="1115"/>
      <c r="J1291" s="1115"/>
      <c r="K1291" s="1115"/>
      <c r="L1291" s="1115"/>
      <c r="M1291" s="1115"/>
    </row>
    <row r="1292" spans="1:13" x14ac:dyDescent="0.2">
      <c r="A1292" s="1115"/>
      <c r="B1292" s="1115"/>
      <c r="C1292" s="1115"/>
      <c r="D1292" s="1115"/>
      <c r="E1292" s="1115"/>
      <c r="F1292" s="1115"/>
      <c r="G1292" s="1115"/>
      <c r="H1292" s="1115"/>
      <c r="I1292" s="1115"/>
      <c r="J1292" s="1115"/>
      <c r="K1292" s="1115"/>
      <c r="L1292" s="1115"/>
      <c r="M1292" s="1115"/>
    </row>
    <row r="1293" spans="1:13" x14ac:dyDescent="0.2">
      <c r="A1293" s="1115"/>
      <c r="B1293" s="1115"/>
      <c r="C1293" s="1115"/>
      <c r="D1293" s="1115"/>
      <c r="E1293" s="1115"/>
      <c r="F1293" s="1115"/>
      <c r="G1293" s="1115"/>
      <c r="H1293" s="1115"/>
      <c r="I1293" s="1115"/>
      <c r="J1293" s="1115"/>
      <c r="K1293" s="1115"/>
      <c r="L1293" s="1115"/>
      <c r="M1293" s="1115"/>
    </row>
    <row r="1294" spans="1:13" x14ac:dyDescent="0.2">
      <c r="A1294" s="1115"/>
      <c r="B1294" s="1115"/>
      <c r="C1294" s="1115"/>
      <c r="D1294" s="1115"/>
      <c r="E1294" s="1115"/>
      <c r="F1294" s="1115"/>
      <c r="G1294" s="1115"/>
      <c r="H1294" s="1115"/>
      <c r="I1294" s="1115"/>
      <c r="J1294" s="1115"/>
      <c r="K1294" s="1115"/>
      <c r="L1294" s="1115"/>
      <c r="M1294" s="1115"/>
    </row>
    <row r="1295" spans="1:13" x14ac:dyDescent="0.2">
      <c r="A1295" s="1115"/>
      <c r="B1295" s="1115"/>
      <c r="C1295" s="1115"/>
      <c r="D1295" s="1115"/>
      <c r="E1295" s="1115"/>
      <c r="F1295" s="1115"/>
      <c r="G1295" s="1115"/>
      <c r="H1295" s="1115"/>
      <c r="I1295" s="1115"/>
      <c r="J1295" s="1115"/>
      <c r="K1295" s="1115"/>
      <c r="L1295" s="1115"/>
      <c r="M1295" s="1115"/>
    </row>
    <row r="1296" spans="1:13" x14ac:dyDescent="0.2">
      <c r="A1296" s="1115"/>
      <c r="B1296" s="1115"/>
      <c r="C1296" s="1115"/>
      <c r="D1296" s="1115"/>
      <c r="E1296" s="1115"/>
      <c r="F1296" s="1115"/>
      <c r="G1296" s="1115"/>
      <c r="H1296" s="1115"/>
      <c r="I1296" s="1115"/>
      <c r="J1296" s="1115"/>
      <c r="K1296" s="1115"/>
      <c r="L1296" s="1115"/>
      <c r="M1296" s="1115"/>
    </row>
    <row r="1297" spans="1:13" x14ac:dyDescent="0.2">
      <c r="A1297" s="1115"/>
      <c r="B1297" s="1115"/>
      <c r="C1297" s="1115"/>
      <c r="D1297" s="1115"/>
      <c r="E1297" s="1115"/>
      <c r="F1297" s="1115"/>
      <c r="G1297" s="1115"/>
      <c r="H1297" s="1115"/>
      <c r="I1297" s="1115"/>
      <c r="J1297" s="1115"/>
      <c r="K1297" s="1115"/>
      <c r="L1297" s="1115"/>
      <c r="M1297" s="1115"/>
    </row>
    <row r="1298" spans="1:13" x14ac:dyDescent="0.2">
      <c r="A1298" s="1115"/>
      <c r="B1298" s="1115"/>
      <c r="C1298" s="1115"/>
      <c r="D1298" s="1115"/>
      <c r="E1298" s="1115"/>
      <c r="F1298" s="1115"/>
      <c r="G1298" s="1115"/>
      <c r="H1298" s="1115"/>
      <c r="I1298" s="1115"/>
      <c r="J1298" s="1115"/>
      <c r="K1298" s="1115"/>
      <c r="L1298" s="1115"/>
      <c r="M1298" s="1115"/>
    </row>
    <row r="1299" spans="1:13" x14ac:dyDescent="0.2">
      <c r="A1299" s="1115"/>
      <c r="B1299" s="1115"/>
      <c r="C1299" s="1115"/>
      <c r="D1299" s="1115"/>
      <c r="E1299" s="1115"/>
      <c r="F1299" s="1115"/>
      <c r="G1299" s="1115"/>
      <c r="H1299" s="1115"/>
      <c r="I1299" s="1115"/>
      <c r="J1299" s="1115"/>
      <c r="K1299" s="1115"/>
      <c r="L1299" s="1115"/>
      <c r="M1299" s="1115"/>
    </row>
    <row r="1300" spans="1:13" x14ac:dyDescent="0.2">
      <c r="A1300" s="1115"/>
      <c r="B1300" s="1115"/>
      <c r="C1300" s="1115"/>
      <c r="D1300" s="1115"/>
      <c r="E1300" s="1115"/>
      <c r="F1300" s="1115"/>
      <c r="G1300" s="1115"/>
      <c r="H1300" s="1115"/>
      <c r="I1300" s="1115"/>
      <c r="J1300" s="1115"/>
      <c r="K1300" s="1115"/>
      <c r="L1300" s="1115"/>
      <c r="M1300" s="1115"/>
    </row>
    <row r="1301" spans="1:13" x14ac:dyDescent="0.2">
      <c r="A1301" s="1115"/>
      <c r="B1301" s="1115"/>
      <c r="C1301" s="1115"/>
      <c r="D1301" s="1115"/>
      <c r="E1301" s="1115"/>
      <c r="F1301" s="1115"/>
      <c r="G1301" s="1115"/>
      <c r="H1301" s="1115"/>
      <c r="I1301" s="1115"/>
      <c r="J1301" s="1115"/>
      <c r="K1301" s="1115"/>
      <c r="L1301" s="1115"/>
      <c r="M1301" s="1115"/>
    </row>
    <row r="1302" spans="1:13" x14ac:dyDescent="0.2">
      <c r="A1302" s="1115"/>
      <c r="B1302" s="1115"/>
      <c r="C1302" s="1115"/>
      <c r="D1302" s="1115"/>
      <c r="E1302" s="1115"/>
      <c r="F1302" s="1115"/>
      <c r="G1302" s="1115"/>
      <c r="H1302" s="1115"/>
      <c r="I1302" s="1115"/>
      <c r="J1302" s="1115"/>
      <c r="K1302" s="1115"/>
      <c r="L1302" s="1115"/>
      <c r="M1302" s="1115"/>
    </row>
    <row r="1303" spans="1:13" x14ac:dyDescent="0.2">
      <c r="A1303" s="1115"/>
      <c r="B1303" s="1115"/>
      <c r="C1303" s="1115"/>
      <c r="D1303" s="1115"/>
      <c r="E1303" s="1115"/>
      <c r="F1303" s="1115"/>
      <c r="G1303" s="1115"/>
      <c r="H1303" s="1115"/>
      <c r="I1303" s="1115"/>
      <c r="J1303" s="1115"/>
      <c r="K1303" s="1115"/>
      <c r="L1303" s="1115"/>
      <c r="M1303" s="1115"/>
    </row>
    <row r="1304" spans="1:13" x14ac:dyDescent="0.2">
      <c r="A1304" s="1115"/>
      <c r="B1304" s="1115"/>
      <c r="C1304" s="1115"/>
      <c r="D1304" s="1115"/>
      <c r="E1304" s="1115"/>
      <c r="F1304" s="1115"/>
      <c r="G1304" s="1115"/>
      <c r="H1304" s="1115"/>
      <c r="I1304" s="1115"/>
      <c r="J1304" s="1115"/>
      <c r="K1304" s="1115"/>
      <c r="L1304" s="1115"/>
      <c r="M1304" s="1115"/>
    </row>
    <row r="1305" spans="1:13" x14ac:dyDescent="0.2">
      <c r="A1305" s="1115"/>
      <c r="B1305" s="1115"/>
      <c r="C1305" s="1115"/>
      <c r="D1305" s="1115"/>
      <c r="E1305" s="1115"/>
      <c r="F1305" s="1115"/>
      <c r="G1305" s="1115"/>
      <c r="H1305" s="1115"/>
      <c r="I1305" s="1115"/>
      <c r="J1305" s="1115"/>
      <c r="K1305" s="1115"/>
      <c r="L1305" s="1115"/>
      <c r="M1305" s="1115"/>
    </row>
    <row r="1306" spans="1:13" x14ac:dyDescent="0.2">
      <c r="A1306" s="1115"/>
      <c r="B1306" s="1115"/>
      <c r="C1306" s="1115"/>
      <c r="D1306" s="1115"/>
      <c r="E1306" s="1115"/>
      <c r="F1306" s="1115"/>
      <c r="G1306" s="1115"/>
      <c r="H1306" s="1115"/>
      <c r="I1306" s="1115"/>
      <c r="J1306" s="1115"/>
      <c r="K1306" s="1115"/>
      <c r="L1306" s="1115"/>
      <c r="M1306" s="1115"/>
    </row>
    <row r="1307" spans="1:13" x14ac:dyDescent="0.2">
      <c r="A1307" s="1115"/>
      <c r="B1307" s="1115"/>
      <c r="C1307" s="1115"/>
      <c r="D1307" s="1115"/>
      <c r="E1307" s="1115"/>
      <c r="F1307" s="1115"/>
      <c r="G1307" s="1115"/>
      <c r="H1307" s="1115"/>
      <c r="I1307" s="1115"/>
      <c r="J1307" s="1115"/>
      <c r="K1307" s="1115"/>
      <c r="L1307" s="1115"/>
      <c r="M1307" s="1115"/>
    </row>
    <row r="1308" spans="1:13" x14ac:dyDescent="0.2">
      <c r="A1308" s="1115"/>
      <c r="B1308" s="1115"/>
      <c r="C1308" s="1115"/>
      <c r="D1308" s="1115"/>
      <c r="E1308" s="1115"/>
      <c r="F1308" s="1115"/>
      <c r="G1308" s="1115"/>
      <c r="H1308" s="1115"/>
      <c r="I1308" s="1115"/>
      <c r="J1308" s="1115"/>
      <c r="K1308" s="1115"/>
      <c r="L1308" s="1115"/>
      <c r="M1308" s="1115"/>
    </row>
    <row r="1309" spans="1:13" x14ac:dyDescent="0.2">
      <c r="A1309" s="1115"/>
      <c r="B1309" s="1115"/>
      <c r="C1309" s="1115"/>
      <c r="D1309" s="1115"/>
      <c r="E1309" s="1115"/>
      <c r="F1309" s="1115"/>
      <c r="G1309" s="1115"/>
      <c r="H1309" s="1115"/>
      <c r="I1309" s="1115"/>
      <c r="J1309" s="1115"/>
      <c r="K1309" s="1115"/>
      <c r="L1309" s="1115"/>
      <c r="M1309" s="1115"/>
    </row>
    <row r="1310" spans="1:13" x14ac:dyDescent="0.2">
      <c r="A1310" s="1115"/>
      <c r="B1310" s="1115"/>
      <c r="C1310" s="1115"/>
      <c r="D1310" s="1115"/>
      <c r="E1310" s="1115"/>
      <c r="F1310" s="1115"/>
      <c r="G1310" s="1115"/>
      <c r="H1310" s="1115"/>
      <c r="I1310" s="1115"/>
      <c r="J1310" s="1115"/>
      <c r="K1310" s="1115"/>
      <c r="L1310" s="1115"/>
      <c r="M1310" s="1115"/>
    </row>
    <row r="1311" spans="1:13" x14ac:dyDescent="0.2">
      <c r="A1311" s="1115"/>
      <c r="B1311" s="1115"/>
      <c r="C1311" s="1115"/>
      <c r="D1311" s="1115"/>
      <c r="E1311" s="1115"/>
      <c r="F1311" s="1115"/>
      <c r="G1311" s="1115"/>
      <c r="H1311" s="1115"/>
      <c r="I1311" s="1115"/>
      <c r="J1311" s="1115"/>
      <c r="K1311" s="1115"/>
      <c r="L1311" s="1115"/>
      <c r="M1311" s="1115"/>
    </row>
    <row r="1312" spans="1:13" x14ac:dyDescent="0.2">
      <c r="A1312" s="1115"/>
      <c r="B1312" s="1115"/>
      <c r="C1312" s="1115"/>
      <c r="D1312" s="1115"/>
      <c r="E1312" s="1115"/>
      <c r="F1312" s="1115"/>
      <c r="G1312" s="1115"/>
      <c r="H1312" s="1115"/>
      <c r="I1312" s="1115"/>
      <c r="J1312" s="1115"/>
      <c r="K1312" s="1115"/>
      <c r="L1312" s="1115"/>
      <c r="M1312" s="1115"/>
    </row>
    <row r="1313" spans="1:13" x14ac:dyDescent="0.2">
      <c r="A1313" s="1115"/>
      <c r="B1313" s="1115"/>
      <c r="C1313" s="1115"/>
      <c r="D1313" s="1115"/>
      <c r="E1313" s="1115"/>
      <c r="F1313" s="1115"/>
      <c r="G1313" s="1115"/>
      <c r="H1313" s="1115"/>
      <c r="I1313" s="1115"/>
      <c r="J1313" s="1115"/>
      <c r="K1313" s="1115"/>
      <c r="L1313" s="1115"/>
      <c r="M1313" s="1115"/>
    </row>
    <row r="1314" spans="1:13" x14ac:dyDescent="0.2">
      <c r="A1314" s="1115"/>
      <c r="B1314" s="1115"/>
      <c r="C1314" s="1115"/>
      <c r="D1314" s="1115"/>
      <c r="E1314" s="1115"/>
      <c r="F1314" s="1115"/>
      <c r="G1314" s="1115"/>
      <c r="H1314" s="1115"/>
      <c r="I1314" s="1115"/>
      <c r="J1314" s="1115"/>
      <c r="K1314" s="1115"/>
      <c r="L1314" s="1115"/>
      <c r="M1314" s="1115"/>
    </row>
    <row r="1315" spans="1:13" x14ac:dyDescent="0.2">
      <c r="A1315" s="1115"/>
      <c r="B1315" s="1115"/>
      <c r="C1315" s="1115"/>
      <c r="D1315" s="1115"/>
      <c r="E1315" s="1115"/>
      <c r="F1315" s="1115"/>
      <c r="G1315" s="1115"/>
      <c r="H1315" s="1115"/>
      <c r="I1315" s="1115"/>
      <c r="J1315" s="1115"/>
      <c r="K1315" s="1115"/>
      <c r="L1315" s="1115"/>
      <c r="M1315" s="1115"/>
    </row>
    <row r="1316" spans="1:13" x14ac:dyDescent="0.2">
      <c r="A1316" s="1115"/>
      <c r="B1316" s="1115"/>
      <c r="C1316" s="1115"/>
      <c r="D1316" s="1115"/>
      <c r="E1316" s="1115"/>
      <c r="F1316" s="1115"/>
      <c r="G1316" s="1115"/>
      <c r="H1316" s="1115"/>
      <c r="I1316" s="1115"/>
      <c r="J1316" s="1115"/>
      <c r="K1316" s="1115"/>
      <c r="L1316" s="1115"/>
      <c r="M1316" s="1115"/>
    </row>
    <row r="1317" spans="1:13" x14ac:dyDescent="0.2">
      <c r="A1317" s="1115"/>
      <c r="B1317" s="1115"/>
      <c r="C1317" s="1115"/>
      <c r="D1317" s="1115"/>
      <c r="E1317" s="1115"/>
      <c r="F1317" s="1115"/>
      <c r="G1317" s="1115"/>
      <c r="H1317" s="1115"/>
      <c r="I1317" s="1115"/>
      <c r="J1317" s="1115"/>
      <c r="K1317" s="1115"/>
      <c r="L1317" s="1115"/>
      <c r="M1317" s="1115"/>
    </row>
    <row r="1318" spans="1:13" x14ac:dyDescent="0.2">
      <c r="A1318" s="1115"/>
      <c r="B1318" s="1115"/>
      <c r="C1318" s="1115"/>
      <c r="D1318" s="1115"/>
      <c r="E1318" s="1115"/>
      <c r="F1318" s="1115"/>
      <c r="G1318" s="1115"/>
      <c r="H1318" s="1115"/>
      <c r="I1318" s="1115"/>
      <c r="J1318" s="1115"/>
      <c r="K1318" s="1115"/>
      <c r="L1318" s="1115"/>
      <c r="M1318" s="1115"/>
    </row>
    <row r="1319" spans="1:13" x14ac:dyDescent="0.2">
      <c r="A1319" s="1115"/>
      <c r="B1319" s="1115"/>
      <c r="C1319" s="1115"/>
      <c r="D1319" s="1115"/>
      <c r="E1319" s="1115"/>
      <c r="F1319" s="1115"/>
      <c r="G1319" s="1115"/>
      <c r="H1319" s="1115"/>
      <c r="I1319" s="1115"/>
      <c r="J1319" s="1115"/>
      <c r="K1319" s="1115"/>
      <c r="L1319" s="1115"/>
      <c r="M1319" s="1115"/>
    </row>
    <row r="1320" spans="1:13" x14ac:dyDescent="0.2">
      <c r="A1320" s="1115"/>
      <c r="B1320" s="1115"/>
      <c r="C1320" s="1115"/>
      <c r="D1320" s="1115"/>
      <c r="E1320" s="1115"/>
      <c r="F1320" s="1115"/>
      <c r="G1320" s="1115"/>
      <c r="H1320" s="1115"/>
      <c r="I1320" s="1115"/>
      <c r="J1320" s="1115"/>
      <c r="K1320" s="1115"/>
      <c r="L1320" s="1115"/>
      <c r="M1320" s="1115"/>
    </row>
    <row r="1321" spans="1:13" x14ac:dyDescent="0.2">
      <c r="A1321" s="1115"/>
      <c r="B1321" s="1115"/>
      <c r="C1321" s="1115"/>
      <c r="D1321" s="1115"/>
      <c r="E1321" s="1115"/>
      <c r="F1321" s="1115"/>
      <c r="G1321" s="1115"/>
      <c r="H1321" s="1115"/>
      <c r="I1321" s="1115"/>
      <c r="J1321" s="1115"/>
      <c r="K1321" s="1115"/>
      <c r="L1321" s="1115"/>
      <c r="M1321" s="1115"/>
    </row>
    <row r="1322" spans="1:13" x14ac:dyDescent="0.2">
      <c r="A1322" s="1115"/>
      <c r="B1322" s="1115"/>
      <c r="C1322" s="1115"/>
      <c r="D1322" s="1115"/>
      <c r="E1322" s="1115"/>
      <c r="F1322" s="1115"/>
      <c r="G1322" s="1115"/>
      <c r="H1322" s="1115"/>
      <c r="I1322" s="1115"/>
      <c r="J1322" s="1115"/>
      <c r="K1322" s="1115"/>
      <c r="L1322" s="1115"/>
      <c r="M1322" s="1115"/>
    </row>
    <row r="1323" spans="1:13" x14ac:dyDescent="0.2">
      <c r="A1323" s="1115"/>
      <c r="B1323" s="1115"/>
      <c r="C1323" s="1115"/>
      <c r="D1323" s="1115"/>
      <c r="E1323" s="1115"/>
      <c r="F1323" s="1115"/>
      <c r="G1323" s="1115"/>
      <c r="H1323" s="1115"/>
      <c r="I1323" s="1115"/>
      <c r="J1323" s="1115"/>
      <c r="K1323" s="1115"/>
      <c r="L1323" s="1115"/>
      <c r="M1323" s="1115"/>
    </row>
    <row r="1324" spans="1:13" x14ac:dyDescent="0.2">
      <c r="A1324" s="1115"/>
      <c r="B1324" s="1115"/>
      <c r="C1324" s="1115"/>
      <c r="D1324" s="1115"/>
      <c r="E1324" s="1115"/>
      <c r="F1324" s="1115"/>
      <c r="G1324" s="1115"/>
      <c r="H1324" s="1115"/>
      <c r="I1324" s="1115"/>
      <c r="J1324" s="1115"/>
      <c r="K1324" s="1115"/>
      <c r="L1324" s="1115"/>
      <c r="M1324" s="1115"/>
    </row>
    <row r="1325" spans="1:13" x14ac:dyDescent="0.2">
      <c r="A1325" s="1115"/>
      <c r="B1325" s="1115"/>
      <c r="C1325" s="1115"/>
      <c r="D1325" s="1115"/>
      <c r="E1325" s="1115"/>
      <c r="F1325" s="1115"/>
      <c r="G1325" s="1115"/>
      <c r="H1325" s="1115"/>
      <c r="I1325" s="1115"/>
      <c r="J1325" s="1115"/>
      <c r="K1325" s="1115"/>
      <c r="L1325" s="1115"/>
      <c r="M1325" s="1115"/>
    </row>
    <row r="1326" spans="1:13" x14ac:dyDescent="0.2">
      <c r="A1326" s="1115"/>
      <c r="B1326" s="1115"/>
      <c r="C1326" s="1115"/>
      <c r="D1326" s="1115"/>
      <c r="E1326" s="1115"/>
      <c r="F1326" s="1115"/>
      <c r="G1326" s="1115"/>
      <c r="H1326" s="1115"/>
      <c r="I1326" s="1115"/>
      <c r="J1326" s="1115"/>
      <c r="K1326" s="1115"/>
      <c r="L1326" s="1115"/>
      <c r="M1326" s="1115"/>
    </row>
    <row r="1327" spans="1:13" x14ac:dyDescent="0.2">
      <c r="A1327" s="1115"/>
      <c r="B1327" s="1115"/>
      <c r="C1327" s="1115"/>
      <c r="D1327" s="1115"/>
      <c r="E1327" s="1115"/>
      <c r="F1327" s="1115"/>
      <c r="G1327" s="1115"/>
      <c r="H1327" s="1115"/>
      <c r="I1327" s="1115"/>
      <c r="J1327" s="1115"/>
      <c r="K1327" s="1115"/>
      <c r="L1327" s="1115"/>
      <c r="M1327" s="1115"/>
    </row>
    <row r="1328" spans="1:13" x14ac:dyDescent="0.2">
      <c r="A1328" s="1115"/>
      <c r="B1328" s="1115"/>
      <c r="C1328" s="1115"/>
      <c r="D1328" s="1115"/>
      <c r="E1328" s="1115"/>
      <c r="F1328" s="1115"/>
      <c r="G1328" s="1115"/>
      <c r="H1328" s="1115"/>
      <c r="I1328" s="1115"/>
      <c r="J1328" s="1115"/>
      <c r="K1328" s="1115"/>
      <c r="L1328" s="1115"/>
      <c r="M1328" s="1115"/>
    </row>
    <row r="1329" spans="1:13" x14ac:dyDescent="0.2">
      <c r="A1329" s="1115"/>
      <c r="B1329" s="1115"/>
      <c r="C1329" s="1115"/>
      <c r="D1329" s="1115"/>
      <c r="E1329" s="1115"/>
      <c r="F1329" s="1115"/>
      <c r="G1329" s="1115"/>
      <c r="H1329" s="1115"/>
      <c r="I1329" s="1115"/>
      <c r="J1329" s="1115"/>
      <c r="K1329" s="1115"/>
      <c r="L1329" s="1115"/>
      <c r="M1329" s="1115"/>
    </row>
    <row r="1330" spans="1:13" x14ac:dyDescent="0.2">
      <c r="A1330" s="1115"/>
      <c r="B1330" s="1115"/>
      <c r="C1330" s="1115"/>
      <c r="D1330" s="1115"/>
      <c r="E1330" s="1115"/>
      <c r="F1330" s="1115"/>
      <c r="G1330" s="1115"/>
      <c r="H1330" s="1115"/>
      <c r="I1330" s="1115"/>
      <c r="J1330" s="1115"/>
      <c r="K1330" s="1115"/>
      <c r="L1330" s="1115"/>
      <c r="M1330" s="1115"/>
    </row>
    <row r="1331" spans="1:13" x14ac:dyDescent="0.2">
      <c r="A1331" s="1115"/>
      <c r="B1331" s="1115"/>
      <c r="C1331" s="1115"/>
      <c r="D1331" s="1115"/>
      <c r="E1331" s="1115"/>
      <c r="F1331" s="1115"/>
      <c r="G1331" s="1115"/>
      <c r="H1331" s="1115"/>
      <c r="I1331" s="1115"/>
      <c r="J1331" s="1115"/>
      <c r="K1331" s="1115"/>
      <c r="L1331" s="1115"/>
      <c r="M1331" s="1115"/>
    </row>
    <row r="1332" spans="1:13" x14ac:dyDescent="0.2">
      <c r="A1332" s="1115"/>
      <c r="B1332" s="1115"/>
      <c r="C1332" s="1115"/>
      <c r="D1332" s="1115"/>
      <c r="E1332" s="1115"/>
      <c r="F1332" s="1115"/>
      <c r="G1332" s="1115"/>
      <c r="H1332" s="1115"/>
      <c r="I1332" s="1115"/>
      <c r="J1332" s="1115"/>
      <c r="K1332" s="1115"/>
      <c r="L1332" s="1115"/>
      <c r="M1332" s="1115"/>
    </row>
    <row r="1333" spans="1:13" x14ac:dyDescent="0.2">
      <c r="A1333" s="1115"/>
      <c r="B1333" s="1115"/>
      <c r="C1333" s="1115"/>
      <c r="D1333" s="1115"/>
      <c r="E1333" s="1115"/>
      <c r="F1333" s="1115"/>
      <c r="G1333" s="1115"/>
      <c r="H1333" s="1115"/>
      <c r="I1333" s="1115"/>
      <c r="J1333" s="1115"/>
      <c r="K1333" s="1115"/>
      <c r="L1333" s="1115"/>
      <c r="M1333" s="1115"/>
    </row>
    <row r="1334" spans="1:13" x14ac:dyDescent="0.2">
      <c r="A1334" s="1115"/>
      <c r="B1334" s="1115"/>
      <c r="C1334" s="1115"/>
      <c r="D1334" s="1115"/>
      <c r="E1334" s="1115"/>
      <c r="F1334" s="1115"/>
      <c r="G1334" s="1115"/>
      <c r="H1334" s="1115"/>
      <c r="I1334" s="1115"/>
      <c r="J1334" s="1115"/>
      <c r="K1334" s="1115"/>
      <c r="L1334" s="1115"/>
      <c r="M1334" s="1115"/>
    </row>
    <row r="1335" spans="1:13" x14ac:dyDescent="0.2">
      <c r="A1335" s="1115"/>
      <c r="B1335" s="1115"/>
      <c r="C1335" s="1115"/>
      <c r="D1335" s="1115"/>
      <c r="E1335" s="1115"/>
      <c r="F1335" s="1115"/>
      <c r="G1335" s="1115"/>
      <c r="H1335" s="1115"/>
      <c r="I1335" s="1115"/>
      <c r="J1335" s="1115"/>
      <c r="K1335" s="1115"/>
      <c r="L1335" s="1115"/>
      <c r="M1335" s="1115"/>
    </row>
    <row r="1336" spans="1:13" x14ac:dyDescent="0.2">
      <c r="A1336" s="1115"/>
      <c r="B1336" s="1115"/>
      <c r="C1336" s="1115"/>
      <c r="D1336" s="1115"/>
      <c r="E1336" s="1115"/>
      <c r="F1336" s="1115"/>
      <c r="G1336" s="1115"/>
      <c r="H1336" s="1115"/>
      <c r="I1336" s="1115"/>
      <c r="J1336" s="1115"/>
      <c r="K1336" s="1115"/>
      <c r="L1336" s="1115"/>
      <c r="M1336" s="1115"/>
    </row>
    <row r="1337" spans="1:13" x14ac:dyDescent="0.2">
      <c r="A1337" s="1115"/>
      <c r="B1337" s="1115"/>
      <c r="C1337" s="1115"/>
      <c r="D1337" s="1115"/>
      <c r="E1337" s="1115"/>
      <c r="F1337" s="1115"/>
      <c r="G1337" s="1115"/>
      <c r="H1337" s="1115"/>
      <c r="I1337" s="1115"/>
      <c r="J1337" s="1115"/>
      <c r="K1337" s="1115"/>
      <c r="L1337" s="1115"/>
      <c r="M1337" s="1115"/>
    </row>
    <row r="1338" spans="1:13" x14ac:dyDescent="0.2">
      <c r="A1338" s="1115"/>
      <c r="B1338" s="1115"/>
      <c r="C1338" s="1115"/>
      <c r="D1338" s="1115"/>
      <c r="E1338" s="1115"/>
      <c r="F1338" s="1115"/>
      <c r="G1338" s="1115"/>
      <c r="H1338" s="1115"/>
      <c r="I1338" s="1115"/>
      <c r="J1338" s="1115"/>
      <c r="K1338" s="1115"/>
      <c r="L1338" s="1115"/>
      <c r="M1338" s="1115"/>
    </row>
    <row r="1339" spans="1:13" x14ac:dyDescent="0.2">
      <c r="A1339" s="1115"/>
      <c r="B1339" s="1115"/>
      <c r="C1339" s="1115"/>
      <c r="D1339" s="1115"/>
      <c r="E1339" s="1115"/>
      <c r="F1339" s="1115"/>
      <c r="G1339" s="1115"/>
      <c r="H1339" s="1115"/>
      <c r="I1339" s="1115"/>
      <c r="J1339" s="1115"/>
      <c r="K1339" s="1115"/>
      <c r="L1339" s="1115"/>
      <c r="M1339" s="1115"/>
    </row>
    <row r="1340" spans="1:13" x14ac:dyDescent="0.2">
      <c r="A1340" s="1115"/>
      <c r="B1340" s="1115"/>
      <c r="C1340" s="1115"/>
      <c r="D1340" s="1115"/>
      <c r="E1340" s="1115"/>
      <c r="F1340" s="1115"/>
      <c r="G1340" s="1115"/>
      <c r="H1340" s="1115"/>
      <c r="I1340" s="1115"/>
      <c r="J1340" s="1115"/>
      <c r="K1340" s="1115"/>
      <c r="L1340" s="1115"/>
      <c r="M1340" s="1115"/>
    </row>
    <row r="1341" spans="1:13" x14ac:dyDescent="0.2">
      <c r="A1341" s="1115"/>
      <c r="B1341" s="1115"/>
      <c r="C1341" s="1115"/>
      <c r="D1341" s="1115"/>
      <c r="E1341" s="1115"/>
      <c r="F1341" s="1115"/>
      <c r="G1341" s="1115"/>
      <c r="H1341" s="1115"/>
      <c r="I1341" s="1115"/>
      <c r="J1341" s="1115"/>
      <c r="K1341" s="1115"/>
      <c r="L1341" s="1115"/>
      <c r="M1341" s="1115"/>
    </row>
    <row r="1342" spans="1:13" x14ac:dyDescent="0.2">
      <c r="A1342" s="1115"/>
      <c r="B1342" s="1115"/>
      <c r="C1342" s="1115"/>
      <c r="D1342" s="1115"/>
      <c r="E1342" s="1115"/>
      <c r="F1342" s="1115"/>
      <c r="G1342" s="1115"/>
      <c r="H1342" s="1115"/>
      <c r="I1342" s="1115"/>
      <c r="J1342" s="1115"/>
      <c r="K1342" s="1115"/>
      <c r="L1342" s="1115"/>
      <c r="M1342" s="1115"/>
    </row>
    <row r="1343" spans="1:13" x14ac:dyDescent="0.2">
      <c r="A1343" s="1115"/>
      <c r="B1343" s="1115"/>
      <c r="C1343" s="1115"/>
      <c r="D1343" s="1115"/>
      <c r="E1343" s="1115"/>
      <c r="F1343" s="1115"/>
      <c r="G1343" s="1115"/>
      <c r="H1343" s="1115"/>
      <c r="I1343" s="1115"/>
      <c r="J1343" s="1115"/>
      <c r="K1343" s="1115"/>
      <c r="L1343" s="1115"/>
      <c r="M1343" s="1115"/>
    </row>
    <row r="1344" spans="1:13" x14ac:dyDescent="0.2">
      <c r="A1344" s="1115"/>
      <c r="B1344" s="1115"/>
      <c r="C1344" s="1115"/>
      <c r="D1344" s="1115"/>
      <c r="E1344" s="1115"/>
      <c r="F1344" s="1115"/>
      <c r="G1344" s="1115"/>
      <c r="H1344" s="1115"/>
      <c r="I1344" s="1115"/>
      <c r="J1344" s="1115"/>
      <c r="K1344" s="1115"/>
      <c r="L1344" s="1115"/>
      <c r="M1344" s="1115"/>
    </row>
    <row r="1345" spans="1:13" x14ac:dyDescent="0.2">
      <c r="A1345" s="1115"/>
      <c r="B1345" s="1115"/>
      <c r="C1345" s="1115"/>
      <c r="D1345" s="1115"/>
      <c r="E1345" s="1115"/>
      <c r="F1345" s="1115"/>
      <c r="G1345" s="1115"/>
      <c r="H1345" s="1115"/>
      <c r="I1345" s="1115"/>
      <c r="J1345" s="1115"/>
      <c r="K1345" s="1115"/>
      <c r="L1345" s="1115"/>
      <c r="M1345" s="1115"/>
    </row>
    <row r="1346" spans="1:13" x14ac:dyDescent="0.2">
      <c r="A1346" s="1115"/>
      <c r="B1346" s="1115"/>
      <c r="C1346" s="1115"/>
      <c r="D1346" s="1115"/>
      <c r="E1346" s="1115"/>
      <c r="F1346" s="1115"/>
      <c r="G1346" s="1115"/>
      <c r="H1346" s="1115"/>
      <c r="I1346" s="1115"/>
      <c r="J1346" s="1115"/>
      <c r="K1346" s="1115"/>
      <c r="L1346" s="1115"/>
      <c r="M1346" s="1115"/>
    </row>
    <row r="1347" spans="1:13" x14ac:dyDescent="0.2">
      <c r="A1347" s="1115"/>
      <c r="B1347" s="1115"/>
      <c r="C1347" s="1115"/>
      <c r="D1347" s="1115"/>
      <c r="E1347" s="1115"/>
      <c r="F1347" s="1115"/>
      <c r="G1347" s="1115"/>
      <c r="H1347" s="1115"/>
      <c r="I1347" s="1115"/>
      <c r="J1347" s="1115"/>
      <c r="K1347" s="1115"/>
      <c r="L1347" s="1115"/>
      <c r="M1347" s="1115"/>
    </row>
    <row r="1348" spans="1:13" x14ac:dyDescent="0.2">
      <c r="A1348" s="1115"/>
      <c r="B1348" s="1115"/>
      <c r="C1348" s="1115"/>
      <c r="D1348" s="1115"/>
      <c r="E1348" s="1115"/>
      <c r="F1348" s="1115"/>
      <c r="G1348" s="1115"/>
      <c r="H1348" s="1115"/>
      <c r="I1348" s="1115"/>
      <c r="J1348" s="1115"/>
      <c r="K1348" s="1115"/>
      <c r="L1348" s="1115"/>
      <c r="M1348" s="1115"/>
    </row>
    <row r="1349" spans="1:13" x14ac:dyDescent="0.2">
      <c r="A1349" s="1115"/>
      <c r="B1349" s="1115"/>
      <c r="C1349" s="1115"/>
      <c r="D1349" s="1115"/>
      <c r="E1349" s="1115"/>
      <c r="F1349" s="1115"/>
      <c r="G1349" s="1115"/>
      <c r="H1349" s="1115"/>
      <c r="I1349" s="1115"/>
      <c r="J1349" s="1115"/>
      <c r="K1349" s="1115"/>
      <c r="L1349" s="1115"/>
      <c r="M1349" s="1115"/>
    </row>
    <row r="1350" spans="1:13" x14ac:dyDescent="0.2">
      <c r="A1350" s="1115"/>
      <c r="B1350" s="1115"/>
      <c r="C1350" s="1115"/>
      <c r="D1350" s="1115"/>
      <c r="E1350" s="1115"/>
      <c r="F1350" s="1115"/>
      <c r="G1350" s="1115"/>
      <c r="H1350" s="1115"/>
      <c r="I1350" s="1115"/>
      <c r="J1350" s="1115"/>
      <c r="K1350" s="1115"/>
      <c r="L1350" s="1115"/>
      <c r="M1350" s="1115"/>
    </row>
    <row r="1351" spans="1:13" x14ac:dyDescent="0.2">
      <c r="A1351" s="1115"/>
      <c r="B1351" s="1115"/>
      <c r="C1351" s="1115"/>
      <c r="D1351" s="1115"/>
      <c r="E1351" s="1115"/>
      <c r="F1351" s="1115"/>
      <c r="G1351" s="1115"/>
      <c r="H1351" s="1115"/>
      <c r="I1351" s="1115"/>
      <c r="J1351" s="1115"/>
      <c r="K1351" s="1115"/>
      <c r="L1351" s="1115"/>
      <c r="M1351" s="1115"/>
    </row>
    <row r="1352" spans="1:13" x14ac:dyDescent="0.2">
      <c r="A1352" s="1115"/>
      <c r="B1352" s="1115"/>
      <c r="C1352" s="1115"/>
      <c r="D1352" s="1115"/>
      <c r="E1352" s="1115"/>
      <c r="F1352" s="1115"/>
      <c r="G1352" s="1115"/>
      <c r="H1352" s="1115"/>
      <c r="I1352" s="1115"/>
      <c r="J1352" s="1115"/>
      <c r="K1352" s="1115"/>
      <c r="L1352" s="1115"/>
      <c r="M1352" s="1115"/>
    </row>
    <row r="1353" spans="1:13" x14ac:dyDescent="0.2">
      <c r="A1353" s="1115"/>
      <c r="B1353" s="1115"/>
      <c r="C1353" s="1115"/>
      <c r="D1353" s="1115"/>
      <c r="E1353" s="1115"/>
      <c r="F1353" s="1115"/>
      <c r="G1353" s="1115"/>
      <c r="H1353" s="1115"/>
      <c r="I1353" s="1115"/>
      <c r="J1353" s="1115"/>
      <c r="K1353" s="1115"/>
      <c r="L1353" s="1115"/>
      <c r="M1353" s="1115"/>
    </row>
    <row r="1354" spans="1:13" x14ac:dyDescent="0.2">
      <c r="A1354" s="1115"/>
      <c r="B1354" s="1115"/>
      <c r="C1354" s="1115"/>
      <c r="D1354" s="1115"/>
      <c r="E1354" s="1115"/>
      <c r="F1354" s="1115"/>
      <c r="G1354" s="1115"/>
      <c r="H1354" s="1115"/>
      <c r="I1354" s="1115"/>
      <c r="J1354" s="1115"/>
      <c r="K1354" s="1115"/>
      <c r="L1354" s="1115"/>
      <c r="M1354" s="1115"/>
    </row>
    <row r="1355" spans="1:13" x14ac:dyDescent="0.2">
      <c r="A1355" s="1115"/>
      <c r="B1355" s="1115"/>
      <c r="C1355" s="1115"/>
      <c r="D1355" s="1115"/>
      <c r="E1355" s="1115"/>
      <c r="F1355" s="1115"/>
      <c r="G1355" s="1115"/>
      <c r="H1355" s="1115"/>
      <c r="I1355" s="1115"/>
      <c r="J1355" s="1115"/>
      <c r="K1355" s="1115"/>
      <c r="L1355" s="1115"/>
      <c r="M1355" s="1115"/>
    </row>
    <row r="1356" spans="1:13" x14ac:dyDescent="0.2">
      <c r="A1356" s="1115"/>
      <c r="B1356" s="1115"/>
      <c r="C1356" s="1115"/>
      <c r="D1356" s="1115"/>
      <c r="E1356" s="1115"/>
      <c r="F1356" s="1115"/>
      <c r="G1356" s="1115"/>
      <c r="H1356" s="1115"/>
      <c r="I1356" s="1115"/>
      <c r="J1356" s="1115"/>
      <c r="K1356" s="1115"/>
      <c r="L1356" s="1115"/>
      <c r="M1356" s="1115"/>
    </row>
    <row r="1357" spans="1:13" x14ac:dyDescent="0.2">
      <c r="A1357" s="1115"/>
      <c r="B1357" s="1115"/>
      <c r="C1357" s="1115"/>
      <c r="D1357" s="1115"/>
      <c r="E1357" s="1115"/>
      <c r="F1357" s="1115"/>
      <c r="G1357" s="1115"/>
      <c r="H1357" s="1115"/>
      <c r="I1357" s="1115"/>
      <c r="J1357" s="1115"/>
      <c r="K1357" s="1115"/>
      <c r="L1357" s="1115"/>
      <c r="M1357" s="1115"/>
    </row>
    <row r="1358" spans="1:13" x14ac:dyDescent="0.2">
      <c r="A1358" s="1115"/>
      <c r="B1358" s="1115"/>
      <c r="C1358" s="1115"/>
      <c r="D1358" s="1115"/>
      <c r="E1358" s="1115"/>
      <c r="F1358" s="1115"/>
      <c r="G1358" s="1115"/>
      <c r="H1358" s="1115"/>
      <c r="I1358" s="1115"/>
      <c r="J1358" s="1115"/>
      <c r="K1358" s="1115"/>
      <c r="L1358" s="1115"/>
      <c r="M1358" s="1115"/>
    </row>
    <row r="1359" spans="1:13" x14ac:dyDescent="0.2">
      <c r="A1359" s="1115"/>
      <c r="B1359" s="1115"/>
      <c r="C1359" s="1115"/>
      <c r="D1359" s="1115"/>
      <c r="E1359" s="1115"/>
      <c r="F1359" s="1115"/>
      <c r="G1359" s="1115"/>
      <c r="H1359" s="1115"/>
      <c r="I1359" s="1115"/>
      <c r="J1359" s="1115"/>
      <c r="K1359" s="1115"/>
      <c r="L1359" s="1115"/>
      <c r="M1359" s="1115"/>
    </row>
    <row r="1360" spans="1:13" x14ac:dyDescent="0.2">
      <c r="A1360" s="1115"/>
      <c r="B1360" s="1115"/>
      <c r="C1360" s="1115"/>
      <c r="D1360" s="1115"/>
      <c r="E1360" s="1115"/>
      <c r="F1360" s="1115"/>
      <c r="G1360" s="1115"/>
      <c r="H1360" s="1115"/>
      <c r="I1360" s="1115"/>
      <c r="J1360" s="1115"/>
      <c r="K1360" s="1115"/>
      <c r="L1360" s="1115"/>
      <c r="M1360" s="1115"/>
    </row>
    <row r="1361" spans="1:13" x14ac:dyDescent="0.2">
      <c r="A1361" s="1115"/>
      <c r="B1361" s="1115"/>
      <c r="C1361" s="1115"/>
      <c r="D1361" s="1115"/>
      <c r="E1361" s="1115"/>
      <c r="F1361" s="1115"/>
      <c r="G1361" s="1115"/>
      <c r="H1361" s="1115"/>
      <c r="I1361" s="1115"/>
      <c r="J1361" s="1115"/>
      <c r="K1361" s="1115"/>
      <c r="L1361" s="1115"/>
      <c r="M1361" s="1115"/>
    </row>
    <row r="1362" spans="1:13" x14ac:dyDescent="0.2">
      <c r="A1362" s="1115"/>
      <c r="B1362" s="1115"/>
      <c r="C1362" s="1115"/>
      <c r="D1362" s="1115"/>
      <c r="E1362" s="1115"/>
      <c r="F1362" s="1115"/>
      <c r="G1362" s="1115"/>
      <c r="H1362" s="1115"/>
      <c r="I1362" s="1115"/>
      <c r="J1362" s="1115"/>
      <c r="K1362" s="1115"/>
      <c r="L1362" s="1115"/>
      <c r="M1362" s="1115"/>
    </row>
    <row r="1363" spans="1:13" x14ac:dyDescent="0.2">
      <c r="A1363" s="1115"/>
      <c r="B1363" s="1115"/>
      <c r="C1363" s="1115"/>
      <c r="D1363" s="1115"/>
      <c r="E1363" s="1115"/>
      <c r="F1363" s="1115"/>
      <c r="G1363" s="1115"/>
      <c r="H1363" s="1115"/>
      <c r="I1363" s="1115"/>
      <c r="J1363" s="1115"/>
      <c r="K1363" s="1115"/>
      <c r="L1363" s="1115"/>
      <c r="M1363" s="1115"/>
    </row>
    <row r="1364" spans="1:13" x14ac:dyDescent="0.2">
      <c r="A1364" s="1115"/>
      <c r="B1364" s="1115"/>
      <c r="C1364" s="1115"/>
      <c r="D1364" s="1115"/>
      <c r="E1364" s="1115"/>
      <c r="F1364" s="1115"/>
      <c r="G1364" s="1115"/>
      <c r="H1364" s="1115"/>
      <c r="I1364" s="1115"/>
      <c r="J1364" s="1115"/>
      <c r="K1364" s="1115"/>
      <c r="L1364" s="1115"/>
      <c r="M1364" s="1115"/>
    </row>
    <row r="1365" spans="1:13" x14ac:dyDescent="0.2">
      <c r="A1365" s="1115"/>
      <c r="B1365" s="1115"/>
      <c r="C1365" s="1115"/>
      <c r="D1365" s="1115"/>
      <c r="E1365" s="1115"/>
      <c r="F1365" s="1115"/>
      <c r="G1365" s="1115"/>
      <c r="H1365" s="1115"/>
      <c r="I1365" s="1115"/>
      <c r="J1365" s="1115"/>
      <c r="K1365" s="1115"/>
      <c r="L1365" s="1115"/>
      <c r="M1365" s="1115"/>
    </row>
    <row r="1366" spans="1:13" x14ac:dyDescent="0.2">
      <c r="A1366" s="1115"/>
      <c r="B1366" s="1115"/>
      <c r="C1366" s="1115"/>
      <c r="D1366" s="1115"/>
      <c r="E1366" s="1115"/>
      <c r="F1366" s="1115"/>
      <c r="G1366" s="1115"/>
      <c r="H1366" s="1115"/>
      <c r="I1366" s="1115"/>
      <c r="J1366" s="1115"/>
      <c r="K1366" s="1115"/>
      <c r="L1366" s="1115"/>
      <c r="M1366" s="1115"/>
    </row>
    <row r="1367" spans="1:13" x14ac:dyDescent="0.2">
      <c r="A1367" s="1115"/>
      <c r="B1367" s="1115"/>
      <c r="C1367" s="1115"/>
      <c r="D1367" s="1115"/>
      <c r="E1367" s="1115"/>
      <c r="F1367" s="1115"/>
      <c r="G1367" s="1115"/>
      <c r="H1367" s="1115"/>
      <c r="I1367" s="1115"/>
      <c r="J1367" s="1115"/>
      <c r="K1367" s="1115"/>
      <c r="L1367" s="1115"/>
      <c r="M1367" s="1115"/>
    </row>
    <row r="1368" spans="1:13" x14ac:dyDescent="0.2">
      <c r="A1368" s="1115"/>
      <c r="B1368" s="1115"/>
      <c r="C1368" s="1115"/>
      <c r="D1368" s="1115"/>
      <c r="E1368" s="1115"/>
      <c r="F1368" s="1115"/>
      <c r="G1368" s="1115"/>
      <c r="H1368" s="1115"/>
      <c r="I1368" s="1115"/>
      <c r="J1368" s="1115"/>
      <c r="K1368" s="1115"/>
      <c r="L1368" s="1115"/>
      <c r="M1368" s="1115"/>
    </row>
    <row r="1369" spans="1:13" x14ac:dyDescent="0.2">
      <c r="A1369" s="1115"/>
      <c r="B1369" s="1115"/>
      <c r="C1369" s="1115"/>
      <c r="D1369" s="1115"/>
      <c r="E1369" s="1115"/>
      <c r="F1369" s="1115"/>
      <c r="G1369" s="1115"/>
      <c r="H1369" s="1115"/>
      <c r="I1369" s="1115"/>
      <c r="J1369" s="1115"/>
      <c r="K1369" s="1115"/>
      <c r="L1369" s="1115"/>
      <c r="M1369" s="1115"/>
    </row>
    <row r="1370" spans="1:13" x14ac:dyDescent="0.2">
      <c r="A1370" s="1115"/>
      <c r="B1370" s="1115"/>
      <c r="C1370" s="1115"/>
      <c r="D1370" s="1115"/>
      <c r="E1370" s="1115"/>
      <c r="F1370" s="1115"/>
      <c r="G1370" s="1115"/>
      <c r="H1370" s="1115"/>
      <c r="I1370" s="1115"/>
      <c r="J1370" s="1115"/>
      <c r="K1370" s="1115"/>
      <c r="L1370" s="1115"/>
      <c r="M1370" s="1115"/>
    </row>
    <row r="1371" spans="1:13" x14ac:dyDescent="0.2">
      <c r="A1371" s="1115"/>
      <c r="B1371" s="1115"/>
      <c r="C1371" s="1115"/>
      <c r="D1371" s="1115"/>
      <c r="E1371" s="1115"/>
      <c r="F1371" s="1115"/>
      <c r="G1371" s="1115"/>
      <c r="H1371" s="1115"/>
      <c r="I1371" s="1115"/>
      <c r="J1371" s="1115"/>
      <c r="K1371" s="1115"/>
      <c r="L1371" s="1115"/>
      <c r="M1371" s="1115"/>
    </row>
    <row r="1372" spans="1:13" x14ac:dyDescent="0.2">
      <c r="A1372" s="1115"/>
      <c r="B1372" s="1115"/>
      <c r="C1372" s="1115"/>
      <c r="D1372" s="1115"/>
      <c r="E1372" s="1115"/>
      <c r="F1372" s="1115"/>
      <c r="G1372" s="1115"/>
      <c r="H1372" s="1115"/>
      <c r="I1372" s="1115"/>
      <c r="J1372" s="1115"/>
      <c r="K1372" s="1115"/>
      <c r="L1372" s="1115"/>
      <c r="M1372" s="1115"/>
    </row>
    <row r="1373" spans="1:13" x14ac:dyDescent="0.2">
      <c r="A1373" s="1115"/>
      <c r="B1373" s="1115"/>
      <c r="C1373" s="1115"/>
      <c r="D1373" s="1115"/>
      <c r="E1373" s="1115"/>
      <c r="F1373" s="1115"/>
      <c r="G1373" s="1115"/>
      <c r="H1373" s="1115"/>
      <c r="I1373" s="1115"/>
      <c r="J1373" s="1115"/>
      <c r="K1373" s="1115"/>
      <c r="L1373" s="1115"/>
      <c r="M1373" s="1115"/>
    </row>
    <row r="1374" spans="1:13" x14ac:dyDescent="0.2">
      <c r="A1374" s="1115"/>
      <c r="B1374" s="1115"/>
      <c r="C1374" s="1115"/>
      <c r="D1374" s="1115"/>
      <c r="E1374" s="1115"/>
      <c r="F1374" s="1115"/>
      <c r="G1374" s="1115"/>
      <c r="H1374" s="1115"/>
      <c r="I1374" s="1115"/>
      <c r="J1374" s="1115"/>
      <c r="K1374" s="1115"/>
      <c r="L1374" s="1115"/>
      <c r="M1374" s="1115"/>
    </row>
    <row r="1375" spans="1:13" x14ac:dyDescent="0.2">
      <c r="A1375" s="1115"/>
      <c r="B1375" s="1115"/>
      <c r="C1375" s="1115"/>
      <c r="D1375" s="1115"/>
      <c r="E1375" s="1115"/>
      <c r="F1375" s="1115"/>
      <c r="G1375" s="1115"/>
      <c r="H1375" s="1115"/>
      <c r="I1375" s="1115"/>
      <c r="J1375" s="1115"/>
      <c r="K1375" s="1115"/>
      <c r="L1375" s="1115"/>
      <c r="M1375" s="1115"/>
    </row>
    <row r="1376" spans="1:13" x14ac:dyDescent="0.2">
      <c r="A1376" s="1115"/>
      <c r="B1376" s="1115"/>
      <c r="C1376" s="1115"/>
      <c r="D1376" s="1115"/>
      <c r="E1376" s="1115"/>
      <c r="F1376" s="1115"/>
      <c r="G1376" s="1115"/>
      <c r="H1376" s="1115"/>
      <c r="I1376" s="1115"/>
      <c r="J1376" s="1115"/>
      <c r="K1376" s="1115"/>
      <c r="L1376" s="1115"/>
      <c r="M1376" s="1115"/>
    </row>
    <row r="1377" spans="1:13" x14ac:dyDescent="0.2">
      <c r="A1377" s="1115"/>
      <c r="B1377" s="1115"/>
      <c r="C1377" s="1115"/>
      <c r="D1377" s="1115"/>
      <c r="E1377" s="1115"/>
      <c r="F1377" s="1115"/>
      <c r="G1377" s="1115"/>
      <c r="H1377" s="1115"/>
      <c r="I1377" s="1115"/>
      <c r="J1377" s="1115"/>
      <c r="K1377" s="1115"/>
      <c r="L1377" s="1115"/>
      <c r="M1377" s="1115"/>
    </row>
    <row r="1378" spans="1:13" x14ac:dyDescent="0.2">
      <c r="A1378" s="1115"/>
      <c r="B1378" s="1115"/>
      <c r="C1378" s="1115"/>
      <c r="D1378" s="1115"/>
      <c r="E1378" s="1115"/>
      <c r="F1378" s="1115"/>
      <c r="G1378" s="1115"/>
      <c r="H1378" s="1115"/>
      <c r="I1378" s="1115"/>
      <c r="J1378" s="1115"/>
      <c r="K1378" s="1115"/>
      <c r="L1378" s="1115"/>
      <c r="M1378" s="1115"/>
    </row>
    <row r="1379" spans="1:13" x14ac:dyDescent="0.2">
      <c r="A1379" s="1115"/>
      <c r="B1379" s="1115"/>
      <c r="C1379" s="1115"/>
      <c r="D1379" s="1115"/>
      <c r="E1379" s="1115"/>
      <c r="F1379" s="1115"/>
      <c r="G1379" s="1115"/>
      <c r="H1379" s="1115"/>
      <c r="I1379" s="1115"/>
      <c r="J1379" s="1115"/>
      <c r="K1379" s="1115"/>
      <c r="L1379" s="1115"/>
      <c r="M1379" s="1115"/>
    </row>
    <row r="1380" spans="1:13" x14ac:dyDescent="0.2">
      <c r="A1380" s="1115"/>
      <c r="B1380" s="1115"/>
      <c r="C1380" s="1115"/>
      <c r="D1380" s="1115"/>
      <c r="E1380" s="1115"/>
      <c r="F1380" s="1115"/>
      <c r="G1380" s="1115"/>
      <c r="H1380" s="1115"/>
      <c r="I1380" s="1115"/>
      <c r="J1380" s="1115"/>
      <c r="K1380" s="1115"/>
      <c r="L1380" s="1115"/>
      <c r="M1380" s="1115"/>
    </row>
    <row r="1381" spans="1:13" x14ac:dyDescent="0.2">
      <c r="A1381" s="1115"/>
      <c r="B1381" s="1115"/>
      <c r="C1381" s="1115"/>
      <c r="D1381" s="1115"/>
      <c r="E1381" s="1115"/>
      <c r="F1381" s="1115"/>
      <c r="G1381" s="1115"/>
      <c r="H1381" s="1115"/>
      <c r="I1381" s="1115"/>
      <c r="J1381" s="1115"/>
      <c r="K1381" s="1115"/>
      <c r="L1381" s="1115"/>
      <c r="M1381" s="1115"/>
    </row>
    <row r="1382" spans="1:13" x14ac:dyDescent="0.2">
      <c r="A1382" s="1115"/>
      <c r="B1382" s="1115"/>
      <c r="C1382" s="1115"/>
      <c r="D1382" s="1115"/>
      <c r="E1382" s="1115"/>
      <c r="F1382" s="1115"/>
      <c r="G1382" s="1115"/>
      <c r="H1382" s="1115"/>
      <c r="I1382" s="1115"/>
      <c r="J1382" s="1115"/>
      <c r="K1382" s="1115"/>
      <c r="L1382" s="1115"/>
      <c r="M1382" s="1115"/>
    </row>
    <row r="1383" spans="1:13" x14ac:dyDescent="0.2">
      <c r="A1383" s="1115"/>
      <c r="B1383" s="1115"/>
      <c r="C1383" s="1115"/>
      <c r="D1383" s="1115"/>
      <c r="E1383" s="1115"/>
      <c r="F1383" s="1115"/>
      <c r="G1383" s="1115"/>
      <c r="H1383" s="1115"/>
      <c r="I1383" s="1115"/>
      <c r="J1383" s="1115"/>
      <c r="K1383" s="1115"/>
      <c r="L1383" s="1115"/>
      <c r="M1383" s="1115"/>
    </row>
    <row r="1384" spans="1:13" x14ac:dyDescent="0.2">
      <c r="A1384" s="1115"/>
      <c r="B1384" s="1115"/>
      <c r="C1384" s="1115"/>
      <c r="D1384" s="1115"/>
      <c r="E1384" s="1115"/>
      <c r="F1384" s="1115"/>
      <c r="G1384" s="1115"/>
      <c r="H1384" s="1115"/>
      <c r="I1384" s="1115"/>
      <c r="J1384" s="1115"/>
      <c r="K1384" s="1115"/>
      <c r="L1384" s="1115"/>
      <c r="M1384" s="1115"/>
    </row>
    <row r="1385" spans="1:13" x14ac:dyDescent="0.2">
      <c r="A1385" s="1115"/>
      <c r="B1385" s="1115"/>
      <c r="C1385" s="1115"/>
      <c r="D1385" s="1115"/>
      <c r="E1385" s="1115"/>
      <c r="F1385" s="1115"/>
      <c r="G1385" s="1115"/>
      <c r="H1385" s="1115"/>
      <c r="I1385" s="1115"/>
      <c r="J1385" s="1115"/>
      <c r="K1385" s="1115"/>
      <c r="L1385" s="1115"/>
      <c r="M1385" s="1115"/>
    </row>
    <row r="1386" spans="1:13" x14ac:dyDescent="0.2">
      <c r="A1386" s="1115"/>
      <c r="B1386" s="1115"/>
      <c r="C1386" s="1115"/>
      <c r="D1386" s="1115"/>
      <c r="E1386" s="1115"/>
      <c r="F1386" s="1115"/>
      <c r="G1386" s="1115"/>
      <c r="H1386" s="1115"/>
      <c r="I1386" s="1115"/>
      <c r="J1386" s="1115"/>
      <c r="K1386" s="1115"/>
      <c r="L1386" s="1115"/>
      <c r="M1386" s="1115"/>
    </row>
    <row r="1387" spans="1:13" x14ac:dyDescent="0.2">
      <c r="A1387" s="1115"/>
      <c r="B1387" s="1115"/>
      <c r="C1387" s="1115"/>
      <c r="D1387" s="1115"/>
      <c r="E1387" s="1115"/>
      <c r="F1387" s="1115"/>
      <c r="G1387" s="1115"/>
      <c r="H1387" s="1115"/>
      <c r="I1387" s="1115"/>
      <c r="J1387" s="1115"/>
      <c r="K1387" s="1115"/>
      <c r="L1387" s="1115"/>
      <c r="M1387" s="1115"/>
    </row>
    <row r="1388" spans="1:13" x14ac:dyDescent="0.2">
      <c r="A1388" s="1115"/>
      <c r="B1388" s="1115"/>
      <c r="C1388" s="1115"/>
      <c r="D1388" s="1115"/>
      <c r="E1388" s="1115"/>
      <c r="F1388" s="1115"/>
      <c r="G1388" s="1115"/>
      <c r="H1388" s="1115"/>
      <c r="I1388" s="1115"/>
      <c r="J1388" s="1115"/>
      <c r="K1388" s="1115"/>
      <c r="L1388" s="1115"/>
      <c r="M1388" s="1115"/>
    </row>
    <row r="1389" spans="1:13" x14ac:dyDescent="0.2">
      <c r="A1389" s="1115"/>
      <c r="B1389" s="1115"/>
      <c r="C1389" s="1115"/>
      <c r="D1389" s="1115"/>
      <c r="E1389" s="1115"/>
      <c r="F1389" s="1115"/>
      <c r="G1389" s="1115"/>
      <c r="H1389" s="1115"/>
      <c r="I1389" s="1115"/>
      <c r="J1389" s="1115"/>
      <c r="K1389" s="1115"/>
      <c r="L1389" s="1115"/>
      <c r="M1389" s="1115"/>
    </row>
    <row r="1390" spans="1:13" x14ac:dyDescent="0.2">
      <c r="A1390" s="1115"/>
      <c r="B1390" s="1115"/>
      <c r="C1390" s="1115"/>
      <c r="D1390" s="1115"/>
      <c r="E1390" s="1115"/>
      <c r="F1390" s="1115"/>
      <c r="G1390" s="1115"/>
      <c r="H1390" s="1115"/>
      <c r="I1390" s="1115"/>
      <c r="J1390" s="1115"/>
      <c r="K1390" s="1115"/>
      <c r="L1390" s="1115"/>
      <c r="M1390" s="1115"/>
    </row>
    <row r="1391" spans="1:13" x14ac:dyDescent="0.2">
      <c r="A1391" s="1115"/>
      <c r="B1391" s="1115"/>
      <c r="C1391" s="1115"/>
      <c r="D1391" s="1115"/>
      <c r="E1391" s="1115"/>
      <c r="F1391" s="1115"/>
      <c r="G1391" s="1115"/>
      <c r="H1391" s="1115"/>
      <c r="I1391" s="1115"/>
      <c r="J1391" s="1115"/>
      <c r="K1391" s="1115"/>
      <c r="L1391" s="1115"/>
      <c r="M1391" s="1115"/>
    </row>
    <row r="1392" spans="1:13" x14ac:dyDescent="0.2">
      <c r="A1392" s="1115"/>
      <c r="B1392" s="1115"/>
      <c r="C1392" s="1115"/>
      <c r="D1392" s="1115"/>
      <c r="E1392" s="1115"/>
      <c r="F1392" s="1115"/>
      <c r="G1392" s="1115"/>
      <c r="H1392" s="1115"/>
      <c r="I1392" s="1115"/>
      <c r="J1392" s="1115"/>
      <c r="K1392" s="1115"/>
      <c r="L1392" s="1115"/>
      <c r="M1392" s="1115"/>
    </row>
    <row r="1393" spans="1:13" x14ac:dyDescent="0.2">
      <c r="A1393" s="1115"/>
      <c r="B1393" s="1115"/>
      <c r="C1393" s="1115"/>
      <c r="D1393" s="1115"/>
      <c r="E1393" s="1115"/>
      <c r="F1393" s="1115"/>
      <c r="G1393" s="1115"/>
      <c r="H1393" s="1115"/>
      <c r="I1393" s="1115"/>
      <c r="J1393" s="1115"/>
      <c r="K1393" s="1115"/>
      <c r="L1393" s="1115"/>
      <c r="M1393" s="1115"/>
    </row>
    <row r="1394" spans="1:13" x14ac:dyDescent="0.2">
      <c r="A1394" s="1115"/>
      <c r="B1394" s="1115"/>
      <c r="C1394" s="1115"/>
      <c r="D1394" s="1115"/>
      <c r="E1394" s="1115"/>
      <c r="F1394" s="1115"/>
      <c r="G1394" s="1115"/>
      <c r="H1394" s="1115"/>
      <c r="I1394" s="1115"/>
      <c r="J1394" s="1115"/>
      <c r="K1394" s="1115"/>
      <c r="L1394" s="1115"/>
      <c r="M1394" s="1115"/>
    </row>
    <row r="1395" spans="1:13" x14ac:dyDescent="0.2">
      <c r="A1395" s="1115"/>
      <c r="B1395" s="1115"/>
      <c r="C1395" s="1115"/>
      <c r="D1395" s="1115"/>
      <c r="E1395" s="1115"/>
      <c r="F1395" s="1115"/>
      <c r="G1395" s="1115"/>
      <c r="H1395" s="1115"/>
      <c r="I1395" s="1115"/>
      <c r="J1395" s="1115"/>
      <c r="K1395" s="1115"/>
      <c r="L1395" s="1115"/>
      <c r="M1395" s="1115"/>
    </row>
    <row r="1396" spans="1:13" x14ac:dyDescent="0.2">
      <c r="A1396" s="1115"/>
      <c r="B1396" s="1115"/>
      <c r="C1396" s="1115"/>
      <c r="D1396" s="1115"/>
      <c r="E1396" s="1115"/>
      <c r="F1396" s="1115"/>
      <c r="G1396" s="1115"/>
      <c r="H1396" s="1115"/>
      <c r="I1396" s="1115"/>
      <c r="J1396" s="1115"/>
      <c r="K1396" s="1115"/>
      <c r="L1396" s="1115"/>
      <c r="M1396" s="1115"/>
    </row>
    <row r="1397" spans="1:13" x14ac:dyDescent="0.2">
      <c r="A1397" s="1115"/>
      <c r="B1397" s="1115"/>
      <c r="C1397" s="1115"/>
      <c r="D1397" s="1115"/>
      <c r="E1397" s="1115"/>
      <c r="F1397" s="1115"/>
      <c r="G1397" s="1115"/>
      <c r="H1397" s="1115"/>
      <c r="I1397" s="1115"/>
      <c r="J1397" s="1115"/>
      <c r="K1397" s="1115"/>
      <c r="L1397" s="1115"/>
      <c r="M1397" s="1115"/>
    </row>
    <row r="1398" spans="1:13" x14ac:dyDescent="0.2">
      <c r="A1398" s="1115"/>
      <c r="B1398" s="1115"/>
      <c r="C1398" s="1115"/>
      <c r="D1398" s="1115"/>
      <c r="E1398" s="1115"/>
      <c r="F1398" s="1115"/>
      <c r="G1398" s="1115"/>
      <c r="H1398" s="1115"/>
      <c r="I1398" s="1115"/>
      <c r="J1398" s="1115"/>
      <c r="K1398" s="1115"/>
      <c r="L1398" s="1115"/>
      <c r="M1398" s="1115"/>
    </row>
    <row r="1399" spans="1:13" x14ac:dyDescent="0.2">
      <c r="A1399" s="1115"/>
      <c r="B1399" s="1115"/>
      <c r="C1399" s="1115"/>
      <c r="D1399" s="1115"/>
      <c r="E1399" s="1115"/>
      <c r="F1399" s="1115"/>
      <c r="G1399" s="1115"/>
      <c r="H1399" s="1115"/>
      <c r="I1399" s="1115"/>
      <c r="J1399" s="1115"/>
      <c r="K1399" s="1115"/>
      <c r="L1399" s="1115"/>
      <c r="M1399" s="1115"/>
    </row>
    <row r="1400" spans="1:13" x14ac:dyDescent="0.2">
      <c r="A1400" s="1115"/>
      <c r="B1400" s="1115"/>
      <c r="C1400" s="1115"/>
      <c r="D1400" s="1115"/>
      <c r="E1400" s="1115"/>
      <c r="F1400" s="1115"/>
      <c r="G1400" s="1115"/>
      <c r="H1400" s="1115"/>
      <c r="I1400" s="1115"/>
      <c r="J1400" s="1115"/>
      <c r="K1400" s="1115"/>
      <c r="L1400" s="1115"/>
      <c r="M1400" s="1115"/>
    </row>
    <row r="1401" spans="1:13" x14ac:dyDescent="0.2">
      <c r="A1401" s="1115"/>
      <c r="B1401" s="1115"/>
      <c r="C1401" s="1115"/>
      <c r="D1401" s="1115"/>
      <c r="E1401" s="1115"/>
      <c r="F1401" s="1115"/>
      <c r="G1401" s="1115"/>
      <c r="H1401" s="1115"/>
      <c r="I1401" s="1115"/>
      <c r="J1401" s="1115"/>
      <c r="K1401" s="1115"/>
      <c r="L1401" s="1115"/>
      <c r="M1401" s="1115"/>
    </row>
    <row r="1402" spans="1:13" x14ac:dyDescent="0.2">
      <c r="A1402" s="1115"/>
      <c r="B1402" s="1115"/>
      <c r="C1402" s="1115"/>
      <c r="D1402" s="1115"/>
      <c r="E1402" s="1115"/>
      <c r="F1402" s="1115"/>
      <c r="G1402" s="1115"/>
      <c r="H1402" s="1115"/>
      <c r="I1402" s="1115"/>
      <c r="J1402" s="1115"/>
      <c r="K1402" s="1115"/>
      <c r="L1402" s="1115"/>
      <c r="M1402" s="1115"/>
    </row>
    <row r="1403" spans="1:13" x14ac:dyDescent="0.2">
      <c r="A1403" s="1115"/>
      <c r="B1403" s="1115"/>
      <c r="C1403" s="1115"/>
      <c r="D1403" s="1115"/>
      <c r="E1403" s="1115"/>
      <c r="F1403" s="1115"/>
      <c r="G1403" s="1115"/>
      <c r="H1403" s="1115"/>
      <c r="I1403" s="1115"/>
      <c r="J1403" s="1115"/>
      <c r="K1403" s="1115"/>
      <c r="L1403" s="1115"/>
      <c r="M1403" s="1115"/>
    </row>
    <row r="1404" spans="1:13" x14ac:dyDescent="0.2">
      <c r="A1404" s="1115"/>
      <c r="B1404" s="1115"/>
      <c r="C1404" s="1115"/>
      <c r="D1404" s="1115"/>
      <c r="E1404" s="1115"/>
      <c r="F1404" s="1115"/>
      <c r="G1404" s="1115"/>
      <c r="H1404" s="1115"/>
      <c r="I1404" s="1115"/>
      <c r="J1404" s="1115"/>
      <c r="K1404" s="1115"/>
      <c r="L1404" s="1115"/>
      <c r="M1404" s="1115"/>
    </row>
    <row r="1405" spans="1:13" x14ac:dyDescent="0.2">
      <c r="A1405" s="1115"/>
      <c r="B1405" s="1115"/>
      <c r="C1405" s="1115"/>
      <c r="D1405" s="1115"/>
      <c r="E1405" s="1115"/>
      <c r="F1405" s="1115"/>
      <c r="G1405" s="1115"/>
      <c r="H1405" s="1115"/>
      <c r="I1405" s="1115"/>
      <c r="J1405" s="1115"/>
      <c r="K1405" s="1115"/>
      <c r="L1405" s="1115"/>
      <c r="M1405" s="1115"/>
    </row>
    <row r="1406" spans="1:13" x14ac:dyDescent="0.2">
      <c r="A1406" s="1115"/>
      <c r="B1406" s="1115"/>
      <c r="C1406" s="1115"/>
      <c r="D1406" s="1115"/>
      <c r="E1406" s="1115"/>
      <c r="F1406" s="1115"/>
      <c r="G1406" s="1115"/>
      <c r="H1406" s="1115"/>
      <c r="I1406" s="1115"/>
      <c r="J1406" s="1115"/>
      <c r="K1406" s="1115"/>
      <c r="L1406" s="1115"/>
      <c r="M1406" s="1115"/>
    </row>
    <row r="1407" spans="1:13" x14ac:dyDescent="0.2">
      <c r="A1407" s="1115"/>
      <c r="B1407" s="1115"/>
      <c r="C1407" s="1115"/>
      <c r="D1407" s="1115"/>
      <c r="E1407" s="1115"/>
      <c r="F1407" s="1115"/>
      <c r="G1407" s="1115"/>
      <c r="H1407" s="1115"/>
      <c r="I1407" s="1115"/>
      <c r="J1407" s="1115"/>
      <c r="K1407" s="1115"/>
      <c r="L1407" s="1115"/>
      <c r="M1407" s="1115"/>
    </row>
    <row r="1408" spans="1:13" x14ac:dyDescent="0.2">
      <c r="A1408" s="1115"/>
      <c r="B1408" s="1115"/>
      <c r="C1408" s="1115"/>
      <c r="D1408" s="1115"/>
      <c r="E1408" s="1115"/>
      <c r="F1408" s="1115"/>
      <c r="G1408" s="1115"/>
      <c r="H1408" s="1115"/>
      <c r="I1408" s="1115"/>
      <c r="J1408" s="1115"/>
      <c r="K1408" s="1115"/>
      <c r="L1408" s="1115"/>
      <c r="M1408" s="1115"/>
    </row>
    <row r="1409" spans="1:13" x14ac:dyDescent="0.2">
      <c r="A1409" s="1115"/>
      <c r="B1409" s="1115"/>
      <c r="C1409" s="1115"/>
      <c r="D1409" s="1115"/>
      <c r="E1409" s="1115"/>
      <c r="F1409" s="1115"/>
      <c r="G1409" s="1115"/>
      <c r="H1409" s="1115"/>
      <c r="I1409" s="1115"/>
      <c r="J1409" s="1115"/>
      <c r="K1409" s="1115"/>
      <c r="L1409" s="1115"/>
      <c r="M1409" s="1115"/>
    </row>
    <row r="1410" spans="1:13" x14ac:dyDescent="0.2">
      <c r="A1410" s="1115"/>
      <c r="B1410" s="1115"/>
      <c r="C1410" s="1115"/>
      <c r="D1410" s="1115"/>
      <c r="E1410" s="1115"/>
      <c r="F1410" s="1115"/>
      <c r="G1410" s="1115"/>
      <c r="H1410" s="1115"/>
      <c r="I1410" s="1115"/>
      <c r="J1410" s="1115"/>
      <c r="K1410" s="1115"/>
      <c r="L1410" s="1115"/>
      <c r="M1410" s="1115"/>
    </row>
    <row r="1411" spans="1:13" x14ac:dyDescent="0.2">
      <c r="A1411" s="1115"/>
      <c r="B1411" s="1115"/>
      <c r="C1411" s="1115"/>
      <c r="D1411" s="1115"/>
      <c r="E1411" s="1115"/>
      <c r="F1411" s="1115"/>
      <c r="G1411" s="1115"/>
      <c r="H1411" s="1115"/>
      <c r="I1411" s="1115"/>
      <c r="J1411" s="1115"/>
      <c r="K1411" s="1115"/>
      <c r="L1411" s="1115"/>
      <c r="M1411" s="1115"/>
    </row>
    <row r="1412" spans="1:13" x14ac:dyDescent="0.2">
      <c r="A1412" s="1115"/>
      <c r="B1412" s="1115"/>
      <c r="C1412" s="1115"/>
      <c r="D1412" s="1115"/>
      <c r="E1412" s="1115"/>
      <c r="F1412" s="1115"/>
      <c r="G1412" s="1115"/>
      <c r="H1412" s="1115"/>
      <c r="I1412" s="1115"/>
      <c r="J1412" s="1115"/>
      <c r="K1412" s="1115"/>
      <c r="L1412" s="1115"/>
      <c r="M1412" s="1115"/>
    </row>
    <row r="1413" spans="1:13" x14ac:dyDescent="0.2">
      <c r="A1413" s="1115"/>
      <c r="B1413" s="1115"/>
      <c r="C1413" s="1115"/>
      <c r="D1413" s="1115"/>
      <c r="E1413" s="1115"/>
      <c r="F1413" s="1115"/>
      <c r="G1413" s="1115"/>
      <c r="H1413" s="1115"/>
      <c r="I1413" s="1115"/>
      <c r="J1413" s="1115"/>
      <c r="K1413" s="1115"/>
      <c r="L1413" s="1115"/>
      <c r="M1413" s="1115"/>
    </row>
    <row r="1414" spans="1:13" x14ac:dyDescent="0.2">
      <c r="A1414" s="1115"/>
      <c r="B1414" s="1115"/>
      <c r="C1414" s="1115"/>
      <c r="D1414" s="1115"/>
      <c r="E1414" s="1115"/>
      <c r="F1414" s="1115"/>
      <c r="G1414" s="1115"/>
      <c r="H1414" s="1115"/>
      <c r="I1414" s="1115"/>
      <c r="J1414" s="1115"/>
      <c r="K1414" s="1115"/>
      <c r="L1414" s="1115"/>
      <c r="M1414" s="1115"/>
    </row>
    <row r="1415" spans="1:13" x14ac:dyDescent="0.2">
      <c r="A1415" s="1115"/>
      <c r="B1415" s="1115"/>
      <c r="C1415" s="1115"/>
      <c r="D1415" s="1115"/>
      <c r="E1415" s="1115"/>
      <c r="F1415" s="1115"/>
      <c r="G1415" s="1115"/>
      <c r="H1415" s="1115"/>
      <c r="I1415" s="1115"/>
      <c r="J1415" s="1115"/>
      <c r="K1415" s="1115"/>
      <c r="L1415" s="1115"/>
      <c r="M1415" s="1115"/>
    </row>
    <row r="1416" spans="1:13" x14ac:dyDescent="0.2">
      <c r="A1416" s="1115"/>
      <c r="B1416" s="1115"/>
      <c r="C1416" s="1115"/>
      <c r="D1416" s="1115"/>
      <c r="E1416" s="1115"/>
      <c r="F1416" s="1115"/>
      <c r="G1416" s="1115"/>
      <c r="H1416" s="1115"/>
      <c r="I1416" s="1115"/>
      <c r="J1416" s="1115"/>
      <c r="K1416" s="1115"/>
      <c r="L1416" s="1115"/>
      <c r="M1416" s="1115"/>
    </row>
    <row r="1417" spans="1:13" x14ac:dyDescent="0.2">
      <c r="A1417" s="1115"/>
      <c r="B1417" s="1115"/>
      <c r="C1417" s="1115"/>
      <c r="D1417" s="1115"/>
      <c r="E1417" s="1115"/>
      <c r="F1417" s="1115"/>
      <c r="G1417" s="1115"/>
      <c r="H1417" s="1115"/>
      <c r="I1417" s="1115"/>
      <c r="J1417" s="1115"/>
      <c r="K1417" s="1115"/>
      <c r="L1417" s="1115"/>
      <c r="M1417" s="1115"/>
    </row>
    <row r="1418" spans="1:13" x14ac:dyDescent="0.2">
      <c r="A1418" s="1115"/>
      <c r="B1418" s="1115"/>
      <c r="C1418" s="1115"/>
      <c r="D1418" s="1115"/>
      <c r="E1418" s="1115"/>
      <c r="F1418" s="1115"/>
      <c r="G1418" s="1115"/>
      <c r="H1418" s="1115"/>
      <c r="I1418" s="1115"/>
      <c r="J1418" s="1115"/>
      <c r="K1418" s="1115"/>
      <c r="L1418" s="1115"/>
      <c r="M1418" s="1115"/>
    </row>
    <row r="1419" spans="1:13" x14ac:dyDescent="0.2">
      <c r="A1419" s="1115"/>
      <c r="B1419" s="1115"/>
      <c r="C1419" s="1115"/>
      <c r="D1419" s="1115"/>
      <c r="E1419" s="1115"/>
      <c r="F1419" s="1115"/>
      <c r="G1419" s="1115"/>
      <c r="H1419" s="1115"/>
      <c r="I1419" s="1115"/>
      <c r="J1419" s="1115"/>
      <c r="K1419" s="1115"/>
      <c r="L1419" s="1115"/>
      <c r="M1419" s="1115"/>
    </row>
    <row r="1420" spans="1:13" x14ac:dyDescent="0.2">
      <c r="A1420" s="1115"/>
      <c r="B1420" s="1115"/>
      <c r="C1420" s="1115"/>
      <c r="D1420" s="1115"/>
      <c r="E1420" s="1115"/>
      <c r="F1420" s="1115"/>
      <c r="G1420" s="1115"/>
      <c r="H1420" s="1115"/>
      <c r="I1420" s="1115"/>
      <c r="J1420" s="1115"/>
      <c r="K1420" s="1115"/>
      <c r="L1420" s="1115"/>
      <c r="M1420" s="1115"/>
    </row>
    <row r="1421" spans="1:13" x14ac:dyDescent="0.2">
      <c r="A1421" s="1115"/>
      <c r="B1421" s="1115"/>
      <c r="C1421" s="1115"/>
      <c r="D1421" s="1115"/>
      <c r="E1421" s="1115"/>
      <c r="F1421" s="1115"/>
      <c r="G1421" s="1115"/>
      <c r="H1421" s="1115"/>
      <c r="I1421" s="1115"/>
      <c r="J1421" s="1115"/>
      <c r="K1421" s="1115"/>
      <c r="L1421" s="1115"/>
      <c r="M1421" s="1115"/>
    </row>
    <row r="1422" spans="1:13" x14ac:dyDescent="0.2">
      <c r="A1422" s="1115"/>
      <c r="B1422" s="1115"/>
      <c r="C1422" s="1115"/>
      <c r="D1422" s="1115"/>
      <c r="E1422" s="1115"/>
      <c r="F1422" s="1115"/>
      <c r="G1422" s="1115"/>
      <c r="H1422" s="1115"/>
      <c r="I1422" s="1115"/>
      <c r="J1422" s="1115"/>
      <c r="K1422" s="1115"/>
      <c r="L1422" s="1115"/>
      <c r="M1422" s="1115"/>
    </row>
    <row r="1423" spans="1:13" x14ac:dyDescent="0.2">
      <c r="A1423" s="1115"/>
      <c r="B1423" s="1115"/>
      <c r="C1423" s="1115"/>
      <c r="D1423" s="1115"/>
      <c r="E1423" s="1115"/>
      <c r="F1423" s="1115"/>
      <c r="G1423" s="1115"/>
      <c r="H1423" s="1115"/>
      <c r="I1423" s="1115"/>
      <c r="J1423" s="1115"/>
      <c r="K1423" s="1115"/>
      <c r="L1423" s="1115"/>
      <c r="M1423" s="1115"/>
    </row>
    <row r="1424" spans="1:13" x14ac:dyDescent="0.2">
      <c r="A1424" s="1115"/>
      <c r="B1424" s="1115"/>
      <c r="C1424" s="1115"/>
      <c r="D1424" s="1115"/>
      <c r="E1424" s="1115"/>
      <c r="F1424" s="1115"/>
      <c r="G1424" s="1115"/>
      <c r="H1424" s="1115"/>
      <c r="I1424" s="1115"/>
      <c r="J1424" s="1115"/>
      <c r="K1424" s="1115"/>
      <c r="L1424" s="1115"/>
      <c r="M1424" s="1115"/>
    </row>
    <row r="1425" spans="1:13" x14ac:dyDescent="0.2">
      <c r="A1425" s="1115"/>
      <c r="B1425" s="1115"/>
      <c r="C1425" s="1115"/>
      <c r="D1425" s="1115"/>
      <c r="E1425" s="1115"/>
      <c r="F1425" s="1115"/>
      <c r="G1425" s="1115"/>
      <c r="H1425" s="1115"/>
      <c r="I1425" s="1115"/>
      <c r="J1425" s="1115"/>
      <c r="K1425" s="1115"/>
      <c r="L1425" s="1115"/>
      <c r="M1425" s="1115"/>
    </row>
    <row r="1426" spans="1:13" x14ac:dyDescent="0.2">
      <c r="A1426" s="1115"/>
      <c r="B1426" s="1115"/>
      <c r="C1426" s="1115"/>
      <c r="D1426" s="1115"/>
      <c r="E1426" s="1115"/>
      <c r="F1426" s="1115"/>
      <c r="G1426" s="1115"/>
      <c r="H1426" s="1115"/>
      <c r="I1426" s="1115"/>
      <c r="J1426" s="1115"/>
      <c r="K1426" s="1115"/>
      <c r="L1426" s="1115"/>
      <c r="M1426" s="1115"/>
    </row>
    <row r="1427" spans="1:13" x14ac:dyDescent="0.2">
      <c r="A1427" s="1115"/>
      <c r="B1427" s="1115"/>
      <c r="C1427" s="1115"/>
      <c r="D1427" s="1115"/>
      <c r="E1427" s="1115"/>
      <c r="F1427" s="1115"/>
      <c r="G1427" s="1115"/>
      <c r="H1427" s="1115"/>
      <c r="I1427" s="1115"/>
      <c r="J1427" s="1115"/>
      <c r="K1427" s="1115"/>
      <c r="L1427" s="1115"/>
      <c r="M1427" s="1115"/>
    </row>
    <row r="1428" spans="1:13" x14ac:dyDescent="0.2">
      <c r="A1428" s="1115"/>
      <c r="B1428" s="1115"/>
      <c r="C1428" s="1115"/>
      <c r="D1428" s="1115"/>
      <c r="E1428" s="1115"/>
      <c r="F1428" s="1115"/>
      <c r="G1428" s="1115"/>
      <c r="H1428" s="1115"/>
      <c r="I1428" s="1115"/>
      <c r="J1428" s="1115"/>
      <c r="K1428" s="1115"/>
      <c r="L1428" s="1115"/>
      <c r="M1428" s="1115"/>
    </row>
    <row r="1429" spans="1:13" x14ac:dyDescent="0.2">
      <c r="A1429" s="1115"/>
      <c r="B1429" s="1115"/>
      <c r="C1429" s="1115"/>
      <c r="D1429" s="1115"/>
      <c r="E1429" s="1115"/>
      <c r="F1429" s="1115"/>
      <c r="G1429" s="1115"/>
      <c r="H1429" s="1115"/>
      <c r="I1429" s="1115"/>
      <c r="J1429" s="1115"/>
      <c r="K1429" s="1115"/>
      <c r="L1429" s="1115"/>
      <c r="M1429" s="1115"/>
    </row>
    <row r="1430" spans="1:13" x14ac:dyDescent="0.2">
      <c r="A1430" s="1115"/>
      <c r="B1430" s="1115"/>
      <c r="C1430" s="1115"/>
      <c r="D1430" s="1115"/>
      <c r="E1430" s="1115"/>
      <c r="F1430" s="1115"/>
      <c r="G1430" s="1115"/>
      <c r="H1430" s="1115"/>
      <c r="I1430" s="1115"/>
      <c r="J1430" s="1115"/>
      <c r="K1430" s="1115"/>
      <c r="L1430" s="1115"/>
      <c r="M1430" s="1115"/>
    </row>
    <row r="1431" spans="1:13" x14ac:dyDescent="0.2">
      <c r="A1431" s="1115"/>
      <c r="B1431" s="1115"/>
      <c r="C1431" s="1115"/>
      <c r="D1431" s="1115"/>
      <c r="E1431" s="1115"/>
      <c r="F1431" s="1115"/>
      <c r="G1431" s="1115"/>
      <c r="H1431" s="1115"/>
      <c r="I1431" s="1115"/>
      <c r="J1431" s="1115"/>
      <c r="K1431" s="1115"/>
      <c r="L1431" s="1115"/>
      <c r="M1431" s="1115"/>
    </row>
    <row r="1432" spans="1:13" x14ac:dyDescent="0.2">
      <c r="A1432" s="1115"/>
      <c r="B1432" s="1115"/>
      <c r="C1432" s="1115"/>
      <c r="D1432" s="1115"/>
      <c r="E1432" s="1115"/>
      <c r="F1432" s="1115"/>
      <c r="G1432" s="1115"/>
      <c r="H1432" s="1115"/>
      <c r="I1432" s="1115"/>
      <c r="J1432" s="1115"/>
      <c r="K1432" s="1115"/>
      <c r="L1432" s="1115"/>
      <c r="M1432" s="1115"/>
    </row>
    <row r="1433" spans="1:13" x14ac:dyDescent="0.2">
      <c r="A1433" s="1115"/>
      <c r="B1433" s="1115"/>
      <c r="C1433" s="1115"/>
      <c r="D1433" s="1115"/>
      <c r="E1433" s="1115"/>
      <c r="F1433" s="1115"/>
      <c r="G1433" s="1115"/>
      <c r="H1433" s="1115"/>
      <c r="I1433" s="1115"/>
      <c r="J1433" s="1115"/>
      <c r="K1433" s="1115"/>
      <c r="L1433" s="1115"/>
      <c r="M1433" s="1115"/>
    </row>
    <row r="1434" spans="1:13" x14ac:dyDescent="0.2">
      <c r="A1434" s="1115"/>
      <c r="B1434" s="1115"/>
      <c r="C1434" s="1115"/>
      <c r="D1434" s="1115"/>
      <c r="E1434" s="1115"/>
      <c r="F1434" s="1115"/>
      <c r="G1434" s="1115"/>
      <c r="H1434" s="1115"/>
      <c r="I1434" s="1115"/>
      <c r="J1434" s="1115"/>
      <c r="K1434" s="1115"/>
      <c r="L1434" s="1115"/>
      <c r="M1434" s="1115"/>
    </row>
    <row r="1435" spans="1:13" x14ac:dyDescent="0.2">
      <c r="A1435" s="1115"/>
      <c r="B1435" s="1115"/>
      <c r="C1435" s="1115"/>
      <c r="D1435" s="1115"/>
      <c r="E1435" s="1115"/>
      <c r="F1435" s="1115"/>
      <c r="G1435" s="1115"/>
      <c r="H1435" s="1115"/>
      <c r="I1435" s="1115"/>
      <c r="J1435" s="1115"/>
      <c r="K1435" s="1115"/>
      <c r="L1435" s="1115"/>
      <c r="M1435" s="1115"/>
    </row>
    <row r="1436" spans="1:13" x14ac:dyDescent="0.2">
      <c r="A1436" s="1115"/>
      <c r="B1436" s="1115"/>
      <c r="C1436" s="1115"/>
      <c r="D1436" s="1115"/>
      <c r="E1436" s="1115"/>
      <c r="F1436" s="1115"/>
      <c r="G1436" s="1115"/>
      <c r="H1436" s="1115"/>
      <c r="I1436" s="1115"/>
      <c r="J1436" s="1115"/>
      <c r="K1436" s="1115"/>
      <c r="L1436" s="1115"/>
      <c r="M1436" s="1115"/>
    </row>
    <row r="1437" spans="1:13" x14ac:dyDescent="0.2">
      <c r="A1437" s="1115"/>
      <c r="B1437" s="1115"/>
      <c r="C1437" s="1115"/>
      <c r="D1437" s="1115"/>
      <c r="E1437" s="1115"/>
      <c r="F1437" s="1115"/>
      <c r="G1437" s="1115"/>
      <c r="H1437" s="1115"/>
      <c r="I1437" s="1115"/>
      <c r="J1437" s="1115"/>
      <c r="K1437" s="1115"/>
      <c r="L1437" s="1115"/>
      <c r="M1437" s="1115"/>
    </row>
    <row r="1438" spans="1:13" x14ac:dyDescent="0.2">
      <c r="A1438" s="1115"/>
      <c r="B1438" s="1115"/>
      <c r="C1438" s="1115"/>
      <c r="D1438" s="1115"/>
      <c r="E1438" s="1115"/>
      <c r="F1438" s="1115"/>
      <c r="G1438" s="1115"/>
      <c r="H1438" s="1115"/>
      <c r="I1438" s="1115"/>
      <c r="J1438" s="1115"/>
      <c r="K1438" s="1115"/>
      <c r="L1438" s="1115"/>
      <c r="M1438" s="1115"/>
    </row>
    <row r="1439" spans="1:13" x14ac:dyDescent="0.2">
      <c r="A1439" s="1115"/>
      <c r="B1439" s="1115"/>
      <c r="C1439" s="1115"/>
      <c r="D1439" s="1115"/>
      <c r="E1439" s="1115"/>
      <c r="F1439" s="1115"/>
      <c r="G1439" s="1115"/>
      <c r="H1439" s="1115"/>
      <c r="I1439" s="1115"/>
      <c r="J1439" s="1115"/>
      <c r="K1439" s="1115"/>
      <c r="L1439" s="1115"/>
      <c r="M1439" s="1115"/>
    </row>
    <row r="1440" spans="1:13" x14ac:dyDescent="0.2">
      <c r="A1440" s="1115"/>
      <c r="B1440" s="1115"/>
      <c r="C1440" s="1115"/>
      <c r="D1440" s="1115"/>
      <c r="E1440" s="1115"/>
      <c r="F1440" s="1115"/>
      <c r="G1440" s="1115"/>
      <c r="H1440" s="1115"/>
      <c r="I1440" s="1115"/>
      <c r="J1440" s="1115"/>
      <c r="K1440" s="1115"/>
      <c r="L1440" s="1115"/>
      <c r="M1440" s="1115"/>
    </row>
    <row r="1441" spans="1:13" x14ac:dyDescent="0.2">
      <c r="A1441" s="1115"/>
      <c r="B1441" s="1115"/>
      <c r="C1441" s="1115"/>
      <c r="D1441" s="1115"/>
      <c r="E1441" s="1115"/>
      <c r="F1441" s="1115"/>
      <c r="G1441" s="1115"/>
      <c r="H1441" s="1115"/>
      <c r="I1441" s="1115"/>
      <c r="J1441" s="1115"/>
      <c r="K1441" s="1115"/>
      <c r="L1441" s="1115"/>
      <c r="M1441" s="1115"/>
    </row>
    <row r="1442" spans="1:13" x14ac:dyDescent="0.2">
      <c r="A1442" s="1115"/>
      <c r="B1442" s="1115"/>
      <c r="C1442" s="1115"/>
      <c r="D1442" s="1115"/>
      <c r="E1442" s="1115"/>
      <c r="F1442" s="1115"/>
      <c r="G1442" s="1115"/>
      <c r="H1442" s="1115"/>
      <c r="I1442" s="1115"/>
      <c r="J1442" s="1115"/>
      <c r="K1442" s="1115"/>
      <c r="L1442" s="1115"/>
      <c r="M1442" s="1115"/>
    </row>
    <row r="1443" spans="1:13" x14ac:dyDescent="0.2">
      <c r="A1443" s="1115"/>
      <c r="B1443" s="1115"/>
      <c r="C1443" s="1115"/>
      <c r="D1443" s="1115"/>
      <c r="E1443" s="1115"/>
      <c r="F1443" s="1115"/>
      <c r="G1443" s="1115"/>
      <c r="H1443" s="1115"/>
      <c r="I1443" s="1115"/>
      <c r="J1443" s="1115"/>
      <c r="K1443" s="1115"/>
      <c r="L1443" s="1115"/>
      <c r="M1443" s="1115"/>
    </row>
    <row r="1444" spans="1:13" x14ac:dyDescent="0.2">
      <c r="A1444" s="1115"/>
      <c r="B1444" s="1115"/>
      <c r="C1444" s="1115"/>
      <c r="D1444" s="1115"/>
      <c r="E1444" s="1115"/>
      <c r="F1444" s="1115"/>
      <c r="G1444" s="1115"/>
      <c r="H1444" s="1115"/>
      <c r="I1444" s="1115"/>
      <c r="J1444" s="1115"/>
      <c r="K1444" s="1115"/>
      <c r="L1444" s="1115"/>
      <c r="M1444" s="1115"/>
    </row>
    <row r="1445" spans="1:13" x14ac:dyDescent="0.2">
      <c r="A1445" s="1115"/>
      <c r="B1445" s="1115"/>
      <c r="C1445" s="1115"/>
      <c r="D1445" s="1115"/>
      <c r="E1445" s="1115"/>
      <c r="F1445" s="1115"/>
      <c r="G1445" s="1115"/>
      <c r="H1445" s="1115"/>
      <c r="I1445" s="1115"/>
      <c r="J1445" s="1115"/>
      <c r="K1445" s="1115"/>
      <c r="L1445" s="1115"/>
      <c r="M1445" s="1115"/>
    </row>
    <row r="1446" spans="1:13" x14ac:dyDescent="0.2">
      <c r="A1446" s="1115"/>
      <c r="B1446" s="1115"/>
      <c r="C1446" s="1115"/>
      <c r="D1446" s="1115"/>
      <c r="E1446" s="1115"/>
      <c r="F1446" s="1115"/>
      <c r="G1446" s="1115"/>
      <c r="H1446" s="1115"/>
      <c r="I1446" s="1115"/>
      <c r="J1446" s="1115"/>
      <c r="K1446" s="1115"/>
      <c r="L1446" s="1115"/>
      <c r="M1446" s="1115"/>
    </row>
    <row r="1447" spans="1:13" x14ac:dyDescent="0.2">
      <c r="A1447" s="1115"/>
      <c r="B1447" s="1115"/>
      <c r="C1447" s="1115"/>
      <c r="D1447" s="1115"/>
      <c r="E1447" s="1115"/>
      <c r="F1447" s="1115"/>
      <c r="G1447" s="1115"/>
      <c r="H1447" s="1115"/>
      <c r="I1447" s="1115"/>
      <c r="J1447" s="1115"/>
      <c r="K1447" s="1115"/>
      <c r="L1447" s="1115"/>
      <c r="M1447" s="1115"/>
    </row>
    <row r="1448" spans="1:13" x14ac:dyDescent="0.2">
      <c r="A1448" s="1115"/>
      <c r="B1448" s="1115"/>
      <c r="C1448" s="1115"/>
      <c r="D1448" s="1115"/>
      <c r="E1448" s="1115"/>
      <c r="F1448" s="1115"/>
      <c r="G1448" s="1115"/>
      <c r="H1448" s="1115"/>
      <c r="I1448" s="1115"/>
      <c r="J1448" s="1115"/>
      <c r="K1448" s="1115"/>
      <c r="L1448" s="1115"/>
      <c r="M1448" s="1115"/>
    </row>
    <row r="1449" spans="1:13" x14ac:dyDescent="0.2">
      <c r="A1449" s="1115"/>
      <c r="B1449" s="1115"/>
      <c r="C1449" s="1115"/>
      <c r="D1449" s="1115"/>
      <c r="E1449" s="1115"/>
      <c r="F1449" s="1115"/>
      <c r="G1449" s="1115"/>
      <c r="H1449" s="1115"/>
      <c r="I1449" s="1115"/>
      <c r="J1449" s="1115"/>
      <c r="K1449" s="1115"/>
      <c r="L1449" s="1115"/>
      <c r="M1449" s="1115"/>
    </row>
    <row r="1450" spans="1:13" x14ac:dyDescent="0.2">
      <c r="A1450" s="1115"/>
      <c r="B1450" s="1115"/>
      <c r="C1450" s="1115"/>
      <c r="D1450" s="1115"/>
      <c r="E1450" s="1115"/>
      <c r="F1450" s="1115"/>
      <c r="G1450" s="1115"/>
      <c r="H1450" s="1115"/>
      <c r="I1450" s="1115"/>
      <c r="J1450" s="1115"/>
      <c r="K1450" s="1115"/>
      <c r="L1450" s="1115"/>
      <c r="M1450" s="1115"/>
    </row>
    <row r="1451" spans="1:13" x14ac:dyDescent="0.2">
      <c r="A1451" s="1115"/>
      <c r="B1451" s="1115"/>
      <c r="C1451" s="1115"/>
      <c r="D1451" s="1115"/>
      <c r="E1451" s="1115"/>
      <c r="F1451" s="1115"/>
      <c r="G1451" s="1115"/>
      <c r="H1451" s="1115"/>
      <c r="I1451" s="1115"/>
      <c r="J1451" s="1115"/>
      <c r="K1451" s="1115"/>
      <c r="L1451" s="1115"/>
      <c r="M1451" s="1115"/>
    </row>
    <row r="1452" spans="1:13" x14ac:dyDescent="0.2">
      <c r="A1452" s="1115"/>
      <c r="B1452" s="1115"/>
      <c r="C1452" s="1115"/>
      <c r="D1452" s="1115"/>
      <c r="E1452" s="1115"/>
      <c r="F1452" s="1115"/>
      <c r="G1452" s="1115"/>
      <c r="H1452" s="1115"/>
      <c r="I1452" s="1115"/>
      <c r="J1452" s="1115"/>
      <c r="K1452" s="1115"/>
      <c r="L1452" s="1115"/>
      <c r="M1452" s="1115"/>
    </row>
    <row r="1453" spans="1:13" x14ac:dyDescent="0.2">
      <c r="A1453" s="1115"/>
      <c r="B1453" s="1115"/>
      <c r="C1453" s="1115"/>
      <c r="D1453" s="1115"/>
      <c r="E1453" s="1115"/>
      <c r="F1453" s="1115"/>
      <c r="G1453" s="1115"/>
      <c r="H1453" s="1115"/>
      <c r="I1453" s="1115"/>
      <c r="J1453" s="1115"/>
      <c r="K1453" s="1115"/>
      <c r="L1453" s="1115"/>
      <c r="M1453" s="1115"/>
    </row>
    <row r="1454" spans="1:13" x14ac:dyDescent="0.2">
      <c r="A1454" s="1115"/>
      <c r="B1454" s="1115"/>
      <c r="C1454" s="1115"/>
      <c r="D1454" s="1115"/>
      <c r="E1454" s="1115"/>
      <c r="F1454" s="1115"/>
      <c r="G1454" s="1115"/>
      <c r="H1454" s="1115"/>
      <c r="I1454" s="1115"/>
      <c r="J1454" s="1115"/>
      <c r="K1454" s="1115"/>
      <c r="L1454" s="1115"/>
      <c r="M1454" s="1115"/>
    </row>
    <row r="1455" spans="1:13" x14ac:dyDescent="0.2">
      <c r="A1455" s="1115"/>
      <c r="B1455" s="1115"/>
      <c r="C1455" s="1115"/>
      <c r="D1455" s="1115"/>
      <c r="E1455" s="1115"/>
      <c r="F1455" s="1115"/>
      <c r="G1455" s="1115"/>
      <c r="H1455" s="1115"/>
      <c r="I1455" s="1115"/>
      <c r="J1455" s="1115"/>
      <c r="K1455" s="1115"/>
      <c r="L1455" s="1115"/>
      <c r="M1455" s="1115"/>
    </row>
    <row r="1456" spans="1:13" x14ac:dyDescent="0.2">
      <c r="A1456" s="1115"/>
      <c r="B1456" s="1115"/>
      <c r="C1456" s="1115"/>
      <c r="D1456" s="1115"/>
      <c r="E1456" s="1115"/>
      <c r="F1456" s="1115"/>
      <c r="G1456" s="1115"/>
      <c r="H1456" s="1115"/>
      <c r="I1456" s="1115"/>
      <c r="J1456" s="1115"/>
      <c r="K1456" s="1115"/>
      <c r="L1456" s="1115"/>
      <c r="M1456" s="1115"/>
    </row>
    <row r="1457" spans="1:13" x14ac:dyDescent="0.2">
      <c r="A1457" s="1115"/>
      <c r="B1457" s="1115"/>
      <c r="C1457" s="1115"/>
      <c r="D1457" s="1115"/>
      <c r="E1457" s="1115"/>
      <c r="F1457" s="1115"/>
      <c r="G1457" s="1115"/>
      <c r="H1457" s="1115"/>
      <c r="I1457" s="1115"/>
      <c r="J1457" s="1115"/>
      <c r="K1457" s="1115"/>
      <c r="L1457" s="1115"/>
      <c r="M1457" s="1115"/>
    </row>
    <row r="1458" spans="1:13" x14ac:dyDescent="0.2">
      <c r="A1458" s="1115"/>
      <c r="B1458" s="1115"/>
      <c r="C1458" s="1115"/>
      <c r="D1458" s="1115"/>
      <c r="E1458" s="1115"/>
      <c r="F1458" s="1115"/>
      <c r="G1458" s="1115"/>
      <c r="H1458" s="1115"/>
      <c r="I1458" s="1115"/>
      <c r="J1458" s="1115"/>
      <c r="K1458" s="1115"/>
      <c r="L1458" s="1115"/>
      <c r="M1458" s="1115"/>
    </row>
    <row r="1459" spans="1:13" x14ac:dyDescent="0.2">
      <c r="A1459" s="1115"/>
      <c r="B1459" s="1115"/>
      <c r="C1459" s="1115"/>
      <c r="D1459" s="1115"/>
      <c r="E1459" s="1115"/>
      <c r="F1459" s="1115"/>
      <c r="G1459" s="1115"/>
      <c r="H1459" s="1115"/>
      <c r="I1459" s="1115"/>
      <c r="J1459" s="1115"/>
      <c r="K1459" s="1115"/>
      <c r="L1459" s="1115"/>
      <c r="M1459" s="1115"/>
    </row>
    <row r="1460" spans="1:13" x14ac:dyDescent="0.2">
      <c r="A1460" s="1115"/>
      <c r="B1460" s="1115"/>
      <c r="C1460" s="1115"/>
      <c r="D1460" s="1115"/>
      <c r="E1460" s="1115"/>
      <c r="F1460" s="1115"/>
      <c r="G1460" s="1115"/>
      <c r="H1460" s="1115"/>
      <c r="I1460" s="1115"/>
      <c r="J1460" s="1115"/>
      <c r="K1460" s="1115"/>
      <c r="L1460" s="1115"/>
      <c r="M1460" s="1115"/>
    </row>
    <row r="1461" spans="1:13" x14ac:dyDescent="0.2">
      <c r="A1461" s="1115"/>
      <c r="B1461" s="1115"/>
      <c r="C1461" s="1115"/>
      <c r="D1461" s="1115"/>
      <c r="E1461" s="1115"/>
      <c r="F1461" s="1115"/>
      <c r="G1461" s="1115"/>
      <c r="H1461" s="1115"/>
      <c r="I1461" s="1115"/>
      <c r="J1461" s="1115"/>
      <c r="K1461" s="1115"/>
      <c r="L1461" s="1115"/>
      <c r="M1461" s="1115"/>
    </row>
    <row r="1462" spans="1:13" x14ac:dyDescent="0.2">
      <c r="A1462" s="1115"/>
      <c r="B1462" s="1115"/>
      <c r="C1462" s="1115"/>
      <c r="D1462" s="1115"/>
      <c r="E1462" s="1115"/>
      <c r="F1462" s="1115"/>
      <c r="G1462" s="1115"/>
      <c r="H1462" s="1115"/>
      <c r="I1462" s="1115"/>
      <c r="J1462" s="1115"/>
      <c r="K1462" s="1115"/>
      <c r="L1462" s="1115"/>
      <c r="M1462" s="1115"/>
    </row>
    <row r="1463" spans="1:13" x14ac:dyDescent="0.2">
      <c r="A1463" s="1115"/>
      <c r="B1463" s="1115"/>
      <c r="C1463" s="1115"/>
      <c r="D1463" s="1115"/>
      <c r="E1463" s="1115"/>
      <c r="F1463" s="1115"/>
      <c r="G1463" s="1115"/>
      <c r="H1463" s="1115"/>
      <c r="I1463" s="1115"/>
      <c r="J1463" s="1115"/>
      <c r="K1463" s="1115"/>
      <c r="L1463" s="1115"/>
      <c r="M1463" s="1115"/>
    </row>
    <row r="1464" spans="1:13" x14ac:dyDescent="0.2">
      <c r="A1464" s="1115"/>
      <c r="B1464" s="1115"/>
      <c r="C1464" s="1115"/>
      <c r="D1464" s="1115"/>
      <c r="E1464" s="1115"/>
      <c r="F1464" s="1115"/>
      <c r="G1464" s="1115"/>
      <c r="H1464" s="1115"/>
      <c r="I1464" s="1115"/>
      <c r="J1464" s="1115"/>
      <c r="K1464" s="1115"/>
      <c r="L1464" s="1115"/>
      <c r="M1464" s="1115"/>
    </row>
    <row r="1465" spans="1:13" x14ac:dyDescent="0.2">
      <c r="A1465" s="1115"/>
      <c r="B1465" s="1115"/>
      <c r="C1465" s="1115"/>
      <c r="D1465" s="1115"/>
      <c r="E1465" s="1115"/>
      <c r="F1465" s="1115"/>
      <c r="G1465" s="1115"/>
      <c r="H1465" s="1115"/>
      <c r="I1465" s="1115"/>
      <c r="J1465" s="1115"/>
      <c r="K1465" s="1115"/>
      <c r="L1465" s="1115"/>
      <c r="M1465" s="1115"/>
    </row>
    <row r="1466" spans="1:13" x14ac:dyDescent="0.2">
      <c r="A1466" s="1115"/>
      <c r="B1466" s="1115"/>
      <c r="C1466" s="1115"/>
      <c r="D1466" s="1115"/>
      <c r="E1466" s="1115"/>
      <c r="F1466" s="1115"/>
      <c r="G1466" s="1115"/>
      <c r="H1466" s="1115"/>
      <c r="I1466" s="1115"/>
      <c r="J1466" s="1115"/>
      <c r="K1466" s="1115"/>
      <c r="L1466" s="1115"/>
      <c r="M1466" s="1115"/>
    </row>
    <row r="1467" spans="1:13" x14ac:dyDescent="0.2">
      <c r="A1467" s="1115"/>
      <c r="B1467" s="1115"/>
      <c r="C1467" s="1115"/>
      <c r="D1467" s="1115"/>
      <c r="E1467" s="1115"/>
      <c r="F1467" s="1115"/>
      <c r="G1467" s="1115"/>
      <c r="H1467" s="1115"/>
      <c r="I1467" s="1115"/>
      <c r="J1467" s="1115"/>
      <c r="K1467" s="1115"/>
      <c r="L1467" s="1115"/>
      <c r="M1467" s="1115"/>
    </row>
    <row r="1468" spans="1:13" x14ac:dyDescent="0.2">
      <c r="A1468" s="1115"/>
      <c r="B1468" s="1115"/>
      <c r="C1468" s="1115"/>
      <c r="D1468" s="1115"/>
      <c r="E1468" s="1115"/>
      <c r="F1468" s="1115"/>
      <c r="G1468" s="1115"/>
      <c r="H1468" s="1115"/>
      <c r="I1468" s="1115"/>
      <c r="J1468" s="1115"/>
      <c r="K1468" s="1115"/>
      <c r="L1468" s="1115"/>
      <c r="M1468" s="1115"/>
    </row>
    <row r="1469" spans="1:13" x14ac:dyDescent="0.2">
      <c r="A1469" s="1115"/>
      <c r="B1469" s="1115"/>
      <c r="C1469" s="1115"/>
      <c r="D1469" s="1115"/>
      <c r="E1469" s="1115"/>
      <c r="F1469" s="1115"/>
      <c r="G1469" s="1115"/>
      <c r="H1469" s="1115"/>
      <c r="I1469" s="1115"/>
      <c r="J1469" s="1115"/>
      <c r="K1469" s="1115"/>
      <c r="L1469" s="1115"/>
      <c r="M1469" s="1115"/>
    </row>
    <row r="1470" spans="1:13" x14ac:dyDescent="0.2">
      <c r="A1470" s="1115"/>
      <c r="B1470" s="1115"/>
      <c r="C1470" s="1115"/>
      <c r="D1470" s="1115"/>
      <c r="E1470" s="1115"/>
      <c r="F1470" s="1115"/>
      <c r="G1470" s="1115"/>
      <c r="H1470" s="1115"/>
      <c r="I1470" s="1115"/>
      <c r="J1470" s="1115"/>
      <c r="K1470" s="1115"/>
      <c r="L1470" s="1115"/>
      <c r="M1470" s="1115"/>
    </row>
    <row r="1471" spans="1:13" x14ac:dyDescent="0.2">
      <c r="A1471" s="1115"/>
      <c r="B1471" s="1115"/>
      <c r="C1471" s="1115"/>
      <c r="D1471" s="1115"/>
      <c r="E1471" s="1115"/>
      <c r="F1471" s="1115"/>
      <c r="G1471" s="1115"/>
      <c r="H1471" s="1115"/>
      <c r="I1471" s="1115"/>
      <c r="J1471" s="1115"/>
      <c r="K1471" s="1115"/>
      <c r="L1471" s="1115"/>
      <c r="M1471" s="1115"/>
    </row>
    <row r="1472" spans="1:13" x14ac:dyDescent="0.2">
      <c r="A1472" s="1115"/>
      <c r="B1472" s="1115"/>
      <c r="C1472" s="1115"/>
      <c r="D1472" s="1115"/>
      <c r="E1472" s="1115"/>
      <c r="F1472" s="1115"/>
      <c r="G1472" s="1115"/>
      <c r="H1472" s="1115"/>
      <c r="I1472" s="1115"/>
      <c r="J1472" s="1115"/>
      <c r="K1472" s="1115"/>
      <c r="L1472" s="1115"/>
      <c r="M1472" s="1115"/>
    </row>
    <row r="1473" spans="1:13" x14ac:dyDescent="0.2">
      <c r="A1473" s="1115"/>
      <c r="B1473" s="1115"/>
      <c r="C1473" s="1115"/>
      <c r="D1473" s="1115"/>
      <c r="E1473" s="1115"/>
      <c r="F1473" s="1115"/>
      <c r="G1473" s="1115"/>
      <c r="H1473" s="1115"/>
      <c r="I1473" s="1115"/>
      <c r="J1473" s="1115"/>
      <c r="K1473" s="1115"/>
      <c r="L1473" s="1115"/>
      <c r="M1473" s="1115"/>
    </row>
    <row r="1474" spans="1:13" x14ac:dyDescent="0.2">
      <c r="A1474" s="1115"/>
      <c r="B1474" s="1115"/>
      <c r="C1474" s="1115"/>
      <c r="D1474" s="1115"/>
      <c r="E1474" s="1115"/>
      <c r="F1474" s="1115"/>
      <c r="G1474" s="1115"/>
      <c r="H1474" s="1115"/>
      <c r="I1474" s="1115"/>
      <c r="J1474" s="1115"/>
      <c r="K1474" s="1115"/>
      <c r="L1474" s="1115"/>
      <c r="M1474" s="1115"/>
    </row>
    <row r="1475" spans="1:13" x14ac:dyDescent="0.2">
      <c r="A1475" s="1115"/>
      <c r="B1475" s="1115"/>
      <c r="C1475" s="1115"/>
      <c r="D1475" s="1115"/>
      <c r="E1475" s="1115"/>
      <c r="F1475" s="1115"/>
      <c r="G1475" s="1115"/>
      <c r="H1475" s="1115"/>
      <c r="I1475" s="1115"/>
      <c r="J1475" s="1115"/>
      <c r="K1475" s="1115"/>
      <c r="L1475" s="1115"/>
      <c r="M1475" s="1115"/>
    </row>
    <row r="1476" spans="1:13" x14ac:dyDescent="0.2">
      <c r="A1476" s="1115"/>
      <c r="B1476" s="1115"/>
      <c r="C1476" s="1115"/>
      <c r="D1476" s="1115"/>
      <c r="E1476" s="1115"/>
      <c r="F1476" s="1115"/>
      <c r="G1476" s="1115"/>
      <c r="H1476" s="1115"/>
      <c r="I1476" s="1115"/>
      <c r="J1476" s="1115"/>
      <c r="K1476" s="1115"/>
      <c r="L1476" s="1115"/>
      <c r="M1476" s="1115"/>
    </row>
    <row r="1477" spans="1:13" x14ac:dyDescent="0.2">
      <c r="A1477" s="1115"/>
      <c r="B1477" s="1115"/>
      <c r="C1477" s="1115"/>
      <c r="D1477" s="1115"/>
      <c r="E1477" s="1115"/>
      <c r="F1477" s="1115"/>
      <c r="G1477" s="1115"/>
      <c r="H1477" s="1115"/>
      <c r="I1477" s="1115"/>
      <c r="J1477" s="1115"/>
      <c r="K1477" s="1115"/>
      <c r="L1477" s="1115"/>
      <c r="M1477" s="1115"/>
    </row>
    <row r="1478" spans="1:13" x14ac:dyDescent="0.2">
      <c r="A1478" s="1115"/>
      <c r="B1478" s="1115"/>
      <c r="C1478" s="1115"/>
      <c r="D1478" s="1115"/>
      <c r="E1478" s="1115"/>
      <c r="F1478" s="1115"/>
      <c r="G1478" s="1115"/>
      <c r="H1478" s="1115"/>
      <c r="I1478" s="1115"/>
      <c r="J1478" s="1115"/>
      <c r="K1478" s="1115"/>
      <c r="L1478" s="1115"/>
      <c r="M1478" s="1115"/>
    </row>
    <row r="1479" spans="1:13" x14ac:dyDescent="0.2">
      <c r="A1479" s="1115"/>
      <c r="B1479" s="1115"/>
      <c r="C1479" s="1115"/>
      <c r="D1479" s="1115"/>
      <c r="E1479" s="1115"/>
      <c r="F1479" s="1115"/>
      <c r="G1479" s="1115"/>
      <c r="H1479" s="1115"/>
      <c r="I1479" s="1115"/>
      <c r="J1479" s="1115"/>
      <c r="K1479" s="1115"/>
      <c r="L1479" s="1115"/>
      <c r="M1479" s="1115"/>
    </row>
    <row r="1480" spans="1:13" x14ac:dyDescent="0.2">
      <c r="A1480" s="1115"/>
      <c r="B1480" s="1115"/>
      <c r="C1480" s="1115"/>
      <c r="D1480" s="1115"/>
      <c r="E1480" s="1115"/>
      <c r="F1480" s="1115"/>
      <c r="G1480" s="1115"/>
      <c r="H1480" s="1115"/>
      <c r="I1480" s="1115"/>
      <c r="J1480" s="1115"/>
      <c r="K1480" s="1115"/>
      <c r="L1480" s="1115"/>
      <c r="M1480" s="1115"/>
    </row>
    <row r="1481" spans="1:13" x14ac:dyDescent="0.2">
      <c r="A1481" s="1115"/>
      <c r="B1481" s="1115"/>
      <c r="C1481" s="1115"/>
      <c r="D1481" s="1115"/>
      <c r="E1481" s="1115"/>
      <c r="F1481" s="1115"/>
      <c r="G1481" s="1115"/>
      <c r="H1481" s="1115"/>
      <c r="I1481" s="1115"/>
      <c r="J1481" s="1115"/>
      <c r="K1481" s="1115"/>
      <c r="L1481" s="1115"/>
      <c r="M1481" s="1115"/>
    </row>
    <row r="1482" spans="1:13" x14ac:dyDescent="0.2">
      <c r="A1482" s="1115"/>
      <c r="B1482" s="1115"/>
      <c r="C1482" s="1115"/>
      <c r="D1482" s="1115"/>
      <c r="E1482" s="1115"/>
      <c r="F1482" s="1115"/>
      <c r="G1482" s="1115"/>
      <c r="H1482" s="1115"/>
      <c r="I1482" s="1115"/>
      <c r="J1482" s="1115"/>
      <c r="K1482" s="1115"/>
      <c r="L1482" s="1115"/>
      <c r="M1482" s="1115"/>
    </row>
    <row r="1483" spans="1:13" x14ac:dyDescent="0.2">
      <c r="A1483" s="1115"/>
      <c r="B1483" s="1115"/>
      <c r="C1483" s="1115"/>
      <c r="D1483" s="1115"/>
      <c r="E1483" s="1115"/>
      <c r="F1483" s="1115"/>
      <c r="G1483" s="1115"/>
      <c r="H1483" s="1115"/>
      <c r="I1483" s="1115"/>
      <c r="J1483" s="1115"/>
      <c r="K1483" s="1115"/>
      <c r="L1483" s="1115"/>
      <c r="M1483" s="1115"/>
    </row>
    <row r="1484" spans="1:13" x14ac:dyDescent="0.2">
      <c r="A1484" s="1115"/>
      <c r="B1484" s="1115"/>
      <c r="C1484" s="1115"/>
      <c r="D1484" s="1115"/>
      <c r="E1484" s="1115"/>
      <c r="F1484" s="1115"/>
      <c r="G1484" s="1115"/>
      <c r="H1484" s="1115"/>
      <c r="I1484" s="1115"/>
      <c r="J1484" s="1115"/>
      <c r="K1484" s="1115"/>
      <c r="L1484" s="1115"/>
      <c r="M1484" s="1115"/>
    </row>
    <row r="1485" spans="1:13" x14ac:dyDescent="0.2">
      <c r="A1485" s="1115"/>
      <c r="B1485" s="1115"/>
      <c r="C1485" s="1115"/>
      <c r="D1485" s="1115"/>
      <c r="E1485" s="1115"/>
      <c r="F1485" s="1115"/>
      <c r="G1485" s="1115"/>
      <c r="H1485" s="1115"/>
      <c r="I1485" s="1115"/>
      <c r="J1485" s="1115"/>
      <c r="K1485" s="1115"/>
      <c r="L1485" s="1115"/>
      <c r="M1485" s="1115"/>
    </row>
    <row r="1486" spans="1:13" x14ac:dyDescent="0.2">
      <c r="A1486" s="1115"/>
      <c r="B1486" s="1115"/>
      <c r="C1486" s="1115"/>
      <c r="D1486" s="1115"/>
      <c r="E1486" s="1115"/>
      <c r="F1486" s="1115"/>
      <c r="G1486" s="1115"/>
      <c r="H1486" s="1115"/>
      <c r="I1486" s="1115"/>
      <c r="J1486" s="1115"/>
      <c r="K1486" s="1115"/>
      <c r="L1486" s="1115"/>
      <c r="M1486" s="1115"/>
    </row>
    <row r="1487" spans="1:13" x14ac:dyDescent="0.2">
      <c r="A1487" s="1115"/>
      <c r="B1487" s="1115"/>
      <c r="C1487" s="1115"/>
      <c r="D1487" s="1115"/>
      <c r="E1487" s="1115"/>
      <c r="F1487" s="1115"/>
      <c r="G1487" s="1115"/>
      <c r="H1487" s="1115"/>
      <c r="I1487" s="1115"/>
      <c r="J1487" s="1115"/>
      <c r="K1487" s="1115"/>
      <c r="L1487" s="1115"/>
      <c r="M1487" s="1115"/>
    </row>
    <row r="1488" spans="1:13" x14ac:dyDescent="0.2">
      <c r="A1488" s="1115"/>
      <c r="B1488" s="1115"/>
      <c r="C1488" s="1115"/>
      <c r="D1488" s="1115"/>
      <c r="E1488" s="1115"/>
      <c r="F1488" s="1115"/>
      <c r="G1488" s="1115"/>
      <c r="H1488" s="1115"/>
      <c r="I1488" s="1115"/>
      <c r="J1488" s="1115"/>
      <c r="K1488" s="1115"/>
      <c r="L1488" s="1115"/>
      <c r="M1488" s="1115"/>
    </row>
    <row r="1489" spans="1:13" x14ac:dyDescent="0.2">
      <c r="A1489" s="1115"/>
      <c r="B1489" s="1115"/>
      <c r="C1489" s="1115"/>
      <c r="D1489" s="1115"/>
      <c r="E1489" s="1115"/>
      <c r="F1489" s="1115"/>
      <c r="G1489" s="1115"/>
      <c r="H1489" s="1115"/>
      <c r="I1489" s="1115"/>
      <c r="J1489" s="1115"/>
      <c r="K1489" s="1115"/>
      <c r="L1489" s="1115"/>
      <c r="M1489" s="1115"/>
    </row>
    <row r="1490" spans="1:13" x14ac:dyDescent="0.2">
      <c r="A1490" s="1115"/>
      <c r="B1490" s="1115"/>
      <c r="C1490" s="1115"/>
      <c r="D1490" s="1115"/>
      <c r="E1490" s="1115"/>
      <c r="F1490" s="1115"/>
      <c r="G1490" s="1115"/>
      <c r="H1490" s="1115"/>
      <c r="I1490" s="1115"/>
      <c r="J1490" s="1115"/>
      <c r="K1490" s="1115"/>
      <c r="L1490" s="1115"/>
      <c r="M1490" s="1115"/>
    </row>
    <row r="1491" spans="1:13" x14ac:dyDescent="0.2">
      <c r="A1491" s="1115"/>
      <c r="B1491" s="1115"/>
      <c r="C1491" s="1115"/>
      <c r="D1491" s="1115"/>
      <c r="E1491" s="1115"/>
      <c r="F1491" s="1115"/>
      <c r="G1491" s="1115"/>
      <c r="H1491" s="1115"/>
      <c r="I1491" s="1115"/>
      <c r="J1491" s="1115"/>
      <c r="K1491" s="1115"/>
      <c r="L1491" s="1115"/>
      <c r="M1491" s="1115"/>
    </row>
    <row r="1492" spans="1:13" x14ac:dyDescent="0.2">
      <c r="A1492" s="1115"/>
      <c r="B1492" s="1115"/>
      <c r="C1492" s="1115"/>
      <c r="D1492" s="1115"/>
      <c r="E1492" s="1115"/>
      <c r="F1492" s="1115"/>
      <c r="G1492" s="1115"/>
      <c r="H1492" s="1115"/>
      <c r="I1492" s="1115"/>
      <c r="J1492" s="1115"/>
      <c r="K1492" s="1115"/>
      <c r="L1492" s="1115"/>
      <c r="M1492" s="1115"/>
    </row>
    <row r="1493" spans="1:13" x14ac:dyDescent="0.2">
      <c r="A1493" s="1115"/>
      <c r="B1493" s="1115"/>
      <c r="C1493" s="1115"/>
      <c r="D1493" s="1115"/>
      <c r="E1493" s="1115"/>
      <c r="F1493" s="1115"/>
      <c r="G1493" s="1115"/>
      <c r="H1493" s="1115"/>
      <c r="I1493" s="1115"/>
      <c r="J1493" s="1115"/>
      <c r="K1493" s="1115"/>
      <c r="L1493" s="1115"/>
      <c r="M1493" s="1115"/>
    </row>
    <row r="1494" spans="1:13" x14ac:dyDescent="0.2">
      <c r="A1494" s="1115"/>
      <c r="B1494" s="1115"/>
      <c r="C1494" s="1115"/>
      <c r="D1494" s="1115"/>
      <c r="E1494" s="1115"/>
      <c r="F1494" s="1115"/>
      <c r="G1494" s="1115"/>
      <c r="H1494" s="1115"/>
      <c r="I1494" s="1115"/>
      <c r="J1494" s="1115"/>
      <c r="K1494" s="1115"/>
      <c r="L1494" s="1115"/>
      <c r="M1494" s="1115"/>
    </row>
    <row r="1495" spans="1:13" x14ac:dyDescent="0.2">
      <c r="A1495" s="1115"/>
      <c r="B1495" s="1115"/>
      <c r="C1495" s="1115"/>
      <c r="D1495" s="1115"/>
      <c r="E1495" s="1115"/>
      <c r="F1495" s="1115"/>
      <c r="G1495" s="1115"/>
      <c r="H1495" s="1115"/>
      <c r="I1495" s="1115"/>
      <c r="J1495" s="1115"/>
      <c r="K1495" s="1115"/>
      <c r="L1495" s="1115"/>
      <c r="M1495" s="1115"/>
    </row>
    <row r="1496" spans="1:13" x14ac:dyDescent="0.2">
      <c r="A1496" s="1115"/>
      <c r="B1496" s="1115"/>
      <c r="C1496" s="1115"/>
      <c r="D1496" s="1115"/>
      <c r="E1496" s="1115"/>
      <c r="F1496" s="1115"/>
      <c r="G1496" s="1115"/>
      <c r="H1496" s="1115"/>
      <c r="I1496" s="1115"/>
      <c r="J1496" s="1115"/>
      <c r="K1496" s="1115"/>
      <c r="L1496" s="1115"/>
      <c r="M1496" s="1115"/>
    </row>
    <row r="1497" spans="1:13" x14ac:dyDescent="0.2">
      <c r="A1497" s="1115"/>
      <c r="B1497" s="1115"/>
      <c r="C1497" s="1115"/>
      <c r="D1497" s="1115"/>
      <c r="E1497" s="1115"/>
      <c r="F1497" s="1115"/>
      <c r="G1497" s="1115"/>
      <c r="H1497" s="1115"/>
      <c r="I1497" s="1115"/>
      <c r="J1497" s="1115"/>
      <c r="K1497" s="1115"/>
      <c r="L1497" s="1115"/>
      <c r="M1497" s="1115"/>
    </row>
    <row r="1498" spans="1:13" x14ac:dyDescent="0.2">
      <c r="A1498" s="1115"/>
      <c r="B1498" s="1115"/>
      <c r="C1498" s="1115"/>
      <c r="D1498" s="1115"/>
      <c r="E1498" s="1115"/>
      <c r="F1498" s="1115"/>
      <c r="G1498" s="1115"/>
      <c r="H1498" s="1115"/>
      <c r="I1498" s="1115"/>
      <c r="J1498" s="1115"/>
      <c r="K1498" s="1115"/>
      <c r="L1498" s="1115"/>
      <c r="M1498" s="1115"/>
    </row>
    <row r="1499" spans="1:13" x14ac:dyDescent="0.2">
      <c r="A1499" s="1115"/>
      <c r="B1499" s="1115"/>
      <c r="C1499" s="1115"/>
      <c r="D1499" s="1115"/>
      <c r="E1499" s="1115"/>
      <c r="F1499" s="1115"/>
      <c r="G1499" s="1115"/>
      <c r="H1499" s="1115"/>
      <c r="I1499" s="1115"/>
      <c r="J1499" s="1115"/>
      <c r="K1499" s="1115"/>
      <c r="L1499" s="1115"/>
      <c r="M1499" s="1115"/>
    </row>
    <row r="1500" spans="1:13" x14ac:dyDescent="0.2">
      <c r="A1500" s="1115"/>
      <c r="B1500" s="1115"/>
      <c r="C1500" s="1115"/>
      <c r="D1500" s="1115"/>
      <c r="E1500" s="1115"/>
      <c r="F1500" s="1115"/>
      <c r="G1500" s="1115"/>
      <c r="H1500" s="1115"/>
      <c r="I1500" s="1115"/>
      <c r="J1500" s="1115"/>
      <c r="K1500" s="1115"/>
      <c r="L1500" s="1115"/>
      <c r="M1500" s="1115"/>
    </row>
    <row r="1501" spans="1:13" x14ac:dyDescent="0.2">
      <c r="A1501" s="1115"/>
      <c r="B1501" s="1115"/>
      <c r="C1501" s="1115"/>
      <c r="D1501" s="1115"/>
      <c r="E1501" s="1115"/>
      <c r="F1501" s="1115"/>
      <c r="G1501" s="1115"/>
      <c r="H1501" s="1115"/>
      <c r="I1501" s="1115"/>
      <c r="J1501" s="1115"/>
      <c r="K1501" s="1115"/>
      <c r="L1501" s="1115"/>
      <c r="M1501" s="1115"/>
    </row>
    <row r="1502" spans="1:13" x14ac:dyDescent="0.2">
      <c r="A1502" s="1115"/>
      <c r="B1502" s="1115"/>
      <c r="C1502" s="1115"/>
      <c r="D1502" s="1115"/>
      <c r="E1502" s="1115"/>
      <c r="F1502" s="1115"/>
      <c r="G1502" s="1115"/>
      <c r="H1502" s="1115"/>
      <c r="I1502" s="1115"/>
      <c r="J1502" s="1115"/>
      <c r="K1502" s="1115"/>
      <c r="L1502" s="1115"/>
      <c r="M1502" s="1115"/>
    </row>
    <row r="1503" spans="1:13" x14ac:dyDescent="0.2">
      <c r="A1503" s="1115"/>
      <c r="B1503" s="1115"/>
      <c r="C1503" s="1115"/>
      <c r="D1503" s="1115"/>
      <c r="E1503" s="1115"/>
      <c r="F1503" s="1115"/>
      <c r="G1503" s="1115"/>
      <c r="H1503" s="1115"/>
      <c r="I1503" s="1115"/>
      <c r="J1503" s="1115"/>
      <c r="K1503" s="1115"/>
      <c r="L1503" s="1115"/>
      <c r="M1503" s="1115"/>
    </row>
    <row r="1504" spans="1:13" x14ac:dyDescent="0.2">
      <c r="A1504" s="1115"/>
      <c r="B1504" s="1115"/>
      <c r="C1504" s="1115"/>
      <c r="D1504" s="1115"/>
      <c r="E1504" s="1115"/>
      <c r="F1504" s="1115"/>
      <c r="G1504" s="1115"/>
      <c r="H1504" s="1115"/>
      <c r="I1504" s="1115"/>
      <c r="J1504" s="1115"/>
      <c r="K1504" s="1115"/>
      <c r="L1504" s="1115"/>
      <c r="M1504" s="1115"/>
    </row>
    <row r="1505" spans="1:13" x14ac:dyDescent="0.2">
      <c r="A1505" s="1115"/>
      <c r="B1505" s="1115"/>
      <c r="C1505" s="1115"/>
      <c r="D1505" s="1115"/>
      <c r="E1505" s="1115"/>
      <c r="F1505" s="1115"/>
      <c r="G1505" s="1115"/>
      <c r="H1505" s="1115"/>
      <c r="I1505" s="1115"/>
      <c r="J1505" s="1115"/>
      <c r="K1505" s="1115"/>
      <c r="L1505" s="1115"/>
      <c r="M1505" s="1115"/>
    </row>
    <row r="1506" spans="1:13" x14ac:dyDescent="0.2">
      <c r="A1506" s="1115"/>
      <c r="B1506" s="1115"/>
      <c r="C1506" s="1115"/>
      <c r="D1506" s="1115"/>
      <c r="E1506" s="1115"/>
      <c r="F1506" s="1115"/>
      <c r="G1506" s="1115"/>
      <c r="H1506" s="1115"/>
      <c r="I1506" s="1115"/>
      <c r="J1506" s="1115"/>
      <c r="K1506" s="1115"/>
      <c r="L1506" s="1115"/>
      <c r="M1506" s="1115"/>
    </row>
    <row r="1507" spans="1:13" x14ac:dyDescent="0.2">
      <c r="A1507" s="1115"/>
      <c r="B1507" s="1115"/>
      <c r="C1507" s="1115"/>
      <c r="D1507" s="1115"/>
      <c r="E1507" s="1115"/>
      <c r="F1507" s="1115"/>
      <c r="G1507" s="1115"/>
      <c r="H1507" s="1115"/>
      <c r="I1507" s="1115"/>
      <c r="J1507" s="1115"/>
      <c r="K1507" s="1115"/>
      <c r="L1507" s="1115"/>
      <c r="M1507" s="1115"/>
    </row>
    <row r="1508" spans="1:13" x14ac:dyDescent="0.2">
      <c r="A1508" s="1115"/>
      <c r="B1508" s="1115"/>
      <c r="C1508" s="1115"/>
      <c r="D1508" s="1115"/>
      <c r="E1508" s="1115"/>
      <c r="F1508" s="1115"/>
      <c r="G1508" s="1115"/>
      <c r="H1508" s="1115"/>
      <c r="I1508" s="1115"/>
      <c r="J1508" s="1115"/>
      <c r="K1508" s="1115"/>
      <c r="L1508" s="1115"/>
      <c r="M1508" s="1115"/>
    </row>
    <row r="1509" spans="1:13" x14ac:dyDescent="0.2">
      <c r="A1509" s="1115"/>
      <c r="B1509" s="1115"/>
      <c r="C1509" s="1115"/>
      <c r="D1509" s="1115"/>
      <c r="E1509" s="1115"/>
      <c r="F1509" s="1115"/>
      <c r="G1509" s="1115"/>
      <c r="H1509" s="1115"/>
      <c r="I1509" s="1115"/>
      <c r="J1509" s="1115"/>
      <c r="K1509" s="1115"/>
      <c r="L1509" s="1115"/>
      <c r="M1509" s="1115"/>
    </row>
    <row r="1510" spans="1:13" x14ac:dyDescent="0.2">
      <c r="A1510" s="1115"/>
      <c r="B1510" s="1115"/>
      <c r="C1510" s="1115"/>
      <c r="D1510" s="1115"/>
      <c r="E1510" s="1115"/>
      <c r="F1510" s="1115"/>
      <c r="G1510" s="1115"/>
      <c r="H1510" s="1115"/>
      <c r="I1510" s="1115"/>
      <c r="J1510" s="1115"/>
      <c r="K1510" s="1115"/>
      <c r="L1510" s="1115"/>
      <c r="M1510" s="1115"/>
    </row>
    <row r="1511" spans="1:13" x14ac:dyDescent="0.2">
      <c r="A1511" s="1115"/>
      <c r="B1511" s="1115"/>
      <c r="C1511" s="1115"/>
      <c r="D1511" s="1115"/>
      <c r="E1511" s="1115"/>
      <c r="F1511" s="1115"/>
      <c r="G1511" s="1115"/>
      <c r="H1511" s="1115"/>
      <c r="I1511" s="1115"/>
      <c r="J1511" s="1115"/>
      <c r="K1511" s="1115"/>
      <c r="L1511" s="1115"/>
      <c r="M1511" s="1115"/>
    </row>
    <row r="1512" spans="1:13" x14ac:dyDescent="0.2">
      <c r="A1512" s="1115"/>
      <c r="B1512" s="1115"/>
      <c r="C1512" s="1115"/>
      <c r="D1512" s="1115"/>
      <c r="E1512" s="1115"/>
      <c r="F1512" s="1115"/>
      <c r="G1512" s="1115"/>
      <c r="H1512" s="1115"/>
      <c r="I1512" s="1115"/>
      <c r="J1512" s="1115"/>
      <c r="K1512" s="1115"/>
      <c r="L1512" s="1115"/>
      <c r="M1512" s="1115"/>
    </row>
    <row r="1513" spans="1:13" x14ac:dyDescent="0.2">
      <c r="A1513" s="1115"/>
      <c r="B1513" s="1115"/>
      <c r="C1513" s="1115"/>
      <c r="D1513" s="1115"/>
      <c r="E1513" s="1115"/>
      <c r="F1513" s="1115"/>
      <c r="G1513" s="1115"/>
      <c r="H1513" s="1115"/>
      <c r="I1513" s="1115"/>
      <c r="J1513" s="1115"/>
      <c r="K1513" s="1115"/>
      <c r="L1513" s="1115"/>
      <c r="M1513" s="1115"/>
    </row>
    <row r="1514" spans="1:13" x14ac:dyDescent="0.2">
      <c r="A1514" s="1115"/>
      <c r="B1514" s="1115"/>
      <c r="C1514" s="1115"/>
      <c r="D1514" s="1115"/>
      <c r="E1514" s="1115"/>
      <c r="F1514" s="1115"/>
      <c r="G1514" s="1115"/>
      <c r="H1514" s="1115"/>
      <c r="I1514" s="1115"/>
      <c r="J1514" s="1115"/>
      <c r="K1514" s="1115"/>
      <c r="L1514" s="1115"/>
      <c r="M1514" s="1115"/>
    </row>
    <row r="1515" spans="1:13" x14ac:dyDescent="0.2">
      <c r="A1515" s="1115"/>
      <c r="B1515" s="1115"/>
      <c r="C1515" s="1115"/>
      <c r="D1515" s="1115"/>
      <c r="E1515" s="1115"/>
      <c r="F1515" s="1115"/>
      <c r="G1515" s="1115"/>
      <c r="H1515" s="1115"/>
      <c r="I1515" s="1115"/>
      <c r="J1515" s="1115"/>
      <c r="K1515" s="1115"/>
      <c r="L1515" s="1115"/>
      <c r="M1515" s="1115"/>
    </row>
    <row r="1516" spans="1:13" x14ac:dyDescent="0.2">
      <c r="A1516" s="1115"/>
      <c r="B1516" s="1115"/>
      <c r="C1516" s="1115"/>
      <c r="D1516" s="1115"/>
      <c r="E1516" s="1115"/>
      <c r="F1516" s="1115"/>
      <c r="G1516" s="1115"/>
      <c r="H1516" s="1115"/>
      <c r="I1516" s="1115"/>
      <c r="J1516" s="1115"/>
      <c r="K1516" s="1115"/>
      <c r="L1516" s="1115"/>
      <c r="M1516" s="1115"/>
    </row>
    <row r="1517" spans="1:13" x14ac:dyDescent="0.2">
      <c r="A1517" s="1115"/>
      <c r="B1517" s="1115"/>
      <c r="C1517" s="1115"/>
      <c r="D1517" s="1115"/>
      <c r="E1517" s="1115"/>
      <c r="F1517" s="1115"/>
      <c r="G1517" s="1115"/>
      <c r="H1517" s="1115"/>
      <c r="I1517" s="1115"/>
      <c r="J1517" s="1115"/>
      <c r="K1517" s="1115"/>
      <c r="L1517" s="1115"/>
      <c r="M1517" s="1115"/>
    </row>
    <row r="1518" spans="1:13" x14ac:dyDescent="0.2">
      <c r="A1518" s="1115"/>
      <c r="B1518" s="1115"/>
      <c r="C1518" s="1115"/>
      <c r="D1518" s="1115"/>
      <c r="E1518" s="1115"/>
      <c r="F1518" s="1115"/>
      <c r="G1518" s="1115"/>
      <c r="H1518" s="1115"/>
      <c r="I1518" s="1115"/>
      <c r="J1518" s="1115"/>
      <c r="K1518" s="1115"/>
      <c r="L1518" s="1115"/>
      <c r="M1518" s="1115"/>
    </row>
    <row r="1519" spans="1:13" x14ac:dyDescent="0.2">
      <c r="A1519" s="1115"/>
      <c r="B1519" s="1115"/>
      <c r="C1519" s="1115"/>
      <c r="D1519" s="1115"/>
      <c r="E1519" s="1115"/>
      <c r="F1519" s="1115"/>
      <c r="G1519" s="1115"/>
      <c r="H1519" s="1115"/>
      <c r="I1519" s="1115"/>
      <c r="J1519" s="1115"/>
      <c r="K1519" s="1115"/>
      <c r="L1519" s="1115"/>
      <c r="M1519" s="1115"/>
    </row>
    <row r="1520" spans="1:13" x14ac:dyDescent="0.2">
      <c r="A1520" s="1115"/>
      <c r="B1520" s="1115"/>
      <c r="C1520" s="1115"/>
      <c r="D1520" s="1115"/>
      <c r="E1520" s="1115"/>
      <c r="F1520" s="1115"/>
      <c r="G1520" s="1115"/>
      <c r="H1520" s="1115"/>
      <c r="I1520" s="1115"/>
      <c r="J1520" s="1115"/>
      <c r="K1520" s="1115"/>
      <c r="L1520" s="1115"/>
      <c r="M1520" s="1115"/>
    </row>
    <row r="1521" spans="1:13" x14ac:dyDescent="0.2">
      <c r="A1521" s="1115"/>
      <c r="B1521" s="1115"/>
      <c r="C1521" s="1115"/>
      <c r="D1521" s="1115"/>
      <c r="E1521" s="1115"/>
      <c r="F1521" s="1115"/>
      <c r="G1521" s="1115"/>
      <c r="H1521" s="1115"/>
      <c r="I1521" s="1115"/>
      <c r="J1521" s="1115"/>
      <c r="K1521" s="1115"/>
      <c r="L1521" s="1115"/>
      <c r="M1521" s="1115"/>
    </row>
    <row r="1522" spans="1:13" x14ac:dyDescent="0.2">
      <c r="A1522" s="1115"/>
      <c r="B1522" s="1115"/>
      <c r="C1522" s="1115"/>
      <c r="D1522" s="1115"/>
      <c r="E1522" s="1115"/>
      <c r="F1522" s="1115"/>
      <c r="G1522" s="1115"/>
      <c r="H1522" s="1115"/>
      <c r="I1522" s="1115"/>
      <c r="J1522" s="1115"/>
      <c r="K1522" s="1115"/>
      <c r="L1522" s="1115"/>
      <c r="M1522" s="1115"/>
    </row>
    <row r="1523" spans="1:13" x14ac:dyDescent="0.2">
      <c r="A1523" s="1115"/>
      <c r="B1523" s="1115"/>
      <c r="C1523" s="1115"/>
      <c r="D1523" s="1115"/>
      <c r="E1523" s="1115"/>
      <c r="F1523" s="1115"/>
      <c r="G1523" s="1115"/>
      <c r="H1523" s="1115"/>
      <c r="I1523" s="1115"/>
      <c r="J1523" s="1115"/>
      <c r="K1523" s="1115"/>
      <c r="L1523" s="1115"/>
      <c r="M1523" s="1115"/>
    </row>
    <row r="1524" spans="1:13" x14ac:dyDescent="0.2">
      <c r="A1524" s="1115"/>
      <c r="B1524" s="1115"/>
      <c r="C1524" s="1115"/>
      <c r="D1524" s="1115"/>
      <c r="E1524" s="1115"/>
      <c r="F1524" s="1115"/>
      <c r="G1524" s="1115"/>
      <c r="H1524" s="1115"/>
      <c r="I1524" s="1115"/>
      <c r="J1524" s="1115"/>
      <c r="K1524" s="1115"/>
      <c r="L1524" s="1115"/>
      <c r="M1524" s="1115"/>
    </row>
    <row r="1525" spans="1:13" x14ac:dyDescent="0.2">
      <c r="A1525" s="1115"/>
      <c r="B1525" s="1115"/>
      <c r="C1525" s="1115"/>
      <c r="D1525" s="1115"/>
      <c r="E1525" s="1115"/>
      <c r="F1525" s="1115"/>
      <c r="G1525" s="1115"/>
      <c r="H1525" s="1115"/>
      <c r="I1525" s="1115"/>
      <c r="J1525" s="1115"/>
      <c r="K1525" s="1115"/>
      <c r="L1525" s="1115"/>
      <c r="M1525" s="1115"/>
    </row>
    <row r="1526" spans="1:13" x14ac:dyDescent="0.2">
      <c r="A1526" s="1115"/>
      <c r="B1526" s="1115"/>
      <c r="C1526" s="1115"/>
      <c r="D1526" s="1115"/>
      <c r="E1526" s="1115"/>
      <c r="F1526" s="1115"/>
      <c r="G1526" s="1115"/>
      <c r="H1526" s="1115"/>
      <c r="I1526" s="1115"/>
      <c r="J1526" s="1115"/>
      <c r="K1526" s="1115"/>
      <c r="L1526" s="1115"/>
      <c r="M1526" s="1115"/>
    </row>
    <row r="1527" spans="1:13" x14ac:dyDescent="0.2">
      <c r="A1527" s="1115"/>
      <c r="B1527" s="1115"/>
      <c r="C1527" s="1115"/>
      <c r="D1527" s="1115"/>
      <c r="E1527" s="1115"/>
      <c r="F1527" s="1115"/>
      <c r="G1527" s="1115"/>
      <c r="H1527" s="1115"/>
      <c r="I1527" s="1115"/>
      <c r="J1527" s="1115"/>
      <c r="K1527" s="1115"/>
      <c r="L1527" s="1115"/>
      <c r="M1527" s="1115"/>
    </row>
    <row r="1528" spans="1:13" x14ac:dyDescent="0.2">
      <c r="A1528" s="1115"/>
      <c r="B1528" s="1115"/>
      <c r="C1528" s="1115"/>
      <c r="D1528" s="1115"/>
      <c r="E1528" s="1115"/>
      <c r="F1528" s="1115"/>
      <c r="G1528" s="1115"/>
      <c r="H1528" s="1115"/>
      <c r="I1528" s="1115"/>
      <c r="J1528" s="1115"/>
      <c r="K1528" s="1115"/>
      <c r="L1528" s="1115"/>
      <c r="M1528" s="1115"/>
    </row>
    <row r="1529" spans="1:13" x14ac:dyDescent="0.2">
      <c r="A1529" s="1115"/>
      <c r="B1529" s="1115"/>
      <c r="C1529" s="1115"/>
      <c r="D1529" s="1115"/>
      <c r="E1529" s="1115"/>
      <c r="F1529" s="1115"/>
      <c r="G1529" s="1115"/>
      <c r="H1529" s="1115"/>
      <c r="I1529" s="1115"/>
      <c r="J1529" s="1115"/>
      <c r="K1529" s="1115"/>
      <c r="L1529" s="1115"/>
      <c r="M1529" s="1115"/>
    </row>
    <row r="1530" spans="1:13" x14ac:dyDescent="0.2">
      <c r="A1530" s="1115"/>
      <c r="B1530" s="1115"/>
      <c r="C1530" s="1115"/>
      <c r="D1530" s="1115"/>
      <c r="E1530" s="1115"/>
      <c r="F1530" s="1115"/>
      <c r="G1530" s="1115"/>
      <c r="H1530" s="1115"/>
      <c r="I1530" s="1115"/>
      <c r="J1530" s="1115"/>
      <c r="K1530" s="1115"/>
      <c r="L1530" s="1115"/>
      <c r="M1530" s="1115"/>
    </row>
    <row r="1531" spans="1:13" x14ac:dyDescent="0.2">
      <c r="A1531" s="1115"/>
      <c r="B1531" s="1115"/>
      <c r="C1531" s="1115"/>
      <c r="D1531" s="1115"/>
      <c r="E1531" s="1115"/>
      <c r="F1531" s="1115"/>
      <c r="G1531" s="1115"/>
      <c r="H1531" s="1115"/>
      <c r="I1531" s="1115"/>
      <c r="J1531" s="1115"/>
      <c r="K1531" s="1115"/>
      <c r="L1531" s="1115"/>
      <c r="M1531" s="1115"/>
    </row>
    <row r="1532" spans="1:13" x14ac:dyDescent="0.2">
      <c r="A1532" s="1115"/>
      <c r="B1532" s="1115"/>
      <c r="C1532" s="1115"/>
      <c r="D1532" s="1115"/>
      <c r="E1532" s="1115"/>
      <c r="F1532" s="1115"/>
      <c r="G1532" s="1115"/>
      <c r="H1532" s="1115"/>
      <c r="I1532" s="1115"/>
      <c r="J1532" s="1115"/>
      <c r="K1532" s="1115"/>
      <c r="L1532" s="1115"/>
      <c r="M1532" s="1115"/>
    </row>
    <row r="1533" spans="1:13" x14ac:dyDescent="0.2">
      <c r="A1533" s="1115"/>
      <c r="B1533" s="1115"/>
      <c r="C1533" s="1115"/>
      <c r="D1533" s="1115"/>
      <c r="E1533" s="1115"/>
      <c r="F1533" s="1115"/>
      <c r="G1533" s="1115"/>
      <c r="H1533" s="1115"/>
      <c r="I1533" s="1115"/>
      <c r="J1533" s="1115"/>
      <c r="K1533" s="1115"/>
      <c r="L1533" s="1115"/>
      <c r="M1533" s="1115"/>
    </row>
    <row r="1534" spans="1:13" x14ac:dyDescent="0.2">
      <c r="A1534" s="1115"/>
      <c r="B1534" s="1115"/>
      <c r="C1534" s="1115"/>
      <c r="D1534" s="1115"/>
      <c r="E1534" s="1115"/>
      <c r="F1534" s="1115"/>
      <c r="G1534" s="1115"/>
      <c r="H1534" s="1115"/>
      <c r="I1534" s="1115"/>
      <c r="J1534" s="1115"/>
      <c r="K1534" s="1115"/>
      <c r="L1534" s="1115"/>
      <c r="M1534" s="1115"/>
    </row>
    <row r="1535" spans="1:13" x14ac:dyDescent="0.2">
      <c r="A1535" s="1115"/>
      <c r="B1535" s="1115"/>
      <c r="C1535" s="1115"/>
      <c r="D1535" s="1115"/>
      <c r="E1535" s="1115"/>
      <c r="F1535" s="1115"/>
      <c r="G1535" s="1115"/>
      <c r="H1535" s="1115"/>
      <c r="I1535" s="1115"/>
      <c r="J1535" s="1115"/>
      <c r="K1535" s="1115"/>
      <c r="L1535" s="1115"/>
      <c r="M1535" s="1115"/>
    </row>
    <row r="1536" spans="1:13" x14ac:dyDescent="0.2">
      <c r="A1536" s="1115"/>
      <c r="B1536" s="1115"/>
      <c r="C1536" s="1115"/>
      <c r="D1536" s="1115"/>
      <c r="E1536" s="1115"/>
      <c r="F1536" s="1115"/>
      <c r="G1536" s="1115"/>
      <c r="H1536" s="1115"/>
      <c r="I1536" s="1115"/>
      <c r="J1536" s="1115"/>
      <c r="K1536" s="1115"/>
      <c r="L1536" s="1115"/>
      <c r="M1536" s="1115"/>
    </row>
    <row r="1537" spans="1:13" x14ac:dyDescent="0.2">
      <c r="A1537" s="1115"/>
      <c r="B1537" s="1115"/>
      <c r="C1537" s="1115"/>
      <c r="D1537" s="1115"/>
      <c r="E1537" s="1115"/>
      <c r="F1537" s="1115"/>
      <c r="G1537" s="1115"/>
      <c r="H1537" s="1115"/>
      <c r="I1537" s="1115"/>
      <c r="J1537" s="1115"/>
      <c r="K1537" s="1115"/>
      <c r="L1537" s="1115"/>
      <c r="M1537" s="1115"/>
    </row>
    <row r="1538" spans="1:13" x14ac:dyDescent="0.2">
      <c r="A1538" s="1115"/>
      <c r="B1538" s="1115"/>
      <c r="C1538" s="1115"/>
      <c r="D1538" s="1115"/>
      <c r="E1538" s="1115"/>
      <c r="F1538" s="1115"/>
      <c r="G1538" s="1115"/>
      <c r="H1538" s="1115"/>
      <c r="I1538" s="1115"/>
      <c r="J1538" s="1115"/>
      <c r="K1538" s="1115"/>
      <c r="L1538" s="1115"/>
      <c r="M1538" s="1115"/>
    </row>
    <row r="1539" spans="1:13" x14ac:dyDescent="0.2">
      <c r="A1539" s="1115"/>
      <c r="B1539" s="1115"/>
      <c r="C1539" s="1115"/>
      <c r="D1539" s="1115"/>
      <c r="E1539" s="1115"/>
      <c r="F1539" s="1115"/>
      <c r="G1539" s="1115"/>
      <c r="H1539" s="1115"/>
      <c r="I1539" s="1115"/>
      <c r="J1539" s="1115"/>
      <c r="K1539" s="1115"/>
      <c r="L1539" s="1115"/>
      <c r="M1539" s="1115"/>
    </row>
    <row r="1540" spans="1:13" x14ac:dyDescent="0.2">
      <c r="A1540" s="1115"/>
      <c r="B1540" s="1115"/>
      <c r="C1540" s="1115"/>
      <c r="D1540" s="1115"/>
      <c r="E1540" s="1115"/>
      <c r="F1540" s="1115"/>
      <c r="G1540" s="1115"/>
      <c r="H1540" s="1115"/>
      <c r="I1540" s="1115"/>
      <c r="J1540" s="1115"/>
      <c r="K1540" s="1115"/>
      <c r="L1540" s="1115"/>
      <c r="M1540" s="1115"/>
    </row>
    <row r="1541" spans="1:13" x14ac:dyDescent="0.2">
      <c r="A1541" s="1115"/>
      <c r="B1541" s="1115"/>
      <c r="C1541" s="1115"/>
      <c r="D1541" s="1115"/>
      <c r="E1541" s="1115"/>
      <c r="F1541" s="1115"/>
      <c r="G1541" s="1115"/>
      <c r="H1541" s="1115"/>
      <c r="I1541" s="1115"/>
      <c r="J1541" s="1115"/>
      <c r="K1541" s="1115"/>
      <c r="L1541" s="1115"/>
      <c r="M1541" s="1115"/>
    </row>
    <row r="1542" spans="1:13" x14ac:dyDescent="0.2">
      <c r="A1542" s="1115"/>
      <c r="B1542" s="1115"/>
      <c r="C1542" s="1115"/>
      <c r="D1542" s="1115"/>
      <c r="E1542" s="1115"/>
      <c r="F1542" s="1115"/>
      <c r="G1542" s="1115"/>
      <c r="H1542" s="1115"/>
      <c r="I1542" s="1115"/>
      <c r="J1542" s="1115"/>
      <c r="K1542" s="1115"/>
      <c r="L1542" s="1115"/>
      <c r="M1542" s="1115"/>
    </row>
    <row r="1543" spans="1:13" x14ac:dyDescent="0.2">
      <c r="A1543" s="1115"/>
      <c r="B1543" s="1115"/>
      <c r="C1543" s="1115"/>
      <c r="D1543" s="1115"/>
      <c r="E1543" s="1115"/>
      <c r="F1543" s="1115"/>
      <c r="G1543" s="1115"/>
      <c r="H1543" s="1115"/>
      <c r="I1543" s="1115"/>
      <c r="J1543" s="1115"/>
      <c r="K1543" s="1115"/>
      <c r="L1543" s="1115"/>
      <c r="M1543" s="1115"/>
    </row>
    <row r="1544" spans="1:13" x14ac:dyDescent="0.2">
      <c r="A1544" s="1115"/>
      <c r="B1544" s="1115"/>
      <c r="C1544" s="1115"/>
      <c r="D1544" s="1115"/>
      <c r="E1544" s="1115"/>
      <c r="F1544" s="1115"/>
      <c r="G1544" s="1115"/>
      <c r="H1544" s="1115"/>
      <c r="I1544" s="1115"/>
      <c r="J1544" s="1115"/>
      <c r="K1544" s="1115"/>
      <c r="L1544" s="1115"/>
      <c r="M1544" s="1115"/>
    </row>
    <row r="1545" spans="1:13" x14ac:dyDescent="0.2">
      <c r="A1545" s="1115"/>
      <c r="B1545" s="1115"/>
      <c r="C1545" s="1115"/>
      <c r="D1545" s="1115"/>
      <c r="E1545" s="1115"/>
      <c r="F1545" s="1115"/>
      <c r="G1545" s="1115"/>
      <c r="H1545" s="1115"/>
      <c r="I1545" s="1115"/>
      <c r="J1545" s="1115"/>
      <c r="K1545" s="1115"/>
      <c r="L1545" s="1115"/>
      <c r="M1545" s="1115"/>
    </row>
    <row r="1546" spans="1:13" x14ac:dyDescent="0.2">
      <c r="A1546" s="1115"/>
      <c r="B1546" s="1115"/>
      <c r="C1546" s="1115"/>
      <c r="D1546" s="1115"/>
      <c r="E1546" s="1115"/>
      <c r="F1546" s="1115"/>
      <c r="G1546" s="1115"/>
      <c r="H1546" s="1115"/>
      <c r="I1546" s="1115"/>
      <c r="J1546" s="1115"/>
      <c r="K1546" s="1115"/>
      <c r="L1546" s="1115"/>
      <c r="M1546" s="1115"/>
    </row>
    <row r="1547" spans="1:13" x14ac:dyDescent="0.2">
      <c r="A1547" s="1115"/>
      <c r="B1547" s="1115"/>
      <c r="C1547" s="1115"/>
      <c r="D1547" s="1115"/>
      <c r="E1547" s="1115"/>
      <c r="F1547" s="1115"/>
      <c r="G1547" s="1115"/>
      <c r="H1547" s="1115"/>
      <c r="I1547" s="1115"/>
      <c r="J1547" s="1115"/>
      <c r="K1547" s="1115"/>
      <c r="L1547" s="1115"/>
      <c r="M1547" s="1115"/>
    </row>
    <row r="1548" spans="1:13" x14ac:dyDescent="0.2">
      <c r="A1548" s="1115"/>
      <c r="B1548" s="1115"/>
      <c r="C1548" s="1115"/>
      <c r="D1548" s="1115"/>
      <c r="E1548" s="1115"/>
      <c r="F1548" s="1115"/>
      <c r="G1548" s="1115"/>
      <c r="H1548" s="1115"/>
      <c r="I1548" s="1115"/>
      <c r="J1548" s="1115"/>
      <c r="K1548" s="1115"/>
      <c r="L1548" s="1115"/>
      <c r="M1548" s="1115"/>
    </row>
    <row r="1549" spans="1:13" x14ac:dyDescent="0.2">
      <c r="A1549" s="1115"/>
      <c r="B1549" s="1115"/>
      <c r="C1549" s="1115"/>
      <c r="D1549" s="1115"/>
      <c r="E1549" s="1115"/>
      <c r="F1549" s="1115"/>
      <c r="G1549" s="1115"/>
      <c r="H1549" s="1115"/>
      <c r="I1549" s="1115"/>
      <c r="J1549" s="1115"/>
      <c r="K1549" s="1115"/>
      <c r="L1549" s="1115"/>
      <c r="M1549" s="1115"/>
    </row>
    <row r="1550" spans="1:13" x14ac:dyDescent="0.2">
      <c r="A1550" s="1115"/>
      <c r="B1550" s="1115"/>
      <c r="C1550" s="1115"/>
      <c r="D1550" s="1115"/>
      <c r="E1550" s="1115"/>
      <c r="F1550" s="1115"/>
      <c r="G1550" s="1115"/>
      <c r="H1550" s="1115"/>
      <c r="I1550" s="1115"/>
      <c r="J1550" s="1115"/>
      <c r="K1550" s="1115"/>
      <c r="L1550" s="1115"/>
      <c r="M1550" s="1115"/>
    </row>
    <row r="1551" spans="1:13" x14ac:dyDescent="0.2">
      <c r="A1551" s="1115"/>
      <c r="B1551" s="1115"/>
      <c r="C1551" s="1115"/>
      <c r="D1551" s="1115"/>
      <c r="E1551" s="1115"/>
      <c r="F1551" s="1115"/>
      <c r="G1551" s="1115"/>
      <c r="H1551" s="1115"/>
      <c r="I1551" s="1115"/>
      <c r="J1551" s="1115"/>
      <c r="K1551" s="1115"/>
      <c r="L1551" s="1115"/>
      <c r="M1551" s="1115"/>
    </row>
    <row r="1552" spans="1:13" x14ac:dyDescent="0.2">
      <c r="A1552" s="1115"/>
      <c r="B1552" s="1115"/>
      <c r="C1552" s="1115"/>
      <c r="D1552" s="1115"/>
      <c r="E1552" s="1115"/>
      <c r="F1552" s="1115"/>
      <c r="G1552" s="1115"/>
      <c r="H1552" s="1115"/>
      <c r="I1552" s="1115"/>
      <c r="J1552" s="1115"/>
      <c r="K1552" s="1115"/>
      <c r="L1552" s="1115"/>
      <c r="M1552" s="1115"/>
    </row>
    <row r="1553" spans="1:13" x14ac:dyDescent="0.2">
      <c r="A1553" s="1115"/>
      <c r="B1553" s="1115"/>
      <c r="C1553" s="1115"/>
      <c r="D1553" s="1115"/>
      <c r="E1553" s="1115"/>
      <c r="F1553" s="1115"/>
      <c r="G1553" s="1115"/>
      <c r="H1553" s="1115"/>
      <c r="I1553" s="1115"/>
      <c r="J1553" s="1115"/>
      <c r="K1553" s="1115"/>
      <c r="L1553" s="1115"/>
      <c r="M1553" s="1115"/>
    </row>
    <row r="1554" spans="1:13" x14ac:dyDescent="0.2">
      <c r="A1554" s="1115"/>
      <c r="B1554" s="1115"/>
      <c r="C1554" s="1115"/>
      <c r="D1554" s="1115"/>
      <c r="E1554" s="1115"/>
      <c r="F1554" s="1115"/>
      <c r="G1554" s="1115"/>
      <c r="H1554" s="1115"/>
      <c r="I1554" s="1115"/>
      <c r="J1554" s="1115"/>
      <c r="K1554" s="1115"/>
      <c r="L1554" s="1115"/>
      <c r="M1554" s="1115"/>
    </row>
    <row r="1555" spans="1:13" x14ac:dyDescent="0.2">
      <c r="A1555" s="1115"/>
      <c r="B1555" s="1115"/>
      <c r="C1555" s="1115"/>
      <c r="D1555" s="1115"/>
      <c r="E1555" s="1115"/>
      <c r="F1555" s="1115"/>
      <c r="G1555" s="1115"/>
      <c r="H1555" s="1115"/>
      <c r="I1555" s="1115"/>
      <c r="J1555" s="1115"/>
      <c r="K1555" s="1115"/>
      <c r="L1555" s="1115"/>
      <c r="M1555" s="1115"/>
    </row>
    <row r="1556" spans="1:13" x14ac:dyDescent="0.2">
      <c r="A1556" s="1115"/>
      <c r="B1556" s="1115"/>
      <c r="C1556" s="1115"/>
      <c r="D1556" s="1115"/>
      <c r="E1556" s="1115"/>
      <c r="F1556" s="1115"/>
      <c r="G1556" s="1115"/>
      <c r="H1556" s="1115"/>
      <c r="I1556" s="1115"/>
      <c r="J1556" s="1115"/>
      <c r="K1556" s="1115"/>
      <c r="L1556" s="1115"/>
      <c r="M1556" s="1115"/>
    </row>
    <row r="1557" spans="1:13" x14ac:dyDescent="0.2">
      <c r="A1557" s="1115"/>
      <c r="B1557" s="1115"/>
      <c r="C1557" s="1115"/>
      <c r="D1557" s="1115"/>
      <c r="E1557" s="1115"/>
      <c r="F1557" s="1115"/>
      <c r="G1557" s="1115"/>
      <c r="H1557" s="1115"/>
      <c r="I1557" s="1115"/>
      <c r="J1557" s="1115"/>
      <c r="K1557" s="1115"/>
      <c r="L1557" s="1115"/>
      <c r="M1557" s="1115"/>
    </row>
    <row r="1558" spans="1:13" x14ac:dyDescent="0.2">
      <c r="A1558" s="1115"/>
      <c r="B1558" s="1115"/>
      <c r="C1558" s="1115"/>
      <c r="D1558" s="1115"/>
      <c r="E1558" s="1115"/>
      <c r="F1558" s="1115"/>
      <c r="G1558" s="1115"/>
      <c r="H1558" s="1115"/>
      <c r="I1558" s="1115"/>
      <c r="J1558" s="1115"/>
      <c r="K1558" s="1115"/>
      <c r="L1558" s="1115"/>
      <c r="M1558" s="1115"/>
    </row>
    <row r="1559" spans="1:13" x14ac:dyDescent="0.2">
      <c r="A1559" s="1115"/>
      <c r="B1559" s="1115"/>
      <c r="C1559" s="1115"/>
      <c r="D1559" s="1115"/>
      <c r="E1559" s="1115"/>
      <c r="F1559" s="1115"/>
      <c r="G1559" s="1115"/>
      <c r="H1559" s="1115"/>
      <c r="I1559" s="1115"/>
      <c r="J1559" s="1115"/>
      <c r="K1559" s="1115"/>
      <c r="L1559" s="1115"/>
      <c r="M1559" s="1115"/>
    </row>
    <row r="1560" spans="1:13" x14ac:dyDescent="0.2">
      <c r="A1560" s="1115"/>
      <c r="B1560" s="1115"/>
      <c r="C1560" s="1115"/>
      <c r="D1560" s="1115"/>
      <c r="E1560" s="1115"/>
      <c r="F1560" s="1115"/>
      <c r="G1560" s="1115"/>
      <c r="H1560" s="1115"/>
      <c r="I1560" s="1115"/>
      <c r="J1560" s="1115"/>
      <c r="K1560" s="1115"/>
      <c r="L1560" s="1115"/>
      <c r="M1560" s="1115"/>
    </row>
    <row r="1561" spans="1:13" x14ac:dyDescent="0.2">
      <c r="A1561" s="1115"/>
      <c r="B1561" s="1115"/>
      <c r="C1561" s="1115"/>
      <c r="D1561" s="1115"/>
      <c r="E1561" s="1115"/>
      <c r="F1561" s="1115"/>
      <c r="G1561" s="1115"/>
      <c r="H1561" s="1115"/>
      <c r="I1561" s="1115"/>
      <c r="J1561" s="1115"/>
      <c r="K1561" s="1115"/>
      <c r="L1561" s="1115"/>
      <c r="M1561" s="1115"/>
    </row>
    <row r="1562" spans="1:13" x14ac:dyDescent="0.2">
      <c r="A1562" s="1115"/>
      <c r="B1562" s="1115"/>
      <c r="C1562" s="1115"/>
      <c r="D1562" s="1115"/>
      <c r="E1562" s="1115"/>
      <c r="F1562" s="1115"/>
      <c r="G1562" s="1115"/>
      <c r="H1562" s="1115"/>
      <c r="I1562" s="1115"/>
      <c r="J1562" s="1115"/>
      <c r="K1562" s="1115"/>
      <c r="L1562" s="1115"/>
      <c r="M1562" s="1115"/>
    </row>
    <row r="1563" spans="1:13" x14ac:dyDescent="0.2">
      <c r="A1563" s="1115"/>
      <c r="B1563" s="1115"/>
      <c r="C1563" s="1115"/>
      <c r="D1563" s="1115"/>
      <c r="E1563" s="1115"/>
      <c r="F1563" s="1115"/>
      <c r="G1563" s="1115"/>
      <c r="H1563" s="1115"/>
      <c r="I1563" s="1115"/>
      <c r="J1563" s="1115"/>
      <c r="K1563" s="1115"/>
      <c r="L1563" s="1115"/>
      <c r="M1563" s="1115"/>
    </row>
    <row r="1564" spans="1:13" x14ac:dyDescent="0.2">
      <c r="A1564" s="1115"/>
      <c r="B1564" s="1115"/>
      <c r="C1564" s="1115"/>
      <c r="D1564" s="1115"/>
      <c r="E1564" s="1115"/>
      <c r="F1564" s="1115"/>
      <c r="G1564" s="1115"/>
      <c r="H1564" s="1115"/>
      <c r="I1564" s="1115"/>
      <c r="J1564" s="1115"/>
      <c r="K1564" s="1115"/>
      <c r="L1564" s="1115"/>
      <c r="M1564" s="1115"/>
    </row>
    <row r="1565" spans="1:13" x14ac:dyDescent="0.2">
      <c r="A1565" s="1115"/>
      <c r="B1565" s="1115"/>
      <c r="C1565" s="1115"/>
      <c r="D1565" s="1115"/>
      <c r="E1565" s="1115"/>
      <c r="F1565" s="1115"/>
      <c r="G1565" s="1115"/>
      <c r="H1565" s="1115"/>
      <c r="I1565" s="1115"/>
      <c r="J1565" s="1115"/>
      <c r="K1565" s="1115"/>
      <c r="L1565" s="1115"/>
      <c r="M1565" s="1115"/>
    </row>
    <row r="1566" spans="1:13" x14ac:dyDescent="0.2">
      <c r="A1566" s="1115"/>
      <c r="B1566" s="1115"/>
      <c r="C1566" s="1115"/>
      <c r="D1566" s="1115"/>
      <c r="E1566" s="1115"/>
      <c r="F1566" s="1115"/>
      <c r="G1566" s="1115"/>
      <c r="H1566" s="1115"/>
      <c r="I1566" s="1115"/>
      <c r="J1566" s="1115"/>
      <c r="K1566" s="1115"/>
      <c r="L1566" s="1115"/>
      <c r="M1566" s="1115"/>
    </row>
    <row r="1567" spans="1:13" x14ac:dyDescent="0.2">
      <c r="A1567" s="1115"/>
      <c r="B1567" s="1115"/>
      <c r="C1567" s="1115"/>
      <c r="D1567" s="1115"/>
      <c r="E1567" s="1115"/>
      <c r="F1567" s="1115"/>
      <c r="G1567" s="1115"/>
      <c r="H1567" s="1115"/>
      <c r="I1567" s="1115"/>
      <c r="J1567" s="1115"/>
      <c r="K1567" s="1115"/>
      <c r="L1567" s="1115"/>
      <c r="M1567" s="1115"/>
    </row>
    <row r="1568" spans="1:13" x14ac:dyDescent="0.2">
      <c r="A1568" s="1115"/>
      <c r="B1568" s="1115"/>
      <c r="C1568" s="1115"/>
      <c r="D1568" s="1115"/>
      <c r="E1568" s="1115"/>
      <c r="F1568" s="1115"/>
      <c r="G1568" s="1115"/>
      <c r="H1568" s="1115"/>
      <c r="I1568" s="1115"/>
      <c r="J1568" s="1115"/>
      <c r="K1568" s="1115"/>
      <c r="L1568" s="1115"/>
      <c r="M1568" s="1115"/>
    </row>
    <row r="1569" spans="1:13" x14ac:dyDescent="0.2">
      <c r="A1569" s="1115"/>
      <c r="B1569" s="1115"/>
      <c r="C1569" s="1115"/>
      <c r="D1569" s="1115"/>
      <c r="E1569" s="1115"/>
      <c r="F1569" s="1115"/>
      <c r="G1569" s="1115"/>
      <c r="H1569" s="1115"/>
      <c r="I1569" s="1115"/>
      <c r="J1569" s="1115"/>
      <c r="K1569" s="1115"/>
      <c r="L1569" s="1115"/>
      <c r="M1569" s="1115"/>
    </row>
    <row r="1570" spans="1:13" x14ac:dyDescent="0.2">
      <c r="A1570" s="1115"/>
      <c r="B1570" s="1115"/>
      <c r="C1570" s="1115"/>
      <c r="D1570" s="1115"/>
      <c r="E1570" s="1115"/>
      <c r="F1570" s="1115"/>
      <c r="G1570" s="1115"/>
      <c r="H1570" s="1115"/>
      <c r="I1570" s="1115"/>
      <c r="J1570" s="1115"/>
      <c r="K1570" s="1115"/>
      <c r="L1570" s="1115"/>
      <c r="M1570" s="1115"/>
    </row>
    <row r="1571" spans="1:13" x14ac:dyDescent="0.2">
      <c r="A1571" s="1115"/>
      <c r="B1571" s="1115"/>
      <c r="C1571" s="1115"/>
      <c r="D1571" s="1115"/>
      <c r="E1571" s="1115"/>
      <c r="F1571" s="1115"/>
      <c r="G1571" s="1115"/>
      <c r="H1571" s="1115"/>
      <c r="I1571" s="1115"/>
      <c r="J1571" s="1115"/>
      <c r="K1571" s="1115"/>
      <c r="L1571" s="1115"/>
      <c r="M1571" s="1115"/>
    </row>
    <row r="1572" spans="1:13" x14ac:dyDescent="0.2">
      <c r="A1572" s="1115"/>
      <c r="B1572" s="1115"/>
      <c r="C1572" s="1115"/>
      <c r="D1572" s="1115"/>
      <c r="E1572" s="1115"/>
      <c r="F1572" s="1115"/>
      <c r="G1572" s="1115"/>
      <c r="H1572" s="1115"/>
      <c r="I1572" s="1115"/>
      <c r="J1572" s="1115"/>
      <c r="K1572" s="1115"/>
      <c r="L1572" s="1115"/>
      <c r="M1572" s="1115"/>
    </row>
    <row r="1573" spans="1:13" x14ac:dyDescent="0.2">
      <c r="A1573" s="1115"/>
      <c r="B1573" s="1115"/>
      <c r="C1573" s="1115"/>
      <c r="D1573" s="1115"/>
      <c r="E1573" s="1115"/>
      <c r="F1573" s="1115"/>
      <c r="G1573" s="1115"/>
      <c r="H1573" s="1115"/>
      <c r="I1573" s="1115"/>
      <c r="J1573" s="1115"/>
      <c r="K1573" s="1115"/>
      <c r="L1573" s="1115"/>
      <c r="M1573" s="1115"/>
    </row>
    <row r="1574" spans="1:13" x14ac:dyDescent="0.2">
      <c r="A1574" s="1115"/>
      <c r="B1574" s="1115"/>
      <c r="C1574" s="1115"/>
      <c r="D1574" s="1115"/>
      <c r="E1574" s="1115"/>
      <c r="F1574" s="1115"/>
      <c r="G1574" s="1115"/>
      <c r="H1574" s="1115"/>
      <c r="I1574" s="1115"/>
      <c r="J1574" s="1115"/>
      <c r="K1574" s="1115"/>
      <c r="L1574" s="1115"/>
      <c r="M1574" s="1115"/>
    </row>
    <row r="1575" spans="1:13" x14ac:dyDescent="0.2">
      <c r="A1575" s="1115"/>
      <c r="B1575" s="1115"/>
      <c r="C1575" s="1115"/>
      <c r="D1575" s="1115"/>
      <c r="E1575" s="1115"/>
      <c r="F1575" s="1115"/>
      <c r="G1575" s="1115"/>
      <c r="H1575" s="1115"/>
      <c r="I1575" s="1115"/>
      <c r="J1575" s="1115"/>
      <c r="K1575" s="1115"/>
      <c r="L1575" s="1115"/>
      <c r="M1575" s="1115"/>
    </row>
    <row r="1576" spans="1:13" x14ac:dyDescent="0.2">
      <c r="A1576" s="1115"/>
      <c r="B1576" s="1115"/>
      <c r="C1576" s="1115"/>
      <c r="D1576" s="1115"/>
      <c r="E1576" s="1115"/>
      <c r="F1576" s="1115"/>
      <c r="G1576" s="1115"/>
      <c r="H1576" s="1115"/>
      <c r="I1576" s="1115"/>
      <c r="J1576" s="1115"/>
      <c r="K1576" s="1115"/>
      <c r="L1576" s="1115"/>
      <c r="M1576" s="1115"/>
    </row>
    <row r="1577" spans="1:13" x14ac:dyDescent="0.2">
      <c r="A1577" s="1115"/>
      <c r="B1577" s="1115"/>
      <c r="C1577" s="1115"/>
      <c r="D1577" s="1115"/>
      <c r="E1577" s="1115"/>
      <c r="F1577" s="1115"/>
      <c r="G1577" s="1115"/>
      <c r="H1577" s="1115"/>
      <c r="I1577" s="1115"/>
      <c r="J1577" s="1115"/>
      <c r="K1577" s="1115"/>
      <c r="L1577" s="1115"/>
      <c r="M1577" s="1115"/>
    </row>
    <row r="1578" spans="1:13" x14ac:dyDescent="0.2">
      <c r="A1578" s="1115"/>
      <c r="B1578" s="1115"/>
      <c r="C1578" s="1115"/>
      <c r="D1578" s="1115"/>
      <c r="E1578" s="1115"/>
      <c r="F1578" s="1115"/>
      <c r="G1578" s="1115"/>
      <c r="H1578" s="1115"/>
      <c r="I1578" s="1115"/>
      <c r="J1578" s="1115"/>
      <c r="K1578" s="1115"/>
      <c r="L1578" s="1115"/>
      <c r="M1578" s="1115"/>
    </row>
    <row r="1579" spans="1:13" x14ac:dyDescent="0.2">
      <c r="A1579" s="1115"/>
      <c r="B1579" s="1115"/>
      <c r="C1579" s="1115"/>
      <c r="D1579" s="1115"/>
      <c r="E1579" s="1115"/>
      <c r="F1579" s="1115"/>
      <c r="G1579" s="1115"/>
      <c r="H1579" s="1115"/>
      <c r="I1579" s="1115"/>
      <c r="J1579" s="1115"/>
      <c r="K1579" s="1115"/>
      <c r="L1579" s="1115"/>
      <c r="M1579" s="1115"/>
    </row>
    <row r="1580" spans="1:13" x14ac:dyDescent="0.2">
      <c r="A1580" s="1115"/>
      <c r="B1580" s="1115"/>
      <c r="C1580" s="1115"/>
      <c r="D1580" s="1115"/>
      <c r="E1580" s="1115"/>
      <c r="F1580" s="1115"/>
      <c r="G1580" s="1115"/>
      <c r="H1580" s="1115"/>
      <c r="I1580" s="1115"/>
      <c r="J1580" s="1115"/>
      <c r="K1580" s="1115"/>
      <c r="L1580" s="1115"/>
      <c r="M1580" s="1115"/>
    </row>
    <row r="1581" spans="1:13" x14ac:dyDescent="0.2">
      <c r="A1581" s="1115"/>
      <c r="B1581" s="1115"/>
      <c r="C1581" s="1115"/>
      <c r="D1581" s="1115"/>
      <c r="E1581" s="1115"/>
      <c r="F1581" s="1115"/>
      <c r="G1581" s="1115"/>
      <c r="H1581" s="1115"/>
      <c r="I1581" s="1115"/>
      <c r="J1581" s="1115"/>
      <c r="K1581" s="1115"/>
      <c r="L1581" s="1115"/>
      <c r="M1581" s="1115"/>
    </row>
    <row r="1582" spans="1:13" x14ac:dyDescent="0.2">
      <c r="A1582" s="1115"/>
      <c r="B1582" s="1115"/>
      <c r="C1582" s="1115"/>
      <c r="D1582" s="1115"/>
      <c r="E1582" s="1115"/>
      <c r="F1582" s="1115"/>
      <c r="G1582" s="1115"/>
      <c r="H1582" s="1115"/>
      <c r="I1582" s="1115"/>
      <c r="J1582" s="1115"/>
      <c r="K1582" s="1115"/>
      <c r="L1582" s="1115"/>
      <c r="M1582" s="1115"/>
    </row>
    <row r="1583" spans="1:13" x14ac:dyDescent="0.2">
      <c r="A1583" s="1115"/>
      <c r="B1583" s="1115"/>
      <c r="C1583" s="1115"/>
      <c r="D1583" s="1115"/>
      <c r="E1583" s="1115"/>
      <c r="F1583" s="1115"/>
      <c r="G1583" s="1115"/>
      <c r="H1583" s="1115"/>
      <c r="I1583" s="1115"/>
      <c r="J1583" s="1115"/>
      <c r="K1583" s="1115"/>
      <c r="L1583" s="1115"/>
      <c r="M1583" s="1115"/>
    </row>
    <row r="1584" spans="1:13" x14ac:dyDescent="0.2">
      <c r="A1584" s="1115"/>
      <c r="B1584" s="1115"/>
      <c r="C1584" s="1115"/>
      <c r="D1584" s="1115"/>
      <c r="E1584" s="1115"/>
      <c r="F1584" s="1115"/>
      <c r="G1584" s="1115"/>
      <c r="H1584" s="1115"/>
      <c r="I1584" s="1115"/>
      <c r="J1584" s="1115"/>
      <c r="K1584" s="1115"/>
      <c r="L1584" s="1115"/>
      <c r="M1584" s="1115"/>
    </row>
    <row r="1585" spans="1:13" x14ac:dyDescent="0.2">
      <c r="A1585" s="1115"/>
      <c r="B1585" s="1115"/>
      <c r="C1585" s="1115"/>
      <c r="D1585" s="1115"/>
      <c r="E1585" s="1115"/>
      <c r="F1585" s="1115"/>
      <c r="G1585" s="1115"/>
      <c r="H1585" s="1115"/>
      <c r="I1585" s="1115"/>
      <c r="J1585" s="1115"/>
      <c r="K1585" s="1115"/>
      <c r="L1585" s="1115"/>
      <c r="M1585" s="1115"/>
    </row>
    <row r="1586" spans="1:13" x14ac:dyDescent="0.2">
      <c r="A1586" s="1115"/>
      <c r="B1586" s="1115"/>
      <c r="C1586" s="1115"/>
      <c r="D1586" s="1115"/>
      <c r="E1586" s="1115"/>
      <c r="F1586" s="1115"/>
      <c r="G1586" s="1115"/>
      <c r="H1586" s="1115"/>
      <c r="I1586" s="1115"/>
      <c r="J1586" s="1115"/>
      <c r="K1586" s="1115"/>
      <c r="L1586" s="1115"/>
      <c r="M1586" s="1115"/>
    </row>
    <row r="1587" spans="1:13" x14ac:dyDescent="0.2">
      <c r="A1587" s="1115"/>
      <c r="B1587" s="1115"/>
      <c r="C1587" s="1115"/>
      <c r="D1587" s="1115"/>
      <c r="E1587" s="1115"/>
      <c r="F1587" s="1115"/>
      <c r="G1587" s="1115"/>
      <c r="H1587" s="1115"/>
      <c r="I1587" s="1115"/>
      <c r="J1587" s="1115"/>
      <c r="K1587" s="1115"/>
      <c r="L1587" s="1115"/>
      <c r="M1587" s="1115"/>
    </row>
    <row r="1588" spans="1:13" x14ac:dyDescent="0.2">
      <c r="A1588" s="1115"/>
      <c r="B1588" s="1115"/>
      <c r="C1588" s="1115"/>
      <c r="D1588" s="1115"/>
      <c r="E1588" s="1115"/>
      <c r="F1588" s="1115"/>
      <c r="G1588" s="1115"/>
      <c r="H1588" s="1115"/>
      <c r="I1588" s="1115"/>
      <c r="J1588" s="1115"/>
      <c r="K1588" s="1115"/>
      <c r="L1588" s="1115"/>
      <c r="M1588" s="1115"/>
    </row>
    <row r="1589" spans="1:13" x14ac:dyDescent="0.2">
      <c r="A1589" s="1115"/>
      <c r="B1589" s="1115"/>
      <c r="C1589" s="1115"/>
      <c r="D1589" s="1115"/>
      <c r="E1589" s="1115"/>
      <c r="F1589" s="1115"/>
      <c r="G1589" s="1115"/>
      <c r="H1589" s="1115"/>
      <c r="I1589" s="1115"/>
      <c r="J1589" s="1115"/>
      <c r="K1589" s="1115"/>
      <c r="L1589" s="1115"/>
      <c r="M1589" s="1115"/>
    </row>
    <row r="1590" spans="1:13" x14ac:dyDescent="0.2">
      <c r="A1590" s="1115"/>
      <c r="B1590" s="1115"/>
      <c r="C1590" s="1115"/>
      <c r="D1590" s="1115"/>
      <c r="E1590" s="1115"/>
      <c r="F1590" s="1115"/>
      <c r="G1590" s="1115"/>
      <c r="H1590" s="1115"/>
      <c r="I1590" s="1115"/>
      <c r="J1590" s="1115"/>
      <c r="K1590" s="1115"/>
      <c r="L1590" s="1115"/>
      <c r="M1590" s="1115"/>
    </row>
    <row r="1591" spans="1:13" x14ac:dyDescent="0.2">
      <c r="A1591" s="1115"/>
      <c r="B1591" s="1115"/>
      <c r="C1591" s="1115"/>
      <c r="D1591" s="1115"/>
      <c r="E1591" s="1115"/>
      <c r="F1591" s="1115"/>
      <c r="G1591" s="1115"/>
      <c r="H1591" s="1115"/>
      <c r="I1591" s="1115"/>
      <c r="J1591" s="1115"/>
      <c r="K1591" s="1115"/>
      <c r="L1591" s="1115"/>
      <c r="M1591" s="1115"/>
    </row>
    <row r="1592" spans="1:13" x14ac:dyDescent="0.2">
      <c r="A1592" s="1115"/>
      <c r="B1592" s="1115"/>
      <c r="C1592" s="1115"/>
      <c r="D1592" s="1115"/>
      <c r="E1592" s="1115"/>
      <c r="F1592" s="1115"/>
      <c r="G1592" s="1115"/>
      <c r="H1592" s="1115"/>
      <c r="I1592" s="1115"/>
      <c r="J1592" s="1115"/>
      <c r="K1592" s="1115"/>
      <c r="L1592" s="1115"/>
      <c r="M1592" s="1115"/>
    </row>
    <row r="1593" spans="1:13" x14ac:dyDescent="0.2">
      <c r="A1593" s="1115"/>
      <c r="B1593" s="1115"/>
      <c r="C1593" s="1115"/>
      <c r="D1593" s="1115"/>
      <c r="E1593" s="1115"/>
      <c r="F1593" s="1115"/>
      <c r="G1593" s="1115"/>
      <c r="H1593" s="1115"/>
      <c r="I1593" s="1115"/>
      <c r="J1593" s="1115"/>
      <c r="K1593" s="1115"/>
      <c r="L1593" s="1115"/>
      <c r="M1593" s="1115"/>
    </row>
    <row r="1594" spans="1:13" x14ac:dyDescent="0.2">
      <c r="A1594" s="1115"/>
      <c r="B1594" s="1115"/>
      <c r="C1594" s="1115"/>
      <c r="D1594" s="1115"/>
      <c r="E1594" s="1115"/>
      <c r="F1594" s="1115"/>
      <c r="G1594" s="1115"/>
      <c r="H1594" s="1115"/>
      <c r="I1594" s="1115"/>
      <c r="J1594" s="1115"/>
      <c r="K1594" s="1115"/>
      <c r="L1594" s="1115"/>
      <c r="M1594" s="1115"/>
    </row>
    <row r="1595" spans="1:13" x14ac:dyDescent="0.2">
      <c r="A1595" s="1115"/>
      <c r="B1595" s="1115"/>
      <c r="C1595" s="1115"/>
      <c r="D1595" s="1115"/>
      <c r="E1595" s="1115"/>
      <c r="F1595" s="1115"/>
      <c r="G1595" s="1115"/>
      <c r="H1595" s="1115"/>
      <c r="I1595" s="1115"/>
      <c r="J1595" s="1115"/>
      <c r="K1595" s="1115"/>
      <c r="L1595" s="1115"/>
      <c r="M1595" s="1115"/>
    </row>
    <row r="1596" spans="1:13" x14ac:dyDescent="0.2">
      <c r="A1596" s="1115"/>
      <c r="B1596" s="1115"/>
      <c r="C1596" s="1115"/>
      <c r="D1596" s="1115"/>
      <c r="E1596" s="1115"/>
      <c r="F1596" s="1115"/>
      <c r="G1596" s="1115"/>
      <c r="H1596" s="1115"/>
      <c r="I1596" s="1115"/>
      <c r="J1596" s="1115"/>
      <c r="K1596" s="1115"/>
      <c r="L1596" s="1115"/>
      <c r="M1596" s="1115"/>
    </row>
    <row r="1597" spans="1:13" x14ac:dyDescent="0.2">
      <c r="A1597" s="1115"/>
      <c r="B1597" s="1115"/>
      <c r="C1597" s="1115"/>
      <c r="D1597" s="1115"/>
      <c r="E1597" s="1115"/>
      <c r="F1597" s="1115"/>
      <c r="G1597" s="1115"/>
      <c r="H1597" s="1115"/>
      <c r="I1597" s="1115"/>
      <c r="J1597" s="1115"/>
      <c r="K1597" s="1115"/>
      <c r="L1597" s="1115"/>
      <c r="M1597" s="1115"/>
    </row>
    <row r="1598" spans="1:13" x14ac:dyDescent="0.2">
      <c r="A1598" s="1115"/>
      <c r="B1598" s="1115"/>
      <c r="C1598" s="1115"/>
      <c r="D1598" s="1115"/>
      <c r="E1598" s="1115"/>
      <c r="F1598" s="1115"/>
      <c r="G1598" s="1115"/>
      <c r="H1598" s="1115"/>
      <c r="I1598" s="1115"/>
      <c r="J1598" s="1115"/>
      <c r="K1598" s="1115"/>
      <c r="L1598" s="1115"/>
      <c r="M1598" s="1115"/>
    </row>
    <row r="1599" spans="1:13" x14ac:dyDescent="0.2">
      <c r="A1599" s="1115"/>
      <c r="B1599" s="1115"/>
      <c r="C1599" s="1115"/>
      <c r="D1599" s="1115"/>
      <c r="E1599" s="1115"/>
      <c r="F1599" s="1115"/>
      <c r="G1599" s="1115"/>
      <c r="H1599" s="1115"/>
      <c r="I1599" s="1115"/>
      <c r="J1599" s="1115"/>
      <c r="K1599" s="1115"/>
      <c r="L1599" s="1115"/>
      <c r="M1599" s="1115"/>
    </row>
    <row r="1600" spans="1:13" x14ac:dyDescent="0.2">
      <c r="A1600" s="1115"/>
      <c r="B1600" s="1115"/>
      <c r="C1600" s="1115"/>
      <c r="D1600" s="1115"/>
      <c r="E1600" s="1115"/>
      <c r="F1600" s="1115"/>
      <c r="G1600" s="1115"/>
      <c r="H1600" s="1115"/>
      <c r="I1600" s="1115"/>
      <c r="J1600" s="1115"/>
      <c r="K1600" s="1115"/>
      <c r="L1600" s="1115"/>
      <c r="M1600" s="1115"/>
    </row>
    <row r="1601" spans="1:13" x14ac:dyDescent="0.2">
      <c r="A1601" s="1115"/>
      <c r="B1601" s="1115"/>
      <c r="C1601" s="1115"/>
      <c r="D1601" s="1115"/>
      <c r="E1601" s="1115"/>
      <c r="F1601" s="1115"/>
      <c r="G1601" s="1115"/>
      <c r="H1601" s="1115"/>
      <c r="I1601" s="1115"/>
      <c r="J1601" s="1115"/>
      <c r="K1601" s="1115"/>
      <c r="L1601" s="1115"/>
      <c r="M1601" s="1115"/>
    </row>
    <row r="1602" spans="1:13" x14ac:dyDescent="0.2">
      <c r="A1602" s="1115"/>
      <c r="B1602" s="1115"/>
      <c r="C1602" s="1115"/>
      <c r="D1602" s="1115"/>
      <c r="E1602" s="1115"/>
      <c r="F1602" s="1115"/>
      <c r="G1602" s="1115"/>
      <c r="H1602" s="1115"/>
      <c r="I1602" s="1115"/>
      <c r="J1602" s="1115"/>
      <c r="K1602" s="1115"/>
      <c r="L1602" s="1115"/>
      <c r="M1602" s="1115"/>
    </row>
    <row r="1603" spans="1:13" x14ac:dyDescent="0.2">
      <c r="A1603" s="1115"/>
      <c r="B1603" s="1115"/>
      <c r="C1603" s="1115"/>
      <c r="D1603" s="1115"/>
      <c r="E1603" s="1115"/>
      <c r="F1603" s="1115"/>
      <c r="G1603" s="1115"/>
      <c r="H1603" s="1115"/>
      <c r="I1603" s="1115"/>
      <c r="J1603" s="1115"/>
      <c r="K1603" s="1115"/>
      <c r="L1603" s="1115"/>
      <c r="M1603" s="1115"/>
    </row>
    <row r="1604" spans="1:13" x14ac:dyDescent="0.2">
      <c r="A1604" s="1115"/>
      <c r="B1604" s="1115"/>
      <c r="C1604" s="1115"/>
      <c r="D1604" s="1115"/>
      <c r="E1604" s="1115"/>
      <c r="F1604" s="1115"/>
      <c r="G1604" s="1115"/>
      <c r="H1604" s="1115"/>
      <c r="I1604" s="1115"/>
      <c r="J1604" s="1115"/>
      <c r="K1604" s="1115"/>
      <c r="L1604" s="1115"/>
      <c r="M1604" s="1115"/>
    </row>
    <row r="1605" spans="1:13" x14ac:dyDescent="0.2">
      <c r="A1605" s="1115"/>
      <c r="B1605" s="1115"/>
      <c r="C1605" s="1115"/>
      <c r="D1605" s="1115"/>
      <c r="E1605" s="1115"/>
      <c r="F1605" s="1115"/>
      <c r="G1605" s="1115"/>
      <c r="H1605" s="1115"/>
      <c r="I1605" s="1115"/>
      <c r="J1605" s="1115"/>
      <c r="K1605" s="1115"/>
      <c r="L1605" s="1115"/>
      <c r="M1605" s="1115"/>
    </row>
    <row r="1606" spans="1:13" x14ac:dyDescent="0.2">
      <c r="A1606" s="1115"/>
      <c r="B1606" s="1115"/>
      <c r="C1606" s="1115"/>
      <c r="D1606" s="1115"/>
      <c r="E1606" s="1115"/>
      <c r="F1606" s="1115"/>
      <c r="G1606" s="1115"/>
      <c r="H1606" s="1115"/>
      <c r="I1606" s="1115"/>
      <c r="J1606" s="1115"/>
      <c r="K1606" s="1115"/>
      <c r="L1606" s="1115"/>
      <c r="M1606" s="1115"/>
    </row>
    <row r="1607" spans="1:13" x14ac:dyDescent="0.2">
      <c r="A1607" s="1115"/>
      <c r="B1607" s="1115"/>
      <c r="C1607" s="1115"/>
      <c r="D1607" s="1115"/>
      <c r="E1607" s="1115"/>
      <c r="F1607" s="1115"/>
      <c r="G1607" s="1115"/>
      <c r="H1607" s="1115"/>
      <c r="I1607" s="1115"/>
      <c r="J1607" s="1115"/>
      <c r="K1607" s="1115"/>
      <c r="L1607" s="1115"/>
      <c r="M1607" s="1115"/>
    </row>
    <row r="1608" spans="1:13" x14ac:dyDescent="0.2">
      <c r="A1608" s="1115"/>
      <c r="B1608" s="1115"/>
      <c r="C1608" s="1115"/>
      <c r="D1608" s="1115"/>
      <c r="E1608" s="1115"/>
      <c r="F1608" s="1115"/>
      <c r="G1608" s="1115"/>
      <c r="H1608" s="1115"/>
      <c r="I1608" s="1115"/>
      <c r="J1608" s="1115"/>
      <c r="K1608" s="1115"/>
      <c r="L1608" s="1115"/>
      <c r="M1608" s="1115"/>
    </row>
    <row r="1609" spans="1:13" x14ac:dyDescent="0.2">
      <c r="A1609" s="1115"/>
      <c r="B1609" s="1115"/>
      <c r="C1609" s="1115"/>
      <c r="D1609" s="1115"/>
      <c r="E1609" s="1115"/>
      <c r="F1609" s="1115"/>
      <c r="G1609" s="1115"/>
      <c r="H1609" s="1115"/>
      <c r="I1609" s="1115"/>
      <c r="J1609" s="1115"/>
      <c r="K1609" s="1115"/>
      <c r="L1609" s="1115"/>
      <c r="M1609" s="1115"/>
    </row>
    <row r="1610" spans="1:13" x14ac:dyDescent="0.2">
      <c r="A1610" s="1115"/>
      <c r="B1610" s="1115"/>
      <c r="C1610" s="1115"/>
      <c r="D1610" s="1115"/>
      <c r="E1610" s="1115"/>
      <c r="F1610" s="1115"/>
      <c r="G1610" s="1115"/>
      <c r="H1610" s="1115"/>
      <c r="I1610" s="1115"/>
      <c r="J1610" s="1115"/>
      <c r="K1610" s="1115"/>
      <c r="L1610" s="1115"/>
      <c r="M1610" s="1115"/>
    </row>
    <row r="1611" spans="1:13" x14ac:dyDescent="0.2">
      <c r="A1611" s="1115"/>
      <c r="B1611" s="1115"/>
      <c r="C1611" s="1115"/>
      <c r="D1611" s="1115"/>
      <c r="E1611" s="1115"/>
      <c r="F1611" s="1115"/>
      <c r="G1611" s="1115"/>
      <c r="H1611" s="1115"/>
      <c r="I1611" s="1115"/>
      <c r="J1611" s="1115"/>
      <c r="K1611" s="1115"/>
      <c r="L1611" s="1115"/>
      <c r="M1611" s="1115"/>
    </row>
    <row r="1612" spans="1:13" x14ac:dyDescent="0.2">
      <c r="A1612" s="1115"/>
      <c r="B1612" s="1115"/>
      <c r="C1612" s="1115"/>
      <c r="D1612" s="1115"/>
      <c r="E1612" s="1115"/>
      <c r="F1612" s="1115"/>
      <c r="G1612" s="1115"/>
      <c r="H1612" s="1115"/>
      <c r="I1612" s="1115"/>
      <c r="J1612" s="1115"/>
      <c r="K1612" s="1115"/>
      <c r="L1612" s="1115"/>
      <c r="M1612" s="1115"/>
    </row>
    <row r="1613" spans="1:13" x14ac:dyDescent="0.2">
      <c r="A1613" s="1115"/>
      <c r="B1613" s="1115"/>
      <c r="C1613" s="1115"/>
      <c r="D1613" s="1115"/>
      <c r="E1613" s="1115"/>
      <c r="F1613" s="1115"/>
      <c r="G1613" s="1115"/>
      <c r="H1613" s="1115"/>
      <c r="I1613" s="1115"/>
      <c r="J1613" s="1115"/>
      <c r="K1613" s="1115"/>
      <c r="L1613" s="1115"/>
      <c r="M1613" s="1115"/>
    </row>
    <row r="1614" spans="1:13" x14ac:dyDescent="0.2">
      <c r="A1614" s="1115"/>
      <c r="B1614" s="1115"/>
      <c r="C1614" s="1115"/>
      <c r="D1614" s="1115"/>
      <c r="E1614" s="1115"/>
      <c r="F1614" s="1115"/>
      <c r="G1614" s="1115"/>
      <c r="H1614" s="1115"/>
      <c r="I1614" s="1115"/>
      <c r="J1614" s="1115"/>
      <c r="K1614" s="1115"/>
      <c r="L1614" s="1115"/>
      <c r="M1614" s="1115"/>
    </row>
    <row r="1615" spans="1:13" x14ac:dyDescent="0.2">
      <c r="A1615" s="1115"/>
      <c r="B1615" s="1115"/>
      <c r="C1615" s="1115"/>
      <c r="D1615" s="1115"/>
      <c r="E1615" s="1115"/>
      <c r="F1615" s="1115"/>
      <c r="G1615" s="1115"/>
      <c r="H1615" s="1115"/>
      <c r="I1615" s="1115"/>
      <c r="J1615" s="1115"/>
      <c r="K1615" s="1115"/>
      <c r="L1615" s="1115"/>
      <c r="M1615" s="1115"/>
    </row>
    <row r="1616" spans="1:13" x14ac:dyDescent="0.2">
      <c r="A1616" s="1115"/>
      <c r="B1616" s="1115"/>
      <c r="C1616" s="1115"/>
      <c r="D1616" s="1115"/>
      <c r="E1616" s="1115"/>
      <c r="F1616" s="1115"/>
      <c r="G1616" s="1115"/>
      <c r="H1616" s="1115"/>
      <c r="I1616" s="1115"/>
      <c r="J1616" s="1115"/>
      <c r="K1616" s="1115"/>
      <c r="L1616" s="1115"/>
      <c r="M1616" s="1115"/>
    </row>
    <row r="1617" spans="1:13" x14ac:dyDescent="0.2">
      <c r="A1617" s="1115"/>
      <c r="B1617" s="1115"/>
      <c r="C1617" s="1115"/>
      <c r="D1617" s="1115"/>
      <c r="E1617" s="1115"/>
      <c r="F1617" s="1115"/>
      <c r="G1617" s="1115"/>
      <c r="H1617" s="1115"/>
      <c r="I1617" s="1115"/>
      <c r="J1617" s="1115"/>
      <c r="K1617" s="1115"/>
      <c r="L1617" s="1115"/>
      <c r="M1617" s="1115"/>
    </row>
    <row r="1618" spans="1:13" x14ac:dyDescent="0.2">
      <c r="A1618" s="1115"/>
      <c r="B1618" s="1115"/>
      <c r="C1618" s="1115"/>
      <c r="D1618" s="1115"/>
      <c r="E1618" s="1115"/>
      <c r="F1618" s="1115"/>
      <c r="G1618" s="1115"/>
      <c r="H1618" s="1115"/>
      <c r="I1618" s="1115"/>
      <c r="J1618" s="1115"/>
      <c r="K1618" s="1115"/>
      <c r="L1618" s="1115"/>
      <c r="M1618" s="1115"/>
    </row>
    <row r="1619" spans="1:13" x14ac:dyDescent="0.2">
      <c r="A1619" s="1115"/>
      <c r="B1619" s="1115"/>
      <c r="C1619" s="1115"/>
      <c r="D1619" s="1115"/>
      <c r="E1619" s="1115"/>
      <c r="F1619" s="1115"/>
      <c r="G1619" s="1115"/>
      <c r="H1619" s="1115"/>
      <c r="I1619" s="1115"/>
      <c r="J1619" s="1115"/>
      <c r="K1619" s="1115"/>
      <c r="L1619" s="1115"/>
      <c r="M1619" s="1115"/>
    </row>
    <row r="1620" spans="1:13" x14ac:dyDescent="0.2">
      <c r="A1620" s="1115"/>
      <c r="B1620" s="1115"/>
      <c r="C1620" s="1115"/>
      <c r="D1620" s="1115"/>
      <c r="E1620" s="1115"/>
      <c r="F1620" s="1115"/>
      <c r="G1620" s="1115"/>
      <c r="H1620" s="1115"/>
      <c r="I1620" s="1115"/>
      <c r="J1620" s="1115"/>
      <c r="K1620" s="1115"/>
      <c r="L1620" s="1115"/>
      <c r="M1620" s="1115"/>
    </row>
    <row r="1621" spans="1:13" x14ac:dyDescent="0.2">
      <c r="A1621" s="1115"/>
      <c r="B1621" s="1115"/>
      <c r="C1621" s="1115"/>
      <c r="D1621" s="1115"/>
      <c r="E1621" s="1115"/>
      <c r="F1621" s="1115"/>
      <c r="G1621" s="1115"/>
      <c r="H1621" s="1115"/>
      <c r="I1621" s="1115"/>
      <c r="J1621" s="1115"/>
      <c r="K1621" s="1115"/>
      <c r="L1621" s="1115"/>
      <c r="M1621" s="1115"/>
    </row>
    <row r="1622" spans="1:13" x14ac:dyDescent="0.2">
      <c r="A1622" s="1115"/>
      <c r="B1622" s="1115"/>
      <c r="C1622" s="1115"/>
      <c r="D1622" s="1115"/>
      <c r="E1622" s="1115"/>
      <c r="F1622" s="1115"/>
      <c r="G1622" s="1115"/>
      <c r="H1622" s="1115"/>
      <c r="I1622" s="1115"/>
      <c r="J1622" s="1115"/>
      <c r="K1622" s="1115"/>
      <c r="L1622" s="1115"/>
      <c r="M1622" s="1115"/>
    </row>
    <row r="1623" spans="1:13" x14ac:dyDescent="0.2">
      <c r="A1623" s="1115"/>
      <c r="B1623" s="1115"/>
      <c r="C1623" s="1115"/>
      <c r="D1623" s="1115"/>
      <c r="E1623" s="1115"/>
      <c r="F1623" s="1115"/>
      <c r="G1623" s="1115"/>
      <c r="H1623" s="1115"/>
      <c r="I1623" s="1115"/>
      <c r="J1623" s="1115"/>
      <c r="K1623" s="1115"/>
      <c r="L1623" s="1115"/>
      <c r="M1623" s="1115"/>
    </row>
    <row r="1624" spans="1:13" x14ac:dyDescent="0.2">
      <c r="A1624" s="1115"/>
      <c r="B1624" s="1115"/>
      <c r="C1624" s="1115"/>
      <c r="D1624" s="1115"/>
      <c r="E1624" s="1115"/>
      <c r="F1624" s="1115"/>
      <c r="G1624" s="1115"/>
      <c r="H1624" s="1115"/>
      <c r="I1624" s="1115"/>
      <c r="J1624" s="1115"/>
      <c r="K1624" s="1115"/>
      <c r="L1624" s="1115"/>
      <c r="M1624" s="1115"/>
    </row>
    <row r="1625" spans="1:13" x14ac:dyDescent="0.2">
      <c r="A1625" s="1115"/>
      <c r="B1625" s="1115"/>
      <c r="C1625" s="1115"/>
      <c r="D1625" s="1115"/>
      <c r="E1625" s="1115"/>
      <c r="F1625" s="1115"/>
      <c r="G1625" s="1115"/>
      <c r="H1625" s="1115"/>
      <c r="I1625" s="1115"/>
      <c r="J1625" s="1115"/>
      <c r="K1625" s="1115"/>
      <c r="L1625" s="1115"/>
      <c r="M1625" s="1115"/>
    </row>
    <row r="1626" spans="1:13" x14ac:dyDescent="0.2">
      <c r="A1626" s="1115"/>
      <c r="B1626" s="1115"/>
      <c r="C1626" s="1115"/>
      <c r="D1626" s="1115"/>
      <c r="E1626" s="1115"/>
      <c r="F1626" s="1115"/>
      <c r="G1626" s="1115"/>
      <c r="H1626" s="1115"/>
      <c r="I1626" s="1115"/>
      <c r="J1626" s="1115"/>
      <c r="K1626" s="1115"/>
      <c r="L1626" s="1115"/>
      <c r="M1626" s="1115"/>
    </row>
    <row r="1627" spans="1:13" x14ac:dyDescent="0.2">
      <c r="A1627" s="1115"/>
      <c r="B1627" s="1115"/>
      <c r="C1627" s="1115"/>
      <c r="D1627" s="1115"/>
      <c r="E1627" s="1115"/>
      <c r="F1627" s="1115"/>
      <c r="G1627" s="1115"/>
      <c r="H1627" s="1115"/>
      <c r="I1627" s="1115"/>
      <c r="J1627" s="1115"/>
      <c r="K1627" s="1115"/>
      <c r="L1627" s="1115"/>
      <c r="M1627" s="1115"/>
    </row>
    <row r="1628" spans="1:13" x14ac:dyDescent="0.2">
      <c r="A1628" s="1115"/>
      <c r="B1628" s="1115"/>
      <c r="C1628" s="1115"/>
      <c r="D1628" s="1115"/>
      <c r="E1628" s="1115"/>
      <c r="F1628" s="1115"/>
      <c r="G1628" s="1115"/>
      <c r="H1628" s="1115"/>
      <c r="I1628" s="1115"/>
      <c r="J1628" s="1115"/>
      <c r="K1628" s="1115"/>
      <c r="L1628" s="1115"/>
      <c r="M1628" s="1115"/>
    </row>
    <row r="1629" spans="1:13" x14ac:dyDescent="0.2">
      <c r="A1629" s="1115"/>
      <c r="B1629" s="1115"/>
      <c r="C1629" s="1115"/>
      <c r="D1629" s="1115"/>
      <c r="E1629" s="1115"/>
      <c r="F1629" s="1115"/>
      <c r="G1629" s="1115"/>
      <c r="H1629" s="1115"/>
      <c r="I1629" s="1115"/>
      <c r="J1629" s="1115"/>
      <c r="K1629" s="1115"/>
      <c r="L1629" s="1115"/>
      <c r="M1629" s="1115"/>
    </row>
    <row r="1630" spans="1:13" x14ac:dyDescent="0.2">
      <c r="A1630" s="1115"/>
      <c r="B1630" s="1115"/>
      <c r="C1630" s="1115"/>
      <c r="D1630" s="1115"/>
      <c r="E1630" s="1115"/>
      <c r="F1630" s="1115"/>
      <c r="G1630" s="1115"/>
      <c r="H1630" s="1115"/>
      <c r="I1630" s="1115"/>
      <c r="J1630" s="1115"/>
      <c r="K1630" s="1115"/>
      <c r="L1630" s="1115"/>
      <c r="M1630" s="1115"/>
    </row>
    <row r="1631" spans="1:13" x14ac:dyDescent="0.2">
      <c r="A1631" s="1115"/>
      <c r="B1631" s="1115"/>
      <c r="C1631" s="1115"/>
      <c r="D1631" s="1115"/>
      <c r="E1631" s="1115"/>
      <c r="F1631" s="1115"/>
      <c r="G1631" s="1115"/>
      <c r="H1631" s="1115"/>
      <c r="I1631" s="1115"/>
      <c r="J1631" s="1115"/>
      <c r="K1631" s="1115"/>
      <c r="L1631" s="1115"/>
      <c r="M1631" s="1115"/>
    </row>
    <row r="1632" spans="1:13" x14ac:dyDescent="0.2">
      <c r="A1632" s="1115"/>
      <c r="B1632" s="1115"/>
      <c r="C1632" s="1115"/>
      <c r="D1632" s="1115"/>
      <c r="E1632" s="1115"/>
      <c r="F1632" s="1115"/>
      <c r="G1632" s="1115"/>
      <c r="H1632" s="1115"/>
      <c r="I1632" s="1115"/>
      <c r="J1632" s="1115"/>
      <c r="K1632" s="1115"/>
      <c r="L1632" s="1115"/>
      <c r="M1632" s="1115"/>
    </row>
    <row r="1633" spans="1:13" x14ac:dyDescent="0.2">
      <c r="A1633" s="1115"/>
      <c r="B1633" s="1115"/>
      <c r="C1633" s="1115"/>
      <c r="D1633" s="1115"/>
      <c r="E1633" s="1115"/>
      <c r="F1633" s="1115"/>
      <c r="G1633" s="1115"/>
      <c r="H1633" s="1115"/>
      <c r="I1633" s="1115"/>
      <c r="J1633" s="1115"/>
      <c r="K1633" s="1115"/>
      <c r="L1633" s="1115"/>
      <c r="M1633" s="1115"/>
    </row>
    <row r="1634" spans="1:13" x14ac:dyDescent="0.2">
      <c r="A1634" s="1115"/>
      <c r="B1634" s="1115"/>
      <c r="C1634" s="1115"/>
      <c r="D1634" s="1115"/>
      <c r="E1634" s="1115"/>
      <c r="F1634" s="1115"/>
      <c r="G1634" s="1115"/>
      <c r="H1634" s="1115"/>
      <c r="I1634" s="1115"/>
      <c r="J1634" s="1115"/>
      <c r="K1634" s="1115"/>
      <c r="L1634" s="1115"/>
      <c r="M1634" s="1115"/>
    </row>
    <row r="1635" spans="1:13" x14ac:dyDescent="0.2">
      <c r="A1635" s="1115"/>
      <c r="B1635" s="1115"/>
      <c r="C1635" s="1115"/>
      <c r="D1635" s="1115"/>
      <c r="E1635" s="1115"/>
      <c r="F1635" s="1115"/>
      <c r="G1635" s="1115"/>
      <c r="H1635" s="1115"/>
      <c r="I1635" s="1115"/>
      <c r="J1635" s="1115"/>
      <c r="K1635" s="1115"/>
      <c r="L1635" s="1115"/>
      <c r="M1635" s="1115"/>
    </row>
    <row r="1636" spans="1:13" x14ac:dyDescent="0.2">
      <c r="A1636" s="1115"/>
      <c r="B1636" s="1115"/>
      <c r="C1636" s="1115"/>
      <c r="D1636" s="1115"/>
      <c r="E1636" s="1115"/>
      <c r="F1636" s="1115"/>
      <c r="G1636" s="1115"/>
      <c r="H1636" s="1115"/>
      <c r="I1636" s="1115"/>
      <c r="J1636" s="1115"/>
      <c r="K1636" s="1115"/>
      <c r="L1636" s="1115"/>
      <c r="M1636" s="1115"/>
    </row>
    <row r="1637" spans="1:13" x14ac:dyDescent="0.2">
      <c r="A1637" s="1115"/>
      <c r="B1637" s="1115"/>
      <c r="C1637" s="1115"/>
      <c r="D1637" s="1115"/>
      <c r="E1637" s="1115"/>
      <c r="F1637" s="1115"/>
      <c r="G1637" s="1115"/>
      <c r="H1637" s="1115"/>
      <c r="I1637" s="1115"/>
      <c r="J1637" s="1115"/>
      <c r="K1637" s="1115"/>
      <c r="L1637" s="1115"/>
      <c r="M1637" s="1115"/>
    </row>
    <row r="1638" spans="1:13" x14ac:dyDescent="0.2">
      <c r="A1638" s="1115"/>
      <c r="B1638" s="1115"/>
      <c r="C1638" s="1115"/>
      <c r="D1638" s="1115"/>
      <c r="E1638" s="1115"/>
      <c r="F1638" s="1115"/>
      <c r="G1638" s="1115"/>
      <c r="H1638" s="1115"/>
      <c r="I1638" s="1115"/>
      <c r="J1638" s="1115"/>
      <c r="K1638" s="1115"/>
      <c r="L1638" s="1115"/>
      <c r="M1638" s="1115"/>
    </row>
    <row r="1639" spans="1:13" x14ac:dyDescent="0.2">
      <c r="A1639" s="1115"/>
      <c r="B1639" s="1115"/>
      <c r="C1639" s="1115"/>
      <c r="D1639" s="1115"/>
      <c r="E1639" s="1115"/>
      <c r="F1639" s="1115"/>
      <c r="G1639" s="1115"/>
      <c r="H1639" s="1115"/>
      <c r="I1639" s="1115"/>
      <c r="J1639" s="1115"/>
      <c r="K1639" s="1115"/>
      <c r="L1639" s="1115"/>
      <c r="M1639" s="1115"/>
    </row>
    <row r="1640" spans="1:13" x14ac:dyDescent="0.2">
      <c r="A1640" s="1115"/>
      <c r="B1640" s="1115"/>
      <c r="C1640" s="1115"/>
      <c r="D1640" s="1115"/>
      <c r="E1640" s="1115"/>
      <c r="F1640" s="1115"/>
      <c r="G1640" s="1115"/>
      <c r="H1640" s="1115"/>
      <c r="I1640" s="1115"/>
      <c r="J1640" s="1115"/>
      <c r="K1640" s="1115"/>
      <c r="L1640" s="1115"/>
      <c r="M1640" s="1115"/>
    </row>
    <row r="1641" spans="1:13" x14ac:dyDescent="0.2">
      <c r="A1641" s="1115"/>
      <c r="B1641" s="1115"/>
      <c r="C1641" s="1115"/>
      <c r="D1641" s="1115"/>
      <c r="E1641" s="1115"/>
      <c r="F1641" s="1115"/>
      <c r="G1641" s="1115"/>
      <c r="H1641" s="1115"/>
      <c r="I1641" s="1115"/>
      <c r="J1641" s="1115"/>
      <c r="K1641" s="1115"/>
      <c r="L1641" s="1115"/>
      <c r="M1641" s="1115"/>
    </row>
    <row r="1642" spans="1:13" x14ac:dyDescent="0.2">
      <c r="A1642" s="1115"/>
      <c r="B1642" s="1115"/>
      <c r="C1642" s="1115"/>
      <c r="D1642" s="1115"/>
      <c r="E1642" s="1115"/>
      <c r="F1642" s="1115"/>
      <c r="G1642" s="1115"/>
      <c r="H1642" s="1115"/>
      <c r="I1642" s="1115"/>
      <c r="J1642" s="1115"/>
      <c r="K1642" s="1115"/>
      <c r="L1642" s="1115"/>
      <c r="M1642" s="1115"/>
    </row>
    <row r="1643" spans="1:13" x14ac:dyDescent="0.2">
      <c r="A1643" s="1115"/>
      <c r="B1643" s="1115"/>
      <c r="C1643" s="1115"/>
      <c r="D1643" s="1115"/>
      <c r="E1643" s="1115"/>
      <c r="F1643" s="1115"/>
      <c r="G1643" s="1115"/>
      <c r="H1643" s="1115"/>
      <c r="I1643" s="1115"/>
      <c r="J1643" s="1115"/>
      <c r="K1643" s="1115"/>
      <c r="L1643" s="1115"/>
      <c r="M1643" s="1115"/>
    </row>
    <row r="1644" spans="1:13" x14ac:dyDescent="0.2">
      <c r="A1644" s="1115"/>
      <c r="B1644" s="1115"/>
      <c r="C1644" s="1115"/>
      <c r="D1644" s="1115"/>
      <c r="E1644" s="1115"/>
      <c r="F1644" s="1115"/>
      <c r="G1644" s="1115"/>
      <c r="H1644" s="1115"/>
      <c r="I1644" s="1115"/>
      <c r="J1644" s="1115"/>
      <c r="K1644" s="1115"/>
      <c r="L1644" s="1115"/>
      <c r="M1644" s="1115"/>
    </row>
    <row r="1645" spans="1:13" x14ac:dyDescent="0.2">
      <c r="A1645" s="1115"/>
      <c r="B1645" s="1115"/>
      <c r="C1645" s="1115"/>
      <c r="D1645" s="1115"/>
      <c r="E1645" s="1115"/>
      <c r="F1645" s="1115"/>
      <c r="G1645" s="1115"/>
      <c r="H1645" s="1115"/>
      <c r="I1645" s="1115"/>
      <c r="J1645" s="1115"/>
      <c r="K1645" s="1115"/>
      <c r="L1645" s="1115"/>
      <c r="M1645" s="1115"/>
    </row>
    <row r="1646" spans="1:13" x14ac:dyDescent="0.2">
      <c r="A1646" s="1115"/>
      <c r="B1646" s="1115"/>
      <c r="C1646" s="1115"/>
      <c r="D1646" s="1115"/>
      <c r="E1646" s="1115"/>
      <c r="F1646" s="1115"/>
      <c r="G1646" s="1115"/>
      <c r="H1646" s="1115"/>
      <c r="I1646" s="1115"/>
      <c r="J1646" s="1115"/>
      <c r="K1646" s="1115"/>
      <c r="L1646" s="1115"/>
      <c r="M1646" s="1115"/>
    </row>
    <row r="1647" spans="1:13" x14ac:dyDescent="0.2">
      <c r="A1647" s="1115"/>
      <c r="B1647" s="1115"/>
      <c r="C1647" s="1115"/>
      <c r="D1647" s="1115"/>
      <c r="E1647" s="1115"/>
      <c r="F1647" s="1115"/>
      <c r="G1647" s="1115"/>
      <c r="H1647" s="1115"/>
      <c r="I1647" s="1115"/>
      <c r="J1647" s="1115"/>
      <c r="K1647" s="1115"/>
      <c r="L1647" s="1115"/>
      <c r="M1647" s="1115"/>
    </row>
    <row r="1648" spans="1:13" x14ac:dyDescent="0.2">
      <c r="A1648" s="1115"/>
      <c r="B1648" s="1115"/>
      <c r="C1648" s="1115"/>
      <c r="D1648" s="1115"/>
      <c r="E1648" s="1115"/>
      <c r="F1648" s="1115"/>
      <c r="G1648" s="1115"/>
      <c r="H1648" s="1115"/>
      <c r="I1648" s="1115"/>
      <c r="J1648" s="1115"/>
      <c r="K1648" s="1115"/>
      <c r="L1648" s="1115"/>
      <c r="M1648" s="1115"/>
    </row>
    <row r="1649" spans="1:13" x14ac:dyDescent="0.2">
      <c r="A1649" s="1115"/>
      <c r="B1649" s="1115"/>
      <c r="C1649" s="1115"/>
      <c r="D1649" s="1115"/>
      <c r="E1649" s="1115"/>
      <c r="F1649" s="1115"/>
      <c r="G1649" s="1115"/>
      <c r="H1649" s="1115"/>
      <c r="I1649" s="1115"/>
      <c r="J1649" s="1115"/>
      <c r="K1649" s="1115"/>
      <c r="L1649" s="1115"/>
      <c r="M1649" s="1115"/>
    </row>
    <row r="1650" spans="1:13" x14ac:dyDescent="0.2">
      <c r="A1650" s="1115"/>
      <c r="B1650" s="1115"/>
      <c r="C1650" s="1115"/>
      <c r="D1650" s="1115"/>
      <c r="E1650" s="1115"/>
      <c r="F1650" s="1115"/>
      <c r="G1650" s="1115"/>
      <c r="H1650" s="1115"/>
      <c r="I1650" s="1115"/>
      <c r="J1650" s="1115"/>
      <c r="K1650" s="1115"/>
      <c r="L1650" s="1115"/>
      <c r="M1650" s="1115"/>
    </row>
    <row r="1651" spans="1:13" x14ac:dyDescent="0.2">
      <c r="A1651" s="1115"/>
      <c r="B1651" s="1115"/>
      <c r="C1651" s="1115"/>
      <c r="D1651" s="1115"/>
      <c r="E1651" s="1115"/>
      <c r="F1651" s="1115"/>
      <c r="G1651" s="1115"/>
      <c r="H1651" s="1115"/>
      <c r="I1651" s="1115"/>
      <c r="J1651" s="1115"/>
      <c r="K1651" s="1115"/>
      <c r="L1651" s="1115"/>
      <c r="M1651" s="1115"/>
    </row>
    <row r="1652" spans="1:13" x14ac:dyDescent="0.2">
      <c r="A1652" s="1115"/>
      <c r="B1652" s="1115"/>
      <c r="C1652" s="1115"/>
      <c r="D1652" s="1115"/>
      <c r="E1652" s="1115"/>
      <c r="F1652" s="1115"/>
      <c r="G1652" s="1115"/>
      <c r="H1652" s="1115"/>
      <c r="I1652" s="1115"/>
      <c r="J1652" s="1115"/>
      <c r="K1652" s="1115"/>
      <c r="L1652" s="1115"/>
      <c r="M1652" s="1115"/>
    </row>
    <row r="1653" spans="1:13" x14ac:dyDescent="0.2">
      <c r="A1653" s="1115"/>
      <c r="B1653" s="1115"/>
      <c r="C1653" s="1115"/>
      <c r="D1653" s="1115"/>
      <c r="E1653" s="1115"/>
      <c r="F1653" s="1115"/>
      <c r="G1653" s="1115"/>
      <c r="H1653" s="1115"/>
      <c r="I1653" s="1115"/>
      <c r="J1653" s="1115"/>
      <c r="K1653" s="1115"/>
      <c r="L1653" s="1115"/>
      <c r="M1653" s="1115"/>
    </row>
    <row r="1654" spans="1:13" x14ac:dyDescent="0.2">
      <c r="A1654" s="1115"/>
      <c r="B1654" s="1115"/>
      <c r="C1654" s="1115"/>
      <c r="D1654" s="1115"/>
      <c r="E1654" s="1115"/>
      <c r="F1654" s="1115"/>
      <c r="G1654" s="1115"/>
      <c r="H1654" s="1115"/>
      <c r="I1654" s="1115"/>
      <c r="J1654" s="1115"/>
      <c r="K1654" s="1115"/>
      <c r="L1654" s="1115"/>
      <c r="M1654" s="1115"/>
    </row>
    <row r="1655" spans="1:13" x14ac:dyDescent="0.2">
      <c r="A1655" s="1115"/>
      <c r="B1655" s="1115"/>
      <c r="C1655" s="1115"/>
      <c r="D1655" s="1115"/>
      <c r="E1655" s="1115"/>
      <c r="F1655" s="1115"/>
      <c r="G1655" s="1115"/>
      <c r="H1655" s="1115"/>
      <c r="I1655" s="1115"/>
      <c r="J1655" s="1115"/>
      <c r="K1655" s="1115"/>
      <c r="L1655" s="1115"/>
      <c r="M1655" s="1115"/>
    </row>
    <row r="1656" spans="1:13" x14ac:dyDescent="0.2">
      <c r="A1656" s="1115"/>
      <c r="B1656" s="1115"/>
      <c r="C1656" s="1115"/>
      <c r="D1656" s="1115"/>
      <c r="E1656" s="1115"/>
      <c r="F1656" s="1115"/>
      <c r="G1656" s="1115"/>
      <c r="H1656" s="1115"/>
      <c r="I1656" s="1115"/>
      <c r="J1656" s="1115"/>
      <c r="K1656" s="1115"/>
      <c r="L1656" s="1115"/>
      <c r="M1656" s="1115"/>
    </row>
    <row r="1657" spans="1:13" x14ac:dyDescent="0.2">
      <c r="A1657" s="1115"/>
      <c r="B1657" s="1115"/>
      <c r="C1657" s="1115"/>
      <c r="D1657" s="1115"/>
      <c r="E1657" s="1115"/>
      <c r="F1657" s="1115"/>
      <c r="G1657" s="1115"/>
      <c r="H1657" s="1115"/>
      <c r="I1657" s="1115"/>
      <c r="J1657" s="1115"/>
      <c r="K1657" s="1115"/>
      <c r="L1657" s="1115"/>
      <c r="M1657" s="1115"/>
    </row>
    <row r="1658" spans="1:13" x14ac:dyDescent="0.2">
      <c r="A1658" s="1115"/>
      <c r="B1658" s="1115"/>
      <c r="C1658" s="1115"/>
      <c r="D1658" s="1115"/>
      <c r="E1658" s="1115"/>
      <c r="F1658" s="1115"/>
      <c r="G1658" s="1115"/>
      <c r="H1658" s="1115"/>
      <c r="I1658" s="1115"/>
      <c r="J1658" s="1115"/>
      <c r="K1658" s="1115"/>
      <c r="L1658" s="1115"/>
      <c r="M1658" s="1115"/>
    </row>
    <row r="1659" spans="1:13" x14ac:dyDescent="0.2">
      <c r="A1659" s="1115"/>
      <c r="B1659" s="1115"/>
      <c r="C1659" s="1115"/>
      <c r="D1659" s="1115"/>
      <c r="E1659" s="1115"/>
      <c r="F1659" s="1115"/>
      <c r="G1659" s="1115"/>
      <c r="H1659" s="1115"/>
      <c r="I1659" s="1115"/>
      <c r="J1659" s="1115"/>
      <c r="K1659" s="1115"/>
      <c r="L1659" s="1115"/>
      <c r="M1659" s="1115"/>
    </row>
    <row r="1660" spans="1:13" x14ac:dyDescent="0.2">
      <c r="A1660" s="1115"/>
      <c r="B1660" s="1115"/>
      <c r="C1660" s="1115"/>
      <c r="D1660" s="1115"/>
      <c r="E1660" s="1115"/>
      <c r="F1660" s="1115"/>
      <c r="G1660" s="1115"/>
      <c r="H1660" s="1115"/>
      <c r="I1660" s="1115"/>
      <c r="J1660" s="1115"/>
      <c r="K1660" s="1115"/>
      <c r="L1660" s="1115"/>
      <c r="M1660" s="1115"/>
    </row>
    <row r="1661" spans="1:13" x14ac:dyDescent="0.2">
      <c r="A1661" s="1115"/>
      <c r="B1661" s="1115"/>
      <c r="C1661" s="1115"/>
      <c r="D1661" s="1115"/>
      <c r="E1661" s="1115"/>
      <c r="F1661" s="1115"/>
      <c r="G1661" s="1115"/>
      <c r="H1661" s="1115"/>
      <c r="I1661" s="1115"/>
      <c r="J1661" s="1115"/>
      <c r="K1661" s="1115"/>
      <c r="L1661" s="1115"/>
      <c r="M1661" s="1115"/>
    </row>
    <row r="1662" spans="1:13" x14ac:dyDescent="0.2">
      <c r="A1662" s="1115"/>
      <c r="B1662" s="1115"/>
      <c r="C1662" s="1115"/>
      <c r="D1662" s="1115"/>
      <c r="E1662" s="1115"/>
      <c r="F1662" s="1115"/>
      <c r="G1662" s="1115"/>
      <c r="H1662" s="1115"/>
      <c r="I1662" s="1115"/>
      <c r="J1662" s="1115"/>
      <c r="K1662" s="1115"/>
      <c r="L1662" s="1115"/>
      <c r="M1662" s="1115"/>
    </row>
    <row r="1663" spans="1:13" x14ac:dyDescent="0.2">
      <c r="A1663" s="1115"/>
      <c r="B1663" s="1115"/>
      <c r="C1663" s="1115"/>
      <c r="D1663" s="1115"/>
      <c r="E1663" s="1115"/>
      <c r="F1663" s="1115"/>
      <c r="G1663" s="1115"/>
      <c r="H1663" s="1115"/>
      <c r="I1663" s="1115"/>
      <c r="J1663" s="1115"/>
      <c r="K1663" s="1115"/>
      <c r="L1663" s="1115"/>
      <c r="M1663" s="1115"/>
    </row>
    <row r="1664" spans="1:13" x14ac:dyDescent="0.2">
      <c r="A1664" s="1115"/>
      <c r="B1664" s="1115"/>
      <c r="C1664" s="1115"/>
      <c r="D1664" s="1115"/>
      <c r="E1664" s="1115"/>
      <c r="F1664" s="1115"/>
      <c r="G1664" s="1115"/>
      <c r="H1664" s="1115"/>
      <c r="I1664" s="1115"/>
      <c r="J1664" s="1115"/>
      <c r="K1664" s="1115"/>
      <c r="L1664" s="1115"/>
      <c r="M1664" s="1115"/>
    </row>
    <row r="1665" spans="1:13" x14ac:dyDescent="0.2">
      <c r="A1665" s="1115"/>
      <c r="B1665" s="1115"/>
      <c r="C1665" s="1115"/>
      <c r="D1665" s="1115"/>
      <c r="E1665" s="1115"/>
      <c r="F1665" s="1115"/>
      <c r="G1665" s="1115"/>
      <c r="H1665" s="1115"/>
      <c r="I1665" s="1115"/>
      <c r="J1665" s="1115"/>
      <c r="K1665" s="1115"/>
      <c r="L1665" s="1115"/>
      <c r="M1665" s="1115"/>
    </row>
    <row r="1666" spans="1:13" x14ac:dyDescent="0.2">
      <c r="A1666" s="1115"/>
      <c r="B1666" s="1115"/>
      <c r="C1666" s="1115"/>
      <c r="D1666" s="1115"/>
      <c r="E1666" s="1115"/>
      <c r="F1666" s="1115"/>
      <c r="G1666" s="1115"/>
      <c r="H1666" s="1115"/>
      <c r="I1666" s="1115"/>
      <c r="J1666" s="1115"/>
      <c r="K1666" s="1115"/>
      <c r="L1666" s="1115"/>
      <c r="M1666" s="1115"/>
    </row>
    <row r="1667" spans="1:13" x14ac:dyDescent="0.2">
      <c r="A1667" s="1115"/>
      <c r="B1667" s="1115"/>
      <c r="C1667" s="1115"/>
      <c r="D1667" s="1115"/>
      <c r="E1667" s="1115"/>
      <c r="F1667" s="1115"/>
      <c r="G1667" s="1115"/>
      <c r="H1667" s="1115"/>
      <c r="I1667" s="1115"/>
      <c r="J1667" s="1115"/>
      <c r="K1667" s="1115"/>
      <c r="L1667" s="1115"/>
      <c r="M1667" s="1115"/>
    </row>
    <row r="1668" spans="1:13" x14ac:dyDescent="0.2">
      <c r="A1668" s="1115"/>
      <c r="B1668" s="1115"/>
      <c r="C1668" s="1115"/>
      <c r="D1668" s="1115"/>
      <c r="E1668" s="1115"/>
      <c r="F1668" s="1115"/>
      <c r="G1668" s="1115"/>
      <c r="H1668" s="1115"/>
      <c r="I1668" s="1115"/>
      <c r="J1668" s="1115"/>
      <c r="K1668" s="1115"/>
      <c r="L1668" s="1115"/>
      <c r="M1668" s="1115"/>
    </row>
    <row r="1669" spans="1:13" x14ac:dyDescent="0.2">
      <c r="A1669" s="1115"/>
      <c r="B1669" s="1115"/>
      <c r="C1669" s="1115"/>
      <c r="D1669" s="1115"/>
      <c r="E1669" s="1115"/>
      <c r="F1669" s="1115"/>
      <c r="G1669" s="1115"/>
      <c r="H1669" s="1115"/>
      <c r="I1669" s="1115"/>
      <c r="J1669" s="1115"/>
      <c r="K1669" s="1115"/>
      <c r="L1669" s="1115"/>
      <c r="M1669" s="1115"/>
    </row>
    <row r="1670" spans="1:13" x14ac:dyDescent="0.2">
      <c r="A1670" s="1115"/>
      <c r="B1670" s="1115"/>
      <c r="C1670" s="1115"/>
      <c r="D1670" s="1115"/>
      <c r="E1670" s="1115"/>
      <c r="F1670" s="1115"/>
      <c r="G1670" s="1115"/>
      <c r="H1670" s="1115"/>
      <c r="I1670" s="1115"/>
      <c r="J1670" s="1115"/>
      <c r="K1670" s="1115"/>
      <c r="L1670" s="1115"/>
      <c r="M1670" s="1115"/>
    </row>
    <row r="1671" spans="1:13" x14ac:dyDescent="0.2">
      <c r="A1671" s="1115"/>
      <c r="B1671" s="1115"/>
      <c r="C1671" s="1115"/>
      <c r="D1671" s="1115"/>
      <c r="E1671" s="1115"/>
      <c r="F1671" s="1115"/>
      <c r="G1671" s="1115"/>
      <c r="H1671" s="1115"/>
      <c r="I1671" s="1115"/>
      <c r="J1671" s="1115"/>
      <c r="K1671" s="1115"/>
      <c r="L1671" s="1115"/>
      <c r="M1671" s="1115"/>
    </row>
    <row r="1672" spans="1:13" x14ac:dyDescent="0.2">
      <c r="A1672" s="1115"/>
      <c r="B1672" s="1115"/>
      <c r="C1672" s="1115"/>
      <c r="D1672" s="1115"/>
      <c r="E1672" s="1115"/>
      <c r="F1672" s="1115"/>
      <c r="G1672" s="1115"/>
      <c r="H1672" s="1115"/>
      <c r="I1672" s="1115"/>
      <c r="J1672" s="1115"/>
      <c r="K1672" s="1115"/>
      <c r="L1672" s="1115"/>
      <c r="M1672" s="1115"/>
    </row>
    <row r="1673" spans="1:13" x14ac:dyDescent="0.2">
      <c r="A1673" s="1115"/>
      <c r="B1673" s="1115"/>
      <c r="C1673" s="1115"/>
      <c r="D1673" s="1115"/>
      <c r="E1673" s="1115"/>
      <c r="F1673" s="1115"/>
      <c r="G1673" s="1115"/>
      <c r="H1673" s="1115"/>
      <c r="I1673" s="1115"/>
      <c r="J1673" s="1115"/>
      <c r="K1673" s="1115"/>
      <c r="L1673" s="1115"/>
      <c r="M1673" s="1115"/>
    </row>
    <row r="1674" spans="1:13" x14ac:dyDescent="0.2">
      <c r="A1674" s="1115"/>
      <c r="B1674" s="1115"/>
      <c r="C1674" s="1115"/>
      <c r="D1674" s="1115"/>
      <c r="E1674" s="1115"/>
      <c r="F1674" s="1115"/>
      <c r="G1674" s="1115"/>
      <c r="H1674" s="1115"/>
      <c r="I1674" s="1115"/>
      <c r="J1674" s="1115"/>
      <c r="K1674" s="1115"/>
      <c r="L1674" s="1115"/>
      <c r="M1674" s="1115"/>
    </row>
    <row r="1675" spans="1:13" x14ac:dyDescent="0.2">
      <c r="A1675" s="1115"/>
      <c r="B1675" s="1115"/>
      <c r="C1675" s="1115"/>
      <c r="D1675" s="1115"/>
      <c r="E1675" s="1115"/>
      <c r="F1675" s="1115"/>
      <c r="G1675" s="1115"/>
      <c r="H1675" s="1115"/>
      <c r="I1675" s="1115"/>
      <c r="J1675" s="1115"/>
      <c r="K1675" s="1115"/>
      <c r="L1675" s="1115"/>
      <c r="M1675" s="1115"/>
    </row>
    <row r="1676" spans="1:13" x14ac:dyDescent="0.2">
      <c r="A1676" s="1115"/>
      <c r="B1676" s="1115"/>
      <c r="C1676" s="1115"/>
      <c r="D1676" s="1115"/>
      <c r="E1676" s="1115"/>
      <c r="F1676" s="1115"/>
      <c r="G1676" s="1115"/>
      <c r="H1676" s="1115"/>
      <c r="I1676" s="1115"/>
      <c r="J1676" s="1115"/>
      <c r="K1676" s="1115"/>
      <c r="L1676" s="1115"/>
      <c r="M1676" s="1115"/>
    </row>
    <row r="1677" spans="1:13" x14ac:dyDescent="0.2">
      <c r="A1677" s="1115"/>
      <c r="B1677" s="1115"/>
      <c r="C1677" s="1115"/>
      <c r="D1677" s="1115"/>
      <c r="E1677" s="1115"/>
      <c r="F1677" s="1115"/>
      <c r="G1677" s="1115"/>
      <c r="H1677" s="1115"/>
      <c r="I1677" s="1115"/>
      <c r="J1677" s="1115"/>
      <c r="K1677" s="1115"/>
      <c r="L1677" s="1115"/>
      <c r="M1677" s="1115"/>
    </row>
    <row r="1678" spans="1:13" x14ac:dyDescent="0.2">
      <c r="A1678" s="1115"/>
      <c r="B1678" s="1115"/>
      <c r="C1678" s="1115"/>
      <c r="D1678" s="1115"/>
      <c r="E1678" s="1115"/>
      <c r="F1678" s="1115"/>
      <c r="G1678" s="1115"/>
      <c r="H1678" s="1115"/>
      <c r="I1678" s="1115"/>
      <c r="J1678" s="1115"/>
      <c r="K1678" s="1115"/>
      <c r="L1678" s="1115"/>
      <c r="M1678" s="1115"/>
    </row>
    <row r="1679" spans="1:13" x14ac:dyDescent="0.2">
      <c r="A1679" s="1115"/>
      <c r="B1679" s="1115"/>
      <c r="C1679" s="1115"/>
      <c r="D1679" s="1115"/>
      <c r="E1679" s="1115"/>
      <c r="F1679" s="1115"/>
      <c r="G1679" s="1115"/>
      <c r="H1679" s="1115"/>
      <c r="I1679" s="1115"/>
      <c r="J1679" s="1115"/>
      <c r="K1679" s="1115"/>
      <c r="L1679" s="1115"/>
      <c r="M1679" s="1115"/>
    </row>
    <row r="1680" spans="1:13" x14ac:dyDescent="0.2">
      <c r="A1680" s="1115"/>
      <c r="B1680" s="1115"/>
      <c r="C1680" s="1115"/>
      <c r="D1680" s="1115"/>
      <c r="E1680" s="1115"/>
      <c r="F1680" s="1115"/>
      <c r="G1680" s="1115"/>
      <c r="H1680" s="1115"/>
      <c r="I1680" s="1115"/>
      <c r="J1680" s="1115"/>
      <c r="K1680" s="1115"/>
      <c r="L1680" s="1115"/>
      <c r="M1680" s="1115"/>
    </row>
    <row r="1681" spans="1:13" x14ac:dyDescent="0.2">
      <c r="A1681" s="1115"/>
      <c r="B1681" s="1115"/>
      <c r="C1681" s="1115"/>
      <c r="D1681" s="1115"/>
      <c r="E1681" s="1115"/>
      <c r="F1681" s="1115"/>
      <c r="G1681" s="1115"/>
      <c r="H1681" s="1115"/>
      <c r="I1681" s="1115"/>
      <c r="J1681" s="1115"/>
      <c r="K1681" s="1115"/>
      <c r="L1681" s="1115"/>
      <c r="M1681" s="1115"/>
    </row>
    <row r="1682" spans="1:13" x14ac:dyDescent="0.2">
      <c r="A1682" s="1115"/>
      <c r="B1682" s="1115"/>
      <c r="C1682" s="1115"/>
      <c r="D1682" s="1115"/>
      <c r="E1682" s="1115"/>
      <c r="F1682" s="1115"/>
      <c r="G1682" s="1115"/>
      <c r="H1682" s="1115"/>
      <c r="I1682" s="1115"/>
      <c r="J1682" s="1115"/>
      <c r="K1682" s="1115"/>
      <c r="L1682" s="1115"/>
      <c r="M1682" s="1115"/>
    </row>
    <row r="1683" spans="1:13" x14ac:dyDescent="0.2">
      <c r="A1683" s="1115"/>
      <c r="B1683" s="1115"/>
      <c r="C1683" s="1115"/>
      <c r="D1683" s="1115"/>
      <c r="E1683" s="1115"/>
      <c r="F1683" s="1115"/>
      <c r="G1683" s="1115"/>
      <c r="H1683" s="1115"/>
      <c r="I1683" s="1115"/>
      <c r="J1683" s="1115"/>
      <c r="K1683" s="1115"/>
      <c r="L1683" s="1115"/>
      <c r="M1683" s="1115"/>
    </row>
    <row r="1684" spans="1:13" x14ac:dyDescent="0.2">
      <c r="A1684" s="1115"/>
      <c r="B1684" s="1115"/>
      <c r="C1684" s="1115"/>
      <c r="D1684" s="1115"/>
      <c r="E1684" s="1115"/>
      <c r="F1684" s="1115"/>
      <c r="G1684" s="1115"/>
      <c r="H1684" s="1115"/>
      <c r="I1684" s="1115"/>
      <c r="J1684" s="1115"/>
      <c r="K1684" s="1115"/>
      <c r="L1684" s="1115"/>
      <c r="M1684" s="1115"/>
    </row>
    <row r="1685" spans="1:13" x14ac:dyDescent="0.2">
      <c r="A1685" s="1115"/>
      <c r="B1685" s="1115"/>
      <c r="C1685" s="1115"/>
      <c r="D1685" s="1115"/>
      <c r="E1685" s="1115"/>
      <c r="F1685" s="1115"/>
      <c r="G1685" s="1115"/>
      <c r="H1685" s="1115"/>
      <c r="I1685" s="1115"/>
      <c r="J1685" s="1115"/>
      <c r="K1685" s="1115"/>
      <c r="L1685" s="1115"/>
      <c r="M1685" s="1115"/>
    </row>
    <row r="1686" spans="1:13" x14ac:dyDescent="0.2">
      <c r="A1686" s="1115"/>
      <c r="B1686" s="1115"/>
      <c r="C1686" s="1115"/>
      <c r="D1686" s="1115"/>
      <c r="E1686" s="1115"/>
      <c r="F1686" s="1115"/>
      <c r="G1686" s="1115"/>
      <c r="H1686" s="1115"/>
      <c r="I1686" s="1115"/>
      <c r="J1686" s="1115"/>
      <c r="K1686" s="1115"/>
      <c r="L1686" s="1115"/>
      <c r="M1686" s="1115"/>
    </row>
    <row r="1687" spans="1:13" x14ac:dyDescent="0.2">
      <c r="A1687" s="1115"/>
      <c r="B1687" s="1115"/>
      <c r="C1687" s="1115"/>
      <c r="D1687" s="1115"/>
      <c r="E1687" s="1115"/>
      <c r="F1687" s="1115"/>
      <c r="G1687" s="1115"/>
      <c r="H1687" s="1115"/>
      <c r="I1687" s="1115"/>
      <c r="J1687" s="1115"/>
      <c r="K1687" s="1115"/>
      <c r="L1687" s="1115"/>
      <c r="M1687" s="1115"/>
    </row>
    <row r="1688" spans="1:13" x14ac:dyDescent="0.2">
      <c r="A1688" s="1115"/>
      <c r="B1688" s="1115"/>
      <c r="C1688" s="1115"/>
      <c r="D1688" s="1115"/>
      <c r="E1688" s="1115"/>
      <c r="F1688" s="1115"/>
      <c r="G1688" s="1115"/>
      <c r="H1688" s="1115"/>
      <c r="I1688" s="1115"/>
      <c r="J1688" s="1115"/>
      <c r="K1688" s="1115"/>
      <c r="L1688" s="1115"/>
      <c r="M1688" s="1115"/>
    </row>
    <row r="1689" spans="1:13" x14ac:dyDescent="0.2">
      <c r="A1689" s="1115"/>
      <c r="B1689" s="1115"/>
      <c r="C1689" s="1115"/>
      <c r="D1689" s="1115"/>
      <c r="E1689" s="1115"/>
      <c r="F1689" s="1115"/>
      <c r="G1689" s="1115"/>
      <c r="H1689" s="1115"/>
      <c r="I1689" s="1115"/>
      <c r="J1689" s="1115"/>
      <c r="K1689" s="1115"/>
      <c r="L1689" s="1115"/>
      <c r="M1689" s="1115"/>
    </row>
    <row r="1690" spans="1:13" x14ac:dyDescent="0.2">
      <c r="A1690" s="1115"/>
      <c r="B1690" s="1115"/>
      <c r="C1690" s="1115"/>
      <c r="D1690" s="1115"/>
      <c r="E1690" s="1115"/>
      <c r="F1690" s="1115"/>
      <c r="G1690" s="1115"/>
      <c r="H1690" s="1115"/>
      <c r="I1690" s="1115"/>
      <c r="J1690" s="1115"/>
      <c r="K1690" s="1115"/>
      <c r="L1690" s="1115"/>
      <c r="M1690" s="1115"/>
    </row>
    <row r="1691" spans="1:13" x14ac:dyDescent="0.2">
      <c r="A1691" s="1115"/>
      <c r="B1691" s="1115"/>
      <c r="C1691" s="1115"/>
      <c r="D1691" s="1115"/>
      <c r="E1691" s="1115"/>
      <c r="F1691" s="1115"/>
      <c r="G1691" s="1115"/>
      <c r="H1691" s="1115"/>
      <c r="I1691" s="1115"/>
      <c r="J1691" s="1115"/>
      <c r="K1691" s="1115"/>
      <c r="L1691" s="1115"/>
      <c r="M1691" s="1115"/>
    </row>
    <row r="1692" spans="1:13" x14ac:dyDescent="0.2">
      <c r="A1692" s="1115"/>
      <c r="B1692" s="1115"/>
      <c r="C1692" s="1115"/>
      <c r="D1692" s="1115"/>
      <c r="E1692" s="1115"/>
      <c r="F1692" s="1115"/>
      <c r="G1692" s="1115"/>
      <c r="H1692" s="1115"/>
      <c r="I1692" s="1115"/>
      <c r="J1692" s="1115"/>
      <c r="K1692" s="1115"/>
      <c r="L1692" s="1115"/>
      <c r="M1692" s="1115"/>
    </row>
    <row r="1693" spans="1:13" x14ac:dyDescent="0.2">
      <c r="A1693" s="1115"/>
      <c r="B1693" s="1115"/>
      <c r="C1693" s="1115"/>
      <c r="D1693" s="1115"/>
      <c r="E1693" s="1115"/>
      <c r="F1693" s="1115"/>
      <c r="G1693" s="1115"/>
      <c r="H1693" s="1115"/>
      <c r="I1693" s="1115"/>
      <c r="J1693" s="1115"/>
      <c r="K1693" s="1115"/>
      <c r="L1693" s="1115"/>
      <c r="M1693" s="1115"/>
    </row>
    <row r="1694" spans="1:13" x14ac:dyDescent="0.2">
      <c r="A1694" s="1115"/>
      <c r="B1694" s="1115"/>
      <c r="C1694" s="1115"/>
      <c r="D1694" s="1115"/>
      <c r="E1694" s="1115"/>
      <c r="F1694" s="1115"/>
      <c r="G1694" s="1115"/>
      <c r="H1694" s="1115"/>
      <c r="I1694" s="1115"/>
      <c r="J1694" s="1115"/>
      <c r="K1694" s="1115"/>
      <c r="L1694" s="1115"/>
      <c r="M1694" s="1115"/>
    </row>
    <row r="1695" spans="1:13" x14ac:dyDescent="0.2">
      <c r="A1695" s="1115"/>
      <c r="B1695" s="1115"/>
      <c r="C1695" s="1115"/>
      <c r="D1695" s="1115"/>
      <c r="E1695" s="1115"/>
      <c r="F1695" s="1115"/>
      <c r="G1695" s="1115"/>
      <c r="H1695" s="1115"/>
      <c r="I1695" s="1115"/>
      <c r="J1695" s="1115"/>
      <c r="K1695" s="1115"/>
      <c r="L1695" s="1115"/>
      <c r="M1695" s="1115"/>
    </row>
    <row r="1696" spans="1:13" x14ac:dyDescent="0.2">
      <c r="A1696" s="1115"/>
      <c r="B1696" s="1115"/>
      <c r="C1696" s="1115"/>
      <c r="D1696" s="1115"/>
      <c r="E1696" s="1115"/>
      <c r="F1696" s="1115"/>
      <c r="G1696" s="1115"/>
      <c r="H1696" s="1115"/>
      <c r="I1696" s="1115"/>
      <c r="J1696" s="1115"/>
      <c r="K1696" s="1115"/>
      <c r="L1696" s="1115"/>
      <c r="M1696" s="1115"/>
    </row>
    <row r="1697" spans="1:13" x14ac:dyDescent="0.2">
      <c r="A1697" s="1115"/>
      <c r="B1697" s="1115"/>
      <c r="C1697" s="1115"/>
      <c r="D1697" s="1115"/>
      <c r="E1697" s="1115"/>
      <c r="F1697" s="1115"/>
      <c r="G1697" s="1115"/>
      <c r="H1697" s="1115"/>
      <c r="I1697" s="1115"/>
      <c r="J1697" s="1115"/>
      <c r="K1697" s="1115"/>
      <c r="L1697" s="1115"/>
      <c r="M1697" s="1115"/>
    </row>
    <row r="1698" spans="1:13" x14ac:dyDescent="0.2">
      <c r="A1698" s="1115"/>
      <c r="B1698" s="1115"/>
      <c r="C1698" s="1115"/>
      <c r="D1698" s="1115"/>
      <c r="E1698" s="1115"/>
      <c r="F1698" s="1115"/>
      <c r="G1698" s="1115"/>
      <c r="H1698" s="1115"/>
      <c r="I1698" s="1115"/>
      <c r="J1698" s="1115"/>
      <c r="K1698" s="1115"/>
      <c r="L1698" s="1115"/>
      <c r="M1698" s="1115"/>
    </row>
    <row r="1699" spans="1:13" x14ac:dyDescent="0.2">
      <c r="A1699" s="1115"/>
      <c r="B1699" s="1115"/>
      <c r="C1699" s="1115"/>
      <c r="D1699" s="1115"/>
      <c r="E1699" s="1115"/>
      <c r="F1699" s="1115"/>
      <c r="G1699" s="1115"/>
      <c r="H1699" s="1115"/>
      <c r="I1699" s="1115"/>
      <c r="J1699" s="1115"/>
      <c r="K1699" s="1115"/>
      <c r="L1699" s="1115"/>
      <c r="M1699" s="1115"/>
    </row>
    <row r="1700" spans="1:13" x14ac:dyDescent="0.2">
      <c r="A1700" s="1115"/>
      <c r="B1700" s="1115"/>
      <c r="C1700" s="1115"/>
      <c r="D1700" s="1115"/>
      <c r="E1700" s="1115"/>
      <c r="F1700" s="1115"/>
      <c r="G1700" s="1115"/>
      <c r="H1700" s="1115"/>
      <c r="I1700" s="1115"/>
      <c r="J1700" s="1115"/>
      <c r="K1700" s="1115"/>
      <c r="L1700" s="1115"/>
      <c r="M1700" s="1115"/>
    </row>
    <row r="1701" spans="1:13" x14ac:dyDescent="0.2">
      <c r="A1701" s="1115"/>
      <c r="B1701" s="1115"/>
      <c r="C1701" s="1115"/>
      <c r="D1701" s="1115"/>
      <c r="E1701" s="1115"/>
      <c r="F1701" s="1115"/>
      <c r="G1701" s="1115"/>
      <c r="H1701" s="1115"/>
      <c r="I1701" s="1115"/>
      <c r="J1701" s="1115"/>
      <c r="K1701" s="1115"/>
      <c r="L1701" s="1115"/>
      <c r="M1701" s="1115"/>
    </row>
    <row r="1702" spans="1:13" x14ac:dyDescent="0.2">
      <c r="A1702" s="1115"/>
      <c r="B1702" s="1115"/>
      <c r="C1702" s="1115"/>
      <c r="D1702" s="1115"/>
      <c r="E1702" s="1115"/>
      <c r="F1702" s="1115"/>
      <c r="G1702" s="1115"/>
      <c r="H1702" s="1115"/>
      <c r="I1702" s="1115"/>
      <c r="J1702" s="1115"/>
      <c r="K1702" s="1115"/>
      <c r="L1702" s="1115"/>
      <c r="M1702" s="1115"/>
    </row>
    <row r="1703" spans="1:13" x14ac:dyDescent="0.2">
      <c r="A1703" s="1115"/>
      <c r="B1703" s="1115"/>
      <c r="C1703" s="1115"/>
      <c r="D1703" s="1115"/>
      <c r="E1703" s="1115"/>
      <c r="F1703" s="1115"/>
      <c r="G1703" s="1115"/>
      <c r="H1703" s="1115"/>
      <c r="I1703" s="1115"/>
      <c r="J1703" s="1115"/>
      <c r="K1703" s="1115"/>
      <c r="L1703" s="1115"/>
      <c r="M1703" s="1115"/>
    </row>
    <row r="1704" spans="1:13" x14ac:dyDescent="0.2">
      <c r="A1704" s="1115"/>
      <c r="B1704" s="1115"/>
      <c r="C1704" s="1115"/>
      <c r="D1704" s="1115"/>
      <c r="E1704" s="1115"/>
      <c r="F1704" s="1115"/>
      <c r="G1704" s="1115"/>
      <c r="H1704" s="1115"/>
      <c r="I1704" s="1115"/>
      <c r="J1704" s="1115"/>
      <c r="K1704" s="1115"/>
      <c r="L1704" s="1115"/>
      <c r="M1704" s="1115"/>
    </row>
    <row r="1705" spans="1:13" x14ac:dyDescent="0.2">
      <c r="A1705" s="1115"/>
      <c r="B1705" s="1115"/>
      <c r="C1705" s="1115"/>
      <c r="D1705" s="1115"/>
      <c r="E1705" s="1115"/>
      <c r="F1705" s="1115"/>
      <c r="G1705" s="1115"/>
      <c r="H1705" s="1115"/>
      <c r="I1705" s="1115"/>
      <c r="J1705" s="1115"/>
      <c r="K1705" s="1115"/>
      <c r="L1705" s="1115"/>
      <c r="M1705" s="1115"/>
    </row>
    <row r="1706" spans="1:13" x14ac:dyDescent="0.2">
      <c r="A1706" s="1115"/>
      <c r="B1706" s="1115"/>
      <c r="C1706" s="1115"/>
      <c r="D1706" s="1115"/>
      <c r="E1706" s="1115"/>
      <c r="F1706" s="1115"/>
      <c r="G1706" s="1115"/>
      <c r="H1706" s="1115"/>
      <c r="I1706" s="1115"/>
      <c r="J1706" s="1115"/>
      <c r="K1706" s="1115"/>
      <c r="L1706" s="1115"/>
      <c r="M1706" s="1115"/>
    </row>
    <row r="1707" spans="1:13" x14ac:dyDescent="0.2">
      <c r="A1707" s="1115"/>
      <c r="B1707" s="1115"/>
      <c r="C1707" s="1115"/>
      <c r="D1707" s="1115"/>
      <c r="E1707" s="1115"/>
      <c r="F1707" s="1115"/>
      <c r="G1707" s="1115"/>
      <c r="H1707" s="1115"/>
      <c r="I1707" s="1115"/>
      <c r="J1707" s="1115"/>
      <c r="K1707" s="1115"/>
      <c r="L1707" s="1115"/>
      <c r="M1707" s="1115"/>
    </row>
    <row r="1708" spans="1:13" x14ac:dyDescent="0.2">
      <c r="A1708" s="1115"/>
      <c r="B1708" s="1115"/>
      <c r="C1708" s="1115"/>
      <c r="D1708" s="1115"/>
      <c r="E1708" s="1115"/>
      <c r="F1708" s="1115"/>
      <c r="G1708" s="1115"/>
      <c r="H1708" s="1115"/>
      <c r="I1708" s="1115"/>
      <c r="J1708" s="1115"/>
      <c r="K1708" s="1115"/>
      <c r="L1708" s="1115"/>
      <c r="M1708" s="1115"/>
    </row>
    <row r="1709" spans="1:13" x14ac:dyDescent="0.2">
      <c r="A1709" s="1115"/>
      <c r="B1709" s="1115"/>
      <c r="C1709" s="1115"/>
      <c r="D1709" s="1115"/>
      <c r="E1709" s="1115"/>
      <c r="F1709" s="1115"/>
      <c r="G1709" s="1115"/>
      <c r="H1709" s="1115"/>
      <c r="I1709" s="1115"/>
      <c r="J1709" s="1115"/>
      <c r="K1709" s="1115"/>
      <c r="L1709" s="1115"/>
      <c r="M1709" s="1115"/>
    </row>
    <row r="1710" spans="1:13" x14ac:dyDescent="0.2">
      <c r="A1710" s="1115"/>
      <c r="B1710" s="1115"/>
      <c r="C1710" s="1115"/>
      <c r="D1710" s="1115"/>
      <c r="E1710" s="1115"/>
      <c r="F1710" s="1115"/>
      <c r="G1710" s="1115"/>
      <c r="H1710" s="1115"/>
      <c r="I1710" s="1115"/>
      <c r="J1710" s="1115"/>
      <c r="K1710" s="1115"/>
      <c r="L1710" s="1115"/>
      <c r="M1710" s="1115"/>
    </row>
    <row r="1711" spans="1:13" x14ac:dyDescent="0.2">
      <c r="A1711" s="1115"/>
      <c r="B1711" s="1115"/>
      <c r="C1711" s="1115"/>
      <c r="D1711" s="1115"/>
      <c r="E1711" s="1115"/>
      <c r="F1711" s="1115"/>
      <c r="G1711" s="1115"/>
      <c r="H1711" s="1115"/>
      <c r="I1711" s="1115"/>
      <c r="J1711" s="1115"/>
      <c r="K1711" s="1115"/>
      <c r="L1711" s="1115"/>
      <c r="M1711" s="1115"/>
    </row>
    <row r="1712" spans="1:13" x14ac:dyDescent="0.2">
      <c r="A1712" s="1115"/>
      <c r="B1712" s="1115"/>
      <c r="C1712" s="1115"/>
      <c r="D1712" s="1115"/>
      <c r="E1712" s="1115"/>
      <c r="F1712" s="1115"/>
      <c r="G1712" s="1115"/>
      <c r="H1712" s="1115"/>
      <c r="I1712" s="1115"/>
      <c r="J1712" s="1115"/>
      <c r="K1712" s="1115"/>
      <c r="L1712" s="1115"/>
      <c r="M1712" s="1115"/>
    </row>
    <row r="1713" spans="1:13" x14ac:dyDescent="0.2">
      <c r="A1713" s="1115"/>
      <c r="B1713" s="1115"/>
      <c r="C1713" s="1115"/>
      <c r="D1713" s="1115"/>
      <c r="E1713" s="1115"/>
      <c r="F1713" s="1115"/>
      <c r="G1713" s="1115"/>
      <c r="H1713" s="1115"/>
      <c r="I1713" s="1115"/>
      <c r="J1713" s="1115"/>
      <c r="K1713" s="1115"/>
      <c r="L1713" s="1115"/>
      <c r="M1713" s="1115"/>
    </row>
    <row r="1714" spans="1:13" x14ac:dyDescent="0.2">
      <c r="A1714" s="1115"/>
      <c r="B1714" s="1115"/>
      <c r="C1714" s="1115"/>
      <c r="D1714" s="1115"/>
      <c r="E1714" s="1115"/>
      <c r="F1714" s="1115"/>
      <c r="G1714" s="1115"/>
      <c r="H1714" s="1115"/>
      <c r="I1714" s="1115"/>
      <c r="J1714" s="1115"/>
      <c r="K1714" s="1115"/>
      <c r="L1714" s="1115"/>
      <c r="M1714" s="1115"/>
    </row>
    <row r="1715" spans="1:13" x14ac:dyDescent="0.2">
      <c r="A1715" s="1115"/>
      <c r="B1715" s="1115"/>
      <c r="C1715" s="1115"/>
      <c r="D1715" s="1115"/>
      <c r="E1715" s="1115"/>
      <c r="F1715" s="1115"/>
      <c r="G1715" s="1115"/>
      <c r="H1715" s="1115"/>
      <c r="I1715" s="1115"/>
      <c r="J1715" s="1115"/>
      <c r="K1715" s="1115"/>
      <c r="L1715" s="1115"/>
      <c r="M1715" s="1115"/>
    </row>
    <row r="1716" spans="1:13" x14ac:dyDescent="0.2">
      <c r="A1716" s="1115"/>
      <c r="B1716" s="1115"/>
      <c r="C1716" s="1115"/>
      <c r="D1716" s="1115"/>
      <c r="E1716" s="1115"/>
      <c r="F1716" s="1115"/>
      <c r="G1716" s="1115"/>
      <c r="H1716" s="1115"/>
      <c r="I1716" s="1115"/>
      <c r="J1716" s="1115"/>
      <c r="K1716" s="1115"/>
      <c r="L1716" s="1115"/>
      <c r="M1716" s="1115"/>
    </row>
    <row r="1717" spans="1:13" x14ac:dyDescent="0.2">
      <c r="A1717" s="1115"/>
      <c r="B1717" s="1115"/>
      <c r="C1717" s="1115"/>
      <c r="D1717" s="1115"/>
      <c r="E1717" s="1115"/>
      <c r="F1717" s="1115"/>
      <c r="G1717" s="1115"/>
      <c r="H1717" s="1115"/>
      <c r="I1717" s="1115"/>
      <c r="J1717" s="1115"/>
      <c r="K1717" s="1115"/>
      <c r="L1717" s="1115"/>
      <c r="M1717" s="1115"/>
    </row>
    <row r="1718" spans="1:13" x14ac:dyDescent="0.2">
      <c r="A1718" s="1115"/>
      <c r="B1718" s="1115"/>
      <c r="C1718" s="1115"/>
      <c r="D1718" s="1115"/>
      <c r="E1718" s="1115"/>
      <c r="F1718" s="1115"/>
      <c r="G1718" s="1115"/>
      <c r="H1718" s="1115"/>
      <c r="I1718" s="1115"/>
      <c r="J1718" s="1115"/>
      <c r="K1718" s="1115"/>
      <c r="L1718" s="1115"/>
      <c r="M1718" s="1115"/>
    </row>
    <row r="1719" spans="1:13" x14ac:dyDescent="0.2">
      <c r="A1719" s="1115"/>
      <c r="B1719" s="1115"/>
      <c r="C1719" s="1115"/>
      <c r="D1719" s="1115"/>
      <c r="E1719" s="1115"/>
      <c r="F1719" s="1115"/>
      <c r="G1719" s="1115"/>
      <c r="H1719" s="1115"/>
      <c r="I1719" s="1115"/>
      <c r="J1719" s="1115"/>
      <c r="K1719" s="1115"/>
      <c r="L1719" s="1115"/>
      <c r="M1719" s="1115"/>
    </row>
    <row r="1720" spans="1:13" x14ac:dyDescent="0.2">
      <c r="A1720" s="1115"/>
      <c r="B1720" s="1115"/>
      <c r="C1720" s="1115"/>
      <c r="D1720" s="1115"/>
      <c r="E1720" s="1115"/>
      <c r="F1720" s="1115"/>
      <c r="G1720" s="1115"/>
      <c r="H1720" s="1115"/>
      <c r="I1720" s="1115"/>
      <c r="J1720" s="1115"/>
      <c r="K1720" s="1115"/>
      <c r="L1720" s="1115"/>
      <c r="M1720" s="1115"/>
    </row>
    <row r="1721" spans="1:13" x14ac:dyDescent="0.2">
      <c r="A1721" s="1115"/>
      <c r="B1721" s="1115"/>
      <c r="C1721" s="1115"/>
      <c r="D1721" s="1115"/>
      <c r="E1721" s="1115"/>
      <c r="F1721" s="1115"/>
      <c r="G1721" s="1115"/>
      <c r="H1721" s="1115"/>
      <c r="I1721" s="1115"/>
      <c r="J1721" s="1115"/>
      <c r="K1721" s="1115"/>
      <c r="L1721" s="1115"/>
      <c r="M1721" s="1115"/>
    </row>
    <row r="1722" spans="1:13" x14ac:dyDescent="0.2">
      <c r="A1722" s="1115"/>
      <c r="B1722" s="1115"/>
      <c r="C1722" s="1115"/>
      <c r="D1722" s="1115"/>
      <c r="E1722" s="1115"/>
      <c r="F1722" s="1115"/>
      <c r="G1722" s="1115"/>
      <c r="H1722" s="1115"/>
      <c r="I1722" s="1115"/>
      <c r="J1722" s="1115"/>
      <c r="K1722" s="1115"/>
      <c r="L1722" s="1115"/>
      <c r="M1722" s="1115"/>
    </row>
    <row r="1723" spans="1:13" x14ac:dyDescent="0.2">
      <c r="A1723" s="1115"/>
      <c r="B1723" s="1115"/>
      <c r="C1723" s="1115"/>
      <c r="D1723" s="1115"/>
      <c r="E1723" s="1115"/>
      <c r="F1723" s="1115"/>
      <c r="G1723" s="1115"/>
      <c r="H1723" s="1115"/>
      <c r="I1723" s="1115"/>
      <c r="J1723" s="1115"/>
      <c r="K1723" s="1115"/>
      <c r="L1723" s="1115"/>
      <c r="M1723" s="1115"/>
    </row>
    <row r="1724" spans="1:13" x14ac:dyDescent="0.2">
      <c r="A1724" s="1115"/>
      <c r="B1724" s="1115"/>
      <c r="C1724" s="1115"/>
      <c r="D1724" s="1115"/>
      <c r="E1724" s="1115"/>
      <c r="F1724" s="1115"/>
      <c r="G1724" s="1115"/>
      <c r="H1724" s="1115"/>
      <c r="I1724" s="1115"/>
      <c r="J1724" s="1115"/>
      <c r="K1724" s="1115"/>
      <c r="L1724" s="1115"/>
      <c r="M1724" s="1115"/>
    </row>
    <row r="1725" spans="1:13" x14ac:dyDescent="0.2">
      <c r="A1725" s="1115"/>
      <c r="B1725" s="1115"/>
      <c r="C1725" s="1115"/>
      <c r="D1725" s="1115"/>
      <c r="E1725" s="1115"/>
      <c r="F1725" s="1115"/>
      <c r="G1725" s="1115"/>
      <c r="H1725" s="1115"/>
      <c r="I1725" s="1115"/>
      <c r="J1725" s="1115"/>
      <c r="K1725" s="1115"/>
      <c r="L1725" s="1115"/>
      <c r="M1725" s="1115"/>
    </row>
    <row r="1726" spans="1:13" x14ac:dyDescent="0.2">
      <c r="A1726" s="1115"/>
      <c r="B1726" s="1115"/>
      <c r="C1726" s="1115"/>
      <c r="D1726" s="1115"/>
      <c r="E1726" s="1115"/>
      <c r="F1726" s="1115"/>
      <c r="G1726" s="1115"/>
      <c r="H1726" s="1115"/>
      <c r="I1726" s="1115"/>
      <c r="J1726" s="1115"/>
      <c r="K1726" s="1115"/>
      <c r="L1726" s="1115"/>
      <c r="M1726" s="1115"/>
    </row>
    <row r="1727" spans="1:13" x14ac:dyDescent="0.2">
      <c r="A1727" s="1115"/>
      <c r="B1727" s="1115"/>
      <c r="C1727" s="1115"/>
      <c r="D1727" s="1115"/>
      <c r="E1727" s="1115"/>
      <c r="F1727" s="1115"/>
      <c r="G1727" s="1115"/>
      <c r="H1727" s="1115"/>
      <c r="I1727" s="1115"/>
      <c r="J1727" s="1115"/>
      <c r="K1727" s="1115"/>
      <c r="L1727" s="1115"/>
      <c r="M1727" s="1115"/>
    </row>
    <row r="1728" spans="1:13" x14ac:dyDescent="0.2">
      <c r="A1728" s="1115"/>
      <c r="B1728" s="1115"/>
      <c r="C1728" s="1115"/>
      <c r="D1728" s="1115"/>
      <c r="E1728" s="1115"/>
      <c r="F1728" s="1115"/>
      <c r="G1728" s="1115"/>
      <c r="H1728" s="1115"/>
      <c r="I1728" s="1115"/>
      <c r="J1728" s="1115"/>
      <c r="K1728" s="1115"/>
      <c r="L1728" s="1115"/>
      <c r="M1728" s="1115"/>
    </row>
    <row r="1729" spans="1:13" x14ac:dyDescent="0.2">
      <c r="A1729" s="1115"/>
      <c r="B1729" s="1115"/>
      <c r="C1729" s="1115"/>
      <c r="D1729" s="1115"/>
      <c r="E1729" s="1115"/>
      <c r="F1729" s="1115"/>
      <c r="G1729" s="1115"/>
      <c r="H1729" s="1115"/>
      <c r="I1729" s="1115"/>
      <c r="J1729" s="1115"/>
      <c r="K1729" s="1115"/>
      <c r="L1729" s="1115"/>
      <c r="M1729" s="1115"/>
    </row>
    <row r="1730" spans="1:13" x14ac:dyDescent="0.2">
      <c r="A1730" s="1115"/>
      <c r="B1730" s="1115"/>
      <c r="C1730" s="1115"/>
      <c r="D1730" s="1115"/>
      <c r="E1730" s="1115"/>
      <c r="F1730" s="1115"/>
      <c r="G1730" s="1115"/>
      <c r="H1730" s="1115"/>
      <c r="I1730" s="1115"/>
      <c r="J1730" s="1115"/>
      <c r="K1730" s="1115"/>
      <c r="L1730" s="1115"/>
      <c r="M1730" s="1115"/>
    </row>
    <row r="1731" spans="1:13" x14ac:dyDescent="0.2">
      <c r="A1731" s="1115"/>
      <c r="B1731" s="1115"/>
      <c r="C1731" s="1115"/>
      <c r="D1731" s="1115"/>
      <c r="E1731" s="1115"/>
      <c r="F1731" s="1115"/>
      <c r="G1731" s="1115"/>
      <c r="H1731" s="1115"/>
      <c r="I1731" s="1115"/>
      <c r="J1731" s="1115"/>
      <c r="K1731" s="1115"/>
      <c r="L1731" s="1115"/>
      <c r="M1731" s="1115"/>
    </row>
    <row r="1732" spans="1:13" x14ac:dyDescent="0.2">
      <c r="A1732" s="1115"/>
      <c r="B1732" s="1115"/>
      <c r="C1732" s="1115"/>
      <c r="D1732" s="1115"/>
      <c r="E1732" s="1115"/>
      <c r="F1732" s="1115"/>
      <c r="G1732" s="1115"/>
      <c r="H1732" s="1115"/>
      <c r="I1732" s="1115"/>
      <c r="J1732" s="1115"/>
      <c r="K1732" s="1115"/>
      <c r="L1732" s="1115"/>
      <c r="M1732" s="1115"/>
    </row>
    <row r="1733" spans="1:13" x14ac:dyDescent="0.2">
      <c r="A1733" s="1115"/>
      <c r="B1733" s="1115"/>
      <c r="C1733" s="1115"/>
      <c r="D1733" s="1115"/>
      <c r="E1733" s="1115"/>
      <c r="F1733" s="1115"/>
      <c r="G1733" s="1115"/>
      <c r="H1733" s="1115"/>
      <c r="I1733" s="1115"/>
      <c r="J1733" s="1115"/>
      <c r="K1733" s="1115"/>
      <c r="L1733" s="1115"/>
      <c r="M1733" s="1115"/>
    </row>
    <row r="1734" spans="1:13" x14ac:dyDescent="0.2">
      <c r="A1734" s="1115"/>
      <c r="B1734" s="1115"/>
      <c r="C1734" s="1115"/>
      <c r="D1734" s="1115"/>
      <c r="E1734" s="1115"/>
      <c r="F1734" s="1115"/>
      <c r="G1734" s="1115"/>
      <c r="H1734" s="1115"/>
      <c r="I1734" s="1115"/>
      <c r="J1734" s="1115"/>
      <c r="K1734" s="1115"/>
      <c r="L1734" s="1115"/>
      <c r="M1734" s="1115"/>
    </row>
    <row r="1735" spans="1:13" x14ac:dyDescent="0.2">
      <c r="A1735" s="1115"/>
      <c r="B1735" s="1115"/>
      <c r="C1735" s="1115"/>
      <c r="D1735" s="1115"/>
      <c r="E1735" s="1115"/>
      <c r="F1735" s="1115"/>
      <c r="G1735" s="1115"/>
      <c r="H1735" s="1115"/>
      <c r="I1735" s="1115"/>
      <c r="J1735" s="1115"/>
      <c r="K1735" s="1115"/>
      <c r="L1735" s="1115"/>
      <c r="M1735" s="1115"/>
    </row>
    <row r="1736" spans="1:13" x14ac:dyDescent="0.2">
      <c r="A1736" s="1115"/>
      <c r="B1736" s="1115"/>
      <c r="C1736" s="1115"/>
      <c r="D1736" s="1115"/>
      <c r="E1736" s="1115"/>
      <c r="F1736" s="1115"/>
      <c r="G1736" s="1115"/>
      <c r="H1736" s="1115"/>
      <c r="I1736" s="1115"/>
      <c r="J1736" s="1115"/>
      <c r="K1736" s="1115"/>
      <c r="L1736" s="1115"/>
      <c r="M1736" s="1115"/>
    </row>
    <row r="1737" spans="1:13" x14ac:dyDescent="0.2">
      <c r="A1737" s="1115"/>
      <c r="B1737" s="1115"/>
      <c r="C1737" s="1115"/>
      <c r="D1737" s="1115"/>
      <c r="E1737" s="1115"/>
      <c r="F1737" s="1115"/>
      <c r="G1737" s="1115"/>
      <c r="H1737" s="1115"/>
      <c r="I1737" s="1115"/>
      <c r="J1737" s="1115"/>
      <c r="K1737" s="1115"/>
      <c r="L1737" s="1115"/>
      <c r="M1737" s="1115"/>
    </row>
    <row r="1738" spans="1:13" x14ac:dyDescent="0.2">
      <c r="A1738" s="1115"/>
      <c r="B1738" s="1115"/>
      <c r="C1738" s="1115"/>
      <c r="D1738" s="1115"/>
      <c r="E1738" s="1115"/>
      <c r="F1738" s="1115"/>
      <c r="G1738" s="1115"/>
      <c r="H1738" s="1115"/>
      <c r="I1738" s="1115"/>
      <c r="J1738" s="1115"/>
      <c r="K1738" s="1115"/>
      <c r="L1738" s="1115"/>
      <c r="M1738" s="1115"/>
    </row>
    <row r="1739" spans="1:13" x14ac:dyDescent="0.2">
      <c r="A1739" s="1115"/>
      <c r="B1739" s="1115"/>
      <c r="C1739" s="1115"/>
      <c r="D1739" s="1115"/>
      <c r="E1739" s="1115"/>
      <c r="F1739" s="1115"/>
      <c r="G1739" s="1115"/>
      <c r="H1739" s="1115"/>
      <c r="I1739" s="1115"/>
      <c r="J1739" s="1115"/>
      <c r="K1739" s="1115"/>
      <c r="L1739" s="1115"/>
      <c r="M1739" s="1115"/>
    </row>
    <row r="1740" spans="1:13" x14ac:dyDescent="0.2">
      <c r="A1740" s="1115"/>
      <c r="B1740" s="1115"/>
      <c r="C1740" s="1115"/>
      <c r="D1740" s="1115"/>
      <c r="E1740" s="1115"/>
      <c r="F1740" s="1115"/>
      <c r="G1740" s="1115"/>
      <c r="H1740" s="1115"/>
      <c r="I1740" s="1115"/>
      <c r="J1740" s="1115"/>
      <c r="K1740" s="1115"/>
      <c r="L1740" s="1115"/>
      <c r="M1740" s="1115"/>
    </row>
    <row r="1741" spans="1:13" x14ac:dyDescent="0.2">
      <c r="A1741" s="1115"/>
      <c r="B1741" s="1115"/>
      <c r="C1741" s="1115"/>
      <c r="D1741" s="1115"/>
      <c r="E1741" s="1115"/>
      <c r="F1741" s="1115"/>
      <c r="G1741" s="1115"/>
      <c r="H1741" s="1115"/>
      <c r="I1741" s="1115"/>
      <c r="J1741" s="1115"/>
      <c r="K1741" s="1115"/>
      <c r="L1741" s="1115"/>
      <c r="M1741" s="1115"/>
    </row>
    <row r="1742" spans="1:13" x14ac:dyDescent="0.2">
      <c r="A1742" s="1115"/>
      <c r="B1742" s="1115"/>
      <c r="C1742" s="1115"/>
      <c r="D1742" s="1115"/>
      <c r="E1742" s="1115"/>
      <c r="F1742" s="1115"/>
      <c r="G1742" s="1115"/>
      <c r="H1742" s="1115"/>
      <c r="I1742" s="1115"/>
      <c r="J1742" s="1115"/>
      <c r="K1742" s="1115"/>
      <c r="L1742" s="1115"/>
      <c r="M1742" s="1115"/>
    </row>
    <row r="1743" spans="1:13" x14ac:dyDescent="0.2">
      <c r="A1743" s="1115"/>
      <c r="B1743" s="1115"/>
      <c r="C1743" s="1115"/>
      <c r="D1743" s="1115"/>
      <c r="E1743" s="1115"/>
      <c r="F1743" s="1115"/>
      <c r="G1743" s="1115"/>
      <c r="H1743" s="1115"/>
      <c r="I1743" s="1115"/>
      <c r="J1743" s="1115"/>
      <c r="K1743" s="1115"/>
      <c r="L1743" s="1115"/>
      <c r="M1743" s="1115"/>
    </row>
    <row r="1744" spans="1:13" x14ac:dyDescent="0.2">
      <c r="A1744" s="1115"/>
      <c r="B1744" s="1115"/>
      <c r="C1744" s="1115"/>
      <c r="D1744" s="1115"/>
      <c r="E1744" s="1115"/>
      <c r="F1744" s="1115"/>
      <c r="G1744" s="1115"/>
      <c r="H1744" s="1115"/>
      <c r="I1744" s="1115"/>
      <c r="J1744" s="1115"/>
      <c r="K1744" s="1115"/>
      <c r="L1744" s="1115"/>
      <c r="M1744" s="1115"/>
    </row>
    <row r="1745" spans="1:13" x14ac:dyDescent="0.2">
      <c r="A1745" s="1115"/>
      <c r="B1745" s="1115"/>
      <c r="C1745" s="1115"/>
      <c r="D1745" s="1115"/>
      <c r="E1745" s="1115"/>
      <c r="F1745" s="1115"/>
      <c r="G1745" s="1115"/>
      <c r="H1745" s="1115"/>
      <c r="I1745" s="1115"/>
      <c r="J1745" s="1115"/>
      <c r="K1745" s="1115"/>
      <c r="L1745" s="1115"/>
      <c r="M1745" s="1115"/>
    </row>
    <row r="1746" spans="1:13" x14ac:dyDescent="0.2">
      <c r="A1746" s="1115"/>
      <c r="B1746" s="1115"/>
      <c r="C1746" s="1115"/>
      <c r="D1746" s="1115"/>
      <c r="E1746" s="1115"/>
      <c r="F1746" s="1115"/>
      <c r="G1746" s="1115"/>
      <c r="H1746" s="1115"/>
      <c r="I1746" s="1115"/>
      <c r="J1746" s="1115"/>
      <c r="K1746" s="1115"/>
      <c r="L1746" s="1115"/>
      <c r="M1746" s="1115"/>
    </row>
    <row r="1747" spans="1:13" x14ac:dyDescent="0.2">
      <c r="A1747" s="1115"/>
      <c r="B1747" s="1115"/>
      <c r="C1747" s="1115"/>
      <c r="D1747" s="1115"/>
      <c r="E1747" s="1115"/>
      <c r="F1747" s="1115"/>
      <c r="G1747" s="1115"/>
      <c r="H1747" s="1115"/>
      <c r="I1747" s="1115"/>
      <c r="J1747" s="1115"/>
      <c r="K1747" s="1115"/>
      <c r="L1747" s="1115"/>
      <c r="M1747" s="1115"/>
    </row>
    <row r="1748" spans="1:13" x14ac:dyDescent="0.2">
      <c r="A1748" s="1115"/>
      <c r="B1748" s="1115"/>
      <c r="C1748" s="1115"/>
      <c r="D1748" s="1115"/>
      <c r="E1748" s="1115"/>
      <c r="F1748" s="1115"/>
      <c r="G1748" s="1115"/>
      <c r="H1748" s="1115"/>
      <c r="I1748" s="1115"/>
      <c r="J1748" s="1115"/>
      <c r="K1748" s="1115"/>
      <c r="L1748" s="1115"/>
      <c r="M1748" s="1115"/>
    </row>
    <row r="1749" spans="1:13" x14ac:dyDescent="0.2">
      <c r="A1749" s="1115"/>
      <c r="B1749" s="1115"/>
      <c r="C1749" s="1115"/>
      <c r="D1749" s="1115"/>
      <c r="E1749" s="1115"/>
      <c r="F1749" s="1115"/>
      <c r="G1749" s="1115"/>
      <c r="H1749" s="1115"/>
      <c r="I1749" s="1115"/>
      <c r="J1749" s="1115"/>
      <c r="K1749" s="1115"/>
      <c r="L1749" s="1115"/>
      <c r="M1749" s="1115"/>
    </row>
    <row r="1750" spans="1:13" x14ac:dyDescent="0.2">
      <c r="A1750" s="1115"/>
      <c r="B1750" s="1115"/>
      <c r="C1750" s="1115"/>
      <c r="D1750" s="1115"/>
      <c r="E1750" s="1115"/>
      <c r="F1750" s="1115"/>
      <c r="G1750" s="1115"/>
      <c r="H1750" s="1115"/>
      <c r="I1750" s="1115"/>
      <c r="J1750" s="1115"/>
      <c r="K1750" s="1115"/>
      <c r="L1750" s="1115"/>
      <c r="M1750" s="1115"/>
    </row>
    <row r="1751" spans="1:13" x14ac:dyDescent="0.2">
      <c r="A1751" s="1115"/>
      <c r="B1751" s="1115"/>
      <c r="C1751" s="1115"/>
      <c r="D1751" s="1115"/>
      <c r="E1751" s="1115"/>
      <c r="F1751" s="1115"/>
      <c r="G1751" s="1115"/>
      <c r="H1751" s="1115"/>
      <c r="I1751" s="1115"/>
      <c r="J1751" s="1115"/>
      <c r="K1751" s="1115"/>
      <c r="L1751" s="1115"/>
      <c r="M1751" s="1115"/>
    </row>
    <row r="1752" spans="1:13" x14ac:dyDescent="0.2">
      <c r="A1752" s="1115"/>
      <c r="B1752" s="1115"/>
      <c r="C1752" s="1115"/>
      <c r="D1752" s="1115"/>
      <c r="E1752" s="1115"/>
      <c r="F1752" s="1115"/>
      <c r="G1752" s="1115"/>
      <c r="H1752" s="1115"/>
      <c r="I1752" s="1115"/>
      <c r="J1752" s="1115"/>
      <c r="K1752" s="1115"/>
      <c r="L1752" s="1115"/>
      <c r="M1752" s="1115"/>
    </row>
    <row r="1753" spans="1:13" x14ac:dyDescent="0.2">
      <c r="A1753" s="1115"/>
      <c r="B1753" s="1115"/>
      <c r="C1753" s="1115"/>
      <c r="D1753" s="1115"/>
      <c r="E1753" s="1115"/>
      <c r="F1753" s="1115"/>
      <c r="G1753" s="1115"/>
      <c r="H1753" s="1115"/>
      <c r="I1753" s="1115"/>
      <c r="J1753" s="1115"/>
      <c r="K1753" s="1115"/>
      <c r="L1753" s="1115"/>
      <c r="M1753" s="1115"/>
    </row>
    <row r="1754" spans="1:13" x14ac:dyDescent="0.2">
      <c r="A1754" s="1115"/>
      <c r="B1754" s="1115"/>
      <c r="C1754" s="1115"/>
      <c r="D1754" s="1115"/>
      <c r="E1754" s="1115"/>
      <c r="F1754" s="1115"/>
      <c r="G1754" s="1115"/>
      <c r="H1754" s="1115"/>
      <c r="I1754" s="1115"/>
      <c r="J1754" s="1115"/>
      <c r="K1754" s="1115"/>
      <c r="L1754" s="1115"/>
      <c r="M1754" s="1115"/>
    </row>
    <row r="1755" spans="1:13" x14ac:dyDescent="0.2">
      <c r="A1755" s="1115"/>
      <c r="B1755" s="1115"/>
      <c r="C1755" s="1115"/>
      <c r="D1755" s="1115"/>
      <c r="E1755" s="1115"/>
      <c r="F1755" s="1115"/>
      <c r="G1755" s="1115"/>
      <c r="H1755" s="1115"/>
      <c r="I1755" s="1115"/>
      <c r="J1755" s="1115"/>
      <c r="K1755" s="1115"/>
      <c r="L1755" s="1115"/>
      <c r="M1755" s="1115"/>
    </row>
    <row r="1756" spans="1:13" x14ac:dyDescent="0.2">
      <c r="A1756" s="1115"/>
      <c r="B1756" s="1115"/>
      <c r="C1756" s="1115"/>
      <c r="D1756" s="1115"/>
      <c r="E1756" s="1115"/>
      <c r="F1756" s="1115"/>
      <c r="G1756" s="1115"/>
      <c r="H1756" s="1115"/>
      <c r="I1756" s="1115"/>
      <c r="J1756" s="1115"/>
      <c r="K1756" s="1115"/>
      <c r="L1756" s="1115"/>
      <c r="M1756" s="1115"/>
    </row>
    <row r="1757" spans="1:13" x14ac:dyDescent="0.2">
      <c r="A1757" s="1115"/>
      <c r="B1757" s="1115"/>
      <c r="C1757" s="1115"/>
      <c r="D1757" s="1115"/>
      <c r="E1757" s="1115"/>
      <c r="F1757" s="1115"/>
      <c r="G1757" s="1115"/>
      <c r="H1757" s="1115"/>
      <c r="I1757" s="1115"/>
      <c r="J1757" s="1115"/>
      <c r="K1757" s="1115"/>
      <c r="L1757" s="1115"/>
      <c r="M1757" s="1115"/>
    </row>
    <row r="1758" spans="1:13" x14ac:dyDescent="0.2">
      <c r="A1758" s="1115"/>
      <c r="B1758" s="1115"/>
      <c r="C1758" s="1115"/>
      <c r="D1758" s="1115"/>
      <c r="E1758" s="1115"/>
      <c r="F1758" s="1115"/>
      <c r="G1758" s="1115"/>
      <c r="H1758" s="1115"/>
      <c r="I1758" s="1115"/>
      <c r="J1758" s="1115"/>
      <c r="K1758" s="1115"/>
      <c r="L1758" s="1115"/>
      <c r="M1758" s="1115"/>
    </row>
    <row r="1759" spans="1:13" x14ac:dyDescent="0.2">
      <c r="A1759" s="1115"/>
      <c r="B1759" s="1115"/>
      <c r="C1759" s="1115"/>
      <c r="D1759" s="1115"/>
      <c r="E1759" s="1115"/>
      <c r="F1759" s="1115"/>
      <c r="G1759" s="1115"/>
      <c r="H1759" s="1115"/>
      <c r="I1759" s="1115"/>
      <c r="J1759" s="1115"/>
      <c r="K1759" s="1115"/>
      <c r="L1759" s="1115"/>
      <c r="M1759" s="1115"/>
    </row>
    <row r="1760" spans="1:13" x14ac:dyDescent="0.2">
      <c r="A1760" s="1115"/>
      <c r="B1760" s="1115"/>
      <c r="C1760" s="1115"/>
      <c r="D1760" s="1115"/>
      <c r="E1760" s="1115"/>
      <c r="F1760" s="1115"/>
      <c r="G1760" s="1115"/>
      <c r="H1760" s="1115"/>
      <c r="I1760" s="1115"/>
      <c r="J1760" s="1115"/>
      <c r="K1760" s="1115"/>
      <c r="L1760" s="1115"/>
      <c r="M1760" s="1115"/>
    </row>
    <row r="1761" spans="1:13" x14ac:dyDescent="0.2">
      <c r="A1761" s="1115"/>
      <c r="B1761" s="1115"/>
      <c r="C1761" s="1115"/>
      <c r="D1761" s="1115"/>
      <c r="E1761" s="1115"/>
      <c r="F1761" s="1115"/>
      <c r="G1761" s="1115"/>
      <c r="H1761" s="1115"/>
      <c r="I1761" s="1115"/>
      <c r="J1761" s="1115"/>
      <c r="K1761" s="1115"/>
      <c r="L1761" s="1115"/>
      <c r="M1761" s="1115"/>
    </row>
    <row r="1762" spans="1:13" x14ac:dyDescent="0.2">
      <c r="A1762" s="1115"/>
      <c r="B1762" s="1115"/>
      <c r="C1762" s="1115"/>
      <c r="D1762" s="1115"/>
      <c r="E1762" s="1115"/>
      <c r="F1762" s="1115"/>
      <c r="G1762" s="1115"/>
      <c r="H1762" s="1115"/>
      <c r="I1762" s="1115"/>
      <c r="J1762" s="1115"/>
      <c r="K1762" s="1115"/>
      <c r="L1762" s="1115"/>
      <c r="M1762" s="1115"/>
    </row>
    <row r="1763" spans="1:13" x14ac:dyDescent="0.2">
      <c r="A1763" s="1115"/>
      <c r="B1763" s="1115"/>
      <c r="C1763" s="1115"/>
      <c r="D1763" s="1115"/>
      <c r="E1763" s="1115"/>
      <c r="F1763" s="1115"/>
      <c r="G1763" s="1115"/>
      <c r="H1763" s="1115"/>
      <c r="I1763" s="1115"/>
      <c r="J1763" s="1115"/>
      <c r="K1763" s="1115"/>
      <c r="L1763" s="1115"/>
      <c r="M1763" s="1115"/>
    </row>
    <row r="1764" spans="1:13" x14ac:dyDescent="0.2">
      <c r="A1764" s="1115"/>
      <c r="B1764" s="1115"/>
      <c r="C1764" s="1115"/>
      <c r="D1764" s="1115"/>
      <c r="E1764" s="1115"/>
      <c r="F1764" s="1115"/>
      <c r="G1764" s="1115"/>
      <c r="H1764" s="1115"/>
      <c r="I1764" s="1115"/>
      <c r="J1764" s="1115"/>
      <c r="K1764" s="1115"/>
      <c r="L1764" s="1115"/>
      <c r="M1764" s="1115"/>
    </row>
    <row r="1765" spans="1:13" x14ac:dyDescent="0.2">
      <c r="A1765" s="1115"/>
      <c r="B1765" s="1115"/>
      <c r="C1765" s="1115"/>
      <c r="D1765" s="1115"/>
      <c r="E1765" s="1115"/>
      <c r="F1765" s="1115"/>
      <c r="G1765" s="1115"/>
      <c r="H1765" s="1115"/>
      <c r="I1765" s="1115"/>
      <c r="J1765" s="1115"/>
      <c r="K1765" s="1115"/>
      <c r="L1765" s="1115"/>
      <c r="M1765" s="1115"/>
    </row>
    <row r="1766" spans="1:13" x14ac:dyDescent="0.2">
      <c r="A1766" s="1115"/>
      <c r="B1766" s="1115"/>
      <c r="C1766" s="1115"/>
      <c r="D1766" s="1115"/>
      <c r="E1766" s="1115"/>
      <c r="F1766" s="1115"/>
      <c r="G1766" s="1115"/>
      <c r="H1766" s="1115"/>
      <c r="I1766" s="1115"/>
      <c r="J1766" s="1115"/>
      <c r="K1766" s="1115"/>
      <c r="L1766" s="1115"/>
      <c r="M1766" s="1115"/>
    </row>
    <row r="1767" spans="1:13" x14ac:dyDescent="0.2">
      <c r="A1767" s="1115"/>
      <c r="B1767" s="1115"/>
      <c r="C1767" s="1115"/>
      <c r="D1767" s="1115"/>
      <c r="E1767" s="1115"/>
      <c r="F1767" s="1115"/>
      <c r="G1767" s="1115"/>
      <c r="H1767" s="1115"/>
      <c r="I1767" s="1115"/>
      <c r="J1767" s="1115"/>
      <c r="K1767" s="1115"/>
      <c r="L1767" s="1115"/>
      <c r="M1767" s="1115"/>
    </row>
    <row r="1768" spans="1:13" x14ac:dyDescent="0.2">
      <c r="A1768" s="1115"/>
      <c r="B1768" s="1115"/>
      <c r="C1768" s="1115"/>
      <c r="D1768" s="1115"/>
      <c r="E1768" s="1115"/>
      <c r="F1768" s="1115"/>
      <c r="G1768" s="1115"/>
      <c r="H1768" s="1115"/>
      <c r="I1768" s="1115"/>
      <c r="J1768" s="1115"/>
      <c r="K1768" s="1115"/>
      <c r="L1768" s="1115"/>
      <c r="M1768" s="1115"/>
    </row>
    <row r="1769" spans="1:13" x14ac:dyDescent="0.2">
      <c r="A1769" s="1115"/>
      <c r="B1769" s="1115"/>
      <c r="C1769" s="1115"/>
      <c r="D1769" s="1115"/>
      <c r="E1769" s="1115"/>
      <c r="F1769" s="1115"/>
      <c r="G1769" s="1115"/>
      <c r="H1769" s="1115"/>
      <c r="I1769" s="1115"/>
      <c r="J1769" s="1115"/>
      <c r="K1769" s="1115"/>
      <c r="L1769" s="1115"/>
      <c r="M1769" s="1115"/>
    </row>
    <row r="1770" spans="1:13" x14ac:dyDescent="0.2">
      <c r="A1770" s="1115"/>
      <c r="B1770" s="1115"/>
      <c r="C1770" s="1115"/>
      <c r="D1770" s="1115"/>
      <c r="E1770" s="1115"/>
      <c r="F1770" s="1115"/>
      <c r="G1770" s="1115"/>
      <c r="H1770" s="1115"/>
      <c r="I1770" s="1115"/>
      <c r="J1770" s="1115"/>
      <c r="K1770" s="1115"/>
      <c r="L1770" s="1115"/>
      <c r="M1770" s="1115"/>
    </row>
    <row r="1771" spans="1:13" x14ac:dyDescent="0.2">
      <c r="A1771" s="1115"/>
      <c r="B1771" s="1115"/>
      <c r="C1771" s="1115"/>
      <c r="D1771" s="1115"/>
      <c r="E1771" s="1115"/>
      <c r="F1771" s="1115"/>
      <c r="G1771" s="1115"/>
      <c r="H1771" s="1115"/>
      <c r="I1771" s="1115"/>
      <c r="J1771" s="1115"/>
      <c r="K1771" s="1115"/>
      <c r="L1771" s="1115"/>
      <c r="M1771" s="1115"/>
    </row>
    <row r="1772" spans="1:13" x14ac:dyDescent="0.2">
      <c r="A1772" s="1115"/>
      <c r="B1772" s="1115"/>
      <c r="C1772" s="1115"/>
      <c r="D1772" s="1115"/>
      <c r="E1772" s="1115"/>
      <c r="F1772" s="1115"/>
      <c r="G1772" s="1115"/>
      <c r="H1772" s="1115"/>
      <c r="I1772" s="1115"/>
      <c r="J1772" s="1115"/>
      <c r="K1772" s="1115"/>
      <c r="L1772" s="1115"/>
      <c r="M1772" s="1115"/>
    </row>
    <row r="1773" spans="1:13" x14ac:dyDescent="0.2">
      <c r="A1773" s="1115"/>
      <c r="B1773" s="1115"/>
      <c r="C1773" s="1115"/>
      <c r="D1773" s="1115"/>
      <c r="E1773" s="1115"/>
      <c r="F1773" s="1115"/>
      <c r="G1773" s="1115"/>
      <c r="H1773" s="1115"/>
      <c r="I1773" s="1115"/>
      <c r="J1773" s="1115"/>
      <c r="K1773" s="1115"/>
      <c r="L1773" s="1115"/>
      <c r="M1773" s="1115"/>
    </row>
    <row r="1774" spans="1:13" x14ac:dyDescent="0.2">
      <c r="A1774" s="1115"/>
      <c r="B1774" s="1115"/>
      <c r="C1774" s="1115"/>
      <c r="D1774" s="1115"/>
      <c r="E1774" s="1115"/>
      <c r="F1774" s="1115"/>
      <c r="G1774" s="1115"/>
      <c r="H1774" s="1115"/>
      <c r="I1774" s="1115"/>
      <c r="J1774" s="1115"/>
      <c r="K1774" s="1115"/>
      <c r="L1774" s="1115"/>
      <c r="M1774" s="1115"/>
    </row>
    <row r="1775" spans="1:13" x14ac:dyDescent="0.2">
      <c r="A1775" s="1115"/>
      <c r="B1775" s="1115"/>
      <c r="C1775" s="1115"/>
      <c r="D1775" s="1115"/>
      <c r="E1775" s="1115"/>
      <c r="F1775" s="1115"/>
      <c r="G1775" s="1115"/>
      <c r="H1775" s="1115"/>
      <c r="I1775" s="1115"/>
      <c r="J1775" s="1115"/>
      <c r="K1775" s="1115"/>
      <c r="L1775" s="1115"/>
      <c r="M1775" s="1115"/>
    </row>
    <row r="1776" spans="1:13" x14ac:dyDescent="0.2">
      <c r="A1776" s="1115"/>
      <c r="B1776" s="1115"/>
      <c r="C1776" s="1115"/>
      <c r="D1776" s="1115"/>
      <c r="E1776" s="1115"/>
      <c r="F1776" s="1115"/>
      <c r="G1776" s="1115"/>
      <c r="H1776" s="1115"/>
      <c r="I1776" s="1115"/>
      <c r="J1776" s="1115"/>
      <c r="K1776" s="1115"/>
      <c r="L1776" s="1115"/>
      <c r="M1776" s="1115"/>
    </row>
    <row r="1777" spans="1:13" x14ac:dyDescent="0.2">
      <c r="A1777" s="1115"/>
      <c r="B1777" s="1115"/>
      <c r="C1777" s="1115"/>
      <c r="D1777" s="1115"/>
      <c r="E1777" s="1115"/>
      <c r="F1777" s="1115"/>
      <c r="G1777" s="1115"/>
      <c r="H1777" s="1115"/>
      <c r="I1777" s="1115"/>
      <c r="J1777" s="1115"/>
      <c r="K1777" s="1115"/>
      <c r="L1777" s="1115"/>
      <c r="M1777" s="1115"/>
    </row>
    <row r="1778" spans="1:13" x14ac:dyDescent="0.2">
      <c r="A1778" s="1115"/>
      <c r="B1778" s="1115"/>
      <c r="C1778" s="1115"/>
      <c r="D1778" s="1115"/>
      <c r="E1778" s="1115"/>
      <c r="F1778" s="1115"/>
      <c r="G1778" s="1115"/>
      <c r="H1778" s="1115"/>
      <c r="I1778" s="1115"/>
      <c r="J1778" s="1115"/>
      <c r="K1778" s="1115"/>
      <c r="L1778" s="1115"/>
      <c r="M1778" s="1115"/>
    </row>
    <row r="1779" spans="1:13" x14ac:dyDescent="0.2">
      <c r="A1779" s="1115"/>
      <c r="B1779" s="1115"/>
      <c r="C1779" s="1115"/>
      <c r="D1779" s="1115"/>
      <c r="E1779" s="1115"/>
      <c r="F1779" s="1115"/>
      <c r="G1779" s="1115"/>
      <c r="H1779" s="1115"/>
      <c r="I1779" s="1115"/>
      <c r="J1779" s="1115"/>
      <c r="K1779" s="1115"/>
      <c r="L1779" s="1115"/>
      <c r="M1779" s="1115"/>
    </row>
    <row r="1780" spans="1:13" x14ac:dyDescent="0.2">
      <c r="A1780" s="1115"/>
      <c r="B1780" s="1115"/>
      <c r="C1780" s="1115"/>
      <c r="D1780" s="1115"/>
      <c r="E1780" s="1115"/>
      <c r="F1780" s="1115"/>
      <c r="G1780" s="1115"/>
      <c r="H1780" s="1115"/>
      <c r="I1780" s="1115"/>
      <c r="J1780" s="1115"/>
      <c r="K1780" s="1115"/>
      <c r="L1780" s="1115"/>
      <c r="M1780" s="1115"/>
    </row>
    <row r="1781" spans="1:13" x14ac:dyDescent="0.2">
      <c r="A1781" s="1115"/>
      <c r="B1781" s="1115"/>
      <c r="C1781" s="1115"/>
      <c r="D1781" s="1115"/>
      <c r="E1781" s="1115"/>
      <c r="F1781" s="1115"/>
      <c r="G1781" s="1115"/>
      <c r="H1781" s="1115"/>
      <c r="I1781" s="1115"/>
      <c r="J1781" s="1115"/>
      <c r="K1781" s="1115"/>
      <c r="L1781" s="1115"/>
      <c r="M1781" s="1115"/>
    </row>
    <row r="1782" spans="1:13" x14ac:dyDescent="0.2">
      <c r="A1782" s="1115"/>
      <c r="B1782" s="1115"/>
      <c r="C1782" s="1115"/>
      <c r="D1782" s="1115"/>
      <c r="E1782" s="1115"/>
      <c r="F1782" s="1115"/>
      <c r="G1782" s="1115"/>
      <c r="H1782" s="1115"/>
      <c r="I1782" s="1115"/>
      <c r="J1782" s="1115"/>
      <c r="K1782" s="1115"/>
      <c r="L1782" s="1115"/>
      <c r="M1782" s="1115"/>
    </row>
    <row r="1783" spans="1:13" x14ac:dyDescent="0.2">
      <c r="A1783" s="1115"/>
      <c r="B1783" s="1115"/>
      <c r="C1783" s="1115"/>
      <c r="D1783" s="1115"/>
      <c r="E1783" s="1115"/>
      <c r="F1783" s="1115"/>
      <c r="G1783" s="1115"/>
      <c r="H1783" s="1115"/>
      <c r="I1783" s="1115"/>
      <c r="J1783" s="1115"/>
      <c r="K1783" s="1115"/>
      <c r="L1783" s="1115"/>
      <c r="M1783" s="1115"/>
    </row>
    <row r="1784" spans="1:13" x14ac:dyDescent="0.2">
      <c r="A1784" s="1115"/>
      <c r="B1784" s="1115"/>
      <c r="C1784" s="1115"/>
      <c r="D1784" s="1115"/>
      <c r="E1784" s="1115"/>
      <c r="F1784" s="1115"/>
      <c r="G1784" s="1115"/>
      <c r="H1784" s="1115"/>
      <c r="I1784" s="1115"/>
      <c r="J1784" s="1115"/>
      <c r="K1784" s="1115"/>
      <c r="L1784" s="1115"/>
      <c r="M1784" s="1115"/>
    </row>
    <row r="1785" spans="1:13" x14ac:dyDescent="0.2">
      <c r="A1785" s="1115"/>
      <c r="B1785" s="1115"/>
      <c r="C1785" s="1115"/>
      <c r="D1785" s="1115"/>
      <c r="E1785" s="1115"/>
      <c r="F1785" s="1115"/>
      <c r="G1785" s="1115"/>
      <c r="H1785" s="1115"/>
      <c r="I1785" s="1115"/>
      <c r="J1785" s="1115"/>
      <c r="K1785" s="1115"/>
      <c r="L1785" s="1115"/>
      <c r="M1785" s="1115"/>
    </row>
    <row r="1786" spans="1:13" x14ac:dyDescent="0.2">
      <c r="A1786" s="1115"/>
      <c r="B1786" s="1115"/>
      <c r="C1786" s="1115"/>
      <c r="D1786" s="1115"/>
      <c r="E1786" s="1115"/>
      <c r="F1786" s="1115"/>
      <c r="G1786" s="1115"/>
      <c r="H1786" s="1115"/>
      <c r="I1786" s="1115"/>
      <c r="J1786" s="1115"/>
      <c r="K1786" s="1115"/>
      <c r="L1786" s="1115"/>
      <c r="M1786" s="1115"/>
    </row>
    <row r="1787" spans="1:13" x14ac:dyDescent="0.2">
      <c r="A1787" s="1115"/>
      <c r="B1787" s="1115"/>
      <c r="C1787" s="1115"/>
      <c r="D1787" s="1115"/>
      <c r="E1787" s="1115"/>
      <c r="F1787" s="1115"/>
      <c r="G1787" s="1115"/>
      <c r="H1787" s="1115"/>
      <c r="I1787" s="1115"/>
      <c r="J1787" s="1115"/>
      <c r="K1787" s="1115"/>
      <c r="L1787" s="1115"/>
      <c r="M1787" s="1115"/>
    </row>
    <row r="1788" spans="1:13" x14ac:dyDescent="0.2">
      <c r="A1788" s="1115"/>
      <c r="B1788" s="1115"/>
      <c r="C1788" s="1115"/>
      <c r="D1788" s="1115"/>
      <c r="E1788" s="1115"/>
      <c r="F1788" s="1115"/>
      <c r="G1788" s="1115"/>
      <c r="H1788" s="1115"/>
      <c r="I1788" s="1115"/>
      <c r="J1788" s="1115"/>
      <c r="K1788" s="1115"/>
      <c r="L1788" s="1115"/>
      <c r="M1788" s="1115"/>
    </row>
    <row r="1789" spans="1:13" x14ac:dyDescent="0.2">
      <c r="A1789" s="1115"/>
      <c r="B1789" s="1115"/>
      <c r="C1789" s="1115"/>
      <c r="D1789" s="1115"/>
      <c r="E1789" s="1115"/>
      <c r="F1789" s="1115"/>
      <c r="G1789" s="1115"/>
      <c r="H1789" s="1115"/>
      <c r="I1789" s="1115"/>
      <c r="J1789" s="1115"/>
      <c r="K1789" s="1115"/>
      <c r="L1789" s="1115"/>
      <c r="M1789" s="1115"/>
    </row>
    <row r="1790" spans="1:13" x14ac:dyDescent="0.2">
      <c r="A1790" s="1115"/>
      <c r="B1790" s="1115"/>
      <c r="C1790" s="1115"/>
      <c r="D1790" s="1115"/>
      <c r="E1790" s="1115"/>
      <c r="F1790" s="1115"/>
      <c r="G1790" s="1115"/>
      <c r="H1790" s="1115"/>
      <c r="I1790" s="1115"/>
      <c r="J1790" s="1115"/>
      <c r="K1790" s="1115"/>
      <c r="L1790" s="1115"/>
      <c r="M1790" s="1115"/>
    </row>
    <row r="1791" spans="1:13" x14ac:dyDescent="0.2">
      <c r="A1791" s="1115"/>
      <c r="B1791" s="1115"/>
      <c r="C1791" s="1115"/>
      <c r="D1791" s="1115"/>
      <c r="E1791" s="1115"/>
      <c r="F1791" s="1115"/>
      <c r="G1791" s="1115"/>
      <c r="H1791" s="1115"/>
      <c r="I1791" s="1115"/>
      <c r="J1791" s="1115"/>
      <c r="K1791" s="1115"/>
      <c r="L1791" s="1115"/>
      <c r="M1791" s="1115"/>
    </row>
    <row r="1792" spans="1:13" x14ac:dyDescent="0.2">
      <c r="A1792" s="1115"/>
      <c r="B1792" s="1115"/>
      <c r="C1792" s="1115"/>
      <c r="D1792" s="1115"/>
      <c r="E1792" s="1115"/>
      <c r="F1792" s="1115"/>
      <c r="G1792" s="1115"/>
      <c r="H1792" s="1115"/>
      <c r="I1792" s="1115"/>
      <c r="J1792" s="1115"/>
      <c r="K1792" s="1115"/>
      <c r="L1792" s="1115"/>
      <c r="M1792" s="1115"/>
    </row>
    <row r="1793" spans="1:13" x14ac:dyDescent="0.2">
      <c r="A1793" s="1115"/>
      <c r="B1793" s="1115"/>
      <c r="C1793" s="1115"/>
      <c r="D1793" s="1115"/>
      <c r="E1793" s="1115"/>
      <c r="F1793" s="1115"/>
      <c r="G1793" s="1115"/>
      <c r="H1793" s="1115"/>
      <c r="I1793" s="1115"/>
      <c r="J1793" s="1115"/>
      <c r="K1793" s="1115"/>
      <c r="L1793" s="1115"/>
      <c r="M1793" s="1115"/>
    </row>
    <row r="1794" spans="1:13" x14ac:dyDescent="0.2">
      <c r="A1794" s="1115"/>
      <c r="B1794" s="1115"/>
      <c r="C1794" s="1115"/>
      <c r="D1794" s="1115"/>
      <c r="E1794" s="1115"/>
      <c r="F1794" s="1115"/>
      <c r="G1794" s="1115"/>
      <c r="H1794" s="1115"/>
      <c r="I1794" s="1115"/>
      <c r="J1794" s="1115"/>
      <c r="K1794" s="1115"/>
      <c r="L1794" s="1115"/>
      <c r="M1794" s="1115"/>
    </row>
    <row r="1795" spans="1:13" x14ac:dyDescent="0.2">
      <c r="A1795" s="1115"/>
      <c r="B1795" s="1115"/>
      <c r="C1795" s="1115"/>
      <c r="D1795" s="1115"/>
      <c r="E1795" s="1115"/>
      <c r="F1795" s="1115"/>
      <c r="G1795" s="1115"/>
      <c r="H1795" s="1115"/>
      <c r="I1795" s="1115"/>
      <c r="J1795" s="1115"/>
      <c r="K1795" s="1115"/>
      <c r="L1795" s="1115"/>
      <c r="M1795" s="1115"/>
    </row>
    <row r="1796" spans="1:13" x14ac:dyDescent="0.2">
      <c r="A1796" s="1115"/>
      <c r="B1796" s="1115"/>
      <c r="C1796" s="1115"/>
      <c r="D1796" s="1115"/>
      <c r="E1796" s="1115"/>
      <c r="F1796" s="1115"/>
      <c r="G1796" s="1115"/>
      <c r="H1796" s="1115"/>
      <c r="I1796" s="1115"/>
      <c r="J1796" s="1115"/>
      <c r="K1796" s="1115"/>
      <c r="L1796" s="1115"/>
      <c r="M1796" s="1115"/>
    </row>
    <row r="1797" spans="1:13" x14ac:dyDescent="0.2">
      <c r="A1797" s="1115"/>
      <c r="B1797" s="1115"/>
      <c r="C1797" s="1115"/>
      <c r="D1797" s="1115"/>
      <c r="E1797" s="1115"/>
      <c r="F1797" s="1115"/>
      <c r="G1797" s="1115"/>
      <c r="H1797" s="1115"/>
      <c r="I1797" s="1115"/>
      <c r="J1797" s="1115"/>
      <c r="K1797" s="1115"/>
      <c r="L1797" s="1115"/>
      <c r="M1797" s="1115"/>
    </row>
    <row r="1798" spans="1:13" x14ac:dyDescent="0.2">
      <c r="A1798" s="1115"/>
      <c r="B1798" s="1115"/>
      <c r="C1798" s="1115"/>
      <c r="D1798" s="1115"/>
      <c r="E1798" s="1115"/>
      <c r="F1798" s="1115"/>
      <c r="G1798" s="1115"/>
      <c r="H1798" s="1115"/>
      <c r="I1798" s="1115"/>
      <c r="J1798" s="1115"/>
      <c r="K1798" s="1115"/>
      <c r="L1798" s="1115"/>
      <c r="M1798" s="1115"/>
    </row>
    <row r="1799" spans="1:13" x14ac:dyDescent="0.2">
      <c r="A1799" s="1115"/>
      <c r="B1799" s="1115"/>
      <c r="C1799" s="1115"/>
      <c r="D1799" s="1115"/>
      <c r="E1799" s="1115"/>
      <c r="F1799" s="1115"/>
      <c r="G1799" s="1115"/>
      <c r="H1799" s="1115"/>
      <c r="I1799" s="1115"/>
      <c r="J1799" s="1115"/>
      <c r="K1799" s="1115"/>
      <c r="L1799" s="1115"/>
      <c r="M1799" s="1115"/>
    </row>
    <row r="1800" spans="1:13" x14ac:dyDescent="0.2">
      <c r="A1800" s="1115"/>
      <c r="B1800" s="1115"/>
      <c r="C1800" s="1115"/>
      <c r="D1800" s="1115"/>
      <c r="E1800" s="1115"/>
      <c r="F1800" s="1115"/>
      <c r="G1800" s="1115"/>
      <c r="H1800" s="1115"/>
      <c r="I1800" s="1115"/>
      <c r="J1800" s="1115"/>
      <c r="K1800" s="1115"/>
      <c r="L1800" s="1115"/>
      <c r="M1800" s="1115"/>
    </row>
    <row r="1801" spans="1:13" x14ac:dyDescent="0.2">
      <c r="A1801" s="1115"/>
      <c r="B1801" s="1115"/>
      <c r="C1801" s="1115"/>
      <c r="D1801" s="1115"/>
      <c r="E1801" s="1115"/>
      <c r="F1801" s="1115"/>
      <c r="G1801" s="1115"/>
      <c r="H1801" s="1115"/>
      <c r="I1801" s="1115"/>
      <c r="J1801" s="1115"/>
      <c r="K1801" s="1115"/>
      <c r="L1801" s="1115"/>
      <c r="M1801" s="1115"/>
    </row>
    <row r="1802" spans="1:13" x14ac:dyDescent="0.2">
      <c r="A1802" s="1115"/>
      <c r="B1802" s="1115"/>
      <c r="C1802" s="1115"/>
      <c r="D1802" s="1115"/>
      <c r="E1802" s="1115"/>
      <c r="F1802" s="1115"/>
      <c r="G1802" s="1115"/>
      <c r="H1802" s="1115"/>
      <c r="I1802" s="1115"/>
      <c r="J1802" s="1115"/>
      <c r="K1802" s="1115"/>
      <c r="L1802" s="1115"/>
      <c r="M1802" s="1115"/>
    </row>
    <row r="1803" spans="1:13" x14ac:dyDescent="0.2">
      <c r="A1803" s="1115"/>
      <c r="B1803" s="1115"/>
      <c r="C1803" s="1115"/>
      <c r="D1803" s="1115"/>
      <c r="E1803" s="1115"/>
      <c r="F1803" s="1115"/>
      <c r="G1803" s="1115"/>
      <c r="H1803" s="1115"/>
      <c r="I1803" s="1115"/>
      <c r="J1803" s="1115"/>
      <c r="K1803" s="1115"/>
      <c r="L1803" s="1115"/>
      <c r="M1803" s="1115"/>
    </row>
    <row r="1804" spans="1:13" x14ac:dyDescent="0.2">
      <c r="A1804" s="1115"/>
      <c r="B1804" s="1115"/>
      <c r="C1804" s="1115"/>
      <c r="D1804" s="1115"/>
      <c r="E1804" s="1115"/>
      <c r="F1804" s="1115"/>
      <c r="G1804" s="1115"/>
      <c r="H1804" s="1115"/>
      <c r="I1804" s="1115"/>
      <c r="J1804" s="1115"/>
      <c r="K1804" s="1115"/>
      <c r="L1804" s="1115"/>
      <c r="M1804" s="1115"/>
    </row>
    <row r="1805" spans="1:13" x14ac:dyDescent="0.2">
      <c r="A1805" s="1115"/>
      <c r="B1805" s="1115"/>
      <c r="C1805" s="1115"/>
      <c r="D1805" s="1115"/>
      <c r="E1805" s="1115"/>
      <c r="F1805" s="1115"/>
      <c r="G1805" s="1115"/>
      <c r="H1805" s="1115"/>
      <c r="I1805" s="1115"/>
      <c r="J1805" s="1115"/>
      <c r="K1805" s="1115"/>
      <c r="L1805" s="1115"/>
      <c r="M1805" s="1115"/>
    </row>
    <row r="1806" spans="1:13" x14ac:dyDescent="0.2">
      <c r="A1806" s="1115"/>
      <c r="B1806" s="1115"/>
      <c r="C1806" s="1115"/>
      <c r="D1806" s="1115"/>
      <c r="E1806" s="1115"/>
      <c r="F1806" s="1115"/>
      <c r="G1806" s="1115"/>
      <c r="H1806" s="1115"/>
      <c r="I1806" s="1115"/>
      <c r="J1806" s="1115"/>
      <c r="K1806" s="1115"/>
      <c r="L1806" s="1115"/>
      <c r="M1806" s="1115"/>
    </row>
    <row r="1807" spans="1:13" x14ac:dyDescent="0.2">
      <c r="A1807" s="1115"/>
      <c r="B1807" s="1115"/>
      <c r="C1807" s="1115"/>
      <c r="D1807" s="1115"/>
      <c r="E1807" s="1115"/>
      <c r="F1807" s="1115"/>
      <c r="G1807" s="1115"/>
      <c r="H1807" s="1115"/>
      <c r="I1807" s="1115"/>
      <c r="J1807" s="1115"/>
      <c r="K1807" s="1115"/>
      <c r="L1807" s="1115"/>
      <c r="M1807" s="1115"/>
    </row>
    <row r="1808" spans="1:13" x14ac:dyDescent="0.2">
      <c r="A1808" s="1115"/>
      <c r="B1808" s="1115"/>
      <c r="C1808" s="1115"/>
      <c r="D1808" s="1115"/>
      <c r="E1808" s="1115"/>
      <c r="F1808" s="1115"/>
      <c r="G1808" s="1115"/>
      <c r="H1808" s="1115"/>
      <c r="I1808" s="1115"/>
      <c r="J1808" s="1115"/>
      <c r="K1808" s="1115"/>
      <c r="L1808" s="1115"/>
      <c r="M1808" s="1115"/>
    </row>
    <row r="1809" spans="1:13" x14ac:dyDescent="0.2">
      <c r="A1809" s="1115"/>
      <c r="B1809" s="1115"/>
      <c r="C1809" s="1115"/>
      <c r="D1809" s="1115"/>
      <c r="E1809" s="1115"/>
      <c r="F1809" s="1115"/>
      <c r="G1809" s="1115"/>
      <c r="H1809" s="1115"/>
      <c r="I1809" s="1115"/>
      <c r="J1809" s="1115"/>
      <c r="K1809" s="1115"/>
      <c r="L1809" s="1115"/>
      <c r="M1809" s="1115"/>
    </row>
    <row r="1810" spans="1:13" x14ac:dyDescent="0.2">
      <c r="A1810" s="1115"/>
      <c r="B1810" s="1115"/>
      <c r="C1810" s="1115"/>
      <c r="D1810" s="1115"/>
      <c r="E1810" s="1115"/>
      <c r="F1810" s="1115"/>
      <c r="G1810" s="1115"/>
      <c r="H1810" s="1115"/>
      <c r="I1810" s="1115"/>
      <c r="J1810" s="1115"/>
      <c r="K1810" s="1115"/>
      <c r="L1810" s="1115"/>
      <c r="M1810" s="1115"/>
    </row>
    <row r="1811" spans="1:13" x14ac:dyDescent="0.2">
      <c r="A1811" s="1115"/>
      <c r="B1811" s="1115"/>
      <c r="C1811" s="1115"/>
      <c r="D1811" s="1115"/>
      <c r="E1811" s="1115"/>
      <c r="F1811" s="1115"/>
      <c r="G1811" s="1115"/>
      <c r="H1811" s="1115"/>
      <c r="I1811" s="1115"/>
      <c r="J1811" s="1115"/>
      <c r="K1811" s="1115"/>
      <c r="L1811" s="1115"/>
      <c r="M1811" s="1115"/>
    </row>
    <row r="1812" spans="1:13" x14ac:dyDescent="0.2">
      <c r="A1812" s="1115"/>
      <c r="B1812" s="1115"/>
      <c r="C1812" s="1115"/>
      <c r="D1812" s="1115"/>
      <c r="E1812" s="1115"/>
      <c r="F1812" s="1115"/>
      <c r="G1812" s="1115"/>
      <c r="H1812" s="1115"/>
      <c r="I1812" s="1115"/>
      <c r="J1812" s="1115"/>
      <c r="K1812" s="1115"/>
      <c r="L1812" s="1115"/>
      <c r="M1812" s="1115"/>
    </row>
    <row r="1813" spans="1:13" x14ac:dyDescent="0.2">
      <c r="A1813" s="1115"/>
      <c r="B1813" s="1115"/>
      <c r="C1813" s="1115"/>
      <c r="D1813" s="1115"/>
      <c r="E1813" s="1115"/>
      <c r="F1813" s="1115"/>
      <c r="G1813" s="1115"/>
      <c r="H1813" s="1115"/>
      <c r="I1813" s="1115"/>
      <c r="J1813" s="1115"/>
      <c r="K1813" s="1115"/>
      <c r="L1813" s="1115"/>
      <c r="M1813" s="1115"/>
    </row>
    <row r="1814" spans="1:13" x14ac:dyDescent="0.2">
      <c r="A1814" s="1115"/>
      <c r="B1814" s="1115"/>
      <c r="C1814" s="1115"/>
      <c r="D1814" s="1115"/>
      <c r="E1814" s="1115"/>
      <c r="F1814" s="1115"/>
      <c r="G1814" s="1115"/>
      <c r="H1814" s="1115"/>
      <c r="I1814" s="1115"/>
      <c r="J1814" s="1115"/>
      <c r="K1814" s="1115"/>
      <c r="L1814" s="1115"/>
      <c r="M1814" s="1115"/>
    </row>
    <row r="1815" spans="1:13" x14ac:dyDescent="0.2">
      <c r="A1815" s="1115"/>
      <c r="B1815" s="1115"/>
      <c r="C1815" s="1115"/>
      <c r="D1815" s="1115"/>
      <c r="E1815" s="1115"/>
      <c r="F1815" s="1115"/>
      <c r="G1815" s="1115"/>
      <c r="H1815" s="1115"/>
      <c r="I1815" s="1115"/>
      <c r="J1815" s="1115"/>
      <c r="K1815" s="1115"/>
      <c r="L1815" s="1115"/>
      <c r="M1815" s="1115"/>
    </row>
    <row r="1816" spans="1:13" x14ac:dyDescent="0.2">
      <c r="A1816" s="1115"/>
      <c r="B1816" s="1115"/>
      <c r="C1816" s="1115"/>
      <c r="D1816" s="1115"/>
      <c r="E1816" s="1115"/>
      <c r="F1816" s="1115"/>
      <c r="G1816" s="1115"/>
      <c r="H1816" s="1115"/>
      <c r="I1816" s="1115"/>
      <c r="J1816" s="1115"/>
      <c r="K1816" s="1115"/>
      <c r="L1816" s="1115"/>
      <c r="M1816" s="1115"/>
    </row>
    <row r="1817" spans="1:13" x14ac:dyDescent="0.2">
      <c r="A1817" s="1115"/>
      <c r="B1817" s="1115"/>
      <c r="C1817" s="1115"/>
      <c r="D1817" s="1115"/>
      <c r="E1817" s="1115"/>
      <c r="F1817" s="1115"/>
      <c r="G1817" s="1115"/>
      <c r="H1817" s="1115"/>
      <c r="I1817" s="1115"/>
      <c r="J1817" s="1115"/>
      <c r="K1817" s="1115"/>
      <c r="L1817" s="1115"/>
      <c r="M1817" s="1115"/>
    </row>
    <row r="1818" spans="1:13" x14ac:dyDescent="0.2">
      <c r="A1818" s="1115"/>
      <c r="B1818" s="1115"/>
      <c r="C1818" s="1115"/>
      <c r="D1818" s="1115"/>
      <c r="E1818" s="1115"/>
      <c r="F1818" s="1115"/>
      <c r="G1818" s="1115"/>
      <c r="H1818" s="1115"/>
      <c r="I1818" s="1115"/>
      <c r="J1818" s="1115"/>
      <c r="K1818" s="1115"/>
      <c r="L1818" s="1115"/>
      <c r="M1818" s="1115"/>
    </row>
    <row r="1819" spans="1:13" x14ac:dyDescent="0.2">
      <c r="A1819" s="1115"/>
      <c r="B1819" s="1115"/>
      <c r="C1819" s="1115"/>
      <c r="D1819" s="1115"/>
      <c r="E1819" s="1115"/>
      <c r="F1819" s="1115"/>
      <c r="G1819" s="1115"/>
      <c r="H1819" s="1115"/>
      <c r="I1819" s="1115"/>
      <c r="J1819" s="1115"/>
      <c r="K1819" s="1115"/>
      <c r="L1819" s="1115"/>
      <c r="M1819" s="1115"/>
    </row>
    <row r="1820" spans="1:13" x14ac:dyDescent="0.2">
      <c r="A1820" s="1115"/>
      <c r="B1820" s="1115"/>
      <c r="C1820" s="1115"/>
      <c r="D1820" s="1115"/>
      <c r="E1820" s="1115"/>
      <c r="F1820" s="1115"/>
      <c r="G1820" s="1115"/>
      <c r="H1820" s="1115"/>
      <c r="I1820" s="1115"/>
      <c r="J1820" s="1115"/>
      <c r="K1820" s="1115"/>
      <c r="L1820" s="1115"/>
      <c r="M1820" s="1115"/>
    </row>
    <row r="1821" spans="1:13" x14ac:dyDescent="0.2">
      <c r="A1821" s="1115"/>
      <c r="B1821" s="1115"/>
      <c r="C1821" s="1115"/>
      <c r="D1821" s="1115"/>
      <c r="E1821" s="1115"/>
      <c r="F1821" s="1115"/>
      <c r="G1821" s="1115"/>
      <c r="H1821" s="1115"/>
      <c r="I1821" s="1115"/>
      <c r="J1821" s="1115"/>
      <c r="K1821" s="1115"/>
      <c r="L1821" s="1115"/>
      <c r="M1821" s="1115"/>
    </row>
    <row r="1822" spans="1:13" x14ac:dyDescent="0.2">
      <c r="A1822" s="1115"/>
      <c r="B1822" s="1115"/>
      <c r="C1822" s="1115"/>
      <c r="D1822" s="1115"/>
      <c r="E1822" s="1115"/>
      <c r="F1822" s="1115"/>
      <c r="G1822" s="1115"/>
      <c r="H1822" s="1115"/>
      <c r="I1822" s="1115"/>
      <c r="J1822" s="1115"/>
      <c r="K1822" s="1115"/>
      <c r="L1822" s="1115"/>
      <c r="M1822" s="1115"/>
    </row>
    <row r="1823" spans="1:13" x14ac:dyDescent="0.2">
      <c r="A1823" s="1115"/>
      <c r="B1823" s="1115"/>
      <c r="C1823" s="1115"/>
      <c r="D1823" s="1115"/>
      <c r="E1823" s="1115"/>
      <c r="F1823" s="1115"/>
      <c r="G1823" s="1115"/>
      <c r="H1823" s="1115"/>
      <c r="I1823" s="1115"/>
      <c r="J1823" s="1115"/>
      <c r="K1823" s="1115"/>
      <c r="L1823" s="1115"/>
      <c r="M1823" s="1115"/>
    </row>
    <row r="1824" spans="1:13" x14ac:dyDescent="0.2">
      <c r="A1824" s="1115"/>
      <c r="B1824" s="1115"/>
      <c r="C1824" s="1115"/>
      <c r="D1824" s="1115"/>
      <c r="E1824" s="1115"/>
      <c r="F1824" s="1115"/>
      <c r="G1824" s="1115"/>
      <c r="H1824" s="1115"/>
      <c r="I1824" s="1115"/>
      <c r="J1824" s="1115"/>
      <c r="K1824" s="1115"/>
      <c r="L1824" s="1115"/>
      <c r="M1824" s="1115"/>
    </row>
    <row r="1825" spans="1:13" x14ac:dyDescent="0.2">
      <c r="A1825" s="1115"/>
      <c r="B1825" s="1115"/>
      <c r="C1825" s="1115"/>
      <c r="D1825" s="1115"/>
      <c r="E1825" s="1115"/>
      <c r="F1825" s="1115"/>
      <c r="G1825" s="1115"/>
      <c r="H1825" s="1115"/>
      <c r="I1825" s="1115"/>
      <c r="J1825" s="1115"/>
      <c r="K1825" s="1115"/>
      <c r="L1825" s="1115"/>
      <c r="M1825" s="1115"/>
    </row>
    <row r="1826" spans="1:13" x14ac:dyDescent="0.2">
      <c r="A1826" s="1115"/>
      <c r="B1826" s="1115"/>
      <c r="C1826" s="1115"/>
      <c r="D1826" s="1115"/>
      <c r="E1826" s="1115"/>
      <c r="F1826" s="1115"/>
      <c r="G1826" s="1115"/>
      <c r="H1826" s="1115"/>
      <c r="I1826" s="1115"/>
      <c r="J1826" s="1115"/>
      <c r="K1826" s="1115"/>
      <c r="L1826" s="1115"/>
      <c r="M1826" s="1115"/>
    </row>
    <row r="1827" spans="1:13" x14ac:dyDescent="0.2">
      <c r="A1827" s="1115"/>
      <c r="B1827" s="1115"/>
      <c r="C1827" s="1115"/>
      <c r="D1827" s="1115"/>
      <c r="E1827" s="1115"/>
      <c r="F1827" s="1115"/>
      <c r="G1827" s="1115"/>
      <c r="H1827" s="1115"/>
      <c r="I1827" s="1115"/>
      <c r="J1827" s="1115"/>
      <c r="K1827" s="1115"/>
      <c r="L1827" s="1115"/>
      <c r="M1827" s="1115"/>
    </row>
    <row r="1828" spans="1:13" x14ac:dyDescent="0.2">
      <c r="A1828" s="1115"/>
      <c r="B1828" s="1115"/>
      <c r="C1828" s="1115"/>
      <c r="D1828" s="1115"/>
      <c r="E1828" s="1115"/>
      <c r="F1828" s="1115"/>
      <c r="G1828" s="1115"/>
      <c r="H1828" s="1115"/>
      <c r="I1828" s="1115"/>
      <c r="J1828" s="1115"/>
      <c r="K1828" s="1115"/>
      <c r="L1828" s="1115"/>
      <c r="M1828" s="1115"/>
    </row>
    <row r="1829" spans="1:13" x14ac:dyDescent="0.2">
      <c r="A1829" s="1115"/>
      <c r="B1829" s="1115"/>
      <c r="C1829" s="1115"/>
      <c r="D1829" s="1115"/>
      <c r="E1829" s="1115"/>
      <c r="F1829" s="1115"/>
      <c r="G1829" s="1115"/>
      <c r="H1829" s="1115"/>
      <c r="I1829" s="1115"/>
      <c r="J1829" s="1115"/>
      <c r="K1829" s="1115"/>
      <c r="L1829" s="1115"/>
      <c r="M1829" s="1115"/>
    </row>
    <row r="1830" spans="1:13" x14ac:dyDescent="0.2">
      <c r="A1830" s="1115"/>
      <c r="B1830" s="1115"/>
      <c r="C1830" s="1115"/>
      <c r="D1830" s="1115"/>
      <c r="E1830" s="1115"/>
      <c r="F1830" s="1115"/>
      <c r="G1830" s="1115"/>
      <c r="H1830" s="1115"/>
      <c r="I1830" s="1115"/>
      <c r="J1830" s="1115"/>
      <c r="K1830" s="1115"/>
      <c r="L1830" s="1115"/>
      <c r="M1830" s="1115"/>
    </row>
    <row r="1831" spans="1:13" x14ac:dyDescent="0.2">
      <c r="A1831" s="1115"/>
      <c r="B1831" s="1115"/>
      <c r="C1831" s="1115"/>
      <c r="D1831" s="1115"/>
      <c r="E1831" s="1115"/>
      <c r="F1831" s="1115"/>
      <c r="G1831" s="1115"/>
      <c r="H1831" s="1115"/>
      <c r="I1831" s="1115"/>
      <c r="J1831" s="1115"/>
      <c r="K1831" s="1115"/>
      <c r="L1831" s="1115"/>
      <c r="M1831" s="1115"/>
    </row>
    <row r="1832" spans="1:13" x14ac:dyDescent="0.2">
      <c r="A1832" s="1115"/>
      <c r="B1832" s="1115"/>
      <c r="C1832" s="1115"/>
      <c r="D1832" s="1115"/>
      <c r="E1832" s="1115"/>
      <c r="F1832" s="1115"/>
      <c r="G1832" s="1115"/>
      <c r="H1832" s="1115"/>
      <c r="I1832" s="1115"/>
      <c r="J1832" s="1115"/>
      <c r="K1832" s="1115"/>
      <c r="L1832" s="1115"/>
      <c r="M1832" s="1115"/>
    </row>
    <row r="1833" spans="1:13" x14ac:dyDescent="0.2">
      <c r="A1833" s="1115"/>
      <c r="B1833" s="1115"/>
      <c r="C1833" s="1115"/>
      <c r="D1833" s="1115"/>
      <c r="E1833" s="1115"/>
      <c r="F1833" s="1115"/>
      <c r="G1833" s="1115"/>
      <c r="H1833" s="1115"/>
      <c r="I1833" s="1115"/>
      <c r="J1833" s="1115"/>
      <c r="K1833" s="1115"/>
      <c r="L1833" s="1115"/>
      <c r="M1833" s="1115"/>
    </row>
    <row r="1834" spans="1:13" x14ac:dyDescent="0.2">
      <c r="A1834" s="1115"/>
      <c r="B1834" s="1115"/>
      <c r="C1834" s="1115"/>
      <c r="D1834" s="1115"/>
      <c r="E1834" s="1115"/>
      <c r="F1834" s="1115"/>
      <c r="G1834" s="1115"/>
      <c r="H1834" s="1115"/>
      <c r="I1834" s="1115"/>
      <c r="J1834" s="1115"/>
      <c r="K1834" s="1115"/>
      <c r="L1834" s="1115"/>
      <c r="M1834" s="1115"/>
    </row>
    <row r="1835" spans="1:13" x14ac:dyDescent="0.2">
      <c r="A1835" s="1115"/>
      <c r="B1835" s="1115"/>
      <c r="C1835" s="1115"/>
      <c r="D1835" s="1115"/>
      <c r="E1835" s="1115"/>
      <c r="F1835" s="1115"/>
      <c r="G1835" s="1115"/>
      <c r="H1835" s="1115"/>
      <c r="I1835" s="1115"/>
      <c r="J1835" s="1115"/>
      <c r="K1835" s="1115"/>
      <c r="L1835" s="1115"/>
      <c r="M1835" s="1115"/>
    </row>
    <row r="1836" spans="1:13" x14ac:dyDescent="0.2">
      <c r="A1836" s="1115"/>
      <c r="B1836" s="1115"/>
      <c r="C1836" s="1115"/>
      <c r="D1836" s="1115"/>
      <c r="E1836" s="1115"/>
      <c r="F1836" s="1115"/>
      <c r="G1836" s="1115"/>
      <c r="H1836" s="1115"/>
      <c r="I1836" s="1115"/>
      <c r="J1836" s="1115"/>
      <c r="K1836" s="1115"/>
      <c r="L1836" s="1115"/>
      <c r="M1836" s="1115"/>
    </row>
    <row r="1837" spans="1:13" x14ac:dyDescent="0.2">
      <c r="A1837" s="1115"/>
      <c r="B1837" s="1115"/>
      <c r="C1837" s="1115"/>
      <c r="D1837" s="1115"/>
      <c r="E1837" s="1115"/>
      <c r="F1837" s="1115"/>
      <c r="G1837" s="1115"/>
      <c r="H1837" s="1115"/>
      <c r="I1837" s="1115"/>
      <c r="J1837" s="1115"/>
      <c r="K1837" s="1115"/>
      <c r="L1837" s="1115"/>
      <c r="M1837" s="1115"/>
    </row>
    <row r="1838" spans="1:13" x14ac:dyDescent="0.2">
      <c r="A1838" s="1115"/>
      <c r="B1838" s="1115"/>
      <c r="C1838" s="1115"/>
      <c r="D1838" s="1115"/>
      <c r="E1838" s="1115"/>
      <c r="F1838" s="1115"/>
      <c r="G1838" s="1115"/>
      <c r="H1838" s="1115"/>
      <c r="I1838" s="1115"/>
      <c r="J1838" s="1115"/>
      <c r="K1838" s="1115"/>
      <c r="L1838" s="1115"/>
      <c r="M1838" s="1115"/>
    </row>
    <row r="1839" spans="1:13" x14ac:dyDescent="0.2">
      <c r="A1839" s="1115"/>
      <c r="B1839" s="1115"/>
      <c r="C1839" s="1115"/>
      <c r="D1839" s="1115"/>
      <c r="E1839" s="1115"/>
      <c r="F1839" s="1115"/>
      <c r="G1839" s="1115"/>
      <c r="H1839" s="1115"/>
      <c r="I1839" s="1115"/>
      <c r="J1839" s="1115"/>
      <c r="K1839" s="1115"/>
      <c r="L1839" s="1115"/>
      <c r="M1839" s="1115"/>
    </row>
    <row r="1840" spans="1:13" x14ac:dyDescent="0.2">
      <c r="A1840" s="1115"/>
      <c r="B1840" s="1115"/>
      <c r="C1840" s="1115"/>
      <c r="D1840" s="1115"/>
      <c r="E1840" s="1115"/>
      <c r="F1840" s="1115"/>
      <c r="G1840" s="1115"/>
      <c r="H1840" s="1115"/>
      <c r="I1840" s="1115"/>
      <c r="J1840" s="1115"/>
      <c r="K1840" s="1115"/>
      <c r="L1840" s="1115"/>
      <c r="M1840" s="1115"/>
    </row>
    <row r="1841" spans="1:13" x14ac:dyDescent="0.2">
      <c r="A1841" s="1115"/>
      <c r="B1841" s="1115"/>
      <c r="C1841" s="1115"/>
      <c r="D1841" s="1115"/>
      <c r="E1841" s="1115"/>
      <c r="F1841" s="1115"/>
      <c r="G1841" s="1115"/>
      <c r="H1841" s="1115"/>
      <c r="I1841" s="1115"/>
      <c r="J1841" s="1115"/>
      <c r="K1841" s="1115"/>
      <c r="L1841" s="1115"/>
      <c r="M1841" s="1115"/>
    </row>
    <row r="1842" spans="1:13" x14ac:dyDescent="0.2">
      <c r="A1842" s="1115"/>
      <c r="B1842" s="1115"/>
      <c r="C1842" s="1115"/>
      <c r="D1842" s="1115"/>
      <c r="E1842" s="1115"/>
      <c r="F1842" s="1115"/>
      <c r="G1842" s="1115"/>
      <c r="H1842" s="1115"/>
      <c r="I1842" s="1115"/>
      <c r="J1842" s="1115"/>
      <c r="K1842" s="1115"/>
      <c r="L1842" s="1115"/>
      <c r="M1842" s="1115"/>
    </row>
    <row r="1843" spans="1:13" x14ac:dyDescent="0.2">
      <c r="A1843" s="1115"/>
      <c r="B1843" s="1115"/>
      <c r="C1843" s="1115"/>
      <c r="D1843" s="1115"/>
      <c r="E1843" s="1115"/>
      <c r="F1843" s="1115"/>
      <c r="G1843" s="1115"/>
      <c r="H1843" s="1115"/>
      <c r="I1843" s="1115"/>
      <c r="J1843" s="1115"/>
      <c r="K1843" s="1115"/>
      <c r="L1843" s="1115"/>
      <c r="M1843" s="1115"/>
    </row>
    <row r="1844" spans="1:13" x14ac:dyDescent="0.2">
      <c r="A1844" s="1115"/>
      <c r="B1844" s="1115"/>
      <c r="C1844" s="1115"/>
      <c r="D1844" s="1115"/>
      <c r="E1844" s="1115"/>
      <c r="F1844" s="1115"/>
      <c r="G1844" s="1115"/>
      <c r="H1844" s="1115"/>
      <c r="I1844" s="1115"/>
      <c r="J1844" s="1115"/>
      <c r="K1844" s="1115"/>
      <c r="L1844" s="1115"/>
      <c r="M1844" s="1115"/>
    </row>
    <row r="1845" spans="1:13" x14ac:dyDescent="0.2">
      <c r="A1845" s="1115"/>
      <c r="B1845" s="1115"/>
      <c r="C1845" s="1115"/>
      <c r="D1845" s="1115"/>
      <c r="E1845" s="1115"/>
      <c r="F1845" s="1115"/>
      <c r="G1845" s="1115"/>
      <c r="H1845" s="1115"/>
      <c r="I1845" s="1115"/>
      <c r="J1845" s="1115"/>
      <c r="K1845" s="1115"/>
      <c r="L1845" s="1115"/>
      <c r="M1845" s="1115"/>
    </row>
    <row r="1846" spans="1:13" x14ac:dyDescent="0.2">
      <c r="A1846" s="1115"/>
      <c r="B1846" s="1115"/>
      <c r="C1846" s="1115"/>
      <c r="D1846" s="1115"/>
      <c r="E1846" s="1115"/>
      <c r="F1846" s="1115"/>
      <c r="G1846" s="1115"/>
      <c r="H1846" s="1115"/>
      <c r="I1846" s="1115"/>
      <c r="J1846" s="1115"/>
      <c r="K1846" s="1115"/>
      <c r="L1846" s="1115"/>
      <c r="M1846" s="1115"/>
    </row>
    <row r="1847" spans="1:13" x14ac:dyDescent="0.2">
      <c r="A1847" s="1115"/>
      <c r="B1847" s="1115"/>
      <c r="C1847" s="1115"/>
      <c r="D1847" s="1115"/>
      <c r="E1847" s="1115"/>
      <c r="F1847" s="1115"/>
      <c r="G1847" s="1115"/>
      <c r="H1847" s="1115"/>
      <c r="I1847" s="1115"/>
      <c r="J1847" s="1115"/>
      <c r="K1847" s="1115"/>
      <c r="L1847" s="1115"/>
      <c r="M1847" s="1115"/>
    </row>
    <row r="1848" spans="1:13" x14ac:dyDescent="0.2">
      <c r="A1848" s="1115"/>
      <c r="B1848" s="1115"/>
      <c r="C1848" s="1115"/>
      <c r="D1848" s="1115"/>
      <c r="E1848" s="1115"/>
      <c r="F1848" s="1115"/>
      <c r="G1848" s="1115"/>
      <c r="H1848" s="1115"/>
      <c r="I1848" s="1115"/>
      <c r="J1848" s="1115"/>
      <c r="K1848" s="1115"/>
      <c r="L1848" s="1115"/>
      <c r="M1848" s="1115"/>
    </row>
    <row r="1849" spans="1:13" x14ac:dyDescent="0.2">
      <c r="A1849" s="1115"/>
      <c r="B1849" s="1115"/>
      <c r="C1849" s="1115"/>
      <c r="D1849" s="1115"/>
      <c r="E1849" s="1115"/>
      <c r="F1849" s="1115"/>
      <c r="G1849" s="1115"/>
      <c r="H1849" s="1115"/>
      <c r="I1849" s="1115"/>
      <c r="J1849" s="1115"/>
      <c r="K1849" s="1115"/>
      <c r="L1849" s="1115"/>
      <c r="M1849" s="1115"/>
    </row>
    <row r="1850" spans="1:13" x14ac:dyDescent="0.2">
      <c r="A1850" s="1115"/>
      <c r="B1850" s="1115"/>
      <c r="C1850" s="1115"/>
      <c r="D1850" s="1115"/>
      <c r="E1850" s="1115"/>
      <c r="F1850" s="1115"/>
      <c r="G1850" s="1115"/>
      <c r="H1850" s="1115"/>
      <c r="I1850" s="1115"/>
      <c r="J1850" s="1115"/>
      <c r="K1850" s="1115"/>
      <c r="L1850" s="1115"/>
      <c r="M1850" s="1115"/>
    </row>
    <row r="1851" spans="1:13" x14ac:dyDescent="0.2">
      <c r="A1851" s="1115"/>
      <c r="B1851" s="1115"/>
      <c r="C1851" s="1115"/>
      <c r="D1851" s="1115"/>
      <c r="E1851" s="1115"/>
      <c r="F1851" s="1115"/>
      <c r="G1851" s="1115"/>
      <c r="H1851" s="1115"/>
      <c r="I1851" s="1115"/>
      <c r="J1851" s="1115"/>
      <c r="K1851" s="1115"/>
      <c r="L1851" s="1115"/>
      <c r="M1851" s="1115"/>
    </row>
    <row r="1852" spans="1:13" x14ac:dyDescent="0.2">
      <c r="A1852" s="1115"/>
      <c r="B1852" s="1115"/>
      <c r="C1852" s="1115"/>
      <c r="D1852" s="1115"/>
      <c r="E1852" s="1115"/>
      <c r="F1852" s="1115"/>
      <c r="G1852" s="1115"/>
      <c r="H1852" s="1115"/>
      <c r="I1852" s="1115"/>
      <c r="J1852" s="1115"/>
      <c r="K1852" s="1115"/>
      <c r="L1852" s="1115"/>
      <c r="M1852" s="1115"/>
    </row>
    <row r="1853" spans="1:13" x14ac:dyDescent="0.2">
      <c r="A1853" s="1115"/>
      <c r="B1853" s="1115"/>
      <c r="C1853" s="1115"/>
      <c r="D1853" s="1115"/>
      <c r="E1853" s="1115"/>
      <c r="F1853" s="1115"/>
      <c r="G1853" s="1115"/>
      <c r="H1853" s="1115"/>
      <c r="I1853" s="1115"/>
      <c r="J1853" s="1115"/>
      <c r="K1853" s="1115"/>
      <c r="L1853" s="1115"/>
      <c r="M1853" s="1115"/>
    </row>
    <row r="1854" spans="1:13" x14ac:dyDescent="0.2">
      <c r="A1854" s="1115"/>
      <c r="B1854" s="1115"/>
      <c r="C1854" s="1115"/>
      <c r="D1854" s="1115"/>
      <c r="E1854" s="1115"/>
      <c r="F1854" s="1115"/>
      <c r="G1854" s="1115"/>
      <c r="H1854" s="1115"/>
      <c r="I1854" s="1115"/>
      <c r="J1854" s="1115"/>
      <c r="K1854" s="1115"/>
      <c r="L1854" s="1115"/>
      <c r="M1854" s="1115"/>
    </row>
    <row r="1855" spans="1:13" x14ac:dyDescent="0.2">
      <c r="A1855" s="1115"/>
      <c r="B1855" s="1115"/>
      <c r="C1855" s="1115"/>
      <c r="D1855" s="1115"/>
      <c r="E1855" s="1115"/>
      <c r="F1855" s="1115"/>
      <c r="G1855" s="1115"/>
      <c r="H1855" s="1115"/>
      <c r="I1855" s="1115"/>
      <c r="J1855" s="1115"/>
      <c r="K1855" s="1115"/>
      <c r="L1855" s="1115"/>
      <c r="M1855" s="1115"/>
    </row>
    <row r="1856" spans="1:13" x14ac:dyDescent="0.2">
      <c r="A1856" s="1115"/>
      <c r="B1856" s="1115"/>
      <c r="C1856" s="1115"/>
      <c r="D1856" s="1115"/>
      <c r="E1856" s="1115"/>
      <c r="F1856" s="1115"/>
      <c r="G1856" s="1115"/>
      <c r="H1856" s="1115"/>
      <c r="I1856" s="1115"/>
      <c r="J1856" s="1115"/>
      <c r="K1856" s="1115"/>
      <c r="L1856" s="1115"/>
      <c r="M1856" s="1115"/>
    </row>
    <row r="1857" spans="1:13" x14ac:dyDescent="0.2">
      <c r="A1857" s="1115"/>
      <c r="B1857" s="1115"/>
      <c r="C1857" s="1115"/>
      <c r="D1857" s="1115"/>
      <c r="E1857" s="1115"/>
      <c r="F1857" s="1115"/>
      <c r="G1857" s="1115"/>
      <c r="H1857" s="1115"/>
      <c r="I1857" s="1115"/>
      <c r="J1857" s="1115"/>
      <c r="K1857" s="1115"/>
      <c r="L1857" s="1115"/>
      <c r="M1857" s="1115"/>
    </row>
    <row r="1858" spans="1:13" x14ac:dyDescent="0.2">
      <c r="A1858" s="1115"/>
      <c r="B1858" s="1115"/>
      <c r="C1858" s="1115"/>
      <c r="D1858" s="1115"/>
      <c r="E1858" s="1115"/>
      <c r="F1858" s="1115"/>
      <c r="G1858" s="1115"/>
      <c r="H1858" s="1115"/>
      <c r="I1858" s="1115"/>
      <c r="J1858" s="1115"/>
      <c r="K1858" s="1115"/>
      <c r="L1858" s="1115"/>
      <c r="M1858" s="1115"/>
    </row>
    <row r="1859" spans="1:13" x14ac:dyDescent="0.2">
      <c r="A1859" s="1115"/>
      <c r="B1859" s="1115"/>
      <c r="C1859" s="1115"/>
      <c r="D1859" s="1115"/>
      <c r="E1859" s="1115"/>
      <c r="F1859" s="1115"/>
      <c r="G1859" s="1115"/>
      <c r="H1859" s="1115"/>
      <c r="I1859" s="1115"/>
      <c r="J1859" s="1115"/>
      <c r="K1859" s="1115"/>
      <c r="L1859" s="1115"/>
      <c r="M1859" s="1115"/>
    </row>
    <row r="1860" spans="1:13" x14ac:dyDescent="0.2">
      <c r="A1860" s="1115"/>
      <c r="B1860" s="1115"/>
      <c r="C1860" s="1115"/>
      <c r="D1860" s="1115"/>
      <c r="E1860" s="1115"/>
      <c r="F1860" s="1115"/>
      <c r="G1860" s="1115"/>
      <c r="H1860" s="1115"/>
      <c r="I1860" s="1115"/>
      <c r="J1860" s="1115"/>
      <c r="K1860" s="1115"/>
      <c r="L1860" s="1115"/>
      <c r="M1860" s="1115"/>
    </row>
    <row r="1861" spans="1:13" x14ac:dyDescent="0.2">
      <c r="A1861" s="1115"/>
      <c r="B1861" s="1115"/>
      <c r="C1861" s="1115"/>
      <c r="D1861" s="1115"/>
      <c r="E1861" s="1115"/>
      <c r="F1861" s="1115"/>
      <c r="G1861" s="1115"/>
      <c r="H1861" s="1115"/>
      <c r="I1861" s="1115"/>
      <c r="J1861" s="1115"/>
      <c r="K1861" s="1115"/>
      <c r="L1861" s="1115"/>
      <c r="M1861" s="1115"/>
    </row>
    <row r="1862" spans="1:13" x14ac:dyDescent="0.2">
      <c r="A1862" s="1115"/>
      <c r="B1862" s="1115"/>
      <c r="C1862" s="1115"/>
      <c r="D1862" s="1115"/>
      <c r="E1862" s="1115"/>
      <c r="F1862" s="1115"/>
      <c r="G1862" s="1115"/>
      <c r="H1862" s="1115"/>
      <c r="I1862" s="1115"/>
      <c r="J1862" s="1115"/>
      <c r="K1862" s="1115"/>
      <c r="L1862" s="1115"/>
      <c r="M1862" s="1115"/>
    </row>
    <row r="1863" spans="1:13" x14ac:dyDescent="0.2">
      <c r="A1863" s="1115"/>
      <c r="B1863" s="1115"/>
      <c r="C1863" s="1115"/>
      <c r="D1863" s="1115"/>
      <c r="E1863" s="1115"/>
      <c r="F1863" s="1115"/>
      <c r="G1863" s="1115"/>
      <c r="H1863" s="1115"/>
      <c r="I1863" s="1115"/>
      <c r="J1863" s="1115"/>
      <c r="K1863" s="1115"/>
      <c r="L1863" s="1115"/>
      <c r="M1863" s="1115"/>
    </row>
    <row r="1864" spans="1:13" x14ac:dyDescent="0.2">
      <c r="A1864" s="1115"/>
      <c r="B1864" s="1115"/>
      <c r="C1864" s="1115"/>
      <c r="D1864" s="1115"/>
      <c r="E1864" s="1115"/>
      <c r="F1864" s="1115"/>
      <c r="G1864" s="1115"/>
      <c r="H1864" s="1115"/>
      <c r="I1864" s="1115"/>
      <c r="J1864" s="1115"/>
      <c r="K1864" s="1115"/>
      <c r="L1864" s="1115"/>
      <c r="M1864" s="1115"/>
    </row>
    <row r="1865" spans="1:13" x14ac:dyDescent="0.2">
      <c r="A1865" s="1115"/>
      <c r="B1865" s="1115"/>
      <c r="C1865" s="1115"/>
      <c r="D1865" s="1115"/>
      <c r="E1865" s="1115"/>
      <c r="F1865" s="1115"/>
      <c r="G1865" s="1115"/>
      <c r="H1865" s="1115"/>
      <c r="I1865" s="1115"/>
      <c r="J1865" s="1115"/>
      <c r="K1865" s="1115"/>
      <c r="L1865" s="1115"/>
      <c r="M1865" s="1115"/>
    </row>
    <row r="1866" spans="1:13" x14ac:dyDescent="0.2">
      <c r="A1866" s="1115"/>
      <c r="B1866" s="1115"/>
      <c r="C1866" s="1115"/>
      <c r="D1866" s="1115"/>
      <c r="E1866" s="1115"/>
      <c r="F1866" s="1115"/>
      <c r="G1866" s="1115"/>
      <c r="H1866" s="1115"/>
      <c r="I1866" s="1115"/>
      <c r="J1866" s="1115"/>
      <c r="K1866" s="1115"/>
      <c r="L1866" s="1115"/>
      <c r="M1866" s="1115"/>
    </row>
    <row r="1867" spans="1:13" x14ac:dyDescent="0.2">
      <c r="A1867" s="1115"/>
      <c r="B1867" s="1115"/>
      <c r="C1867" s="1115"/>
      <c r="D1867" s="1115"/>
      <c r="E1867" s="1115"/>
      <c r="F1867" s="1115"/>
      <c r="G1867" s="1115"/>
      <c r="H1867" s="1115"/>
      <c r="I1867" s="1115"/>
      <c r="J1867" s="1115"/>
      <c r="K1867" s="1115"/>
      <c r="L1867" s="1115"/>
      <c r="M1867" s="1115"/>
    </row>
    <row r="1868" spans="1:13" x14ac:dyDescent="0.2">
      <c r="A1868" s="1115"/>
      <c r="B1868" s="1115"/>
      <c r="C1868" s="1115"/>
      <c r="D1868" s="1115"/>
      <c r="E1868" s="1115"/>
      <c r="F1868" s="1115"/>
      <c r="G1868" s="1115"/>
      <c r="H1868" s="1115"/>
      <c r="I1868" s="1115"/>
      <c r="J1868" s="1115"/>
      <c r="K1868" s="1115"/>
      <c r="L1868" s="1115"/>
      <c r="M1868" s="1115"/>
    </row>
    <row r="1869" spans="1:13" x14ac:dyDescent="0.2">
      <c r="A1869" s="1115"/>
      <c r="B1869" s="1115"/>
      <c r="C1869" s="1115"/>
      <c r="D1869" s="1115"/>
      <c r="E1869" s="1115"/>
      <c r="F1869" s="1115"/>
      <c r="G1869" s="1115"/>
      <c r="H1869" s="1115"/>
      <c r="I1869" s="1115"/>
      <c r="J1869" s="1115"/>
      <c r="K1869" s="1115"/>
      <c r="L1869" s="1115"/>
      <c r="M1869" s="1115"/>
    </row>
    <row r="1870" spans="1:13" x14ac:dyDescent="0.2">
      <c r="A1870" s="1115"/>
      <c r="B1870" s="1115"/>
      <c r="C1870" s="1115"/>
      <c r="D1870" s="1115"/>
      <c r="E1870" s="1115"/>
      <c r="F1870" s="1115"/>
      <c r="G1870" s="1115"/>
      <c r="H1870" s="1115"/>
      <c r="I1870" s="1115"/>
      <c r="J1870" s="1115"/>
      <c r="K1870" s="1115"/>
      <c r="L1870" s="1115"/>
      <c r="M1870" s="1115"/>
    </row>
    <row r="1871" spans="1:13" x14ac:dyDescent="0.2">
      <c r="A1871" s="1115"/>
      <c r="B1871" s="1115"/>
      <c r="C1871" s="1115"/>
      <c r="D1871" s="1115"/>
      <c r="E1871" s="1115"/>
      <c r="F1871" s="1115"/>
      <c r="G1871" s="1115"/>
      <c r="H1871" s="1115"/>
      <c r="I1871" s="1115"/>
      <c r="J1871" s="1115"/>
      <c r="K1871" s="1115"/>
      <c r="L1871" s="1115"/>
      <c r="M1871" s="1115"/>
    </row>
    <row r="1872" spans="1:13" x14ac:dyDescent="0.2">
      <c r="A1872" s="1115"/>
      <c r="B1872" s="1115"/>
      <c r="C1872" s="1115"/>
      <c r="D1872" s="1115"/>
      <c r="E1872" s="1115"/>
      <c r="F1872" s="1115"/>
      <c r="G1872" s="1115"/>
      <c r="H1872" s="1115"/>
      <c r="I1872" s="1115"/>
      <c r="J1872" s="1115"/>
      <c r="K1872" s="1115"/>
      <c r="L1872" s="1115"/>
      <c r="M1872" s="1115"/>
    </row>
    <row r="1873" spans="1:13" x14ac:dyDescent="0.2">
      <c r="A1873" s="1115"/>
      <c r="B1873" s="1115"/>
      <c r="C1873" s="1115"/>
      <c r="D1873" s="1115"/>
      <c r="E1873" s="1115"/>
      <c r="F1873" s="1115"/>
      <c r="G1873" s="1115"/>
      <c r="H1873" s="1115"/>
      <c r="I1873" s="1115"/>
      <c r="J1873" s="1115"/>
      <c r="K1873" s="1115"/>
      <c r="L1873" s="1115"/>
      <c r="M1873" s="1115"/>
    </row>
    <row r="1874" spans="1:13" x14ac:dyDescent="0.2">
      <c r="A1874" s="1115"/>
      <c r="B1874" s="1115"/>
      <c r="C1874" s="1115"/>
      <c r="D1874" s="1115"/>
      <c r="E1874" s="1115"/>
      <c r="F1874" s="1115"/>
      <c r="G1874" s="1115"/>
      <c r="H1874" s="1115"/>
      <c r="I1874" s="1115"/>
      <c r="J1874" s="1115"/>
      <c r="K1874" s="1115"/>
      <c r="L1874" s="1115"/>
      <c r="M1874" s="1115"/>
    </row>
    <row r="1875" spans="1:13" x14ac:dyDescent="0.2">
      <c r="A1875" s="1115"/>
      <c r="B1875" s="1115"/>
      <c r="C1875" s="1115"/>
      <c r="D1875" s="1115"/>
      <c r="E1875" s="1115"/>
      <c r="F1875" s="1115"/>
      <c r="G1875" s="1115"/>
      <c r="H1875" s="1115"/>
      <c r="I1875" s="1115"/>
      <c r="J1875" s="1115"/>
      <c r="K1875" s="1115"/>
      <c r="L1875" s="1115"/>
      <c r="M1875" s="1115"/>
    </row>
    <row r="1876" spans="1:13" x14ac:dyDescent="0.2">
      <c r="A1876" s="1115"/>
      <c r="B1876" s="1115"/>
      <c r="C1876" s="1115"/>
      <c r="D1876" s="1115"/>
      <c r="E1876" s="1115"/>
      <c r="F1876" s="1115"/>
      <c r="G1876" s="1115"/>
      <c r="H1876" s="1115"/>
      <c r="I1876" s="1115"/>
      <c r="J1876" s="1115"/>
      <c r="K1876" s="1115"/>
      <c r="L1876" s="1115"/>
      <c r="M1876" s="1115"/>
    </row>
    <row r="1877" spans="1:13" x14ac:dyDescent="0.2">
      <c r="A1877" s="1115"/>
      <c r="B1877" s="1115"/>
      <c r="C1877" s="1115"/>
      <c r="D1877" s="1115"/>
      <c r="E1877" s="1115"/>
      <c r="F1877" s="1115"/>
      <c r="G1877" s="1115"/>
      <c r="H1877" s="1115"/>
      <c r="I1877" s="1115"/>
      <c r="J1877" s="1115"/>
      <c r="K1877" s="1115"/>
      <c r="L1877" s="1115"/>
      <c r="M1877" s="1115"/>
    </row>
    <row r="1878" spans="1:13" x14ac:dyDescent="0.2">
      <c r="A1878" s="1115"/>
      <c r="B1878" s="1115"/>
      <c r="C1878" s="1115"/>
      <c r="D1878" s="1115"/>
      <c r="E1878" s="1115"/>
      <c r="F1878" s="1115"/>
      <c r="G1878" s="1115"/>
      <c r="H1878" s="1115"/>
      <c r="I1878" s="1115"/>
      <c r="J1878" s="1115"/>
      <c r="K1878" s="1115"/>
      <c r="L1878" s="1115"/>
      <c r="M1878" s="1115"/>
    </row>
    <row r="1879" spans="1:13" x14ac:dyDescent="0.2">
      <c r="A1879" s="1115"/>
      <c r="B1879" s="1115"/>
      <c r="C1879" s="1115"/>
      <c r="D1879" s="1115"/>
      <c r="E1879" s="1115"/>
      <c r="F1879" s="1115"/>
      <c r="G1879" s="1115"/>
      <c r="H1879" s="1115"/>
      <c r="I1879" s="1115"/>
      <c r="J1879" s="1115"/>
      <c r="K1879" s="1115"/>
      <c r="L1879" s="1115"/>
      <c r="M1879" s="1115"/>
    </row>
    <row r="1880" spans="1:13" x14ac:dyDescent="0.2">
      <c r="A1880" s="1115"/>
      <c r="B1880" s="1115"/>
      <c r="C1880" s="1115"/>
      <c r="D1880" s="1115"/>
      <c r="E1880" s="1115"/>
      <c r="F1880" s="1115"/>
      <c r="G1880" s="1115"/>
      <c r="H1880" s="1115"/>
      <c r="I1880" s="1115"/>
      <c r="J1880" s="1115"/>
      <c r="K1880" s="1115"/>
      <c r="L1880" s="1115"/>
      <c r="M1880" s="1115"/>
    </row>
    <row r="1881" spans="1:13" x14ac:dyDescent="0.2">
      <c r="A1881" s="1115"/>
      <c r="B1881" s="1115"/>
      <c r="C1881" s="1115"/>
      <c r="D1881" s="1115"/>
      <c r="E1881" s="1115"/>
      <c r="F1881" s="1115"/>
      <c r="G1881" s="1115"/>
      <c r="H1881" s="1115"/>
      <c r="I1881" s="1115"/>
      <c r="J1881" s="1115"/>
      <c r="K1881" s="1115"/>
      <c r="L1881" s="1115"/>
      <c r="M1881" s="1115"/>
    </row>
    <row r="1882" spans="1:13" x14ac:dyDescent="0.2">
      <c r="A1882" s="1115"/>
      <c r="B1882" s="1115"/>
      <c r="C1882" s="1115"/>
      <c r="D1882" s="1115"/>
      <c r="E1882" s="1115"/>
      <c r="F1882" s="1115"/>
      <c r="G1882" s="1115"/>
      <c r="H1882" s="1115"/>
      <c r="I1882" s="1115"/>
      <c r="J1882" s="1115"/>
      <c r="K1882" s="1115"/>
      <c r="L1882" s="1115"/>
      <c r="M1882" s="1115"/>
    </row>
    <row r="1883" spans="1:13" x14ac:dyDescent="0.2">
      <c r="A1883" s="1115"/>
      <c r="B1883" s="1115"/>
      <c r="C1883" s="1115"/>
      <c r="D1883" s="1115"/>
      <c r="E1883" s="1115"/>
      <c r="F1883" s="1115"/>
      <c r="G1883" s="1115"/>
      <c r="H1883" s="1115"/>
      <c r="I1883" s="1115"/>
      <c r="J1883" s="1115"/>
      <c r="K1883" s="1115"/>
      <c r="L1883" s="1115"/>
      <c r="M1883" s="1115"/>
    </row>
    <row r="1884" spans="1:13" x14ac:dyDescent="0.2">
      <c r="A1884" s="1115"/>
      <c r="B1884" s="1115"/>
      <c r="C1884" s="1115"/>
      <c r="D1884" s="1115"/>
      <c r="E1884" s="1115"/>
      <c r="F1884" s="1115"/>
      <c r="G1884" s="1115"/>
      <c r="H1884" s="1115"/>
      <c r="I1884" s="1115"/>
      <c r="J1884" s="1115"/>
      <c r="K1884" s="1115"/>
      <c r="L1884" s="1115"/>
      <c r="M1884" s="1115"/>
    </row>
    <row r="1885" spans="1:13" x14ac:dyDescent="0.2">
      <c r="A1885" s="1115"/>
      <c r="B1885" s="1115"/>
      <c r="C1885" s="1115"/>
      <c r="D1885" s="1115"/>
      <c r="E1885" s="1115"/>
      <c r="F1885" s="1115"/>
      <c r="G1885" s="1115"/>
      <c r="H1885" s="1115"/>
      <c r="I1885" s="1115"/>
      <c r="J1885" s="1115"/>
      <c r="K1885" s="1115"/>
      <c r="L1885" s="1115"/>
      <c r="M1885" s="1115"/>
    </row>
    <row r="1886" spans="1:13" x14ac:dyDescent="0.2">
      <c r="A1886" s="1115"/>
      <c r="B1886" s="1115"/>
      <c r="C1886" s="1115"/>
      <c r="D1886" s="1115"/>
      <c r="E1886" s="1115"/>
      <c r="F1886" s="1115"/>
      <c r="G1886" s="1115"/>
      <c r="H1886" s="1115"/>
      <c r="I1886" s="1115"/>
      <c r="J1886" s="1115"/>
      <c r="K1886" s="1115"/>
      <c r="L1886" s="1115"/>
      <c r="M1886" s="1115"/>
    </row>
    <row r="1887" spans="1:13" x14ac:dyDescent="0.2">
      <c r="A1887" s="1115"/>
      <c r="B1887" s="1115"/>
      <c r="C1887" s="1115"/>
      <c r="D1887" s="1115"/>
      <c r="E1887" s="1115"/>
      <c r="F1887" s="1115"/>
      <c r="G1887" s="1115"/>
      <c r="H1887" s="1115"/>
      <c r="I1887" s="1115"/>
      <c r="J1887" s="1115"/>
      <c r="K1887" s="1115"/>
      <c r="L1887" s="1115"/>
      <c r="M1887" s="1115"/>
    </row>
    <row r="1888" spans="1:13" x14ac:dyDescent="0.2">
      <c r="A1888" s="1115"/>
      <c r="B1888" s="1115"/>
      <c r="C1888" s="1115"/>
      <c r="D1888" s="1115"/>
      <c r="E1888" s="1115"/>
      <c r="F1888" s="1115"/>
      <c r="G1888" s="1115"/>
      <c r="H1888" s="1115"/>
      <c r="I1888" s="1115"/>
      <c r="J1888" s="1115"/>
      <c r="K1888" s="1115"/>
      <c r="L1888" s="1115"/>
      <c r="M1888" s="1115"/>
    </row>
    <row r="1889" spans="1:13" x14ac:dyDescent="0.2">
      <c r="A1889" s="1115"/>
      <c r="B1889" s="1115"/>
      <c r="C1889" s="1115"/>
      <c r="D1889" s="1115"/>
      <c r="E1889" s="1115"/>
      <c r="F1889" s="1115"/>
      <c r="G1889" s="1115"/>
      <c r="H1889" s="1115"/>
      <c r="I1889" s="1115"/>
      <c r="J1889" s="1115"/>
      <c r="K1889" s="1115"/>
      <c r="L1889" s="1115"/>
      <c r="M1889" s="1115"/>
    </row>
    <row r="1890" spans="1:13" x14ac:dyDescent="0.2">
      <c r="A1890" s="1115"/>
      <c r="B1890" s="1115"/>
      <c r="C1890" s="1115"/>
      <c r="D1890" s="1115"/>
      <c r="E1890" s="1115"/>
      <c r="F1890" s="1115"/>
      <c r="G1890" s="1115"/>
      <c r="H1890" s="1115"/>
      <c r="I1890" s="1115"/>
      <c r="J1890" s="1115"/>
      <c r="K1890" s="1115"/>
      <c r="L1890" s="1115"/>
      <c r="M1890" s="1115"/>
    </row>
    <row r="1891" spans="1:13" x14ac:dyDescent="0.2">
      <c r="A1891" s="1115"/>
      <c r="B1891" s="1115"/>
      <c r="C1891" s="1115"/>
      <c r="D1891" s="1115"/>
      <c r="E1891" s="1115"/>
      <c r="F1891" s="1115"/>
      <c r="G1891" s="1115"/>
      <c r="H1891" s="1115"/>
      <c r="I1891" s="1115"/>
      <c r="J1891" s="1115"/>
      <c r="K1891" s="1115"/>
      <c r="L1891" s="1115"/>
      <c r="M1891" s="1115"/>
    </row>
    <row r="1892" spans="1:13" x14ac:dyDescent="0.2">
      <c r="A1892" s="1115"/>
      <c r="B1892" s="1115"/>
      <c r="C1892" s="1115"/>
      <c r="D1892" s="1115"/>
      <c r="E1892" s="1115"/>
      <c r="F1892" s="1115"/>
      <c r="G1892" s="1115"/>
      <c r="H1892" s="1115"/>
      <c r="I1892" s="1115"/>
      <c r="J1892" s="1115"/>
      <c r="K1892" s="1115"/>
      <c r="L1892" s="1115"/>
      <c r="M1892" s="1115"/>
    </row>
    <row r="1893" spans="1:13" x14ac:dyDescent="0.2">
      <c r="A1893" s="1115"/>
      <c r="B1893" s="1115"/>
      <c r="C1893" s="1115"/>
      <c r="D1893" s="1115"/>
      <c r="E1893" s="1115"/>
      <c r="F1893" s="1115"/>
      <c r="G1893" s="1115"/>
      <c r="H1893" s="1115"/>
      <c r="I1893" s="1115"/>
      <c r="J1893" s="1115"/>
      <c r="K1893" s="1115"/>
      <c r="L1893" s="1115"/>
      <c r="M1893" s="1115"/>
    </row>
    <row r="1894" spans="1:13" x14ac:dyDescent="0.2">
      <c r="A1894" s="1115"/>
      <c r="B1894" s="1115"/>
      <c r="C1894" s="1115"/>
      <c r="D1894" s="1115"/>
      <c r="E1894" s="1115"/>
      <c r="F1894" s="1115"/>
      <c r="G1894" s="1115"/>
      <c r="H1894" s="1115"/>
      <c r="I1894" s="1115"/>
      <c r="J1894" s="1115"/>
      <c r="K1894" s="1115"/>
      <c r="L1894" s="1115"/>
      <c r="M1894" s="1115"/>
    </row>
    <row r="1895" spans="1:13" x14ac:dyDescent="0.2">
      <c r="A1895" s="1115"/>
      <c r="B1895" s="1115"/>
      <c r="C1895" s="1115"/>
      <c r="D1895" s="1115"/>
      <c r="E1895" s="1115"/>
      <c r="F1895" s="1115"/>
      <c r="G1895" s="1115"/>
      <c r="H1895" s="1115"/>
      <c r="I1895" s="1115"/>
      <c r="J1895" s="1115"/>
      <c r="K1895" s="1115"/>
      <c r="L1895" s="1115"/>
      <c r="M1895" s="1115"/>
    </row>
    <row r="1896" spans="1:13" x14ac:dyDescent="0.2">
      <c r="A1896" s="1115"/>
      <c r="B1896" s="1115"/>
      <c r="C1896" s="1115"/>
      <c r="D1896" s="1115"/>
      <c r="E1896" s="1115"/>
      <c r="F1896" s="1115"/>
      <c r="G1896" s="1115"/>
      <c r="H1896" s="1115"/>
      <c r="I1896" s="1115"/>
      <c r="J1896" s="1115"/>
      <c r="K1896" s="1115"/>
      <c r="L1896" s="1115"/>
      <c r="M1896" s="1115"/>
    </row>
    <row r="1897" spans="1:13" x14ac:dyDescent="0.2">
      <c r="A1897" s="1115"/>
      <c r="B1897" s="1115"/>
      <c r="C1897" s="1115"/>
      <c r="D1897" s="1115"/>
      <c r="E1897" s="1115"/>
      <c r="F1897" s="1115"/>
      <c r="G1897" s="1115"/>
      <c r="H1897" s="1115"/>
      <c r="I1897" s="1115"/>
      <c r="J1897" s="1115"/>
      <c r="K1897" s="1115"/>
      <c r="L1897" s="1115"/>
      <c r="M1897" s="1115"/>
    </row>
    <row r="1898" spans="1:13" x14ac:dyDescent="0.2">
      <c r="A1898" s="1115"/>
      <c r="B1898" s="1115"/>
      <c r="C1898" s="1115"/>
      <c r="D1898" s="1115"/>
      <c r="E1898" s="1115"/>
      <c r="F1898" s="1115"/>
      <c r="G1898" s="1115"/>
      <c r="H1898" s="1115"/>
      <c r="I1898" s="1115"/>
      <c r="J1898" s="1115"/>
      <c r="K1898" s="1115"/>
      <c r="L1898" s="1115"/>
      <c r="M1898" s="1115"/>
    </row>
    <row r="1899" spans="1:13" x14ac:dyDescent="0.2">
      <c r="A1899" s="1115"/>
      <c r="B1899" s="1115"/>
      <c r="C1899" s="1115"/>
      <c r="D1899" s="1115"/>
      <c r="E1899" s="1115"/>
      <c r="F1899" s="1115"/>
      <c r="G1899" s="1115"/>
      <c r="H1899" s="1115"/>
      <c r="I1899" s="1115"/>
      <c r="J1899" s="1115"/>
      <c r="K1899" s="1115"/>
      <c r="L1899" s="1115"/>
      <c r="M1899" s="1115"/>
    </row>
    <row r="1900" spans="1:13" x14ac:dyDescent="0.2">
      <c r="A1900" s="1115"/>
      <c r="B1900" s="1115"/>
      <c r="C1900" s="1115"/>
      <c r="D1900" s="1115"/>
      <c r="E1900" s="1115"/>
      <c r="F1900" s="1115"/>
      <c r="G1900" s="1115"/>
      <c r="H1900" s="1115"/>
      <c r="I1900" s="1115"/>
      <c r="J1900" s="1115"/>
      <c r="K1900" s="1115"/>
      <c r="L1900" s="1115"/>
      <c r="M1900" s="1115"/>
    </row>
    <row r="1901" spans="1:13" x14ac:dyDescent="0.2">
      <c r="A1901" s="1115"/>
      <c r="B1901" s="1115"/>
      <c r="C1901" s="1115"/>
      <c r="D1901" s="1115"/>
      <c r="E1901" s="1115"/>
      <c r="F1901" s="1115"/>
      <c r="G1901" s="1115"/>
      <c r="H1901" s="1115"/>
      <c r="I1901" s="1115"/>
      <c r="J1901" s="1115"/>
      <c r="K1901" s="1115"/>
      <c r="L1901" s="1115"/>
      <c r="M1901" s="1115"/>
    </row>
    <row r="1902" spans="1:13" x14ac:dyDescent="0.2">
      <c r="A1902" s="1115"/>
      <c r="B1902" s="1115"/>
      <c r="C1902" s="1115"/>
      <c r="D1902" s="1115"/>
      <c r="E1902" s="1115"/>
      <c r="F1902" s="1115"/>
      <c r="G1902" s="1115"/>
      <c r="H1902" s="1115"/>
      <c r="I1902" s="1115"/>
      <c r="J1902" s="1115"/>
      <c r="K1902" s="1115"/>
      <c r="L1902" s="1115"/>
      <c r="M1902" s="1115"/>
    </row>
    <row r="1903" spans="1:13" x14ac:dyDescent="0.2">
      <c r="A1903" s="1115"/>
      <c r="B1903" s="1115"/>
      <c r="C1903" s="1115"/>
      <c r="D1903" s="1115"/>
      <c r="E1903" s="1115"/>
      <c r="F1903" s="1115"/>
      <c r="G1903" s="1115"/>
      <c r="H1903" s="1115"/>
      <c r="I1903" s="1115"/>
      <c r="J1903" s="1115"/>
      <c r="K1903" s="1115"/>
      <c r="L1903" s="1115"/>
      <c r="M1903" s="1115"/>
    </row>
    <row r="1904" spans="1:13" x14ac:dyDescent="0.2">
      <c r="A1904" s="1115"/>
      <c r="B1904" s="1115"/>
      <c r="C1904" s="1115"/>
      <c r="D1904" s="1115"/>
      <c r="E1904" s="1115"/>
      <c r="F1904" s="1115"/>
      <c r="G1904" s="1115"/>
      <c r="H1904" s="1115"/>
      <c r="I1904" s="1115"/>
      <c r="J1904" s="1115"/>
      <c r="K1904" s="1115"/>
      <c r="L1904" s="1115"/>
      <c r="M1904" s="1115"/>
    </row>
    <row r="1905" spans="1:13" x14ac:dyDescent="0.2">
      <c r="A1905" s="1115"/>
      <c r="B1905" s="1115"/>
      <c r="C1905" s="1115"/>
      <c r="D1905" s="1115"/>
      <c r="E1905" s="1115"/>
      <c r="F1905" s="1115"/>
      <c r="G1905" s="1115"/>
      <c r="H1905" s="1115"/>
      <c r="I1905" s="1115"/>
      <c r="J1905" s="1115"/>
      <c r="K1905" s="1115"/>
      <c r="L1905" s="1115"/>
      <c r="M1905" s="1115"/>
    </row>
    <row r="1906" spans="1:13" x14ac:dyDescent="0.2">
      <c r="A1906" s="1115"/>
      <c r="B1906" s="1115"/>
      <c r="C1906" s="1115"/>
      <c r="D1906" s="1115"/>
      <c r="E1906" s="1115"/>
      <c r="F1906" s="1115"/>
      <c r="G1906" s="1115"/>
      <c r="H1906" s="1115"/>
      <c r="I1906" s="1115"/>
      <c r="J1906" s="1115"/>
      <c r="K1906" s="1115"/>
      <c r="L1906" s="1115"/>
      <c r="M1906" s="1115"/>
    </row>
    <row r="1907" spans="1:13" x14ac:dyDescent="0.2">
      <c r="A1907" s="1115"/>
      <c r="B1907" s="1115"/>
      <c r="C1907" s="1115"/>
      <c r="D1907" s="1115"/>
      <c r="E1907" s="1115"/>
      <c r="F1907" s="1115"/>
      <c r="G1907" s="1115"/>
      <c r="H1907" s="1115"/>
      <c r="I1907" s="1115"/>
      <c r="J1907" s="1115"/>
      <c r="K1907" s="1115"/>
      <c r="L1907" s="1115"/>
      <c r="M1907" s="1115"/>
    </row>
    <row r="1908" spans="1:13" x14ac:dyDescent="0.2">
      <c r="A1908" s="1115"/>
      <c r="B1908" s="1115"/>
      <c r="C1908" s="1115"/>
      <c r="D1908" s="1115"/>
      <c r="E1908" s="1115"/>
      <c r="F1908" s="1115"/>
      <c r="G1908" s="1115"/>
      <c r="H1908" s="1115"/>
      <c r="I1908" s="1115"/>
      <c r="J1908" s="1115"/>
      <c r="K1908" s="1115"/>
      <c r="L1908" s="1115"/>
      <c r="M1908" s="1115"/>
    </row>
    <row r="1909" spans="1:13" x14ac:dyDescent="0.2">
      <c r="A1909" s="1115"/>
      <c r="B1909" s="1115"/>
      <c r="C1909" s="1115"/>
      <c r="D1909" s="1115"/>
      <c r="E1909" s="1115"/>
      <c r="F1909" s="1115"/>
      <c r="G1909" s="1115"/>
      <c r="H1909" s="1115"/>
      <c r="I1909" s="1115"/>
      <c r="J1909" s="1115"/>
      <c r="K1909" s="1115"/>
      <c r="L1909" s="1115"/>
      <c r="M1909" s="1115"/>
    </row>
    <row r="1910" spans="1:13" x14ac:dyDescent="0.2">
      <c r="A1910" s="1115"/>
      <c r="B1910" s="1115"/>
      <c r="C1910" s="1115"/>
      <c r="D1910" s="1115"/>
      <c r="E1910" s="1115"/>
      <c r="F1910" s="1115"/>
      <c r="G1910" s="1115"/>
      <c r="H1910" s="1115"/>
      <c r="I1910" s="1115"/>
      <c r="J1910" s="1115"/>
      <c r="K1910" s="1115"/>
      <c r="L1910" s="1115"/>
      <c r="M1910" s="1115"/>
    </row>
    <row r="1911" spans="1:13" x14ac:dyDescent="0.2">
      <c r="A1911" s="1115"/>
      <c r="B1911" s="1115"/>
      <c r="C1911" s="1115"/>
      <c r="D1911" s="1115"/>
      <c r="E1911" s="1115"/>
      <c r="F1911" s="1115"/>
      <c r="G1911" s="1115"/>
      <c r="H1911" s="1115"/>
      <c r="I1911" s="1115"/>
      <c r="J1911" s="1115"/>
      <c r="K1911" s="1115"/>
      <c r="L1911" s="1115"/>
      <c r="M1911" s="1115"/>
    </row>
    <row r="1912" spans="1:13" x14ac:dyDescent="0.2">
      <c r="A1912" s="1115"/>
      <c r="B1912" s="1115"/>
      <c r="C1912" s="1115"/>
      <c r="D1912" s="1115"/>
      <c r="E1912" s="1115"/>
      <c r="F1912" s="1115"/>
      <c r="G1912" s="1115"/>
      <c r="H1912" s="1115"/>
      <c r="I1912" s="1115"/>
      <c r="J1912" s="1115"/>
      <c r="K1912" s="1115"/>
      <c r="L1912" s="1115"/>
      <c r="M1912" s="1115"/>
    </row>
    <row r="1913" spans="1:13" x14ac:dyDescent="0.2">
      <c r="A1913" s="1115"/>
      <c r="B1913" s="1115"/>
      <c r="C1913" s="1115"/>
      <c r="D1913" s="1115"/>
      <c r="E1913" s="1115"/>
      <c r="F1913" s="1115"/>
      <c r="G1913" s="1115"/>
      <c r="H1913" s="1115"/>
      <c r="I1913" s="1115"/>
      <c r="J1913" s="1115"/>
      <c r="K1913" s="1115"/>
      <c r="L1913" s="1115"/>
      <c r="M1913" s="1115"/>
    </row>
    <row r="1914" spans="1:13" x14ac:dyDescent="0.2">
      <c r="A1914" s="1115"/>
      <c r="B1914" s="1115"/>
      <c r="C1914" s="1115"/>
      <c r="D1914" s="1115"/>
      <c r="E1914" s="1115"/>
      <c r="F1914" s="1115"/>
      <c r="G1914" s="1115"/>
      <c r="H1914" s="1115"/>
      <c r="I1914" s="1115"/>
      <c r="J1914" s="1115"/>
      <c r="K1914" s="1115"/>
      <c r="L1914" s="1115"/>
      <c r="M1914" s="1115"/>
    </row>
    <row r="1915" spans="1:13" x14ac:dyDescent="0.2">
      <c r="A1915" s="1115"/>
      <c r="B1915" s="1115"/>
      <c r="C1915" s="1115"/>
      <c r="D1915" s="1115"/>
      <c r="E1915" s="1115"/>
      <c r="F1915" s="1115"/>
      <c r="G1915" s="1115"/>
      <c r="H1915" s="1115"/>
      <c r="I1915" s="1115"/>
      <c r="J1915" s="1115"/>
      <c r="K1915" s="1115"/>
      <c r="L1915" s="1115"/>
      <c r="M1915" s="1115"/>
    </row>
    <row r="1916" spans="1:13" x14ac:dyDescent="0.2">
      <c r="A1916" s="1115"/>
      <c r="B1916" s="1115"/>
      <c r="C1916" s="1115"/>
      <c r="D1916" s="1115"/>
      <c r="E1916" s="1115"/>
      <c r="F1916" s="1115"/>
      <c r="G1916" s="1115"/>
      <c r="H1916" s="1115"/>
      <c r="I1916" s="1115"/>
      <c r="J1916" s="1115"/>
      <c r="K1916" s="1115"/>
      <c r="L1916" s="1115"/>
      <c r="M1916" s="1115"/>
    </row>
    <row r="1917" spans="1:13" x14ac:dyDescent="0.2">
      <c r="A1917" s="1115"/>
      <c r="B1917" s="1115"/>
      <c r="C1917" s="1115"/>
      <c r="D1917" s="1115"/>
      <c r="E1917" s="1115"/>
      <c r="F1917" s="1115"/>
      <c r="G1917" s="1115"/>
      <c r="H1917" s="1115"/>
      <c r="I1917" s="1115"/>
      <c r="J1917" s="1115"/>
      <c r="K1917" s="1115"/>
      <c r="L1917" s="1115"/>
      <c r="M1917" s="1115"/>
    </row>
    <row r="1918" spans="1:13" x14ac:dyDescent="0.2">
      <c r="A1918" s="1115"/>
      <c r="B1918" s="1115"/>
      <c r="C1918" s="1115"/>
      <c r="D1918" s="1115"/>
      <c r="E1918" s="1115"/>
      <c r="F1918" s="1115"/>
      <c r="G1918" s="1115"/>
      <c r="H1918" s="1115"/>
      <c r="I1918" s="1115"/>
      <c r="J1918" s="1115"/>
      <c r="K1918" s="1115"/>
      <c r="L1918" s="1115"/>
      <c r="M1918" s="1115"/>
    </row>
    <row r="1919" spans="1:13" x14ac:dyDescent="0.2">
      <c r="A1919" s="1115"/>
      <c r="B1919" s="1115"/>
      <c r="C1919" s="1115"/>
      <c r="D1919" s="1115"/>
      <c r="E1919" s="1115"/>
      <c r="F1919" s="1115"/>
      <c r="G1919" s="1115"/>
      <c r="H1919" s="1115"/>
      <c r="I1919" s="1115"/>
      <c r="J1919" s="1115"/>
      <c r="K1919" s="1115"/>
      <c r="L1919" s="1115"/>
      <c r="M1919" s="1115"/>
    </row>
    <row r="1920" spans="1:13" x14ac:dyDescent="0.2">
      <c r="A1920" s="1115"/>
      <c r="B1920" s="1115"/>
      <c r="C1920" s="1115"/>
      <c r="D1920" s="1115"/>
      <c r="E1920" s="1115"/>
      <c r="F1920" s="1115"/>
      <c r="G1920" s="1115"/>
      <c r="H1920" s="1115"/>
      <c r="I1920" s="1115"/>
      <c r="J1920" s="1115"/>
      <c r="K1920" s="1115"/>
      <c r="L1920" s="1115"/>
      <c r="M1920" s="1115"/>
    </row>
    <row r="1921" spans="1:13" x14ac:dyDescent="0.2">
      <c r="A1921" s="1115"/>
      <c r="B1921" s="1115"/>
      <c r="C1921" s="1115"/>
      <c r="D1921" s="1115"/>
      <c r="E1921" s="1115"/>
      <c r="F1921" s="1115"/>
      <c r="G1921" s="1115"/>
      <c r="H1921" s="1115"/>
      <c r="I1921" s="1115"/>
      <c r="J1921" s="1115"/>
      <c r="K1921" s="1115"/>
      <c r="L1921" s="1115"/>
      <c r="M1921" s="1115"/>
    </row>
    <row r="1922" spans="1:13" x14ac:dyDescent="0.2">
      <c r="A1922" s="1115"/>
      <c r="B1922" s="1115"/>
      <c r="C1922" s="1115"/>
      <c r="D1922" s="1115"/>
      <c r="E1922" s="1115"/>
      <c r="F1922" s="1115"/>
      <c r="G1922" s="1115"/>
      <c r="H1922" s="1115"/>
      <c r="I1922" s="1115"/>
      <c r="J1922" s="1115"/>
      <c r="K1922" s="1115"/>
      <c r="L1922" s="1115"/>
      <c r="M1922" s="1115"/>
    </row>
    <row r="1923" spans="1:13" x14ac:dyDescent="0.2">
      <c r="A1923" s="1115"/>
      <c r="B1923" s="1115"/>
      <c r="C1923" s="1115"/>
      <c r="D1923" s="1115"/>
      <c r="E1923" s="1115"/>
      <c r="F1923" s="1115"/>
      <c r="G1923" s="1115"/>
      <c r="H1923" s="1115"/>
      <c r="I1923" s="1115"/>
      <c r="J1923" s="1115"/>
      <c r="K1923" s="1115"/>
      <c r="L1923" s="1115"/>
      <c r="M1923" s="1115"/>
    </row>
    <row r="1924" spans="1:13" x14ac:dyDescent="0.2">
      <c r="A1924" s="1115"/>
      <c r="B1924" s="1115"/>
      <c r="C1924" s="1115"/>
      <c r="D1924" s="1115"/>
      <c r="E1924" s="1115"/>
      <c r="F1924" s="1115"/>
      <c r="G1924" s="1115"/>
      <c r="H1924" s="1115"/>
      <c r="I1924" s="1115"/>
      <c r="J1924" s="1115"/>
      <c r="K1924" s="1115"/>
      <c r="L1924" s="1115"/>
      <c r="M1924" s="1115"/>
    </row>
    <row r="1925" spans="1:13" x14ac:dyDescent="0.2">
      <c r="A1925" s="1115"/>
      <c r="B1925" s="1115"/>
      <c r="C1925" s="1115"/>
      <c r="D1925" s="1115"/>
      <c r="E1925" s="1115"/>
      <c r="F1925" s="1115"/>
      <c r="G1925" s="1115"/>
      <c r="H1925" s="1115"/>
      <c r="I1925" s="1115"/>
      <c r="J1925" s="1115"/>
      <c r="K1925" s="1115"/>
      <c r="L1925" s="1115"/>
      <c r="M1925" s="1115"/>
    </row>
    <row r="1926" spans="1:13" x14ac:dyDescent="0.2">
      <c r="A1926" s="1115"/>
      <c r="B1926" s="1115"/>
      <c r="C1926" s="1115"/>
      <c r="D1926" s="1115"/>
      <c r="E1926" s="1115"/>
      <c r="F1926" s="1115"/>
      <c r="G1926" s="1115"/>
      <c r="H1926" s="1115"/>
      <c r="I1926" s="1115"/>
      <c r="J1926" s="1115"/>
      <c r="K1926" s="1115"/>
      <c r="L1926" s="1115"/>
      <c r="M1926" s="1115"/>
    </row>
    <row r="1927" spans="1:13" x14ac:dyDescent="0.2">
      <c r="A1927" s="1115"/>
      <c r="B1927" s="1115"/>
      <c r="C1927" s="1115"/>
      <c r="D1927" s="1115"/>
      <c r="E1927" s="1115"/>
      <c r="F1927" s="1115"/>
      <c r="G1927" s="1115"/>
      <c r="H1927" s="1115"/>
      <c r="I1927" s="1115"/>
      <c r="J1927" s="1115"/>
      <c r="K1927" s="1115"/>
      <c r="L1927" s="1115"/>
      <c r="M1927" s="1115"/>
    </row>
    <row r="1928" spans="1:13" x14ac:dyDescent="0.2">
      <c r="A1928" s="1115"/>
      <c r="B1928" s="1115"/>
      <c r="C1928" s="1115"/>
      <c r="D1928" s="1115"/>
      <c r="E1928" s="1115"/>
      <c r="F1928" s="1115"/>
      <c r="G1928" s="1115"/>
      <c r="H1928" s="1115"/>
      <c r="I1928" s="1115"/>
      <c r="J1928" s="1115"/>
      <c r="K1928" s="1115"/>
      <c r="L1928" s="1115"/>
      <c r="M1928" s="1115"/>
    </row>
    <row r="1929" spans="1:13" x14ac:dyDescent="0.2">
      <c r="A1929" s="1115"/>
      <c r="B1929" s="1115"/>
      <c r="C1929" s="1115"/>
      <c r="D1929" s="1115"/>
      <c r="E1929" s="1115"/>
      <c r="F1929" s="1115"/>
      <c r="G1929" s="1115"/>
      <c r="H1929" s="1115"/>
      <c r="I1929" s="1115"/>
      <c r="J1929" s="1115"/>
      <c r="K1929" s="1115"/>
      <c r="L1929" s="1115"/>
      <c r="M1929" s="1115"/>
    </row>
    <row r="1930" spans="1:13" x14ac:dyDescent="0.2">
      <c r="A1930" s="1115"/>
      <c r="B1930" s="1115"/>
      <c r="C1930" s="1115"/>
      <c r="D1930" s="1115"/>
      <c r="E1930" s="1115"/>
      <c r="F1930" s="1115"/>
      <c r="G1930" s="1115"/>
      <c r="H1930" s="1115"/>
      <c r="I1930" s="1115"/>
      <c r="J1930" s="1115"/>
      <c r="K1930" s="1115"/>
      <c r="L1930" s="1115"/>
      <c r="M1930" s="1115"/>
    </row>
    <row r="1931" spans="1:13" x14ac:dyDescent="0.2">
      <c r="A1931" s="1115"/>
      <c r="B1931" s="1115"/>
      <c r="C1931" s="1115"/>
      <c r="D1931" s="1115"/>
      <c r="E1931" s="1115"/>
      <c r="F1931" s="1115"/>
      <c r="G1931" s="1115"/>
      <c r="H1931" s="1115"/>
      <c r="I1931" s="1115"/>
      <c r="J1931" s="1115"/>
      <c r="K1931" s="1115"/>
      <c r="L1931" s="1115"/>
      <c r="M1931" s="1115"/>
    </row>
    <row r="1932" spans="1:13" x14ac:dyDescent="0.2">
      <c r="A1932" s="1115"/>
      <c r="B1932" s="1115"/>
      <c r="C1932" s="1115"/>
      <c r="D1932" s="1115"/>
      <c r="E1932" s="1115"/>
      <c r="F1932" s="1115"/>
      <c r="G1932" s="1115"/>
      <c r="H1932" s="1115"/>
      <c r="I1932" s="1115"/>
      <c r="J1932" s="1115"/>
      <c r="K1932" s="1115"/>
      <c r="L1932" s="1115"/>
      <c r="M1932" s="1115"/>
    </row>
    <row r="1933" spans="1:13" x14ac:dyDescent="0.2">
      <c r="A1933" s="1115"/>
      <c r="B1933" s="1115"/>
      <c r="C1933" s="1115"/>
      <c r="D1933" s="1115"/>
      <c r="E1933" s="1115"/>
      <c r="F1933" s="1115"/>
      <c r="G1933" s="1115"/>
      <c r="H1933" s="1115"/>
      <c r="I1933" s="1115"/>
      <c r="J1933" s="1115"/>
      <c r="K1933" s="1115"/>
      <c r="L1933" s="1115"/>
      <c r="M1933" s="1115"/>
    </row>
    <row r="1934" spans="1:13" x14ac:dyDescent="0.2">
      <c r="A1934" s="1115"/>
      <c r="B1934" s="1115"/>
      <c r="C1934" s="1115"/>
      <c r="D1934" s="1115"/>
      <c r="E1934" s="1115"/>
      <c r="F1934" s="1115"/>
      <c r="G1934" s="1115"/>
      <c r="H1934" s="1115"/>
      <c r="I1934" s="1115"/>
      <c r="J1934" s="1115"/>
      <c r="K1934" s="1115"/>
      <c r="L1934" s="1115"/>
      <c r="M1934" s="1115"/>
    </row>
    <row r="1935" spans="1:13" x14ac:dyDescent="0.2">
      <c r="A1935" s="1115"/>
      <c r="B1935" s="1115"/>
      <c r="C1935" s="1115"/>
      <c r="D1935" s="1115"/>
      <c r="E1935" s="1115"/>
      <c r="F1935" s="1115"/>
      <c r="G1935" s="1115"/>
      <c r="H1935" s="1115"/>
      <c r="I1935" s="1115"/>
      <c r="J1935" s="1115"/>
      <c r="K1935" s="1115"/>
      <c r="L1935" s="1115"/>
      <c r="M1935" s="1115"/>
    </row>
    <row r="1936" spans="1:13" x14ac:dyDescent="0.2">
      <c r="A1936" s="1115"/>
      <c r="B1936" s="1115"/>
      <c r="C1936" s="1115"/>
      <c r="D1936" s="1115"/>
      <c r="E1936" s="1115"/>
      <c r="F1936" s="1115"/>
      <c r="G1936" s="1115"/>
      <c r="H1936" s="1115"/>
      <c r="I1936" s="1115"/>
      <c r="J1936" s="1115"/>
      <c r="K1936" s="1115"/>
      <c r="L1936" s="1115"/>
      <c r="M1936" s="1115"/>
    </row>
    <row r="1937" spans="1:13" x14ac:dyDescent="0.2">
      <c r="A1937" s="1115"/>
      <c r="B1937" s="1115"/>
      <c r="C1937" s="1115"/>
      <c r="D1937" s="1115"/>
      <c r="E1937" s="1115"/>
      <c r="F1937" s="1115"/>
      <c r="G1937" s="1115"/>
      <c r="H1937" s="1115"/>
      <c r="I1937" s="1115"/>
      <c r="J1937" s="1115"/>
      <c r="K1937" s="1115"/>
      <c r="L1937" s="1115"/>
      <c r="M1937" s="1115"/>
    </row>
    <row r="1938" spans="1:13" x14ac:dyDescent="0.2">
      <c r="A1938" s="1115"/>
      <c r="B1938" s="1115"/>
      <c r="C1938" s="1115"/>
      <c r="D1938" s="1115"/>
      <c r="E1938" s="1115"/>
      <c r="F1938" s="1115"/>
      <c r="G1938" s="1115"/>
      <c r="H1938" s="1115"/>
      <c r="I1938" s="1115"/>
      <c r="J1938" s="1115"/>
      <c r="K1938" s="1115"/>
      <c r="L1938" s="1115"/>
      <c r="M1938" s="1115"/>
    </row>
    <row r="1939" spans="1:13" x14ac:dyDescent="0.2">
      <c r="A1939" s="1115"/>
      <c r="B1939" s="1115"/>
      <c r="C1939" s="1115"/>
      <c r="D1939" s="1115"/>
      <c r="E1939" s="1115"/>
      <c r="F1939" s="1115"/>
      <c r="G1939" s="1115"/>
      <c r="H1939" s="1115"/>
      <c r="I1939" s="1115"/>
      <c r="J1939" s="1115"/>
      <c r="K1939" s="1115"/>
      <c r="L1939" s="1115"/>
      <c r="M1939" s="1115"/>
    </row>
    <row r="1940" spans="1:13" x14ac:dyDescent="0.2">
      <c r="A1940" s="1115"/>
      <c r="B1940" s="1115"/>
      <c r="C1940" s="1115"/>
      <c r="D1940" s="1115"/>
      <c r="E1940" s="1115"/>
      <c r="F1940" s="1115"/>
      <c r="G1940" s="1115"/>
      <c r="H1940" s="1115"/>
      <c r="I1940" s="1115"/>
      <c r="J1940" s="1115"/>
      <c r="K1940" s="1115"/>
      <c r="L1940" s="1115"/>
      <c r="M1940" s="1115"/>
    </row>
    <row r="1941" spans="1:13" x14ac:dyDescent="0.2">
      <c r="A1941" s="1115"/>
      <c r="B1941" s="1115"/>
      <c r="C1941" s="1115"/>
      <c r="D1941" s="1115"/>
      <c r="E1941" s="1115"/>
      <c r="F1941" s="1115"/>
      <c r="G1941" s="1115"/>
      <c r="H1941" s="1115"/>
      <c r="I1941" s="1115"/>
      <c r="J1941" s="1115"/>
      <c r="K1941" s="1115"/>
      <c r="L1941" s="1115"/>
      <c r="M1941" s="1115"/>
    </row>
    <row r="1942" spans="1:13" x14ac:dyDescent="0.2">
      <c r="A1942" s="1115"/>
      <c r="B1942" s="1115"/>
      <c r="C1942" s="1115"/>
      <c r="D1942" s="1115"/>
      <c r="E1942" s="1115"/>
      <c r="F1942" s="1115"/>
      <c r="G1942" s="1115"/>
      <c r="H1942" s="1115"/>
      <c r="I1942" s="1115"/>
      <c r="J1942" s="1115"/>
      <c r="K1942" s="1115"/>
      <c r="L1942" s="1115"/>
      <c r="M1942" s="1115"/>
    </row>
    <row r="1943" spans="1:13" x14ac:dyDescent="0.2">
      <c r="A1943" s="1115"/>
      <c r="B1943" s="1115"/>
      <c r="C1943" s="1115"/>
      <c r="D1943" s="1115"/>
      <c r="E1943" s="1115"/>
      <c r="F1943" s="1115"/>
      <c r="G1943" s="1115"/>
      <c r="H1943" s="1115"/>
      <c r="I1943" s="1115"/>
      <c r="J1943" s="1115"/>
      <c r="K1943" s="1115"/>
      <c r="L1943" s="1115"/>
      <c r="M1943" s="1115"/>
    </row>
    <row r="1944" spans="1:13" x14ac:dyDescent="0.2">
      <c r="A1944" s="1115"/>
      <c r="B1944" s="1115"/>
      <c r="C1944" s="1115"/>
      <c r="D1944" s="1115"/>
      <c r="E1944" s="1115"/>
      <c r="F1944" s="1115"/>
      <c r="G1944" s="1115"/>
      <c r="H1944" s="1115"/>
      <c r="I1944" s="1115"/>
      <c r="J1944" s="1115"/>
      <c r="K1944" s="1115"/>
      <c r="L1944" s="1115"/>
      <c r="M1944" s="1115"/>
    </row>
    <row r="1945" spans="1:13" x14ac:dyDescent="0.2">
      <c r="A1945" s="1115"/>
      <c r="B1945" s="1115"/>
      <c r="C1945" s="1115"/>
      <c r="D1945" s="1115"/>
      <c r="E1945" s="1115"/>
      <c r="F1945" s="1115"/>
      <c r="G1945" s="1115"/>
      <c r="H1945" s="1115"/>
      <c r="I1945" s="1115"/>
      <c r="J1945" s="1115"/>
      <c r="K1945" s="1115"/>
      <c r="L1945" s="1115"/>
      <c r="M1945" s="1115"/>
    </row>
    <row r="1946" spans="1:13" x14ac:dyDescent="0.2">
      <c r="A1946" s="1115"/>
      <c r="B1946" s="1115"/>
      <c r="C1946" s="1115"/>
      <c r="D1946" s="1115"/>
      <c r="E1946" s="1115"/>
      <c r="F1946" s="1115"/>
      <c r="G1946" s="1115"/>
      <c r="H1946" s="1115"/>
      <c r="I1946" s="1115"/>
      <c r="J1946" s="1115"/>
      <c r="K1946" s="1115"/>
      <c r="L1946" s="1115"/>
      <c r="M1946" s="1115"/>
    </row>
    <row r="1947" spans="1:13" x14ac:dyDescent="0.2">
      <c r="A1947" s="1115"/>
      <c r="B1947" s="1115"/>
      <c r="C1947" s="1115"/>
      <c r="D1947" s="1115"/>
      <c r="E1947" s="1115"/>
      <c r="F1947" s="1115"/>
      <c r="G1947" s="1115"/>
      <c r="H1947" s="1115"/>
      <c r="I1947" s="1115"/>
      <c r="J1947" s="1115"/>
      <c r="K1947" s="1115"/>
      <c r="L1947" s="1115"/>
      <c r="M1947" s="1115"/>
    </row>
    <row r="1948" spans="1:13" x14ac:dyDescent="0.2">
      <c r="A1948" s="1115"/>
      <c r="B1948" s="1115"/>
      <c r="C1948" s="1115"/>
      <c r="D1948" s="1115"/>
      <c r="E1948" s="1115"/>
      <c r="F1948" s="1115"/>
      <c r="G1948" s="1115"/>
      <c r="H1948" s="1115"/>
      <c r="I1948" s="1115"/>
      <c r="J1948" s="1115"/>
      <c r="K1948" s="1115"/>
      <c r="L1948" s="1115"/>
      <c r="M1948" s="1115"/>
    </row>
    <row r="1949" spans="1:13" x14ac:dyDescent="0.2">
      <c r="A1949" s="1115"/>
      <c r="B1949" s="1115"/>
      <c r="C1949" s="1115"/>
      <c r="D1949" s="1115"/>
      <c r="E1949" s="1115"/>
      <c r="F1949" s="1115"/>
      <c r="G1949" s="1115"/>
      <c r="H1949" s="1115"/>
      <c r="I1949" s="1115"/>
      <c r="J1949" s="1115"/>
      <c r="K1949" s="1115"/>
      <c r="L1949" s="1115"/>
      <c r="M1949" s="1115"/>
    </row>
    <row r="1950" spans="1:13" x14ac:dyDescent="0.2">
      <c r="A1950" s="1115"/>
      <c r="B1950" s="1115"/>
      <c r="C1950" s="1115"/>
      <c r="D1950" s="1115"/>
      <c r="E1950" s="1115"/>
      <c r="F1950" s="1115"/>
      <c r="G1950" s="1115"/>
      <c r="H1950" s="1115"/>
      <c r="I1950" s="1115"/>
      <c r="J1950" s="1115"/>
      <c r="K1950" s="1115"/>
      <c r="L1950" s="1115"/>
      <c r="M1950" s="1115"/>
    </row>
    <row r="1951" spans="1:13" x14ac:dyDescent="0.2">
      <c r="A1951" s="1115"/>
      <c r="B1951" s="1115"/>
      <c r="C1951" s="1115"/>
      <c r="D1951" s="1115"/>
      <c r="E1951" s="1115"/>
      <c r="F1951" s="1115"/>
      <c r="G1951" s="1115"/>
      <c r="H1951" s="1115"/>
      <c r="I1951" s="1115"/>
      <c r="J1951" s="1115"/>
      <c r="K1951" s="1115"/>
      <c r="L1951" s="1115"/>
      <c r="M1951" s="1115"/>
    </row>
    <row r="1952" spans="1:13" x14ac:dyDescent="0.2">
      <c r="A1952" s="1115"/>
      <c r="B1952" s="1115"/>
      <c r="C1952" s="1115"/>
      <c r="D1952" s="1115"/>
      <c r="E1952" s="1115"/>
      <c r="F1952" s="1115"/>
      <c r="G1952" s="1115"/>
      <c r="H1952" s="1115"/>
      <c r="I1952" s="1115"/>
      <c r="J1952" s="1115"/>
      <c r="K1952" s="1115"/>
      <c r="L1952" s="1115"/>
      <c r="M1952" s="1115"/>
    </row>
    <row r="1953" spans="1:13" x14ac:dyDescent="0.2">
      <c r="A1953" s="1115"/>
      <c r="B1953" s="1115"/>
      <c r="C1953" s="1115"/>
      <c r="D1953" s="1115"/>
      <c r="E1953" s="1115"/>
      <c r="F1953" s="1115"/>
      <c r="G1953" s="1115"/>
      <c r="H1953" s="1115"/>
      <c r="I1953" s="1115"/>
      <c r="J1953" s="1115"/>
      <c r="K1953" s="1115"/>
      <c r="L1953" s="1115"/>
      <c r="M1953" s="1115"/>
    </row>
    <row r="1954" spans="1:13" x14ac:dyDescent="0.2">
      <c r="A1954" s="1115"/>
      <c r="B1954" s="1115"/>
      <c r="C1954" s="1115"/>
      <c r="D1954" s="1115"/>
      <c r="E1954" s="1115"/>
      <c r="F1954" s="1115"/>
      <c r="G1954" s="1115"/>
      <c r="H1954" s="1115"/>
      <c r="I1954" s="1115"/>
      <c r="J1954" s="1115"/>
      <c r="K1954" s="1115"/>
      <c r="L1954" s="1115"/>
      <c r="M1954" s="1115"/>
    </row>
    <row r="1955" spans="1:13" x14ac:dyDescent="0.2">
      <c r="A1955" s="1115"/>
      <c r="B1955" s="1115"/>
      <c r="C1955" s="1115"/>
      <c r="D1955" s="1115"/>
      <c r="E1955" s="1115"/>
      <c r="F1955" s="1115"/>
      <c r="G1955" s="1115"/>
      <c r="H1955" s="1115"/>
      <c r="I1955" s="1115"/>
      <c r="J1955" s="1115"/>
      <c r="K1955" s="1115"/>
      <c r="L1955" s="1115"/>
      <c r="M1955" s="1115"/>
    </row>
    <row r="1956" spans="1:13" x14ac:dyDescent="0.2">
      <c r="A1956" s="1115"/>
      <c r="B1956" s="1115"/>
      <c r="C1956" s="1115"/>
      <c r="D1956" s="1115"/>
      <c r="E1956" s="1115"/>
      <c r="F1956" s="1115"/>
      <c r="G1956" s="1115"/>
      <c r="H1956" s="1115"/>
      <c r="I1956" s="1115"/>
      <c r="J1956" s="1115"/>
      <c r="K1956" s="1115"/>
      <c r="L1956" s="1115"/>
      <c r="M1956" s="1115"/>
    </row>
    <row r="1957" spans="1:13" x14ac:dyDescent="0.2">
      <c r="A1957" s="1115"/>
      <c r="B1957" s="1115"/>
      <c r="C1957" s="1115"/>
      <c r="D1957" s="1115"/>
      <c r="E1957" s="1115"/>
      <c r="F1957" s="1115"/>
      <c r="G1957" s="1115"/>
      <c r="H1957" s="1115"/>
      <c r="I1957" s="1115"/>
      <c r="J1957" s="1115"/>
      <c r="K1957" s="1115"/>
      <c r="L1957" s="1115"/>
      <c r="M1957" s="1115"/>
    </row>
    <row r="1958" spans="1:13" x14ac:dyDescent="0.2">
      <c r="A1958" s="1115"/>
      <c r="B1958" s="1115"/>
      <c r="C1958" s="1115"/>
      <c r="D1958" s="1115"/>
      <c r="E1958" s="1115"/>
      <c r="F1958" s="1115"/>
      <c r="G1958" s="1115"/>
      <c r="H1958" s="1115"/>
      <c r="I1958" s="1115"/>
      <c r="J1958" s="1115"/>
      <c r="K1958" s="1115"/>
      <c r="L1958" s="1115"/>
      <c r="M1958" s="1115"/>
    </row>
    <row r="1959" spans="1:13" x14ac:dyDescent="0.2">
      <c r="A1959" s="1115"/>
      <c r="B1959" s="1115"/>
      <c r="C1959" s="1115"/>
      <c r="D1959" s="1115"/>
      <c r="E1959" s="1115"/>
      <c r="F1959" s="1115"/>
      <c r="G1959" s="1115"/>
      <c r="H1959" s="1115"/>
      <c r="I1959" s="1115"/>
      <c r="J1959" s="1115"/>
      <c r="K1959" s="1115"/>
      <c r="L1959" s="1115"/>
      <c r="M1959" s="1115"/>
    </row>
    <row r="1960" spans="1:13" x14ac:dyDescent="0.2">
      <c r="A1960" s="1115"/>
      <c r="B1960" s="1115"/>
      <c r="C1960" s="1115"/>
      <c r="D1960" s="1115"/>
      <c r="E1960" s="1115"/>
      <c r="F1960" s="1115"/>
      <c r="G1960" s="1115"/>
      <c r="H1960" s="1115"/>
      <c r="I1960" s="1115"/>
      <c r="J1960" s="1115"/>
      <c r="K1960" s="1115"/>
      <c r="L1960" s="1115"/>
      <c r="M1960" s="1115"/>
    </row>
    <row r="1961" spans="1:13" x14ac:dyDescent="0.2">
      <c r="A1961" s="1115"/>
      <c r="B1961" s="1115"/>
      <c r="C1961" s="1115"/>
      <c r="D1961" s="1115"/>
      <c r="E1961" s="1115"/>
      <c r="F1961" s="1115"/>
      <c r="G1961" s="1115"/>
      <c r="H1961" s="1115"/>
      <c r="I1961" s="1115"/>
      <c r="J1961" s="1115"/>
      <c r="K1961" s="1115"/>
      <c r="L1961" s="1115"/>
      <c r="M1961" s="1115"/>
    </row>
    <row r="1962" spans="1:13" x14ac:dyDescent="0.2">
      <c r="A1962" s="1115"/>
      <c r="B1962" s="1115"/>
      <c r="C1962" s="1115"/>
      <c r="D1962" s="1115"/>
      <c r="E1962" s="1115"/>
      <c r="F1962" s="1115"/>
      <c r="G1962" s="1115"/>
      <c r="H1962" s="1115"/>
      <c r="I1962" s="1115"/>
      <c r="J1962" s="1115"/>
      <c r="K1962" s="1115"/>
      <c r="L1962" s="1115"/>
      <c r="M1962" s="1115"/>
    </row>
    <row r="1963" spans="1:13" x14ac:dyDescent="0.2">
      <c r="A1963" s="1115"/>
      <c r="B1963" s="1115"/>
      <c r="C1963" s="1115"/>
      <c r="D1963" s="1115"/>
      <c r="E1963" s="1115"/>
      <c r="F1963" s="1115"/>
      <c r="G1963" s="1115"/>
      <c r="H1963" s="1115"/>
      <c r="I1963" s="1115"/>
      <c r="J1963" s="1115"/>
      <c r="K1963" s="1115"/>
      <c r="L1963" s="1115"/>
      <c r="M1963" s="1115"/>
    </row>
    <row r="1964" spans="1:13" x14ac:dyDescent="0.2">
      <c r="A1964" s="1115"/>
      <c r="B1964" s="1115"/>
      <c r="C1964" s="1115"/>
      <c r="D1964" s="1115"/>
      <c r="E1964" s="1115"/>
      <c r="F1964" s="1115"/>
      <c r="G1964" s="1115"/>
      <c r="H1964" s="1115"/>
      <c r="I1964" s="1115"/>
      <c r="J1964" s="1115"/>
      <c r="K1964" s="1115"/>
      <c r="L1964" s="1115"/>
      <c r="M1964" s="1115"/>
    </row>
    <row r="1965" spans="1:13" x14ac:dyDescent="0.2">
      <c r="A1965" s="1115"/>
      <c r="B1965" s="1115"/>
      <c r="C1965" s="1115"/>
      <c r="D1965" s="1115"/>
      <c r="E1965" s="1115"/>
      <c r="F1965" s="1115"/>
      <c r="G1965" s="1115"/>
      <c r="H1965" s="1115"/>
      <c r="I1965" s="1115"/>
      <c r="J1965" s="1115"/>
      <c r="K1965" s="1115"/>
      <c r="L1965" s="1115"/>
      <c r="M1965" s="1115"/>
    </row>
    <row r="1966" spans="1:13" x14ac:dyDescent="0.2">
      <c r="A1966" s="1115"/>
      <c r="B1966" s="1115"/>
      <c r="C1966" s="1115"/>
      <c r="D1966" s="1115"/>
      <c r="E1966" s="1115"/>
      <c r="F1966" s="1115"/>
      <c r="G1966" s="1115"/>
      <c r="H1966" s="1115"/>
      <c r="I1966" s="1115"/>
      <c r="J1966" s="1115"/>
      <c r="K1966" s="1115"/>
      <c r="L1966" s="1115"/>
      <c r="M1966" s="1115"/>
    </row>
    <row r="1967" spans="1:13" x14ac:dyDescent="0.2">
      <c r="A1967" s="1115"/>
      <c r="B1967" s="1115"/>
      <c r="C1967" s="1115"/>
      <c r="D1967" s="1115"/>
      <c r="E1967" s="1115"/>
      <c r="F1967" s="1115"/>
      <c r="G1967" s="1115"/>
      <c r="H1967" s="1115"/>
      <c r="I1967" s="1115"/>
      <c r="J1967" s="1115"/>
      <c r="K1967" s="1115"/>
      <c r="L1967" s="1115"/>
      <c r="M1967" s="1115"/>
    </row>
    <row r="1968" spans="1:13" x14ac:dyDescent="0.2">
      <c r="A1968" s="1115"/>
      <c r="B1968" s="1115"/>
      <c r="C1968" s="1115"/>
      <c r="D1968" s="1115"/>
      <c r="E1968" s="1115"/>
      <c r="F1968" s="1115"/>
      <c r="G1968" s="1115"/>
      <c r="H1968" s="1115"/>
      <c r="I1968" s="1115"/>
      <c r="J1968" s="1115"/>
      <c r="K1968" s="1115"/>
      <c r="L1968" s="1115"/>
      <c r="M1968" s="1115"/>
    </row>
    <row r="1969" spans="1:13" x14ac:dyDescent="0.2">
      <c r="A1969" s="1115"/>
      <c r="B1969" s="1115"/>
      <c r="C1969" s="1115"/>
      <c r="D1969" s="1115"/>
      <c r="E1969" s="1115"/>
      <c r="F1969" s="1115"/>
      <c r="G1969" s="1115"/>
      <c r="H1969" s="1115"/>
      <c r="I1969" s="1115"/>
      <c r="J1969" s="1115"/>
      <c r="K1969" s="1115"/>
      <c r="L1969" s="1115"/>
      <c r="M1969" s="1115"/>
    </row>
    <row r="1970" spans="1:13" x14ac:dyDescent="0.2">
      <c r="A1970" s="1115"/>
      <c r="B1970" s="1115"/>
      <c r="C1970" s="1115"/>
      <c r="D1970" s="1115"/>
      <c r="E1970" s="1115"/>
      <c r="F1970" s="1115"/>
      <c r="G1970" s="1115"/>
      <c r="H1970" s="1115"/>
      <c r="I1970" s="1115"/>
      <c r="J1970" s="1115"/>
      <c r="K1970" s="1115"/>
      <c r="L1970" s="1115"/>
      <c r="M1970" s="1115"/>
    </row>
    <row r="1971" spans="1:13" x14ac:dyDescent="0.2">
      <c r="A1971" s="1115"/>
      <c r="B1971" s="1115"/>
      <c r="C1971" s="1115"/>
      <c r="D1971" s="1115"/>
      <c r="E1971" s="1115"/>
      <c r="F1971" s="1115"/>
      <c r="G1971" s="1115"/>
      <c r="H1971" s="1115"/>
      <c r="I1971" s="1115"/>
      <c r="J1971" s="1115"/>
      <c r="K1971" s="1115"/>
      <c r="L1971" s="1115"/>
      <c r="M1971" s="1115"/>
    </row>
    <row r="1972" spans="1:13" x14ac:dyDescent="0.2">
      <c r="A1972" s="1115"/>
      <c r="B1972" s="1115"/>
      <c r="C1972" s="1115"/>
      <c r="D1972" s="1115"/>
      <c r="E1972" s="1115"/>
      <c r="F1972" s="1115"/>
      <c r="G1972" s="1115"/>
      <c r="H1972" s="1115"/>
      <c r="I1972" s="1115"/>
      <c r="J1972" s="1115"/>
      <c r="K1972" s="1115"/>
      <c r="L1972" s="1115"/>
      <c r="M1972" s="1115"/>
    </row>
    <row r="1973" spans="1:13" x14ac:dyDescent="0.2">
      <c r="A1973" s="1115"/>
      <c r="B1973" s="1115"/>
      <c r="C1973" s="1115"/>
      <c r="D1973" s="1115"/>
      <c r="E1973" s="1115"/>
      <c r="F1973" s="1115"/>
      <c r="G1973" s="1115"/>
      <c r="H1973" s="1115"/>
      <c r="I1973" s="1115"/>
      <c r="J1973" s="1115"/>
      <c r="K1973" s="1115"/>
      <c r="L1973" s="1115"/>
      <c r="M1973" s="1115"/>
    </row>
    <row r="1974" spans="1:13" x14ac:dyDescent="0.2">
      <c r="A1974" s="1115"/>
      <c r="B1974" s="1115"/>
      <c r="C1974" s="1115"/>
      <c r="D1974" s="1115"/>
      <c r="E1974" s="1115"/>
      <c r="F1974" s="1115"/>
      <c r="G1974" s="1115"/>
      <c r="H1974" s="1115"/>
      <c r="I1974" s="1115"/>
      <c r="J1974" s="1115"/>
      <c r="K1974" s="1115"/>
      <c r="L1974" s="1115"/>
      <c r="M1974" s="1115"/>
    </row>
    <row r="1975" spans="1:13" x14ac:dyDescent="0.2">
      <c r="A1975" s="1115"/>
      <c r="B1975" s="1115"/>
      <c r="C1975" s="1115"/>
      <c r="D1975" s="1115"/>
      <c r="E1975" s="1115"/>
      <c r="F1975" s="1115"/>
      <c r="G1975" s="1115"/>
      <c r="H1975" s="1115"/>
      <c r="I1975" s="1115"/>
      <c r="J1975" s="1115"/>
      <c r="K1975" s="1115"/>
      <c r="L1975" s="1115"/>
      <c r="M1975" s="1115"/>
    </row>
    <row r="1976" spans="1:13" x14ac:dyDescent="0.2">
      <c r="A1976" s="1115"/>
      <c r="B1976" s="1115"/>
      <c r="C1976" s="1115"/>
      <c r="D1976" s="1115"/>
      <c r="E1976" s="1115"/>
      <c r="F1976" s="1115"/>
      <c r="G1976" s="1115"/>
      <c r="H1976" s="1115"/>
      <c r="I1976" s="1115"/>
      <c r="J1976" s="1115"/>
      <c r="K1976" s="1115"/>
      <c r="L1976" s="1115"/>
      <c r="M1976" s="1115"/>
    </row>
    <row r="1977" spans="1:13" x14ac:dyDescent="0.2">
      <c r="A1977" s="1115"/>
      <c r="B1977" s="1115"/>
      <c r="C1977" s="1115"/>
      <c r="D1977" s="1115"/>
      <c r="E1977" s="1115"/>
      <c r="F1977" s="1115"/>
      <c r="G1977" s="1115"/>
      <c r="H1977" s="1115"/>
      <c r="I1977" s="1115"/>
      <c r="J1977" s="1115"/>
      <c r="K1977" s="1115"/>
      <c r="L1977" s="1115"/>
      <c r="M1977" s="1115"/>
    </row>
    <row r="1978" spans="1:13" x14ac:dyDescent="0.2">
      <c r="A1978" s="1115"/>
      <c r="B1978" s="1115"/>
      <c r="C1978" s="1115"/>
      <c r="D1978" s="1115"/>
      <c r="E1978" s="1115"/>
      <c r="F1978" s="1115"/>
      <c r="G1978" s="1115"/>
      <c r="H1978" s="1115"/>
      <c r="I1978" s="1115"/>
      <c r="J1978" s="1115"/>
      <c r="K1978" s="1115"/>
      <c r="L1978" s="1115"/>
      <c r="M1978" s="1115"/>
    </row>
    <row r="1979" spans="1:13" x14ac:dyDescent="0.2">
      <c r="A1979" s="1115"/>
      <c r="B1979" s="1115"/>
      <c r="C1979" s="1115"/>
      <c r="D1979" s="1115"/>
      <c r="E1979" s="1115"/>
      <c r="F1979" s="1115"/>
      <c r="G1979" s="1115"/>
      <c r="H1979" s="1115"/>
      <c r="I1979" s="1115"/>
      <c r="J1979" s="1115"/>
      <c r="K1979" s="1115"/>
      <c r="L1979" s="1115"/>
      <c r="M1979" s="1115"/>
    </row>
    <row r="1980" spans="1:13" x14ac:dyDescent="0.2">
      <c r="A1980" s="1115"/>
      <c r="B1980" s="1115"/>
      <c r="C1980" s="1115"/>
      <c r="D1980" s="1115"/>
      <c r="E1980" s="1115"/>
      <c r="F1980" s="1115"/>
      <c r="G1980" s="1115"/>
      <c r="H1980" s="1115"/>
      <c r="I1980" s="1115"/>
      <c r="J1980" s="1115"/>
      <c r="K1980" s="1115"/>
      <c r="L1980" s="1115"/>
      <c r="M1980" s="1115"/>
    </row>
    <row r="1981" spans="1:13" x14ac:dyDescent="0.2">
      <c r="A1981" s="1115"/>
      <c r="B1981" s="1115"/>
      <c r="C1981" s="1115"/>
      <c r="D1981" s="1115"/>
      <c r="E1981" s="1115"/>
      <c r="F1981" s="1115"/>
      <c r="G1981" s="1115"/>
      <c r="H1981" s="1115"/>
      <c r="I1981" s="1115"/>
      <c r="J1981" s="1115"/>
      <c r="K1981" s="1115"/>
      <c r="L1981" s="1115"/>
      <c r="M1981" s="1115"/>
    </row>
    <row r="1982" spans="1:13" x14ac:dyDescent="0.2">
      <c r="A1982" s="1115"/>
      <c r="B1982" s="1115"/>
      <c r="C1982" s="1115"/>
      <c r="D1982" s="1115"/>
      <c r="E1982" s="1115"/>
      <c r="F1982" s="1115"/>
      <c r="G1982" s="1115"/>
      <c r="H1982" s="1115"/>
      <c r="I1982" s="1115"/>
      <c r="J1982" s="1115"/>
      <c r="K1982" s="1115"/>
      <c r="L1982" s="1115"/>
      <c r="M1982" s="1115"/>
    </row>
    <row r="1983" spans="1:13" x14ac:dyDescent="0.2">
      <c r="A1983" s="1115"/>
      <c r="B1983" s="1115"/>
      <c r="C1983" s="1115"/>
      <c r="D1983" s="1115"/>
      <c r="E1983" s="1115"/>
      <c r="F1983" s="1115"/>
      <c r="G1983" s="1115"/>
      <c r="H1983" s="1115"/>
      <c r="I1983" s="1115"/>
      <c r="J1983" s="1115"/>
      <c r="K1983" s="1115"/>
      <c r="L1983" s="1115"/>
      <c r="M1983" s="1115"/>
    </row>
    <row r="1984" spans="1:13" x14ac:dyDescent="0.2">
      <c r="A1984" s="1115"/>
      <c r="B1984" s="1115"/>
      <c r="C1984" s="1115"/>
      <c r="D1984" s="1115"/>
      <c r="E1984" s="1115"/>
      <c r="F1984" s="1115"/>
      <c r="G1984" s="1115"/>
      <c r="H1984" s="1115"/>
      <c r="I1984" s="1115"/>
      <c r="J1984" s="1115"/>
      <c r="K1984" s="1115"/>
      <c r="L1984" s="1115"/>
      <c r="M1984" s="1115"/>
    </row>
    <row r="1985" spans="1:13" x14ac:dyDescent="0.2">
      <c r="A1985" s="1115"/>
      <c r="B1985" s="1115"/>
      <c r="C1985" s="1115"/>
      <c r="D1985" s="1115"/>
      <c r="E1985" s="1115"/>
      <c r="F1985" s="1115"/>
      <c r="G1985" s="1115"/>
      <c r="H1985" s="1115"/>
      <c r="I1985" s="1115"/>
      <c r="J1985" s="1115"/>
      <c r="K1985" s="1115"/>
      <c r="L1985" s="1115"/>
      <c r="M1985" s="1115"/>
    </row>
    <row r="1986" spans="1:13" x14ac:dyDescent="0.2">
      <c r="A1986" s="1115"/>
      <c r="B1986" s="1115"/>
      <c r="C1986" s="1115"/>
      <c r="D1986" s="1115"/>
      <c r="E1986" s="1115"/>
      <c r="F1986" s="1115"/>
      <c r="G1986" s="1115"/>
      <c r="H1986" s="1115"/>
      <c r="I1986" s="1115"/>
      <c r="J1986" s="1115"/>
      <c r="K1986" s="1115"/>
      <c r="L1986" s="1115"/>
      <c r="M1986" s="1115"/>
    </row>
    <row r="1987" spans="1:13" x14ac:dyDescent="0.2">
      <c r="A1987" s="1115"/>
      <c r="B1987" s="1115"/>
      <c r="C1987" s="1115"/>
      <c r="D1987" s="1115"/>
      <c r="E1987" s="1115"/>
      <c r="F1987" s="1115"/>
      <c r="G1987" s="1115"/>
      <c r="H1987" s="1115"/>
      <c r="I1987" s="1115"/>
      <c r="J1987" s="1115"/>
      <c r="K1987" s="1115"/>
      <c r="L1987" s="1115"/>
      <c r="M1987" s="1115"/>
    </row>
    <row r="1988" spans="1:13" x14ac:dyDescent="0.2">
      <c r="A1988" s="1115"/>
      <c r="B1988" s="1115"/>
      <c r="C1988" s="1115"/>
      <c r="D1988" s="1115"/>
      <c r="E1988" s="1115"/>
      <c r="F1988" s="1115"/>
      <c r="G1988" s="1115"/>
      <c r="H1988" s="1115"/>
      <c r="I1988" s="1115"/>
      <c r="J1988" s="1115"/>
      <c r="K1988" s="1115"/>
      <c r="L1988" s="1115"/>
      <c r="M1988" s="1115"/>
    </row>
    <row r="1989" spans="1:13" x14ac:dyDescent="0.2">
      <c r="A1989" s="1115"/>
      <c r="B1989" s="1115"/>
      <c r="C1989" s="1115"/>
      <c r="D1989" s="1115"/>
      <c r="E1989" s="1115"/>
      <c r="F1989" s="1115"/>
      <c r="G1989" s="1115"/>
      <c r="H1989" s="1115"/>
      <c r="I1989" s="1115"/>
      <c r="J1989" s="1115"/>
      <c r="K1989" s="1115"/>
      <c r="L1989" s="1115"/>
      <c r="M1989" s="1115"/>
    </row>
    <row r="1990" spans="1:13" x14ac:dyDescent="0.2">
      <c r="A1990" s="1115"/>
      <c r="B1990" s="1115"/>
      <c r="C1990" s="1115"/>
      <c r="D1990" s="1115"/>
      <c r="E1990" s="1115"/>
      <c r="F1990" s="1115"/>
      <c r="G1990" s="1115"/>
      <c r="H1990" s="1115"/>
      <c r="I1990" s="1115"/>
      <c r="J1990" s="1115"/>
      <c r="K1990" s="1115"/>
      <c r="L1990" s="1115"/>
      <c r="M1990" s="1115"/>
    </row>
    <row r="1991" spans="1:13" x14ac:dyDescent="0.2">
      <c r="A1991" s="1115"/>
      <c r="B1991" s="1115"/>
      <c r="C1991" s="1115"/>
      <c r="D1991" s="1115"/>
      <c r="E1991" s="1115"/>
      <c r="F1991" s="1115"/>
      <c r="G1991" s="1115"/>
      <c r="H1991" s="1115"/>
      <c r="I1991" s="1115"/>
      <c r="J1991" s="1115"/>
      <c r="K1991" s="1115"/>
      <c r="L1991" s="1115"/>
      <c r="M1991" s="1115"/>
    </row>
    <row r="1992" spans="1:13" x14ac:dyDescent="0.2">
      <c r="A1992" s="1115"/>
      <c r="B1992" s="1115"/>
      <c r="C1992" s="1115"/>
      <c r="D1992" s="1115"/>
      <c r="E1992" s="1115"/>
      <c r="F1992" s="1115"/>
      <c r="G1992" s="1115"/>
      <c r="H1992" s="1115"/>
      <c r="I1992" s="1115"/>
      <c r="J1992" s="1115"/>
      <c r="K1992" s="1115"/>
      <c r="L1992" s="1115"/>
      <c r="M1992" s="1115"/>
    </row>
    <row r="1993" spans="1:13" x14ac:dyDescent="0.2">
      <c r="A1993" s="1115"/>
      <c r="B1993" s="1115"/>
      <c r="C1993" s="1115"/>
      <c r="D1993" s="1115"/>
      <c r="E1993" s="1115"/>
      <c r="F1993" s="1115"/>
      <c r="G1993" s="1115"/>
      <c r="H1993" s="1115"/>
      <c r="I1993" s="1115"/>
      <c r="J1993" s="1115"/>
      <c r="K1993" s="1115"/>
      <c r="L1993" s="1115"/>
      <c r="M1993" s="1115"/>
    </row>
    <row r="1994" spans="1:13" x14ac:dyDescent="0.2">
      <c r="A1994" s="1115"/>
      <c r="B1994" s="1115"/>
      <c r="C1994" s="1115"/>
      <c r="D1994" s="1115"/>
      <c r="E1994" s="1115"/>
      <c r="F1994" s="1115"/>
      <c r="G1994" s="1115"/>
      <c r="H1994" s="1115"/>
      <c r="I1994" s="1115"/>
      <c r="J1994" s="1115"/>
      <c r="K1994" s="1115"/>
      <c r="L1994" s="1115"/>
      <c r="M1994" s="1115"/>
    </row>
    <row r="1995" spans="1:13" x14ac:dyDescent="0.2">
      <c r="A1995" s="1115"/>
      <c r="B1995" s="1115"/>
      <c r="C1995" s="1115"/>
      <c r="D1995" s="1115"/>
      <c r="E1995" s="1115"/>
      <c r="F1995" s="1115"/>
      <c r="G1995" s="1115"/>
      <c r="H1995" s="1115"/>
      <c r="I1995" s="1115"/>
      <c r="J1995" s="1115"/>
      <c r="K1995" s="1115"/>
      <c r="L1995" s="1115"/>
      <c r="M1995" s="1115"/>
    </row>
    <row r="1996" spans="1:13" x14ac:dyDescent="0.2">
      <c r="A1996" s="1115"/>
      <c r="B1996" s="1115"/>
      <c r="C1996" s="1115"/>
      <c r="D1996" s="1115"/>
      <c r="E1996" s="1115"/>
      <c r="F1996" s="1115"/>
      <c r="G1996" s="1115"/>
      <c r="H1996" s="1115"/>
      <c r="I1996" s="1115"/>
      <c r="J1996" s="1115"/>
      <c r="K1996" s="1115"/>
      <c r="L1996" s="1115"/>
      <c r="M1996" s="1115"/>
    </row>
    <row r="1997" spans="1:13" x14ac:dyDescent="0.2">
      <c r="A1997" s="1115"/>
      <c r="B1997" s="1115"/>
      <c r="C1997" s="1115"/>
      <c r="D1997" s="1115"/>
      <c r="E1997" s="1115"/>
      <c r="F1997" s="1115"/>
      <c r="G1997" s="1115"/>
      <c r="H1997" s="1115"/>
      <c r="I1997" s="1115"/>
      <c r="J1997" s="1115"/>
      <c r="K1997" s="1115"/>
      <c r="L1997" s="1115"/>
      <c r="M1997" s="1115"/>
    </row>
    <row r="1998" spans="1:13" x14ac:dyDescent="0.2">
      <c r="A1998" s="1115"/>
      <c r="B1998" s="1115"/>
      <c r="C1998" s="1115"/>
      <c r="D1998" s="1115"/>
      <c r="E1998" s="1115"/>
      <c r="F1998" s="1115"/>
      <c r="G1998" s="1115"/>
      <c r="H1998" s="1115"/>
      <c r="I1998" s="1115"/>
      <c r="J1998" s="1115"/>
      <c r="K1998" s="1115"/>
      <c r="L1998" s="1115"/>
      <c r="M1998" s="1115"/>
    </row>
    <row r="1999" spans="1:13" x14ac:dyDescent="0.2">
      <c r="A1999" s="1115"/>
      <c r="B1999" s="1115"/>
      <c r="C1999" s="1115"/>
      <c r="D1999" s="1115"/>
      <c r="E1999" s="1115"/>
      <c r="F1999" s="1115"/>
      <c r="G1999" s="1115"/>
      <c r="H1999" s="1115"/>
      <c r="I1999" s="1115"/>
      <c r="J1999" s="1115"/>
      <c r="K1999" s="1115"/>
      <c r="L1999" s="1115"/>
      <c r="M1999" s="1115"/>
    </row>
    <row r="2000" spans="1:13" x14ac:dyDescent="0.2">
      <c r="A2000" s="1115"/>
      <c r="B2000" s="1115"/>
      <c r="C2000" s="1115"/>
      <c r="D2000" s="1115"/>
      <c r="E2000" s="1115"/>
      <c r="F2000" s="1115"/>
      <c r="G2000" s="1115"/>
      <c r="H2000" s="1115"/>
      <c r="I2000" s="1115"/>
      <c r="J2000" s="1115"/>
      <c r="K2000" s="1115"/>
      <c r="L2000" s="1115"/>
      <c r="M2000" s="1115"/>
    </row>
    <row r="2001" spans="1:13" x14ac:dyDescent="0.2">
      <c r="A2001" s="1115"/>
      <c r="B2001" s="1115"/>
      <c r="C2001" s="1115"/>
      <c r="D2001" s="1115"/>
      <c r="E2001" s="1115"/>
      <c r="F2001" s="1115"/>
      <c r="G2001" s="1115"/>
      <c r="H2001" s="1115"/>
      <c r="I2001" s="1115"/>
      <c r="J2001" s="1115"/>
      <c r="K2001" s="1115"/>
      <c r="L2001" s="1115"/>
      <c r="M2001" s="1115"/>
    </row>
    <row r="2002" spans="1:13" x14ac:dyDescent="0.2">
      <c r="A2002" s="1115"/>
      <c r="B2002" s="1115"/>
      <c r="C2002" s="1115"/>
      <c r="D2002" s="1115"/>
      <c r="E2002" s="1115"/>
      <c r="F2002" s="1115"/>
      <c r="G2002" s="1115"/>
      <c r="H2002" s="1115"/>
      <c r="I2002" s="1115"/>
      <c r="J2002" s="1115"/>
      <c r="K2002" s="1115"/>
      <c r="L2002" s="1115"/>
      <c r="M2002" s="1115"/>
    </row>
    <row r="2003" spans="1:13" x14ac:dyDescent="0.2">
      <c r="A2003" s="1115"/>
      <c r="B2003" s="1115"/>
      <c r="C2003" s="1115"/>
      <c r="D2003" s="1115"/>
      <c r="E2003" s="1115"/>
      <c r="F2003" s="1115"/>
      <c r="G2003" s="1115"/>
      <c r="H2003" s="1115"/>
      <c r="I2003" s="1115"/>
      <c r="J2003" s="1115"/>
      <c r="K2003" s="1115"/>
      <c r="L2003" s="1115"/>
      <c r="M2003" s="1115"/>
    </row>
    <row r="2004" spans="1:13" x14ac:dyDescent="0.2">
      <c r="A2004" s="1115"/>
      <c r="B2004" s="1115"/>
      <c r="C2004" s="1115"/>
      <c r="D2004" s="1115"/>
      <c r="E2004" s="1115"/>
      <c r="F2004" s="1115"/>
      <c r="G2004" s="1115"/>
      <c r="H2004" s="1115"/>
      <c r="I2004" s="1115"/>
      <c r="J2004" s="1115"/>
      <c r="K2004" s="1115"/>
      <c r="L2004" s="1115"/>
      <c r="M2004" s="1115"/>
    </row>
    <row r="2005" spans="1:13" x14ac:dyDescent="0.2">
      <c r="A2005" s="1115"/>
      <c r="B2005" s="1115"/>
      <c r="C2005" s="1115"/>
      <c r="D2005" s="1115"/>
      <c r="E2005" s="1115"/>
      <c r="F2005" s="1115"/>
      <c r="G2005" s="1115"/>
      <c r="H2005" s="1115"/>
      <c r="I2005" s="1115"/>
      <c r="J2005" s="1115"/>
      <c r="K2005" s="1115"/>
      <c r="L2005" s="1115"/>
      <c r="M2005" s="1115"/>
    </row>
    <row r="2006" spans="1:13" x14ac:dyDescent="0.2">
      <c r="A2006" s="1115"/>
      <c r="B2006" s="1115"/>
      <c r="C2006" s="1115"/>
      <c r="D2006" s="1115"/>
      <c r="E2006" s="1115"/>
      <c r="F2006" s="1115"/>
      <c r="G2006" s="1115"/>
      <c r="H2006" s="1115"/>
      <c r="I2006" s="1115"/>
      <c r="J2006" s="1115"/>
      <c r="K2006" s="1115"/>
      <c r="L2006" s="1115"/>
      <c r="M2006" s="1115"/>
    </row>
    <row r="2007" spans="1:13" x14ac:dyDescent="0.2">
      <c r="A2007" s="1115"/>
      <c r="B2007" s="1115"/>
      <c r="C2007" s="1115"/>
      <c r="D2007" s="1115"/>
      <c r="E2007" s="1115"/>
      <c r="F2007" s="1115"/>
      <c r="G2007" s="1115"/>
      <c r="H2007" s="1115"/>
      <c r="I2007" s="1115"/>
      <c r="J2007" s="1115"/>
      <c r="K2007" s="1115"/>
      <c r="L2007" s="1115"/>
      <c r="M2007" s="1115"/>
    </row>
    <row r="2008" spans="1:13" x14ac:dyDescent="0.2">
      <c r="A2008" s="1115"/>
      <c r="B2008" s="1115"/>
      <c r="C2008" s="1115"/>
      <c r="D2008" s="1115"/>
      <c r="E2008" s="1115"/>
      <c r="F2008" s="1115"/>
      <c r="G2008" s="1115"/>
      <c r="H2008" s="1115"/>
      <c r="I2008" s="1115"/>
      <c r="J2008" s="1115"/>
      <c r="K2008" s="1115"/>
      <c r="L2008" s="1115"/>
      <c r="M2008" s="1115"/>
    </row>
    <row r="2009" spans="1:13" x14ac:dyDescent="0.2">
      <c r="A2009" s="1115"/>
      <c r="B2009" s="1115"/>
      <c r="C2009" s="1115"/>
      <c r="D2009" s="1115"/>
      <c r="E2009" s="1115"/>
      <c r="F2009" s="1115"/>
      <c r="G2009" s="1115"/>
      <c r="H2009" s="1115"/>
      <c r="I2009" s="1115"/>
      <c r="J2009" s="1115"/>
      <c r="K2009" s="1115"/>
      <c r="L2009" s="1115"/>
      <c r="M2009" s="1115"/>
    </row>
    <row r="2010" spans="1:13" x14ac:dyDescent="0.2">
      <c r="A2010" s="1115"/>
      <c r="B2010" s="1115"/>
      <c r="C2010" s="1115"/>
      <c r="D2010" s="1115"/>
      <c r="E2010" s="1115"/>
      <c r="F2010" s="1115"/>
      <c r="G2010" s="1115"/>
      <c r="H2010" s="1115"/>
      <c r="I2010" s="1115"/>
      <c r="J2010" s="1115"/>
      <c r="K2010" s="1115"/>
      <c r="L2010" s="1115"/>
      <c r="M2010" s="1115"/>
    </row>
    <row r="2011" spans="1:13" x14ac:dyDescent="0.2">
      <c r="A2011" s="1115"/>
      <c r="B2011" s="1115"/>
      <c r="C2011" s="1115"/>
      <c r="D2011" s="1115"/>
      <c r="E2011" s="1115"/>
      <c r="F2011" s="1115"/>
      <c r="G2011" s="1115"/>
      <c r="H2011" s="1115"/>
      <c r="I2011" s="1115"/>
      <c r="J2011" s="1115"/>
      <c r="K2011" s="1115"/>
      <c r="L2011" s="1115"/>
      <c r="M2011" s="1115"/>
    </row>
    <row r="2012" spans="1:13" x14ac:dyDescent="0.2">
      <c r="A2012" s="1115"/>
      <c r="B2012" s="1115"/>
      <c r="C2012" s="1115"/>
      <c r="D2012" s="1115"/>
      <c r="E2012" s="1115"/>
      <c r="F2012" s="1115"/>
      <c r="G2012" s="1115"/>
      <c r="H2012" s="1115"/>
      <c r="I2012" s="1115"/>
      <c r="J2012" s="1115"/>
      <c r="K2012" s="1115"/>
      <c r="L2012" s="1115"/>
      <c r="M2012" s="1115"/>
    </row>
    <row r="2013" spans="1:13" x14ac:dyDescent="0.2">
      <c r="A2013" s="1115"/>
      <c r="B2013" s="1115"/>
      <c r="C2013" s="1115"/>
      <c r="D2013" s="1115"/>
      <c r="E2013" s="1115"/>
      <c r="F2013" s="1115"/>
      <c r="G2013" s="1115"/>
      <c r="H2013" s="1115"/>
      <c r="I2013" s="1115"/>
      <c r="J2013" s="1115"/>
      <c r="K2013" s="1115"/>
      <c r="L2013" s="1115"/>
      <c r="M2013" s="1115"/>
    </row>
    <row r="2014" spans="1:13" x14ac:dyDescent="0.2">
      <c r="A2014" s="1115"/>
      <c r="B2014" s="1115"/>
      <c r="C2014" s="1115"/>
      <c r="D2014" s="1115"/>
      <c r="E2014" s="1115"/>
      <c r="F2014" s="1115"/>
      <c r="G2014" s="1115"/>
      <c r="H2014" s="1115"/>
      <c r="I2014" s="1115"/>
      <c r="J2014" s="1115"/>
      <c r="K2014" s="1115"/>
      <c r="L2014" s="1115"/>
      <c r="M2014" s="1115"/>
    </row>
    <row r="2015" spans="1:13" x14ac:dyDescent="0.2">
      <c r="A2015" s="1115"/>
      <c r="B2015" s="1115"/>
      <c r="C2015" s="1115"/>
      <c r="D2015" s="1115"/>
      <c r="E2015" s="1115"/>
      <c r="F2015" s="1115"/>
      <c r="G2015" s="1115"/>
      <c r="H2015" s="1115"/>
      <c r="I2015" s="1115"/>
      <c r="J2015" s="1115"/>
      <c r="K2015" s="1115"/>
      <c r="L2015" s="1115"/>
      <c r="M2015" s="1115"/>
    </row>
    <row r="2016" spans="1:13" x14ac:dyDescent="0.2">
      <c r="A2016" s="1115"/>
      <c r="B2016" s="1115"/>
      <c r="C2016" s="1115"/>
      <c r="D2016" s="1115"/>
      <c r="E2016" s="1115"/>
      <c r="F2016" s="1115"/>
      <c r="G2016" s="1115"/>
      <c r="H2016" s="1115"/>
      <c r="I2016" s="1115"/>
      <c r="J2016" s="1115"/>
      <c r="K2016" s="1115"/>
      <c r="L2016" s="1115"/>
      <c r="M2016" s="1115"/>
    </row>
    <row r="2017" spans="1:13" x14ac:dyDescent="0.2">
      <c r="A2017" s="1115"/>
      <c r="B2017" s="1115"/>
      <c r="C2017" s="1115"/>
      <c r="D2017" s="1115"/>
      <c r="E2017" s="1115"/>
      <c r="F2017" s="1115"/>
      <c r="G2017" s="1115"/>
      <c r="H2017" s="1115"/>
      <c r="I2017" s="1115"/>
      <c r="J2017" s="1115"/>
      <c r="K2017" s="1115"/>
      <c r="L2017" s="1115"/>
      <c r="M2017" s="1115"/>
    </row>
    <row r="2018" spans="1:13" x14ac:dyDescent="0.2">
      <c r="A2018" s="1115"/>
      <c r="B2018" s="1115"/>
      <c r="C2018" s="1115"/>
      <c r="D2018" s="1115"/>
      <c r="E2018" s="1115"/>
      <c r="F2018" s="1115"/>
      <c r="G2018" s="1115"/>
      <c r="H2018" s="1115"/>
      <c r="I2018" s="1115"/>
      <c r="J2018" s="1115"/>
      <c r="K2018" s="1115"/>
      <c r="L2018" s="1115"/>
      <c r="M2018" s="1115"/>
    </row>
    <row r="2019" spans="1:13" x14ac:dyDescent="0.2">
      <c r="A2019" s="1115"/>
      <c r="B2019" s="1115"/>
      <c r="C2019" s="1115"/>
      <c r="D2019" s="1115"/>
      <c r="E2019" s="1115"/>
      <c r="F2019" s="1115"/>
      <c r="G2019" s="1115"/>
      <c r="H2019" s="1115"/>
      <c r="I2019" s="1115"/>
      <c r="J2019" s="1115"/>
      <c r="K2019" s="1115"/>
      <c r="L2019" s="1115"/>
      <c r="M2019" s="1115"/>
    </row>
    <row r="2020" spans="1:13" x14ac:dyDescent="0.2">
      <c r="A2020" s="1115"/>
      <c r="B2020" s="1115"/>
      <c r="C2020" s="1115"/>
      <c r="D2020" s="1115"/>
      <c r="E2020" s="1115"/>
      <c r="F2020" s="1115"/>
      <c r="G2020" s="1115"/>
      <c r="H2020" s="1115"/>
      <c r="I2020" s="1115"/>
      <c r="J2020" s="1115"/>
      <c r="K2020" s="1115"/>
      <c r="L2020" s="1115"/>
      <c r="M2020" s="1115"/>
    </row>
    <row r="2021" spans="1:13" x14ac:dyDescent="0.2">
      <c r="A2021" s="1115"/>
      <c r="B2021" s="1115"/>
      <c r="C2021" s="1115"/>
      <c r="D2021" s="1115"/>
      <c r="E2021" s="1115"/>
      <c r="F2021" s="1115"/>
      <c r="G2021" s="1115"/>
      <c r="H2021" s="1115"/>
      <c r="I2021" s="1115"/>
      <c r="J2021" s="1115"/>
      <c r="K2021" s="1115"/>
      <c r="L2021" s="1115"/>
      <c r="M2021" s="1115"/>
    </row>
    <row r="2022" spans="1:13" x14ac:dyDescent="0.2">
      <c r="A2022" s="1115"/>
      <c r="B2022" s="1115"/>
      <c r="C2022" s="1115"/>
      <c r="D2022" s="1115"/>
      <c r="E2022" s="1115"/>
      <c r="F2022" s="1115"/>
      <c r="G2022" s="1115"/>
      <c r="H2022" s="1115"/>
      <c r="I2022" s="1115"/>
      <c r="J2022" s="1115"/>
      <c r="K2022" s="1115"/>
      <c r="L2022" s="1115"/>
      <c r="M2022" s="1115"/>
    </row>
    <row r="2023" spans="1:13" x14ac:dyDescent="0.2">
      <c r="A2023" s="1115"/>
      <c r="B2023" s="1115"/>
      <c r="C2023" s="1115"/>
      <c r="D2023" s="1115"/>
      <c r="E2023" s="1115"/>
      <c r="F2023" s="1115"/>
      <c r="G2023" s="1115"/>
      <c r="H2023" s="1115"/>
      <c r="I2023" s="1115"/>
      <c r="J2023" s="1115"/>
      <c r="K2023" s="1115"/>
      <c r="L2023" s="1115"/>
      <c r="M2023" s="1115"/>
    </row>
    <row r="2024" spans="1:13" x14ac:dyDescent="0.2">
      <c r="A2024" s="1115"/>
      <c r="B2024" s="1115"/>
      <c r="C2024" s="1115"/>
      <c r="D2024" s="1115"/>
      <c r="E2024" s="1115"/>
      <c r="F2024" s="1115"/>
      <c r="G2024" s="1115"/>
      <c r="H2024" s="1115"/>
      <c r="I2024" s="1115"/>
      <c r="J2024" s="1115"/>
      <c r="K2024" s="1115"/>
      <c r="L2024" s="1115"/>
      <c r="M2024" s="1115"/>
    </row>
    <row r="2025" spans="1:13" x14ac:dyDescent="0.2">
      <c r="A2025" s="1115"/>
      <c r="B2025" s="1115"/>
      <c r="C2025" s="1115"/>
      <c r="D2025" s="1115"/>
      <c r="E2025" s="1115"/>
      <c r="F2025" s="1115"/>
      <c r="G2025" s="1115"/>
      <c r="H2025" s="1115"/>
      <c r="I2025" s="1115"/>
      <c r="J2025" s="1115"/>
      <c r="K2025" s="1115"/>
      <c r="L2025" s="1115"/>
      <c r="M2025" s="1115"/>
    </row>
    <row r="2026" spans="1:13" x14ac:dyDescent="0.2">
      <c r="A2026" s="1115"/>
      <c r="B2026" s="1115"/>
      <c r="C2026" s="1115"/>
      <c r="D2026" s="1115"/>
      <c r="E2026" s="1115"/>
      <c r="F2026" s="1115"/>
      <c r="G2026" s="1115"/>
      <c r="H2026" s="1115"/>
      <c r="I2026" s="1115"/>
      <c r="J2026" s="1115"/>
      <c r="K2026" s="1115"/>
      <c r="L2026" s="1115"/>
      <c r="M2026" s="1115"/>
    </row>
    <row r="2027" spans="1:13" x14ac:dyDescent="0.2">
      <c r="A2027" s="1115"/>
      <c r="B2027" s="1115"/>
      <c r="C2027" s="1115"/>
      <c r="D2027" s="1115"/>
      <c r="E2027" s="1115"/>
      <c r="F2027" s="1115"/>
      <c r="G2027" s="1115"/>
      <c r="H2027" s="1115"/>
      <c r="I2027" s="1115"/>
      <c r="J2027" s="1115"/>
      <c r="K2027" s="1115"/>
      <c r="L2027" s="1115"/>
      <c r="M2027" s="1115"/>
    </row>
    <row r="2028" spans="1:13" x14ac:dyDescent="0.2">
      <c r="A2028" s="1115"/>
      <c r="B2028" s="1115"/>
      <c r="C2028" s="1115"/>
      <c r="D2028" s="1115"/>
      <c r="E2028" s="1115"/>
      <c r="F2028" s="1115"/>
      <c r="G2028" s="1115"/>
      <c r="H2028" s="1115"/>
      <c r="I2028" s="1115"/>
      <c r="J2028" s="1115"/>
      <c r="K2028" s="1115"/>
      <c r="L2028" s="1115"/>
      <c r="M2028" s="1115"/>
    </row>
    <row r="2029" spans="1:13" x14ac:dyDescent="0.2">
      <c r="A2029" s="1115"/>
      <c r="B2029" s="1115"/>
      <c r="C2029" s="1115"/>
      <c r="D2029" s="1115"/>
      <c r="E2029" s="1115"/>
      <c r="F2029" s="1115"/>
      <c r="G2029" s="1115"/>
      <c r="H2029" s="1115"/>
      <c r="I2029" s="1115"/>
      <c r="J2029" s="1115"/>
      <c r="K2029" s="1115"/>
      <c r="L2029" s="1115"/>
      <c r="M2029" s="1115"/>
    </row>
    <row r="2030" spans="1:13" x14ac:dyDescent="0.2">
      <c r="A2030" s="1115"/>
      <c r="B2030" s="1115"/>
      <c r="C2030" s="1115"/>
      <c r="D2030" s="1115"/>
      <c r="E2030" s="1115"/>
      <c r="F2030" s="1115"/>
      <c r="G2030" s="1115"/>
      <c r="H2030" s="1115"/>
      <c r="I2030" s="1115"/>
      <c r="J2030" s="1115"/>
      <c r="K2030" s="1115"/>
      <c r="L2030" s="1115"/>
      <c r="M2030" s="1115"/>
    </row>
    <row r="2031" spans="1:13" x14ac:dyDescent="0.2">
      <c r="A2031" s="1115"/>
      <c r="B2031" s="1115"/>
      <c r="C2031" s="1115"/>
      <c r="D2031" s="1115"/>
      <c r="E2031" s="1115"/>
      <c r="F2031" s="1115"/>
      <c r="G2031" s="1115"/>
      <c r="H2031" s="1115"/>
      <c r="I2031" s="1115"/>
      <c r="J2031" s="1115"/>
      <c r="K2031" s="1115"/>
      <c r="L2031" s="1115"/>
      <c r="M2031" s="1115"/>
    </row>
    <row r="2032" spans="1:13" x14ac:dyDescent="0.2">
      <c r="A2032" s="1115"/>
      <c r="B2032" s="1115"/>
      <c r="C2032" s="1115"/>
      <c r="D2032" s="1115"/>
      <c r="E2032" s="1115"/>
      <c r="F2032" s="1115"/>
      <c r="G2032" s="1115"/>
      <c r="H2032" s="1115"/>
      <c r="I2032" s="1115"/>
      <c r="J2032" s="1115"/>
      <c r="K2032" s="1115"/>
      <c r="L2032" s="1115"/>
      <c r="M2032" s="1115"/>
    </row>
    <row r="2033" spans="1:13" x14ac:dyDescent="0.2">
      <c r="A2033" s="1115"/>
      <c r="B2033" s="1115"/>
      <c r="C2033" s="1115"/>
      <c r="D2033" s="1115"/>
      <c r="E2033" s="1115"/>
      <c r="F2033" s="1115"/>
      <c r="G2033" s="1115"/>
      <c r="H2033" s="1115"/>
      <c r="I2033" s="1115"/>
      <c r="J2033" s="1115"/>
      <c r="K2033" s="1115"/>
      <c r="L2033" s="1115"/>
      <c r="M2033" s="1115"/>
    </row>
    <row r="2034" spans="1:13" x14ac:dyDescent="0.2">
      <c r="A2034" s="1115"/>
      <c r="B2034" s="1115"/>
      <c r="C2034" s="1115"/>
      <c r="D2034" s="1115"/>
      <c r="E2034" s="1115"/>
      <c r="F2034" s="1115"/>
      <c r="G2034" s="1115"/>
      <c r="H2034" s="1115"/>
      <c r="I2034" s="1115"/>
      <c r="J2034" s="1115"/>
      <c r="K2034" s="1115"/>
      <c r="L2034" s="1115"/>
      <c r="M2034" s="1115"/>
    </row>
    <row r="2035" spans="1:13" x14ac:dyDescent="0.2">
      <c r="A2035" s="1115"/>
      <c r="B2035" s="1115"/>
      <c r="C2035" s="1115"/>
      <c r="D2035" s="1115"/>
      <c r="E2035" s="1115"/>
      <c r="F2035" s="1115"/>
      <c r="G2035" s="1115"/>
      <c r="H2035" s="1115"/>
      <c r="I2035" s="1115"/>
      <c r="J2035" s="1115"/>
      <c r="K2035" s="1115"/>
      <c r="L2035" s="1115"/>
      <c r="M2035" s="1115"/>
    </row>
    <row r="2036" spans="1:13" x14ac:dyDescent="0.2">
      <c r="A2036" s="1115"/>
      <c r="B2036" s="1115"/>
      <c r="C2036" s="1115"/>
      <c r="D2036" s="1115"/>
      <c r="E2036" s="1115"/>
      <c r="F2036" s="1115"/>
      <c r="G2036" s="1115"/>
      <c r="H2036" s="1115"/>
      <c r="I2036" s="1115"/>
      <c r="J2036" s="1115"/>
      <c r="K2036" s="1115"/>
      <c r="L2036" s="1115"/>
      <c r="M2036" s="1115"/>
    </row>
    <row r="2037" spans="1:13" x14ac:dyDescent="0.2">
      <c r="A2037" s="1115"/>
      <c r="B2037" s="1115"/>
      <c r="C2037" s="1115"/>
      <c r="D2037" s="1115"/>
      <c r="E2037" s="1115"/>
      <c r="F2037" s="1115"/>
      <c r="G2037" s="1115"/>
      <c r="H2037" s="1115"/>
      <c r="I2037" s="1115"/>
      <c r="J2037" s="1115"/>
      <c r="K2037" s="1115"/>
      <c r="L2037" s="1115"/>
      <c r="M2037" s="1115"/>
    </row>
    <row r="2038" spans="1:13" x14ac:dyDescent="0.2">
      <c r="A2038" s="1115"/>
      <c r="B2038" s="1115"/>
      <c r="C2038" s="1115"/>
      <c r="D2038" s="1115"/>
      <c r="E2038" s="1115"/>
      <c r="F2038" s="1115"/>
      <c r="G2038" s="1115"/>
      <c r="H2038" s="1115"/>
      <c r="I2038" s="1115"/>
      <c r="J2038" s="1115"/>
      <c r="K2038" s="1115"/>
      <c r="L2038" s="1115"/>
      <c r="M2038" s="1115"/>
    </row>
    <row r="2039" spans="1:13" x14ac:dyDescent="0.2">
      <c r="A2039" s="1115"/>
      <c r="B2039" s="1115"/>
      <c r="C2039" s="1115"/>
      <c r="D2039" s="1115"/>
      <c r="E2039" s="1115"/>
      <c r="F2039" s="1115"/>
      <c r="G2039" s="1115"/>
      <c r="H2039" s="1115"/>
      <c r="I2039" s="1115"/>
      <c r="J2039" s="1115"/>
      <c r="K2039" s="1115"/>
      <c r="L2039" s="1115"/>
      <c r="M2039" s="1115"/>
    </row>
    <row r="2040" spans="1:13" x14ac:dyDescent="0.2">
      <c r="A2040" s="1115"/>
      <c r="B2040" s="1115"/>
      <c r="C2040" s="1115"/>
      <c r="D2040" s="1115"/>
      <c r="E2040" s="1115"/>
      <c r="F2040" s="1115"/>
      <c r="G2040" s="1115"/>
      <c r="H2040" s="1115"/>
      <c r="I2040" s="1115"/>
      <c r="J2040" s="1115"/>
      <c r="K2040" s="1115"/>
      <c r="L2040" s="1115"/>
      <c r="M2040" s="1115"/>
    </row>
    <row r="2041" spans="1:13" x14ac:dyDescent="0.2">
      <c r="A2041" s="1115"/>
      <c r="B2041" s="1115"/>
      <c r="C2041" s="1115"/>
      <c r="D2041" s="1115"/>
      <c r="E2041" s="1115"/>
      <c r="F2041" s="1115"/>
      <c r="G2041" s="1115"/>
      <c r="H2041" s="1115"/>
      <c r="I2041" s="1115"/>
      <c r="J2041" s="1115"/>
      <c r="K2041" s="1115"/>
      <c r="L2041" s="1115"/>
      <c r="M2041" s="1115"/>
    </row>
    <row r="2042" spans="1:13" x14ac:dyDescent="0.2">
      <c r="A2042" s="1115"/>
      <c r="B2042" s="1115"/>
      <c r="C2042" s="1115"/>
      <c r="D2042" s="1115"/>
      <c r="E2042" s="1115"/>
      <c r="F2042" s="1115"/>
      <c r="G2042" s="1115"/>
      <c r="H2042" s="1115"/>
      <c r="I2042" s="1115"/>
      <c r="J2042" s="1115"/>
      <c r="K2042" s="1115"/>
      <c r="L2042" s="1115"/>
      <c r="M2042" s="1115"/>
    </row>
    <row r="2043" spans="1:13" x14ac:dyDescent="0.2">
      <c r="A2043" s="1115"/>
      <c r="B2043" s="1115"/>
      <c r="C2043" s="1115"/>
      <c r="D2043" s="1115"/>
      <c r="E2043" s="1115"/>
      <c r="F2043" s="1115"/>
      <c r="G2043" s="1115"/>
      <c r="H2043" s="1115"/>
      <c r="I2043" s="1115"/>
      <c r="J2043" s="1115"/>
      <c r="K2043" s="1115"/>
      <c r="L2043" s="1115"/>
      <c r="M2043" s="1115"/>
    </row>
    <row r="2044" spans="1:13" x14ac:dyDescent="0.2">
      <c r="A2044" s="1115"/>
      <c r="B2044" s="1115"/>
      <c r="C2044" s="1115"/>
      <c r="D2044" s="1115"/>
      <c r="E2044" s="1115"/>
      <c r="F2044" s="1115"/>
      <c r="G2044" s="1115"/>
      <c r="H2044" s="1115"/>
      <c r="I2044" s="1115"/>
      <c r="J2044" s="1115"/>
      <c r="K2044" s="1115"/>
      <c r="L2044" s="1115"/>
      <c r="M2044" s="1115"/>
    </row>
    <row r="2045" spans="1:13" x14ac:dyDescent="0.2">
      <c r="A2045" s="1115"/>
      <c r="B2045" s="1115"/>
      <c r="C2045" s="1115"/>
      <c r="D2045" s="1115"/>
      <c r="E2045" s="1115"/>
      <c r="F2045" s="1115"/>
      <c r="G2045" s="1115"/>
      <c r="H2045" s="1115"/>
      <c r="I2045" s="1115"/>
      <c r="J2045" s="1115"/>
      <c r="K2045" s="1115"/>
      <c r="L2045" s="1115"/>
      <c r="M2045" s="1115"/>
    </row>
    <row r="2046" spans="1:13" x14ac:dyDescent="0.2">
      <c r="A2046" s="1115"/>
      <c r="B2046" s="1115"/>
      <c r="C2046" s="1115"/>
      <c r="D2046" s="1115"/>
      <c r="E2046" s="1115"/>
      <c r="F2046" s="1115"/>
      <c r="G2046" s="1115"/>
      <c r="H2046" s="1115"/>
      <c r="I2046" s="1115"/>
      <c r="J2046" s="1115"/>
      <c r="K2046" s="1115"/>
      <c r="L2046" s="1115"/>
      <c r="M2046" s="1115"/>
    </row>
    <row r="2047" spans="1:13" x14ac:dyDescent="0.2">
      <c r="A2047" s="1115"/>
      <c r="B2047" s="1115"/>
      <c r="C2047" s="1115"/>
      <c r="D2047" s="1115"/>
      <c r="E2047" s="1115"/>
      <c r="F2047" s="1115"/>
      <c r="G2047" s="1115"/>
      <c r="H2047" s="1115"/>
      <c r="I2047" s="1115"/>
      <c r="J2047" s="1115"/>
      <c r="K2047" s="1115"/>
      <c r="L2047" s="1115"/>
      <c r="M2047" s="1115"/>
    </row>
    <row r="2048" spans="1:13" x14ac:dyDescent="0.2">
      <c r="A2048" s="1115"/>
      <c r="B2048" s="1115"/>
      <c r="C2048" s="1115"/>
      <c r="D2048" s="1115"/>
      <c r="E2048" s="1115"/>
      <c r="F2048" s="1115"/>
      <c r="G2048" s="1115"/>
      <c r="H2048" s="1115"/>
      <c r="I2048" s="1115"/>
      <c r="J2048" s="1115"/>
      <c r="K2048" s="1115"/>
      <c r="L2048" s="1115"/>
      <c r="M2048" s="1115"/>
    </row>
    <row r="2049" spans="1:13" x14ac:dyDescent="0.2">
      <c r="A2049" s="1115"/>
      <c r="B2049" s="1115"/>
      <c r="C2049" s="1115"/>
      <c r="D2049" s="1115"/>
      <c r="E2049" s="1115"/>
      <c r="F2049" s="1115"/>
      <c r="G2049" s="1115"/>
      <c r="H2049" s="1115"/>
      <c r="I2049" s="1115"/>
      <c r="J2049" s="1115"/>
      <c r="K2049" s="1115"/>
      <c r="L2049" s="1115"/>
      <c r="M2049" s="1115"/>
    </row>
    <row r="2050" spans="1:13" x14ac:dyDescent="0.2">
      <c r="A2050" s="1115"/>
      <c r="B2050" s="1115"/>
      <c r="C2050" s="1115"/>
      <c r="D2050" s="1115"/>
      <c r="E2050" s="1115"/>
      <c r="F2050" s="1115"/>
      <c r="G2050" s="1115"/>
      <c r="H2050" s="1115"/>
      <c r="I2050" s="1115"/>
      <c r="J2050" s="1115"/>
      <c r="K2050" s="1115"/>
      <c r="L2050" s="1115"/>
      <c r="M2050" s="1115"/>
    </row>
    <row r="2051" spans="1:13" x14ac:dyDescent="0.2">
      <c r="A2051" s="1115"/>
      <c r="B2051" s="1115"/>
      <c r="C2051" s="1115"/>
      <c r="D2051" s="1115"/>
      <c r="E2051" s="1115"/>
      <c r="F2051" s="1115"/>
      <c r="G2051" s="1115"/>
      <c r="H2051" s="1115"/>
      <c r="I2051" s="1115"/>
      <c r="J2051" s="1115"/>
      <c r="K2051" s="1115"/>
      <c r="L2051" s="1115"/>
      <c r="M2051" s="1115"/>
    </row>
    <row r="2052" spans="1:13" x14ac:dyDescent="0.2">
      <c r="A2052" s="1115"/>
      <c r="B2052" s="1115"/>
      <c r="C2052" s="1115"/>
      <c r="D2052" s="1115"/>
      <c r="E2052" s="1115"/>
      <c r="F2052" s="1115"/>
      <c r="G2052" s="1115"/>
      <c r="H2052" s="1115"/>
      <c r="I2052" s="1115"/>
      <c r="J2052" s="1115"/>
      <c r="K2052" s="1115"/>
      <c r="L2052" s="1115"/>
      <c r="M2052" s="1115"/>
    </row>
    <row r="2053" spans="1:13" x14ac:dyDescent="0.2">
      <c r="A2053" s="1115"/>
      <c r="B2053" s="1115"/>
      <c r="C2053" s="1115"/>
      <c r="D2053" s="1115"/>
      <c r="E2053" s="1115"/>
      <c r="F2053" s="1115"/>
      <c r="G2053" s="1115"/>
      <c r="H2053" s="1115"/>
      <c r="I2053" s="1115"/>
      <c r="J2053" s="1115"/>
      <c r="K2053" s="1115"/>
      <c r="L2053" s="1115"/>
      <c r="M2053" s="1115"/>
    </row>
    <row r="2054" spans="1:13" x14ac:dyDescent="0.2">
      <c r="A2054" s="1115"/>
      <c r="B2054" s="1115"/>
      <c r="C2054" s="1115"/>
      <c r="D2054" s="1115"/>
      <c r="E2054" s="1115"/>
      <c r="F2054" s="1115"/>
      <c r="G2054" s="1115"/>
      <c r="H2054" s="1115"/>
      <c r="I2054" s="1115"/>
      <c r="J2054" s="1115"/>
      <c r="K2054" s="1115"/>
      <c r="L2054" s="1115"/>
      <c r="M2054" s="1115"/>
    </row>
    <row r="2055" spans="1:13" x14ac:dyDescent="0.2">
      <c r="A2055" s="1115"/>
      <c r="B2055" s="1115"/>
      <c r="C2055" s="1115"/>
      <c r="D2055" s="1115"/>
      <c r="E2055" s="1115"/>
      <c r="F2055" s="1115"/>
      <c r="G2055" s="1115"/>
      <c r="H2055" s="1115"/>
      <c r="I2055" s="1115"/>
      <c r="J2055" s="1115"/>
      <c r="K2055" s="1115"/>
      <c r="L2055" s="1115"/>
      <c r="M2055" s="1115"/>
    </row>
    <row r="2056" spans="1:13" x14ac:dyDescent="0.2">
      <c r="A2056" s="1115"/>
      <c r="B2056" s="1115"/>
      <c r="C2056" s="1115"/>
      <c r="D2056" s="1115"/>
      <c r="E2056" s="1115"/>
      <c r="F2056" s="1115"/>
      <c r="G2056" s="1115"/>
      <c r="H2056" s="1115"/>
      <c r="I2056" s="1115"/>
      <c r="J2056" s="1115"/>
      <c r="K2056" s="1115"/>
      <c r="L2056" s="1115"/>
      <c r="M2056" s="1115"/>
    </row>
    <row r="2057" spans="1:13" x14ac:dyDescent="0.2">
      <c r="A2057" s="1115"/>
      <c r="B2057" s="1115"/>
      <c r="C2057" s="1115"/>
      <c r="D2057" s="1115"/>
      <c r="E2057" s="1115"/>
      <c r="F2057" s="1115"/>
      <c r="G2057" s="1115"/>
      <c r="H2057" s="1115"/>
      <c r="I2057" s="1115"/>
      <c r="J2057" s="1115"/>
      <c r="K2057" s="1115"/>
      <c r="L2057" s="1115"/>
      <c r="M2057" s="1115"/>
    </row>
    <row r="2058" spans="1:13" x14ac:dyDescent="0.2">
      <c r="A2058" s="1115"/>
      <c r="B2058" s="1115"/>
      <c r="C2058" s="1115"/>
      <c r="D2058" s="1115"/>
      <c r="E2058" s="1115"/>
      <c r="F2058" s="1115"/>
      <c r="G2058" s="1115"/>
      <c r="H2058" s="1115"/>
      <c r="I2058" s="1115"/>
      <c r="J2058" s="1115"/>
      <c r="K2058" s="1115"/>
      <c r="L2058" s="1115"/>
      <c r="M2058" s="1115"/>
    </row>
    <row r="2059" spans="1:13" x14ac:dyDescent="0.2">
      <c r="A2059" s="1115"/>
      <c r="B2059" s="1115"/>
      <c r="C2059" s="1115"/>
      <c r="D2059" s="1115"/>
      <c r="E2059" s="1115"/>
      <c r="F2059" s="1115"/>
      <c r="G2059" s="1115"/>
      <c r="H2059" s="1115"/>
      <c r="I2059" s="1115"/>
      <c r="J2059" s="1115"/>
      <c r="K2059" s="1115"/>
      <c r="L2059" s="1115"/>
      <c r="M2059" s="1115"/>
    </row>
    <row r="2060" spans="1:13" x14ac:dyDescent="0.2">
      <c r="A2060" s="1115"/>
      <c r="B2060" s="1115"/>
      <c r="C2060" s="1115"/>
      <c r="D2060" s="1115"/>
      <c r="E2060" s="1115"/>
      <c r="F2060" s="1115"/>
      <c r="G2060" s="1115"/>
      <c r="H2060" s="1115"/>
      <c r="I2060" s="1115"/>
      <c r="J2060" s="1115"/>
      <c r="K2060" s="1115"/>
      <c r="L2060" s="1115"/>
      <c r="M2060" s="1115"/>
    </row>
    <row r="2061" spans="1:13" x14ac:dyDescent="0.2">
      <c r="A2061" s="1115"/>
      <c r="B2061" s="1115"/>
      <c r="C2061" s="1115"/>
      <c r="D2061" s="1115"/>
      <c r="E2061" s="1115"/>
      <c r="F2061" s="1115"/>
      <c r="G2061" s="1115"/>
      <c r="H2061" s="1115"/>
      <c r="I2061" s="1115"/>
      <c r="J2061" s="1115"/>
      <c r="K2061" s="1115"/>
      <c r="L2061" s="1115"/>
      <c r="M2061" s="1115"/>
    </row>
    <row r="2062" spans="1:13" x14ac:dyDescent="0.2">
      <c r="A2062" s="1115"/>
      <c r="B2062" s="1115"/>
      <c r="C2062" s="1115"/>
      <c r="D2062" s="1115"/>
      <c r="E2062" s="1115"/>
      <c r="F2062" s="1115"/>
      <c r="G2062" s="1115"/>
      <c r="H2062" s="1115"/>
      <c r="I2062" s="1115"/>
      <c r="J2062" s="1115"/>
      <c r="K2062" s="1115"/>
      <c r="L2062" s="1115"/>
      <c r="M2062" s="1115"/>
    </row>
    <row r="2063" spans="1:13" x14ac:dyDescent="0.2">
      <c r="A2063" s="1115"/>
      <c r="B2063" s="1115"/>
      <c r="C2063" s="1115"/>
      <c r="D2063" s="1115"/>
      <c r="E2063" s="1115"/>
      <c r="F2063" s="1115"/>
      <c r="G2063" s="1115"/>
      <c r="H2063" s="1115"/>
      <c r="I2063" s="1115"/>
      <c r="J2063" s="1115"/>
      <c r="K2063" s="1115"/>
      <c r="L2063" s="1115"/>
      <c r="M2063" s="1115"/>
    </row>
    <row r="2064" spans="1:13" x14ac:dyDescent="0.2">
      <c r="A2064" s="1115"/>
      <c r="B2064" s="1115"/>
      <c r="C2064" s="1115"/>
      <c r="D2064" s="1115"/>
      <c r="E2064" s="1115"/>
      <c r="F2064" s="1115"/>
      <c r="G2064" s="1115"/>
      <c r="H2064" s="1115"/>
      <c r="I2064" s="1115"/>
      <c r="J2064" s="1115"/>
      <c r="K2064" s="1115"/>
      <c r="L2064" s="1115"/>
      <c r="M2064" s="1115"/>
    </row>
    <row r="2065" spans="1:13" x14ac:dyDescent="0.2">
      <c r="A2065" s="1115"/>
      <c r="B2065" s="1115"/>
      <c r="C2065" s="1115"/>
      <c r="D2065" s="1115"/>
      <c r="E2065" s="1115"/>
      <c r="F2065" s="1115"/>
      <c r="G2065" s="1115"/>
      <c r="H2065" s="1115"/>
      <c r="I2065" s="1115"/>
      <c r="J2065" s="1115"/>
      <c r="K2065" s="1115"/>
      <c r="L2065" s="1115"/>
      <c r="M2065" s="1115"/>
    </row>
    <row r="2066" spans="1:13" x14ac:dyDescent="0.2">
      <c r="A2066" s="1115"/>
      <c r="B2066" s="1115"/>
      <c r="C2066" s="1115"/>
      <c r="D2066" s="1115"/>
      <c r="E2066" s="1115"/>
      <c r="F2066" s="1115"/>
      <c r="G2066" s="1115"/>
      <c r="H2066" s="1115"/>
      <c r="I2066" s="1115"/>
      <c r="J2066" s="1115"/>
      <c r="K2066" s="1115"/>
      <c r="L2066" s="1115"/>
      <c r="M2066" s="1115"/>
    </row>
    <row r="2067" spans="1:13" x14ac:dyDescent="0.2">
      <c r="A2067" s="1115"/>
      <c r="B2067" s="1115"/>
      <c r="C2067" s="1115"/>
      <c r="D2067" s="1115"/>
      <c r="E2067" s="1115"/>
      <c r="F2067" s="1115"/>
      <c r="G2067" s="1115"/>
      <c r="H2067" s="1115"/>
      <c r="I2067" s="1115"/>
      <c r="J2067" s="1115"/>
      <c r="K2067" s="1115"/>
      <c r="L2067" s="1115"/>
      <c r="M2067" s="1115"/>
    </row>
    <row r="2068" spans="1:13" x14ac:dyDescent="0.2">
      <c r="A2068" s="1115"/>
      <c r="B2068" s="1115"/>
      <c r="C2068" s="1115"/>
      <c r="D2068" s="1115"/>
      <c r="E2068" s="1115"/>
      <c r="F2068" s="1115"/>
      <c r="G2068" s="1115"/>
      <c r="H2068" s="1115"/>
      <c r="I2068" s="1115"/>
      <c r="J2068" s="1115"/>
      <c r="K2068" s="1115"/>
      <c r="L2068" s="1115"/>
      <c r="M2068" s="1115"/>
    </row>
    <row r="2069" spans="1:13" x14ac:dyDescent="0.2">
      <c r="A2069" s="1115"/>
      <c r="B2069" s="1115"/>
      <c r="C2069" s="1115"/>
      <c r="D2069" s="1115"/>
      <c r="E2069" s="1115"/>
      <c r="F2069" s="1115"/>
      <c r="G2069" s="1115"/>
      <c r="H2069" s="1115"/>
      <c r="I2069" s="1115"/>
      <c r="J2069" s="1115"/>
      <c r="K2069" s="1115"/>
      <c r="L2069" s="1115"/>
      <c r="M2069" s="1115"/>
    </row>
    <row r="2070" spans="1:13" x14ac:dyDescent="0.2">
      <c r="A2070" s="1115"/>
      <c r="B2070" s="1115"/>
      <c r="C2070" s="1115"/>
      <c r="D2070" s="1115"/>
      <c r="E2070" s="1115"/>
      <c r="F2070" s="1115"/>
      <c r="G2070" s="1115"/>
      <c r="H2070" s="1115"/>
      <c r="I2070" s="1115"/>
      <c r="J2070" s="1115"/>
      <c r="K2070" s="1115"/>
      <c r="L2070" s="1115"/>
      <c r="M2070" s="1115"/>
    </row>
    <row r="2071" spans="1:13" x14ac:dyDescent="0.2">
      <c r="A2071" s="1115"/>
      <c r="B2071" s="1115"/>
      <c r="C2071" s="1115"/>
      <c r="D2071" s="1115"/>
      <c r="E2071" s="1115"/>
      <c r="F2071" s="1115"/>
      <c r="G2071" s="1115"/>
      <c r="H2071" s="1115"/>
      <c r="I2071" s="1115"/>
      <c r="J2071" s="1115"/>
      <c r="K2071" s="1115"/>
      <c r="L2071" s="1115"/>
      <c r="M2071" s="1115"/>
    </row>
    <row r="2072" spans="1:13" x14ac:dyDescent="0.2">
      <c r="A2072" s="1115"/>
      <c r="B2072" s="1115"/>
      <c r="C2072" s="1115"/>
      <c r="D2072" s="1115"/>
      <c r="E2072" s="1115"/>
      <c r="F2072" s="1115"/>
      <c r="G2072" s="1115"/>
      <c r="H2072" s="1115"/>
      <c r="I2072" s="1115"/>
      <c r="J2072" s="1115"/>
      <c r="K2072" s="1115"/>
      <c r="L2072" s="1115"/>
      <c r="M2072" s="1115"/>
    </row>
    <row r="2073" spans="1:13" x14ac:dyDescent="0.2">
      <c r="A2073" s="1115"/>
      <c r="B2073" s="1115"/>
      <c r="C2073" s="1115"/>
      <c r="D2073" s="1115"/>
      <c r="E2073" s="1115"/>
      <c r="F2073" s="1115"/>
      <c r="G2073" s="1115"/>
      <c r="H2073" s="1115"/>
      <c r="I2073" s="1115"/>
      <c r="J2073" s="1115"/>
      <c r="K2073" s="1115"/>
      <c r="L2073" s="1115"/>
      <c r="M2073" s="1115"/>
    </row>
    <row r="2074" spans="1:13" x14ac:dyDescent="0.2">
      <c r="A2074" s="1115"/>
      <c r="B2074" s="1115"/>
      <c r="C2074" s="1115"/>
      <c r="D2074" s="1115"/>
      <c r="E2074" s="1115"/>
      <c r="F2074" s="1115"/>
      <c r="G2074" s="1115"/>
      <c r="H2074" s="1115"/>
      <c r="I2074" s="1115"/>
      <c r="J2074" s="1115"/>
      <c r="K2074" s="1115"/>
      <c r="L2074" s="1115"/>
      <c r="M2074" s="1115"/>
    </row>
    <row r="2075" spans="1:13" x14ac:dyDescent="0.2">
      <c r="A2075" s="1115"/>
      <c r="B2075" s="1115"/>
      <c r="C2075" s="1115"/>
      <c r="D2075" s="1115"/>
      <c r="E2075" s="1115"/>
      <c r="F2075" s="1115"/>
      <c r="G2075" s="1115"/>
      <c r="H2075" s="1115"/>
      <c r="I2075" s="1115"/>
      <c r="J2075" s="1115"/>
      <c r="K2075" s="1115"/>
      <c r="L2075" s="1115"/>
      <c r="M2075" s="1115"/>
    </row>
    <row r="2076" spans="1:13" x14ac:dyDescent="0.2">
      <c r="A2076" s="1115"/>
      <c r="B2076" s="1115"/>
      <c r="C2076" s="1115"/>
      <c r="D2076" s="1115"/>
      <c r="E2076" s="1115"/>
      <c r="F2076" s="1115"/>
      <c r="G2076" s="1115"/>
      <c r="H2076" s="1115"/>
      <c r="I2076" s="1115"/>
      <c r="J2076" s="1115"/>
      <c r="K2076" s="1115"/>
      <c r="L2076" s="1115"/>
      <c r="M2076" s="1115"/>
    </row>
    <row r="2077" spans="1:13" x14ac:dyDescent="0.2">
      <c r="A2077" s="1115"/>
      <c r="B2077" s="1115"/>
      <c r="C2077" s="1115"/>
      <c r="D2077" s="1115"/>
      <c r="E2077" s="1115"/>
      <c r="F2077" s="1115"/>
      <c r="G2077" s="1115"/>
      <c r="H2077" s="1115"/>
      <c r="I2077" s="1115"/>
      <c r="J2077" s="1115"/>
      <c r="K2077" s="1115"/>
      <c r="L2077" s="1115"/>
      <c r="M2077" s="1115"/>
    </row>
    <row r="2078" spans="1:13" x14ac:dyDescent="0.2">
      <c r="A2078" s="1115"/>
      <c r="B2078" s="1115"/>
      <c r="C2078" s="1115"/>
      <c r="D2078" s="1115"/>
      <c r="E2078" s="1115"/>
      <c r="F2078" s="1115"/>
      <c r="G2078" s="1115"/>
      <c r="H2078" s="1115"/>
      <c r="I2078" s="1115"/>
      <c r="J2078" s="1115"/>
      <c r="K2078" s="1115"/>
      <c r="L2078" s="1115"/>
      <c r="M2078" s="1115"/>
    </row>
    <row r="2079" spans="1:13" x14ac:dyDescent="0.2">
      <c r="A2079" s="1115"/>
      <c r="B2079" s="1115"/>
      <c r="C2079" s="1115"/>
      <c r="D2079" s="1115"/>
      <c r="E2079" s="1115"/>
      <c r="F2079" s="1115"/>
      <c r="G2079" s="1115"/>
      <c r="H2079" s="1115"/>
      <c r="I2079" s="1115"/>
      <c r="J2079" s="1115"/>
      <c r="K2079" s="1115"/>
      <c r="L2079" s="1115"/>
      <c r="M2079" s="1115"/>
    </row>
    <row r="2080" spans="1:13" x14ac:dyDescent="0.2">
      <c r="A2080" s="1115"/>
      <c r="B2080" s="1115"/>
      <c r="C2080" s="1115"/>
      <c r="D2080" s="1115"/>
      <c r="E2080" s="1115"/>
      <c r="F2080" s="1115"/>
      <c r="G2080" s="1115"/>
      <c r="H2080" s="1115"/>
      <c r="I2080" s="1115"/>
      <c r="J2080" s="1115"/>
      <c r="K2080" s="1115"/>
      <c r="L2080" s="1115"/>
      <c r="M2080" s="1115"/>
    </row>
    <row r="2081" spans="1:13" x14ac:dyDescent="0.2">
      <c r="A2081" s="1115"/>
      <c r="B2081" s="1115"/>
      <c r="C2081" s="1115"/>
      <c r="D2081" s="1115"/>
      <c r="E2081" s="1115"/>
      <c r="F2081" s="1115"/>
      <c r="G2081" s="1115"/>
      <c r="H2081" s="1115"/>
      <c r="I2081" s="1115"/>
      <c r="J2081" s="1115"/>
      <c r="K2081" s="1115"/>
      <c r="L2081" s="1115"/>
      <c r="M2081" s="1115"/>
    </row>
    <row r="2082" spans="1:13" x14ac:dyDescent="0.2">
      <c r="A2082" s="1115"/>
      <c r="B2082" s="1115"/>
      <c r="C2082" s="1115"/>
      <c r="D2082" s="1115"/>
      <c r="E2082" s="1115"/>
      <c r="F2082" s="1115"/>
      <c r="G2082" s="1115"/>
      <c r="H2082" s="1115"/>
      <c r="I2082" s="1115"/>
      <c r="J2082" s="1115"/>
      <c r="K2082" s="1115"/>
      <c r="L2082" s="1115"/>
      <c r="M2082" s="1115"/>
    </row>
    <row r="2083" spans="1:13" x14ac:dyDescent="0.2">
      <c r="A2083" s="1115"/>
      <c r="B2083" s="1115"/>
      <c r="C2083" s="1115"/>
      <c r="D2083" s="1115"/>
      <c r="E2083" s="1115"/>
      <c r="F2083" s="1115"/>
      <c r="G2083" s="1115"/>
      <c r="H2083" s="1115"/>
      <c r="I2083" s="1115"/>
      <c r="J2083" s="1115"/>
      <c r="K2083" s="1115"/>
      <c r="L2083" s="1115"/>
      <c r="M2083" s="1115"/>
    </row>
    <row r="2084" spans="1:13" x14ac:dyDescent="0.2">
      <c r="A2084" s="1115"/>
      <c r="B2084" s="1115"/>
      <c r="C2084" s="1115"/>
      <c r="D2084" s="1115"/>
      <c r="E2084" s="1115"/>
      <c r="F2084" s="1115"/>
      <c r="G2084" s="1115"/>
      <c r="H2084" s="1115"/>
      <c r="I2084" s="1115"/>
      <c r="J2084" s="1115"/>
      <c r="K2084" s="1115"/>
      <c r="L2084" s="1115"/>
      <c r="M2084" s="1115"/>
    </row>
    <row r="2085" spans="1:13" x14ac:dyDescent="0.2">
      <c r="A2085" s="1115"/>
      <c r="B2085" s="1115"/>
      <c r="C2085" s="1115"/>
      <c r="D2085" s="1115"/>
      <c r="E2085" s="1115"/>
      <c r="F2085" s="1115"/>
      <c r="G2085" s="1115"/>
      <c r="H2085" s="1115"/>
      <c r="I2085" s="1115"/>
      <c r="J2085" s="1115"/>
      <c r="K2085" s="1115"/>
      <c r="L2085" s="1115"/>
      <c r="M2085" s="1115"/>
    </row>
    <row r="2086" spans="1:13" x14ac:dyDescent="0.2">
      <c r="A2086" s="1115"/>
      <c r="B2086" s="1115"/>
      <c r="C2086" s="1115"/>
      <c r="D2086" s="1115"/>
      <c r="E2086" s="1115"/>
      <c r="F2086" s="1115"/>
      <c r="G2086" s="1115"/>
      <c r="H2086" s="1115"/>
      <c r="I2086" s="1115"/>
      <c r="J2086" s="1115"/>
      <c r="K2086" s="1115"/>
      <c r="L2086" s="1115"/>
      <c r="M2086" s="1115"/>
    </row>
    <row r="2087" spans="1:13" x14ac:dyDescent="0.2">
      <c r="A2087" s="1115"/>
      <c r="B2087" s="1115"/>
      <c r="C2087" s="1115"/>
      <c r="D2087" s="1115"/>
      <c r="E2087" s="1115"/>
      <c r="F2087" s="1115"/>
      <c r="G2087" s="1115"/>
      <c r="H2087" s="1115"/>
      <c r="I2087" s="1115"/>
      <c r="J2087" s="1115"/>
      <c r="K2087" s="1115"/>
      <c r="L2087" s="1115"/>
      <c r="M2087" s="1115"/>
    </row>
    <row r="2088" spans="1:13" x14ac:dyDescent="0.2">
      <c r="A2088" s="1115"/>
      <c r="B2088" s="1115"/>
      <c r="C2088" s="1115"/>
      <c r="D2088" s="1115"/>
      <c r="E2088" s="1115"/>
      <c r="F2088" s="1115"/>
      <c r="G2088" s="1115"/>
      <c r="H2088" s="1115"/>
      <c r="I2088" s="1115"/>
      <c r="J2088" s="1115"/>
      <c r="K2088" s="1115"/>
      <c r="L2088" s="1115"/>
      <c r="M2088" s="1115"/>
    </row>
    <row r="2089" spans="1:13" x14ac:dyDescent="0.2">
      <c r="A2089" s="1115"/>
      <c r="B2089" s="1115"/>
      <c r="C2089" s="1115"/>
      <c r="D2089" s="1115"/>
      <c r="E2089" s="1115"/>
      <c r="F2089" s="1115"/>
      <c r="G2089" s="1115"/>
      <c r="H2089" s="1115"/>
      <c r="I2089" s="1115"/>
      <c r="J2089" s="1115"/>
      <c r="K2089" s="1115"/>
      <c r="L2089" s="1115"/>
      <c r="M2089" s="1115"/>
    </row>
    <row r="2090" spans="1:13" x14ac:dyDescent="0.2">
      <c r="A2090" s="1115"/>
      <c r="B2090" s="1115"/>
      <c r="C2090" s="1115"/>
      <c r="D2090" s="1115"/>
      <c r="E2090" s="1115"/>
      <c r="F2090" s="1115"/>
      <c r="G2090" s="1115"/>
      <c r="H2090" s="1115"/>
      <c r="I2090" s="1115"/>
      <c r="J2090" s="1115"/>
      <c r="K2090" s="1115"/>
      <c r="L2090" s="1115"/>
      <c r="M2090" s="1115"/>
    </row>
    <row r="2091" spans="1:13" x14ac:dyDescent="0.2">
      <c r="A2091" s="1115"/>
      <c r="B2091" s="1115"/>
      <c r="C2091" s="1115"/>
      <c r="D2091" s="1115"/>
      <c r="E2091" s="1115"/>
      <c r="F2091" s="1115"/>
      <c r="G2091" s="1115"/>
      <c r="H2091" s="1115"/>
      <c r="I2091" s="1115"/>
      <c r="J2091" s="1115"/>
      <c r="K2091" s="1115"/>
      <c r="L2091" s="1115"/>
      <c r="M2091" s="1115"/>
    </row>
    <row r="2092" spans="1:13" x14ac:dyDescent="0.2">
      <c r="A2092" s="1115"/>
      <c r="B2092" s="1115"/>
      <c r="C2092" s="1115"/>
      <c r="D2092" s="1115"/>
      <c r="E2092" s="1115"/>
      <c r="F2092" s="1115"/>
      <c r="G2092" s="1115"/>
      <c r="H2092" s="1115"/>
      <c r="I2092" s="1115"/>
      <c r="J2092" s="1115"/>
      <c r="K2092" s="1115"/>
      <c r="L2092" s="1115"/>
      <c r="M2092" s="1115"/>
    </row>
    <row r="2093" spans="1:13" x14ac:dyDescent="0.2">
      <c r="A2093" s="1115"/>
      <c r="B2093" s="1115"/>
      <c r="C2093" s="1115"/>
      <c r="D2093" s="1115"/>
      <c r="E2093" s="1115"/>
      <c r="F2093" s="1115"/>
      <c r="G2093" s="1115"/>
      <c r="H2093" s="1115"/>
      <c r="I2093" s="1115"/>
      <c r="J2093" s="1115"/>
      <c r="K2093" s="1115"/>
      <c r="L2093" s="1115"/>
      <c r="M2093" s="1115"/>
    </row>
    <row r="2094" spans="1:13" x14ac:dyDescent="0.2">
      <c r="A2094" s="1115"/>
      <c r="B2094" s="1115"/>
      <c r="C2094" s="1115"/>
      <c r="D2094" s="1115"/>
      <c r="E2094" s="1115"/>
      <c r="F2094" s="1115"/>
      <c r="G2094" s="1115"/>
      <c r="H2094" s="1115"/>
      <c r="I2094" s="1115"/>
      <c r="J2094" s="1115"/>
      <c r="K2094" s="1115"/>
      <c r="L2094" s="1115"/>
      <c r="M2094" s="1115"/>
    </row>
    <row r="2095" spans="1:13" x14ac:dyDescent="0.2">
      <c r="A2095" s="1115"/>
      <c r="B2095" s="1115"/>
      <c r="C2095" s="1115"/>
      <c r="D2095" s="1115"/>
      <c r="E2095" s="1115"/>
      <c r="F2095" s="1115"/>
      <c r="G2095" s="1115"/>
      <c r="H2095" s="1115"/>
      <c r="I2095" s="1115"/>
      <c r="J2095" s="1115"/>
      <c r="K2095" s="1115"/>
      <c r="L2095" s="1115"/>
      <c r="M2095" s="1115"/>
    </row>
    <row r="2096" spans="1:13" x14ac:dyDescent="0.2">
      <c r="A2096" s="1115"/>
      <c r="B2096" s="1115"/>
      <c r="C2096" s="1115"/>
      <c r="D2096" s="1115"/>
      <c r="E2096" s="1115"/>
      <c r="F2096" s="1115"/>
      <c r="G2096" s="1115"/>
      <c r="H2096" s="1115"/>
      <c r="I2096" s="1115"/>
      <c r="J2096" s="1115"/>
      <c r="K2096" s="1115"/>
      <c r="L2096" s="1115"/>
      <c r="M2096" s="1115"/>
    </row>
    <row r="2097" spans="1:13" x14ac:dyDescent="0.2">
      <c r="A2097" s="1115"/>
      <c r="B2097" s="1115"/>
      <c r="C2097" s="1115"/>
      <c r="D2097" s="1115"/>
      <c r="E2097" s="1115"/>
      <c r="F2097" s="1115"/>
      <c r="G2097" s="1115"/>
      <c r="H2097" s="1115"/>
      <c r="I2097" s="1115"/>
      <c r="J2097" s="1115"/>
      <c r="K2097" s="1115"/>
      <c r="L2097" s="1115"/>
      <c r="M2097" s="1115"/>
    </row>
    <row r="2098" spans="1:13" x14ac:dyDescent="0.2">
      <c r="A2098" s="1115"/>
      <c r="B2098" s="1115"/>
      <c r="C2098" s="1115"/>
      <c r="D2098" s="1115"/>
      <c r="E2098" s="1115"/>
      <c r="F2098" s="1115"/>
      <c r="G2098" s="1115"/>
      <c r="H2098" s="1115"/>
      <c r="I2098" s="1115"/>
      <c r="J2098" s="1115"/>
      <c r="K2098" s="1115"/>
      <c r="L2098" s="1115"/>
      <c r="M2098" s="1115"/>
    </row>
    <row r="2099" spans="1:13" x14ac:dyDescent="0.2">
      <c r="A2099" s="1115"/>
      <c r="B2099" s="1115"/>
      <c r="C2099" s="1115"/>
      <c r="D2099" s="1115"/>
      <c r="E2099" s="1115"/>
      <c r="F2099" s="1115"/>
      <c r="G2099" s="1115"/>
      <c r="H2099" s="1115"/>
      <c r="I2099" s="1115"/>
      <c r="J2099" s="1115"/>
      <c r="K2099" s="1115"/>
      <c r="L2099" s="1115"/>
      <c r="M2099" s="1115"/>
    </row>
    <row r="2100" spans="1:13" x14ac:dyDescent="0.2">
      <c r="A2100" s="1115"/>
      <c r="B2100" s="1115"/>
      <c r="C2100" s="1115"/>
      <c r="D2100" s="1115"/>
      <c r="E2100" s="1115"/>
      <c r="F2100" s="1115"/>
      <c r="G2100" s="1115"/>
      <c r="H2100" s="1115"/>
      <c r="I2100" s="1115"/>
      <c r="J2100" s="1115"/>
      <c r="K2100" s="1115"/>
      <c r="L2100" s="1115"/>
      <c r="M2100" s="1115"/>
    </row>
    <row r="2101" spans="1:13" x14ac:dyDescent="0.2">
      <c r="A2101" s="1115"/>
      <c r="B2101" s="1115"/>
      <c r="C2101" s="1115"/>
      <c r="D2101" s="1115"/>
      <c r="E2101" s="1115"/>
      <c r="F2101" s="1115"/>
      <c r="G2101" s="1115"/>
      <c r="H2101" s="1115"/>
      <c r="I2101" s="1115"/>
      <c r="J2101" s="1115"/>
      <c r="K2101" s="1115"/>
      <c r="L2101" s="1115"/>
      <c r="M2101" s="1115"/>
    </row>
    <row r="2102" spans="1:13" x14ac:dyDescent="0.2">
      <c r="A2102" s="1115"/>
      <c r="B2102" s="1115"/>
      <c r="C2102" s="1115"/>
      <c r="D2102" s="1115"/>
      <c r="E2102" s="1115"/>
      <c r="F2102" s="1115"/>
      <c r="G2102" s="1115"/>
      <c r="H2102" s="1115"/>
      <c r="I2102" s="1115"/>
      <c r="J2102" s="1115"/>
      <c r="K2102" s="1115"/>
      <c r="L2102" s="1115"/>
      <c r="M2102" s="1115"/>
    </row>
    <row r="2103" spans="1:13" x14ac:dyDescent="0.2">
      <c r="A2103" s="1115"/>
      <c r="B2103" s="1115"/>
      <c r="C2103" s="1115"/>
      <c r="D2103" s="1115"/>
      <c r="E2103" s="1115"/>
      <c r="F2103" s="1115"/>
      <c r="G2103" s="1115"/>
      <c r="H2103" s="1115"/>
      <c r="I2103" s="1115"/>
      <c r="J2103" s="1115"/>
      <c r="K2103" s="1115"/>
      <c r="L2103" s="1115"/>
      <c r="M2103" s="1115"/>
    </row>
    <row r="2104" spans="1:13" x14ac:dyDescent="0.2">
      <c r="A2104" s="1115"/>
      <c r="B2104" s="1115"/>
      <c r="C2104" s="1115"/>
      <c r="D2104" s="1115"/>
      <c r="E2104" s="1115"/>
      <c r="F2104" s="1115"/>
      <c r="G2104" s="1115"/>
      <c r="H2104" s="1115"/>
      <c r="I2104" s="1115"/>
      <c r="J2104" s="1115"/>
      <c r="K2104" s="1115"/>
      <c r="L2104" s="1115"/>
      <c r="M2104" s="1115"/>
    </row>
    <row r="2105" spans="1:13" x14ac:dyDescent="0.2">
      <c r="A2105" s="1115"/>
      <c r="B2105" s="1115"/>
      <c r="C2105" s="1115"/>
      <c r="D2105" s="1115"/>
      <c r="E2105" s="1115"/>
      <c r="F2105" s="1115"/>
      <c r="G2105" s="1115"/>
      <c r="H2105" s="1115"/>
      <c r="I2105" s="1115"/>
      <c r="J2105" s="1115"/>
      <c r="K2105" s="1115"/>
      <c r="L2105" s="1115"/>
      <c r="M2105" s="1115"/>
    </row>
    <row r="2106" spans="1:13" x14ac:dyDescent="0.2">
      <c r="A2106" s="1115"/>
      <c r="B2106" s="1115"/>
      <c r="C2106" s="1115"/>
      <c r="D2106" s="1115"/>
      <c r="E2106" s="1115"/>
      <c r="F2106" s="1115"/>
      <c r="G2106" s="1115"/>
      <c r="H2106" s="1115"/>
      <c r="I2106" s="1115"/>
      <c r="J2106" s="1115"/>
      <c r="K2106" s="1115"/>
      <c r="L2106" s="1115"/>
      <c r="M2106" s="1115"/>
    </row>
    <row r="2107" spans="1:13" x14ac:dyDescent="0.2">
      <c r="A2107" s="1115"/>
      <c r="B2107" s="1115"/>
      <c r="C2107" s="1115"/>
      <c r="D2107" s="1115"/>
      <c r="E2107" s="1115"/>
      <c r="F2107" s="1115"/>
      <c r="G2107" s="1115"/>
      <c r="H2107" s="1115"/>
      <c r="I2107" s="1115"/>
      <c r="J2107" s="1115"/>
      <c r="K2107" s="1115"/>
      <c r="L2107" s="1115"/>
      <c r="M2107" s="1115"/>
    </row>
    <row r="2108" spans="1:13" x14ac:dyDescent="0.2">
      <c r="A2108" s="1115"/>
      <c r="B2108" s="1115"/>
      <c r="C2108" s="1115"/>
      <c r="D2108" s="1115"/>
      <c r="E2108" s="1115"/>
      <c r="F2108" s="1115"/>
      <c r="G2108" s="1115"/>
      <c r="H2108" s="1115"/>
      <c r="I2108" s="1115"/>
      <c r="J2108" s="1115"/>
      <c r="K2108" s="1115"/>
      <c r="L2108" s="1115"/>
      <c r="M2108" s="1115"/>
    </row>
    <row r="2109" spans="1:13" x14ac:dyDescent="0.2">
      <c r="A2109" s="1115"/>
      <c r="B2109" s="1115"/>
      <c r="C2109" s="1115"/>
      <c r="D2109" s="1115"/>
      <c r="E2109" s="1115"/>
      <c r="F2109" s="1115"/>
      <c r="G2109" s="1115"/>
      <c r="H2109" s="1115"/>
      <c r="I2109" s="1115"/>
      <c r="J2109" s="1115"/>
      <c r="K2109" s="1115"/>
      <c r="L2109" s="1115"/>
      <c r="M2109" s="1115"/>
    </row>
    <row r="2110" spans="1:13" x14ac:dyDescent="0.2">
      <c r="A2110" s="1115"/>
      <c r="B2110" s="1115"/>
      <c r="C2110" s="1115"/>
      <c r="D2110" s="1115"/>
      <c r="E2110" s="1115"/>
      <c r="F2110" s="1115"/>
      <c r="G2110" s="1115"/>
      <c r="H2110" s="1115"/>
      <c r="I2110" s="1115"/>
      <c r="J2110" s="1115"/>
      <c r="K2110" s="1115"/>
      <c r="L2110" s="1115"/>
      <c r="M2110" s="1115"/>
    </row>
    <row r="2111" spans="1:13" x14ac:dyDescent="0.2">
      <c r="A2111" s="1115"/>
      <c r="B2111" s="1115"/>
      <c r="C2111" s="1115"/>
      <c r="D2111" s="1115"/>
      <c r="E2111" s="1115"/>
      <c r="F2111" s="1115"/>
      <c r="G2111" s="1115"/>
      <c r="H2111" s="1115"/>
      <c r="I2111" s="1115"/>
      <c r="J2111" s="1115"/>
      <c r="K2111" s="1115"/>
      <c r="L2111" s="1115"/>
      <c r="M2111" s="1115"/>
    </row>
    <row r="2112" spans="1:13" x14ac:dyDescent="0.2">
      <c r="A2112" s="1115"/>
      <c r="B2112" s="1115"/>
      <c r="C2112" s="1115"/>
      <c r="D2112" s="1115"/>
      <c r="E2112" s="1115"/>
      <c r="F2112" s="1115"/>
      <c r="G2112" s="1115"/>
      <c r="H2112" s="1115"/>
      <c r="I2112" s="1115"/>
      <c r="J2112" s="1115"/>
      <c r="K2112" s="1115"/>
      <c r="L2112" s="1115"/>
      <c r="M2112" s="1115"/>
    </row>
    <row r="2113" spans="1:13" x14ac:dyDescent="0.2">
      <c r="A2113" s="1115"/>
      <c r="B2113" s="1115"/>
      <c r="C2113" s="1115"/>
      <c r="D2113" s="1115"/>
      <c r="E2113" s="1115"/>
      <c r="F2113" s="1115"/>
      <c r="G2113" s="1115"/>
      <c r="H2113" s="1115"/>
      <c r="I2113" s="1115"/>
      <c r="J2113" s="1115"/>
      <c r="K2113" s="1115"/>
      <c r="L2113" s="1115"/>
      <c r="M2113" s="1115"/>
    </row>
    <row r="2114" spans="1:13" x14ac:dyDescent="0.2">
      <c r="A2114" s="1115"/>
      <c r="B2114" s="1115"/>
      <c r="C2114" s="1115"/>
      <c r="D2114" s="1115"/>
      <c r="E2114" s="1115"/>
      <c r="F2114" s="1115"/>
      <c r="G2114" s="1115"/>
      <c r="H2114" s="1115"/>
      <c r="I2114" s="1115"/>
      <c r="J2114" s="1115"/>
      <c r="K2114" s="1115"/>
      <c r="L2114" s="1115"/>
      <c r="M2114" s="1115"/>
    </row>
    <row r="2115" spans="1:13" x14ac:dyDescent="0.2">
      <c r="A2115" s="1115"/>
      <c r="B2115" s="1115"/>
      <c r="C2115" s="1115"/>
      <c r="D2115" s="1115"/>
      <c r="E2115" s="1115"/>
      <c r="F2115" s="1115"/>
      <c r="G2115" s="1115"/>
      <c r="H2115" s="1115"/>
      <c r="I2115" s="1115"/>
      <c r="J2115" s="1115"/>
      <c r="K2115" s="1115"/>
      <c r="L2115" s="1115"/>
      <c r="M2115" s="1115"/>
    </row>
    <row r="2116" spans="1:13" x14ac:dyDescent="0.2">
      <c r="A2116" s="1115"/>
      <c r="B2116" s="1115"/>
      <c r="C2116" s="1115"/>
      <c r="D2116" s="1115"/>
      <c r="E2116" s="1115"/>
      <c r="F2116" s="1115"/>
      <c r="G2116" s="1115"/>
      <c r="H2116" s="1115"/>
      <c r="I2116" s="1115"/>
      <c r="J2116" s="1115"/>
      <c r="K2116" s="1115"/>
      <c r="L2116" s="1115"/>
      <c r="M2116" s="1115"/>
    </row>
    <row r="2117" spans="1:13" x14ac:dyDescent="0.2">
      <c r="A2117" s="1115"/>
      <c r="B2117" s="1115"/>
      <c r="C2117" s="1115"/>
      <c r="D2117" s="1115"/>
      <c r="E2117" s="1115"/>
      <c r="F2117" s="1115"/>
      <c r="G2117" s="1115"/>
      <c r="H2117" s="1115"/>
      <c r="I2117" s="1115"/>
      <c r="J2117" s="1115"/>
      <c r="K2117" s="1115"/>
      <c r="L2117" s="1115"/>
      <c r="M2117" s="1115"/>
    </row>
    <row r="2118" spans="1:13" x14ac:dyDescent="0.2">
      <c r="A2118" s="1115"/>
      <c r="B2118" s="1115"/>
      <c r="C2118" s="1115"/>
      <c r="D2118" s="1115"/>
      <c r="E2118" s="1115"/>
      <c r="F2118" s="1115"/>
      <c r="G2118" s="1115"/>
      <c r="H2118" s="1115"/>
      <c r="I2118" s="1115"/>
      <c r="J2118" s="1115"/>
      <c r="K2118" s="1115"/>
      <c r="L2118" s="1115"/>
      <c r="M2118" s="1115"/>
    </row>
    <row r="2119" spans="1:13" x14ac:dyDescent="0.2">
      <c r="A2119" s="1115"/>
      <c r="B2119" s="1115"/>
      <c r="C2119" s="1115"/>
      <c r="D2119" s="1115"/>
      <c r="E2119" s="1115"/>
      <c r="F2119" s="1115"/>
      <c r="G2119" s="1115"/>
      <c r="H2119" s="1115"/>
      <c r="I2119" s="1115"/>
      <c r="J2119" s="1115"/>
      <c r="K2119" s="1115"/>
      <c r="L2119" s="1115"/>
      <c r="M2119" s="1115"/>
    </row>
    <row r="2120" spans="1:13" x14ac:dyDescent="0.2">
      <c r="A2120" s="1115"/>
      <c r="B2120" s="1115"/>
      <c r="C2120" s="1115"/>
      <c r="D2120" s="1115"/>
      <c r="E2120" s="1115"/>
      <c r="F2120" s="1115"/>
      <c r="G2120" s="1115"/>
      <c r="H2120" s="1115"/>
      <c r="I2120" s="1115"/>
      <c r="J2120" s="1115"/>
      <c r="K2120" s="1115"/>
      <c r="L2120" s="1115"/>
      <c r="M2120" s="1115"/>
    </row>
    <row r="2121" spans="1:13" x14ac:dyDescent="0.2">
      <c r="A2121" s="1115"/>
      <c r="B2121" s="1115"/>
      <c r="C2121" s="1115"/>
      <c r="D2121" s="1115"/>
      <c r="E2121" s="1115"/>
      <c r="F2121" s="1115"/>
      <c r="G2121" s="1115"/>
      <c r="H2121" s="1115"/>
      <c r="I2121" s="1115"/>
      <c r="J2121" s="1115"/>
      <c r="K2121" s="1115"/>
      <c r="L2121" s="1115"/>
      <c r="M2121" s="1115"/>
    </row>
    <row r="2122" spans="1:13" x14ac:dyDescent="0.2">
      <c r="A2122" s="1115"/>
      <c r="B2122" s="1115"/>
      <c r="C2122" s="1115"/>
      <c r="D2122" s="1115"/>
      <c r="E2122" s="1115"/>
      <c r="F2122" s="1115"/>
      <c r="G2122" s="1115"/>
      <c r="H2122" s="1115"/>
      <c r="I2122" s="1115"/>
      <c r="J2122" s="1115"/>
      <c r="K2122" s="1115"/>
      <c r="L2122" s="1115"/>
      <c r="M2122" s="1115"/>
    </row>
    <row r="2123" spans="1:13" x14ac:dyDescent="0.2">
      <c r="A2123" s="1115"/>
      <c r="B2123" s="1115"/>
      <c r="C2123" s="1115"/>
      <c r="D2123" s="1115"/>
      <c r="E2123" s="1115"/>
      <c r="F2123" s="1115"/>
      <c r="G2123" s="1115"/>
      <c r="H2123" s="1115"/>
      <c r="I2123" s="1115"/>
      <c r="J2123" s="1115"/>
      <c r="K2123" s="1115"/>
      <c r="L2123" s="1115"/>
      <c r="M2123" s="1115"/>
    </row>
    <row r="2124" spans="1:13" x14ac:dyDescent="0.2">
      <c r="A2124" s="1115"/>
      <c r="B2124" s="1115"/>
      <c r="C2124" s="1115"/>
      <c r="D2124" s="1115"/>
      <c r="E2124" s="1115"/>
      <c r="F2124" s="1115"/>
      <c r="G2124" s="1115"/>
      <c r="H2124" s="1115"/>
      <c r="I2124" s="1115"/>
      <c r="J2124" s="1115"/>
      <c r="K2124" s="1115"/>
      <c r="L2124" s="1115"/>
      <c r="M2124" s="1115"/>
    </row>
    <row r="2125" spans="1:13" x14ac:dyDescent="0.2">
      <c r="A2125" s="1115"/>
      <c r="B2125" s="1115"/>
      <c r="C2125" s="1115"/>
      <c r="D2125" s="1115"/>
      <c r="E2125" s="1115"/>
      <c r="F2125" s="1115"/>
      <c r="G2125" s="1115"/>
      <c r="H2125" s="1115"/>
      <c r="I2125" s="1115"/>
      <c r="J2125" s="1115"/>
      <c r="K2125" s="1115"/>
      <c r="L2125" s="1115"/>
      <c r="M2125" s="1115"/>
    </row>
    <row r="2126" spans="1:13" x14ac:dyDescent="0.2">
      <c r="A2126" s="1115"/>
      <c r="B2126" s="1115"/>
      <c r="C2126" s="1115"/>
      <c r="D2126" s="1115"/>
      <c r="E2126" s="1115"/>
      <c r="F2126" s="1115"/>
      <c r="G2126" s="1115"/>
      <c r="H2126" s="1115"/>
      <c r="I2126" s="1115"/>
      <c r="J2126" s="1115"/>
      <c r="K2126" s="1115"/>
      <c r="L2126" s="1115"/>
      <c r="M2126" s="1115"/>
    </row>
    <row r="2127" spans="1:13" x14ac:dyDescent="0.2">
      <c r="A2127" s="1115"/>
      <c r="B2127" s="1115"/>
      <c r="C2127" s="1115"/>
      <c r="D2127" s="1115"/>
      <c r="E2127" s="1115"/>
      <c r="F2127" s="1115"/>
      <c r="G2127" s="1115"/>
      <c r="H2127" s="1115"/>
      <c r="I2127" s="1115"/>
      <c r="J2127" s="1115"/>
      <c r="K2127" s="1115"/>
      <c r="L2127" s="1115"/>
      <c r="M2127" s="1115"/>
    </row>
    <row r="2128" spans="1:13" x14ac:dyDescent="0.2">
      <c r="A2128" s="1115"/>
      <c r="B2128" s="1115"/>
      <c r="C2128" s="1115"/>
      <c r="D2128" s="1115"/>
      <c r="E2128" s="1115"/>
      <c r="F2128" s="1115"/>
      <c r="G2128" s="1115"/>
      <c r="H2128" s="1115"/>
      <c r="I2128" s="1115"/>
      <c r="J2128" s="1115"/>
      <c r="K2128" s="1115"/>
      <c r="L2128" s="1115"/>
      <c r="M2128" s="1115"/>
    </row>
    <row r="2129" spans="1:13" x14ac:dyDescent="0.2">
      <c r="A2129" s="1115"/>
      <c r="B2129" s="1115"/>
      <c r="C2129" s="1115"/>
      <c r="D2129" s="1115"/>
      <c r="E2129" s="1115"/>
      <c r="F2129" s="1115"/>
      <c r="G2129" s="1115"/>
      <c r="H2129" s="1115"/>
      <c r="I2129" s="1115"/>
      <c r="J2129" s="1115"/>
      <c r="K2129" s="1115"/>
      <c r="L2129" s="1115"/>
      <c r="M2129" s="1115"/>
    </row>
    <row r="2130" spans="1:13" x14ac:dyDescent="0.2">
      <c r="A2130" s="1115"/>
      <c r="B2130" s="1115"/>
      <c r="C2130" s="1115"/>
      <c r="D2130" s="1115"/>
      <c r="E2130" s="1115"/>
      <c r="F2130" s="1115"/>
      <c r="G2130" s="1115"/>
      <c r="H2130" s="1115"/>
      <c r="I2130" s="1115"/>
      <c r="J2130" s="1115"/>
      <c r="K2130" s="1115"/>
      <c r="L2130" s="1115"/>
      <c r="M2130" s="1115"/>
    </row>
    <row r="2131" spans="1:13" x14ac:dyDescent="0.2">
      <c r="A2131" s="1115"/>
      <c r="B2131" s="1115"/>
      <c r="C2131" s="1115"/>
      <c r="D2131" s="1115"/>
      <c r="E2131" s="1115"/>
      <c r="F2131" s="1115"/>
      <c r="G2131" s="1115"/>
      <c r="H2131" s="1115"/>
      <c r="I2131" s="1115"/>
      <c r="J2131" s="1115"/>
      <c r="K2131" s="1115"/>
      <c r="L2131" s="1115"/>
      <c r="M2131" s="1115"/>
    </row>
    <row r="2132" spans="1:13" x14ac:dyDescent="0.2">
      <c r="A2132" s="1115"/>
      <c r="B2132" s="1115"/>
      <c r="C2132" s="1115"/>
      <c r="D2132" s="1115"/>
      <c r="E2132" s="1115"/>
      <c r="F2132" s="1115"/>
      <c r="G2132" s="1115"/>
      <c r="H2132" s="1115"/>
      <c r="I2132" s="1115"/>
      <c r="J2132" s="1115"/>
      <c r="K2132" s="1115"/>
      <c r="L2132" s="1115"/>
      <c r="M2132" s="1115"/>
    </row>
    <row r="2133" spans="1:13" x14ac:dyDescent="0.2">
      <c r="A2133" s="1115"/>
      <c r="B2133" s="1115"/>
      <c r="C2133" s="1115"/>
      <c r="D2133" s="1115"/>
      <c r="E2133" s="1115"/>
      <c r="F2133" s="1115"/>
      <c r="G2133" s="1115"/>
      <c r="H2133" s="1115"/>
      <c r="I2133" s="1115"/>
      <c r="J2133" s="1115"/>
      <c r="K2133" s="1115"/>
      <c r="L2133" s="1115"/>
      <c r="M2133" s="1115"/>
    </row>
    <row r="2134" spans="1:13" x14ac:dyDescent="0.2">
      <c r="A2134" s="1115"/>
      <c r="B2134" s="1115"/>
      <c r="C2134" s="1115"/>
      <c r="D2134" s="1115"/>
      <c r="E2134" s="1115"/>
      <c r="F2134" s="1115"/>
      <c r="G2134" s="1115"/>
      <c r="H2134" s="1115"/>
      <c r="I2134" s="1115"/>
      <c r="J2134" s="1115"/>
      <c r="K2134" s="1115"/>
      <c r="L2134" s="1115"/>
      <c r="M2134" s="1115"/>
    </row>
    <row r="2135" spans="1:13" x14ac:dyDescent="0.2">
      <c r="A2135" s="1115"/>
      <c r="B2135" s="1115"/>
      <c r="C2135" s="1115"/>
      <c r="D2135" s="1115"/>
      <c r="E2135" s="1115"/>
      <c r="F2135" s="1115"/>
      <c r="G2135" s="1115"/>
      <c r="H2135" s="1115"/>
      <c r="I2135" s="1115"/>
      <c r="J2135" s="1115"/>
      <c r="K2135" s="1115"/>
      <c r="L2135" s="1115"/>
      <c r="M2135" s="1115"/>
    </row>
    <row r="2136" spans="1:13" x14ac:dyDescent="0.2">
      <c r="A2136" s="1115"/>
      <c r="B2136" s="1115"/>
      <c r="C2136" s="1115"/>
      <c r="D2136" s="1115"/>
      <c r="E2136" s="1115"/>
      <c r="F2136" s="1115"/>
      <c r="G2136" s="1115"/>
      <c r="H2136" s="1115"/>
      <c r="I2136" s="1115"/>
      <c r="J2136" s="1115"/>
      <c r="K2136" s="1115"/>
      <c r="L2136" s="1115"/>
      <c r="M2136" s="1115"/>
    </row>
    <row r="2137" spans="1:13" x14ac:dyDescent="0.2">
      <c r="A2137" s="1115"/>
      <c r="B2137" s="1115"/>
      <c r="C2137" s="1115"/>
      <c r="D2137" s="1115"/>
      <c r="E2137" s="1115"/>
      <c r="F2137" s="1115"/>
      <c r="G2137" s="1115"/>
      <c r="H2137" s="1115"/>
      <c r="I2137" s="1115"/>
      <c r="J2137" s="1115"/>
      <c r="K2137" s="1115"/>
      <c r="L2137" s="1115"/>
      <c r="M2137" s="1115"/>
    </row>
    <row r="2138" spans="1:13" x14ac:dyDescent="0.2">
      <c r="A2138" s="1115"/>
      <c r="B2138" s="1115"/>
      <c r="C2138" s="1115"/>
      <c r="D2138" s="1115"/>
      <c r="E2138" s="1115"/>
      <c r="F2138" s="1115"/>
      <c r="G2138" s="1115"/>
      <c r="H2138" s="1115"/>
      <c r="I2138" s="1115"/>
      <c r="J2138" s="1115"/>
      <c r="K2138" s="1115"/>
      <c r="L2138" s="1115"/>
      <c r="M2138" s="1115"/>
    </row>
    <row r="2139" spans="1:13" x14ac:dyDescent="0.2">
      <c r="A2139" s="1115"/>
      <c r="B2139" s="1115"/>
      <c r="C2139" s="1115"/>
      <c r="D2139" s="1115"/>
      <c r="E2139" s="1115"/>
      <c r="F2139" s="1115"/>
      <c r="G2139" s="1115"/>
      <c r="H2139" s="1115"/>
      <c r="I2139" s="1115"/>
      <c r="J2139" s="1115"/>
      <c r="K2139" s="1115"/>
      <c r="L2139" s="1115"/>
      <c r="M2139" s="1115"/>
    </row>
    <row r="2140" spans="1:13" x14ac:dyDescent="0.2">
      <c r="A2140" s="1115"/>
      <c r="B2140" s="1115"/>
      <c r="C2140" s="1115"/>
      <c r="D2140" s="1115"/>
      <c r="E2140" s="1115"/>
      <c r="F2140" s="1115"/>
      <c r="G2140" s="1115"/>
      <c r="H2140" s="1115"/>
      <c r="I2140" s="1115"/>
      <c r="J2140" s="1115"/>
      <c r="K2140" s="1115"/>
      <c r="L2140" s="1115"/>
      <c r="M2140" s="1115"/>
    </row>
    <row r="2141" spans="1:13" x14ac:dyDescent="0.2">
      <c r="A2141" s="1115"/>
      <c r="B2141" s="1115"/>
      <c r="C2141" s="1115"/>
      <c r="D2141" s="1115"/>
      <c r="E2141" s="1115"/>
      <c r="F2141" s="1115"/>
      <c r="G2141" s="1115"/>
      <c r="H2141" s="1115"/>
      <c r="I2141" s="1115"/>
      <c r="J2141" s="1115"/>
      <c r="K2141" s="1115"/>
      <c r="L2141" s="1115"/>
      <c r="M2141" s="1115"/>
    </row>
    <row r="2142" spans="1:13" x14ac:dyDescent="0.2">
      <c r="A2142" s="1115"/>
      <c r="B2142" s="1115"/>
      <c r="C2142" s="1115"/>
      <c r="D2142" s="1115"/>
      <c r="E2142" s="1115"/>
      <c r="F2142" s="1115"/>
      <c r="G2142" s="1115"/>
      <c r="H2142" s="1115"/>
      <c r="I2142" s="1115"/>
      <c r="J2142" s="1115"/>
      <c r="K2142" s="1115"/>
      <c r="L2142" s="1115"/>
      <c r="M2142" s="1115"/>
    </row>
    <row r="2143" spans="1:13" x14ac:dyDescent="0.2">
      <c r="A2143" s="1115"/>
      <c r="B2143" s="1115"/>
      <c r="C2143" s="1115"/>
      <c r="D2143" s="1115"/>
      <c r="E2143" s="1115"/>
      <c r="F2143" s="1115"/>
      <c r="G2143" s="1115"/>
      <c r="H2143" s="1115"/>
      <c r="I2143" s="1115"/>
      <c r="J2143" s="1115"/>
      <c r="K2143" s="1115"/>
      <c r="L2143" s="1115"/>
      <c r="M2143" s="1115"/>
    </row>
    <row r="2144" spans="1:13" x14ac:dyDescent="0.2">
      <c r="A2144" s="1115"/>
      <c r="B2144" s="1115"/>
      <c r="C2144" s="1115"/>
      <c r="D2144" s="1115"/>
      <c r="E2144" s="1115"/>
      <c r="F2144" s="1115"/>
      <c r="G2144" s="1115"/>
      <c r="H2144" s="1115"/>
      <c r="I2144" s="1115"/>
      <c r="J2144" s="1115"/>
      <c r="K2144" s="1115"/>
      <c r="L2144" s="1115"/>
      <c r="M2144" s="1115"/>
    </row>
    <row r="2145" spans="1:13" x14ac:dyDescent="0.2">
      <c r="A2145" s="1115"/>
      <c r="B2145" s="1115"/>
      <c r="C2145" s="1115"/>
      <c r="D2145" s="1115"/>
      <c r="E2145" s="1115"/>
      <c r="F2145" s="1115"/>
      <c r="G2145" s="1115"/>
      <c r="H2145" s="1115"/>
      <c r="I2145" s="1115"/>
      <c r="J2145" s="1115"/>
      <c r="K2145" s="1115"/>
      <c r="L2145" s="1115"/>
      <c r="M2145" s="1115"/>
    </row>
    <row r="2146" spans="1:13" x14ac:dyDescent="0.2">
      <c r="A2146" s="1115"/>
      <c r="B2146" s="1115"/>
      <c r="C2146" s="1115"/>
      <c r="D2146" s="1115"/>
      <c r="E2146" s="1115"/>
      <c r="F2146" s="1115"/>
      <c r="G2146" s="1115"/>
      <c r="H2146" s="1115"/>
      <c r="I2146" s="1115"/>
      <c r="J2146" s="1115"/>
      <c r="K2146" s="1115"/>
      <c r="L2146" s="1115"/>
      <c r="M2146" s="1115"/>
    </row>
    <row r="2147" spans="1:13" x14ac:dyDescent="0.2">
      <c r="A2147" s="1115"/>
      <c r="B2147" s="1115"/>
      <c r="C2147" s="1115"/>
      <c r="D2147" s="1115"/>
      <c r="E2147" s="1115"/>
      <c r="F2147" s="1115"/>
      <c r="G2147" s="1115"/>
      <c r="H2147" s="1115"/>
      <c r="I2147" s="1115"/>
      <c r="J2147" s="1115"/>
      <c r="K2147" s="1115"/>
      <c r="L2147" s="1115"/>
      <c r="M2147" s="1115"/>
    </row>
    <row r="2148" spans="1:13" x14ac:dyDescent="0.2">
      <c r="A2148" s="1115"/>
      <c r="B2148" s="1115"/>
      <c r="C2148" s="1115"/>
      <c r="D2148" s="1115"/>
      <c r="E2148" s="1115"/>
      <c r="F2148" s="1115"/>
      <c r="G2148" s="1115"/>
      <c r="H2148" s="1115"/>
      <c r="I2148" s="1115"/>
      <c r="J2148" s="1115"/>
      <c r="K2148" s="1115"/>
      <c r="L2148" s="1115"/>
      <c r="M2148" s="1115"/>
    </row>
    <row r="2149" spans="1:13" x14ac:dyDescent="0.2">
      <c r="A2149" s="1115"/>
      <c r="B2149" s="1115"/>
      <c r="C2149" s="1115"/>
      <c r="D2149" s="1115"/>
      <c r="E2149" s="1115"/>
      <c r="F2149" s="1115"/>
      <c r="G2149" s="1115"/>
      <c r="H2149" s="1115"/>
      <c r="I2149" s="1115"/>
      <c r="J2149" s="1115"/>
      <c r="K2149" s="1115"/>
      <c r="L2149" s="1115"/>
      <c r="M2149" s="1115"/>
    </row>
    <row r="2150" spans="1:13" x14ac:dyDescent="0.2">
      <c r="A2150" s="1115"/>
      <c r="B2150" s="1115"/>
      <c r="C2150" s="1115"/>
      <c r="D2150" s="1115"/>
      <c r="E2150" s="1115"/>
      <c r="F2150" s="1115"/>
      <c r="G2150" s="1115"/>
      <c r="H2150" s="1115"/>
      <c r="I2150" s="1115"/>
      <c r="J2150" s="1115"/>
      <c r="K2150" s="1115"/>
      <c r="L2150" s="1115"/>
      <c r="M2150" s="1115"/>
    </row>
    <row r="2151" spans="1:13" x14ac:dyDescent="0.2">
      <c r="A2151" s="1115"/>
      <c r="B2151" s="1115"/>
      <c r="C2151" s="1115"/>
      <c r="D2151" s="1115"/>
      <c r="E2151" s="1115"/>
      <c r="F2151" s="1115"/>
      <c r="G2151" s="1115"/>
      <c r="H2151" s="1115"/>
      <c r="I2151" s="1115"/>
      <c r="J2151" s="1115"/>
      <c r="K2151" s="1115"/>
      <c r="L2151" s="1115"/>
      <c r="M2151" s="1115"/>
    </row>
    <row r="2152" spans="1:13" x14ac:dyDescent="0.2">
      <c r="A2152" s="1115"/>
      <c r="B2152" s="1115"/>
      <c r="C2152" s="1115"/>
      <c r="D2152" s="1115"/>
      <c r="E2152" s="1115"/>
      <c r="F2152" s="1115"/>
      <c r="G2152" s="1115"/>
      <c r="H2152" s="1115"/>
      <c r="I2152" s="1115"/>
      <c r="J2152" s="1115"/>
      <c r="K2152" s="1115"/>
      <c r="L2152" s="1115"/>
      <c r="M2152" s="1115"/>
    </row>
    <row r="2153" spans="1:13" x14ac:dyDescent="0.2">
      <c r="A2153" s="1115"/>
      <c r="B2153" s="1115"/>
      <c r="C2153" s="1115"/>
      <c r="D2153" s="1115"/>
      <c r="E2153" s="1115"/>
      <c r="F2153" s="1115"/>
      <c r="G2153" s="1115"/>
      <c r="H2153" s="1115"/>
      <c r="I2153" s="1115"/>
      <c r="J2153" s="1115"/>
      <c r="K2153" s="1115"/>
      <c r="L2153" s="1115"/>
      <c r="M2153" s="1115"/>
    </row>
    <row r="2154" spans="1:13" x14ac:dyDescent="0.2">
      <c r="A2154" s="1115"/>
      <c r="B2154" s="1115"/>
      <c r="C2154" s="1115"/>
      <c r="D2154" s="1115"/>
      <c r="E2154" s="1115"/>
      <c r="F2154" s="1115"/>
      <c r="G2154" s="1115"/>
      <c r="H2154" s="1115"/>
      <c r="I2154" s="1115"/>
      <c r="J2154" s="1115"/>
      <c r="K2154" s="1115"/>
      <c r="L2154" s="1115"/>
      <c r="M2154" s="1115"/>
    </row>
    <row r="2155" spans="1:13" x14ac:dyDescent="0.2">
      <c r="A2155" s="1115"/>
      <c r="B2155" s="1115"/>
      <c r="C2155" s="1115"/>
      <c r="D2155" s="1115"/>
      <c r="E2155" s="1115"/>
      <c r="F2155" s="1115"/>
      <c r="G2155" s="1115"/>
      <c r="H2155" s="1115"/>
      <c r="I2155" s="1115"/>
      <c r="J2155" s="1115"/>
      <c r="K2155" s="1115"/>
      <c r="L2155" s="1115"/>
      <c r="M2155" s="1115"/>
    </row>
    <row r="2156" spans="1:13" x14ac:dyDescent="0.2">
      <c r="A2156" s="1115"/>
      <c r="B2156" s="1115"/>
      <c r="C2156" s="1115"/>
      <c r="D2156" s="1115"/>
      <c r="E2156" s="1115"/>
      <c r="F2156" s="1115"/>
      <c r="G2156" s="1115"/>
      <c r="H2156" s="1115"/>
      <c r="I2156" s="1115"/>
      <c r="J2156" s="1115"/>
      <c r="K2156" s="1115"/>
      <c r="L2156" s="1115"/>
      <c r="M2156" s="1115"/>
    </row>
    <row r="2157" spans="1:13" x14ac:dyDescent="0.2">
      <c r="A2157" s="1115"/>
      <c r="B2157" s="1115"/>
      <c r="C2157" s="1115"/>
      <c r="D2157" s="1115"/>
      <c r="E2157" s="1115"/>
      <c r="F2157" s="1115"/>
      <c r="G2157" s="1115"/>
      <c r="H2157" s="1115"/>
      <c r="I2157" s="1115"/>
      <c r="J2157" s="1115"/>
      <c r="K2157" s="1115"/>
      <c r="L2157" s="1115"/>
      <c r="M2157" s="1115"/>
    </row>
    <row r="2158" spans="1:13" x14ac:dyDescent="0.2">
      <c r="A2158" s="1115"/>
      <c r="B2158" s="1115"/>
      <c r="C2158" s="1115"/>
      <c r="D2158" s="1115"/>
      <c r="E2158" s="1115"/>
      <c r="F2158" s="1115"/>
      <c r="G2158" s="1115"/>
      <c r="H2158" s="1115"/>
      <c r="I2158" s="1115"/>
      <c r="J2158" s="1115"/>
      <c r="K2158" s="1115"/>
      <c r="L2158" s="1115"/>
      <c r="M2158" s="1115"/>
    </row>
    <row r="2159" spans="1:13" x14ac:dyDescent="0.2">
      <c r="A2159" s="1115"/>
      <c r="B2159" s="1115"/>
      <c r="C2159" s="1115"/>
      <c r="D2159" s="1115"/>
      <c r="E2159" s="1115"/>
      <c r="F2159" s="1115"/>
      <c r="G2159" s="1115"/>
      <c r="H2159" s="1115"/>
      <c r="I2159" s="1115"/>
      <c r="J2159" s="1115"/>
      <c r="K2159" s="1115"/>
      <c r="L2159" s="1115"/>
      <c r="M2159" s="1115"/>
    </row>
    <row r="2160" spans="1:13" x14ac:dyDescent="0.2">
      <c r="A2160" s="1115"/>
      <c r="B2160" s="1115"/>
      <c r="C2160" s="1115"/>
      <c r="D2160" s="1115"/>
      <c r="E2160" s="1115"/>
      <c r="F2160" s="1115"/>
      <c r="G2160" s="1115"/>
      <c r="H2160" s="1115"/>
      <c r="I2160" s="1115"/>
      <c r="J2160" s="1115"/>
      <c r="K2160" s="1115"/>
      <c r="L2160" s="1115"/>
      <c r="M2160" s="1115"/>
    </row>
    <row r="2161" spans="1:13" x14ac:dyDescent="0.2">
      <c r="A2161" s="1115"/>
      <c r="B2161" s="1115"/>
      <c r="C2161" s="1115"/>
      <c r="D2161" s="1115"/>
      <c r="E2161" s="1115"/>
      <c r="F2161" s="1115"/>
      <c r="G2161" s="1115"/>
      <c r="H2161" s="1115"/>
      <c r="I2161" s="1115"/>
      <c r="J2161" s="1115"/>
      <c r="K2161" s="1115"/>
      <c r="L2161" s="1115"/>
      <c r="M2161" s="1115"/>
    </row>
    <row r="2162" spans="1:13" x14ac:dyDescent="0.2">
      <c r="A2162" s="1115"/>
      <c r="B2162" s="1115"/>
      <c r="C2162" s="1115"/>
      <c r="D2162" s="1115"/>
      <c r="E2162" s="1115"/>
      <c r="F2162" s="1115"/>
      <c r="G2162" s="1115"/>
      <c r="H2162" s="1115"/>
      <c r="I2162" s="1115"/>
      <c r="J2162" s="1115"/>
      <c r="K2162" s="1115"/>
      <c r="L2162" s="1115"/>
      <c r="M2162" s="1115"/>
    </row>
    <row r="2163" spans="1:13" x14ac:dyDescent="0.2">
      <c r="A2163" s="1115"/>
      <c r="B2163" s="1115"/>
      <c r="C2163" s="1115"/>
      <c r="D2163" s="1115"/>
      <c r="E2163" s="1115"/>
      <c r="F2163" s="1115"/>
      <c r="G2163" s="1115"/>
      <c r="H2163" s="1115"/>
      <c r="I2163" s="1115"/>
      <c r="J2163" s="1115"/>
      <c r="K2163" s="1115"/>
      <c r="L2163" s="1115"/>
      <c r="M2163" s="1115"/>
    </row>
    <row r="2164" spans="1:13" x14ac:dyDescent="0.2">
      <c r="A2164" s="1115"/>
      <c r="B2164" s="1115"/>
      <c r="C2164" s="1115"/>
      <c r="D2164" s="1115"/>
      <c r="E2164" s="1115"/>
      <c r="F2164" s="1115"/>
      <c r="G2164" s="1115"/>
      <c r="H2164" s="1115"/>
      <c r="I2164" s="1115"/>
      <c r="J2164" s="1115"/>
      <c r="K2164" s="1115"/>
      <c r="L2164" s="1115"/>
      <c r="M2164" s="1115"/>
    </row>
    <row r="2165" spans="1:13" x14ac:dyDescent="0.2">
      <c r="A2165" s="1115"/>
      <c r="B2165" s="1115"/>
      <c r="C2165" s="1115"/>
      <c r="D2165" s="1115"/>
      <c r="E2165" s="1115"/>
      <c r="F2165" s="1115"/>
      <c r="G2165" s="1115"/>
      <c r="H2165" s="1115"/>
      <c r="I2165" s="1115"/>
      <c r="J2165" s="1115"/>
      <c r="K2165" s="1115"/>
      <c r="L2165" s="1115"/>
      <c r="M2165" s="1115"/>
    </row>
    <row r="2166" spans="1:13" x14ac:dyDescent="0.2">
      <c r="A2166" s="1115"/>
      <c r="B2166" s="1115"/>
      <c r="C2166" s="1115"/>
      <c r="D2166" s="1115"/>
      <c r="E2166" s="1115"/>
      <c r="F2166" s="1115"/>
      <c r="G2166" s="1115"/>
      <c r="H2166" s="1115"/>
      <c r="I2166" s="1115"/>
      <c r="J2166" s="1115"/>
      <c r="K2166" s="1115"/>
      <c r="L2166" s="1115"/>
      <c r="M2166" s="1115"/>
    </row>
    <row r="2167" spans="1:13" x14ac:dyDescent="0.2">
      <c r="A2167" s="1115"/>
      <c r="B2167" s="1115"/>
      <c r="C2167" s="1115"/>
      <c r="D2167" s="1115"/>
      <c r="E2167" s="1115"/>
      <c r="F2167" s="1115"/>
      <c r="G2167" s="1115"/>
      <c r="H2167" s="1115"/>
      <c r="I2167" s="1115"/>
      <c r="J2167" s="1115"/>
      <c r="K2167" s="1115"/>
      <c r="L2167" s="1115"/>
      <c r="M2167" s="1115"/>
    </row>
    <row r="2168" spans="1:13" x14ac:dyDescent="0.2">
      <c r="A2168" s="1115"/>
      <c r="B2168" s="1115"/>
      <c r="C2168" s="1115"/>
      <c r="D2168" s="1115"/>
      <c r="E2168" s="1115"/>
      <c r="F2168" s="1115"/>
      <c r="G2168" s="1115"/>
      <c r="H2168" s="1115"/>
      <c r="I2168" s="1115"/>
      <c r="J2168" s="1115"/>
      <c r="K2168" s="1115"/>
      <c r="L2168" s="1115"/>
      <c r="M2168" s="1115"/>
    </row>
    <row r="2169" spans="1:13" x14ac:dyDescent="0.2">
      <c r="A2169" s="1115"/>
      <c r="B2169" s="1115"/>
      <c r="C2169" s="1115"/>
      <c r="D2169" s="1115"/>
      <c r="E2169" s="1115"/>
      <c r="F2169" s="1115"/>
      <c r="G2169" s="1115"/>
      <c r="H2169" s="1115"/>
      <c r="I2169" s="1115"/>
      <c r="J2169" s="1115"/>
      <c r="K2169" s="1115"/>
      <c r="L2169" s="1115"/>
      <c r="M2169" s="1115"/>
    </row>
    <row r="2170" spans="1:13" x14ac:dyDescent="0.2">
      <c r="A2170" s="1115"/>
      <c r="B2170" s="1115"/>
      <c r="C2170" s="1115"/>
      <c r="D2170" s="1115"/>
      <c r="E2170" s="1115"/>
      <c r="F2170" s="1115"/>
      <c r="G2170" s="1115"/>
      <c r="H2170" s="1115"/>
      <c r="I2170" s="1115"/>
      <c r="J2170" s="1115"/>
      <c r="K2170" s="1115"/>
      <c r="L2170" s="1115"/>
      <c r="M2170" s="1115"/>
    </row>
    <row r="2171" spans="1:13" x14ac:dyDescent="0.2">
      <c r="A2171" s="1115"/>
      <c r="B2171" s="1115"/>
      <c r="C2171" s="1115"/>
      <c r="D2171" s="1115"/>
      <c r="E2171" s="1115"/>
      <c r="F2171" s="1115"/>
      <c r="G2171" s="1115"/>
      <c r="H2171" s="1115"/>
      <c r="I2171" s="1115"/>
      <c r="J2171" s="1115"/>
      <c r="K2171" s="1115"/>
      <c r="L2171" s="1115"/>
      <c r="M2171" s="1115"/>
    </row>
    <row r="2172" spans="1:13" x14ac:dyDescent="0.2">
      <c r="A2172" s="1115"/>
      <c r="B2172" s="1115"/>
      <c r="C2172" s="1115"/>
      <c r="D2172" s="1115"/>
      <c r="E2172" s="1115"/>
      <c r="F2172" s="1115"/>
      <c r="G2172" s="1115"/>
      <c r="H2172" s="1115"/>
      <c r="I2172" s="1115"/>
      <c r="J2172" s="1115"/>
      <c r="K2172" s="1115"/>
      <c r="L2172" s="1115"/>
      <c r="M2172" s="1115"/>
    </row>
    <row r="2173" spans="1:13" x14ac:dyDescent="0.2">
      <c r="A2173" s="1115"/>
      <c r="B2173" s="1115"/>
      <c r="C2173" s="1115"/>
      <c r="D2173" s="1115"/>
      <c r="E2173" s="1115"/>
      <c r="F2173" s="1115"/>
      <c r="G2173" s="1115"/>
      <c r="H2173" s="1115"/>
      <c r="I2173" s="1115"/>
      <c r="J2173" s="1115"/>
      <c r="K2173" s="1115"/>
      <c r="L2173" s="1115"/>
      <c r="M2173" s="1115"/>
    </row>
    <row r="2174" spans="1:13" x14ac:dyDescent="0.2">
      <c r="A2174" s="1115"/>
      <c r="B2174" s="1115"/>
      <c r="C2174" s="1115"/>
      <c r="D2174" s="1115"/>
      <c r="E2174" s="1115"/>
      <c r="F2174" s="1115"/>
      <c r="G2174" s="1115"/>
      <c r="H2174" s="1115"/>
      <c r="I2174" s="1115"/>
      <c r="J2174" s="1115"/>
      <c r="K2174" s="1115"/>
      <c r="L2174" s="1115"/>
      <c r="M2174" s="1115"/>
    </row>
    <row r="2175" spans="1:13" x14ac:dyDescent="0.2">
      <c r="A2175" s="1115"/>
      <c r="B2175" s="1115"/>
      <c r="C2175" s="1115"/>
      <c r="D2175" s="1115"/>
      <c r="E2175" s="1115"/>
      <c r="F2175" s="1115"/>
      <c r="G2175" s="1115"/>
      <c r="H2175" s="1115"/>
      <c r="I2175" s="1115"/>
      <c r="J2175" s="1115"/>
      <c r="K2175" s="1115"/>
      <c r="L2175" s="1115"/>
      <c r="M2175" s="1115"/>
    </row>
    <row r="2176" spans="1:13" x14ac:dyDescent="0.2">
      <c r="A2176" s="1115"/>
      <c r="B2176" s="1115"/>
      <c r="C2176" s="1115"/>
      <c r="D2176" s="1115"/>
      <c r="E2176" s="1115"/>
      <c r="F2176" s="1115"/>
      <c r="G2176" s="1115"/>
      <c r="H2176" s="1115"/>
      <c r="I2176" s="1115"/>
      <c r="J2176" s="1115"/>
      <c r="K2176" s="1115"/>
      <c r="L2176" s="1115"/>
      <c r="M2176" s="1115"/>
    </row>
    <row r="2177" spans="1:13" x14ac:dyDescent="0.2">
      <c r="A2177" s="1115"/>
      <c r="B2177" s="1115"/>
      <c r="C2177" s="1115"/>
      <c r="D2177" s="1115"/>
      <c r="E2177" s="1115"/>
      <c r="F2177" s="1115"/>
      <c r="G2177" s="1115"/>
      <c r="H2177" s="1115"/>
      <c r="I2177" s="1115"/>
      <c r="J2177" s="1115"/>
      <c r="K2177" s="1115"/>
      <c r="L2177" s="1115"/>
      <c r="M2177" s="1115"/>
    </row>
    <row r="2178" spans="1:13" x14ac:dyDescent="0.2">
      <c r="A2178" s="1115"/>
      <c r="B2178" s="1115"/>
      <c r="C2178" s="1115"/>
      <c r="D2178" s="1115"/>
      <c r="E2178" s="1115"/>
      <c r="F2178" s="1115"/>
      <c r="G2178" s="1115"/>
      <c r="H2178" s="1115"/>
      <c r="I2178" s="1115"/>
      <c r="J2178" s="1115"/>
      <c r="K2178" s="1115"/>
      <c r="L2178" s="1115"/>
      <c r="M2178" s="1115"/>
    </row>
    <row r="2179" spans="1:13" x14ac:dyDescent="0.2">
      <c r="A2179" s="1115"/>
      <c r="B2179" s="1115"/>
      <c r="C2179" s="1115"/>
      <c r="D2179" s="1115"/>
      <c r="E2179" s="1115"/>
      <c r="F2179" s="1115"/>
      <c r="G2179" s="1115"/>
      <c r="H2179" s="1115"/>
      <c r="I2179" s="1115"/>
      <c r="J2179" s="1115"/>
      <c r="K2179" s="1115"/>
      <c r="L2179" s="1115"/>
      <c r="M2179" s="1115"/>
    </row>
    <row r="2180" spans="1:13" x14ac:dyDescent="0.2">
      <c r="A2180" s="1115"/>
      <c r="B2180" s="1115"/>
      <c r="C2180" s="1115"/>
      <c r="D2180" s="1115"/>
      <c r="E2180" s="1115"/>
      <c r="F2180" s="1115"/>
      <c r="G2180" s="1115"/>
      <c r="H2180" s="1115"/>
      <c r="I2180" s="1115"/>
      <c r="J2180" s="1115"/>
      <c r="K2180" s="1115"/>
      <c r="L2180" s="1115"/>
      <c r="M2180" s="1115"/>
    </row>
    <row r="2181" spans="1:13" x14ac:dyDescent="0.2">
      <c r="A2181" s="1115"/>
      <c r="B2181" s="1115"/>
      <c r="C2181" s="1115"/>
      <c r="D2181" s="1115"/>
      <c r="E2181" s="1115"/>
      <c r="F2181" s="1115"/>
      <c r="G2181" s="1115"/>
      <c r="H2181" s="1115"/>
      <c r="I2181" s="1115"/>
      <c r="J2181" s="1115"/>
      <c r="K2181" s="1115"/>
      <c r="L2181" s="1115"/>
      <c r="M2181" s="1115"/>
    </row>
    <row r="2182" spans="1:13" x14ac:dyDescent="0.2">
      <c r="A2182" s="1115"/>
      <c r="B2182" s="1115"/>
      <c r="C2182" s="1115"/>
      <c r="D2182" s="1115"/>
      <c r="E2182" s="1115"/>
      <c r="F2182" s="1115"/>
      <c r="G2182" s="1115"/>
      <c r="H2182" s="1115"/>
      <c r="I2182" s="1115"/>
      <c r="J2182" s="1115"/>
      <c r="K2182" s="1115"/>
      <c r="L2182" s="1115"/>
      <c r="M2182" s="1115"/>
    </row>
    <row r="2183" spans="1:13" x14ac:dyDescent="0.2">
      <c r="A2183" s="1115"/>
      <c r="B2183" s="1115"/>
      <c r="C2183" s="1115"/>
      <c r="D2183" s="1115"/>
      <c r="E2183" s="1115"/>
      <c r="F2183" s="1115"/>
      <c r="G2183" s="1115"/>
      <c r="H2183" s="1115"/>
      <c r="I2183" s="1115"/>
      <c r="J2183" s="1115"/>
      <c r="K2183" s="1115"/>
      <c r="L2183" s="1115"/>
      <c r="M2183" s="1115"/>
    </row>
    <row r="2184" spans="1:13" x14ac:dyDescent="0.2">
      <c r="A2184" s="1115"/>
      <c r="B2184" s="1115"/>
      <c r="C2184" s="1115"/>
      <c r="D2184" s="1115"/>
      <c r="E2184" s="1115"/>
      <c r="F2184" s="1115"/>
      <c r="G2184" s="1115"/>
      <c r="H2184" s="1115"/>
      <c r="I2184" s="1115"/>
      <c r="J2184" s="1115"/>
      <c r="K2184" s="1115"/>
      <c r="L2184" s="1115"/>
      <c r="M2184" s="1115"/>
    </row>
    <row r="2185" spans="1:13" x14ac:dyDescent="0.2">
      <c r="A2185" s="1115"/>
      <c r="B2185" s="1115"/>
      <c r="C2185" s="1115"/>
      <c r="D2185" s="1115"/>
      <c r="E2185" s="1115"/>
      <c r="F2185" s="1115"/>
      <c r="G2185" s="1115"/>
      <c r="H2185" s="1115"/>
      <c r="I2185" s="1115"/>
      <c r="J2185" s="1115"/>
      <c r="K2185" s="1115"/>
      <c r="L2185" s="1115"/>
      <c r="M2185" s="1115"/>
    </row>
    <row r="2186" spans="1:13" x14ac:dyDescent="0.2">
      <c r="A2186" s="1115"/>
      <c r="B2186" s="1115"/>
      <c r="C2186" s="1115"/>
      <c r="D2186" s="1115"/>
      <c r="E2186" s="1115"/>
      <c r="F2186" s="1115"/>
      <c r="G2186" s="1115"/>
      <c r="H2186" s="1115"/>
      <c r="I2186" s="1115"/>
      <c r="J2186" s="1115"/>
      <c r="K2186" s="1115"/>
      <c r="L2186" s="1115"/>
      <c r="M2186" s="1115"/>
    </row>
    <row r="2187" spans="1:13" x14ac:dyDescent="0.2">
      <c r="A2187" s="1115"/>
      <c r="B2187" s="1115"/>
      <c r="C2187" s="1115"/>
      <c r="D2187" s="1115"/>
      <c r="E2187" s="1115"/>
      <c r="F2187" s="1115"/>
      <c r="G2187" s="1115"/>
      <c r="H2187" s="1115"/>
      <c r="I2187" s="1115"/>
      <c r="J2187" s="1115"/>
      <c r="K2187" s="1115"/>
      <c r="L2187" s="1115"/>
      <c r="M2187" s="1115"/>
    </row>
    <row r="2188" spans="1:13" x14ac:dyDescent="0.2">
      <c r="A2188" s="1115"/>
      <c r="B2188" s="1115"/>
      <c r="C2188" s="1115"/>
      <c r="D2188" s="1115"/>
      <c r="E2188" s="1115"/>
      <c r="F2188" s="1115"/>
      <c r="G2188" s="1115"/>
      <c r="H2188" s="1115"/>
      <c r="I2188" s="1115"/>
      <c r="J2188" s="1115"/>
      <c r="K2188" s="1115"/>
      <c r="L2188" s="1115"/>
      <c r="M2188" s="1115"/>
    </row>
    <row r="2189" spans="1:13" x14ac:dyDescent="0.2">
      <c r="A2189" s="1115"/>
      <c r="B2189" s="1115"/>
      <c r="C2189" s="1115"/>
      <c r="D2189" s="1115"/>
      <c r="E2189" s="1115"/>
      <c r="F2189" s="1115"/>
      <c r="G2189" s="1115"/>
      <c r="H2189" s="1115"/>
      <c r="I2189" s="1115"/>
      <c r="J2189" s="1115"/>
      <c r="K2189" s="1115"/>
      <c r="L2189" s="1115"/>
      <c r="M2189" s="1115"/>
    </row>
    <row r="2190" spans="1:13" x14ac:dyDescent="0.2">
      <c r="A2190" s="1115"/>
      <c r="B2190" s="1115"/>
      <c r="C2190" s="1115"/>
      <c r="D2190" s="1115"/>
      <c r="E2190" s="1115"/>
      <c r="F2190" s="1115"/>
      <c r="G2190" s="1115"/>
      <c r="H2190" s="1115"/>
      <c r="I2190" s="1115"/>
      <c r="J2190" s="1115"/>
      <c r="K2190" s="1115"/>
      <c r="L2190" s="1115"/>
      <c r="M2190" s="1115"/>
    </row>
    <row r="2191" spans="1:13" x14ac:dyDescent="0.2">
      <c r="A2191" s="1115"/>
      <c r="B2191" s="1115"/>
      <c r="C2191" s="1115"/>
      <c r="D2191" s="1115"/>
      <c r="E2191" s="1115"/>
      <c r="F2191" s="1115"/>
      <c r="G2191" s="1115"/>
      <c r="H2191" s="1115"/>
      <c r="I2191" s="1115"/>
      <c r="J2191" s="1115"/>
      <c r="K2191" s="1115"/>
      <c r="L2191" s="1115"/>
      <c r="M2191" s="1115"/>
    </row>
    <row r="2192" spans="1:13" x14ac:dyDescent="0.2">
      <c r="A2192" s="1115"/>
      <c r="B2192" s="1115"/>
      <c r="C2192" s="1115"/>
      <c r="D2192" s="1115"/>
      <c r="E2192" s="1115"/>
      <c r="F2192" s="1115"/>
      <c r="G2192" s="1115"/>
      <c r="H2192" s="1115"/>
      <c r="I2192" s="1115"/>
      <c r="J2192" s="1115"/>
      <c r="K2192" s="1115"/>
      <c r="L2192" s="1115"/>
      <c r="M2192" s="1115"/>
    </row>
    <row r="2193" spans="1:13" x14ac:dyDescent="0.2">
      <c r="A2193" s="1115"/>
      <c r="B2193" s="1115"/>
      <c r="C2193" s="1115"/>
      <c r="D2193" s="1115"/>
      <c r="E2193" s="1115"/>
      <c r="F2193" s="1115"/>
      <c r="G2193" s="1115"/>
      <c r="H2193" s="1115"/>
      <c r="I2193" s="1115"/>
      <c r="J2193" s="1115"/>
      <c r="K2193" s="1115"/>
      <c r="L2193" s="1115"/>
      <c r="M2193" s="1115"/>
    </row>
    <row r="2194" spans="1:13" x14ac:dyDescent="0.2">
      <c r="A2194" s="1115"/>
      <c r="B2194" s="1115"/>
      <c r="C2194" s="1115"/>
      <c r="D2194" s="1115"/>
      <c r="E2194" s="1115"/>
      <c r="F2194" s="1115"/>
      <c r="G2194" s="1115"/>
      <c r="H2194" s="1115"/>
      <c r="I2194" s="1115"/>
      <c r="J2194" s="1115"/>
      <c r="K2194" s="1115"/>
      <c r="L2194" s="1115"/>
      <c r="M2194" s="1115"/>
    </row>
    <row r="2195" spans="1:13" x14ac:dyDescent="0.2">
      <c r="A2195" s="1115"/>
      <c r="B2195" s="1115"/>
      <c r="C2195" s="1115"/>
      <c r="D2195" s="1115"/>
      <c r="E2195" s="1115"/>
      <c r="F2195" s="1115"/>
      <c r="G2195" s="1115"/>
      <c r="H2195" s="1115"/>
      <c r="I2195" s="1115"/>
      <c r="J2195" s="1115"/>
      <c r="K2195" s="1115"/>
      <c r="L2195" s="1115"/>
      <c r="M2195" s="1115"/>
    </row>
    <row r="2196" spans="1:13" x14ac:dyDescent="0.2">
      <c r="A2196" s="1115"/>
      <c r="B2196" s="1115"/>
      <c r="C2196" s="1115"/>
      <c r="D2196" s="1115"/>
      <c r="E2196" s="1115"/>
      <c r="F2196" s="1115"/>
      <c r="G2196" s="1115"/>
      <c r="H2196" s="1115"/>
      <c r="I2196" s="1115"/>
      <c r="J2196" s="1115"/>
      <c r="K2196" s="1115"/>
      <c r="L2196" s="1115"/>
      <c r="M2196" s="1115"/>
    </row>
    <row r="2197" spans="1:13" x14ac:dyDescent="0.2">
      <c r="A2197" s="1115"/>
      <c r="B2197" s="1115"/>
      <c r="C2197" s="1115"/>
      <c r="D2197" s="1115"/>
      <c r="E2197" s="1115"/>
      <c r="F2197" s="1115"/>
      <c r="G2197" s="1115"/>
      <c r="H2197" s="1115"/>
      <c r="I2197" s="1115"/>
      <c r="J2197" s="1115"/>
      <c r="K2197" s="1115"/>
      <c r="L2197" s="1115"/>
      <c r="M2197" s="1115"/>
    </row>
    <row r="2198" spans="1:13" x14ac:dyDescent="0.2">
      <c r="A2198" s="1115"/>
      <c r="B2198" s="1115"/>
      <c r="C2198" s="1115"/>
      <c r="D2198" s="1115"/>
      <c r="E2198" s="1115"/>
      <c r="F2198" s="1115"/>
      <c r="G2198" s="1115"/>
      <c r="H2198" s="1115"/>
      <c r="I2198" s="1115"/>
      <c r="J2198" s="1115"/>
      <c r="K2198" s="1115"/>
      <c r="L2198" s="1115"/>
      <c r="M2198" s="1115"/>
    </row>
    <row r="2199" spans="1:13" x14ac:dyDescent="0.2">
      <c r="A2199" s="1115"/>
      <c r="B2199" s="1115"/>
      <c r="C2199" s="1115"/>
      <c r="D2199" s="1115"/>
      <c r="E2199" s="1115"/>
      <c r="F2199" s="1115"/>
      <c r="G2199" s="1115"/>
      <c r="H2199" s="1115"/>
      <c r="I2199" s="1115"/>
      <c r="J2199" s="1115"/>
      <c r="K2199" s="1115"/>
      <c r="L2199" s="1115"/>
      <c r="M2199" s="1115"/>
    </row>
    <row r="2200" spans="1:13" x14ac:dyDescent="0.2">
      <c r="A2200" s="1115"/>
      <c r="B2200" s="1115"/>
      <c r="C2200" s="1115"/>
      <c r="D2200" s="1115"/>
      <c r="E2200" s="1115"/>
      <c r="F2200" s="1115"/>
      <c r="G2200" s="1115"/>
      <c r="H2200" s="1115"/>
      <c r="I2200" s="1115"/>
      <c r="J2200" s="1115"/>
      <c r="K2200" s="1115"/>
      <c r="L2200" s="1115"/>
      <c r="M2200" s="1115"/>
    </row>
    <row r="2201" spans="1:13" x14ac:dyDescent="0.2">
      <c r="A2201" s="1115"/>
      <c r="B2201" s="1115"/>
      <c r="C2201" s="1115"/>
      <c r="D2201" s="1115"/>
      <c r="E2201" s="1115"/>
      <c r="F2201" s="1115"/>
      <c r="G2201" s="1115"/>
      <c r="H2201" s="1115"/>
      <c r="I2201" s="1115"/>
      <c r="J2201" s="1115"/>
      <c r="K2201" s="1115"/>
      <c r="L2201" s="1115"/>
      <c r="M2201" s="1115"/>
    </row>
    <row r="2202" spans="1:13" x14ac:dyDescent="0.2">
      <c r="A2202" s="1115"/>
      <c r="B2202" s="1115"/>
      <c r="C2202" s="1115"/>
      <c r="D2202" s="1115"/>
      <c r="E2202" s="1115"/>
      <c r="F2202" s="1115"/>
      <c r="G2202" s="1115"/>
      <c r="H2202" s="1115"/>
      <c r="I2202" s="1115"/>
      <c r="J2202" s="1115"/>
      <c r="K2202" s="1115"/>
      <c r="L2202" s="1115"/>
      <c r="M2202" s="1115"/>
    </row>
    <row r="2203" spans="1:13" x14ac:dyDescent="0.2">
      <c r="A2203" s="1115"/>
      <c r="B2203" s="1115"/>
      <c r="C2203" s="1115"/>
      <c r="D2203" s="1115"/>
      <c r="E2203" s="1115"/>
      <c r="F2203" s="1115"/>
      <c r="G2203" s="1115"/>
      <c r="H2203" s="1115"/>
      <c r="I2203" s="1115"/>
      <c r="J2203" s="1115"/>
      <c r="K2203" s="1115"/>
      <c r="L2203" s="1115"/>
      <c r="M2203" s="1115"/>
    </row>
    <row r="2204" spans="1:13" x14ac:dyDescent="0.2">
      <c r="A2204" s="1115"/>
      <c r="B2204" s="1115"/>
      <c r="C2204" s="1115"/>
      <c r="D2204" s="1115"/>
      <c r="E2204" s="1115"/>
      <c r="F2204" s="1115"/>
      <c r="G2204" s="1115"/>
      <c r="H2204" s="1115"/>
      <c r="I2204" s="1115"/>
      <c r="J2204" s="1115"/>
      <c r="K2204" s="1115"/>
      <c r="L2204" s="1115"/>
      <c r="M2204" s="1115"/>
    </row>
    <row r="2205" spans="1:13" x14ac:dyDescent="0.2">
      <c r="A2205" s="1115"/>
      <c r="B2205" s="1115"/>
      <c r="C2205" s="1115"/>
      <c r="D2205" s="1115"/>
      <c r="E2205" s="1115"/>
      <c r="F2205" s="1115"/>
      <c r="G2205" s="1115"/>
      <c r="H2205" s="1115"/>
      <c r="I2205" s="1115"/>
      <c r="J2205" s="1115"/>
      <c r="K2205" s="1115"/>
      <c r="L2205" s="1115"/>
      <c r="M2205" s="1115"/>
    </row>
    <row r="2206" spans="1:13" x14ac:dyDescent="0.2">
      <c r="A2206" s="1115"/>
      <c r="B2206" s="1115"/>
      <c r="C2206" s="1115"/>
      <c r="D2206" s="1115"/>
      <c r="E2206" s="1115"/>
      <c r="F2206" s="1115"/>
      <c r="G2206" s="1115"/>
      <c r="H2206" s="1115"/>
      <c r="I2206" s="1115"/>
      <c r="J2206" s="1115"/>
      <c r="K2206" s="1115"/>
      <c r="L2206" s="1115"/>
      <c r="M2206" s="1115"/>
    </row>
    <row r="2207" spans="1:13" x14ac:dyDescent="0.2">
      <c r="A2207" s="1115"/>
      <c r="B2207" s="1115"/>
      <c r="C2207" s="1115"/>
      <c r="D2207" s="1115"/>
      <c r="E2207" s="1115"/>
      <c r="F2207" s="1115"/>
      <c r="G2207" s="1115"/>
      <c r="H2207" s="1115"/>
      <c r="I2207" s="1115"/>
      <c r="J2207" s="1115"/>
      <c r="K2207" s="1115"/>
      <c r="L2207" s="1115"/>
      <c r="M2207" s="1115"/>
    </row>
    <row r="2208" spans="1:13" x14ac:dyDescent="0.2">
      <c r="A2208" s="1115"/>
      <c r="B2208" s="1115"/>
      <c r="C2208" s="1115"/>
      <c r="D2208" s="1115"/>
      <c r="E2208" s="1115"/>
      <c r="F2208" s="1115"/>
      <c r="G2208" s="1115"/>
      <c r="H2208" s="1115"/>
      <c r="I2208" s="1115"/>
      <c r="J2208" s="1115"/>
      <c r="K2208" s="1115"/>
      <c r="L2208" s="1115"/>
      <c r="M2208" s="1115"/>
    </row>
    <row r="2209" spans="1:13" x14ac:dyDescent="0.2">
      <c r="A2209" s="1115"/>
      <c r="B2209" s="1115"/>
      <c r="C2209" s="1115"/>
      <c r="D2209" s="1115"/>
      <c r="E2209" s="1115"/>
      <c r="F2209" s="1115"/>
      <c r="G2209" s="1115"/>
      <c r="H2209" s="1115"/>
      <c r="I2209" s="1115"/>
      <c r="J2209" s="1115"/>
      <c r="K2209" s="1115"/>
      <c r="L2209" s="1115"/>
      <c r="M2209" s="1115"/>
    </row>
    <row r="2210" spans="1:13" x14ac:dyDescent="0.2">
      <c r="A2210" s="1115"/>
      <c r="B2210" s="1115"/>
      <c r="C2210" s="1115"/>
      <c r="D2210" s="1115"/>
      <c r="E2210" s="1115"/>
      <c r="F2210" s="1115"/>
      <c r="G2210" s="1115"/>
      <c r="H2210" s="1115"/>
      <c r="I2210" s="1115"/>
      <c r="J2210" s="1115"/>
      <c r="K2210" s="1115"/>
      <c r="L2210" s="1115"/>
      <c r="M2210" s="1115"/>
    </row>
    <row r="2211" spans="1:13" x14ac:dyDescent="0.2">
      <c r="A2211" s="1115"/>
      <c r="B2211" s="1115"/>
      <c r="C2211" s="1115"/>
      <c r="D2211" s="1115"/>
      <c r="E2211" s="1115"/>
      <c r="F2211" s="1115"/>
      <c r="G2211" s="1115"/>
      <c r="H2211" s="1115"/>
      <c r="I2211" s="1115"/>
      <c r="J2211" s="1115"/>
      <c r="K2211" s="1115"/>
      <c r="L2211" s="1115"/>
      <c r="M2211" s="1115"/>
    </row>
    <row r="2212" spans="1:13" x14ac:dyDescent="0.2">
      <c r="A2212" s="1115"/>
      <c r="B2212" s="1115"/>
      <c r="C2212" s="1115"/>
      <c r="D2212" s="1115"/>
      <c r="E2212" s="1115"/>
      <c r="F2212" s="1115"/>
      <c r="G2212" s="1115"/>
      <c r="H2212" s="1115"/>
      <c r="I2212" s="1115"/>
      <c r="J2212" s="1115"/>
      <c r="K2212" s="1115"/>
      <c r="L2212" s="1115"/>
      <c r="M2212" s="1115"/>
    </row>
    <row r="2213" spans="1:13" x14ac:dyDescent="0.2">
      <c r="A2213" s="1115"/>
      <c r="B2213" s="1115"/>
      <c r="C2213" s="1115"/>
      <c r="D2213" s="1115"/>
      <c r="E2213" s="1115"/>
      <c r="F2213" s="1115"/>
      <c r="G2213" s="1115"/>
      <c r="H2213" s="1115"/>
      <c r="I2213" s="1115"/>
      <c r="J2213" s="1115"/>
      <c r="K2213" s="1115"/>
      <c r="L2213" s="1115"/>
      <c r="M2213" s="1115"/>
    </row>
    <row r="2214" spans="1:13" x14ac:dyDescent="0.2">
      <c r="A2214" s="1115"/>
      <c r="B2214" s="1115"/>
      <c r="C2214" s="1115"/>
      <c r="D2214" s="1115"/>
      <c r="E2214" s="1115"/>
      <c r="F2214" s="1115"/>
      <c r="G2214" s="1115"/>
      <c r="H2214" s="1115"/>
      <c r="I2214" s="1115"/>
      <c r="J2214" s="1115"/>
      <c r="K2214" s="1115"/>
      <c r="L2214" s="1115"/>
      <c r="M2214" s="1115"/>
    </row>
    <row r="2215" spans="1:13" x14ac:dyDescent="0.2">
      <c r="A2215" s="1115"/>
      <c r="B2215" s="1115"/>
      <c r="C2215" s="1115"/>
      <c r="D2215" s="1115"/>
      <c r="E2215" s="1115"/>
      <c r="F2215" s="1115"/>
      <c r="G2215" s="1115"/>
      <c r="H2215" s="1115"/>
      <c r="I2215" s="1115"/>
      <c r="J2215" s="1115"/>
      <c r="K2215" s="1115"/>
      <c r="L2215" s="1115"/>
      <c r="M2215" s="1115"/>
    </row>
    <row r="2216" spans="1:13" x14ac:dyDescent="0.2">
      <c r="A2216" s="1115"/>
      <c r="B2216" s="1115"/>
      <c r="C2216" s="1115"/>
      <c r="D2216" s="1115"/>
      <c r="E2216" s="1115"/>
      <c r="F2216" s="1115"/>
      <c r="G2216" s="1115"/>
      <c r="H2216" s="1115"/>
      <c r="I2216" s="1115"/>
      <c r="J2216" s="1115"/>
      <c r="K2216" s="1115"/>
      <c r="L2216" s="1115"/>
      <c r="M2216" s="1115"/>
    </row>
    <row r="2217" spans="1:13" x14ac:dyDescent="0.2">
      <c r="A2217" s="1115"/>
      <c r="B2217" s="1115"/>
      <c r="C2217" s="1115"/>
      <c r="D2217" s="1115"/>
      <c r="E2217" s="1115"/>
      <c r="F2217" s="1115"/>
      <c r="G2217" s="1115"/>
      <c r="H2217" s="1115"/>
      <c r="I2217" s="1115"/>
      <c r="J2217" s="1115"/>
      <c r="K2217" s="1115"/>
      <c r="L2217" s="1115"/>
      <c r="M2217" s="1115"/>
    </row>
    <row r="2218" spans="1:13" x14ac:dyDescent="0.2">
      <c r="A2218" s="1115"/>
      <c r="B2218" s="1115"/>
      <c r="C2218" s="1115"/>
      <c r="D2218" s="1115"/>
      <c r="E2218" s="1115"/>
      <c r="F2218" s="1115"/>
      <c r="G2218" s="1115"/>
      <c r="H2218" s="1115"/>
      <c r="I2218" s="1115"/>
      <c r="J2218" s="1115"/>
      <c r="K2218" s="1115"/>
      <c r="L2218" s="1115"/>
      <c r="M2218" s="1115"/>
    </row>
    <row r="2219" spans="1:13" x14ac:dyDescent="0.2">
      <c r="A2219" s="1115"/>
      <c r="B2219" s="1115"/>
      <c r="C2219" s="1115"/>
      <c r="D2219" s="1115"/>
      <c r="E2219" s="1115"/>
      <c r="F2219" s="1115"/>
      <c r="G2219" s="1115"/>
      <c r="H2219" s="1115"/>
      <c r="I2219" s="1115"/>
      <c r="J2219" s="1115"/>
      <c r="K2219" s="1115"/>
      <c r="L2219" s="1115"/>
      <c r="M2219" s="1115"/>
    </row>
    <row r="2220" spans="1:13" x14ac:dyDescent="0.2">
      <c r="A2220" s="1115"/>
      <c r="B2220" s="1115"/>
      <c r="C2220" s="1115"/>
      <c r="D2220" s="1115"/>
      <c r="E2220" s="1115"/>
      <c r="F2220" s="1115"/>
      <c r="G2220" s="1115"/>
      <c r="H2220" s="1115"/>
      <c r="I2220" s="1115"/>
      <c r="J2220" s="1115"/>
      <c r="K2220" s="1115"/>
      <c r="L2220" s="1115"/>
      <c r="M2220" s="1115"/>
    </row>
    <row r="2221" spans="1:13" x14ac:dyDescent="0.2">
      <c r="A2221" s="1115"/>
      <c r="B2221" s="1115"/>
      <c r="C2221" s="1115"/>
      <c r="D2221" s="1115"/>
      <c r="E2221" s="1115"/>
      <c r="F2221" s="1115"/>
      <c r="G2221" s="1115"/>
      <c r="H2221" s="1115"/>
      <c r="I2221" s="1115"/>
      <c r="J2221" s="1115"/>
      <c r="K2221" s="1115"/>
      <c r="L2221" s="1115"/>
      <c r="M2221" s="1115"/>
    </row>
    <row r="2222" spans="1:13" x14ac:dyDescent="0.2">
      <c r="A2222" s="1115"/>
      <c r="B2222" s="1115"/>
      <c r="C2222" s="1115"/>
      <c r="D2222" s="1115"/>
      <c r="E2222" s="1115"/>
      <c r="F2222" s="1115"/>
      <c r="G2222" s="1115"/>
      <c r="H2222" s="1115"/>
      <c r="I2222" s="1115"/>
      <c r="J2222" s="1115"/>
      <c r="K2222" s="1115"/>
      <c r="L2222" s="1115"/>
      <c r="M2222" s="1115"/>
    </row>
    <row r="2223" spans="1:13" x14ac:dyDescent="0.2">
      <c r="A2223" s="1115"/>
      <c r="B2223" s="1115"/>
      <c r="C2223" s="1115"/>
      <c r="D2223" s="1115"/>
      <c r="E2223" s="1115"/>
      <c r="F2223" s="1115"/>
      <c r="G2223" s="1115"/>
      <c r="H2223" s="1115"/>
      <c r="I2223" s="1115"/>
      <c r="J2223" s="1115"/>
      <c r="K2223" s="1115"/>
      <c r="L2223" s="1115"/>
      <c r="M2223" s="1115"/>
    </row>
    <row r="2224" spans="1:13" x14ac:dyDescent="0.2">
      <c r="A2224" s="1115"/>
      <c r="B2224" s="1115"/>
      <c r="C2224" s="1115"/>
      <c r="D2224" s="1115"/>
      <c r="E2224" s="1115"/>
      <c r="F2224" s="1115"/>
      <c r="G2224" s="1115"/>
      <c r="H2224" s="1115"/>
      <c r="I2224" s="1115"/>
      <c r="J2224" s="1115"/>
      <c r="K2224" s="1115"/>
      <c r="L2224" s="1115"/>
      <c r="M2224" s="1115"/>
    </row>
    <row r="2225" spans="1:13" x14ac:dyDescent="0.2">
      <c r="A2225" s="1115"/>
      <c r="B2225" s="1115"/>
      <c r="C2225" s="1115"/>
      <c r="D2225" s="1115"/>
      <c r="E2225" s="1115"/>
      <c r="F2225" s="1115"/>
      <c r="G2225" s="1115"/>
      <c r="H2225" s="1115"/>
      <c r="I2225" s="1115"/>
      <c r="J2225" s="1115"/>
      <c r="K2225" s="1115"/>
      <c r="L2225" s="1115"/>
      <c r="M2225" s="1115"/>
    </row>
    <row r="2226" spans="1:13" x14ac:dyDescent="0.2">
      <c r="A2226" s="1115"/>
      <c r="B2226" s="1115"/>
      <c r="C2226" s="1115"/>
      <c r="D2226" s="1115"/>
      <c r="E2226" s="1115"/>
      <c r="F2226" s="1115"/>
      <c r="G2226" s="1115"/>
      <c r="H2226" s="1115"/>
      <c r="I2226" s="1115"/>
      <c r="J2226" s="1115"/>
      <c r="K2226" s="1115"/>
      <c r="L2226" s="1115"/>
      <c r="M2226" s="1115"/>
    </row>
    <row r="2227" spans="1:13" x14ac:dyDescent="0.2">
      <c r="A2227" s="1115"/>
      <c r="B2227" s="1115"/>
      <c r="C2227" s="1115"/>
      <c r="D2227" s="1115"/>
      <c r="E2227" s="1115"/>
      <c r="F2227" s="1115"/>
      <c r="G2227" s="1115"/>
      <c r="H2227" s="1115"/>
      <c r="I2227" s="1115"/>
      <c r="J2227" s="1115"/>
      <c r="K2227" s="1115"/>
      <c r="L2227" s="1115"/>
      <c r="M2227" s="1115"/>
    </row>
    <row r="2228" spans="1:13" x14ac:dyDescent="0.2">
      <c r="A2228" s="1115"/>
      <c r="B2228" s="1115"/>
      <c r="C2228" s="1115"/>
      <c r="D2228" s="1115"/>
      <c r="E2228" s="1115"/>
      <c r="F2228" s="1115"/>
      <c r="G2228" s="1115"/>
      <c r="H2228" s="1115"/>
      <c r="I2228" s="1115"/>
      <c r="J2228" s="1115"/>
      <c r="K2228" s="1115"/>
      <c r="L2228" s="1115"/>
      <c r="M2228" s="1115"/>
    </row>
    <row r="2229" spans="1:13" x14ac:dyDescent="0.2">
      <c r="A2229" s="1115"/>
      <c r="B2229" s="1115"/>
      <c r="C2229" s="1115"/>
      <c r="D2229" s="1115"/>
      <c r="E2229" s="1115"/>
      <c r="F2229" s="1115"/>
      <c r="G2229" s="1115"/>
      <c r="H2229" s="1115"/>
      <c r="I2229" s="1115"/>
      <c r="J2229" s="1115"/>
      <c r="K2229" s="1115"/>
      <c r="L2229" s="1115"/>
      <c r="M2229" s="1115"/>
    </row>
    <row r="2230" spans="1:13" x14ac:dyDescent="0.2">
      <c r="A2230" s="1115"/>
      <c r="B2230" s="1115"/>
      <c r="C2230" s="1115"/>
      <c r="D2230" s="1115"/>
      <c r="E2230" s="1115"/>
      <c r="F2230" s="1115"/>
      <c r="G2230" s="1115"/>
      <c r="H2230" s="1115"/>
      <c r="I2230" s="1115"/>
      <c r="J2230" s="1115"/>
      <c r="K2230" s="1115"/>
      <c r="L2230" s="1115"/>
      <c r="M2230" s="1115"/>
    </row>
    <row r="2231" spans="1:13" x14ac:dyDescent="0.2">
      <c r="A2231" s="1115"/>
      <c r="B2231" s="1115"/>
      <c r="C2231" s="1115"/>
      <c r="D2231" s="1115"/>
      <c r="E2231" s="1115"/>
      <c r="F2231" s="1115"/>
      <c r="G2231" s="1115"/>
      <c r="H2231" s="1115"/>
      <c r="I2231" s="1115"/>
      <c r="J2231" s="1115"/>
      <c r="K2231" s="1115"/>
      <c r="L2231" s="1115"/>
      <c r="M2231" s="1115"/>
    </row>
    <row r="2232" spans="1:13" x14ac:dyDescent="0.2">
      <c r="A2232" s="1115"/>
      <c r="B2232" s="1115"/>
      <c r="C2232" s="1115"/>
      <c r="D2232" s="1115"/>
      <c r="E2232" s="1115"/>
      <c r="F2232" s="1115"/>
      <c r="G2232" s="1115"/>
      <c r="H2232" s="1115"/>
      <c r="I2232" s="1115"/>
      <c r="J2232" s="1115"/>
      <c r="K2232" s="1115"/>
      <c r="L2232" s="1115"/>
      <c r="M2232" s="1115"/>
    </row>
    <row r="2233" spans="1:13" x14ac:dyDescent="0.2">
      <c r="A2233" s="1115"/>
      <c r="B2233" s="1115"/>
      <c r="C2233" s="1115"/>
      <c r="D2233" s="1115"/>
      <c r="E2233" s="1115"/>
      <c r="F2233" s="1115"/>
      <c r="G2233" s="1115"/>
      <c r="H2233" s="1115"/>
      <c r="I2233" s="1115"/>
      <c r="J2233" s="1115"/>
      <c r="K2233" s="1115"/>
      <c r="L2233" s="1115"/>
      <c r="M2233" s="1115"/>
    </row>
    <row r="2234" spans="1:13" x14ac:dyDescent="0.2">
      <c r="A2234" s="1115"/>
      <c r="B2234" s="1115"/>
      <c r="C2234" s="1115"/>
      <c r="D2234" s="1115"/>
      <c r="E2234" s="1115"/>
      <c r="F2234" s="1115"/>
      <c r="G2234" s="1115"/>
      <c r="H2234" s="1115"/>
      <c r="I2234" s="1115"/>
      <c r="J2234" s="1115"/>
      <c r="K2234" s="1115"/>
      <c r="L2234" s="1115"/>
      <c r="M2234" s="1115"/>
    </row>
    <row r="2235" spans="1:13" x14ac:dyDescent="0.2">
      <c r="A2235" s="1115"/>
      <c r="B2235" s="1115"/>
      <c r="C2235" s="1115"/>
      <c r="D2235" s="1115"/>
      <c r="E2235" s="1115"/>
      <c r="F2235" s="1115"/>
      <c r="G2235" s="1115"/>
      <c r="H2235" s="1115"/>
      <c r="I2235" s="1115"/>
      <c r="J2235" s="1115"/>
      <c r="K2235" s="1115"/>
      <c r="L2235" s="1115"/>
      <c r="M2235" s="1115"/>
    </row>
    <row r="2236" spans="1:13" x14ac:dyDescent="0.2">
      <c r="A2236" s="1115"/>
      <c r="B2236" s="1115"/>
      <c r="C2236" s="1115"/>
      <c r="D2236" s="1115"/>
      <c r="E2236" s="1115"/>
      <c r="F2236" s="1115"/>
      <c r="G2236" s="1115"/>
      <c r="H2236" s="1115"/>
      <c r="I2236" s="1115"/>
      <c r="J2236" s="1115"/>
      <c r="K2236" s="1115"/>
      <c r="L2236" s="1115"/>
      <c r="M2236" s="1115"/>
    </row>
    <row r="2237" spans="1:13" x14ac:dyDescent="0.2">
      <c r="A2237" s="1115"/>
      <c r="B2237" s="1115"/>
      <c r="C2237" s="1115"/>
      <c r="D2237" s="1115"/>
      <c r="E2237" s="1115"/>
      <c r="F2237" s="1115"/>
      <c r="G2237" s="1115"/>
      <c r="H2237" s="1115"/>
      <c r="I2237" s="1115"/>
      <c r="J2237" s="1115"/>
      <c r="K2237" s="1115"/>
      <c r="L2237" s="1115"/>
      <c r="M2237" s="1115"/>
    </row>
    <row r="2238" spans="1:13" x14ac:dyDescent="0.2">
      <c r="A2238" s="1115"/>
      <c r="B2238" s="1115"/>
      <c r="C2238" s="1115"/>
      <c r="D2238" s="1115"/>
      <c r="E2238" s="1115"/>
      <c r="F2238" s="1115"/>
      <c r="G2238" s="1115"/>
      <c r="H2238" s="1115"/>
      <c r="I2238" s="1115"/>
      <c r="J2238" s="1115"/>
      <c r="K2238" s="1115"/>
      <c r="L2238" s="1115"/>
      <c r="M2238" s="1115"/>
    </row>
    <row r="2239" spans="1:13" x14ac:dyDescent="0.2">
      <c r="A2239" s="1115"/>
      <c r="B2239" s="1115"/>
      <c r="C2239" s="1115"/>
      <c r="D2239" s="1115"/>
      <c r="E2239" s="1115"/>
      <c r="F2239" s="1115"/>
      <c r="G2239" s="1115"/>
      <c r="H2239" s="1115"/>
      <c r="I2239" s="1115"/>
      <c r="J2239" s="1115"/>
      <c r="K2239" s="1115"/>
      <c r="L2239" s="1115"/>
      <c r="M2239" s="1115"/>
    </row>
    <row r="2240" spans="1:13" x14ac:dyDescent="0.2">
      <c r="A2240" s="1115"/>
      <c r="B2240" s="1115"/>
      <c r="C2240" s="1115"/>
      <c r="D2240" s="1115"/>
      <c r="E2240" s="1115"/>
      <c r="F2240" s="1115"/>
      <c r="G2240" s="1115"/>
      <c r="H2240" s="1115"/>
      <c r="I2240" s="1115"/>
      <c r="J2240" s="1115"/>
      <c r="K2240" s="1115"/>
      <c r="L2240" s="1115"/>
      <c r="M2240" s="1115"/>
    </row>
    <row r="2241" spans="1:13" x14ac:dyDescent="0.2">
      <c r="A2241" s="1115"/>
      <c r="B2241" s="1115"/>
      <c r="C2241" s="1115"/>
      <c r="D2241" s="1115"/>
      <c r="E2241" s="1115"/>
      <c r="F2241" s="1115"/>
      <c r="G2241" s="1115"/>
      <c r="H2241" s="1115"/>
      <c r="I2241" s="1115"/>
      <c r="J2241" s="1115"/>
      <c r="K2241" s="1115"/>
      <c r="L2241" s="1115"/>
      <c r="M2241" s="1115"/>
    </row>
    <row r="2242" spans="1:13" x14ac:dyDescent="0.2">
      <c r="A2242" s="1115"/>
      <c r="B2242" s="1115"/>
      <c r="C2242" s="1115"/>
      <c r="D2242" s="1115"/>
      <c r="E2242" s="1115"/>
      <c r="F2242" s="1115"/>
      <c r="G2242" s="1115"/>
      <c r="H2242" s="1115"/>
      <c r="I2242" s="1115"/>
      <c r="J2242" s="1115"/>
      <c r="K2242" s="1115"/>
      <c r="L2242" s="1115"/>
      <c r="M2242" s="1115"/>
    </row>
    <row r="2243" spans="1:13" x14ac:dyDescent="0.2">
      <c r="A2243" s="1115"/>
      <c r="B2243" s="1115"/>
      <c r="C2243" s="1115"/>
      <c r="D2243" s="1115"/>
      <c r="E2243" s="1115"/>
      <c r="F2243" s="1115"/>
      <c r="G2243" s="1115"/>
      <c r="H2243" s="1115"/>
      <c r="I2243" s="1115"/>
      <c r="J2243" s="1115"/>
      <c r="K2243" s="1115"/>
      <c r="L2243" s="1115"/>
      <c r="M2243" s="1115"/>
    </row>
    <row r="2244" spans="1:13" x14ac:dyDescent="0.2">
      <c r="A2244" s="1115"/>
      <c r="B2244" s="1115"/>
      <c r="C2244" s="1115"/>
      <c r="D2244" s="1115"/>
      <c r="E2244" s="1115"/>
      <c r="F2244" s="1115"/>
      <c r="G2244" s="1115"/>
      <c r="H2244" s="1115"/>
      <c r="I2244" s="1115"/>
      <c r="J2244" s="1115"/>
      <c r="K2244" s="1115"/>
      <c r="L2244" s="1115"/>
      <c r="M2244" s="1115"/>
    </row>
    <row r="2245" spans="1:13" x14ac:dyDescent="0.2">
      <c r="A2245" s="1115"/>
      <c r="B2245" s="1115"/>
      <c r="C2245" s="1115"/>
      <c r="D2245" s="1115"/>
      <c r="E2245" s="1115"/>
      <c r="F2245" s="1115"/>
      <c r="G2245" s="1115"/>
      <c r="H2245" s="1115"/>
      <c r="I2245" s="1115"/>
      <c r="J2245" s="1115"/>
      <c r="K2245" s="1115"/>
      <c r="L2245" s="1115"/>
      <c r="M2245" s="1115"/>
    </row>
    <row r="2246" spans="1:13" x14ac:dyDescent="0.2">
      <c r="A2246" s="1115"/>
      <c r="B2246" s="1115"/>
      <c r="C2246" s="1115"/>
      <c r="D2246" s="1115"/>
      <c r="E2246" s="1115"/>
      <c r="F2246" s="1115"/>
      <c r="G2246" s="1115"/>
      <c r="H2246" s="1115"/>
      <c r="I2246" s="1115"/>
      <c r="J2246" s="1115"/>
      <c r="K2246" s="1115"/>
      <c r="L2246" s="1115"/>
      <c r="M2246" s="1115"/>
    </row>
    <row r="2247" spans="1:13" x14ac:dyDescent="0.2">
      <c r="A2247" s="1115"/>
      <c r="B2247" s="1115"/>
      <c r="C2247" s="1115"/>
      <c r="D2247" s="1115"/>
      <c r="E2247" s="1115"/>
      <c r="F2247" s="1115"/>
      <c r="G2247" s="1115"/>
      <c r="H2247" s="1115"/>
      <c r="I2247" s="1115"/>
      <c r="J2247" s="1115"/>
      <c r="K2247" s="1115"/>
      <c r="L2247" s="1115"/>
      <c r="M2247" s="1115"/>
    </row>
    <row r="2248" spans="1:13" x14ac:dyDescent="0.2">
      <c r="A2248" s="1115"/>
      <c r="B2248" s="1115"/>
      <c r="C2248" s="1115"/>
      <c r="D2248" s="1115"/>
      <c r="E2248" s="1115"/>
      <c r="F2248" s="1115"/>
      <c r="G2248" s="1115"/>
      <c r="H2248" s="1115"/>
      <c r="I2248" s="1115"/>
      <c r="J2248" s="1115"/>
      <c r="K2248" s="1115"/>
      <c r="L2248" s="1115"/>
      <c r="M2248" s="1115"/>
    </row>
    <row r="2249" spans="1:13" x14ac:dyDescent="0.2">
      <c r="A2249" s="1115"/>
      <c r="B2249" s="1115"/>
      <c r="C2249" s="1115"/>
      <c r="D2249" s="1115"/>
      <c r="E2249" s="1115"/>
      <c r="F2249" s="1115"/>
      <c r="G2249" s="1115"/>
      <c r="H2249" s="1115"/>
      <c r="I2249" s="1115"/>
      <c r="J2249" s="1115"/>
      <c r="K2249" s="1115"/>
      <c r="L2249" s="1115"/>
      <c r="M2249" s="1115"/>
    </row>
    <row r="2250" spans="1:13" x14ac:dyDescent="0.2">
      <c r="A2250" s="1115"/>
      <c r="B2250" s="1115"/>
      <c r="C2250" s="1115"/>
      <c r="D2250" s="1115"/>
      <c r="E2250" s="1115"/>
      <c r="F2250" s="1115"/>
      <c r="G2250" s="1115"/>
      <c r="H2250" s="1115"/>
      <c r="I2250" s="1115"/>
      <c r="J2250" s="1115"/>
      <c r="K2250" s="1115"/>
      <c r="L2250" s="1115"/>
      <c r="M2250" s="1115"/>
    </row>
    <row r="2251" spans="1:13" x14ac:dyDescent="0.2">
      <c r="A2251" s="1115"/>
      <c r="B2251" s="1115"/>
      <c r="C2251" s="1115"/>
      <c r="D2251" s="1115"/>
      <c r="E2251" s="1115"/>
      <c r="F2251" s="1115"/>
      <c r="G2251" s="1115"/>
      <c r="H2251" s="1115"/>
      <c r="I2251" s="1115"/>
      <c r="J2251" s="1115"/>
      <c r="K2251" s="1115"/>
      <c r="L2251" s="1115"/>
      <c r="M2251" s="1115"/>
    </row>
    <row r="2252" spans="1:13" x14ac:dyDescent="0.2">
      <c r="A2252" s="1115"/>
      <c r="B2252" s="1115"/>
      <c r="C2252" s="1115"/>
      <c r="D2252" s="1115"/>
      <c r="E2252" s="1115"/>
      <c r="F2252" s="1115"/>
      <c r="G2252" s="1115"/>
      <c r="H2252" s="1115"/>
      <c r="I2252" s="1115"/>
      <c r="J2252" s="1115"/>
      <c r="K2252" s="1115"/>
      <c r="L2252" s="1115"/>
      <c r="M2252" s="1115"/>
    </row>
    <row r="2253" spans="1:13" x14ac:dyDescent="0.2">
      <c r="A2253" s="1115"/>
      <c r="B2253" s="1115"/>
      <c r="C2253" s="1115"/>
      <c r="D2253" s="1115"/>
      <c r="E2253" s="1115"/>
      <c r="F2253" s="1115"/>
      <c r="G2253" s="1115"/>
      <c r="H2253" s="1115"/>
      <c r="I2253" s="1115"/>
      <c r="J2253" s="1115"/>
      <c r="K2253" s="1115"/>
      <c r="L2253" s="1115"/>
      <c r="M2253" s="1115"/>
    </row>
    <row r="2254" spans="1:13" x14ac:dyDescent="0.2">
      <c r="A2254" s="1115"/>
      <c r="B2254" s="1115"/>
      <c r="C2254" s="1115"/>
      <c r="D2254" s="1115"/>
      <c r="E2254" s="1115"/>
      <c r="F2254" s="1115"/>
      <c r="G2254" s="1115"/>
      <c r="H2254" s="1115"/>
      <c r="I2254" s="1115"/>
      <c r="J2254" s="1115"/>
      <c r="K2254" s="1115"/>
      <c r="L2254" s="1115"/>
      <c r="M2254" s="1115"/>
    </row>
    <row r="2255" spans="1:13" x14ac:dyDescent="0.2">
      <c r="A2255" s="1115"/>
      <c r="B2255" s="1115"/>
      <c r="C2255" s="1115"/>
      <c r="D2255" s="1115"/>
      <c r="E2255" s="1115"/>
      <c r="F2255" s="1115"/>
      <c r="G2255" s="1115"/>
      <c r="H2255" s="1115"/>
      <c r="I2255" s="1115"/>
      <c r="J2255" s="1115"/>
      <c r="K2255" s="1115"/>
      <c r="L2255" s="1115"/>
      <c r="M2255" s="1115"/>
    </row>
    <row r="2256" spans="1:13" x14ac:dyDescent="0.2">
      <c r="A2256" s="1115"/>
      <c r="B2256" s="1115"/>
      <c r="C2256" s="1115"/>
      <c r="D2256" s="1115"/>
      <c r="E2256" s="1115"/>
      <c r="F2256" s="1115"/>
      <c r="G2256" s="1115"/>
      <c r="H2256" s="1115"/>
      <c r="I2256" s="1115"/>
      <c r="J2256" s="1115"/>
      <c r="K2256" s="1115"/>
      <c r="L2256" s="1115"/>
      <c r="M2256" s="1115"/>
    </row>
    <row r="2257" spans="1:13" x14ac:dyDescent="0.2">
      <c r="A2257" s="1115"/>
      <c r="B2257" s="1115"/>
      <c r="C2257" s="1115"/>
      <c r="D2257" s="1115"/>
      <c r="E2257" s="1115"/>
      <c r="F2257" s="1115"/>
      <c r="G2257" s="1115"/>
      <c r="H2257" s="1115"/>
      <c r="I2257" s="1115"/>
      <c r="J2257" s="1115"/>
      <c r="K2257" s="1115"/>
      <c r="L2257" s="1115"/>
      <c r="M2257" s="1115"/>
    </row>
    <row r="2258" spans="1:13" x14ac:dyDescent="0.2">
      <c r="A2258" s="1115"/>
      <c r="B2258" s="1115"/>
      <c r="C2258" s="1115"/>
      <c r="D2258" s="1115"/>
      <c r="E2258" s="1115"/>
      <c r="F2258" s="1115"/>
      <c r="G2258" s="1115"/>
      <c r="H2258" s="1115"/>
      <c r="I2258" s="1115"/>
      <c r="J2258" s="1115"/>
      <c r="K2258" s="1115"/>
      <c r="L2258" s="1115"/>
      <c r="M2258" s="1115"/>
    </row>
    <row r="2259" spans="1:13" x14ac:dyDescent="0.2">
      <c r="A2259" s="1115"/>
      <c r="B2259" s="1115"/>
      <c r="C2259" s="1115"/>
      <c r="D2259" s="1115"/>
      <c r="E2259" s="1115"/>
      <c r="F2259" s="1115"/>
      <c r="G2259" s="1115"/>
      <c r="H2259" s="1115"/>
      <c r="I2259" s="1115"/>
      <c r="J2259" s="1115"/>
      <c r="K2259" s="1115"/>
      <c r="L2259" s="1115"/>
      <c r="M2259" s="1115"/>
    </row>
    <row r="2260" spans="1:13" x14ac:dyDescent="0.2">
      <c r="A2260" s="1115"/>
      <c r="B2260" s="1115"/>
      <c r="C2260" s="1115"/>
      <c r="D2260" s="1115"/>
      <c r="E2260" s="1115"/>
      <c r="F2260" s="1115"/>
      <c r="G2260" s="1115"/>
      <c r="H2260" s="1115"/>
      <c r="I2260" s="1115"/>
      <c r="J2260" s="1115"/>
      <c r="K2260" s="1115"/>
      <c r="L2260" s="1115"/>
      <c r="M2260" s="1115"/>
    </row>
    <row r="2261" spans="1:13" x14ac:dyDescent="0.2">
      <c r="A2261" s="1115"/>
      <c r="B2261" s="1115"/>
      <c r="C2261" s="1115"/>
      <c r="D2261" s="1115"/>
      <c r="E2261" s="1115"/>
      <c r="F2261" s="1115"/>
      <c r="G2261" s="1115"/>
      <c r="H2261" s="1115"/>
      <c r="I2261" s="1115"/>
      <c r="J2261" s="1115"/>
      <c r="K2261" s="1115"/>
      <c r="L2261" s="1115"/>
      <c r="M2261" s="1115"/>
    </row>
    <row r="2262" spans="1:13" x14ac:dyDescent="0.2">
      <c r="A2262" s="1115"/>
      <c r="B2262" s="1115"/>
      <c r="C2262" s="1115"/>
      <c r="D2262" s="1115"/>
      <c r="E2262" s="1115"/>
      <c r="F2262" s="1115"/>
      <c r="G2262" s="1115"/>
      <c r="H2262" s="1115"/>
      <c r="I2262" s="1115"/>
      <c r="J2262" s="1115"/>
      <c r="K2262" s="1115"/>
      <c r="L2262" s="1115"/>
      <c r="M2262" s="1115"/>
    </row>
    <row r="2263" spans="1:13" x14ac:dyDescent="0.2">
      <c r="A2263" s="1115"/>
      <c r="B2263" s="1115"/>
      <c r="C2263" s="1115"/>
      <c r="D2263" s="1115"/>
      <c r="E2263" s="1115"/>
      <c r="F2263" s="1115"/>
      <c r="G2263" s="1115"/>
      <c r="H2263" s="1115"/>
      <c r="I2263" s="1115"/>
      <c r="J2263" s="1115"/>
      <c r="K2263" s="1115"/>
      <c r="L2263" s="1115"/>
      <c r="M2263" s="1115"/>
    </row>
    <row r="2264" spans="1:13" x14ac:dyDescent="0.2">
      <c r="A2264" s="1115"/>
      <c r="B2264" s="1115"/>
      <c r="C2264" s="1115"/>
      <c r="D2264" s="1115"/>
      <c r="E2264" s="1115"/>
      <c r="F2264" s="1115"/>
      <c r="G2264" s="1115"/>
      <c r="H2264" s="1115"/>
      <c r="I2264" s="1115"/>
      <c r="J2264" s="1115"/>
      <c r="K2264" s="1115"/>
      <c r="L2264" s="1115"/>
      <c r="M2264" s="1115"/>
    </row>
    <row r="2265" spans="1:13" x14ac:dyDescent="0.2">
      <c r="A2265" s="1115"/>
      <c r="B2265" s="1115"/>
      <c r="C2265" s="1115"/>
      <c r="D2265" s="1115"/>
      <c r="E2265" s="1115"/>
      <c r="F2265" s="1115"/>
      <c r="G2265" s="1115"/>
      <c r="H2265" s="1115"/>
      <c r="I2265" s="1115"/>
      <c r="J2265" s="1115"/>
      <c r="K2265" s="1115"/>
      <c r="L2265" s="1115"/>
      <c r="M2265" s="1115"/>
    </row>
    <row r="2266" spans="1:13" x14ac:dyDescent="0.2">
      <c r="A2266" s="1115"/>
      <c r="B2266" s="1115"/>
      <c r="C2266" s="1115"/>
      <c r="D2266" s="1115"/>
      <c r="E2266" s="1115"/>
      <c r="F2266" s="1115"/>
      <c r="G2266" s="1115"/>
      <c r="H2266" s="1115"/>
      <c r="I2266" s="1115"/>
      <c r="J2266" s="1115"/>
      <c r="K2266" s="1115"/>
      <c r="L2266" s="1115"/>
      <c r="M2266" s="1115"/>
    </row>
    <row r="2267" spans="1:13" x14ac:dyDescent="0.2">
      <c r="A2267" s="1115"/>
      <c r="B2267" s="1115"/>
      <c r="C2267" s="1115"/>
      <c r="D2267" s="1115"/>
      <c r="E2267" s="1115"/>
      <c r="F2267" s="1115"/>
      <c r="G2267" s="1115"/>
      <c r="H2267" s="1115"/>
      <c r="I2267" s="1115"/>
      <c r="J2267" s="1115"/>
      <c r="K2267" s="1115"/>
      <c r="L2267" s="1115"/>
      <c r="M2267" s="1115"/>
    </row>
    <row r="2268" spans="1:13" x14ac:dyDescent="0.2">
      <c r="A2268" s="1115"/>
      <c r="B2268" s="1115"/>
      <c r="C2268" s="1115"/>
      <c r="D2268" s="1115"/>
      <c r="E2268" s="1115"/>
      <c r="F2268" s="1115"/>
      <c r="G2268" s="1115"/>
      <c r="H2268" s="1115"/>
      <c r="I2268" s="1115"/>
      <c r="J2268" s="1115"/>
      <c r="K2268" s="1115"/>
      <c r="L2268" s="1115"/>
      <c r="M2268" s="1115"/>
    </row>
    <row r="2269" spans="1:13" x14ac:dyDescent="0.2">
      <c r="A2269" s="1115"/>
      <c r="B2269" s="1115"/>
      <c r="C2269" s="1115"/>
      <c r="D2269" s="1115"/>
      <c r="E2269" s="1115"/>
      <c r="F2269" s="1115"/>
      <c r="G2269" s="1115"/>
      <c r="H2269" s="1115"/>
      <c r="I2269" s="1115"/>
      <c r="J2269" s="1115"/>
      <c r="K2269" s="1115"/>
      <c r="L2269" s="1115"/>
      <c r="M2269" s="1115"/>
    </row>
    <row r="2270" spans="1:13" x14ac:dyDescent="0.2">
      <c r="A2270" s="1115"/>
      <c r="B2270" s="1115"/>
      <c r="C2270" s="1115"/>
      <c r="D2270" s="1115"/>
      <c r="E2270" s="1115"/>
      <c r="F2270" s="1115"/>
      <c r="G2270" s="1115"/>
      <c r="H2270" s="1115"/>
      <c r="I2270" s="1115"/>
      <c r="J2270" s="1115"/>
      <c r="K2270" s="1115"/>
      <c r="L2270" s="1115"/>
      <c r="M2270" s="1115"/>
    </row>
    <row r="2271" spans="1:13" x14ac:dyDescent="0.2">
      <c r="A2271" s="1115"/>
      <c r="B2271" s="1115"/>
      <c r="C2271" s="1115"/>
      <c r="D2271" s="1115"/>
      <c r="E2271" s="1115"/>
      <c r="F2271" s="1115"/>
      <c r="G2271" s="1115"/>
      <c r="H2271" s="1115"/>
      <c r="I2271" s="1115"/>
      <c r="J2271" s="1115"/>
      <c r="K2271" s="1115"/>
      <c r="L2271" s="1115"/>
      <c r="M2271" s="1115"/>
    </row>
    <row r="2272" spans="1:13" x14ac:dyDescent="0.2">
      <c r="A2272" s="1115"/>
      <c r="B2272" s="1115"/>
      <c r="C2272" s="1115"/>
      <c r="D2272" s="1115"/>
      <c r="E2272" s="1115"/>
      <c r="F2272" s="1115"/>
      <c r="G2272" s="1115"/>
      <c r="H2272" s="1115"/>
      <c r="I2272" s="1115"/>
      <c r="J2272" s="1115"/>
      <c r="K2272" s="1115"/>
      <c r="L2272" s="1115"/>
      <c r="M2272" s="1115"/>
    </row>
    <row r="2273" spans="1:13" x14ac:dyDescent="0.2">
      <c r="A2273" s="1115"/>
      <c r="B2273" s="1115"/>
      <c r="C2273" s="1115"/>
      <c r="D2273" s="1115"/>
      <c r="E2273" s="1115"/>
      <c r="F2273" s="1115"/>
      <c r="G2273" s="1115"/>
      <c r="H2273" s="1115"/>
      <c r="I2273" s="1115"/>
      <c r="J2273" s="1115"/>
      <c r="K2273" s="1115"/>
      <c r="L2273" s="1115"/>
      <c r="M2273" s="1115"/>
    </row>
    <row r="2274" spans="1:13" x14ac:dyDescent="0.2">
      <c r="A2274" s="1115"/>
      <c r="B2274" s="1115"/>
      <c r="C2274" s="1115"/>
      <c r="D2274" s="1115"/>
      <c r="E2274" s="1115"/>
      <c r="F2274" s="1115"/>
      <c r="G2274" s="1115"/>
      <c r="H2274" s="1115"/>
      <c r="I2274" s="1115"/>
      <c r="J2274" s="1115"/>
      <c r="K2274" s="1115"/>
      <c r="L2274" s="1115"/>
      <c r="M2274" s="1115"/>
    </row>
    <row r="2275" spans="1:13" x14ac:dyDescent="0.2">
      <c r="A2275" s="1115"/>
      <c r="B2275" s="1115"/>
      <c r="C2275" s="1115"/>
      <c r="D2275" s="1115"/>
      <c r="E2275" s="1115"/>
      <c r="F2275" s="1115"/>
      <c r="G2275" s="1115"/>
      <c r="H2275" s="1115"/>
      <c r="I2275" s="1115"/>
      <c r="J2275" s="1115"/>
      <c r="K2275" s="1115"/>
      <c r="L2275" s="1115"/>
      <c r="M2275" s="1115"/>
    </row>
    <row r="2276" spans="1:13" x14ac:dyDescent="0.2">
      <c r="A2276" s="1115"/>
      <c r="B2276" s="1115"/>
      <c r="C2276" s="1115"/>
      <c r="D2276" s="1115"/>
      <c r="E2276" s="1115"/>
      <c r="F2276" s="1115"/>
      <c r="G2276" s="1115"/>
      <c r="H2276" s="1115"/>
      <c r="I2276" s="1115"/>
      <c r="J2276" s="1115"/>
      <c r="K2276" s="1115"/>
      <c r="L2276" s="1115"/>
      <c r="M2276" s="1115"/>
    </row>
    <row r="2277" spans="1:13" x14ac:dyDescent="0.2">
      <c r="A2277" s="1115"/>
      <c r="B2277" s="1115"/>
      <c r="C2277" s="1115"/>
      <c r="D2277" s="1115"/>
      <c r="E2277" s="1115"/>
      <c r="F2277" s="1115"/>
      <c r="G2277" s="1115"/>
      <c r="H2277" s="1115"/>
      <c r="I2277" s="1115"/>
      <c r="J2277" s="1115"/>
      <c r="K2277" s="1115"/>
      <c r="L2277" s="1115"/>
      <c r="M2277" s="1115"/>
    </row>
    <row r="2278" spans="1:13" x14ac:dyDescent="0.2">
      <c r="A2278" s="1115"/>
      <c r="B2278" s="1115"/>
      <c r="C2278" s="1115"/>
      <c r="D2278" s="1115"/>
      <c r="E2278" s="1115"/>
      <c r="F2278" s="1115"/>
      <c r="G2278" s="1115"/>
      <c r="H2278" s="1115"/>
      <c r="I2278" s="1115"/>
      <c r="J2278" s="1115"/>
      <c r="K2278" s="1115"/>
      <c r="L2278" s="1115"/>
      <c r="M2278" s="1115"/>
    </row>
    <row r="2279" spans="1:13" x14ac:dyDescent="0.2">
      <c r="A2279" s="1115"/>
      <c r="B2279" s="1115"/>
      <c r="C2279" s="1115"/>
      <c r="D2279" s="1115"/>
      <c r="E2279" s="1115"/>
      <c r="F2279" s="1115"/>
      <c r="G2279" s="1115"/>
      <c r="H2279" s="1115"/>
      <c r="I2279" s="1115"/>
      <c r="J2279" s="1115"/>
      <c r="K2279" s="1115"/>
      <c r="L2279" s="1115"/>
      <c r="M2279" s="1115"/>
    </row>
    <row r="2280" spans="1:13" x14ac:dyDescent="0.2">
      <c r="A2280" s="1115"/>
      <c r="B2280" s="1115"/>
      <c r="C2280" s="1115"/>
      <c r="D2280" s="1115"/>
      <c r="E2280" s="1115"/>
      <c r="F2280" s="1115"/>
      <c r="G2280" s="1115"/>
      <c r="H2280" s="1115"/>
      <c r="I2280" s="1115"/>
      <c r="J2280" s="1115"/>
      <c r="K2280" s="1115"/>
      <c r="L2280" s="1115"/>
      <c r="M2280" s="1115"/>
    </row>
    <row r="2281" spans="1:13" x14ac:dyDescent="0.2">
      <c r="A2281" s="1115"/>
      <c r="B2281" s="1115"/>
      <c r="C2281" s="1115"/>
      <c r="D2281" s="1115"/>
      <c r="E2281" s="1115"/>
      <c r="F2281" s="1115"/>
      <c r="G2281" s="1115"/>
      <c r="H2281" s="1115"/>
      <c r="I2281" s="1115"/>
      <c r="J2281" s="1115"/>
      <c r="K2281" s="1115"/>
      <c r="L2281" s="1115"/>
      <c r="M2281" s="1115"/>
    </row>
    <row r="2282" spans="1:13" x14ac:dyDescent="0.2">
      <c r="A2282" s="1115"/>
      <c r="B2282" s="1115"/>
      <c r="C2282" s="1115"/>
      <c r="D2282" s="1115"/>
      <c r="E2282" s="1115"/>
      <c r="F2282" s="1115"/>
      <c r="G2282" s="1115"/>
      <c r="H2282" s="1115"/>
      <c r="I2282" s="1115"/>
      <c r="J2282" s="1115"/>
      <c r="K2282" s="1115"/>
      <c r="L2282" s="1115"/>
      <c r="M2282" s="1115"/>
    </row>
    <row r="2283" spans="1:13" x14ac:dyDescent="0.2">
      <c r="A2283" s="1115"/>
      <c r="B2283" s="1115"/>
      <c r="C2283" s="1115"/>
      <c r="D2283" s="1115"/>
      <c r="E2283" s="1115"/>
      <c r="F2283" s="1115"/>
      <c r="G2283" s="1115"/>
      <c r="H2283" s="1115"/>
      <c r="I2283" s="1115"/>
      <c r="J2283" s="1115"/>
      <c r="K2283" s="1115"/>
      <c r="L2283" s="1115"/>
      <c r="M2283" s="1115"/>
    </row>
    <row r="2284" spans="1:13" x14ac:dyDescent="0.2">
      <c r="A2284" s="1115"/>
      <c r="B2284" s="1115"/>
      <c r="C2284" s="1115"/>
      <c r="D2284" s="1115"/>
      <c r="E2284" s="1115"/>
      <c r="F2284" s="1115"/>
      <c r="G2284" s="1115"/>
      <c r="H2284" s="1115"/>
      <c r="I2284" s="1115"/>
      <c r="J2284" s="1115"/>
      <c r="K2284" s="1115"/>
      <c r="L2284" s="1115"/>
      <c r="M2284" s="1115"/>
    </row>
    <row r="2285" spans="1:13" x14ac:dyDescent="0.2">
      <c r="A2285" s="1115"/>
      <c r="B2285" s="1115"/>
      <c r="C2285" s="1115"/>
      <c r="D2285" s="1115"/>
      <c r="E2285" s="1115"/>
      <c r="F2285" s="1115"/>
      <c r="G2285" s="1115"/>
      <c r="H2285" s="1115"/>
      <c r="I2285" s="1115"/>
      <c r="J2285" s="1115"/>
      <c r="K2285" s="1115"/>
      <c r="L2285" s="1115"/>
      <c r="M2285" s="1115"/>
    </row>
    <row r="2286" spans="1:13" x14ac:dyDescent="0.2">
      <c r="A2286" s="1115"/>
      <c r="B2286" s="1115"/>
      <c r="C2286" s="1115"/>
      <c r="D2286" s="1115"/>
      <c r="E2286" s="1115"/>
      <c r="F2286" s="1115"/>
      <c r="G2286" s="1115"/>
      <c r="H2286" s="1115"/>
      <c r="I2286" s="1115"/>
      <c r="J2286" s="1115"/>
      <c r="K2286" s="1115"/>
      <c r="L2286" s="1115"/>
      <c r="M2286" s="1115"/>
    </row>
    <row r="2287" spans="1:13" x14ac:dyDescent="0.2">
      <c r="A2287" s="1115"/>
      <c r="B2287" s="1115"/>
      <c r="C2287" s="1115"/>
      <c r="D2287" s="1115"/>
      <c r="E2287" s="1115"/>
      <c r="F2287" s="1115"/>
      <c r="G2287" s="1115"/>
      <c r="H2287" s="1115"/>
      <c r="I2287" s="1115"/>
      <c r="J2287" s="1115"/>
      <c r="K2287" s="1115"/>
      <c r="L2287" s="1115"/>
      <c r="M2287" s="1115"/>
    </row>
    <row r="2288" spans="1:13" x14ac:dyDescent="0.2">
      <c r="A2288" s="1115"/>
      <c r="B2288" s="1115"/>
      <c r="C2288" s="1115"/>
      <c r="D2288" s="1115"/>
      <c r="E2288" s="1115"/>
      <c r="F2288" s="1115"/>
      <c r="G2288" s="1115"/>
      <c r="H2288" s="1115"/>
      <c r="I2288" s="1115"/>
      <c r="J2288" s="1115"/>
      <c r="K2288" s="1115"/>
      <c r="L2288" s="1115"/>
      <c r="M2288" s="1115"/>
    </row>
    <row r="2289" spans="1:13" x14ac:dyDescent="0.2">
      <c r="A2289" s="1115"/>
      <c r="B2289" s="1115"/>
      <c r="C2289" s="1115"/>
      <c r="D2289" s="1115"/>
      <c r="E2289" s="1115"/>
      <c r="F2289" s="1115"/>
      <c r="G2289" s="1115"/>
      <c r="H2289" s="1115"/>
      <c r="I2289" s="1115"/>
      <c r="J2289" s="1115"/>
      <c r="K2289" s="1115"/>
      <c r="L2289" s="1115"/>
      <c r="M2289" s="1115"/>
    </row>
    <row r="2290" spans="1:13" x14ac:dyDescent="0.2">
      <c r="A2290" s="1115"/>
      <c r="B2290" s="1115"/>
      <c r="C2290" s="1115"/>
      <c r="D2290" s="1115"/>
      <c r="E2290" s="1115"/>
      <c r="F2290" s="1115"/>
      <c r="G2290" s="1115"/>
      <c r="H2290" s="1115"/>
      <c r="I2290" s="1115"/>
      <c r="J2290" s="1115"/>
      <c r="K2290" s="1115"/>
      <c r="L2290" s="1115"/>
      <c r="M2290" s="1115"/>
    </row>
    <row r="2291" spans="1:13" x14ac:dyDescent="0.2">
      <c r="A2291" s="1115"/>
      <c r="B2291" s="1115"/>
      <c r="C2291" s="1115"/>
      <c r="D2291" s="1115"/>
      <c r="E2291" s="1115"/>
      <c r="F2291" s="1115"/>
      <c r="G2291" s="1115"/>
      <c r="H2291" s="1115"/>
      <c r="I2291" s="1115"/>
      <c r="J2291" s="1115"/>
      <c r="K2291" s="1115"/>
      <c r="L2291" s="1115"/>
      <c r="M2291" s="1115"/>
    </row>
    <row r="2292" spans="1:13" x14ac:dyDescent="0.2">
      <c r="A2292" s="1115"/>
      <c r="B2292" s="1115"/>
      <c r="C2292" s="1115"/>
      <c r="D2292" s="1115"/>
      <c r="E2292" s="1115"/>
      <c r="F2292" s="1115"/>
      <c r="G2292" s="1115"/>
      <c r="H2292" s="1115"/>
      <c r="I2292" s="1115"/>
      <c r="J2292" s="1115"/>
      <c r="K2292" s="1115"/>
      <c r="L2292" s="1115"/>
      <c r="M2292" s="1115"/>
    </row>
    <row r="2293" spans="1:13" x14ac:dyDescent="0.2">
      <c r="A2293" s="1115"/>
      <c r="B2293" s="1115"/>
      <c r="C2293" s="1115"/>
      <c r="D2293" s="1115"/>
      <c r="E2293" s="1115"/>
      <c r="F2293" s="1115"/>
      <c r="G2293" s="1115"/>
      <c r="H2293" s="1115"/>
      <c r="I2293" s="1115"/>
      <c r="J2293" s="1115"/>
      <c r="K2293" s="1115"/>
      <c r="L2293" s="1115"/>
      <c r="M2293" s="1115"/>
    </row>
    <row r="2294" spans="1:13" x14ac:dyDescent="0.2">
      <c r="A2294" s="1115"/>
      <c r="B2294" s="1115"/>
      <c r="C2294" s="1115"/>
      <c r="D2294" s="1115"/>
      <c r="E2294" s="1115"/>
      <c r="F2294" s="1115"/>
      <c r="G2294" s="1115"/>
      <c r="H2294" s="1115"/>
      <c r="I2294" s="1115"/>
      <c r="J2294" s="1115"/>
      <c r="K2294" s="1115"/>
      <c r="L2294" s="1115"/>
      <c r="M2294" s="1115"/>
    </row>
    <row r="2295" spans="1:13" x14ac:dyDescent="0.2">
      <c r="A2295" s="1115"/>
      <c r="B2295" s="1115"/>
      <c r="C2295" s="1115"/>
      <c r="D2295" s="1115"/>
      <c r="E2295" s="1115"/>
      <c r="F2295" s="1115"/>
      <c r="G2295" s="1115"/>
      <c r="H2295" s="1115"/>
      <c r="I2295" s="1115"/>
      <c r="J2295" s="1115"/>
      <c r="K2295" s="1115"/>
      <c r="L2295" s="1115"/>
      <c r="M2295" s="1115"/>
    </row>
    <row r="2296" spans="1:13" x14ac:dyDescent="0.2">
      <c r="A2296" s="1115"/>
      <c r="B2296" s="1115"/>
      <c r="C2296" s="1115"/>
      <c r="D2296" s="1115"/>
      <c r="E2296" s="1115"/>
      <c r="F2296" s="1115"/>
      <c r="G2296" s="1115"/>
      <c r="H2296" s="1115"/>
      <c r="I2296" s="1115"/>
      <c r="J2296" s="1115"/>
      <c r="K2296" s="1115"/>
      <c r="L2296" s="1115"/>
      <c r="M2296" s="1115"/>
    </row>
    <row r="2297" spans="1:13" x14ac:dyDescent="0.2">
      <c r="A2297" s="1115"/>
      <c r="B2297" s="1115"/>
      <c r="C2297" s="1115"/>
      <c r="D2297" s="1115"/>
      <c r="E2297" s="1115"/>
      <c r="F2297" s="1115"/>
      <c r="G2297" s="1115"/>
      <c r="H2297" s="1115"/>
      <c r="I2297" s="1115"/>
      <c r="J2297" s="1115"/>
      <c r="K2297" s="1115"/>
      <c r="L2297" s="1115"/>
      <c r="M2297" s="1115"/>
    </row>
    <row r="2298" spans="1:13" x14ac:dyDescent="0.2">
      <c r="A2298" s="1115"/>
      <c r="B2298" s="1115"/>
      <c r="C2298" s="1115"/>
      <c r="D2298" s="1115"/>
      <c r="E2298" s="1115"/>
      <c r="F2298" s="1115"/>
      <c r="G2298" s="1115"/>
      <c r="H2298" s="1115"/>
      <c r="I2298" s="1115"/>
      <c r="J2298" s="1115"/>
      <c r="K2298" s="1115"/>
      <c r="L2298" s="1115"/>
      <c r="M2298" s="1115"/>
    </row>
    <row r="2299" spans="1:13" x14ac:dyDescent="0.2">
      <c r="A2299" s="1115"/>
      <c r="B2299" s="1115"/>
      <c r="C2299" s="1115"/>
      <c r="D2299" s="1115"/>
      <c r="E2299" s="1115"/>
      <c r="F2299" s="1115"/>
      <c r="G2299" s="1115"/>
      <c r="H2299" s="1115"/>
      <c r="I2299" s="1115"/>
      <c r="J2299" s="1115"/>
      <c r="K2299" s="1115"/>
      <c r="L2299" s="1115"/>
      <c r="M2299" s="1115"/>
    </row>
    <row r="2300" spans="1:13" x14ac:dyDescent="0.2">
      <c r="A2300" s="1115"/>
      <c r="B2300" s="1115"/>
      <c r="C2300" s="1115"/>
      <c r="D2300" s="1115"/>
      <c r="E2300" s="1115"/>
      <c r="F2300" s="1115"/>
      <c r="G2300" s="1115"/>
      <c r="H2300" s="1115"/>
      <c r="I2300" s="1115"/>
      <c r="J2300" s="1115"/>
      <c r="K2300" s="1115"/>
      <c r="L2300" s="1115"/>
      <c r="M2300" s="1115"/>
    </row>
    <row r="2301" spans="1:13" x14ac:dyDescent="0.2">
      <c r="A2301" s="1115"/>
      <c r="B2301" s="1115"/>
      <c r="C2301" s="1115"/>
      <c r="D2301" s="1115"/>
      <c r="E2301" s="1115"/>
      <c r="F2301" s="1115"/>
      <c r="G2301" s="1115"/>
      <c r="H2301" s="1115"/>
      <c r="I2301" s="1115"/>
      <c r="J2301" s="1115"/>
      <c r="K2301" s="1115"/>
      <c r="L2301" s="1115"/>
      <c r="M2301" s="1115"/>
    </row>
    <row r="2302" spans="1:13" x14ac:dyDescent="0.2">
      <c r="A2302" s="1115"/>
      <c r="B2302" s="1115"/>
      <c r="C2302" s="1115"/>
      <c r="D2302" s="1115"/>
      <c r="E2302" s="1115"/>
      <c r="F2302" s="1115"/>
      <c r="G2302" s="1115"/>
      <c r="H2302" s="1115"/>
      <c r="I2302" s="1115"/>
      <c r="J2302" s="1115"/>
      <c r="K2302" s="1115"/>
      <c r="L2302" s="1115"/>
      <c r="M2302" s="1115"/>
    </row>
    <row r="2303" spans="1:13" x14ac:dyDescent="0.2">
      <c r="A2303" s="1115"/>
      <c r="B2303" s="1115"/>
      <c r="C2303" s="1115"/>
      <c r="D2303" s="1115"/>
      <c r="E2303" s="1115"/>
      <c r="F2303" s="1115"/>
      <c r="G2303" s="1115"/>
      <c r="H2303" s="1115"/>
      <c r="I2303" s="1115"/>
      <c r="J2303" s="1115"/>
      <c r="K2303" s="1115"/>
      <c r="L2303" s="1115"/>
      <c r="M2303" s="1115"/>
    </row>
    <row r="2304" spans="1:13" x14ac:dyDescent="0.2">
      <c r="A2304" s="1115"/>
      <c r="B2304" s="1115"/>
      <c r="C2304" s="1115"/>
      <c r="D2304" s="1115"/>
      <c r="E2304" s="1115"/>
      <c r="F2304" s="1115"/>
      <c r="G2304" s="1115"/>
      <c r="H2304" s="1115"/>
      <c r="I2304" s="1115"/>
      <c r="J2304" s="1115"/>
      <c r="K2304" s="1115"/>
      <c r="L2304" s="1115"/>
      <c r="M2304" s="1115"/>
    </row>
    <row r="2305" spans="1:13" x14ac:dyDescent="0.2">
      <c r="A2305" s="1115"/>
      <c r="B2305" s="1115"/>
      <c r="C2305" s="1115"/>
      <c r="D2305" s="1115"/>
      <c r="E2305" s="1115"/>
      <c r="F2305" s="1115"/>
      <c r="G2305" s="1115"/>
      <c r="H2305" s="1115"/>
      <c r="I2305" s="1115"/>
      <c r="J2305" s="1115"/>
      <c r="K2305" s="1115"/>
      <c r="L2305" s="1115"/>
      <c r="M2305" s="1115"/>
    </row>
    <row r="2306" spans="1:13" x14ac:dyDescent="0.2">
      <c r="A2306" s="1115"/>
      <c r="B2306" s="1115"/>
      <c r="C2306" s="1115"/>
      <c r="D2306" s="1115"/>
      <c r="E2306" s="1115"/>
      <c r="F2306" s="1115"/>
      <c r="G2306" s="1115"/>
      <c r="H2306" s="1115"/>
      <c r="I2306" s="1115"/>
      <c r="J2306" s="1115"/>
      <c r="K2306" s="1115"/>
      <c r="L2306" s="1115"/>
      <c r="M2306" s="1115"/>
    </row>
    <row r="2307" spans="1:13" x14ac:dyDescent="0.2">
      <c r="A2307" s="1115"/>
      <c r="B2307" s="1115"/>
      <c r="C2307" s="1115"/>
      <c r="D2307" s="1115"/>
      <c r="E2307" s="1115"/>
      <c r="F2307" s="1115"/>
      <c r="G2307" s="1115"/>
      <c r="H2307" s="1115"/>
      <c r="I2307" s="1115"/>
      <c r="J2307" s="1115"/>
      <c r="K2307" s="1115"/>
      <c r="L2307" s="1115"/>
      <c r="M2307" s="1115"/>
    </row>
    <row r="2308" spans="1:13" x14ac:dyDescent="0.2">
      <c r="A2308" s="1115"/>
      <c r="B2308" s="1115"/>
      <c r="C2308" s="1115"/>
      <c r="D2308" s="1115"/>
      <c r="E2308" s="1115"/>
      <c r="F2308" s="1115"/>
      <c r="G2308" s="1115"/>
      <c r="H2308" s="1115"/>
      <c r="I2308" s="1115"/>
      <c r="J2308" s="1115"/>
      <c r="K2308" s="1115"/>
      <c r="L2308" s="1115"/>
      <c r="M2308" s="1115"/>
    </row>
    <row r="2309" spans="1:13" x14ac:dyDescent="0.2">
      <c r="A2309" s="1115"/>
      <c r="B2309" s="1115"/>
      <c r="C2309" s="1115"/>
      <c r="D2309" s="1115"/>
      <c r="E2309" s="1115"/>
      <c r="F2309" s="1115"/>
      <c r="G2309" s="1115"/>
      <c r="H2309" s="1115"/>
      <c r="I2309" s="1115"/>
      <c r="J2309" s="1115"/>
      <c r="K2309" s="1115"/>
      <c r="L2309" s="1115"/>
      <c r="M2309" s="1115"/>
    </row>
    <row r="2310" spans="1:13" x14ac:dyDescent="0.2">
      <c r="A2310" s="1115"/>
      <c r="B2310" s="1115"/>
      <c r="C2310" s="1115"/>
      <c r="D2310" s="1115"/>
      <c r="E2310" s="1115"/>
      <c r="F2310" s="1115"/>
      <c r="G2310" s="1115"/>
      <c r="H2310" s="1115"/>
      <c r="I2310" s="1115"/>
      <c r="J2310" s="1115"/>
      <c r="K2310" s="1115"/>
      <c r="L2310" s="1115"/>
      <c r="M2310" s="1115"/>
    </row>
    <row r="2311" spans="1:13" x14ac:dyDescent="0.2">
      <c r="A2311" s="1115"/>
      <c r="B2311" s="1115"/>
      <c r="C2311" s="1115"/>
      <c r="D2311" s="1115"/>
      <c r="E2311" s="1115"/>
      <c r="F2311" s="1115"/>
      <c r="G2311" s="1115"/>
      <c r="H2311" s="1115"/>
      <c r="I2311" s="1115"/>
      <c r="J2311" s="1115"/>
      <c r="K2311" s="1115"/>
      <c r="L2311" s="1115"/>
      <c r="M2311" s="1115"/>
    </row>
    <row r="2312" spans="1:13" x14ac:dyDescent="0.2">
      <c r="A2312" s="1115"/>
      <c r="B2312" s="1115"/>
      <c r="C2312" s="1115"/>
      <c r="D2312" s="1115"/>
      <c r="E2312" s="1115"/>
      <c r="F2312" s="1115"/>
      <c r="G2312" s="1115"/>
      <c r="H2312" s="1115"/>
      <c r="I2312" s="1115"/>
      <c r="J2312" s="1115"/>
      <c r="K2312" s="1115"/>
      <c r="L2312" s="1115"/>
      <c r="M2312" s="1115"/>
    </row>
    <row r="2313" spans="1:13" x14ac:dyDescent="0.2">
      <c r="A2313" s="1115"/>
      <c r="B2313" s="1115"/>
      <c r="C2313" s="1115"/>
      <c r="D2313" s="1115"/>
      <c r="E2313" s="1115"/>
      <c r="F2313" s="1115"/>
      <c r="G2313" s="1115"/>
      <c r="H2313" s="1115"/>
      <c r="I2313" s="1115"/>
      <c r="J2313" s="1115"/>
      <c r="K2313" s="1115"/>
      <c r="L2313" s="1115"/>
      <c r="M2313" s="1115"/>
    </row>
    <row r="2314" spans="1:13" x14ac:dyDescent="0.2">
      <c r="A2314" s="1115"/>
      <c r="B2314" s="1115"/>
      <c r="C2314" s="1115"/>
      <c r="D2314" s="1115"/>
      <c r="E2314" s="1115"/>
      <c r="F2314" s="1115"/>
      <c r="G2314" s="1115"/>
      <c r="H2314" s="1115"/>
      <c r="I2314" s="1115"/>
      <c r="J2314" s="1115"/>
      <c r="K2314" s="1115"/>
      <c r="L2314" s="1115"/>
      <c r="M2314" s="1115"/>
    </row>
    <row r="2315" spans="1:13" x14ac:dyDescent="0.2">
      <c r="A2315" s="1115"/>
      <c r="B2315" s="1115"/>
      <c r="C2315" s="1115"/>
      <c r="D2315" s="1115"/>
      <c r="E2315" s="1115"/>
      <c r="F2315" s="1115"/>
      <c r="G2315" s="1115"/>
      <c r="H2315" s="1115"/>
      <c r="I2315" s="1115"/>
      <c r="J2315" s="1115"/>
      <c r="K2315" s="1115"/>
      <c r="L2315" s="1115"/>
      <c r="M2315" s="1115"/>
    </row>
    <row r="2316" spans="1:13" x14ac:dyDescent="0.2">
      <c r="A2316" s="1115"/>
      <c r="B2316" s="1115"/>
      <c r="C2316" s="1115"/>
      <c r="D2316" s="1115"/>
      <c r="E2316" s="1115"/>
      <c r="F2316" s="1115"/>
      <c r="G2316" s="1115"/>
      <c r="H2316" s="1115"/>
      <c r="I2316" s="1115"/>
      <c r="J2316" s="1115"/>
      <c r="K2316" s="1115"/>
      <c r="L2316" s="1115"/>
      <c r="M2316" s="1115"/>
    </row>
    <row r="2317" spans="1:13" x14ac:dyDescent="0.2">
      <c r="A2317" s="1115"/>
      <c r="B2317" s="1115"/>
      <c r="C2317" s="1115"/>
      <c r="D2317" s="1115"/>
      <c r="E2317" s="1115"/>
      <c r="F2317" s="1115"/>
      <c r="G2317" s="1115"/>
      <c r="H2317" s="1115"/>
      <c r="I2317" s="1115"/>
      <c r="J2317" s="1115"/>
      <c r="K2317" s="1115"/>
      <c r="L2317" s="1115"/>
      <c r="M2317" s="1115"/>
    </row>
    <row r="2318" spans="1:13" x14ac:dyDescent="0.2">
      <c r="A2318" s="1115"/>
      <c r="B2318" s="1115"/>
      <c r="C2318" s="1115"/>
      <c r="D2318" s="1115"/>
      <c r="E2318" s="1115"/>
      <c r="F2318" s="1115"/>
      <c r="G2318" s="1115"/>
      <c r="H2318" s="1115"/>
      <c r="I2318" s="1115"/>
      <c r="J2318" s="1115"/>
      <c r="K2318" s="1115"/>
      <c r="L2318" s="1115"/>
      <c r="M2318" s="1115"/>
    </row>
    <row r="2319" spans="1:13" x14ac:dyDescent="0.2">
      <c r="A2319" s="1115"/>
      <c r="B2319" s="1115"/>
      <c r="C2319" s="1115"/>
      <c r="D2319" s="1115"/>
      <c r="E2319" s="1115"/>
      <c r="F2319" s="1115"/>
      <c r="G2319" s="1115"/>
      <c r="H2319" s="1115"/>
      <c r="I2319" s="1115"/>
      <c r="J2319" s="1115"/>
      <c r="K2319" s="1115"/>
      <c r="L2319" s="1115"/>
      <c r="M2319" s="1115"/>
    </row>
    <row r="2320" spans="1:13" x14ac:dyDescent="0.2">
      <c r="A2320" s="1115"/>
      <c r="B2320" s="1115"/>
      <c r="C2320" s="1115"/>
      <c r="D2320" s="1115"/>
      <c r="E2320" s="1115"/>
      <c r="F2320" s="1115"/>
      <c r="G2320" s="1115"/>
      <c r="H2320" s="1115"/>
      <c r="I2320" s="1115"/>
      <c r="J2320" s="1115"/>
      <c r="K2320" s="1115"/>
      <c r="L2320" s="1115"/>
      <c r="M2320" s="1115"/>
    </row>
    <row r="2321" spans="1:13" x14ac:dyDescent="0.2">
      <c r="A2321" s="1115"/>
      <c r="B2321" s="1115"/>
      <c r="C2321" s="1115"/>
      <c r="D2321" s="1115"/>
      <c r="E2321" s="1115"/>
      <c r="F2321" s="1115"/>
      <c r="G2321" s="1115"/>
      <c r="H2321" s="1115"/>
      <c r="I2321" s="1115"/>
      <c r="J2321" s="1115"/>
      <c r="K2321" s="1115"/>
      <c r="L2321" s="1115"/>
      <c r="M2321" s="1115"/>
    </row>
    <row r="2322" spans="1:13" x14ac:dyDescent="0.2">
      <c r="A2322" s="1115"/>
      <c r="B2322" s="1115"/>
      <c r="C2322" s="1115"/>
      <c r="D2322" s="1115"/>
      <c r="E2322" s="1115"/>
      <c r="F2322" s="1115"/>
      <c r="G2322" s="1115"/>
      <c r="H2322" s="1115"/>
      <c r="I2322" s="1115"/>
      <c r="J2322" s="1115"/>
      <c r="K2322" s="1115"/>
      <c r="L2322" s="1115"/>
      <c r="M2322" s="1115"/>
    </row>
    <row r="2323" spans="1:13" x14ac:dyDescent="0.2">
      <c r="A2323" s="1115"/>
      <c r="B2323" s="1115"/>
      <c r="C2323" s="1115"/>
      <c r="D2323" s="1115"/>
      <c r="E2323" s="1115"/>
      <c r="F2323" s="1115"/>
      <c r="G2323" s="1115"/>
      <c r="H2323" s="1115"/>
      <c r="I2323" s="1115"/>
      <c r="J2323" s="1115"/>
      <c r="K2323" s="1115"/>
      <c r="L2323" s="1115"/>
      <c r="M2323" s="1115"/>
    </row>
    <row r="2324" spans="1:13" x14ac:dyDescent="0.2">
      <c r="A2324" s="1115"/>
      <c r="B2324" s="1115"/>
      <c r="C2324" s="1115"/>
      <c r="D2324" s="1115"/>
      <c r="E2324" s="1115"/>
      <c r="F2324" s="1115"/>
      <c r="G2324" s="1115"/>
      <c r="H2324" s="1115"/>
      <c r="I2324" s="1115"/>
      <c r="J2324" s="1115"/>
      <c r="K2324" s="1115"/>
      <c r="L2324" s="1115"/>
      <c r="M2324" s="1115"/>
    </row>
    <row r="2325" spans="1:13" x14ac:dyDescent="0.2">
      <c r="A2325" s="1115"/>
      <c r="B2325" s="1115"/>
      <c r="C2325" s="1115"/>
      <c r="D2325" s="1115"/>
      <c r="E2325" s="1115"/>
      <c r="F2325" s="1115"/>
      <c r="G2325" s="1115"/>
      <c r="H2325" s="1115"/>
      <c r="I2325" s="1115"/>
      <c r="J2325" s="1115"/>
      <c r="K2325" s="1115"/>
      <c r="L2325" s="1115"/>
      <c r="M2325" s="1115"/>
    </row>
    <row r="2326" spans="1:13" x14ac:dyDescent="0.2">
      <c r="A2326" s="1115"/>
      <c r="B2326" s="1115"/>
      <c r="C2326" s="1115"/>
      <c r="D2326" s="1115"/>
      <c r="E2326" s="1115"/>
      <c r="F2326" s="1115"/>
      <c r="G2326" s="1115"/>
      <c r="H2326" s="1115"/>
      <c r="I2326" s="1115"/>
      <c r="J2326" s="1115"/>
      <c r="K2326" s="1115"/>
      <c r="L2326" s="1115"/>
      <c r="M2326" s="1115"/>
    </row>
    <row r="2327" spans="1:13" x14ac:dyDescent="0.2">
      <c r="A2327" s="1115"/>
      <c r="B2327" s="1115"/>
      <c r="C2327" s="1115"/>
      <c r="D2327" s="1115"/>
      <c r="E2327" s="1115"/>
      <c r="F2327" s="1115"/>
      <c r="G2327" s="1115"/>
      <c r="H2327" s="1115"/>
      <c r="I2327" s="1115"/>
      <c r="J2327" s="1115"/>
      <c r="K2327" s="1115"/>
      <c r="L2327" s="1115"/>
      <c r="M2327" s="1115"/>
    </row>
    <row r="2328" spans="1:13" x14ac:dyDescent="0.2">
      <c r="A2328" s="1115"/>
      <c r="B2328" s="1115"/>
      <c r="C2328" s="1115"/>
      <c r="D2328" s="1115"/>
      <c r="E2328" s="1115"/>
      <c r="F2328" s="1115"/>
      <c r="G2328" s="1115"/>
      <c r="H2328" s="1115"/>
      <c r="I2328" s="1115"/>
      <c r="J2328" s="1115"/>
      <c r="K2328" s="1115"/>
      <c r="L2328" s="1115"/>
      <c r="M2328" s="1115"/>
    </row>
    <row r="2329" spans="1:13" x14ac:dyDescent="0.2">
      <c r="A2329" s="1115"/>
      <c r="B2329" s="1115"/>
      <c r="C2329" s="1115"/>
      <c r="D2329" s="1115"/>
      <c r="E2329" s="1115"/>
      <c r="F2329" s="1115"/>
      <c r="G2329" s="1115"/>
      <c r="H2329" s="1115"/>
      <c r="I2329" s="1115"/>
      <c r="J2329" s="1115"/>
      <c r="K2329" s="1115"/>
      <c r="L2329" s="1115"/>
      <c r="M2329" s="1115"/>
    </row>
    <row r="2330" spans="1:13" x14ac:dyDescent="0.2">
      <c r="A2330" s="1115"/>
      <c r="B2330" s="1115"/>
      <c r="C2330" s="1115"/>
      <c r="D2330" s="1115"/>
      <c r="E2330" s="1115"/>
      <c r="F2330" s="1115"/>
      <c r="G2330" s="1115"/>
      <c r="H2330" s="1115"/>
      <c r="I2330" s="1115"/>
      <c r="J2330" s="1115"/>
      <c r="K2330" s="1115"/>
      <c r="L2330" s="1115"/>
      <c r="M2330" s="1115"/>
    </row>
    <row r="2331" spans="1:13" x14ac:dyDescent="0.2">
      <c r="A2331" s="1115"/>
      <c r="B2331" s="1115"/>
      <c r="C2331" s="1115"/>
      <c r="D2331" s="1115"/>
      <c r="E2331" s="1115"/>
      <c r="F2331" s="1115"/>
      <c r="G2331" s="1115"/>
      <c r="H2331" s="1115"/>
      <c r="I2331" s="1115"/>
      <c r="J2331" s="1115"/>
      <c r="K2331" s="1115"/>
      <c r="L2331" s="1115"/>
      <c r="M2331" s="1115"/>
    </row>
    <row r="2332" spans="1:13" x14ac:dyDescent="0.2">
      <c r="A2332" s="1115"/>
      <c r="B2332" s="1115"/>
      <c r="C2332" s="1115"/>
      <c r="D2332" s="1115"/>
      <c r="E2332" s="1115"/>
      <c r="F2332" s="1115"/>
      <c r="G2332" s="1115"/>
      <c r="H2332" s="1115"/>
      <c r="I2332" s="1115"/>
      <c r="J2332" s="1115"/>
      <c r="K2332" s="1115"/>
      <c r="L2332" s="1115"/>
      <c r="M2332" s="1115"/>
    </row>
    <row r="2333" spans="1:13" x14ac:dyDescent="0.2">
      <c r="A2333" s="1115"/>
      <c r="B2333" s="1115"/>
      <c r="C2333" s="1115"/>
      <c r="D2333" s="1115"/>
      <c r="E2333" s="1115"/>
      <c r="F2333" s="1115"/>
      <c r="G2333" s="1115"/>
      <c r="H2333" s="1115"/>
      <c r="I2333" s="1115"/>
      <c r="J2333" s="1115"/>
      <c r="K2333" s="1115"/>
      <c r="L2333" s="1115"/>
      <c r="M2333" s="1115"/>
    </row>
    <row r="2334" spans="1:13" x14ac:dyDescent="0.2">
      <c r="A2334" s="1115"/>
      <c r="B2334" s="1115"/>
      <c r="C2334" s="1115"/>
      <c r="D2334" s="1115"/>
      <c r="E2334" s="1115"/>
      <c r="F2334" s="1115"/>
      <c r="G2334" s="1115"/>
      <c r="H2334" s="1115"/>
      <c r="I2334" s="1115"/>
      <c r="J2334" s="1115"/>
      <c r="K2334" s="1115"/>
      <c r="L2334" s="1115"/>
      <c r="M2334" s="1115"/>
    </row>
    <row r="2335" spans="1:13" x14ac:dyDescent="0.2">
      <c r="A2335" s="1115"/>
      <c r="B2335" s="1115"/>
      <c r="C2335" s="1115"/>
      <c r="D2335" s="1115"/>
      <c r="E2335" s="1115"/>
      <c r="F2335" s="1115"/>
      <c r="G2335" s="1115"/>
      <c r="H2335" s="1115"/>
      <c r="I2335" s="1115"/>
      <c r="J2335" s="1115"/>
      <c r="K2335" s="1115"/>
      <c r="L2335" s="1115"/>
      <c r="M2335" s="1115"/>
    </row>
    <row r="2336" spans="1:13" x14ac:dyDescent="0.2">
      <c r="A2336" s="1115"/>
      <c r="B2336" s="1115"/>
      <c r="C2336" s="1115"/>
      <c r="D2336" s="1115"/>
      <c r="E2336" s="1115"/>
      <c r="F2336" s="1115"/>
      <c r="G2336" s="1115"/>
      <c r="H2336" s="1115"/>
      <c r="I2336" s="1115"/>
      <c r="J2336" s="1115"/>
      <c r="K2336" s="1115"/>
      <c r="L2336" s="1115"/>
      <c r="M2336" s="1115"/>
    </row>
    <row r="2337" spans="1:13" x14ac:dyDescent="0.2">
      <c r="A2337" s="1115"/>
      <c r="B2337" s="1115"/>
      <c r="C2337" s="1115"/>
      <c r="D2337" s="1115"/>
      <c r="E2337" s="1115"/>
      <c r="F2337" s="1115"/>
      <c r="G2337" s="1115"/>
      <c r="H2337" s="1115"/>
      <c r="I2337" s="1115"/>
      <c r="J2337" s="1115"/>
      <c r="K2337" s="1115"/>
      <c r="L2337" s="1115"/>
      <c r="M2337" s="1115"/>
    </row>
    <row r="2338" spans="1:13" x14ac:dyDescent="0.2">
      <c r="A2338" s="1115"/>
      <c r="B2338" s="1115"/>
      <c r="C2338" s="1115"/>
      <c r="D2338" s="1115"/>
      <c r="E2338" s="1115"/>
      <c r="F2338" s="1115"/>
      <c r="G2338" s="1115"/>
      <c r="H2338" s="1115"/>
      <c r="I2338" s="1115"/>
      <c r="J2338" s="1115"/>
      <c r="K2338" s="1115"/>
      <c r="L2338" s="1115"/>
      <c r="M2338" s="1115"/>
    </row>
    <row r="2339" spans="1:13" x14ac:dyDescent="0.2">
      <c r="A2339" s="1115"/>
      <c r="B2339" s="1115"/>
      <c r="C2339" s="1115"/>
      <c r="D2339" s="1115"/>
      <c r="E2339" s="1115"/>
      <c r="F2339" s="1115"/>
      <c r="G2339" s="1115"/>
      <c r="H2339" s="1115"/>
      <c r="I2339" s="1115"/>
      <c r="J2339" s="1115"/>
      <c r="K2339" s="1115"/>
      <c r="L2339" s="1115"/>
      <c r="M2339" s="1115"/>
    </row>
    <row r="2340" spans="1:13" x14ac:dyDescent="0.2">
      <c r="A2340" s="1115"/>
      <c r="B2340" s="1115"/>
      <c r="C2340" s="1115"/>
      <c r="D2340" s="1115"/>
      <c r="E2340" s="1115"/>
      <c r="F2340" s="1115"/>
      <c r="G2340" s="1115"/>
      <c r="H2340" s="1115"/>
      <c r="I2340" s="1115"/>
      <c r="J2340" s="1115"/>
      <c r="K2340" s="1115"/>
      <c r="L2340" s="1115"/>
      <c r="M2340" s="1115"/>
    </row>
    <row r="2341" spans="1:13" x14ac:dyDescent="0.2">
      <c r="A2341" s="1115"/>
      <c r="B2341" s="1115"/>
      <c r="C2341" s="1115"/>
      <c r="D2341" s="1115"/>
      <c r="E2341" s="1115"/>
      <c r="F2341" s="1115"/>
      <c r="G2341" s="1115"/>
      <c r="H2341" s="1115"/>
      <c r="I2341" s="1115"/>
      <c r="J2341" s="1115"/>
      <c r="K2341" s="1115"/>
      <c r="L2341" s="1115"/>
      <c r="M2341" s="1115"/>
    </row>
    <row r="2342" spans="1:13" x14ac:dyDescent="0.2">
      <c r="A2342" s="1115"/>
      <c r="B2342" s="1115"/>
      <c r="C2342" s="1115"/>
      <c r="D2342" s="1115"/>
      <c r="E2342" s="1115"/>
      <c r="F2342" s="1115"/>
      <c r="G2342" s="1115"/>
      <c r="H2342" s="1115"/>
      <c r="I2342" s="1115"/>
      <c r="J2342" s="1115"/>
      <c r="K2342" s="1115"/>
      <c r="L2342" s="1115"/>
      <c r="M2342" s="1115"/>
    </row>
    <row r="2343" spans="1:13" x14ac:dyDescent="0.2">
      <c r="A2343" s="1115"/>
      <c r="B2343" s="1115"/>
      <c r="C2343" s="1115"/>
      <c r="D2343" s="1115"/>
      <c r="E2343" s="1115"/>
      <c r="F2343" s="1115"/>
      <c r="G2343" s="1115"/>
      <c r="H2343" s="1115"/>
      <c r="I2343" s="1115"/>
      <c r="J2343" s="1115"/>
      <c r="K2343" s="1115"/>
      <c r="L2343" s="1115"/>
      <c r="M2343" s="1115"/>
    </row>
    <row r="2344" spans="1:13" x14ac:dyDescent="0.2">
      <c r="A2344" s="1115"/>
      <c r="B2344" s="1115"/>
      <c r="C2344" s="1115"/>
      <c r="D2344" s="1115"/>
      <c r="E2344" s="1115"/>
      <c r="F2344" s="1115"/>
      <c r="G2344" s="1115"/>
      <c r="H2344" s="1115"/>
      <c r="I2344" s="1115"/>
      <c r="J2344" s="1115"/>
      <c r="K2344" s="1115"/>
      <c r="L2344" s="1115"/>
      <c r="M2344" s="1115"/>
    </row>
    <row r="2345" spans="1:13" x14ac:dyDescent="0.2">
      <c r="A2345" s="1115"/>
      <c r="B2345" s="1115"/>
      <c r="C2345" s="1115"/>
      <c r="D2345" s="1115"/>
      <c r="E2345" s="1115"/>
      <c r="F2345" s="1115"/>
      <c r="G2345" s="1115"/>
      <c r="H2345" s="1115"/>
      <c r="I2345" s="1115"/>
      <c r="J2345" s="1115"/>
      <c r="K2345" s="1115"/>
      <c r="L2345" s="1115"/>
      <c r="M2345" s="1115"/>
    </row>
    <row r="2346" spans="1:13" x14ac:dyDescent="0.2">
      <c r="A2346" s="1115"/>
      <c r="B2346" s="1115"/>
      <c r="C2346" s="1115"/>
      <c r="D2346" s="1115"/>
      <c r="E2346" s="1115"/>
      <c r="F2346" s="1115"/>
      <c r="G2346" s="1115"/>
      <c r="H2346" s="1115"/>
      <c r="I2346" s="1115"/>
      <c r="J2346" s="1115"/>
      <c r="K2346" s="1115"/>
      <c r="L2346" s="1115"/>
      <c r="M2346" s="1115"/>
    </row>
    <row r="2347" spans="1:13" x14ac:dyDescent="0.2">
      <c r="A2347" s="1115"/>
      <c r="B2347" s="1115"/>
      <c r="C2347" s="1115"/>
      <c r="D2347" s="1115"/>
      <c r="E2347" s="1115"/>
      <c r="F2347" s="1115"/>
      <c r="G2347" s="1115"/>
      <c r="H2347" s="1115"/>
      <c r="I2347" s="1115"/>
      <c r="J2347" s="1115"/>
      <c r="K2347" s="1115"/>
      <c r="L2347" s="1115"/>
      <c r="M2347" s="1115"/>
    </row>
    <row r="2348" spans="1:13" x14ac:dyDescent="0.2">
      <c r="A2348" s="1115"/>
      <c r="B2348" s="1115"/>
      <c r="C2348" s="1115"/>
      <c r="D2348" s="1115"/>
      <c r="E2348" s="1115"/>
      <c r="F2348" s="1115"/>
      <c r="G2348" s="1115"/>
      <c r="H2348" s="1115"/>
      <c r="I2348" s="1115"/>
      <c r="J2348" s="1115"/>
      <c r="K2348" s="1115"/>
      <c r="L2348" s="1115"/>
      <c r="M2348" s="1115"/>
    </row>
    <row r="2349" spans="1:13" x14ac:dyDescent="0.2">
      <c r="A2349" s="1115"/>
      <c r="B2349" s="1115"/>
      <c r="C2349" s="1115"/>
      <c r="D2349" s="1115"/>
      <c r="E2349" s="1115"/>
      <c r="F2349" s="1115"/>
      <c r="G2349" s="1115"/>
      <c r="H2349" s="1115"/>
      <c r="I2349" s="1115"/>
      <c r="J2349" s="1115"/>
      <c r="K2349" s="1115"/>
      <c r="L2349" s="1115"/>
      <c r="M2349" s="1115"/>
    </row>
    <row r="2350" spans="1:13" x14ac:dyDescent="0.2">
      <c r="A2350" s="1115"/>
      <c r="B2350" s="1115"/>
      <c r="C2350" s="1115"/>
      <c r="D2350" s="1115"/>
      <c r="E2350" s="1115"/>
      <c r="F2350" s="1115"/>
      <c r="G2350" s="1115"/>
      <c r="H2350" s="1115"/>
      <c r="I2350" s="1115"/>
      <c r="J2350" s="1115"/>
      <c r="K2350" s="1115"/>
      <c r="L2350" s="1115"/>
      <c r="M2350" s="1115"/>
    </row>
    <row r="2351" spans="1:13" x14ac:dyDescent="0.2">
      <c r="A2351" s="1115"/>
      <c r="B2351" s="1115"/>
      <c r="C2351" s="1115"/>
      <c r="D2351" s="1115"/>
      <c r="E2351" s="1115"/>
      <c r="F2351" s="1115"/>
      <c r="G2351" s="1115"/>
      <c r="H2351" s="1115"/>
      <c r="I2351" s="1115"/>
      <c r="J2351" s="1115"/>
      <c r="K2351" s="1115"/>
      <c r="L2351" s="1115"/>
      <c r="M2351" s="1115"/>
    </row>
    <row r="2352" spans="1:13" x14ac:dyDescent="0.2">
      <c r="A2352" s="1115"/>
      <c r="B2352" s="1115"/>
      <c r="C2352" s="1115"/>
      <c r="D2352" s="1115"/>
      <c r="E2352" s="1115"/>
      <c r="F2352" s="1115"/>
      <c r="G2352" s="1115"/>
      <c r="H2352" s="1115"/>
      <c r="I2352" s="1115"/>
      <c r="J2352" s="1115"/>
      <c r="K2352" s="1115"/>
      <c r="L2352" s="1115"/>
      <c r="M2352" s="1115"/>
    </row>
    <row r="2353" spans="1:13" x14ac:dyDescent="0.2">
      <c r="A2353" s="1115"/>
      <c r="B2353" s="1115"/>
      <c r="C2353" s="1115"/>
      <c r="D2353" s="1115"/>
      <c r="E2353" s="1115"/>
      <c r="F2353" s="1115"/>
      <c r="G2353" s="1115"/>
      <c r="H2353" s="1115"/>
      <c r="I2353" s="1115"/>
      <c r="J2353" s="1115"/>
      <c r="K2353" s="1115"/>
      <c r="L2353" s="1115"/>
      <c r="M2353" s="1115"/>
    </row>
    <row r="2354" spans="1:13" x14ac:dyDescent="0.2">
      <c r="A2354" s="1115"/>
      <c r="B2354" s="1115"/>
      <c r="C2354" s="1115"/>
      <c r="D2354" s="1115"/>
      <c r="E2354" s="1115"/>
      <c r="F2354" s="1115"/>
      <c r="G2354" s="1115"/>
      <c r="H2354" s="1115"/>
      <c r="I2354" s="1115"/>
      <c r="J2354" s="1115"/>
      <c r="K2354" s="1115"/>
      <c r="L2354" s="1115"/>
      <c r="M2354" s="1115"/>
    </row>
    <row r="2355" spans="1:13" x14ac:dyDescent="0.2">
      <c r="A2355" s="1115"/>
      <c r="B2355" s="1115"/>
      <c r="C2355" s="1115"/>
      <c r="D2355" s="1115"/>
      <c r="E2355" s="1115"/>
      <c r="F2355" s="1115"/>
      <c r="G2355" s="1115"/>
      <c r="H2355" s="1115"/>
      <c r="I2355" s="1115"/>
      <c r="J2355" s="1115"/>
      <c r="K2355" s="1115"/>
      <c r="L2355" s="1115"/>
      <c r="M2355" s="1115"/>
    </row>
    <row r="2356" spans="1:13" x14ac:dyDescent="0.2">
      <c r="A2356" s="1115"/>
      <c r="B2356" s="1115"/>
      <c r="C2356" s="1115"/>
      <c r="D2356" s="1115"/>
      <c r="E2356" s="1115"/>
      <c r="F2356" s="1115"/>
      <c r="G2356" s="1115"/>
      <c r="H2356" s="1115"/>
      <c r="I2356" s="1115"/>
      <c r="J2356" s="1115"/>
      <c r="K2356" s="1115"/>
      <c r="L2356" s="1115"/>
      <c r="M2356" s="1115"/>
    </row>
    <row r="2357" spans="1:13" x14ac:dyDescent="0.2">
      <c r="A2357" s="1115"/>
      <c r="B2357" s="1115"/>
      <c r="C2357" s="1115"/>
      <c r="D2357" s="1115"/>
      <c r="E2357" s="1115"/>
      <c r="F2357" s="1115"/>
      <c r="G2357" s="1115"/>
      <c r="H2357" s="1115"/>
      <c r="I2357" s="1115"/>
      <c r="J2357" s="1115"/>
      <c r="K2357" s="1115"/>
      <c r="L2357" s="1115"/>
      <c r="M2357" s="1115"/>
    </row>
    <row r="2358" spans="1:13" x14ac:dyDescent="0.2">
      <c r="A2358" s="1115"/>
      <c r="B2358" s="1115"/>
      <c r="C2358" s="1115"/>
      <c r="D2358" s="1115"/>
      <c r="E2358" s="1115"/>
      <c r="F2358" s="1115"/>
      <c r="G2358" s="1115"/>
      <c r="H2358" s="1115"/>
      <c r="I2358" s="1115"/>
      <c r="J2358" s="1115"/>
      <c r="K2358" s="1115"/>
      <c r="L2358" s="1115"/>
      <c r="M2358" s="1115"/>
    </row>
    <row r="2359" spans="1:13" x14ac:dyDescent="0.2">
      <c r="A2359" s="1115"/>
      <c r="B2359" s="1115"/>
      <c r="C2359" s="1115"/>
      <c r="D2359" s="1115"/>
      <c r="E2359" s="1115"/>
      <c r="F2359" s="1115"/>
      <c r="G2359" s="1115"/>
      <c r="H2359" s="1115"/>
      <c r="I2359" s="1115"/>
      <c r="J2359" s="1115"/>
      <c r="K2359" s="1115"/>
      <c r="L2359" s="1115"/>
      <c r="M2359" s="1115"/>
    </row>
    <row r="2360" spans="1:13" x14ac:dyDescent="0.2">
      <c r="A2360" s="1115"/>
      <c r="B2360" s="1115"/>
      <c r="C2360" s="1115"/>
      <c r="D2360" s="1115"/>
      <c r="E2360" s="1115"/>
      <c r="F2360" s="1115"/>
      <c r="G2360" s="1115"/>
      <c r="H2360" s="1115"/>
      <c r="I2360" s="1115"/>
      <c r="J2360" s="1115"/>
      <c r="K2360" s="1115"/>
      <c r="L2360" s="1115"/>
      <c r="M2360" s="1115"/>
    </row>
    <row r="2361" spans="1:13" x14ac:dyDescent="0.2">
      <c r="A2361" s="1115"/>
      <c r="B2361" s="1115"/>
      <c r="C2361" s="1115"/>
      <c r="D2361" s="1115"/>
      <c r="E2361" s="1115"/>
      <c r="F2361" s="1115"/>
      <c r="G2361" s="1115"/>
      <c r="H2361" s="1115"/>
      <c r="I2361" s="1115"/>
      <c r="J2361" s="1115"/>
      <c r="K2361" s="1115"/>
      <c r="L2361" s="1115"/>
      <c r="M2361" s="1115"/>
    </row>
    <row r="2362" spans="1:13" x14ac:dyDescent="0.2">
      <c r="A2362" s="1115"/>
      <c r="B2362" s="1115"/>
      <c r="C2362" s="1115"/>
      <c r="D2362" s="1115"/>
      <c r="E2362" s="1115"/>
      <c r="F2362" s="1115"/>
      <c r="G2362" s="1115"/>
      <c r="H2362" s="1115"/>
      <c r="I2362" s="1115"/>
      <c r="J2362" s="1115"/>
      <c r="K2362" s="1115"/>
      <c r="L2362" s="1115"/>
      <c r="M2362" s="1115"/>
    </row>
    <row r="2363" spans="1:13" x14ac:dyDescent="0.2">
      <c r="A2363" s="1115"/>
      <c r="B2363" s="1115"/>
      <c r="C2363" s="1115"/>
      <c r="D2363" s="1115"/>
      <c r="E2363" s="1115"/>
      <c r="F2363" s="1115"/>
      <c r="G2363" s="1115"/>
      <c r="H2363" s="1115"/>
      <c r="I2363" s="1115"/>
      <c r="J2363" s="1115"/>
      <c r="K2363" s="1115"/>
      <c r="L2363" s="1115"/>
      <c r="M2363" s="1115"/>
    </row>
    <row r="2364" spans="1:13" x14ac:dyDescent="0.2">
      <c r="A2364" s="1115"/>
      <c r="B2364" s="1115"/>
      <c r="C2364" s="1115"/>
      <c r="D2364" s="1115"/>
      <c r="E2364" s="1115"/>
      <c r="F2364" s="1115"/>
      <c r="G2364" s="1115"/>
      <c r="H2364" s="1115"/>
      <c r="I2364" s="1115"/>
      <c r="J2364" s="1115"/>
      <c r="K2364" s="1115"/>
      <c r="L2364" s="1115"/>
      <c r="M2364" s="1115"/>
    </row>
    <row r="2365" spans="1:13" x14ac:dyDescent="0.2">
      <c r="A2365" s="1115"/>
      <c r="B2365" s="1115"/>
      <c r="C2365" s="1115"/>
      <c r="D2365" s="1115"/>
      <c r="E2365" s="1115"/>
      <c r="F2365" s="1115"/>
      <c r="G2365" s="1115"/>
      <c r="H2365" s="1115"/>
      <c r="I2365" s="1115"/>
      <c r="J2365" s="1115"/>
      <c r="K2365" s="1115"/>
      <c r="L2365" s="1115"/>
      <c r="M2365" s="1115"/>
    </row>
    <row r="2366" spans="1:13" x14ac:dyDescent="0.2">
      <c r="A2366" s="1115"/>
      <c r="B2366" s="1115"/>
      <c r="C2366" s="1115"/>
      <c r="D2366" s="1115"/>
      <c r="E2366" s="1115"/>
      <c r="F2366" s="1115"/>
      <c r="G2366" s="1115"/>
      <c r="H2366" s="1115"/>
      <c r="I2366" s="1115"/>
      <c r="J2366" s="1115"/>
      <c r="K2366" s="1115"/>
      <c r="L2366" s="1115"/>
      <c r="M2366" s="1115"/>
    </row>
    <row r="2367" spans="1:13" x14ac:dyDescent="0.2">
      <c r="A2367" s="1115"/>
      <c r="B2367" s="1115"/>
      <c r="C2367" s="1115"/>
      <c r="D2367" s="1115"/>
      <c r="E2367" s="1115"/>
      <c r="F2367" s="1115"/>
      <c r="G2367" s="1115"/>
      <c r="H2367" s="1115"/>
      <c r="I2367" s="1115"/>
      <c r="J2367" s="1115"/>
      <c r="K2367" s="1115"/>
      <c r="L2367" s="1115"/>
      <c r="M2367" s="1115"/>
    </row>
    <row r="2368" spans="1:13" x14ac:dyDescent="0.2">
      <c r="A2368" s="1115"/>
      <c r="B2368" s="1115"/>
      <c r="C2368" s="1115"/>
      <c r="D2368" s="1115"/>
      <c r="E2368" s="1115"/>
      <c r="F2368" s="1115"/>
      <c r="G2368" s="1115"/>
      <c r="H2368" s="1115"/>
      <c r="I2368" s="1115"/>
      <c r="J2368" s="1115"/>
      <c r="K2368" s="1115"/>
      <c r="L2368" s="1115"/>
      <c r="M2368" s="1115"/>
    </row>
    <row r="2369" spans="1:13" x14ac:dyDescent="0.2">
      <c r="A2369" s="1115"/>
      <c r="B2369" s="1115"/>
      <c r="C2369" s="1115"/>
      <c r="D2369" s="1115"/>
      <c r="E2369" s="1115"/>
      <c r="F2369" s="1115"/>
      <c r="G2369" s="1115"/>
      <c r="H2369" s="1115"/>
      <c r="I2369" s="1115"/>
      <c r="J2369" s="1115"/>
      <c r="K2369" s="1115"/>
      <c r="L2369" s="1115"/>
      <c r="M2369" s="1115"/>
    </row>
    <row r="2370" spans="1:13" x14ac:dyDescent="0.2">
      <c r="A2370" s="1115"/>
      <c r="B2370" s="1115"/>
      <c r="C2370" s="1115"/>
      <c r="D2370" s="1115"/>
      <c r="E2370" s="1115"/>
      <c r="F2370" s="1115"/>
      <c r="G2370" s="1115"/>
      <c r="H2370" s="1115"/>
      <c r="I2370" s="1115"/>
      <c r="J2370" s="1115"/>
      <c r="K2370" s="1115"/>
      <c r="L2370" s="1115"/>
      <c r="M2370" s="1115"/>
    </row>
    <row r="2371" spans="1:13" x14ac:dyDescent="0.2">
      <c r="A2371" s="1115"/>
      <c r="B2371" s="1115"/>
      <c r="C2371" s="1115"/>
      <c r="D2371" s="1115"/>
      <c r="E2371" s="1115"/>
      <c r="F2371" s="1115"/>
      <c r="G2371" s="1115"/>
      <c r="H2371" s="1115"/>
      <c r="I2371" s="1115"/>
      <c r="J2371" s="1115"/>
      <c r="K2371" s="1115"/>
      <c r="L2371" s="1115"/>
      <c r="M2371" s="1115"/>
    </row>
    <row r="2372" spans="1:13" x14ac:dyDescent="0.2">
      <c r="A2372" s="1115"/>
      <c r="B2372" s="1115"/>
      <c r="C2372" s="1115"/>
      <c r="D2372" s="1115"/>
      <c r="E2372" s="1115"/>
      <c r="F2372" s="1115"/>
      <c r="G2372" s="1115"/>
      <c r="H2372" s="1115"/>
      <c r="I2372" s="1115"/>
      <c r="J2372" s="1115"/>
      <c r="K2372" s="1115"/>
      <c r="L2372" s="1115"/>
      <c r="M2372" s="1115"/>
    </row>
    <row r="2373" spans="1:13" x14ac:dyDescent="0.2">
      <c r="A2373" s="1115"/>
      <c r="B2373" s="1115"/>
      <c r="C2373" s="1115"/>
      <c r="D2373" s="1115"/>
      <c r="E2373" s="1115"/>
      <c r="F2373" s="1115"/>
      <c r="G2373" s="1115"/>
      <c r="H2373" s="1115"/>
      <c r="I2373" s="1115"/>
      <c r="J2373" s="1115"/>
      <c r="K2373" s="1115"/>
      <c r="L2373" s="1115"/>
      <c r="M2373" s="1115"/>
    </row>
    <row r="2374" spans="1:13" x14ac:dyDescent="0.2">
      <c r="A2374" s="1115"/>
      <c r="B2374" s="1115"/>
      <c r="C2374" s="1115"/>
      <c r="D2374" s="1115"/>
      <c r="E2374" s="1115"/>
      <c r="F2374" s="1115"/>
      <c r="G2374" s="1115"/>
      <c r="H2374" s="1115"/>
      <c r="I2374" s="1115"/>
      <c r="J2374" s="1115"/>
      <c r="K2374" s="1115"/>
      <c r="L2374" s="1115"/>
      <c r="M2374" s="1115"/>
    </row>
    <row r="2375" spans="1:13" x14ac:dyDescent="0.2">
      <c r="A2375" s="1115"/>
      <c r="B2375" s="1115"/>
      <c r="C2375" s="1115"/>
      <c r="D2375" s="1115"/>
      <c r="E2375" s="1115"/>
      <c r="F2375" s="1115"/>
      <c r="G2375" s="1115"/>
      <c r="H2375" s="1115"/>
      <c r="I2375" s="1115"/>
      <c r="J2375" s="1115"/>
      <c r="K2375" s="1115"/>
      <c r="L2375" s="1115"/>
      <c r="M2375" s="1115"/>
    </row>
    <row r="2376" spans="1:13" x14ac:dyDescent="0.2">
      <c r="A2376" s="1115"/>
      <c r="B2376" s="1115"/>
      <c r="C2376" s="1115"/>
      <c r="D2376" s="1115"/>
      <c r="E2376" s="1115"/>
      <c r="F2376" s="1115"/>
      <c r="G2376" s="1115"/>
      <c r="H2376" s="1115"/>
      <c r="I2376" s="1115"/>
      <c r="J2376" s="1115"/>
      <c r="K2376" s="1115"/>
      <c r="L2376" s="1115"/>
      <c r="M2376" s="1115"/>
    </row>
    <row r="2377" spans="1:13" x14ac:dyDescent="0.2">
      <c r="A2377" s="1115"/>
      <c r="B2377" s="1115"/>
      <c r="C2377" s="1115"/>
      <c r="D2377" s="1115"/>
      <c r="E2377" s="1115"/>
      <c r="F2377" s="1115"/>
      <c r="G2377" s="1115"/>
      <c r="H2377" s="1115"/>
      <c r="I2377" s="1115"/>
      <c r="J2377" s="1115"/>
      <c r="K2377" s="1115"/>
      <c r="L2377" s="1115"/>
      <c r="M2377" s="1115"/>
    </row>
    <row r="2378" spans="1:13" x14ac:dyDescent="0.2">
      <c r="A2378" s="1115"/>
      <c r="B2378" s="1115"/>
      <c r="C2378" s="1115"/>
      <c r="D2378" s="1115"/>
      <c r="E2378" s="1115"/>
      <c r="F2378" s="1115"/>
      <c r="G2378" s="1115"/>
      <c r="H2378" s="1115"/>
      <c r="I2378" s="1115"/>
      <c r="J2378" s="1115"/>
      <c r="K2378" s="1115"/>
      <c r="L2378" s="1115"/>
      <c r="M2378" s="1115"/>
    </row>
    <row r="2379" spans="1:13" x14ac:dyDescent="0.2">
      <c r="A2379" s="1115"/>
      <c r="B2379" s="1115"/>
      <c r="C2379" s="1115"/>
      <c r="D2379" s="1115"/>
      <c r="E2379" s="1115"/>
      <c r="F2379" s="1115"/>
      <c r="G2379" s="1115"/>
      <c r="H2379" s="1115"/>
      <c r="I2379" s="1115"/>
      <c r="J2379" s="1115"/>
      <c r="K2379" s="1115"/>
      <c r="L2379" s="1115"/>
      <c r="M2379" s="1115"/>
    </row>
    <row r="2380" spans="1:13" x14ac:dyDescent="0.2">
      <c r="A2380" s="1115"/>
      <c r="B2380" s="1115"/>
      <c r="C2380" s="1115"/>
      <c r="D2380" s="1115"/>
      <c r="E2380" s="1115"/>
      <c r="F2380" s="1115"/>
      <c r="G2380" s="1115"/>
      <c r="H2380" s="1115"/>
      <c r="I2380" s="1115"/>
      <c r="J2380" s="1115"/>
      <c r="K2380" s="1115"/>
      <c r="L2380" s="1115"/>
      <c r="M2380" s="1115"/>
    </row>
    <row r="2381" spans="1:13" x14ac:dyDescent="0.2">
      <c r="A2381" s="1115"/>
      <c r="B2381" s="1115"/>
      <c r="C2381" s="1115"/>
      <c r="D2381" s="1115"/>
      <c r="E2381" s="1115"/>
      <c r="F2381" s="1115"/>
      <c r="G2381" s="1115"/>
      <c r="H2381" s="1115"/>
      <c r="I2381" s="1115"/>
      <c r="J2381" s="1115"/>
      <c r="K2381" s="1115"/>
      <c r="L2381" s="1115"/>
      <c r="M2381" s="1115"/>
    </row>
    <row r="2382" spans="1:13" x14ac:dyDescent="0.2">
      <c r="A2382" s="1115"/>
      <c r="B2382" s="1115"/>
      <c r="C2382" s="1115"/>
      <c r="D2382" s="1115"/>
      <c r="E2382" s="1115"/>
      <c r="F2382" s="1115"/>
      <c r="G2382" s="1115"/>
      <c r="H2382" s="1115"/>
      <c r="I2382" s="1115"/>
      <c r="J2382" s="1115"/>
      <c r="K2382" s="1115"/>
      <c r="L2382" s="1115"/>
      <c r="M2382" s="1115"/>
    </row>
    <row r="2383" spans="1:13" x14ac:dyDescent="0.2">
      <c r="A2383" s="1115"/>
      <c r="B2383" s="1115"/>
      <c r="C2383" s="1115"/>
      <c r="D2383" s="1115"/>
      <c r="E2383" s="1115"/>
      <c r="F2383" s="1115"/>
      <c r="G2383" s="1115"/>
      <c r="H2383" s="1115"/>
      <c r="I2383" s="1115"/>
      <c r="J2383" s="1115"/>
      <c r="K2383" s="1115"/>
      <c r="L2383" s="1115"/>
      <c r="M2383" s="1115"/>
    </row>
    <row r="2384" spans="1:13" x14ac:dyDescent="0.2">
      <c r="A2384" s="1115"/>
      <c r="B2384" s="1115"/>
      <c r="C2384" s="1115"/>
      <c r="D2384" s="1115"/>
      <c r="E2384" s="1115"/>
      <c r="F2384" s="1115"/>
      <c r="G2384" s="1115"/>
      <c r="H2384" s="1115"/>
      <c r="I2384" s="1115"/>
      <c r="J2384" s="1115"/>
      <c r="K2384" s="1115"/>
      <c r="L2384" s="1115"/>
      <c r="M2384" s="1115"/>
    </row>
    <row r="2385" spans="1:13" x14ac:dyDescent="0.2">
      <c r="A2385" s="1115"/>
      <c r="B2385" s="1115"/>
      <c r="C2385" s="1115"/>
      <c r="D2385" s="1115"/>
      <c r="E2385" s="1115"/>
      <c r="F2385" s="1115"/>
      <c r="G2385" s="1115"/>
      <c r="H2385" s="1115"/>
      <c r="I2385" s="1115"/>
      <c r="J2385" s="1115"/>
      <c r="K2385" s="1115"/>
      <c r="L2385" s="1115"/>
      <c r="M2385" s="1115"/>
    </row>
    <row r="2386" spans="1:13" x14ac:dyDescent="0.2">
      <c r="A2386" s="1115"/>
      <c r="B2386" s="1115"/>
      <c r="C2386" s="1115"/>
      <c r="D2386" s="1115"/>
      <c r="E2386" s="1115"/>
      <c r="F2386" s="1115"/>
      <c r="G2386" s="1115"/>
      <c r="H2386" s="1115"/>
      <c r="I2386" s="1115"/>
      <c r="J2386" s="1115"/>
      <c r="K2386" s="1115"/>
      <c r="L2386" s="1115"/>
      <c r="M2386" s="1115"/>
    </row>
    <row r="2387" spans="1:13" x14ac:dyDescent="0.2">
      <c r="A2387" s="1115"/>
      <c r="B2387" s="1115"/>
      <c r="C2387" s="1115"/>
      <c r="D2387" s="1115"/>
      <c r="E2387" s="1115"/>
      <c r="F2387" s="1115"/>
      <c r="G2387" s="1115"/>
      <c r="H2387" s="1115"/>
      <c r="I2387" s="1115"/>
      <c r="J2387" s="1115"/>
      <c r="K2387" s="1115"/>
      <c r="L2387" s="1115"/>
      <c r="M2387" s="1115"/>
    </row>
    <row r="2388" spans="1:13" x14ac:dyDescent="0.2">
      <c r="A2388" s="1115"/>
      <c r="B2388" s="1115"/>
      <c r="C2388" s="1115"/>
      <c r="D2388" s="1115"/>
      <c r="E2388" s="1115"/>
      <c r="F2388" s="1115"/>
      <c r="G2388" s="1115"/>
      <c r="H2388" s="1115"/>
      <c r="I2388" s="1115"/>
      <c r="J2388" s="1115"/>
      <c r="K2388" s="1115"/>
      <c r="L2388" s="1115"/>
      <c r="M2388" s="1115"/>
    </row>
    <row r="2389" spans="1:13" x14ac:dyDescent="0.2">
      <c r="A2389" s="1115"/>
      <c r="B2389" s="1115"/>
      <c r="C2389" s="1115"/>
      <c r="D2389" s="1115"/>
      <c r="E2389" s="1115"/>
      <c r="F2389" s="1115"/>
      <c r="G2389" s="1115"/>
      <c r="H2389" s="1115"/>
      <c r="I2389" s="1115"/>
      <c r="J2389" s="1115"/>
      <c r="K2389" s="1115"/>
      <c r="L2389" s="1115"/>
      <c r="M2389" s="1115"/>
    </row>
    <row r="2390" spans="1:13" x14ac:dyDescent="0.2">
      <c r="A2390" s="1115"/>
      <c r="B2390" s="1115"/>
      <c r="C2390" s="1115"/>
      <c r="D2390" s="1115"/>
      <c r="E2390" s="1115"/>
      <c r="F2390" s="1115"/>
      <c r="G2390" s="1115"/>
      <c r="H2390" s="1115"/>
      <c r="I2390" s="1115"/>
      <c r="J2390" s="1115"/>
      <c r="K2390" s="1115"/>
      <c r="L2390" s="1115"/>
      <c r="M2390" s="1115"/>
    </row>
    <row r="2391" spans="1:13" x14ac:dyDescent="0.2">
      <c r="A2391" s="1115"/>
      <c r="B2391" s="1115"/>
      <c r="C2391" s="1115"/>
      <c r="D2391" s="1115"/>
      <c r="E2391" s="1115"/>
      <c r="F2391" s="1115"/>
      <c r="G2391" s="1115"/>
      <c r="H2391" s="1115"/>
      <c r="I2391" s="1115"/>
      <c r="J2391" s="1115"/>
      <c r="K2391" s="1115"/>
      <c r="L2391" s="1115"/>
      <c r="M2391" s="1115"/>
    </row>
    <row r="2392" spans="1:13" x14ac:dyDescent="0.2">
      <c r="A2392" s="1115"/>
      <c r="B2392" s="1115"/>
      <c r="C2392" s="1115"/>
      <c r="D2392" s="1115"/>
      <c r="E2392" s="1115"/>
      <c r="F2392" s="1115"/>
      <c r="G2392" s="1115"/>
      <c r="H2392" s="1115"/>
      <c r="I2392" s="1115"/>
      <c r="J2392" s="1115"/>
      <c r="K2392" s="1115"/>
      <c r="L2392" s="1115"/>
      <c r="M2392" s="1115"/>
    </row>
    <row r="2393" spans="1:13" x14ac:dyDescent="0.2">
      <c r="A2393" s="1115"/>
      <c r="B2393" s="1115"/>
      <c r="C2393" s="1115"/>
      <c r="D2393" s="1115"/>
      <c r="E2393" s="1115"/>
      <c r="F2393" s="1115"/>
      <c r="G2393" s="1115"/>
      <c r="H2393" s="1115"/>
      <c r="I2393" s="1115"/>
      <c r="J2393" s="1115"/>
      <c r="K2393" s="1115"/>
      <c r="L2393" s="1115"/>
      <c r="M2393" s="1115"/>
    </row>
    <row r="2394" spans="1:13" x14ac:dyDescent="0.2">
      <c r="A2394" s="1115"/>
      <c r="B2394" s="1115"/>
      <c r="C2394" s="1115"/>
      <c r="D2394" s="1115"/>
      <c r="E2394" s="1115"/>
      <c r="F2394" s="1115"/>
      <c r="G2394" s="1115"/>
      <c r="H2394" s="1115"/>
      <c r="I2394" s="1115"/>
      <c r="J2394" s="1115"/>
      <c r="K2394" s="1115"/>
      <c r="L2394" s="1115"/>
      <c r="M2394" s="1115"/>
    </row>
    <row r="2395" spans="1:13" x14ac:dyDescent="0.2">
      <c r="A2395" s="1115"/>
      <c r="B2395" s="1115"/>
      <c r="C2395" s="1115"/>
      <c r="D2395" s="1115"/>
      <c r="E2395" s="1115"/>
      <c r="F2395" s="1115"/>
      <c r="G2395" s="1115"/>
      <c r="H2395" s="1115"/>
      <c r="I2395" s="1115"/>
      <c r="J2395" s="1115"/>
      <c r="K2395" s="1115"/>
      <c r="L2395" s="1115"/>
      <c r="M2395" s="1115"/>
    </row>
    <row r="2396" spans="1:13" x14ac:dyDescent="0.2">
      <c r="A2396" s="1115"/>
      <c r="B2396" s="1115"/>
      <c r="C2396" s="1115"/>
      <c r="D2396" s="1115"/>
      <c r="E2396" s="1115"/>
      <c r="F2396" s="1115"/>
      <c r="G2396" s="1115"/>
      <c r="H2396" s="1115"/>
      <c r="I2396" s="1115"/>
      <c r="J2396" s="1115"/>
      <c r="K2396" s="1115"/>
      <c r="L2396" s="1115"/>
      <c r="M2396" s="1115"/>
    </row>
    <row r="2397" spans="1:13" x14ac:dyDescent="0.2">
      <c r="A2397" s="1115"/>
      <c r="B2397" s="1115"/>
      <c r="C2397" s="1115"/>
      <c r="D2397" s="1115"/>
      <c r="E2397" s="1115"/>
      <c r="F2397" s="1115"/>
      <c r="G2397" s="1115"/>
      <c r="H2397" s="1115"/>
      <c r="I2397" s="1115"/>
      <c r="J2397" s="1115"/>
      <c r="K2397" s="1115"/>
      <c r="L2397" s="1115"/>
      <c r="M2397" s="1115"/>
    </row>
    <row r="2398" spans="1:13" x14ac:dyDescent="0.2">
      <c r="A2398" s="1115"/>
      <c r="B2398" s="1115"/>
      <c r="C2398" s="1115"/>
      <c r="D2398" s="1115"/>
      <c r="E2398" s="1115"/>
      <c r="F2398" s="1115"/>
      <c r="G2398" s="1115"/>
      <c r="H2398" s="1115"/>
      <c r="I2398" s="1115"/>
      <c r="J2398" s="1115"/>
      <c r="K2398" s="1115"/>
      <c r="L2398" s="1115"/>
      <c r="M2398" s="1115"/>
    </row>
    <row r="2399" spans="1:13" x14ac:dyDescent="0.2">
      <c r="A2399" s="1115"/>
      <c r="B2399" s="1115"/>
      <c r="C2399" s="1115"/>
      <c r="D2399" s="1115"/>
      <c r="E2399" s="1115"/>
      <c r="F2399" s="1115"/>
      <c r="G2399" s="1115"/>
      <c r="H2399" s="1115"/>
      <c r="I2399" s="1115"/>
      <c r="J2399" s="1115"/>
      <c r="K2399" s="1115"/>
      <c r="L2399" s="1115"/>
      <c r="M2399" s="1115"/>
    </row>
    <row r="2400" spans="1:13" x14ac:dyDescent="0.2">
      <c r="A2400" s="1115"/>
      <c r="B2400" s="1115"/>
      <c r="C2400" s="1115"/>
      <c r="D2400" s="1115"/>
      <c r="E2400" s="1115"/>
      <c r="F2400" s="1115"/>
      <c r="G2400" s="1115"/>
      <c r="H2400" s="1115"/>
      <c r="I2400" s="1115"/>
      <c r="J2400" s="1115"/>
      <c r="K2400" s="1115"/>
      <c r="L2400" s="1115"/>
      <c r="M2400" s="1115"/>
    </row>
    <row r="2401" spans="1:13" x14ac:dyDescent="0.2">
      <c r="A2401" s="1115"/>
      <c r="B2401" s="1115"/>
      <c r="C2401" s="1115"/>
      <c r="D2401" s="1115"/>
      <c r="E2401" s="1115"/>
      <c r="F2401" s="1115"/>
      <c r="G2401" s="1115"/>
      <c r="H2401" s="1115"/>
      <c r="I2401" s="1115"/>
      <c r="J2401" s="1115"/>
      <c r="K2401" s="1115"/>
      <c r="L2401" s="1115"/>
      <c r="M2401" s="1115"/>
    </row>
    <row r="2402" spans="1:13" x14ac:dyDescent="0.2">
      <c r="A2402" s="1115"/>
      <c r="B2402" s="1115"/>
      <c r="C2402" s="1115"/>
      <c r="D2402" s="1115"/>
      <c r="E2402" s="1115"/>
      <c r="F2402" s="1115"/>
      <c r="G2402" s="1115"/>
      <c r="H2402" s="1115"/>
      <c r="I2402" s="1115"/>
      <c r="J2402" s="1115"/>
      <c r="K2402" s="1115"/>
      <c r="L2402" s="1115"/>
      <c r="M2402" s="1115"/>
    </row>
    <row r="2403" spans="1:13" x14ac:dyDescent="0.2">
      <c r="A2403" s="1115"/>
      <c r="B2403" s="1115"/>
      <c r="C2403" s="1115"/>
      <c r="D2403" s="1115"/>
      <c r="E2403" s="1115"/>
      <c r="F2403" s="1115"/>
      <c r="G2403" s="1115"/>
      <c r="H2403" s="1115"/>
      <c r="I2403" s="1115"/>
      <c r="J2403" s="1115"/>
      <c r="K2403" s="1115"/>
      <c r="L2403" s="1115"/>
      <c r="M2403" s="1115"/>
    </row>
    <row r="2404" spans="1:13" x14ac:dyDescent="0.2">
      <c r="A2404" s="1115"/>
      <c r="B2404" s="1115"/>
      <c r="C2404" s="1115"/>
      <c r="D2404" s="1115"/>
      <c r="E2404" s="1115"/>
      <c r="F2404" s="1115"/>
      <c r="G2404" s="1115"/>
      <c r="H2404" s="1115"/>
      <c r="I2404" s="1115"/>
      <c r="J2404" s="1115"/>
      <c r="K2404" s="1115"/>
      <c r="L2404" s="1115"/>
      <c r="M2404" s="1115"/>
    </row>
    <row r="2405" spans="1:13" x14ac:dyDescent="0.2">
      <c r="A2405" s="1115"/>
      <c r="B2405" s="1115"/>
      <c r="C2405" s="1115"/>
      <c r="D2405" s="1115"/>
      <c r="E2405" s="1115"/>
      <c r="F2405" s="1115"/>
      <c r="G2405" s="1115"/>
      <c r="H2405" s="1115"/>
      <c r="I2405" s="1115"/>
      <c r="J2405" s="1115"/>
      <c r="K2405" s="1115"/>
      <c r="L2405" s="1115"/>
      <c r="M2405" s="1115"/>
    </row>
    <row r="2406" spans="1:13" x14ac:dyDescent="0.2">
      <c r="A2406" s="1115"/>
      <c r="B2406" s="1115"/>
      <c r="C2406" s="1115"/>
      <c r="D2406" s="1115"/>
      <c r="E2406" s="1115"/>
      <c r="F2406" s="1115"/>
      <c r="G2406" s="1115"/>
      <c r="H2406" s="1115"/>
      <c r="I2406" s="1115"/>
      <c r="J2406" s="1115"/>
      <c r="K2406" s="1115"/>
      <c r="L2406" s="1115"/>
      <c r="M2406" s="1115"/>
    </row>
    <row r="2407" spans="1:13" x14ac:dyDescent="0.2">
      <c r="A2407" s="1115"/>
      <c r="B2407" s="1115"/>
      <c r="C2407" s="1115"/>
      <c r="D2407" s="1115"/>
      <c r="E2407" s="1115"/>
      <c r="F2407" s="1115"/>
      <c r="G2407" s="1115"/>
      <c r="H2407" s="1115"/>
      <c r="I2407" s="1115"/>
      <c r="J2407" s="1115"/>
      <c r="K2407" s="1115"/>
      <c r="L2407" s="1115"/>
      <c r="M2407" s="1115"/>
    </row>
    <row r="2408" spans="1:13" x14ac:dyDescent="0.2">
      <c r="A2408" s="1115"/>
      <c r="B2408" s="1115"/>
      <c r="C2408" s="1115"/>
      <c r="D2408" s="1115"/>
      <c r="E2408" s="1115"/>
      <c r="F2408" s="1115"/>
      <c r="G2408" s="1115"/>
      <c r="H2408" s="1115"/>
      <c r="I2408" s="1115"/>
      <c r="J2408" s="1115"/>
      <c r="K2408" s="1115"/>
      <c r="L2408" s="1115"/>
      <c r="M2408" s="1115"/>
    </row>
    <row r="2409" spans="1:13" x14ac:dyDescent="0.2">
      <c r="A2409" s="1115"/>
      <c r="B2409" s="1115"/>
      <c r="C2409" s="1115"/>
      <c r="D2409" s="1115"/>
      <c r="E2409" s="1115"/>
      <c r="F2409" s="1115"/>
      <c r="G2409" s="1115"/>
      <c r="H2409" s="1115"/>
      <c r="I2409" s="1115"/>
      <c r="J2409" s="1115"/>
      <c r="K2409" s="1115"/>
      <c r="L2409" s="1115"/>
      <c r="M2409" s="1115"/>
    </row>
    <row r="2410" spans="1:13" x14ac:dyDescent="0.2">
      <c r="A2410" s="1115"/>
      <c r="B2410" s="1115"/>
      <c r="C2410" s="1115"/>
      <c r="D2410" s="1115"/>
      <c r="E2410" s="1115"/>
      <c r="F2410" s="1115"/>
      <c r="G2410" s="1115"/>
      <c r="H2410" s="1115"/>
      <c r="I2410" s="1115"/>
      <c r="J2410" s="1115"/>
      <c r="K2410" s="1115"/>
      <c r="L2410" s="1115"/>
      <c r="M2410" s="1115"/>
    </row>
    <row r="2411" spans="1:13" x14ac:dyDescent="0.2">
      <c r="A2411" s="1115"/>
      <c r="B2411" s="1115"/>
      <c r="C2411" s="1115"/>
      <c r="D2411" s="1115"/>
      <c r="E2411" s="1115"/>
      <c r="F2411" s="1115"/>
      <c r="G2411" s="1115"/>
      <c r="H2411" s="1115"/>
      <c r="I2411" s="1115"/>
      <c r="J2411" s="1115"/>
      <c r="K2411" s="1115"/>
      <c r="L2411" s="1115"/>
      <c r="M2411" s="1115"/>
    </row>
    <row r="2412" spans="1:13" x14ac:dyDescent="0.2">
      <c r="A2412" s="1115"/>
      <c r="B2412" s="1115"/>
      <c r="C2412" s="1115"/>
      <c r="D2412" s="1115"/>
      <c r="E2412" s="1115"/>
      <c r="F2412" s="1115"/>
      <c r="G2412" s="1115"/>
      <c r="H2412" s="1115"/>
      <c r="I2412" s="1115"/>
      <c r="J2412" s="1115"/>
      <c r="K2412" s="1115"/>
      <c r="L2412" s="1115"/>
      <c r="M2412" s="1115"/>
    </row>
    <row r="2413" spans="1:13" x14ac:dyDescent="0.2">
      <c r="A2413" s="1115"/>
      <c r="B2413" s="1115"/>
      <c r="C2413" s="1115"/>
      <c r="D2413" s="1115"/>
      <c r="E2413" s="1115"/>
      <c r="F2413" s="1115"/>
      <c r="G2413" s="1115"/>
      <c r="H2413" s="1115"/>
      <c r="I2413" s="1115"/>
      <c r="J2413" s="1115"/>
      <c r="K2413" s="1115"/>
      <c r="L2413" s="1115"/>
      <c r="M2413" s="1115"/>
    </row>
    <row r="2414" spans="1:13" x14ac:dyDescent="0.2">
      <c r="A2414" s="1115"/>
      <c r="B2414" s="1115"/>
      <c r="C2414" s="1115"/>
      <c r="D2414" s="1115"/>
      <c r="E2414" s="1115"/>
      <c r="F2414" s="1115"/>
      <c r="G2414" s="1115"/>
      <c r="H2414" s="1115"/>
      <c r="I2414" s="1115"/>
      <c r="J2414" s="1115"/>
      <c r="K2414" s="1115"/>
      <c r="L2414" s="1115"/>
      <c r="M2414" s="1115"/>
    </row>
    <row r="2415" spans="1:13" x14ac:dyDescent="0.2">
      <c r="A2415" s="1115"/>
      <c r="B2415" s="1115"/>
      <c r="C2415" s="1115"/>
      <c r="D2415" s="1115"/>
      <c r="E2415" s="1115"/>
      <c r="F2415" s="1115"/>
      <c r="G2415" s="1115"/>
      <c r="H2415" s="1115"/>
      <c r="I2415" s="1115"/>
      <c r="J2415" s="1115"/>
      <c r="K2415" s="1115"/>
      <c r="L2415" s="1115"/>
      <c r="M2415" s="1115"/>
    </row>
    <row r="2416" spans="1:13" x14ac:dyDescent="0.2">
      <c r="A2416" s="1115"/>
      <c r="B2416" s="1115"/>
      <c r="C2416" s="1115"/>
      <c r="D2416" s="1115"/>
      <c r="E2416" s="1115"/>
      <c r="F2416" s="1115"/>
      <c r="G2416" s="1115"/>
      <c r="H2416" s="1115"/>
      <c r="I2416" s="1115"/>
      <c r="J2416" s="1115"/>
      <c r="K2416" s="1115"/>
      <c r="L2416" s="1115"/>
      <c r="M2416" s="1115"/>
    </row>
    <row r="2417" spans="1:13" x14ac:dyDescent="0.2">
      <c r="A2417" s="1115"/>
      <c r="B2417" s="1115"/>
      <c r="C2417" s="1115"/>
      <c r="D2417" s="1115"/>
      <c r="E2417" s="1115"/>
      <c r="F2417" s="1115"/>
      <c r="G2417" s="1115"/>
      <c r="H2417" s="1115"/>
      <c r="I2417" s="1115"/>
      <c r="J2417" s="1115"/>
      <c r="K2417" s="1115"/>
      <c r="L2417" s="1115"/>
      <c r="M2417" s="1115"/>
    </row>
    <row r="2418" spans="1:13" x14ac:dyDescent="0.2">
      <c r="A2418" s="1115"/>
      <c r="B2418" s="1115"/>
      <c r="C2418" s="1115"/>
      <c r="D2418" s="1115"/>
      <c r="E2418" s="1115"/>
      <c r="F2418" s="1115"/>
      <c r="G2418" s="1115"/>
      <c r="H2418" s="1115"/>
      <c r="I2418" s="1115"/>
      <c r="J2418" s="1115"/>
      <c r="K2418" s="1115"/>
      <c r="L2418" s="1115"/>
      <c r="M2418" s="1115"/>
    </row>
    <row r="2419" spans="1:13" x14ac:dyDescent="0.2">
      <c r="A2419" s="1115"/>
      <c r="B2419" s="1115"/>
      <c r="C2419" s="1115"/>
      <c r="D2419" s="1115"/>
      <c r="E2419" s="1115"/>
      <c r="F2419" s="1115"/>
      <c r="G2419" s="1115"/>
      <c r="H2419" s="1115"/>
      <c r="I2419" s="1115"/>
      <c r="J2419" s="1115"/>
      <c r="K2419" s="1115"/>
      <c r="L2419" s="1115"/>
      <c r="M2419" s="1115"/>
    </row>
    <row r="2420" spans="1:13" x14ac:dyDescent="0.2">
      <c r="A2420" s="1115"/>
      <c r="B2420" s="1115"/>
      <c r="C2420" s="1115"/>
      <c r="D2420" s="1115"/>
      <c r="E2420" s="1115"/>
      <c r="F2420" s="1115"/>
      <c r="G2420" s="1115"/>
      <c r="H2420" s="1115"/>
      <c r="I2420" s="1115"/>
      <c r="J2420" s="1115"/>
      <c r="K2420" s="1115"/>
      <c r="L2420" s="1115"/>
      <c r="M2420" s="1115"/>
    </row>
    <row r="2421" spans="1:13" x14ac:dyDescent="0.2">
      <c r="A2421" s="1115"/>
      <c r="B2421" s="1115"/>
      <c r="C2421" s="1115"/>
      <c r="D2421" s="1115"/>
      <c r="E2421" s="1115"/>
      <c r="F2421" s="1115"/>
      <c r="G2421" s="1115"/>
      <c r="H2421" s="1115"/>
      <c r="I2421" s="1115"/>
      <c r="J2421" s="1115"/>
      <c r="K2421" s="1115"/>
      <c r="L2421" s="1115"/>
      <c r="M2421" s="1115"/>
    </row>
    <row r="2422" spans="1:13" x14ac:dyDescent="0.2">
      <c r="A2422" s="1115"/>
      <c r="B2422" s="1115"/>
      <c r="C2422" s="1115"/>
      <c r="D2422" s="1115"/>
      <c r="E2422" s="1115"/>
      <c r="F2422" s="1115"/>
      <c r="G2422" s="1115"/>
      <c r="H2422" s="1115"/>
      <c r="I2422" s="1115"/>
      <c r="J2422" s="1115"/>
      <c r="K2422" s="1115"/>
      <c r="L2422" s="1115"/>
      <c r="M2422" s="1115"/>
    </row>
    <row r="2423" spans="1:13" x14ac:dyDescent="0.2">
      <c r="A2423" s="1115"/>
      <c r="B2423" s="1115"/>
      <c r="C2423" s="1115"/>
      <c r="D2423" s="1115"/>
      <c r="E2423" s="1115"/>
      <c r="F2423" s="1115"/>
      <c r="G2423" s="1115"/>
      <c r="H2423" s="1115"/>
      <c r="I2423" s="1115"/>
      <c r="J2423" s="1115"/>
      <c r="K2423" s="1115"/>
      <c r="L2423" s="1115"/>
      <c r="M2423" s="1115"/>
    </row>
    <row r="2424" spans="1:13" x14ac:dyDescent="0.2">
      <c r="A2424" s="1115"/>
      <c r="B2424" s="1115"/>
      <c r="C2424" s="1115"/>
      <c r="D2424" s="1115"/>
      <c r="E2424" s="1115"/>
      <c r="F2424" s="1115"/>
      <c r="G2424" s="1115"/>
      <c r="H2424" s="1115"/>
      <c r="I2424" s="1115"/>
      <c r="J2424" s="1115"/>
      <c r="K2424" s="1115"/>
      <c r="L2424" s="1115"/>
      <c r="M2424" s="1115"/>
    </row>
    <row r="2425" spans="1:13" x14ac:dyDescent="0.2">
      <c r="A2425" s="1115"/>
      <c r="B2425" s="1115"/>
      <c r="C2425" s="1115"/>
      <c r="D2425" s="1115"/>
      <c r="E2425" s="1115"/>
      <c r="F2425" s="1115"/>
      <c r="G2425" s="1115"/>
      <c r="H2425" s="1115"/>
      <c r="I2425" s="1115"/>
      <c r="J2425" s="1115"/>
      <c r="K2425" s="1115"/>
      <c r="L2425" s="1115"/>
      <c r="M2425" s="1115"/>
    </row>
    <row r="2426" spans="1:13" x14ac:dyDescent="0.2">
      <c r="A2426" s="1115"/>
      <c r="B2426" s="1115"/>
      <c r="C2426" s="1115"/>
      <c r="D2426" s="1115"/>
      <c r="E2426" s="1115"/>
      <c r="F2426" s="1115"/>
      <c r="G2426" s="1115"/>
      <c r="H2426" s="1115"/>
      <c r="I2426" s="1115"/>
      <c r="J2426" s="1115"/>
      <c r="K2426" s="1115"/>
      <c r="L2426" s="1115"/>
      <c r="M2426" s="1115"/>
    </row>
    <row r="2427" spans="1:13" x14ac:dyDescent="0.2">
      <c r="A2427" s="1115"/>
      <c r="B2427" s="1115"/>
      <c r="C2427" s="1115"/>
      <c r="D2427" s="1115"/>
      <c r="E2427" s="1115"/>
      <c r="F2427" s="1115"/>
      <c r="G2427" s="1115"/>
      <c r="H2427" s="1115"/>
      <c r="I2427" s="1115"/>
      <c r="J2427" s="1115"/>
      <c r="K2427" s="1115"/>
      <c r="L2427" s="1115"/>
      <c r="M2427" s="1115"/>
    </row>
    <row r="2428" spans="1:13" x14ac:dyDescent="0.2">
      <c r="A2428" s="1115"/>
      <c r="B2428" s="1115"/>
      <c r="C2428" s="1115"/>
      <c r="D2428" s="1115"/>
      <c r="E2428" s="1115"/>
      <c r="F2428" s="1115"/>
      <c r="G2428" s="1115"/>
      <c r="H2428" s="1115"/>
      <c r="I2428" s="1115"/>
      <c r="J2428" s="1115"/>
      <c r="K2428" s="1115"/>
      <c r="L2428" s="1115"/>
      <c r="M2428" s="1115"/>
    </row>
    <row r="2429" spans="1:13" x14ac:dyDescent="0.2">
      <c r="A2429" s="1115"/>
      <c r="B2429" s="1115"/>
      <c r="C2429" s="1115"/>
      <c r="D2429" s="1115"/>
      <c r="E2429" s="1115"/>
      <c r="F2429" s="1115"/>
      <c r="G2429" s="1115"/>
      <c r="H2429" s="1115"/>
      <c r="I2429" s="1115"/>
      <c r="J2429" s="1115"/>
      <c r="K2429" s="1115"/>
      <c r="L2429" s="1115"/>
      <c r="M2429" s="1115"/>
    </row>
    <row r="2430" spans="1:13" x14ac:dyDescent="0.2">
      <c r="A2430" s="1115"/>
      <c r="B2430" s="1115"/>
      <c r="C2430" s="1115"/>
      <c r="D2430" s="1115"/>
      <c r="E2430" s="1115"/>
      <c r="F2430" s="1115"/>
      <c r="G2430" s="1115"/>
      <c r="H2430" s="1115"/>
      <c r="I2430" s="1115"/>
      <c r="J2430" s="1115"/>
      <c r="K2430" s="1115"/>
      <c r="L2430" s="1115"/>
      <c r="M2430" s="1115"/>
    </row>
    <row r="2431" spans="1:13" x14ac:dyDescent="0.2">
      <c r="A2431" s="1115"/>
      <c r="B2431" s="1115"/>
      <c r="C2431" s="1115"/>
      <c r="D2431" s="1115"/>
      <c r="E2431" s="1115"/>
      <c r="F2431" s="1115"/>
      <c r="G2431" s="1115"/>
      <c r="H2431" s="1115"/>
      <c r="I2431" s="1115"/>
      <c r="J2431" s="1115"/>
      <c r="K2431" s="1115"/>
      <c r="L2431" s="1115"/>
      <c r="M2431" s="1115"/>
    </row>
    <row r="2432" spans="1:13" x14ac:dyDescent="0.2">
      <c r="A2432" s="1115"/>
      <c r="B2432" s="1115"/>
      <c r="C2432" s="1115"/>
      <c r="D2432" s="1115"/>
      <c r="E2432" s="1115"/>
      <c r="F2432" s="1115"/>
      <c r="G2432" s="1115"/>
      <c r="H2432" s="1115"/>
      <c r="I2432" s="1115"/>
      <c r="J2432" s="1115"/>
      <c r="K2432" s="1115"/>
      <c r="L2432" s="1115"/>
      <c r="M2432" s="1115"/>
    </row>
    <row r="2433" spans="1:13" x14ac:dyDescent="0.2">
      <c r="A2433" s="1115"/>
      <c r="B2433" s="1115"/>
      <c r="C2433" s="1115"/>
      <c r="D2433" s="1115"/>
      <c r="E2433" s="1115"/>
      <c r="F2433" s="1115"/>
      <c r="G2433" s="1115"/>
      <c r="H2433" s="1115"/>
      <c r="I2433" s="1115"/>
      <c r="J2433" s="1115"/>
      <c r="K2433" s="1115"/>
      <c r="L2433" s="1115"/>
      <c r="M2433" s="1115"/>
    </row>
    <row r="2434" spans="1:13" x14ac:dyDescent="0.2">
      <c r="A2434" s="1115"/>
      <c r="B2434" s="1115"/>
      <c r="C2434" s="1115"/>
      <c r="D2434" s="1115"/>
      <c r="E2434" s="1115"/>
      <c r="F2434" s="1115"/>
      <c r="G2434" s="1115"/>
      <c r="H2434" s="1115"/>
      <c r="I2434" s="1115"/>
      <c r="J2434" s="1115"/>
      <c r="K2434" s="1115"/>
      <c r="L2434" s="1115"/>
      <c r="M2434" s="1115"/>
    </row>
    <row r="2435" spans="1:13" x14ac:dyDescent="0.2">
      <c r="A2435" s="1115"/>
      <c r="B2435" s="1115"/>
      <c r="C2435" s="1115"/>
      <c r="D2435" s="1115"/>
      <c r="E2435" s="1115"/>
      <c r="F2435" s="1115"/>
      <c r="G2435" s="1115"/>
      <c r="H2435" s="1115"/>
      <c r="I2435" s="1115"/>
      <c r="J2435" s="1115"/>
      <c r="K2435" s="1115"/>
      <c r="L2435" s="1115"/>
      <c r="M2435" s="1115"/>
    </row>
    <row r="2436" spans="1:13" x14ac:dyDescent="0.2">
      <c r="A2436" s="1115"/>
      <c r="B2436" s="1115"/>
      <c r="C2436" s="1115"/>
      <c r="D2436" s="1115"/>
      <c r="E2436" s="1115"/>
      <c r="F2436" s="1115"/>
      <c r="G2436" s="1115"/>
      <c r="H2436" s="1115"/>
      <c r="I2436" s="1115"/>
      <c r="J2436" s="1115"/>
      <c r="K2436" s="1115"/>
      <c r="L2436" s="1115"/>
      <c r="M2436" s="1115"/>
    </row>
    <row r="2437" spans="1:13" x14ac:dyDescent="0.2">
      <c r="A2437" s="1115"/>
      <c r="B2437" s="1115"/>
      <c r="C2437" s="1115"/>
      <c r="D2437" s="1115"/>
      <c r="E2437" s="1115"/>
      <c r="F2437" s="1115"/>
      <c r="G2437" s="1115"/>
      <c r="H2437" s="1115"/>
      <c r="I2437" s="1115"/>
      <c r="J2437" s="1115"/>
      <c r="K2437" s="1115"/>
      <c r="L2437" s="1115"/>
      <c r="M2437" s="1115"/>
    </row>
    <row r="2438" spans="1:13" x14ac:dyDescent="0.2">
      <c r="A2438" s="1115"/>
      <c r="B2438" s="1115"/>
      <c r="C2438" s="1115"/>
      <c r="D2438" s="1115"/>
      <c r="E2438" s="1115"/>
      <c r="F2438" s="1115"/>
      <c r="G2438" s="1115"/>
      <c r="H2438" s="1115"/>
      <c r="I2438" s="1115"/>
      <c r="J2438" s="1115"/>
      <c r="K2438" s="1115"/>
      <c r="L2438" s="1115"/>
      <c r="M2438" s="1115"/>
    </row>
    <row r="2439" spans="1:13" x14ac:dyDescent="0.2">
      <c r="A2439" s="1115"/>
      <c r="B2439" s="1115"/>
      <c r="C2439" s="1115"/>
      <c r="D2439" s="1115"/>
      <c r="E2439" s="1115"/>
      <c r="F2439" s="1115"/>
      <c r="G2439" s="1115"/>
      <c r="H2439" s="1115"/>
      <c r="I2439" s="1115"/>
      <c r="J2439" s="1115"/>
      <c r="K2439" s="1115"/>
      <c r="L2439" s="1115"/>
      <c r="M2439" s="1115"/>
    </row>
    <row r="2440" spans="1:13" x14ac:dyDescent="0.2">
      <c r="A2440" s="1115"/>
      <c r="B2440" s="1115"/>
      <c r="C2440" s="1115"/>
      <c r="D2440" s="1115"/>
      <c r="E2440" s="1115"/>
      <c r="F2440" s="1115"/>
      <c r="G2440" s="1115"/>
      <c r="H2440" s="1115"/>
      <c r="I2440" s="1115"/>
      <c r="J2440" s="1115"/>
      <c r="K2440" s="1115"/>
      <c r="L2440" s="1115"/>
      <c r="M2440" s="1115"/>
    </row>
    <row r="2441" spans="1:13" x14ac:dyDescent="0.2">
      <c r="A2441" s="1115"/>
      <c r="B2441" s="1115"/>
      <c r="C2441" s="1115"/>
      <c r="D2441" s="1115"/>
      <c r="E2441" s="1115"/>
      <c r="F2441" s="1115"/>
      <c r="G2441" s="1115"/>
      <c r="H2441" s="1115"/>
      <c r="I2441" s="1115"/>
      <c r="J2441" s="1115"/>
      <c r="K2441" s="1115"/>
      <c r="L2441" s="1115"/>
      <c r="M2441" s="1115"/>
    </row>
    <row r="2442" spans="1:13" x14ac:dyDescent="0.2">
      <c r="A2442" s="1115"/>
      <c r="B2442" s="1115"/>
      <c r="C2442" s="1115"/>
      <c r="D2442" s="1115"/>
      <c r="E2442" s="1115"/>
      <c r="F2442" s="1115"/>
      <c r="G2442" s="1115"/>
      <c r="H2442" s="1115"/>
      <c r="I2442" s="1115"/>
      <c r="J2442" s="1115"/>
      <c r="K2442" s="1115"/>
      <c r="L2442" s="1115"/>
      <c r="M2442" s="1115"/>
    </row>
    <row r="2443" spans="1:13" x14ac:dyDescent="0.2">
      <c r="A2443" s="1115"/>
      <c r="B2443" s="1115"/>
      <c r="C2443" s="1115"/>
      <c r="D2443" s="1115"/>
      <c r="E2443" s="1115"/>
      <c r="F2443" s="1115"/>
      <c r="G2443" s="1115"/>
      <c r="H2443" s="1115"/>
      <c r="I2443" s="1115"/>
      <c r="J2443" s="1115"/>
      <c r="K2443" s="1115"/>
      <c r="L2443" s="1115"/>
      <c r="M2443" s="1115"/>
    </row>
    <row r="2444" spans="1:13" x14ac:dyDescent="0.2">
      <c r="A2444" s="1115"/>
      <c r="B2444" s="1115"/>
      <c r="C2444" s="1115"/>
      <c r="D2444" s="1115"/>
      <c r="E2444" s="1115"/>
      <c r="F2444" s="1115"/>
      <c r="G2444" s="1115"/>
      <c r="H2444" s="1115"/>
      <c r="I2444" s="1115"/>
      <c r="J2444" s="1115"/>
      <c r="K2444" s="1115"/>
      <c r="L2444" s="1115"/>
      <c r="M2444" s="1115"/>
    </row>
    <row r="2445" spans="1:13" x14ac:dyDescent="0.2">
      <c r="A2445" s="1115"/>
      <c r="B2445" s="1115"/>
      <c r="C2445" s="1115"/>
      <c r="D2445" s="1115"/>
      <c r="E2445" s="1115"/>
      <c r="F2445" s="1115"/>
      <c r="G2445" s="1115"/>
      <c r="H2445" s="1115"/>
      <c r="I2445" s="1115"/>
      <c r="J2445" s="1115"/>
      <c r="K2445" s="1115"/>
      <c r="L2445" s="1115"/>
      <c r="M2445" s="1115"/>
    </row>
    <row r="2446" spans="1:13" x14ac:dyDescent="0.2">
      <c r="A2446" s="1115"/>
      <c r="B2446" s="1115"/>
      <c r="C2446" s="1115"/>
      <c r="D2446" s="1115"/>
      <c r="E2446" s="1115"/>
      <c r="F2446" s="1115"/>
      <c r="G2446" s="1115"/>
      <c r="H2446" s="1115"/>
      <c r="I2446" s="1115"/>
      <c r="J2446" s="1115"/>
      <c r="K2446" s="1115"/>
      <c r="L2446" s="1115"/>
      <c r="M2446" s="1115"/>
    </row>
    <row r="2447" spans="1:13" x14ac:dyDescent="0.2">
      <c r="A2447" s="1115"/>
      <c r="B2447" s="1115"/>
      <c r="C2447" s="1115"/>
      <c r="D2447" s="1115"/>
      <c r="E2447" s="1115"/>
      <c r="F2447" s="1115"/>
      <c r="G2447" s="1115"/>
      <c r="H2447" s="1115"/>
      <c r="I2447" s="1115"/>
      <c r="J2447" s="1115"/>
      <c r="K2447" s="1115"/>
      <c r="L2447" s="1115"/>
      <c r="M2447" s="1115"/>
    </row>
    <row r="2448" spans="1:13" x14ac:dyDescent="0.2">
      <c r="A2448" s="1115"/>
      <c r="B2448" s="1115"/>
      <c r="C2448" s="1115"/>
      <c r="D2448" s="1115"/>
      <c r="E2448" s="1115"/>
      <c r="F2448" s="1115"/>
      <c r="G2448" s="1115"/>
      <c r="H2448" s="1115"/>
      <c r="I2448" s="1115"/>
      <c r="J2448" s="1115"/>
      <c r="K2448" s="1115"/>
      <c r="L2448" s="1115"/>
      <c r="M2448" s="1115"/>
    </row>
    <row r="2449" spans="1:13" x14ac:dyDescent="0.2">
      <c r="A2449" s="1115"/>
      <c r="B2449" s="1115"/>
      <c r="C2449" s="1115"/>
      <c r="D2449" s="1115"/>
      <c r="E2449" s="1115"/>
      <c r="F2449" s="1115"/>
      <c r="G2449" s="1115"/>
      <c r="H2449" s="1115"/>
      <c r="I2449" s="1115"/>
      <c r="J2449" s="1115"/>
      <c r="K2449" s="1115"/>
      <c r="L2449" s="1115"/>
      <c r="M2449" s="1115"/>
    </row>
    <row r="2450" spans="1:13" x14ac:dyDescent="0.2">
      <c r="A2450" s="1115"/>
      <c r="B2450" s="1115"/>
      <c r="C2450" s="1115"/>
      <c r="D2450" s="1115"/>
      <c r="E2450" s="1115"/>
      <c r="F2450" s="1115"/>
      <c r="G2450" s="1115"/>
      <c r="H2450" s="1115"/>
      <c r="I2450" s="1115"/>
      <c r="J2450" s="1115"/>
      <c r="K2450" s="1115"/>
      <c r="L2450" s="1115"/>
      <c r="M2450" s="1115"/>
    </row>
    <row r="2451" spans="1:13" x14ac:dyDescent="0.2">
      <c r="A2451" s="1115"/>
      <c r="B2451" s="1115"/>
      <c r="C2451" s="1115"/>
      <c r="D2451" s="1115"/>
      <c r="E2451" s="1115"/>
      <c r="F2451" s="1115"/>
      <c r="G2451" s="1115"/>
      <c r="H2451" s="1115"/>
      <c r="I2451" s="1115"/>
      <c r="J2451" s="1115"/>
      <c r="K2451" s="1115"/>
      <c r="L2451" s="1115"/>
      <c r="M2451" s="1115"/>
    </row>
    <row r="2452" spans="1:13" x14ac:dyDescent="0.2">
      <c r="A2452" s="1115"/>
      <c r="B2452" s="1115"/>
      <c r="C2452" s="1115"/>
      <c r="D2452" s="1115"/>
      <c r="E2452" s="1115"/>
      <c r="F2452" s="1115"/>
      <c r="G2452" s="1115"/>
      <c r="H2452" s="1115"/>
      <c r="I2452" s="1115"/>
      <c r="J2452" s="1115"/>
      <c r="K2452" s="1115"/>
      <c r="L2452" s="1115"/>
      <c r="M2452" s="1115"/>
    </row>
    <row r="2453" spans="1:13" x14ac:dyDescent="0.2">
      <c r="A2453" s="1115"/>
      <c r="B2453" s="1115"/>
      <c r="C2453" s="1115"/>
      <c r="D2453" s="1115"/>
      <c r="E2453" s="1115"/>
      <c r="F2453" s="1115"/>
      <c r="G2453" s="1115"/>
      <c r="H2453" s="1115"/>
      <c r="I2453" s="1115"/>
      <c r="J2453" s="1115"/>
      <c r="K2453" s="1115"/>
      <c r="L2453" s="1115"/>
      <c r="M2453" s="1115"/>
    </row>
    <row r="2454" spans="1:13" x14ac:dyDescent="0.2">
      <c r="A2454" s="1115"/>
      <c r="B2454" s="1115"/>
      <c r="C2454" s="1115"/>
      <c r="D2454" s="1115"/>
      <c r="E2454" s="1115"/>
      <c r="F2454" s="1115"/>
      <c r="G2454" s="1115"/>
      <c r="H2454" s="1115"/>
      <c r="I2454" s="1115"/>
      <c r="J2454" s="1115"/>
      <c r="K2454" s="1115"/>
      <c r="L2454" s="1115"/>
      <c r="M2454" s="1115"/>
    </row>
    <row r="2455" spans="1:13" x14ac:dyDescent="0.2">
      <c r="A2455" s="1115"/>
      <c r="B2455" s="1115"/>
      <c r="C2455" s="1115"/>
      <c r="D2455" s="1115"/>
      <c r="E2455" s="1115"/>
      <c r="F2455" s="1115"/>
      <c r="G2455" s="1115"/>
      <c r="H2455" s="1115"/>
      <c r="I2455" s="1115"/>
      <c r="J2455" s="1115"/>
      <c r="K2455" s="1115"/>
      <c r="L2455" s="1115"/>
      <c r="M2455" s="1115"/>
    </row>
    <row r="2456" spans="1:13" x14ac:dyDescent="0.2">
      <c r="A2456" s="1115"/>
      <c r="B2456" s="1115"/>
      <c r="C2456" s="1115"/>
      <c r="D2456" s="1115"/>
      <c r="E2456" s="1115"/>
      <c r="F2456" s="1115"/>
      <c r="G2456" s="1115"/>
      <c r="H2456" s="1115"/>
      <c r="I2456" s="1115"/>
      <c r="J2456" s="1115"/>
      <c r="K2456" s="1115"/>
      <c r="L2456" s="1115"/>
      <c r="M2456" s="1115"/>
    </row>
    <row r="2457" spans="1:13" x14ac:dyDescent="0.2">
      <c r="A2457" s="1115"/>
      <c r="B2457" s="1115"/>
      <c r="C2457" s="1115"/>
      <c r="D2457" s="1115"/>
      <c r="E2457" s="1115"/>
      <c r="F2457" s="1115"/>
      <c r="G2457" s="1115"/>
      <c r="H2457" s="1115"/>
      <c r="I2457" s="1115"/>
      <c r="J2457" s="1115"/>
      <c r="K2457" s="1115"/>
      <c r="L2457" s="1115"/>
      <c r="M2457" s="1115"/>
    </row>
    <row r="2458" spans="1:13" x14ac:dyDescent="0.2">
      <c r="A2458" s="1115"/>
      <c r="B2458" s="1115"/>
      <c r="C2458" s="1115"/>
      <c r="D2458" s="1115"/>
      <c r="E2458" s="1115"/>
      <c r="F2458" s="1115"/>
      <c r="G2458" s="1115"/>
      <c r="H2458" s="1115"/>
      <c r="I2458" s="1115"/>
      <c r="J2458" s="1115"/>
      <c r="K2458" s="1115"/>
      <c r="L2458" s="1115"/>
      <c r="M2458" s="1115"/>
    </row>
    <row r="2459" spans="1:13" x14ac:dyDescent="0.2">
      <c r="A2459" s="1115"/>
      <c r="B2459" s="1115"/>
      <c r="C2459" s="1115"/>
      <c r="D2459" s="1115"/>
      <c r="E2459" s="1115"/>
      <c r="F2459" s="1115"/>
      <c r="G2459" s="1115"/>
      <c r="H2459" s="1115"/>
      <c r="I2459" s="1115"/>
      <c r="J2459" s="1115"/>
      <c r="K2459" s="1115"/>
      <c r="L2459" s="1115"/>
      <c r="M2459" s="1115"/>
    </row>
    <row r="2460" spans="1:13" x14ac:dyDescent="0.2">
      <c r="A2460" s="1115"/>
      <c r="B2460" s="1115"/>
      <c r="C2460" s="1115"/>
      <c r="D2460" s="1115"/>
      <c r="E2460" s="1115"/>
      <c r="F2460" s="1115"/>
      <c r="G2460" s="1115"/>
      <c r="H2460" s="1115"/>
      <c r="I2460" s="1115"/>
      <c r="J2460" s="1115"/>
      <c r="K2460" s="1115"/>
      <c r="L2460" s="1115"/>
      <c r="M2460" s="1115"/>
    </row>
    <row r="2461" spans="1:13" x14ac:dyDescent="0.2">
      <c r="A2461" s="1115"/>
      <c r="B2461" s="1115"/>
      <c r="C2461" s="1115"/>
      <c r="D2461" s="1115"/>
      <c r="E2461" s="1115"/>
      <c r="F2461" s="1115"/>
      <c r="G2461" s="1115"/>
      <c r="H2461" s="1115"/>
      <c r="I2461" s="1115"/>
      <c r="J2461" s="1115"/>
      <c r="K2461" s="1115"/>
      <c r="L2461" s="1115"/>
      <c r="M2461" s="1115"/>
    </row>
    <row r="2462" spans="1:13" x14ac:dyDescent="0.2">
      <c r="A2462" s="1115"/>
      <c r="B2462" s="1115"/>
      <c r="C2462" s="1115"/>
      <c r="D2462" s="1115"/>
      <c r="E2462" s="1115"/>
      <c r="F2462" s="1115"/>
      <c r="G2462" s="1115"/>
      <c r="H2462" s="1115"/>
      <c r="I2462" s="1115"/>
      <c r="J2462" s="1115"/>
      <c r="K2462" s="1115"/>
      <c r="L2462" s="1115"/>
      <c r="M2462" s="1115"/>
    </row>
    <row r="2463" spans="1:13" x14ac:dyDescent="0.2">
      <c r="A2463" s="1115"/>
      <c r="B2463" s="1115"/>
      <c r="C2463" s="1115"/>
      <c r="D2463" s="1115"/>
      <c r="E2463" s="1115"/>
      <c r="F2463" s="1115"/>
      <c r="G2463" s="1115"/>
      <c r="H2463" s="1115"/>
      <c r="I2463" s="1115"/>
      <c r="J2463" s="1115"/>
      <c r="K2463" s="1115"/>
      <c r="L2463" s="1115"/>
      <c r="M2463" s="1115"/>
    </row>
    <row r="2464" spans="1:13" x14ac:dyDescent="0.2">
      <c r="A2464" s="1115"/>
      <c r="B2464" s="1115"/>
      <c r="C2464" s="1115"/>
      <c r="D2464" s="1115"/>
      <c r="E2464" s="1115"/>
      <c r="F2464" s="1115"/>
      <c r="G2464" s="1115"/>
      <c r="H2464" s="1115"/>
      <c r="I2464" s="1115"/>
      <c r="J2464" s="1115"/>
      <c r="K2464" s="1115"/>
      <c r="L2464" s="1115"/>
      <c r="M2464" s="1115"/>
    </row>
    <row r="2465" spans="1:13" x14ac:dyDescent="0.2">
      <c r="A2465" s="1115"/>
      <c r="B2465" s="1115"/>
      <c r="C2465" s="1115"/>
      <c r="D2465" s="1115"/>
      <c r="E2465" s="1115"/>
      <c r="F2465" s="1115"/>
      <c r="G2465" s="1115"/>
      <c r="H2465" s="1115"/>
      <c r="I2465" s="1115"/>
      <c r="J2465" s="1115"/>
      <c r="K2465" s="1115"/>
      <c r="L2465" s="1115"/>
      <c r="M2465" s="1115"/>
    </row>
    <row r="2466" spans="1:13" x14ac:dyDescent="0.2">
      <c r="A2466" s="1115"/>
      <c r="B2466" s="1115"/>
      <c r="C2466" s="1115"/>
      <c r="D2466" s="1115"/>
      <c r="E2466" s="1115"/>
      <c r="F2466" s="1115"/>
      <c r="G2466" s="1115"/>
      <c r="H2466" s="1115"/>
      <c r="I2466" s="1115"/>
      <c r="J2466" s="1115"/>
      <c r="K2466" s="1115"/>
      <c r="L2466" s="1115"/>
      <c r="M2466" s="1115"/>
    </row>
    <row r="2467" spans="1:13" x14ac:dyDescent="0.2">
      <c r="A2467" s="1115"/>
      <c r="B2467" s="1115"/>
      <c r="C2467" s="1115"/>
      <c r="D2467" s="1115"/>
      <c r="E2467" s="1115"/>
      <c r="F2467" s="1115"/>
      <c r="G2467" s="1115"/>
      <c r="H2467" s="1115"/>
      <c r="I2467" s="1115"/>
      <c r="J2467" s="1115"/>
      <c r="K2467" s="1115"/>
      <c r="L2467" s="1115"/>
      <c r="M2467" s="1115"/>
    </row>
    <row r="2468" spans="1:13" x14ac:dyDescent="0.2">
      <c r="A2468" s="1115"/>
      <c r="B2468" s="1115"/>
      <c r="C2468" s="1115"/>
      <c r="D2468" s="1115"/>
      <c r="E2468" s="1115"/>
      <c r="F2468" s="1115"/>
      <c r="G2468" s="1115"/>
      <c r="H2468" s="1115"/>
      <c r="I2468" s="1115"/>
      <c r="J2468" s="1115"/>
      <c r="K2468" s="1115"/>
      <c r="L2468" s="1115"/>
      <c r="M2468" s="1115"/>
    </row>
    <row r="2469" spans="1:13" x14ac:dyDescent="0.2">
      <c r="A2469" s="1115"/>
      <c r="B2469" s="1115"/>
      <c r="C2469" s="1115"/>
      <c r="D2469" s="1115"/>
      <c r="E2469" s="1115"/>
      <c r="F2469" s="1115"/>
      <c r="G2469" s="1115"/>
      <c r="H2469" s="1115"/>
      <c r="I2469" s="1115"/>
      <c r="J2469" s="1115"/>
      <c r="K2469" s="1115"/>
      <c r="L2469" s="1115"/>
      <c r="M2469" s="1115"/>
    </row>
    <row r="2470" spans="1:13" x14ac:dyDescent="0.2">
      <c r="A2470" s="1115"/>
      <c r="B2470" s="1115"/>
      <c r="C2470" s="1115"/>
      <c r="D2470" s="1115"/>
      <c r="E2470" s="1115"/>
      <c r="F2470" s="1115"/>
      <c r="G2470" s="1115"/>
      <c r="H2470" s="1115"/>
      <c r="I2470" s="1115"/>
      <c r="J2470" s="1115"/>
      <c r="K2470" s="1115"/>
      <c r="L2470" s="1115"/>
      <c r="M2470" s="1115"/>
    </row>
    <row r="2471" spans="1:13" x14ac:dyDescent="0.2">
      <c r="A2471" s="1115"/>
      <c r="B2471" s="1115"/>
      <c r="C2471" s="1115"/>
      <c r="D2471" s="1115"/>
      <c r="E2471" s="1115"/>
      <c r="F2471" s="1115"/>
      <c r="G2471" s="1115"/>
      <c r="H2471" s="1115"/>
      <c r="I2471" s="1115"/>
      <c r="J2471" s="1115"/>
      <c r="K2471" s="1115"/>
      <c r="L2471" s="1115"/>
      <c r="M2471" s="1115"/>
    </row>
    <row r="2472" spans="1:13" x14ac:dyDescent="0.2">
      <c r="A2472" s="1115"/>
      <c r="B2472" s="1115"/>
      <c r="C2472" s="1115"/>
      <c r="D2472" s="1115"/>
      <c r="E2472" s="1115"/>
      <c r="F2472" s="1115"/>
      <c r="G2472" s="1115"/>
      <c r="H2472" s="1115"/>
      <c r="I2472" s="1115"/>
      <c r="J2472" s="1115"/>
      <c r="K2472" s="1115"/>
      <c r="L2472" s="1115"/>
      <c r="M2472" s="1115"/>
    </row>
    <row r="2473" spans="1:13" x14ac:dyDescent="0.2">
      <c r="A2473" s="1115"/>
      <c r="B2473" s="1115"/>
      <c r="C2473" s="1115"/>
      <c r="D2473" s="1115"/>
      <c r="E2473" s="1115"/>
      <c r="F2473" s="1115"/>
      <c r="G2473" s="1115"/>
      <c r="H2473" s="1115"/>
      <c r="I2473" s="1115"/>
      <c r="J2473" s="1115"/>
      <c r="K2473" s="1115"/>
      <c r="L2473" s="1115"/>
      <c r="M2473" s="1115"/>
    </row>
    <row r="2474" spans="1:13" x14ac:dyDescent="0.2">
      <c r="A2474" s="1115"/>
      <c r="B2474" s="1115"/>
      <c r="C2474" s="1115"/>
      <c r="D2474" s="1115"/>
      <c r="E2474" s="1115"/>
      <c r="F2474" s="1115"/>
      <c r="G2474" s="1115"/>
      <c r="H2474" s="1115"/>
      <c r="I2474" s="1115"/>
      <c r="J2474" s="1115"/>
      <c r="K2474" s="1115"/>
      <c r="L2474" s="1115"/>
      <c r="M2474" s="1115"/>
    </row>
    <row r="2475" spans="1:13" x14ac:dyDescent="0.2">
      <c r="A2475" s="1115"/>
      <c r="B2475" s="1115"/>
      <c r="C2475" s="1115"/>
      <c r="D2475" s="1115"/>
      <c r="E2475" s="1115"/>
      <c r="F2475" s="1115"/>
      <c r="G2475" s="1115"/>
      <c r="H2475" s="1115"/>
      <c r="I2475" s="1115"/>
      <c r="J2475" s="1115"/>
      <c r="K2475" s="1115"/>
      <c r="L2475" s="1115"/>
      <c r="M2475" s="1115"/>
    </row>
    <row r="2476" spans="1:13" x14ac:dyDescent="0.2">
      <c r="A2476" s="1115"/>
      <c r="B2476" s="1115"/>
      <c r="C2476" s="1115"/>
      <c r="D2476" s="1115"/>
      <c r="E2476" s="1115"/>
      <c r="F2476" s="1115"/>
      <c r="G2476" s="1115"/>
      <c r="H2476" s="1115"/>
      <c r="I2476" s="1115"/>
      <c r="J2476" s="1115"/>
      <c r="K2476" s="1115"/>
      <c r="L2476" s="1115"/>
      <c r="M2476" s="1115"/>
    </row>
    <row r="2477" spans="1:13" x14ac:dyDescent="0.2">
      <c r="A2477" s="1115"/>
      <c r="B2477" s="1115"/>
      <c r="C2477" s="1115"/>
      <c r="D2477" s="1115"/>
      <c r="E2477" s="1115"/>
      <c r="F2477" s="1115"/>
      <c r="G2477" s="1115"/>
      <c r="H2477" s="1115"/>
      <c r="I2477" s="1115"/>
      <c r="J2477" s="1115"/>
      <c r="K2477" s="1115"/>
      <c r="L2477" s="1115"/>
      <c r="M2477" s="1115"/>
    </row>
    <row r="2478" spans="1:13" x14ac:dyDescent="0.2">
      <c r="A2478" s="1115"/>
      <c r="B2478" s="1115"/>
      <c r="C2478" s="1115"/>
      <c r="D2478" s="1115"/>
      <c r="E2478" s="1115"/>
      <c r="F2478" s="1115"/>
      <c r="G2478" s="1115"/>
      <c r="H2478" s="1115"/>
      <c r="I2478" s="1115"/>
      <c r="J2478" s="1115"/>
      <c r="K2478" s="1115"/>
      <c r="L2478" s="1115"/>
      <c r="M2478" s="1115"/>
    </row>
    <row r="2479" spans="1:13" x14ac:dyDescent="0.2">
      <c r="A2479" s="1115"/>
      <c r="B2479" s="1115"/>
      <c r="C2479" s="1115"/>
      <c r="D2479" s="1115"/>
      <c r="E2479" s="1115"/>
      <c r="F2479" s="1115"/>
      <c r="G2479" s="1115"/>
      <c r="H2479" s="1115"/>
      <c r="I2479" s="1115"/>
      <c r="J2479" s="1115"/>
      <c r="K2479" s="1115"/>
      <c r="L2479" s="1115"/>
      <c r="M2479" s="1115"/>
    </row>
    <row r="2480" spans="1:13" x14ac:dyDescent="0.2">
      <c r="A2480" s="1115"/>
      <c r="B2480" s="1115"/>
      <c r="C2480" s="1115"/>
      <c r="D2480" s="1115"/>
      <c r="E2480" s="1115"/>
      <c r="F2480" s="1115"/>
      <c r="G2480" s="1115"/>
      <c r="H2480" s="1115"/>
      <c r="I2480" s="1115"/>
      <c r="J2480" s="1115"/>
      <c r="K2480" s="1115"/>
      <c r="L2480" s="1115"/>
      <c r="M2480" s="1115"/>
    </row>
    <row r="2481" spans="1:13" x14ac:dyDescent="0.2">
      <c r="A2481" s="1115"/>
      <c r="B2481" s="1115"/>
      <c r="C2481" s="1115"/>
      <c r="D2481" s="1115"/>
      <c r="E2481" s="1115"/>
      <c r="F2481" s="1115"/>
      <c r="G2481" s="1115"/>
      <c r="H2481" s="1115"/>
      <c r="I2481" s="1115"/>
      <c r="J2481" s="1115"/>
      <c r="K2481" s="1115"/>
      <c r="L2481" s="1115"/>
      <c r="M2481" s="1115"/>
    </row>
    <row r="2482" spans="1:13" x14ac:dyDescent="0.2">
      <c r="A2482" s="1115"/>
      <c r="B2482" s="1115"/>
      <c r="C2482" s="1115"/>
      <c r="D2482" s="1115"/>
      <c r="E2482" s="1115"/>
      <c r="F2482" s="1115"/>
      <c r="G2482" s="1115"/>
      <c r="H2482" s="1115"/>
      <c r="I2482" s="1115"/>
      <c r="J2482" s="1115"/>
      <c r="K2482" s="1115"/>
      <c r="L2482" s="1115"/>
      <c r="M2482" s="1115"/>
    </row>
    <row r="2483" spans="1:13" x14ac:dyDescent="0.2">
      <c r="A2483" s="1115"/>
      <c r="B2483" s="1115"/>
      <c r="C2483" s="1115"/>
      <c r="D2483" s="1115"/>
      <c r="E2483" s="1115"/>
      <c r="F2483" s="1115"/>
      <c r="G2483" s="1115"/>
      <c r="H2483" s="1115"/>
      <c r="I2483" s="1115"/>
      <c r="J2483" s="1115"/>
      <c r="K2483" s="1115"/>
      <c r="L2483" s="1115"/>
      <c r="M2483" s="1115"/>
    </row>
    <row r="2484" spans="1:13" x14ac:dyDescent="0.2">
      <c r="A2484" s="1115"/>
      <c r="B2484" s="1115"/>
      <c r="C2484" s="1115"/>
      <c r="D2484" s="1115"/>
      <c r="E2484" s="1115"/>
      <c r="F2484" s="1115"/>
      <c r="G2484" s="1115"/>
      <c r="H2484" s="1115"/>
      <c r="I2484" s="1115"/>
      <c r="J2484" s="1115"/>
      <c r="K2484" s="1115"/>
      <c r="L2484" s="1115"/>
      <c r="M2484" s="1115"/>
    </row>
    <row r="2485" spans="1:13" x14ac:dyDescent="0.2">
      <c r="A2485" s="1115"/>
      <c r="B2485" s="1115"/>
      <c r="C2485" s="1115"/>
      <c r="D2485" s="1115"/>
      <c r="E2485" s="1115"/>
      <c r="F2485" s="1115"/>
      <c r="G2485" s="1115"/>
      <c r="H2485" s="1115"/>
      <c r="I2485" s="1115"/>
      <c r="J2485" s="1115"/>
      <c r="K2485" s="1115"/>
      <c r="L2485" s="1115"/>
      <c r="M2485" s="1115"/>
    </row>
    <row r="2486" spans="1:13" x14ac:dyDescent="0.2">
      <c r="A2486" s="1115"/>
      <c r="B2486" s="1115"/>
      <c r="C2486" s="1115"/>
      <c r="D2486" s="1115"/>
      <c r="E2486" s="1115"/>
      <c r="F2486" s="1115"/>
      <c r="G2486" s="1115"/>
      <c r="H2486" s="1115"/>
      <c r="I2486" s="1115"/>
      <c r="J2486" s="1115"/>
      <c r="K2486" s="1115"/>
      <c r="L2486" s="1115"/>
      <c r="M2486" s="1115"/>
    </row>
    <row r="2487" spans="1:13" x14ac:dyDescent="0.2">
      <c r="A2487" s="1115"/>
      <c r="B2487" s="1115"/>
      <c r="C2487" s="1115"/>
      <c r="D2487" s="1115"/>
      <c r="E2487" s="1115"/>
      <c r="F2487" s="1115"/>
      <c r="G2487" s="1115"/>
      <c r="H2487" s="1115"/>
      <c r="I2487" s="1115"/>
      <c r="J2487" s="1115"/>
      <c r="K2487" s="1115"/>
      <c r="L2487" s="1115"/>
      <c r="M2487" s="1115"/>
    </row>
    <row r="2488" spans="1:13" x14ac:dyDescent="0.2">
      <c r="A2488" s="1115"/>
      <c r="B2488" s="1115"/>
      <c r="C2488" s="1115"/>
      <c r="D2488" s="1115"/>
      <c r="E2488" s="1115"/>
      <c r="F2488" s="1115"/>
      <c r="G2488" s="1115"/>
      <c r="H2488" s="1115"/>
      <c r="I2488" s="1115"/>
      <c r="J2488" s="1115"/>
      <c r="K2488" s="1115"/>
      <c r="L2488" s="1115"/>
      <c r="M2488" s="1115"/>
    </row>
    <row r="2489" spans="1:13" x14ac:dyDescent="0.2">
      <c r="A2489" s="1115"/>
      <c r="B2489" s="1115"/>
      <c r="C2489" s="1115"/>
      <c r="D2489" s="1115"/>
      <c r="E2489" s="1115"/>
      <c r="F2489" s="1115"/>
      <c r="G2489" s="1115"/>
      <c r="H2489" s="1115"/>
      <c r="I2489" s="1115"/>
      <c r="J2489" s="1115"/>
      <c r="K2489" s="1115"/>
      <c r="L2489" s="1115"/>
      <c r="M2489" s="1115"/>
    </row>
    <row r="2490" spans="1:13" x14ac:dyDescent="0.2">
      <c r="A2490" s="1115"/>
      <c r="B2490" s="1115"/>
      <c r="C2490" s="1115"/>
      <c r="D2490" s="1115"/>
      <c r="E2490" s="1115"/>
      <c r="F2490" s="1115"/>
      <c r="G2490" s="1115"/>
      <c r="H2490" s="1115"/>
      <c r="I2490" s="1115"/>
      <c r="J2490" s="1115"/>
      <c r="K2490" s="1115"/>
      <c r="L2490" s="1115"/>
      <c r="M2490" s="1115"/>
    </row>
    <row r="2491" spans="1:13" x14ac:dyDescent="0.2">
      <c r="A2491" s="1115"/>
      <c r="B2491" s="1115"/>
      <c r="C2491" s="1115"/>
      <c r="D2491" s="1115"/>
      <c r="E2491" s="1115"/>
      <c r="F2491" s="1115"/>
      <c r="G2491" s="1115"/>
      <c r="H2491" s="1115"/>
      <c r="I2491" s="1115"/>
      <c r="J2491" s="1115"/>
      <c r="K2491" s="1115"/>
      <c r="L2491" s="1115"/>
      <c r="M2491" s="1115"/>
    </row>
    <row r="2492" spans="1:13" x14ac:dyDescent="0.2">
      <c r="A2492" s="1115"/>
      <c r="B2492" s="1115"/>
      <c r="C2492" s="1115"/>
      <c r="D2492" s="1115"/>
      <c r="E2492" s="1115"/>
      <c r="F2492" s="1115"/>
      <c r="G2492" s="1115"/>
      <c r="H2492" s="1115"/>
      <c r="I2492" s="1115"/>
      <c r="J2492" s="1115"/>
      <c r="K2492" s="1115"/>
      <c r="L2492" s="1115"/>
      <c r="M2492" s="1115"/>
    </row>
    <row r="2493" spans="1:13" x14ac:dyDescent="0.2">
      <c r="A2493" s="1115"/>
      <c r="B2493" s="1115"/>
      <c r="C2493" s="1115"/>
      <c r="D2493" s="1115"/>
      <c r="E2493" s="1115"/>
      <c r="F2493" s="1115"/>
      <c r="G2493" s="1115"/>
      <c r="H2493" s="1115"/>
      <c r="I2493" s="1115"/>
      <c r="J2493" s="1115"/>
      <c r="K2493" s="1115"/>
      <c r="L2493" s="1115"/>
      <c r="M2493" s="1115"/>
    </row>
    <row r="2494" spans="1:13" x14ac:dyDescent="0.2">
      <c r="A2494" s="1115"/>
      <c r="B2494" s="1115"/>
      <c r="C2494" s="1115"/>
      <c r="D2494" s="1115"/>
      <c r="E2494" s="1115"/>
      <c r="F2494" s="1115"/>
      <c r="G2494" s="1115"/>
      <c r="H2494" s="1115"/>
      <c r="I2494" s="1115"/>
      <c r="J2494" s="1115"/>
      <c r="K2494" s="1115"/>
      <c r="L2494" s="1115"/>
      <c r="M2494" s="1115"/>
    </row>
    <row r="2495" spans="1:13" x14ac:dyDescent="0.2">
      <c r="A2495" s="1115"/>
      <c r="B2495" s="1115"/>
      <c r="C2495" s="1115"/>
      <c r="D2495" s="1115"/>
      <c r="E2495" s="1115"/>
      <c r="F2495" s="1115"/>
      <c r="G2495" s="1115"/>
      <c r="H2495" s="1115"/>
      <c r="I2495" s="1115"/>
      <c r="J2495" s="1115"/>
      <c r="K2495" s="1115"/>
      <c r="L2495" s="1115"/>
      <c r="M2495" s="1115"/>
    </row>
    <row r="2496" spans="1:13" x14ac:dyDescent="0.2">
      <c r="A2496" s="1115"/>
      <c r="B2496" s="1115"/>
      <c r="C2496" s="1115"/>
      <c r="D2496" s="1115"/>
      <c r="E2496" s="1115"/>
      <c r="F2496" s="1115"/>
      <c r="G2496" s="1115"/>
      <c r="H2496" s="1115"/>
      <c r="I2496" s="1115"/>
      <c r="J2496" s="1115"/>
      <c r="K2496" s="1115"/>
      <c r="L2496" s="1115"/>
      <c r="M2496" s="1115"/>
    </row>
    <row r="2497" spans="1:13" x14ac:dyDescent="0.2">
      <c r="A2497" s="1115"/>
      <c r="B2497" s="1115"/>
      <c r="C2497" s="1115"/>
      <c r="D2497" s="1115"/>
      <c r="E2497" s="1115"/>
      <c r="F2497" s="1115"/>
      <c r="G2497" s="1115"/>
      <c r="H2497" s="1115"/>
      <c r="I2497" s="1115"/>
      <c r="J2497" s="1115"/>
      <c r="K2497" s="1115"/>
      <c r="L2497" s="1115"/>
      <c r="M2497" s="1115"/>
    </row>
    <row r="2498" spans="1:13" x14ac:dyDescent="0.2">
      <c r="A2498" s="1115"/>
      <c r="B2498" s="1115"/>
      <c r="C2498" s="1115"/>
      <c r="D2498" s="1115"/>
      <c r="E2498" s="1115"/>
      <c r="F2498" s="1115"/>
      <c r="G2498" s="1115"/>
      <c r="H2498" s="1115"/>
      <c r="I2498" s="1115"/>
      <c r="J2498" s="1115"/>
      <c r="K2498" s="1115"/>
      <c r="L2498" s="1115"/>
      <c r="M2498" s="1115"/>
    </row>
    <row r="2499" spans="1:13" x14ac:dyDescent="0.2">
      <c r="A2499" s="1115"/>
      <c r="B2499" s="1115"/>
      <c r="C2499" s="1115"/>
      <c r="D2499" s="1115"/>
      <c r="E2499" s="1115"/>
      <c r="F2499" s="1115"/>
      <c r="G2499" s="1115"/>
      <c r="H2499" s="1115"/>
      <c r="I2499" s="1115"/>
      <c r="J2499" s="1115"/>
      <c r="K2499" s="1115"/>
      <c r="L2499" s="1115"/>
      <c r="M2499" s="1115"/>
    </row>
    <row r="2500" spans="1:13" x14ac:dyDescent="0.2">
      <c r="A2500" s="1115"/>
      <c r="B2500" s="1115"/>
      <c r="C2500" s="1115"/>
      <c r="D2500" s="1115"/>
      <c r="E2500" s="1115"/>
      <c r="F2500" s="1115"/>
      <c r="G2500" s="1115"/>
      <c r="H2500" s="1115"/>
      <c r="I2500" s="1115"/>
      <c r="J2500" s="1115"/>
      <c r="K2500" s="1115"/>
      <c r="L2500" s="1115"/>
      <c r="M2500" s="1115"/>
    </row>
    <row r="2501" spans="1:13" x14ac:dyDescent="0.2">
      <c r="A2501" s="1115"/>
      <c r="B2501" s="1115"/>
      <c r="C2501" s="1115"/>
      <c r="D2501" s="1115"/>
      <c r="E2501" s="1115"/>
      <c r="F2501" s="1115"/>
      <c r="G2501" s="1115"/>
      <c r="H2501" s="1115"/>
      <c r="I2501" s="1115"/>
      <c r="J2501" s="1115"/>
      <c r="K2501" s="1115"/>
      <c r="L2501" s="1115"/>
      <c r="M2501" s="1115"/>
    </row>
    <row r="2502" spans="1:13" x14ac:dyDescent="0.2">
      <c r="A2502" s="1115"/>
      <c r="B2502" s="1115"/>
      <c r="C2502" s="1115"/>
      <c r="D2502" s="1115"/>
      <c r="E2502" s="1115"/>
      <c r="F2502" s="1115"/>
      <c r="G2502" s="1115"/>
      <c r="H2502" s="1115"/>
      <c r="I2502" s="1115"/>
      <c r="J2502" s="1115"/>
      <c r="K2502" s="1115"/>
      <c r="L2502" s="1115"/>
      <c r="M2502" s="1115"/>
    </row>
    <row r="2503" spans="1:13" x14ac:dyDescent="0.2">
      <c r="A2503" s="1115"/>
      <c r="B2503" s="1115"/>
      <c r="C2503" s="1115"/>
      <c r="D2503" s="1115"/>
      <c r="E2503" s="1115"/>
      <c r="F2503" s="1115"/>
      <c r="G2503" s="1115"/>
      <c r="H2503" s="1115"/>
      <c r="I2503" s="1115"/>
      <c r="J2503" s="1115"/>
      <c r="K2503" s="1115"/>
      <c r="L2503" s="1115"/>
      <c r="M2503" s="1115"/>
    </row>
    <row r="2504" spans="1:13" x14ac:dyDescent="0.2">
      <c r="A2504" s="1115"/>
      <c r="B2504" s="1115"/>
      <c r="C2504" s="1115"/>
      <c r="D2504" s="1115"/>
      <c r="E2504" s="1115"/>
      <c r="F2504" s="1115"/>
      <c r="G2504" s="1115"/>
      <c r="H2504" s="1115"/>
      <c r="I2504" s="1115"/>
      <c r="J2504" s="1115"/>
      <c r="K2504" s="1115"/>
      <c r="L2504" s="1115"/>
      <c r="M2504" s="1115"/>
    </row>
    <row r="2505" spans="1:13" x14ac:dyDescent="0.2">
      <c r="A2505" s="1115"/>
      <c r="B2505" s="1115"/>
      <c r="C2505" s="1115"/>
      <c r="D2505" s="1115"/>
      <c r="E2505" s="1115"/>
      <c r="F2505" s="1115"/>
      <c r="G2505" s="1115"/>
      <c r="H2505" s="1115"/>
      <c r="I2505" s="1115"/>
      <c r="J2505" s="1115"/>
      <c r="K2505" s="1115"/>
      <c r="L2505" s="1115"/>
      <c r="M2505" s="1115"/>
    </row>
    <row r="2506" spans="1:13" x14ac:dyDescent="0.2">
      <c r="A2506" s="1115"/>
      <c r="B2506" s="1115"/>
      <c r="C2506" s="1115"/>
      <c r="D2506" s="1115"/>
      <c r="E2506" s="1115"/>
      <c r="F2506" s="1115"/>
      <c r="G2506" s="1115"/>
      <c r="H2506" s="1115"/>
      <c r="I2506" s="1115"/>
      <c r="J2506" s="1115"/>
      <c r="K2506" s="1115"/>
      <c r="L2506" s="1115"/>
      <c r="M2506" s="1115"/>
    </row>
    <row r="2507" spans="1:13" x14ac:dyDescent="0.2">
      <c r="A2507" s="1115"/>
      <c r="B2507" s="1115"/>
      <c r="C2507" s="1115"/>
      <c r="D2507" s="1115"/>
      <c r="E2507" s="1115"/>
      <c r="F2507" s="1115"/>
      <c r="G2507" s="1115"/>
      <c r="H2507" s="1115"/>
      <c r="I2507" s="1115"/>
      <c r="J2507" s="1115"/>
      <c r="K2507" s="1115"/>
      <c r="L2507" s="1115"/>
      <c r="M2507" s="1115"/>
    </row>
    <row r="2508" spans="1:13" x14ac:dyDescent="0.2">
      <c r="A2508" s="1115"/>
      <c r="B2508" s="1115"/>
      <c r="C2508" s="1115"/>
      <c r="D2508" s="1115"/>
      <c r="E2508" s="1115"/>
      <c r="F2508" s="1115"/>
      <c r="G2508" s="1115"/>
      <c r="H2508" s="1115"/>
      <c r="I2508" s="1115"/>
      <c r="J2508" s="1115"/>
      <c r="K2508" s="1115"/>
      <c r="L2508" s="1115"/>
      <c r="M2508" s="1115"/>
    </row>
    <row r="2509" spans="1:13" x14ac:dyDescent="0.2">
      <c r="A2509" s="1115"/>
      <c r="B2509" s="1115"/>
      <c r="C2509" s="1115"/>
      <c r="D2509" s="1115"/>
      <c r="E2509" s="1115"/>
      <c r="F2509" s="1115"/>
      <c r="G2509" s="1115"/>
      <c r="H2509" s="1115"/>
      <c r="I2509" s="1115"/>
      <c r="J2509" s="1115"/>
      <c r="K2509" s="1115"/>
      <c r="L2509" s="1115"/>
      <c r="M2509" s="1115"/>
    </row>
    <row r="2510" spans="1:13" x14ac:dyDescent="0.2">
      <c r="A2510" s="1115"/>
      <c r="B2510" s="1115"/>
      <c r="C2510" s="1115"/>
      <c r="D2510" s="1115"/>
      <c r="E2510" s="1115"/>
      <c r="F2510" s="1115"/>
      <c r="G2510" s="1115"/>
      <c r="H2510" s="1115"/>
      <c r="I2510" s="1115"/>
      <c r="J2510" s="1115"/>
      <c r="K2510" s="1115"/>
      <c r="L2510" s="1115"/>
      <c r="M2510" s="1115"/>
    </row>
    <row r="2511" spans="1:13" x14ac:dyDescent="0.2">
      <c r="A2511" s="1115"/>
      <c r="B2511" s="1115"/>
      <c r="C2511" s="1115"/>
      <c r="D2511" s="1115"/>
      <c r="E2511" s="1115"/>
      <c r="F2511" s="1115"/>
      <c r="G2511" s="1115"/>
      <c r="H2511" s="1115"/>
      <c r="I2511" s="1115"/>
      <c r="J2511" s="1115"/>
      <c r="K2511" s="1115"/>
      <c r="L2511" s="1115"/>
      <c r="M2511" s="1115"/>
    </row>
    <row r="2512" spans="1:13" x14ac:dyDescent="0.2">
      <c r="A2512" s="1115"/>
      <c r="B2512" s="1115"/>
      <c r="C2512" s="1115"/>
      <c r="D2512" s="1115"/>
      <c r="E2512" s="1115"/>
      <c r="F2512" s="1115"/>
      <c r="G2512" s="1115"/>
      <c r="H2512" s="1115"/>
      <c r="I2512" s="1115"/>
      <c r="J2512" s="1115"/>
      <c r="K2512" s="1115"/>
      <c r="L2512" s="1115"/>
      <c r="M2512" s="1115"/>
    </row>
    <row r="2513" spans="1:13" x14ac:dyDescent="0.2">
      <c r="A2513" s="1115"/>
      <c r="B2513" s="1115"/>
      <c r="C2513" s="1115"/>
      <c r="D2513" s="1115"/>
      <c r="E2513" s="1115"/>
      <c r="F2513" s="1115"/>
      <c r="G2513" s="1115"/>
      <c r="H2513" s="1115"/>
      <c r="I2513" s="1115"/>
      <c r="J2513" s="1115"/>
      <c r="K2513" s="1115"/>
      <c r="L2513" s="1115"/>
      <c r="M2513" s="1115"/>
    </row>
    <row r="2514" spans="1:13" x14ac:dyDescent="0.2">
      <c r="A2514" s="1115"/>
      <c r="B2514" s="1115"/>
      <c r="C2514" s="1115"/>
      <c r="D2514" s="1115"/>
      <c r="E2514" s="1115"/>
      <c r="F2514" s="1115"/>
      <c r="G2514" s="1115"/>
      <c r="H2514" s="1115"/>
      <c r="I2514" s="1115"/>
      <c r="J2514" s="1115"/>
      <c r="K2514" s="1115"/>
      <c r="L2514" s="1115"/>
      <c r="M2514" s="1115"/>
    </row>
    <row r="2515" spans="1:13" x14ac:dyDescent="0.2">
      <c r="A2515" s="1115"/>
      <c r="B2515" s="1115"/>
      <c r="C2515" s="1115"/>
      <c r="D2515" s="1115"/>
      <c r="E2515" s="1115"/>
      <c r="F2515" s="1115"/>
      <c r="G2515" s="1115"/>
      <c r="H2515" s="1115"/>
      <c r="I2515" s="1115"/>
      <c r="J2515" s="1115"/>
      <c r="K2515" s="1115"/>
      <c r="L2515" s="1115"/>
      <c r="M2515" s="1115"/>
    </row>
    <row r="2516" spans="1:13" x14ac:dyDescent="0.2">
      <c r="A2516" s="1115"/>
      <c r="B2516" s="1115"/>
      <c r="C2516" s="1115"/>
      <c r="D2516" s="1115"/>
      <c r="E2516" s="1115"/>
      <c r="F2516" s="1115"/>
      <c r="G2516" s="1115"/>
      <c r="H2516" s="1115"/>
      <c r="I2516" s="1115"/>
      <c r="J2516" s="1115"/>
      <c r="K2516" s="1115"/>
      <c r="L2516" s="1115"/>
      <c r="M2516" s="1115"/>
    </row>
    <row r="2517" spans="1:13" x14ac:dyDescent="0.2">
      <c r="A2517" s="1115"/>
      <c r="B2517" s="1115"/>
      <c r="C2517" s="1115"/>
      <c r="D2517" s="1115"/>
      <c r="E2517" s="1115"/>
      <c r="F2517" s="1115"/>
      <c r="G2517" s="1115"/>
      <c r="H2517" s="1115"/>
      <c r="I2517" s="1115"/>
      <c r="J2517" s="1115"/>
      <c r="K2517" s="1115"/>
      <c r="L2517" s="1115"/>
      <c r="M2517" s="1115"/>
    </row>
    <row r="2518" spans="1:13" x14ac:dyDescent="0.2">
      <c r="A2518" s="1115"/>
      <c r="B2518" s="1115"/>
      <c r="C2518" s="1115"/>
      <c r="D2518" s="1115"/>
      <c r="E2518" s="1115"/>
      <c r="F2518" s="1115"/>
      <c r="G2518" s="1115"/>
      <c r="H2518" s="1115"/>
      <c r="I2518" s="1115"/>
      <c r="J2518" s="1115"/>
      <c r="K2518" s="1115"/>
      <c r="L2518" s="1115"/>
      <c r="M2518" s="1115"/>
    </row>
    <row r="2519" spans="1:13" x14ac:dyDescent="0.2">
      <c r="A2519" s="1115"/>
      <c r="B2519" s="1115"/>
      <c r="C2519" s="1115"/>
      <c r="D2519" s="1115"/>
      <c r="E2519" s="1115"/>
      <c r="F2519" s="1115"/>
      <c r="G2519" s="1115"/>
      <c r="H2519" s="1115"/>
      <c r="I2519" s="1115"/>
      <c r="J2519" s="1115"/>
      <c r="K2519" s="1115"/>
      <c r="L2519" s="1115"/>
      <c r="M2519" s="1115"/>
    </row>
    <row r="2520" spans="1:13" x14ac:dyDescent="0.2">
      <c r="A2520" s="1115"/>
      <c r="B2520" s="1115"/>
      <c r="C2520" s="1115"/>
      <c r="D2520" s="1115"/>
      <c r="E2520" s="1115"/>
      <c r="F2520" s="1115"/>
      <c r="G2520" s="1115"/>
      <c r="H2520" s="1115"/>
      <c r="I2520" s="1115"/>
      <c r="J2520" s="1115"/>
      <c r="K2520" s="1115"/>
      <c r="L2520" s="1115"/>
      <c r="M2520" s="1115"/>
    </row>
    <row r="2521" spans="1:13" x14ac:dyDescent="0.2">
      <c r="A2521" s="1115"/>
      <c r="B2521" s="1115"/>
      <c r="C2521" s="1115"/>
      <c r="D2521" s="1115"/>
      <c r="E2521" s="1115"/>
      <c r="F2521" s="1115"/>
      <c r="G2521" s="1115"/>
      <c r="H2521" s="1115"/>
      <c r="I2521" s="1115"/>
      <c r="J2521" s="1115"/>
      <c r="K2521" s="1115"/>
      <c r="L2521" s="1115"/>
      <c r="M2521" s="1115"/>
    </row>
    <row r="2522" spans="1:13" x14ac:dyDescent="0.2">
      <c r="A2522" s="1115"/>
      <c r="B2522" s="1115"/>
      <c r="C2522" s="1115"/>
      <c r="D2522" s="1115"/>
      <c r="E2522" s="1115"/>
      <c r="F2522" s="1115"/>
      <c r="G2522" s="1115"/>
      <c r="H2522" s="1115"/>
      <c r="I2522" s="1115"/>
      <c r="J2522" s="1115"/>
      <c r="K2522" s="1115"/>
      <c r="L2522" s="1115"/>
      <c r="M2522" s="1115"/>
    </row>
    <row r="2523" spans="1:13" x14ac:dyDescent="0.2">
      <c r="A2523" s="1115"/>
      <c r="B2523" s="1115"/>
      <c r="C2523" s="1115"/>
      <c r="D2523" s="1115"/>
      <c r="E2523" s="1115"/>
      <c r="F2523" s="1115"/>
      <c r="G2523" s="1115"/>
      <c r="H2523" s="1115"/>
      <c r="I2523" s="1115"/>
      <c r="J2523" s="1115"/>
      <c r="K2523" s="1115"/>
      <c r="L2523" s="1115"/>
      <c r="M2523" s="1115"/>
    </row>
    <row r="2524" spans="1:13" x14ac:dyDescent="0.2">
      <c r="A2524" s="1115"/>
      <c r="B2524" s="1115"/>
      <c r="C2524" s="1115"/>
      <c r="D2524" s="1115"/>
      <c r="E2524" s="1115"/>
      <c r="F2524" s="1115"/>
      <c r="G2524" s="1115"/>
      <c r="H2524" s="1115"/>
      <c r="I2524" s="1115"/>
      <c r="J2524" s="1115"/>
      <c r="K2524" s="1115"/>
      <c r="L2524" s="1115"/>
      <c r="M2524" s="1115"/>
    </row>
    <row r="2525" spans="1:13" x14ac:dyDescent="0.2">
      <c r="A2525" s="1115"/>
      <c r="B2525" s="1115"/>
      <c r="C2525" s="1115"/>
      <c r="D2525" s="1115"/>
      <c r="E2525" s="1115"/>
      <c r="F2525" s="1115"/>
      <c r="G2525" s="1115"/>
      <c r="H2525" s="1115"/>
      <c r="I2525" s="1115"/>
      <c r="J2525" s="1115"/>
      <c r="K2525" s="1115"/>
      <c r="L2525" s="1115"/>
      <c r="M2525" s="1115"/>
    </row>
    <row r="2526" spans="1:13" x14ac:dyDescent="0.2">
      <c r="A2526" s="1115"/>
      <c r="B2526" s="1115"/>
      <c r="C2526" s="1115"/>
      <c r="D2526" s="1115"/>
      <c r="E2526" s="1115"/>
      <c r="F2526" s="1115"/>
      <c r="G2526" s="1115"/>
      <c r="H2526" s="1115"/>
      <c r="I2526" s="1115"/>
      <c r="J2526" s="1115"/>
      <c r="K2526" s="1115"/>
      <c r="L2526" s="1115"/>
      <c r="M2526" s="1115"/>
    </row>
    <row r="2527" spans="1:13" x14ac:dyDescent="0.2">
      <c r="A2527" s="1115"/>
      <c r="B2527" s="1115"/>
      <c r="C2527" s="1115"/>
      <c r="D2527" s="1115"/>
      <c r="E2527" s="1115"/>
      <c r="F2527" s="1115"/>
      <c r="G2527" s="1115"/>
      <c r="H2527" s="1115"/>
      <c r="I2527" s="1115"/>
      <c r="J2527" s="1115"/>
      <c r="K2527" s="1115"/>
      <c r="L2527" s="1115"/>
      <c r="M2527" s="1115"/>
    </row>
    <row r="2528" spans="1:13" x14ac:dyDescent="0.2">
      <c r="A2528" s="1115"/>
      <c r="B2528" s="1115"/>
      <c r="C2528" s="1115"/>
      <c r="D2528" s="1115"/>
      <c r="E2528" s="1115"/>
      <c r="F2528" s="1115"/>
      <c r="G2528" s="1115"/>
      <c r="H2528" s="1115"/>
      <c r="I2528" s="1115"/>
      <c r="J2528" s="1115"/>
      <c r="K2528" s="1115"/>
      <c r="L2528" s="1115"/>
      <c r="M2528" s="1115"/>
    </row>
    <row r="2529" spans="1:13" x14ac:dyDescent="0.2">
      <c r="A2529" s="1115"/>
      <c r="B2529" s="1115"/>
      <c r="C2529" s="1115"/>
      <c r="D2529" s="1115"/>
      <c r="E2529" s="1115"/>
      <c r="F2529" s="1115"/>
      <c r="G2529" s="1115"/>
      <c r="H2529" s="1115"/>
      <c r="I2529" s="1115"/>
      <c r="J2529" s="1115"/>
      <c r="K2529" s="1115"/>
      <c r="L2529" s="1115"/>
      <c r="M2529" s="1115"/>
    </row>
    <row r="2530" spans="1:13" x14ac:dyDescent="0.2">
      <c r="A2530" s="1115"/>
      <c r="B2530" s="1115"/>
      <c r="C2530" s="1115"/>
      <c r="D2530" s="1115"/>
      <c r="E2530" s="1115"/>
      <c r="F2530" s="1115"/>
      <c r="G2530" s="1115"/>
      <c r="H2530" s="1115"/>
      <c r="I2530" s="1115"/>
      <c r="J2530" s="1115"/>
      <c r="K2530" s="1115"/>
      <c r="L2530" s="1115"/>
      <c r="M2530" s="1115"/>
    </row>
    <row r="2531" spans="1:13" x14ac:dyDescent="0.2">
      <c r="A2531" s="1115"/>
      <c r="B2531" s="1115"/>
      <c r="C2531" s="1115"/>
      <c r="D2531" s="1115"/>
      <c r="E2531" s="1115"/>
      <c r="F2531" s="1115"/>
      <c r="G2531" s="1115"/>
      <c r="H2531" s="1115"/>
      <c r="I2531" s="1115"/>
      <c r="J2531" s="1115"/>
      <c r="K2531" s="1115"/>
      <c r="L2531" s="1115"/>
      <c r="M2531" s="1115"/>
    </row>
    <row r="2532" spans="1:13" x14ac:dyDescent="0.2">
      <c r="A2532" s="1115"/>
      <c r="B2532" s="1115"/>
      <c r="C2532" s="1115"/>
      <c r="D2532" s="1115"/>
      <c r="E2532" s="1115"/>
      <c r="F2532" s="1115"/>
      <c r="G2532" s="1115"/>
      <c r="H2532" s="1115"/>
      <c r="I2532" s="1115"/>
      <c r="J2532" s="1115"/>
      <c r="K2532" s="1115"/>
      <c r="L2532" s="1115"/>
      <c r="M2532" s="1115"/>
    </row>
    <row r="2533" spans="1:13" x14ac:dyDescent="0.2">
      <c r="A2533" s="1115"/>
      <c r="B2533" s="1115"/>
      <c r="C2533" s="1115"/>
      <c r="D2533" s="1115"/>
      <c r="E2533" s="1115"/>
      <c r="F2533" s="1115"/>
      <c r="G2533" s="1115"/>
      <c r="H2533" s="1115"/>
      <c r="I2533" s="1115"/>
      <c r="J2533" s="1115"/>
      <c r="K2533" s="1115"/>
      <c r="L2533" s="1115"/>
      <c r="M2533" s="1115"/>
    </row>
    <row r="2534" spans="1:13" x14ac:dyDescent="0.2">
      <c r="A2534" s="1115"/>
      <c r="B2534" s="1115"/>
      <c r="C2534" s="1115"/>
      <c r="D2534" s="1115"/>
      <c r="E2534" s="1115"/>
      <c r="F2534" s="1115"/>
      <c r="G2534" s="1115"/>
      <c r="H2534" s="1115"/>
      <c r="I2534" s="1115"/>
      <c r="J2534" s="1115"/>
      <c r="K2534" s="1115"/>
      <c r="L2534" s="1115"/>
      <c r="M2534" s="1115"/>
    </row>
    <row r="2535" spans="1:13" x14ac:dyDescent="0.2">
      <c r="A2535" s="1115"/>
      <c r="B2535" s="1115"/>
      <c r="C2535" s="1115"/>
      <c r="D2535" s="1115"/>
      <c r="E2535" s="1115"/>
      <c r="F2535" s="1115"/>
      <c r="G2535" s="1115"/>
      <c r="H2535" s="1115"/>
      <c r="I2535" s="1115"/>
      <c r="J2535" s="1115"/>
      <c r="K2535" s="1115"/>
      <c r="L2535" s="1115"/>
      <c r="M2535" s="1115"/>
    </row>
    <row r="2536" spans="1:13" x14ac:dyDescent="0.2">
      <c r="A2536" s="1115"/>
      <c r="B2536" s="1115"/>
      <c r="C2536" s="1115"/>
      <c r="D2536" s="1115"/>
      <c r="E2536" s="1115"/>
      <c r="F2536" s="1115"/>
      <c r="G2536" s="1115"/>
      <c r="H2536" s="1115"/>
      <c r="I2536" s="1115"/>
      <c r="J2536" s="1115"/>
      <c r="K2536" s="1115"/>
      <c r="L2536" s="1115"/>
      <c r="M2536" s="1115"/>
    </row>
    <row r="2537" spans="1:13" x14ac:dyDescent="0.2">
      <c r="A2537" s="1115"/>
      <c r="B2537" s="1115"/>
      <c r="C2537" s="1115"/>
      <c r="D2537" s="1115"/>
      <c r="E2537" s="1115"/>
      <c r="F2537" s="1115"/>
      <c r="G2537" s="1115"/>
      <c r="H2537" s="1115"/>
      <c r="I2537" s="1115"/>
      <c r="J2537" s="1115"/>
      <c r="K2537" s="1115"/>
      <c r="L2537" s="1115"/>
      <c r="M2537" s="1115"/>
    </row>
    <row r="2538" spans="1:13" x14ac:dyDescent="0.2">
      <c r="A2538" s="1115"/>
      <c r="B2538" s="1115"/>
      <c r="C2538" s="1115"/>
      <c r="D2538" s="1115"/>
      <c r="E2538" s="1115"/>
      <c r="F2538" s="1115"/>
      <c r="G2538" s="1115"/>
      <c r="H2538" s="1115"/>
      <c r="I2538" s="1115"/>
      <c r="J2538" s="1115"/>
      <c r="K2538" s="1115"/>
      <c r="L2538" s="1115"/>
      <c r="M2538" s="1115"/>
    </row>
    <row r="2539" spans="1:13" x14ac:dyDescent="0.2">
      <c r="A2539" s="1115"/>
      <c r="B2539" s="1115"/>
      <c r="C2539" s="1115"/>
      <c r="D2539" s="1115"/>
      <c r="E2539" s="1115"/>
      <c r="F2539" s="1115"/>
      <c r="G2539" s="1115"/>
      <c r="H2539" s="1115"/>
      <c r="I2539" s="1115"/>
      <c r="J2539" s="1115"/>
      <c r="K2539" s="1115"/>
      <c r="L2539" s="1115"/>
      <c r="M2539" s="1115"/>
    </row>
    <row r="2540" spans="1:13" x14ac:dyDescent="0.2">
      <c r="A2540" s="1115"/>
      <c r="B2540" s="1115"/>
      <c r="C2540" s="1115"/>
      <c r="D2540" s="1115"/>
      <c r="E2540" s="1115"/>
      <c r="F2540" s="1115"/>
      <c r="G2540" s="1115"/>
      <c r="H2540" s="1115"/>
      <c r="I2540" s="1115"/>
      <c r="J2540" s="1115"/>
      <c r="K2540" s="1115"/>
      <c r="L2540" s="1115"/>
      <c r="M2540" s="1115"/>
    </row>
    <row r="2541" spans="1:13" x14ac:dyDescent="0.2">
      <c r="A2541" s="1115"/>
      <c r="B2541" s="1115"/>
      <c r="C2541" s="1115"/>
      <c r="D2541" s="1115"/>
      <c r="E2541" s="1115"/>
      <c r="F2541" s="1115"/>
      <c r="G2541" s="1115"/>
      <c r="H2541" s="1115"/>
      <c r="I2541" s="1115"/>
      <c r="J2541" s="1115"/>
      <c r="K2541" s="1115"/>
      <c r="L2541" s="1115"/>
      <c r="M2541" s="1115"/>
    </row>
    <row r="2542" spans="1:13" x14ac:dyDescent="0.2">
      <c r="A2542" s="1115"/>
      <c r="B2542" s="1115"/>
      <c r="C2542" s="1115"/>
      <c r="D2542" s="1115"/>
      <c r="E2542" s="1115"/>
      <c r="F2542" s="1115"/>
      <c r="G2542" s="1115"/>
      <c r="H2542" s="1115"/>
      <c r="I2542" s="1115"/>
      <c r="J2542" s="1115"/>
      <c r="K2542" s="1115"/>
      <c r="L2542" s="1115"/>
      <c r="M2542" s="1115"/>
    </row>
    <row r="2543" spans="1:13" x14ac:dyDescent="0.2">
      <c r="A2543" s="1115"/>
      <c r="B2543" s="1115"/>
      <c r="C2543" s="1115"/>
      <c r="D2543" s="1115"/>
      <c r="E2543" s="1115"/>
      <c r="F2543" s="1115"/>
      <c r="G2543" s="1115"/>
      <c r="H2543" s="1115"/>
      <c r="I2543" s="1115"/>
      <c r="J2543" s="1115"/>
      <c r="K2543" s="1115"/>
      <c r="L2543" s="1115"/>
      <c r="M2543" s="1115"/>
    </row>
    <row r="2544" spans="1:13" x14ac:dyDescent="0.2">
      <c r="A2544" s="1115"/>
      <c r="B2544" s="1115"/>
      <c r="C2544" s="1115"/>
      <c r="D2544" s="1115"/>
      <c r="E2544" s="1115"/>
      <c r="F2544" s="1115"/>
      <c r="G2544" s="1115"/>
      <c r="H2544" s="1115"/>
      <c r="I2544" s="1115"/>
      <c r="J2544" s="1115"/>
      <c r="K2544" s="1115"/>
      <c r="L2544" s="1115"/>
      <c r="M2544" s="1115"/>
    </row>
    <row r="2545" spans="1:13" x14ac:dyDescent="0.2">
      <c r="A2545" s="1115"/>
      <c r="B2545" s="1115"/>
      <c r="C2545" s="1115"/>
      <c r="D2545" s="1115"/>
      <c r="E2545" s="1115"/>
      <c r="F2545" s="1115"/>
      <c r="G2545" s="1115"/>
      <c r="H2545" s="1115"/>
      <c r="I2545" s="1115"/>
      <c r="J2545" s="1115"/>
      <c r="K2545" s="1115"/>
      <c r="L2545" s="1115"/>
      <c r="M2545" s="1115"/>
    </row>
    <row r="2546" spans="1:13" x14ac:dyDescent="0.2">
      <c r="A2546" s="1115"/>
      <c r="B2546" s="1115"/>
      <c r="C2546" s="1115"/>
      <c r="D2546" s="1115"/>
      <c r="E2546" s="1115"/>
      <c r="F2546" s="1115"/>
      <c r="G2546" s="1115"/>
      <c r="H2546" s="1115"/>
      <c r="I2546" s="1115"/>
      <c r="J2546" s="1115"/>
      <c r="K2546" s="1115"/>
      <c r="L2546" s="1115"/>
      <c r="M2546" s="1115"/>
    </row>
    <row r="2547" spans="1:13" x14ac:dyDescent="0.2">
      <c r="A2547" s="1115"/>
      <c r="B2547" s="1115"/>
      <c r="C2547" s="1115"/>
      <c r="D2547" s="1115"/>
      <c r="E2547" s="1115"/>
      <c r="F2547" s="1115"/>
      <c r="G2547" s="1115"/>
      <c r="H2547" s="1115"/>
      <c r="I2547" s="1115"/>
      <c r="J2547" s="1115"/>
      <c r="K2547" s="1115"/>
      <c r="L2547" s="1115"/>
      <c r="M2547" s="1115"/>
    </row>
    <row r="2548" spans="1:13" x14ac:dyDescent="0.2">
      <c r="A2548" s="1115"/>
      <c r="B2548" s="1115"/>
      <c r="C2548" s="1115"/>
      <c r="D2548" s="1115"/>
      <c r="E2548" s="1115"/>
      <c r="F2548" s="1115"/>
      <c r="G2548" s="1115"/>
      <c r="H2548" s="1115"/>
      <c r="I2548" s="1115"/>
      <c r="J2548" s="1115"/>
      <c r="K2548" s="1115"/>
      <c r="L2548" s="1115"/>
      <c r="M2548" s="1115"/>
    </row>
    <row r="2549" spans="1:13" x14ac:dyDescent="0.2">
      <c r="A2549" s="1115"/>
      <c r="B2549" s="1115"/>
      <c r="C2549" s="1115"/>
      <c r="D2549" s="1115"/>
      <c r="E2549" s="1115"/>
      <c r="F2549" s="1115"/>
      <c r="G2549" s="1115"/>
      <c r="H2549" s="1115"/>
      <c r="I2549" s="1115"/>
      <c r="J2549" s="1115"/>
      <c r="K2549" s="1115"/>
      <c r="L2549" s="1115"/>
      <c r="M2549" s="1115"/>
    </row>
    <row r="2550" spans="1:13" x14ac:dyDescent="0.2">
      <c r="A2550" s="1115"/>
      <c r="B2550" s="1115"/>
      <c r="C2550" s="1115"/>
      <c r="D2550" s="1115"/>
      <c r="E2550" s="1115"/>
      <c r="F2550" s="1115"/>
      <c r="G2550" s="1115"/>
      <c r="H2550" s="1115"/>
      <c r="I2550" s="1115"/>
      <c r="J2550" s="1115"/>
      <c r="K2550" s="1115"/>
      <c r="L2550" s="1115"/>
      <c r="M2550" s="1115"/>
    </row>
    <row r="2551" spans="1:13" x14ac:dyDescent="0.2">
      <c r="A2551" s="1115"/>
      <c r="B2551" s="1115"/>
      <c r="C2551" s="1115"/>
      <c r="D2551" s="1115"/>
      <c r="E2551" s="1115"/>
      <c r="F2551" s="1115"/>
      <c r="G2551" s="1115"/>
      <c r="H2551" s="1115"/>
      <c r="I2551" s="1115"/>
      <c r="J2551" s="1115"/>
      <c r="K2551" s="1115"/>
      <c r="L2551" s="1115"/>
      <c r="M2551" s="1115"/>
    </row>
    <row r="2552" spans="1:13" x14ac:dyDescent="0.2">
      <c r="A2552" s="1115"/>
      <c r="B2552" s="1115"/>
      <c r="C2552" s="1115"/>
      <c r="D2552" s="1115"/>
      <c r="E2552" s="1115"/>
      <c r="F2552" s="1115"/>
      <c r="G2552" s="1115"/>
      <c r="H2552" s="1115"/>
      <c r="I2552" s="1115"/>
      <c r="J2552" s="1115"/>
      <c r="K2552" s="1115"/>
      <c r="L2552" s="1115"/>
      <c r="M2552" s="1115"/>
    </row>
    <row r="2553" spans="1:13" x14ac:dyDescent="0.2">
      <c r="A2553" s="1115"/>
      <c r="B2553" s="1115"/>
      <c r="C2553" s="1115"/>
      <c r="D2553" s="1115"/>
      <c r="E2553" s="1115"/>
      <c r="F2553" s="1115"/>
      <c r="G2553" s="1115"/>
      <c r="H2553" s="1115"/>
      <c r="I2553" s="1115"/>
      <c r="J2553" s="1115"/>
      <c r="K2553" s="1115"/>
      <c r="L2553" s="1115"/>
      <c r="M2553" s="1115"/>
    </row>
    <row r="2554" spans="1:13" x14ac:dyDescent="0.2">
      <c r="A2554" s="1115"/>
      <c r="B2554" s="1115"/>
      <c r="C2554" s="1115"/>
      <c r="D2554" s="1115"/>
      <c r="E2554" s="1115"/>
      <c r="F2554" s="1115"/>
      <c r="G2554" s="1115"/>
      <c r="H2554" s="1115"/>
      <c r="I2554" s="1115"/>
      <c r="J2554" s="1115"/>
      <c r="K2554" s="1115"/>
      <c r="L2554" s="1115"/>
      <c r="M2554" s="1115"/>
    </row>
    <row r="2555" spans="1:13" x14ac:dyDescent="0.2">
      <c r="A2555" s="1115"/>
      <c r="B2555" s="1115"/>
      <c r="C2555" s="1115"/>
      <c r="D2555" s="1115"/>
      <c r="E2555" s="1115"/>
      <c r="F2555" s="1115"/>
      <c r="G2555" s="1115"/>
      <c r="H2555" s="1115"/>
      <c r="I2555" s="1115"/>
      <c r="J2555" s="1115"/>
      <c r="K2555" s="1115"/>
      <c r="L2555" s="1115"/>
      <c r="M2555" s="1115"/>
    </row>
    <row r="2556" spans="1:13" x14ac:dyDescent="0.2">
      <c r="A2556" s="1115"/>
      <c r="B2556" s="1115"/>
      <c r="C2556" s="1115"/>
      <c r="D2556" s="1115"/>
      <c r="E2556" s="1115"/>
      <c r="F2556" s="1115"/>
      <c r="G2556" s="1115"/>
      <c r="H2556" s="1115"/>
      <c r="I2556" s="1115"/>
      <c r="J2556" s="1115"/>
      <c r="K2556" s="1115"/>
      <c r="L2556" s="1115"/>
      <c r="M2556" s="1115"/>
    </row>
    <row r="2557" spans="1:13" x14ac:dyDescent="0.2">
      <c r="A2557" s="1115"/>
      <c r="B2557" s="1115"/>
      <c r="C2557" s="1115"/>
      <c r="D2557" s="1115"/>
      <c r="E2557" s="1115"/>
      <c r="F2557" s="1115"/>
      <c r="G2557" s="1115"/>
      <c r="H2557" s="1115"/>
      <c r="I2557" s="1115"/>
      <c r="J2557" s="1115"/>
      <c r="K2557" s="1115"/>
      <c r="L2557" s="1115"/>
      <c r="M2557" s="1115"/>
    </row>
    <row r="2558" spans="1:13" x14ac:dyDescent="0.2">
      <c r="A2558" s="1115"/>
      <c r="B2558" s="1115"/>
      <c r="C2558" s="1115"/>
      <c r="D2558" s="1115"/>
      <c r="E2558" s="1115"/>
      <c r="F2558" s="1115"/>
      <c r="G2558" s="1115"/>
      <c r="H2558" s="1115"/>
      <c r="I2558" s="1115"/>
      <c r="J2558" s="1115"/>
      <c r="K2558" s="1115"/>
      <c r="L2558" s="1115"/>
      <c r="M2558" s="1115"/>
    </row>
    <row r="2559" spans="1:13" x14ac:dyDescent="0.2">
      <c r="A2559" s="1115"/>
      <c r="B2559" s="1115"/>
      <c r="C2559" s="1115"/>
      <c r="D2559" s="1115"/>
      <c r="E2559" s="1115"/>
      <c r="F2559" s="1115"/>
      <c r="G2559" s="1115"/>
      <c r="H2559" s="1115"/>
      <c r="I2559" s="1115"/>
      <c r="J2559" s="1115"/>
      <c r="K2559" s="1115"/>
      <c r="L2559" s="1115"/>
      <c r="M2559" s="1115"/>
    </row>
    <row r="2560" spans="1:13" x14ac:dyDescent="0.2">
      <c r="A2560" s="1115"/>
      <c r="B2560" s="1115"/>
      <c r="C2560" s="1115"/>
      <c r="D2560" s="1115"/>
      <c r="E2560" s="1115"/>
      <c r="F2560" s="1115"/>
      <c r="G2560" s="1115"/>
      <c r="H2560" s="1115"/>
      <c r="I2560" s="1115"/>
      <c r="J2560" s="1115"/>
      <c r="K2560" s="1115"/>
      <c r="L2560" s="1115"/>
      <c r="M2560" s="1115"/>
    </row>
    <row r="2561" spans="1:13" x14ac:dyDescent="0.2">
      <c r="A2561" s="1115"/>
      <c r="B2561" s="1115"/>
      <c r="C2561" s="1115"/>
      <c r="D2561" s="1115"/>
      <c r="E2561" s="1115"/>
      <c r="F2561" s="1115"/>
      <c r="G2561" s="1115"/>
      <c r="H2561" s="1115"/>
      <c r="I2561" s="1115"/>
      <c r="J2561" s="1115"/>
      <c r="K2561" s="1115"/>
      <c r="L2561" s="1115"/>
      <c r="M2561" s="1115"/>
    </row>
    <row r="2562" spans="1:13" x14ac:dyDescent="0.2">
      <c r="A2562" s="1115"/>
      <c r="B2562" s="1115"/>
      <c r="C2562" s="1115"/>
      <c r="D2562" s="1115"/>
      <c r="E2562" s="1115"/>
      <c r="F2562" s="1115"/>
      <c r="G2562" s="1115"/>
      <c r="H2562" s="1115"/>
      <c r="I2562" s="1115"/>
      <c r="J2562" s="1115"/>
      <c r="K2562" s="1115"/>
      <c r="L2562" s="1115"/>
      <c r="M2562" s="1115"/>
    </row>
    <row r="2563" spans="1:13" x14ac:dyDescent="0.2">
      <c r="A2563" s="1115"/>
      <c r="B2563" s="1115"/>
      <c r="C2563" s="1115"/>
      <c r="D2563" s="1115"/>
      <c r="E2563" s="1115"/>
      <c r="F2563" s="1115"/>
      <c r="G2563" s="1115"/>
      <c r="H2563" s="1115"/>
      <c r="I2563" s="1115"/>
      <c r="J2563" s="1115"/>
      <c r="K2563" s="1115"/>
      <c r="L2563" s="1115"/>
      <c r="M2563" s="1115"/>
    </row>
    <row r="2564" spans="1:13" x14ac:dyDescent="0.2">
      <c r="A2564" s="1115"/>
      <c r="B2564" s="1115"/>
      <c r="C2564" s="1115"/>
      <c r="D2564" s="1115"/>
      <c r="E2564" s="1115"/>
      <c r="F2564" s="1115"/>
      <c r="G2564" s="1115"/>
      <c r="H2564" s="1115"/>
      <c r="I2564" s="1115"/>
      <c r="J2564" s="1115"/>
      <c r="K2564" s="1115"/>
      <c r="L2564" s="1115"/>
      <c r="M2564" s="1115"/>
    </row>
    <row r="2565" spans="1:13" x14ac:dyDescent="0.2">
      <c r="A2565" s="1115"/>
      <c r="B2565" s="1115"/>
      <c r="C2565" s="1115"/>
      <c r="D2565" s="1115"/>
      <c r="E2565" s="1115"/>
      <c r="F2565" s="1115"/>
      <c r="G2565" s="1115"/>
      <c r="H2565" s="1115"/>
      <c r="I2565" s="1115"/>
      <c r="J2565" s="1115"/>
      <c r="K2565" s="1115"/>
      <c r="L2565" s="1115"/>
      <c r="M2565" s="1115"/>
    </row>
    <row r="2566" spans="1:13" x14ac:dyDescent="0.2">
      <c r="A2566" s="1115"/>
      <c r="B2566" s="1115"/>
      <c r="C2566" s="1115"/>
      <c r="D2566" s="1115"/>
      <c r="E2566" s="1115"/>
      <c r="F2566" s="1115"/>
      <c r="G2566" s="1115"/>
      <c r="H2566" s="1115"/>
      <c r="I2566" s="1115"/>
      <c r="J2566" s="1115"/>
      <c r="K2566" s="1115"/>
      <c r="L2566" s="1115"/>
      <c r="M2566" s="1115"/>
    </row>
    <row r="2567" spans="1:13" x14ac:dyDescent="0.2">
      <c r="A2567" s="1115"/>
      <c r="B2567" s="1115"/>
      <c r="C2567" s="1115"/>
      <c r="D2567" s="1115"/>
      <c r="E2567" s="1115"/>
      <c r="F2567" s="1115"/>
      <c r="G2567" s="1115"/>
      <c r="H2567" s="1115"/>
      <c r="I2567" s="1115"/>
      <c r="J2567" s="1115"/>
      <c r="K2567" s="1115"/>
      <c r="L2567" s="1115"/>
      <c r="M2567" s="1115"/>
    </row>
    <row r="2568" spans="1:13" x14ac:dyDescent="0.2">
      <c r="A2568" s="1115"/>
      <c r="B2568" s="1115"/>
      <c r="C2568" s="1115"/>
      <c r="D2568" s="1115"/>
      <c r="E2568" s="1115"/>
      <c r="F2568" s="1115"/>
      <c r="G2568" s="1115"/>
      <c r="H2568" s="1115"/>
      <c r="I2568" s="1115"/>
      <c r="J2568" s="1115"/>
      <c r="K2568" s="1115"/>
      <c r="L2568" s="1115"/>
      <c r="M2568" s="1115"/>
    </row>
    <row r="2569" spans="1:13" x14ac:dyDescent="0.2">
      <c r="A2569" s="1115"/>
      <c r="B2569" s="1115"/>
      <c r="C2569" s="1115"/>
      <c r="D2569" s="1115"/>
      <c r="E2569" s="1115"/>
      <c r="F2569" s="1115"/>
      <c r="G2569" s="1115"/>
      <c r="H2569" s="1115"/>
      <c r="I2569" s="1115"/>
      <c r="J2569" s="1115"/>
      <c r="K2569" s="1115"/>
      <c r="L2569" s="1115"/>
      <c r="M2569" s="1115"/>
    </row>
    <row r="2570" spans="1:13" x14ac:dyDescent="0.2">
      <c r="A2570" s="1115"/>
      <c r="B2570" s="1115"/>
      <c r="C2570" s="1115"/>
      <c r="D2570" s="1115"/>
      <c r="E2570" s="1115"/>
      <c r="F2570" s="1115"/>
      <c r="G2570" s="1115"/>
      <c r="H2570" s="1115"/>
      <c r="I2570" s="1115"/>
      <c r="J2570" s="1115"/>
      <c r="K2570" s="1115"/>
      <c r="L2570" s="1115"/>
      <c r="M2570" s="1115"/>
    </row>
    <row r="2571" spans="1:13" x14ac:dyDescent="0.2">
      <c r="A2571" s="1115"/>
      <c r="B2571" s="1115"/>
      <c r="C2571" s="1115"/>
      <c r="D2571" s="1115"/>
      <c r="E2571" s="1115"/>
      <c r="F2571" s="1115"/>
      <c r="G2571" s="1115"/>
      <c r="H2571" s="1115"/>
      <c r="I2571" s="1115"/>
      <c r="J2571" s="1115"/>
      <c r="K2571" s="1115"/>
      <c r="L2571" s="1115"/>
      <c r="M2571" s="1115"/>
    </row>
    <row r="2572" spans="1:13" x14ac:dyDescent="0.2">
      <c r="A2572" s="1115"/>
      <c r="B2572" s="1115"/>
      <c r="C2572" s="1115"/>
      <c r="D2572" s="1115"/>
      <c r="E2572" s="1115"/>
      <c r="F2572" s="1115"/>
      <c r="G2572" s="1115"/>
      <c r="H2572" s="1115"/>
      <c r="I2572" s="1115"/>
      <c r="J2572" s="1115"/>
      <c r="K2572" s="1115"/>
      <c r="L2572" s="1115"/>
      <c r="M2572" s="1115"/>
    </row>
    <row r="2573" spans="1:13" x14ac:dyDescent="0.2">
      <c r="A2573" s="1115"/>
      <c r="B2573" s="1115"/>
      <c r="C2573" s="1115"/>
      <c r="D2573" s="1115"/>
      <c r="E2573" s="1115"/>
      <c r="F2573" s="1115"/>
      <c r="G2573" s="1115"/>
      <c r="H2573" s="1115"/>
      <c r="I2573" s="1115"/>
      <c r="J2573" s="1115"/>
      <c r="K2573" s="1115"/>
      <c r="L2573" s="1115"/>
      <c r="M2573" s="1115"/>
    </row>
    <row r="2574" spans="1:13" x14ac:dyDescent="0.2">
      <c r="A2574" s="1115"/>
      <c r="B2574" s="1115"/>
      <c r="C2574" s="1115"/>
      <c r="D2574" s="1115"/>
      <c r="E2574" s="1115"/>
      <c r="F2574" s="1115"/>
      <c r="G2574" s="1115"/>
      <c r="H2574" s="1115"/>
      <c r="I2574" s="1115"/>
      <c r="J2574" s="1115"/>
      <c r="K2574" s="1115"/>
      <c r="L2574" s="1115"/>
      <c r="M2574" s="1115"/>
    </row>
    <row r="2575" spans="1:13" x14ac:dyDescent="0.2">
      <c r="A2575" s="1115"/>
      <c r="B2575" s="1115"/>
      <c r="C2575" s="1115"/>
      <c r="D2575" s="1115"/>
      <c r="E2575" s="1115"/>
      <c r="F2575" s="1115"/>
      <c r="G2575" s="1115"/>
      <c r="H2575" s="1115"/>
      <c r="I2575" s="1115"/>
      <c r="J2575" s="1115"/>
      <c r="K2575" s="1115"/>
      <c r="L2575" s="1115"/>
      <c r="M2575" s="1115"/>
    </row>
    <row r="2576" spans="1:13" x14ac:dyDescent="0.2">
      <c r="A2576" s="1115"/>
      <c r="B2576" s="1115"/>
      <c r="C2576" s="1115"/>
      <c r="D2576" s="1115"/>
      <c r="E2576" s="1115"/>
      <c r="F2576" s="1115"/>
      <c r="G2576" s="1115"/>
      <c r="H2576" s="1115"/>
      <c r="I2576" s="1115"/>
      <c r="J2576" s="1115"/>
      <c r="K2576" s="1115"/>
      <c r="L2576" s="1115"/>
      <c r="M2576" s="1115"/>
    </row>
    <row r="2577" spans="1:13" x14ac:dyDescent="0.2">
      <c r="A2577" s="1115"/>
      <c r="B2577" s="1115"/>
      <c r="C2577" s="1115"/>
      <c r="D2577" s="1115"/>
      <c r="E2577" s="1115"/>
      <c r="F2577" s="1115"/>
      <c r="G2577" s="1115"/>
      <c r="H2577" s="1115"/>
      <c r="I2577" s="1115"/>
      <c r="J2577" s="1115"/>
      <c r="K2577" s="1115"/>
      <c r="L2577" s="1115"/>
      <c r="M2577" s="1115"/>
    </row>
    <row r="2578" spans="1:13" x14ac:dyDescent="0.2">
      <c r="A2578" s="1115"/>
      <c r="B2578" s="1115"/>
      <c r="C2578" s="1115"/>
      <c r="D2578" s="1115"/>
      <c r="E2578" s="1115"/>
      <c r="F2578" s="1115"/>
      <c r="G2578" s="1115"/>
      <c r="H2578" s="1115"/>
      <c r="I2578" s="1115"/>
      <c r="J2578" s="1115"/>
      <c r="K2578" s="1115"/>
      <c r="L2578" s="1115"/>
      <c r="M2578" s="1115"/>
    </row>
    <row r="2579" spans="1:13" x14ac:dyDescent="0.2">
      <c r="A2579" s="1115"/>
      <c r="B2579" s="1115"/>
      <c r="C2579" s="1115"/>
      <c r="D2579" s="1115"/>
      <c r="E2579" s="1115"/>
      <c r="F2579" s="1115"/>
      <c r="G2579" s="1115"/>
      <c r="H2579" s="1115"/>
      <c r="I2579" s="1115"/>
      <c r="J2579" s="1115"/>
      <c r="K2579" s="1115"/>
      <c r="L2579" s="1115"/>
      <c r="M2579" s="1115"/>
    </row>
    <row r="2580" spans="1:13" x14ac:dyDescent="0.2">
      <c r="A2580" s="1115"/>
      <c r="B2580" s="1115"/>
      <c r="C2580" s="1115"/>
      <c r="D2580" s="1115"/>
      <c r="E2580" s="1115"/>
      <c r="F2580" s="1115"/>
      <c r="G2580" s="1115"/>
      <c r="H2580" s="1115"/>
      <c r="I2580" s="1115"/>
      <c r="J2580" s="1115"/>
      <c r="K2580" s="1115"/>
      <c r="L2580" s="1115"/>
      <c r="M2580" s="1115"/>
    </row>
    <row r="2581" spans="1:13" x14ac:dyDescent="0.2">
      <c r="A2581" s="1115"/>
      <c r="B2581" s="1115"/>
      <c r="C2581" s="1115"/>
      <c r="D2581" s="1115"/>
      <c r="E2581" s="1115"/>
      <c r="F2581" s="1115"/>
      <c r="G2581" s="1115"/>
      <c r="H2581" s="1115"/>
      <c r="I2581" s="1115"/>
      <c r="J2581" s="1115"/>
      <c r="K2581" s="1115"/>
      <c r="L2581" s="1115"/>
      <c r="M2581" s="1115"/>
    </row>
    <row r="2582" spans="1:13" x14ac:dyDescent="0.2">
      <c r="A2582" s="1115"/>
      <c r="B2582" s="1115"/>
      <c r="C2582" s="1115"/>
      <c r="D2582" s="1115"/>
      <c r="E2582" s="1115"/>
      <c r="F2582" s="1115"/>
      <c r="G2582" s="1115"/>
      <c r="H2582" s="1115"/>
      <c r="I2582" s="1115"/>
      <c r="J2582" s="1115"/>
      <c r="K2582" s="1115"/>
      <c r="L2582" s="1115"/>
      <c r="M2582" s="1115"/>
    </row>
    <row r="2583" spans="1:13" x14ac:dyDescent="0.2">
      <c r="A2583" s="1115"/>
      <c r="B2583" s="1115"/>
      <c r="C2583" s="1115"/>
      <c r="D2583" s="1115"/>
      <c r="E2583" s="1115"/>
      <c r="F2583" s="1115"/>
      <c r="G2583" s="1115"/>
      <c r="H2583" s="1115"/>
      <c r="I2583" s="1115"/>
      <c r="J2583" s="1115"/>
      <c r="K2583" s="1115"/>
      <c r="L2583" s="1115"/>
      <c r="M2583" s="1115"/>
    </row>
    <row r="2584" spans="1:13" x14ac:dyDescent="0.2">
      <c r="A2584" s="1115"/>
      <c r="B2584" s="1115"/>
      <c r="C2584" s="1115"/>
      <c r="D2584" s="1115"/>
      <c r="E2584" s="1115"/>
      <c r="F2584" s="1115"/>
      <c r="G2584" s="1115"/>
      <c r="H2584" s="1115"/>
      <c r="I2584" s="1115"/>
      <c r="J2584" s="1115"/>
      <c r="K2584" s="1115"/>
      <c r="L2584" s="1115"/>
      <c r="M2584" s="1115"/>
    </row>
    <row r="2585" spans="1:13" x14ac:dyDescent="0.2">
      <c r="A2585" s="1115"/>
      <c r="B2585" s="1115"/>
      <c r="C2585" s="1115"/>
      <c r="D2585" s="1115"/>
      <c r="E2585" s="1115"/>
      <c r="F2585" s="1115"/>
      <c r="G2585" s="1115"/>
      <c r="H2585" s="1115"/>
      <c r="I2585" s="1115"/>
      <c r="J2585" s="1115"/>
      <c r="K2585" s="1115"/>
      <c r="L2585" s="1115"/>
      <c r="M2585" s="1115"/>
    </row>
    <row r="2586" spans="1:13" x14ac:dyDescent="0.2">
      <c r="A2586" s="1115"/>
      <c r="B2586" s="1115"/>
      <c r="C2586" s="1115"/>
      <c r="D2586" s="1115"/>
      <c r="E2586" s="1115"/>
      <c r="F2586" s="1115"/>
      <c r="G2586" s="1115"/>
      <c r="H2586" s="1115"/>
      <c r="I2586" s="1115"/>
      <c r="J2586" s="1115"/>
      <c r="K2586" s="1115"/>
      <c r="L2586" s="1115"/>
      <c r="M2586" s="1115"/>
    </row>
    <row r="2587" spans="1:13" x14ac:dyDescent="0.2">
      <c r="A2587" s="1115"/>
      <c r="B2587" s="1115"/>
      <c r="C2587" s="1115"/>
      <c r="D2587" s="1115"/>
      <c r="E2587" s="1115"/>
      <c r="F2587" s="1115"/>
      <c r="G2587" s="1115"/>
      <c r="H2587" s="1115"/>
      <c r="I2587" s="1115"/>
      <c r="J2587" s="1115"/>
      <c r="K2587" s="1115"/>
      <c r="L2587" s="1115"/>
      <c r="M2587" s="1115"/>
    </row>
    <row r="2588" spans="1:13" x14ac:dyDescent="0.2">
      <c r="A2588" s="1115"/>
      <c r="B2588" s="1115"/>
      <c r="C2588" s="1115"/>
      <c r="D2588" s="1115"/>
      <c r="E2588" s="1115"/>
      <c r="F2588" s="1115"/>
      <c r="G2588" s="1115"/>
      <c r="H2588" s="1115"/>
      <c r="I2588" s="1115"/>
      <c r="J2588" s="1115"/>
      <c r="K2588" s="1115"/>
      <c r="L2588" s="1115"/>
      <c r="M2588" s="1115"/>
    </row>
    <row r="2589" spans="1:13" x14ac:dyDescent="0.2">
      <c r="A2589" s="1115"/>
      <c r="B2589" s="1115"/>
      <c r="C2589" s="1115"/>
      <c r="D2589" s="1115"/>
      <c r="E2589" s="1115"/>
      <c r="F2589" s="1115"/>
      <c r="G2589" s="1115"/>
      <c r="H2589" s="1115"/>
      <c r="I2589" s="1115"/>
      <c r="J2589" s="1115"/>
      <c r="K2589" s="1115"/>
      <c r="L2589" s="1115"/>
      <c r="M2589" s="1115"/>
    </row>
    <row r="2590" spans="1:13" x14ac:dyDescent="0.2">
      <c r="A2590" s="1115"/>
      <c r="B2590" s="1115"/>
      <c r="C2590" s="1115"/>
      <c r="D2590" s="1115"/>
      <c r="E2590" s="1115"/>
      <c r="F2590" s="1115"/>
      <c r="G2590" s="1115"/>
      <c r="H2590" s="1115"/>
      <c r="I2590" s="1115"/>
      <c r="J2590" s="1115"/>
      <c r="K2590" s="1115"/>
      <c r="L2590" s="1115"/>
      <c r="M2590" s="1115"/>
    </row>
    <row r="2591" spans="1:13" x14ac:dyDescent="0.2">
      <c r="A2591" s="1115"/>
      <c r="B2591" s="1115"/>
      <c r="C2591" s="1115"/>
      <c r="D2591" s="1115"/>
      <c r="E2591" s="1115"/>
      <c r="F2591" s="1115"/>
      <c r="G2591" s="1115"/>
      <c r="H2591" s="1115"/>
      <c r="I2591" s="1115"/>
      <c r="J2591" s="1115"/>
      <c r="K2591" s="1115"/>
      <c r="L2591" s="1115"/>
      <c r="M2591" s="1115"/>
    </row>
    <row r="2592" spans="1:13" x14ac:dyDescent="0.2">
      <c r="A2592" s="1115"/>
      <c r="B2592" s="1115"/>
      <c r="C2592" s="1115"/>
      <c r="D2592" s="1115"/>
      <c r="E2592" s="1115"/>
      <c r="F2592" s="1115"/>
      <c r="G2592" s="1115"/>
      <c r="H2592" s="1115"/>
      <c r="I2592" s="1115"/>
      <c r="J2592" s="1115"/>
      <c r="K2592" s="1115"/>
      <c r="L2592" s="1115"/>
      <c r="M2592" s="1115"/>
    </row>
    <row r="2593" spans="1:13" x14ac:dyDescent="0.2">
      <c r="A2593" s="1115"/>
      <c r="B2593" s="1115"/>
      <c r="C2593" s="1115"/>
      <c r="D2593" s="1115"/>
      <c r="E2593" s="1115"/>
      <c r="F2593" s="1115"/>
      <c r="G2593" s="1115"/>
      <c r="H2593" s="1115"/>
      <c r="I2593" s="1115"/>
      <c r="J2593" s="1115"/>
      <c r="K2593" s="1115"/>
      <c r="L2593" s="1115"/>
      <c r="M2593" s="1115"/>
    </row>
    <row r="2594" spans="1:13" x14ac:dyDescent="0.2">
      <c r="A2594" s="1115"/>
      <c r="B2594" s="1115"/>
      <c r="C2594" s="1115"/>
      <c r="D2594" s="1115"/>
      <c r="E2594" s="1115"/>
      <c r="F2594" s="1115"/>
      <c r="G2594" s="1115"/>
      <c r="H2594" s="1115"/>
      <c r="I2594" s="1115"/>
      <c r="J2594" s="1115"/>
      <c r="K2594" s="1115"/>
      <c r="L2594" s="1115"/>
      <c r="M2594" s="1115"/>
    </row>
    <row r="2595" spans="1:13" x14ac:dyDescent="0.2">
      <c r="A2595" s="1115"/>
      <c r="B2595" s="1115"/>
      <c r="C2595" s="1115"/>
      <c r="D2595" s="1115"/>
      <c r="E2595" s="1115"/>
      <c r="F2595" s="1115"/>
      <c r="G2595" s="1115"/>
      <c r="H2595" s="1115"/>
      <c r="I2595" s="1115"/>
      <c r="J2595" s="1115"/>
      <c r="K2595" s="1115"/>
      <c r="L2595" s="1115"/>
      <c r="M2595" s="1115"/>
    </row>
    <row r="2596" spans="1:13" x14ac:dyDescent="0.2">
      <c r="A2596" s="1115"/>
      <c r="B2596" s="1115"/>
      <c r="C2596" s="1115"/>
      <c r="D2596" s="1115"/>
      <c r="E2596" s="1115"/>
      <c r="F2596" s="1115"/>
      <c r="G2596" s="1115"/>
      <c r="H2596" s="1115"/>
      <c r="I2596" s="1115"/>
      <c r="J2596" s="1115"/>
      <c r="K2596" s="1115"/>
      <c r="L2596" s="1115"/>
      <c r="M2596" s="1115"/>
    </row>
    <row r="2597" spans="1:13" x14ac:dyDescent="0.2">
      <c r="A2597" s="1115"/>
      <c r="B2597" s="1115"/>
      <c r="C2597" s="1115"/>
      <c r="D2597" s="1115"/>
      <c r="E2597" s="1115"/>
      <c r="F2597" s="1115"/>
      <c r="G2597" s="1115"/>
      <c r="H2597" s="1115"/>
      <c r="I2597" s="1115"/>
      <c r="J2597" s="1115"/>
      <c r="K2597" s="1115"/>
      <c r="L2597" s="1115"/>
      <c r="M2597" s="1115"/>
    </row>
    <row r="2598" spans="1:13" x14ac:dyDescent="0.2">
      <c r="A2598" s="1115"/>
      <c r="B2598" s="1115"/>
      <c r="C2598" s="1115"/>
      <c r="D2598" s="1115"/>
      <c r="E2598" s="1115"/>
      <c r="F2598" s="1115"/>
      <c r="G2598" s="1115"/>
      <c r="H2598" s="1115"/>
      <c r="I2598" s="1115"/>
      <c r="J2598" s="1115"/>
      <c r="K2598" s="1115"/>
      <c r="L2598" s="1115"/>
      <c r="M2598" s="1115"/>
    </row>
    <row r="2599" spans="1:13" x14ac:dyDescent="0.2">
      <c r="A2599" s="1115"/>
      <c r="B2599" s="1115"/>
      <c r="C2599" s="1115"/>
      <c r="D2599" s="1115"/>
      <c r="E2599" s="1115"/>
      <c r="F2599" s="1115"/>
      <c r="G2599" s="1115"/>
      <c r="H2599" s="1115"/>
      <c r="I2599" s="1115"/>
      <c r="J2599" s="1115"/>
      <c r="K2599" s="1115"/>
      <c r="L2599" s="1115"/>
      <c r="M2599" s="1115"/>
    </row>
    <row r="2600" spans="1:13" x14ac:dyDescent="0.2">
      <c r="A2600" s="1115"/>
      <c r="B2600" s="1115"/>
      <c r="C2600" s="1115"/>
      <c r="D2600" s="1115"/>
      <c r="E2600" s="1115"/>
      <c r="F2600" s="1115"/>
      <c r="G2600" s="1115"/>
      <c r="H2600" s="1115"/>
      <c r="I2600" s="1115"/>
      <c r="J2600" s="1115"/>
      <c r="K2600" s="1115"/>
      <c r="L2600" s="1115"/>
      <c r="M2600" s="1115"/>
    </row>
    <row r="2601" spans="1:13" x14ac:dyDescent="0.2">
      <c r="A2601" s="1115"/>
      <c r="B2601" s="1115"/>
      <c r="C2601" s="1115"/>
      <c r="D2601" s="1115"/>
      <c r="E2601" s="1115"/>
      <c r="F2601" s="1115"/>
      <c r="G2601" s="1115"/>
      <c r="H2601" s="1115"/>
      <c r="I2601" s="1115"/>
      <c r="J2601" s="1115"/>
      <c r="K2601" s="1115"/>
      <c r="L2601" s="1115"/>
      <c r="M2601" s="1115"/>
    </row>
    <row r="2602" spans="1:13" x14ac:dyDescent="0.2">
      <c r="A2602" s="1115"/>
      <c r="B2602" s="1115"/>
      <c r="C2602" s="1115"/>
      <c r="D2602" s="1115"/>
      <c r="E2602" s="1115"/>
      <c r="F2602" s="1115"/>
      <c r="G2602" s="1115"/>
      <c r="H2602" s="1115"/>
      <c r="I2602" s="1115"/>
      <c r="J2602" s="1115"/>
      <c r="K2602" s="1115"/>
      <c r="L2602" s="1115"/>
      <c r="M2602" s="1115"/>
    </row>
    <row r="2603" spans="1:13" x14ac:dyDescent="0.2">
      <c r="A2603" s="1115"/>
      <c r="B2603" s="1115"/>
      <c r="C2603" s="1115"/>
      <c r="D2603" s="1115"/>
      <c r="E2603" s="1115"/>
      <c r="F2603" s="1115"/>
      <c r="G2603" s="1115"/>
      <c r="H2603" s="1115"/>
      <c r="I2603" s="1115"/>
      <c r="J2603" s="1115"/>
      <c r="K2603" s="1115"/>
      <c r="L2603" s="1115"/>
      <c r="M2603" s="1115"/>
    </row>
    <row r="2604" spans="1:13" x14ac:dyDescent="0.2">
      <c r="A2604" s="1115"/>
      <c r="B2604" s="1115"/>
      <c r="C2604" s="1115"/>
      <c r="D2604" s="1115"/>
      <c r="E2604" s="1115"/>
      <c r="F2604" s="1115"/>
      <c r="G2604" s="1115"/>
      <c r="H2604" s="1115"/>
      <c r="I2604" s="1115"/>
      <c r="J2604" s="1115"/>
      <c r="K2604" s="1115"/>
      <c r="L2604" s="1115"/>
      <c r="M2604" s="1115"/>
    </row>
    <row r="2605" spans="1:13" x14ac:dyDescent="0.2">
      <c r="A2605" s="1115"/>
      <c r="B2605" s="1115"/>
      <c r="C2605" s="1115"/>
      <c r="D2605" s="1115"/>
      <c r="E2605" s="1115"/>
      <c r="F2605" s="1115"/>
      <c r="G2605" s="1115"/>
      <c r="H2605" s="1115"/>
      <c r="I2605" s="1115"/>
      <c r="J2605" s="1115"/>
      <c r="K2605" s="1115"/>
      <c r="L2605" s="1115"/>
      <c r="M2605" s="1115"/>
    </row>
    <row r="2606" spans="1:13" x14ac:dyDescent="0.2">
      <c r="A2606" s="1115"/>
      <c r="B2606" s="1115"/>
      <c r="C2606" s="1115"/>
      <c r="D2606" s="1115"/>
      <c r="E2606" s="1115"/>
      <c r="F2606" s="1115"/>
      <c r="G2606" s="1115"/>
      <c r="H2606" s="1115"/>
      <c r="I2606" s="1115"/>
      <c r="J2606" s="1115"/>
      <c r="K2606" s="1115"/>
      <c r="L2606" s="1115"/>
      <c r="M2606" s="1115"/>
    </row>
    <row r="2607" spans="1:13" x14ac:dyDescent="0.2">
      <c r="A2607" s="1115"/>
      <c r="B2607" s="1115"/>
      <c r="C2607" s="1115"/>
      <c r="D2607" s="1115"/>
      <c r="E2607" s="1115"/>
      <c r="F2607" s="1115"/>
      <c r="G2607" s="1115"/>
      <c r="H2607" s="1115"/>
      <c r="I2607" s="1115"/>
      <c r="J2607" s="1115"/>
      <c r="K2607" s="1115"/>
      <c r="L2607" s="1115"/>
      <c r="M2607" s="1115"/>
    </row>
    <row r="2608" spans="1:13" x14ac:dyDescent="0.2">
      <c r="A2608" s="1115"/>
      <c r="B2608" s="1115"/>
      <c r="C2608" s="1115"/>
      <c r="D2608" s="1115"/>
      <c r="E2608" s="1115"/>
      <c r="F2608" s="1115"/>
      <c r="G2608" s="1115"/>
      <c r="H2608" s="1115"/>
      <c r="I2608" s="1115"/>
      <c r="J2608" s="1115"/>
      <c r="K2608" s="1115"/>
      <c r="L2608" s="1115"/>
      <c r="M2608" s="1115"/>
    </row>
    <row r="2609" spans="1:13" x14ac:dyDescent="0.2">
      <c r="A2609" s="1115"/>
      <c r="B2609" s="1115"/>
      <c r="C2609" s="1115"/>
      <c r="D2609" s="1115"/>
      <c r="E2609" s="1115"/>
      <c r="F2609" s="1115"/>
      <c r="G2609" s="1115"/>
      <c r="H2609" s="1115"/>
      <c r="I2609" s="1115"/>
      <c r="J2609" s="1115"/>
      <c r="K2609" s="1115"/>
      <c r="L2609" s="1115"/>
      <c r="M2609" s="1115"/>
    </row>
    <row r="2610" spans="1:13" x14ac:dyDescent="0.2">
      <c r="A2610" s="1115"/>
      <c r="B2610" s="1115"/>
      <c r="C2610" s="1115"/>
      <c r="D2610" s="1115"/>
      <c r="E2610" s="1115"/>
      <c r="F2610" s="1115"/>
      <c r="G2610" s="1115"/>
      <c r="H2610" s="1115"/>
      <c r="I2610" s="1115"/>
      <c r="J2610" s="1115"/>
      <c r="K2610" s="1115"/>
      <c r="L2610" s="1115"/>
      <c r="M2610" s="1115"/>
    </row>
    <row r="2611" spans="1:13" x14ac:dyDescent="0.2">
      <c r="A2611" s="1115"/>
      <c r="B2611" s="1115"/>
      <c r="C2611" s="1115"/>
      <c r="D2611" s="1115"/>
      <c r="E2611" s="1115"/>
      <c r="F2611" s="1115"/>
      <c r="G2611" s="1115"/>
      <c r="H2611" s="1115"/>
      <c r="I2611" s="1115"/>
      <c r="J2611" s="1115"/>
      <c r="K2611" s="1115"/>
      <c r="L2611" s="1115"/>
      <c r="M2611" s="1115"/>
    </row>
    <row r="2612" spans="1:13" x14ac:dyDescent="0.2">
      <c r="A2612" s="1115"/>
      <c r="B2612" s="1115"/>
      <c r="C2612" s="1115"/>
      <c r="D2612" s="1115"/>
      <c r="E2612" s="1115"/>
      <c r="F2612" s="1115"/>
      <c r="G2612" s="1115"/>
      <c r="H2612" s="1115"/>
      <c r="I2612" s="1115"/>
      <c r="J2612" s="1115"/>
      <c r="K2612" s="1115"/>
      <c r="L2612" s="1115"/>
      <c r="M2612" s="1115"/>
    </row>
    <row r="2613" spans="1:13" x14ac:dyDescent="0.2">
      <c r="A2613" s="1115"/>
      <c r="B2613" s="1115"/>
      <c r="C2613" s="1115"/>
      <c r="D2613" s="1115"/>
      <c r="E2613" s="1115"/>
      <c r="F2613" s="1115"/>
      <c r="G2613" s="1115"/>
      <c r="H2613" s="1115"/>
      <c r="I2613" s="1115"/>
      <c r="J2613" s="1115"/>
      <c r="K2613" s="1115"/>
      <c r="L2613" s="1115"/>
      <c r="M2613" s="1115"/>
    </row>
    <row r="2614" spans="1:13" x14ac:dyDescent="0.2">
      <c r="A2614" s="1115"/>
      <c r="B2614" s="1115"/>
      <c r="C2614" s="1115"/>
      <c r="D2614" s="1115"/>
      <c r="E2614" s="1115"/>
      <c r="F2614" s="1115"/>
      <c r="G2614" s="1115"/>
      <c r="H2614" s="1115"/>
      <c r="I2614" s="1115"/>
      <c r="J2614" s="1115"/>
      <c r="K2614" s="1115"/>
      <c r="L2614" s="1115"/>
      <c r="M2614" s="1115"/>
    </row>
    <row r="2615" spans="1:13" x14ac:dyDescent="0.2">
      <c r="A2615" s="1115"/>
      <c r="B2615" s="1115"/>
      <c r="C2615" s="1115"/>
      <c r="D2615" s="1115"/>
      <c r="E2615" s="1115"/>
      <c r="F2615" s="1115"/>
      <c r="G2615" s="1115"/>
      <c r="H2615" s="1115"/>
      <c r="I2615" s="1115"/>
      <c r="J2615" s="1115"/>
      <c r="K2615" s="1115"/>
      <c r="L2615" s="1115"/>
      <c r="M2615" s="1115"/>
    </row>
    <row r="2616" spans="1:13" x14ac:dyDescent="0.2">
      <c r="A2616" s="1115"/>
      <c r="B2616" s="1115"/>
      <c r="C2616" s="1115"/>
      <c r="D2616" s="1115"/>
      <c r="E2616" s="1115"/>
      <c r="F2616" s="1115"/>
      <c r="G2616" s="1115"/>
      <c r="H2616" s="1115"/>
      <c r="I2616" s="1115"/>
      <c r="J2616" s="1115"/>
      <c r="K2616" s="1115"/>
      <c r="L2616" s="1115"/>
      <c r="M2616" s="1115"/>
    </row>
    <row r="2617" spans="1:13" x14ac:dyDescent="0.2">
      <c r="A2617" s="1115"/>
      <c r="B2617" s="1115"/>
      <c r="C2617" s="1115"/>
      <c r="D2617" s="1115"/>
      <c r="E2617" s="1115"/>
      <c r="F2617" s="1115"/>
      <c r="G2617" s="1115"/>
      <c r="H2617" s="1115"/>
      <c r="I2617" s="1115"/>
      <c r="J2617" s="1115"/>
      <c r="K2617" s="1115"/>
      <c r="L2617" s="1115"/>
      <c r="M2617" s="1115"/>
    </row>
    <row r="2618" spans="1:13" x14ac:dyDescent="0.2">
      <c r="A2618" s="1115"/>
      <c r="B2618" s="1115"/>
      <c r="C2618" s="1115"/>
      <c r="D2618" s="1115"/>
      <c r="E2618" s="1115"/>
      <c r="F2618" s="1115"/>
      <c r="G2618" s="1115"/>
      <c r="H2618" s="1115"/>
      <c r="I2618" s="1115"/>
      <c r="J2618" s="1115"/>
      <c r="K2618" s="1115"/>
      <c r="L2618" s="1115"/>
      <c r="M2618" s="1115"/>
    </row>
    <row r="2619" spans="1:13" x14ac:dyDescent="0.2">
      <c r="A2619" s="1115"/>
      <c r="B2619" s="1115"/>
      <c r="C2619" s="1115"/>
      <c r="D2619" s="1115"/>
      <c r="E2619" s="1115"/>
      <c r="F2619" s="1115"/>
      <c r="G2619" s="1115"/>
      <c r="H2619" s="1115"/>
      <c r="I2619" s="1115"/>
      <c r="J2619" s="1115"/>
      <c r="K2619" s="1115"/>
      <c r="L2619" s="1115"/>
      <c r="M2619" s="1115"/>
    </row>
    <row r="2620" spans="1:13" x14ac:dyDescent="0.2">
      <c r="A2620" s="1115"/>
      <c r="B2620" s="1115"/>
      <c r="C2620" s="1115"/>
      <c r="D2620" s="1115"/>
      <c r="E2620" s="1115"/>
      <c r="F2620" s="1115"/>
      <c r="G2620" s="1115"/>
      <c r="H2620" s="1115"/>
      <c r="I2620" s="1115"/>
      <c r="J2620" s="1115"/>
      <c r="K2620" s="1115"/>
      <c r="L2620" s="1115"/>
      <c r="M2620" s="1115"/>
    </row>
    <row r="2621" spans="1:13" x14ac:dyDescent="0.2">
      <c r="A2621" s="1115"/>
      <c r="B2621" s="1115"/>
      <c r="C2621" s="1115"/>
      <c r="D2621" s="1115"/>
      <c r="E2621" s="1115"/>
      <c r="F2621" s="1115"/>
      <c r="G2621" s="1115"/>
      <c r="H2621" s="1115"/>
      <c r="I2621" s="1115"/>
      <c r="J2621" s="1115"/>
      <c r="K2621" s="1115"/>
      <c r="L2621" s="1115"/>
      <c r="M2621" s="1115"/>
    </row>
    <row r="2622" spans="1:13" x14ac:dyDescent="0.2">
      <c r="A2622" s="1115"/>
      <c r="B2622" s="1115"/>
      <c r="C2622" s="1115"/>
      <c r="D2622" s="1115"/>
      <c r="E2622" s="1115"/>
      <c r="F2622" s="1115"/>
      <c r="G2622" s="1115"/>
      <c r="H2622" s="1115"/>
      <c r="I2622" s="1115"/>
      <c r="J2622" s="1115"/>
      <c r="K2622" s="1115"/>
      <c r="L2622" s="1115"/>
      <c r="M2622" s="1115"/>
    </row>
    <row r="2623" spans="1:13" x14ac:dyDescent="0.2">
      <c r="A2623" s="1115"/>
      <c r="B2623" s="1115"/>
      <c r="C2623" s="1115"/>
      <c r="D2623" s="1115"/>
      <c r="E2623" s="1115"/>
      <c r="F2623" s="1115"/>
      <c r="G2623" s="1115"/>
      <c r="H2623" s="1115"/>
      <c r="I2623" s="1115"/>
      <c r="J2623" s="1115"/>
      <c r="K2623" s="1115"/>
      <c r="L2623" s="1115"/>
      <c r="M2623" s="1115"/>
    </row>
    <row r="2624" spans="1:13" x14ac:dyDescent="0.2">
      <c r="A2624" s="1115"/>
      <c r="B2624" s="1115"/>
      <c r="C2624" s="1115"/>
      <c r="D2624" s="1115"/>
      <c r="E2624" s="1115"/>
      <c r="F2624" s="1115"/>
      <c r="G2624" s="1115"/>
      <c r="H2624" s="1115"/>
      <c r="I2624" s="1115"/>
      <c r="J2624" s="1115"/>
      <c r="K2624" s="1115"/>
      <c r="L2624" s="1115"/>
      <c r="M2624" s="1115"/>
    </row>
    <row r="2625" spans="1:13" x14ac:dyDescent="0.2">
      <c r="A2625" s="1115"/>
      <c r="B2625" s="1115"/>
      <c r="C2625" s="1115"/>
      <c r="D2625" s="1115"/>
      <c r="E2625" s="1115"/>
      <c r="F2625" s="1115"/>
      <c r="G2625" s="1115"/>
      <c r="H2625" s="1115"/>
      <c r="I2625" s="1115"/>
      <c r="J2625" s="1115"/>
      <c r="K2625" s="1115"/>
      <c r="L2625" s="1115"/>
      <c r="M2625" s="1115"/>
    </row>
    <row r="2626" spans="1:13" x14ac:dyDescent="0.2">
      <c r="A2626" s="1115"/>
      <c r="B2626" s="1115"/>
      <c r="C2626" s="1115"/>
      <c r="D2626" s="1115"/>
      <c r="E2626" s="1115"/>
      <c r="F2626" s="1115"/>
      <c r="G2626" s="1115"/>
      <c r="H2626" s="1115"/>
      <c r="I2626" s="1115"/>
      <c r="J2626" s="1115"/>
      <c r="K2626" s="1115"/>
      <c r="L2626" s="1115"/>
      <c r="M2626" s="1115"/>
    </row>
    <row r="2627" spans="1:13" x14ac:dyDescent="0.2">
      <c r="A2627" s="1115"/>
      <c r="B2627" s="1115"/>
      <c r="C2627" s="1115"/>
      <c r="D2627" s="1115"/>
      <c r="E2627" s="1115"/>
      <c r="F2627" s="1115"/>
      <c r="G2627" s="1115"/>
      <c r="H2627" s="1115"/>
      <c r="I2627" s="1115"/>
      <c r="J2627" s="1115"/>
      <c r="K2627" s="1115"/>
      <c r="L2627" s="1115"/>
      <c r="M2627" s="1115"/>
    </row>
    <row r="2628" spans="1:13" x14ac:dyDescent="0.2">
      <c r="A2628" s="1115"/>
      <c r="B2628" s="1115"/>
      <c r="C2628" s="1115"/>
      <c r="D2628" s="1115"/>
      <c r="E2628" s="1115"/>
      <c r="F2628" s="1115"/>
      <c r="G2628" s="1115"/>
      <c r="H2628" s="1115"/>
      <c r="I2628" s="1115"/>
      <c r="J2628" s="1115"/>
      <c r="K2628" s="1115"/>
      <c r="L2628" s="1115"/>
      <c r="M2628" s="1115"/>
    </row>
    <row r="2629" spans="1:13" x14ac:dyDescent="0.2">
      <c r="A2629" s="1115"/>
      <c r="B2629" s="1115"/>
      <c r="C2629" s="1115"/>
      <c r="D2629" s="1115"/>
      <c r="E2629" s="1115"/>
      <c r="F2629" s="1115"/>
      <c r="G2629" s="1115"/>
      <c r="H2629" s="1115"/>
      <c r="I2629" s="1115"/>
      <c r="J2629" s="1115"/>
      <c r="K2629" s="1115"/>
      <c r="L2629" s="1115"/>
      <c r="M2629" s="1115"/>
    </row>
    <row r="2630" spans="1:13" x14ac:dyDescent="0.2">
      <c r="A2630" s="1115"/>
      <c r="B2630" s="1115"/>
      <c r="C2630" s="1115"/>
      <c r="D2630" s="1115"/>
      <c r="E2630" s="1115"/>
      <c r="F2630" s="1115"/>
      <c r="G2630" s="1115"/>
      <c r="H2630" s="1115"/>
      <c r="I2630" s="1115"/>
      <c r="J2630" s="1115"/>
      <c r="K2630" s="1115"/>
      <c r="L2630" s="1115"/>
      <c r="M2630" s="1115"/>
    </row>
    <row r="2631" spans="1:13" x14ac:dyDescent="0.2">
      <c r="A2631" s="1115"/>
      <c r="B2631" s="1115"/>
      <c r="C2631" s="1115"/>
      <c r="D2631" s="1115"/>
      <c r="E2631" s="1115"/>
      <c r="F2631" s="1115"/>
      <c r="G2631" s="1115"/>
      <c r="H2631" s="1115"/>
      <c r="I2631" s="1115"/>
      <c r="J2631" s="1115"/>
      <c r="K2631" s="1115"/>
      <c r="L2631" s="1115"/>
      <c r="M2631" s="1115"/>
    </row>
    <row r="2632" spans="1:13" x14ac:dyDescent="0.2">
      <c r="A2632" s="1115"/>
      <c r="B2632" s="1115"/>
      <c r="C2632" s="1115"/>
      <c r="D2632" s="1115"/>
      <c r="E2632" s="1115"/>
      <c r="F2632" s="1115"/>
      <c r="G2632" s="1115"/>
      <c r="H2632" s="1115"/>
      <c r="I2632" s="1115"/>
      <c r="J2632" s="1115"/>
      <c r="K2632" s="1115"/>
      <c r="L2632" s="1115"/>
      <c r="M2632" s="1115"/>
    </row>
    <row r="2633" spans="1:13" x14ac:dyDescent="0.2">
      <c r="A2633" s="1115"/>
      <c r="B2633" s="1115"/>
      <c r="C2633" s="1115"/>
      <c r="D2633" s="1115"/>
      <c r="E2633" s="1115"/>
      <c r="F2633" s="1115"/>
      <c r="G2633" s="1115"/>
      <c r="H2633" s="1115"/>
      <c r="I2633" s="1115"/>
      <c r="J2633" s="1115"/>
      <c r="K2633" s="1115"/>
      <c r="L2633" s="1115"/>
      <c r="M2633" s="1115"/>
    </row>
    <row r="2634" spans="1:13" x14ac:dyDescent="0.2">
      <c r="A2634" s="1115"/>
      <c r="B2634" s="1115"/>
      <c r="C2634" s="1115"/>
      <c r="D2634" s="1115"/>
      <c r="E2634" s="1115"/>
      <c r="F2634" s="1115"/>
      <c r="G2634" s="1115"/>
      <c r="H2634" s="1115"/>
      <c r="I2634" s="1115"/>
      <c r="J2634" s="1115"/>
      <c r="K2634" s="1115"/>
      <c r="L2634" s="1115"/>
      <c r="M2634" s="1115"/>
    </row>
    <row r="2635" spans="1:13" x14ac:dyDescent="0.2">
      <c r="A2635" s="1115"/>
      <c r="B2635" s="1115"/>
      <c r="C2635" s="1115"/>
      <c r="D2635" s="1115"/>
      <c r="E2635" s="1115"/>
      <c r="F2635" s="1115"/>
      <c r="G2635" s="1115"/>
      <c r="H2635" s="1115"/>
      <c r="I2635" s="1115"/>
      <c r="J2635" s="1115"/>
      <c r="K2635" s="1115"/>
      <c r="L2635" s="1115"/>
      <c r="M2635" s="1115"/>
    </row>
    <row r="2636" spans="1:13" x14ac:dyDescent="0.2">
      <c r="A2636" s="1115"/>
      <c r="B2636" s="1115"/>
      <c r="C2636" s="1115"/>
      <c r="D2636" s="1115"/>
      <c r="E2636" s="1115"/>
      <c r="F2636" s="1115"/>
      <c r="G2636" s="1115"/>
      <c r="H2636" s="1115"/>
      <c r="I2636" s="1115"/>
      <c r="J2636" s="1115"/>
      <c r="K2636" s="1115"/>
      <c r="L2636" s="1115"/>
      <c r="M2636" s="1115"/>
    </row>
    <row r="2637" spans="1:13" x14ac:dyDescent="0.2">
      <c r="A2637" s="1115"/>
      <c r="B2637" s="1115"/>
      <c r="C2637" s="1115"/>
      <c r="D2637" s="1115"/>
      <c r="E2637" s="1115"/>
      <c r="F2637" s="1115"/>
      <c r="G2637" s="1115"/>
      <c r="H2637" s="1115"/>
      <c r="I2637" s="1115"/>
      <c r="J2637" s="1115"/>
      <c r="K2637" s="1115"/>
      <c r="L2637" s="1115"/>
      <c r="M2637" s="1115"/>
    </row>
    <row r="2638" spans="1:13" x14ac:dyDescent="0.2">
      <c r="A2638" s="1115"/>
      <c r="B2638" s="1115"/>
      <c r="C2638" s="1115"/>
      <c r="D2638" s="1115"/>
      <c r="E2638" s="1115"/>
      <c r="F2638" s="1115"/>
      <c r="G2638" s="1115"/>
      <c r="H2638" s="1115"/>
      <c r="I2638" s="1115"/>
      <c r="J2638" s="1115"/>
      <c r="K2638" s="1115"/>
      <c r="L2638" s="1115"/>
      <c r="M2638" s="1115"/>
    </row>
    <row r="2639" spans="1:13" x14ac:dyDescent="0.2">
      <c r="A2639" s="1115"/>
      <c r="B2639" s="1115"/>
      <c r="C2639" s="1115"/>
      <c r="D2639" s="1115"/>
      <c r="E2639" s="1115"/>
      <c r="F2639" s="1115"/>
      <c r="G2639" s="1115"/>
      <c r="H2639" s="1115"/>
      <c r="I2639" s="1115"/>
      <c r="J2639" s="1115"/>
      <c r="K2639" s="1115"/>
      <c r="L2639" s="1115"/>
      <c r="M2639" s="1115"/>
    </row>
    <row r="2640" spans="1:13" x14ac:dyDescent="0.2">
      <c r="A2640" s="1115"/>
      <c r="B2640" s="1115"/>
      <c r="C2640" s="1115"/>
      <c r="D2640" s="1115"/>
      <c r="E2640" s="1115"/>
      <c r="F2640" s="1115"/>
      <c r="G2640" s="1115"/>
      <c r="H2640" s="1115"/>
      <c r="I2640" s="1115"/>
      <c r="J2640" s="1115"/>
      <c r="K2640" s="1115"/>
      <c r="L2640" s="1115"/>
      <c r="M2640" s="1115"/>
    </row>
    <row r="2641" spans="1:13" x14ac:dyDescent="0.2">
      <c r="A2641" s="1115"/>
      <c r="B2641" s="1115"/>
      <c r="C2641" s="1115"/>
      <c r="D2641" s="1115"/>
      <c r="E2641" s="1115"/>
      <c r="F2641" s="1115"/>
      <c r="G2641" s="1115"/>
      <c r="H2641" s="1115"/>
      <c r="I2641" s="1115"/>
      <c r="J2641" s="1115"/>
      <c r="K2641" s="1115"/>
      <c r="L2641" s="1115"/>
      <c r="M2641" s="1115"/>
    </row>
    <row r="2642" spans="1:13" x14ac:dyDescent="0.2">
      <c r="A2642" s="1115"/>
      <c r="B2642" s="1115"/>
      <c r="C2642" s="1115"/>
      <c r="D2642" s="1115"/>
      <c r="E2642" s="1115"/>
      <c r="F2642" s="1115"/>
      <c r="G2642" s="1115"/>
      <c r="H2642" s="1115"/>
      <c r="I2642" s="1115"/>
      <c r="J2642" s="1115"/>
      <c r="K2642" s="1115"/>
      <c r="L2642" s="1115"/>
      <c r="M2642" s="1115"/>
    </row>
    <row r="2643" spans="1:13" x14ac:dyDescent="0.2">
      <c r="A2643" s="1115"/>
      <c r="B2643" s="1115"/>
      <c r="C2643" s="1115"/>
      <c r="D2643" s="1115"/>
      <c r="E2643" s="1115"/>
      <c r="F2643" s="1115"/>
      <c r="G2643" s="1115"/>
      <c r="H2643" s="1115"/>
      <c r="I2643" s="1115"/>
      <c r="J2643" s="1115"/>
      <c r="K2643" s="1115"/>
      <c r="L2643" s="1115"/>
      <c r="M2643" s="1115"/>
    </row>
    <row r="2644" spans="1:13" x14ac:dyDescent="0.2">
      <c r="A2644" s="1115"/>
      <c r="B2644" s="1115"/>
      <c r="C2644" s="1115"/>
      <c r="D2644" s="1115"/>
      <c r="E2644" s="1115"/>
      <c r="F2644" s="1115"/>
      <c r="G2644" s="1115"/>
      <c r="H2644" s="1115"/>
      <c r="I2644" s="1115"/>
      <c r="J2644" s="1115"/>
      <c r="K2644" s="1115"/>
      <c r="L2644" s="1115"/>
      <c r="M2644" s="1115"/>
    </row>
    <row r="2645" spans="1:13" x14ac:dyDescent="0.2">
      <c r="A2645" s="1115"/>
      <c r="B2645" s="1115"/>
      <c r="C2645" s="1115"/>
      <c r="D2645" s="1115"/>
      <c r="E2645" s="1115"/>
      <c r="F2645" s="1115"/>
      <c r="G2645" s="1115"/>
      <c r="H2645" s="1115"/>
      <c r="I2645" s="1115"/>
      <c r="J2645" s="1115"/>
      <c r="K2645" s="1115"/>
      <c r="L2645" s="1115"/>
      <c r="M2645" s="1115"/>
    </row>
    <row r="2646" spans="1:13" x14ac:dyDescent="0.2">
      <c r="A2646" s="1115"/>
      <c r="B2646" s="1115"/>
      <c r="C2646" s="1115"/>
      <c r="D2646" s="1115"/>
      <c r="E2646" s="1115"/>
      <c r="F2646" s="1115"/>
      <c r="G2646" s="1115"/>
      <c r="H2646" s="1115"/>
      <c r="I2646" s="1115"/>
      <c r="J2646" s="1115"/>
      <c r="K2646" s="1115"/>
      <c r="L2646" s="1115"/>
      <c r="M2646" s="1115"/>
    </row>
    <row r="2647" spans="1:13" x14ac:dyDescent="0.2">
      <c r="A2647" s="1115"/>
      <c r="B2647" s="1115"/>
      <c r="C2647" s="1115"/>
      <c r="D2647" s="1115"/>
      <c r="E2647" s="1115"/>
      <c r="F2647" s="1115"/>
      <c r="G2647" s="1115"/>
      <c r="H2647" s="1115"/>
      <c r="I2647" s="1115"/>
      <c r="J2647" s="1115"/>
      <c r="K2647" s="1115"/>
      <c r="L2647" s="1115"/>
      <c r="M2647" s="1115"/>
    </row>
    <row r="2648" spans="1:13" x14ac:dyDescent="0.2">
      <c r="A2648" s="1115"/>
      <c r="B2648" s="1115"/>
      <c r="C2648" s="1115"/>
      <c r="D2648" s="1115"/>
      <c r="E2648" s="1115"/>
      <c r="F2648" s="1115"/>
      <c r="G2648" s="1115"/>
      <c r="H2648" s="1115"/>
      <c r="I2648" s="1115"/>
      <c r="J2648" s="1115"/>
      <c r="K2648" s="1115"/>
      <c r="L2648" s="1115"/>
      <c r="M2648" s="1115"/>
    </row>
    <row r="2649" spans="1:13" x14ac:dyDescent="0.2">
      <c r="A2649" s="1115"/>
      <c r="B2649" s="1115"/>
      <c r="C2649" s="1115"/>
      <c r="D2649" s="1115"/>
      <c r="E2649" s="1115"/>
      <c r="F2649" s="1115"/>
      <c r="G2649" s="1115"/>
      <c r="H2649" s="1115"/>
      <c r="I2649" s="1115"/>
      <c r="J2649" s="1115"/>
      <c r="K2649" s="1115"/>
      <c r="L2649" s="1115"/>
      <c r="M2649" s="1115"/>
    </row>
    <row r="2650" spans="1:13" x14ac:dyDescent="0.2">
      <c r="A2650" s="1115"/>
      <c r="B2650" s="1115"/>
      <c r="C2650" s="1115"/>
      <c r="D2650" s="1115"/>
      <c r="E2650" s="1115"/>
      <c r="F2650" s="1115"/>
      <c r="G2650" s="1115"/>
      <c r="H2650" s="1115"/>
      <c r="I2650" s="1115"/>
      <c r="J2650" s="1115"/>
      <c r="K2650" s="1115"/>
      <c r="L2650" s="1115"/>
      <c r="M2650" s="1115"/>
    </row>
    <row r="2651" spans="1:13" x14ac:dyDescent="0.2">
      <c r="A2651" s="1115"/>
      <c r="B2651" s="1115"/>
      <c r="C2651" s="1115"/>
      <c r="D2651" s="1115"/>
      <c r="E2651" s="1115"/>
      <c r="F2651" s="1115"/>
      <c r="G2651" s="1115"/>
      <c r="H2651" s="1115"/>
      <c r="I2651" s="1115"/>
      <c r="J2651" s="1115"/>
      <c r="K2651" s="1115"/>
      <c r="L2651" s="1115"/>
      <c r="M2651" s="1115"/>
    </row>
    <row r="2652" spans="1:13" x14ac:dyDescent="0.2">
      <c r="A2652" s="1115"/>
      <c r="B2652" s="1115"/>
      <c r="C2652" s="1115"/>
      <c r="D2652" s="1115"/>
      <c r="E2652" s="1115"/>
      <c r="F2652" s="1115"/>
      <c r="G2652" s="1115"/>
      <c r="H2652" s="1115"/>
      <c r="I2652" s="1115"/>
      <c r="J2652" s="1115"/>
      <c r="K2652" s="1115"/>
      <c r="L2652" s="1115"/>
      <c r="M2652" s="1115"/>
    </row>
    <row r="2653" spans="1:13" x14ac:dyDescent="0.2">
      <c r="A2653" s="1115"/>
      <c r="B2653" s="1115"/>
      <c r="C2653" s="1115"/>
      <c r="D2653" s="1115"/>
      <c r="E2653" s="1115"/>
      <c r="F2653" s="1115"/>
      <c r="G2653" s="1115"/>
      <c r="H2653" s="1115"/>
      <c r="I2653" s="1115"/>
      <c r="J2653" s="1115"/>
      <c r="K2653" s="1115"/>
      <c r="L2653" s="1115"/>
      <c r="M2653" s="1115"/>
    </row>
    <row r="2654" spans="1:13" x14ac:dyDescent="0.2">
      <c r="A2654" s="1115"/>
      <c r="B2654" s="1115"/>
      <c r="C2654" s="1115"/>
      <c r="D2654" s="1115"/>
      <c r="E2654" s="1115"/>
      <c r="F2654" s="1115"/>
      <c r="G2654" s="1115"/>
      <c r="H2654" s="1115"/>
      <c r="I2654" s="1115"/>
      <c r="J2654" s="1115"/>
      <c r="K2654" s="1115"/>
      <c r="L2654" s="1115"/>
      <c r="M2654" s="1115"/>
    </row>
    <row r="2655" spans="1:13" x14ac:dyDescent="0.2">
      <c r="A2655" s="1115"/>
      <c r="B2655" s="1115"/>
      <c r="C2655" s="1115"/>
      <c r="D2655" s="1115"/>
      <c r="E2655" s="1115"/>
      <c r="F2655" s="1115"/>
      <c r="G2655" s="1115"/>
      <c r="H2655" s="1115"/>
      <c r="I2655" s="1115"/>
      <c r="J2655" s="1115"/>
      <c r="K2655" s="1115"/>
      <c r="L2655" s="1115"/>
      <c r="M2655" s="1115"/>
    </row>
    <row r="2656" spans="1:13" x14ac:dyDescent="0.2">
      <c r="A2656" s="1115"/>
      <c r="B2656" s="1115"/>
      <c r="C2656" s="1115"/>
      <c r="D2656" s="1115"/>
      <c r="E2656" s="1115"/>
      <c r="F2656" s="1115"/>
      <c r="G2656" s="1115"/>
      <c r="H2656" s="1115"/>
      <c r="I2656" s="1115"/>
      <c r="J2656" s="1115"/>
      <c r="K2656" s="1115"/>
      <c r="L2656" s="1115"/>
      <c r="M2656" s="1115"/>
    </row>
    <row r="2657" spans="1:13" x14ac:dyDescent="0.2">
      <c r="A2657" s="1115"/>
      <c r="B2657" s="1115"/>
      <c r="C2657" s="1115"/>
      <c r="D2657" s="1115"/>
      <c r="E2657" s="1115"/>
      <c r="F2657" s="1115"/>
      <c r="G2657" s="1115"/>
      <c r="H2657" s="1115"/>
      <c r="I2657" s="1115"/>
      <c r="J2657" s="1115"/>
      <c r="K2657" s="1115"/>
      <c r="L2657" s="1115"/>
      <c r="M2657" s="1115"/>
    </row>
    <row r="2658" spans="1:13" x14ac:dyDescent="0.2">
      <c r="A2658" s="1115"/>
      <c r="B2658" s="1115"/>
      <c r="C2658" s="1115"/>
      <c r="D2658" s="1115"/>
      <c r="E2658" s="1115"/>
      <c r="F2658" s="1115"/>
      <c r="G2658" s="1115"/>
      <c r="H2658" s="1115"/>
      <c r="I2658" s="1115"/>
      <c r="J2658" s="1115"/>
      <c r="K2658" s="1115"/>
      <c r="L2658" s="1115"/>
      <c r="M2658" s="1115"/>
    </row>
    <row r="2659" spans="1:13" x14ac:dyDescent="0.2">
      <c r="A2659" s="1115"/>
      <c r="B2659" s="1115"/>
      <c r="C2659" s="1115"/>
      <c r="D2659" s="1115"/>
      <c r="E2659" s="1115"/>
      <c r="F2659" s="1115"/>
      <c r="G2659" s="1115"/>
      <c r="H2659" s="1115"/>
      <c r="I2659" s="1115"/>
      <c r="J2659" s="1115"/>
      <c r="K2659" s="1115"/>
      <c r="L2659" s="1115"/>
      <c r="M2659" s="1115"/>
    </row>
    <row r="2660" spans="1:13" x14ac:dyDescent="0.2">
      <c r="A2660" s="1115"/>
      <c r="B2660" s="1115"/>
      <c r="C2660" s="1115"/>
      <c r="D2660" s="1115"/>
      <c r="E2660" s="1115"/>
      <c r="F2660" s="1115"/>
      <c r="G2660" s="1115"/>
      <c r="H2660" s="1115"/>
      <c r="I2660" s="1115"/>
      <c r="J2660" s="1115"/>
      <c r="K2660" s="1115"/>
      <c r="L2660" s="1115"/>
      <c r="M2660" s="1115"/>
    </row>
    <row r="2661" spans="1:13" x14ac:dyDescent="0.2">
      <c r="A2661" s="1115"/>
      <c r="B2661" s="1115"/>
      <c r="C2661" s="1115"/>
      <c r="D2661" s="1115"/>
      <c r="E2661" s="1115"/>
      <c r="F2661" s="1115"/>
      <c r="G2661" s="1115"/>
      <c r="H2661" s="1115"/>
      <c r="I2661" s="1115"/>
      <c r="J2661" s="1115"/>
      <c r="K2661" s="1115"/>
      <c r="L2661" s="1115"/>
      <c r="M2661" s="1115"/>
    </row>
    <row r="2662" spans="1:13" x14ac:dyDescent="0.2">
      <c r="A2662" s="1115"/>
      <c r="B2662" s="1115"/>
      <c r="C2662" s="1115"/>
      <c r="D2662" s="1115"/>
      <c r="E2662" s="1115"/>
      <c r="F2662" s="1115"/>
      <c r="G2662" s="1115"/>
      <c r="H2662" s="1115"/>
      <c r="I2662" s="1115"/>
      <c r="J2662" s="1115"/>
      <c r="K2662" s="1115"/>
      <c r="L2662" s="1115"/>
      <c r="M2662" s="1115"/>
    </row>
    <row r="2663" spans="1:13" x14ac:dyDescent="0.2">
      <c r="A2663" s="1115"/>
      <c r="B2663" s="1115"/>
      <c r="C2663" s="1115"/>
      <c r="D2663" s="1115"/>
      <c r="E2663" s="1115"/>
      <c r="F2663" s="1115"/>
      <c r="G2663" s="1115"/>
      <c r="H2663" s="1115"/>
      <c r="I2663" s="1115"/>
      <c r="J2663" s="1115"/>
      <c r="K2663" s="1115"/>
      <c r="L2663" s="1115"/>
      <c r="M2663" s="1115"/>
    </row>
    <row r="2664" spans="1:13" x14ac:dyDescent="0.2">
      <c r="A2664" s="1115"/>
      <c r="B2664" s="1115"/>
      <c r="C2664" s="1115"/>
      <c r="D2664" s="1115"/>
      <c r="E2664" s="1115"/>
      <c r="F2664" s="1115"/>
      <c r="G2664" s="1115"/>
      <c r="H2664" s="1115"/>
      <c r="I2664" s="1115"/>
      <c r="J2664" s="1115"/>
      <c r="K2664" s="1115"/>
      <c r="L2664" s="1115"/>
      <c r="M2664" s="1115"/>
    </row>
    <row r="2665" spans="1:13" x14ac:dyDescent="0.2">
      <c r="A2665" s="1115"/>
      <c r="B2665" s="1115"/>
      <c r="C2665" s="1115"/>
      <c r="D2665" s="1115"/>
      <c r="E2665" s="1115"/>
      <c r="F2665" s="1115"/>
      <c r="G2665" s="1115"/>
      <c r="H2665" s="1115"/>
      <c r="I2665" s="1115"/>
      <c r="J2665" s="1115"/>
      <c r="K2665" s="1115"/>
      <c r="L2665" s="1115"/>
      <c r="M2665" s="1115"/>
    </row>
    <row r="2666" spans="1:13" x14ac:dyDescent="0.2">
      <c r="A2666" s="1115"/>
      <c r="B2666" s="1115"/>
      <c r="C2666" s="1115"/>
      <c r="D2666" s="1115"/>
      <c r="E2666" s="1115"/>
      <c r="F2666" s="1115"/>
      <c r="G2666" s="1115"/>
      <c r="H2666" s="1115"/>
      <c r="I2666" s="1115"/>
      <c r="J2666" s="1115"/>
      <c r="K2666" s="1115"/>
      <c r="L2666" s="1115"/>
      <c r="M2666" s="1115"/>
    </row>
    <row r="2667" spans="1:13" x14ac:dyDescent="0.2">
      <c r="A2667" s="1115"/>
      <c r="B2667" s="1115"/>
      <c r="C2667" s="1115"/>
      <c r="D2667" s="1115"/>
      <c r="E2667" s="1115"/>
      <c r="F2667" s="1115"/>
      <c r="G2667" s="1115"/>
      <c r="H2667" s="1115"/>
      <c r="I2667" s="1115"/>
      <c r="J2667" s="1115"/>
      <c r="K2667" s="1115"/>
      <c r="L2667" s="1115"/>
      <c r="M2667" s="1115"/>
    </row>
    <row r="2668" spans="1:13" x14ac:dyDescent="0.2">
      <c r="A2668" s="1115"/>
      <c r="B2668" s="1115"/>
      <c r="C2668" s="1115"/>
      <c r="D2668" s="1115"/>
      <c r="E2668" s="1115"/>
      <c r="F2668" s="1115"/>
      <c r="G2668" s="1115"/>
      <c r="H2668" s="1115"/>
      <c r="I2668" s="1115"/>
      <c r="J2668" s="1115"/>
      <c r="K2668" s="1115"/>
      <c r="L2668" s="1115"/>
      <c r="M2668" s="1115"/>
    </row>
    <row r="2669" spans="1:13" x14ac:dyDescent="0.2">
      <c r="A2669" s="1115"/>
      <c r="B2669" s="1115"/>
      <c r="C2669" s="1115"/>
      <c r="D2669" s="1115"/>
      <c r="E2669" s="1115"/>
      <c r="F2669" s="1115"/>
      <c r="G2669" s="1115"/>
      <c r="H2669" s="1115"/>
      <c r="I2669" s="1115"/>
      <c r="J2669" s="1115"/>
      <c r="K2669" s="1115"/>
      <c r="L2669" s="1115"/>
      <c r="M2669" s="1115"/>
    </row>
    <row r="2670" spans="1:13" x14ac:dyDescent="0.2">
      <c r="A2670" s="1115"/>
      <c r="B2670" s="1115"/>
      <c r="C2670" s="1115"/>
      <c r="D2670" s="1115"/>
      <c r="E2670" s="1115"/>
      <c r="F2670" s="1115"/>
      <c r="G2670" s="1115"/>
      <c r="H2670" s="1115"/>
      <c r="I2670" s="1115"/>
      <c r="J2670" s="1115"/>
      <c r="K2670" s="1115"/>
      <c r="L2670" s="1115"/>
      <c r="M2670" s="1115"/>
    </row>
    <row r="2671" spans="1:13" x14ac:dyDescent="0.2">
      <c r="A2671" s="1115"/>
      <c r="B2671" s="1115"/>
      <c r="C2671" s="1115"/>
      <c r="D2671" s="1115"/>
      <c r="E2671" s="1115"/>
      <c r="F2671" s="1115"/>
      <c r="G2671" s="1115"/>
      <c r="H2671" s="1115"/>
      <c r="I2671" s="1115"/>
      <c r="J2671" s="1115"/>
      <c r="K2671" s="1115"/>
      <c r="L2671" s="1115"/>
      <c r="M2671" s="1115"/>
    </row>
    <row r="2672" spans="1:13" x14ac:dyDescent="0.2">
      <c r="A2672" s="1115"/>
      <c r="B2672" s="1115"/>
      <c r="C2672" s="1115"/>
      <c r="D2672" s="1115"/>
      <c r="E2672" s="1115"/>
      <c r="F2672" s="1115"/>
      <c r="G2672" s="1115"/>
      <c r="H2672" s="1115"/>
      <c r="I2672" s="1115"/>
      <c r="J2672" s="1115"/>
      <c r="K2672" s="1115"/>
      <c r="L2672" s="1115"/>
      <c r="M2672" s="1115"/>
    </row>
    <row r="2673" spans="1:13" x14ac:dyDescent="0.2">
      <c r="A2673" s="1115"/>
      <c r="B2673" s="1115"/>
      <c r="C2673" s="1115"/>
      <c r="D2673" s="1115"/>
      <c r="E2673" s="1115"/>
      <c r="F2673" s="1115"/>
      <c r="G2673" s="1115"/>
      <c r="H2673" s="1115"/>
      <c r="I2673" s="1115"/>
      <c r="J2673" s="1115"/>
      <c r="K2673" s="1115"/>
      <c r="L2673" s="1115"/>
      <c r="M2673" s="1115"/>
    </row>
    <row r="2674" spans="1:13" x14ac:dyDescent="0.2">
      <c r="A2674" s="1115"/>
      <c r="B2674" s="1115"/>
      <c r="C2674" s="1115"/>
      <c r="D2674" s="1115"/>
      <c r="E2674" s="1115"/>
      <c r="F2674" s="1115"/>
      <c r="G2674" s="1115"/>
      <c r="H2674" s="1115"/>
      <c r="I2674" s="1115"/>
      <c r="J2674" s="1115"/>
      <c r="K2674" s="1115"/>
      <c r="L2674" s="1115"/>
      <c r="M2674" s="1115"/>
    </row>
    <row r="2675" spans="1:13" x14ac:dyDescent="0.2">
      <c r="A2675" s="1115"/>
      <c r="B2675" s="1115"/>
      <c r="C2675" s="1115"/>
      <c r="D2675" s="1115"/>
      <c r="E2675" s="1115"/>
      <c r="F2675" s="1115"/>
      <c r="G2675" s="1115"/>
      <c r="H2675" s="1115"/>
      <c r="I2675" s="1115"/>
      <c r="J2675" s="1115"/>
      <c r="K2675" s="1115"/>
      <c r="L2675" s="1115"/>
      <c r="M2675" s="1115"/>
    </row>
    <row r="2676" spans="1:13" x14ac:dyDescent="0.2">
      <c r="A2676" s="1115"/>
      <c r="B2676" s="1115"/>
      <c r="C2676" s="1115"/>
      <c r="D2676" s="1115"/>
      <c r="E2676" s="1115"/>
      <c r="F2676" s="1115"/>
      <c r="G2676" s="1115"/>
      <c r="H2676" s="1115"/>
      <c r="I2676" s="1115"/>
      <c r="J2676" s="1115"/>
      <c r="K2676" s="1115"/>
      <c r="L2676" s="1115"/>
      <c r="M2676" s="1115"/>
    </row>
    <row r="2677" spans="1:13" x14ac:dyDescent="0.2">
      <c r="A2677" s="1115"/>
      <c r="B2677" s="1115"/>
      <c r="C2677" s="1115"/>
      <c r="D2677" s="1115"/>
      <c r="E2677" s="1115"/>
      <c r="F2677" s="1115"/>
      <c r="G2677" s="1115"/>
      <c r="H2677" s="1115"/>
      <c r="I2677" s="1115"/>
      <c r="J2677" s="1115"/>
      <c r="K2677" s="1115"/>
      <c r="L2677" s="1115"/>
      <c r="M2677" s="1115"/>
    </row>
    <row r="2678" spans="1:13" x14ac:dyDescent="0.2">
      <c r="A2678" s="1115"/>
      <c r="B2678" s="1115"/>
      <c r="C2678" s="1115"/>
      <c r="D2678" s="1115"/>
      <c r="E2678" s="1115"/>
      <c r="F2678" s="1115"/>
      <c r="G2678" s="1115"/>
      <c r="H2678" s="1115"/>
      <c r="I2678" s="1115"/>
      <c r="J2678" s="1115"/>
      <c r="K2678" s="1115"/>
      <c r="L2678" s="1115"/>
      <c r="M2678" s="1115"/>
    </row>
    <row r="2679" spans="1:13" x14ac:dyDescent="0.2">
      <c r="A2679" s="1115"/>
      <c r="B2679" s="1115"/>
      <c r="C2679" s="1115"/>
      <c r="D2679" s="1115"/>
      <c r="E2679" s="1115"/>
      <c r="F2679" s="1115"/>
      <c r="G2679" s="1115"/>
      <c r="H2679" s="1115"/>
      <c r="I2679" s="1115"/>
      <c r="J2679" s="1115"/>
      <c r="K2679" s="1115"/>
      <c r="L2679" s="1115"/>
      <c r="M2679" s="1115"/>
    </row>
    <row r="2680" spans="1:13" x14ac:dyDescent="0.2">
      <c r="A2680" s="1115"/>
      <c r="B2680" s="1115"/>
      <c r="C2680" s="1115"/>
      <c r="D2680" s="1115"/>
      <c r="E2680" s="1115"/>
      <c r="F2680" s="1115"/>
      <c r="G2680" s="1115"/>
      <c r="H2680" s="1115"/>
      <c r="I2680" s="1115"/>
      <c r="J2680" s="1115"/>
      <c r="K2680" s="1115"/>
      <c r="L2680" s="1115"/>
      <c r="M2680" s="1115"/>
    </row>
    <row r="2681" spans="1:13" x14ac:dyDescent="0.2">
      <c r="A2681" s="1115"/>
      <c r="B2681" s="1115"/>
      <c r="C2681" s="1115"/>
      <c r="D2681" s="1115"/>
      <c r="E2681" s="1115"/>
      <c r="F2681" s="1115"/>
      <c r="G2681" s="1115"/>
      <c r="H2681" s="1115"/>
      <c r="I2681" s="1115"/>
      <c r="J2681" s="1115"/>
      <c r="K2681" s="1115"/>
      <c r="L2681" s="1115"/>
      <c r="M2681" s="1115"/>
    </row>
    <row r="2682" spans="1:13" x14ac:dyDescent="0.2">
      <c r="A2682" s="1115"/>
      <c r="B2682" s="1115"/>
      <c r="C2682" s="1115"/>
      <c r="D2682" s="1115"/>
      <c r="E2682" s="1115"/>
      <c r="F2682" s="1115"/>
      <c r="G2682" s="1115"/>
      <c r="H2682" s="1115"/>
      <c r="I2682" s="1115"/>
      <c r="J2682" s="1115"/>
      <c r="K2682" s="1115"/>
      <c r="L2682" s="1115"/>
      <c r="M2682" s="1115"/>
    </row>
    <row r="2683" spans="1:13" x14ac:dyDescent="0.2">
      <c r="A2683" s="1115"/>
      <c r="B2683" s="1115"/>
      <c r="C2683" s="1115"/>
      <c r="D2683" s="1115"/>
      <c r="E2683" s="1115"/>
      <c r="F2683" s="1115"/>
      <c r="G2683" s="1115"/>
      <c r="H2683" s="1115"/>
      <c r="I2683" s="1115"/>
      <c r="J2683" s="1115"/>
      <c r="K2683" s="1115"/>
      <c r="L2683" s="1115"/>
      <c r="M2683" s="1115"/>
    </row>
    <row r="2684" spans="1:13" x14ac:dyDescent="0.2">
      <c r="A2684" s="1115"/>
      <c r="B2684" s="1115"/>
      <c r="C2684" s="1115"/>
      <c r="D2684" s="1115"/>
      <c r="E2684" s="1115"/>
      <c r="F2684" s="1115"/>
      <c r="G2684" s="1115"/>
      <c r="H2684" s="1115"/>
      <c r="I2684" s="1115"/>
      <c r="J2684" s="1115"/>
      <c r="K2684" s="1115"/>
      <c r="L2684" s="1115"/>
      <c r="M2684" s="1115"/>
    </row>
    <row r="2685" spans="1:13" x14ac:dyDescent="0.2">
      <c r="A2685" s="1115"/>
      <c r="B2685" s="1115"/>
      <c r="C2685" s="1115"/>
      <c r="D2685" s="1115"/>
      <c r="E2685" s="1115"/>
      <c r="F2685" s="1115"/>
      <c r="G2685" s="1115"/>
      <c r="H2685" s="1115"/>
      <c r="I2685" s="1115"/>
      <c r="J2685" s="1115"/>
      <c r="K2685" s="1115"/>
      <c r="L2685" s="1115"/>
      <c r="M2685" s="1115"/>
    </row>
    <row r="2686" spans="1:13" x14ac:dyDescent="0.2">
      <c r="A2686" s="1115"/>
      <c r="B2686" s="1115"/>
      <c r="C2686" s="1115"/>
      <c r="D2686" s="1115"/>
      <c r="E2686" s="1115"/>
      <c r="F2686" s="1115"/>
      <c r="G2686" s="1115"/>
      <c r="H2686" s="1115"/>
      <c r="I2686" s="1115"/>
      <c r="J2686" s="1115"/>
      <c r="K2686" s="1115"/>
      <c r="L2686" s="1115"/>
      <c r="M2686" s="1115"/>
    </row>
    <row r="2687" spans="1:13" x14ac:dyDescent="0.2">
      <c r="A2687" s="1115"/>
      <c r="B2687" s="1115"/>
      <c r="C2687" s="1115"/>
      <c r="D2687" s="1115"/>
      <c r="E2687" s="1115"/>
      <c r="F2687" s="1115"/>
      <c r="G2687" s="1115"/>
      <c r="H2687" s="1115"/>
      <c r="I2687" s="1115"/>
      <c r="J2687" s="1115"/>
      <c r="K2687" s="1115"/>
      <c r="L2687" s="1115"/>
      <c r="M2687" s="1115"/>
    </row>
    <row r="2688" spans="1:13" x14ac:dyDescent="0.2">
      <c r="A2688" s="1115"/>
      <c r="B2688" s="1115"/>
      <c r="C2688" s="1115"/>
      <c r="D2688" s="1115"/>
      <c r="E2688" s="1115"/>
      <c r="F2688" s="1115"/>
      <c r="G2688" s="1115"/>
      <c r="H2688" s="1115"/>
      <c r="I2688" s="1115"/>
      <c r="J2688" s="1115"/>
      <c r="K2688" s="1115"/>
      <c r="L2688" s="1115"/>
      <c r="M2688" s="1115"/>
    </row>
    <row r="2689" spans="1:13" x14ac:dyDescent="0.2">
      <c r="A2689" s="1115"/>
      <c r="B2689" s="1115"/>
      <c r="C2689" s="1115"/>
      <c r="D2689" s="1115"/>
      <c r="E2689" s="1115"/>
      <c r="F2689" s="1115"/>
      <c r="G2689" s="1115"/>
      <c r="H2689" s="1115"/>
      <c r="I2689" s="1115"/>
      <c r="J2689" s="1115"/>
      <c r="K2689" s="1115"/>
      <c r="L2689" s="1115"/>
      <c r="M2689" s="1115"/>
    </row>
    <row r="2690" spans="1:13" x14ac:dyDescent="0.2">
      <c r="A2690" s="1115"/>
      <c r="B2690" s="1115"/>
      <c r="C2690" s="1115"/>
      <c r="D2690" s="1115"/>
      <c r="E2690" s="1115"/>
      <c r="F2690" s="1115"/>
      <c r="G2690" s="1115"/>
      <c r="H2690" s="1115"/>
      <c r="I2690" s="1115"/>
      <c r="J2690" s="1115"/>
      <c r="K2690" s="1115"/>
      <c r="L2690" s="1115"/>
      <c r="M2690" s="1115"/>
    </row>
    <row r="2691" spans="1:13" x14ac:dyDescent="0.2">
      <c r="A2691" s="1115"/>
      <c r="B2691" s="1115"/>
      <c r="C2691" s="1115"/>
      <c r="D2691" s="1115"/>
      <c r="E2691" s="1115"/>
      <c r="F2691" s="1115"/>
      <c r="G2691" s="1115"/>
      <c r="H2691" s="1115"/>
      <c r="I2691" s="1115"/>
      <c r="J2691" s="1115"/>
      <c r="K2691" s="1115"/>
      <c r="L2691" s="1115"/>
      <c r="M2691" s="1115"/>
    </row>
    <row r="2692" spans="1:13" x14ac:dyDescent="0.2">
      <c r="A2692" s="1115"/>
      <c r="B2692" s="1115"/>
      <c r="C2692" s="1115"/>
      <c r="D2692" s="1115"/>
      <c r="E2692" s="1115"/>
      <c r="F2692" s="1115"/>
      <c r="G2692" s="1115"/>
      <c r="H2692" s="1115"/>
      <c r="I2692" s="1115"/>
      <c r="J2692" s="1115"/>
      <c r="K2692" s="1115"/>
      <c r="L2692" s="1115"/>
      <c r="M2692" s="1115"/>
    </row>
    <row r="2693" spans="1:13" x14ac:dyDescent="0.2">
      <c r="A2693" s="1115"/>
      <c r="B2693" s="1115"/>
      <c r="C2693" s="1115"/>
      <c r="D2693" s="1115"/>
      <c r="E2693" s="1115"/>
      <c r="F2693" s="1115"/>
      <c r="G2693" s="1115"/>
      <c r="H2693" s="1115"/>
      <c r="I2693" s="1115"/>
      <c r="J2693" s="1115"/>
      <c r="K2693" s="1115"/>
      <c r="L2693" s="1115"/>
      <c r="M2693" s="1115"/>
    </row>
    <row r="2694" spans="1:13" x14ac:dyDescent="0.2">
      <c r="A2694" s="1115"/>
      <c r="B2694" s="1115"/>
      <c r="C2694" s="1115"/>
      <c r="D2694" s="1115"/>
      <c r="E2694" s="1115"/>
      <c r="F2694" s="1115"/>
      <c r="G2694" s="1115"/>
      <c r="H2694" s="1115"/>
      <c r="I2694" s="1115"/>
      <c r="J2694" s="1115"/>
      <c r="K2694" s="1115"/>
      <c r="L2694" s="1115"/>
      <c r="M2694" s="1115"/>
    </row>
    <row r="2695" spans="1:13" x14ac:dyDescent="0.2">
      <c r="A2695" s="1115"/>
      <c r="B2695" s="1115"/>
      <c r="C2695" s="1115"/>
      <c r="D2695" s="1115"/>
      <c r="E2695" s="1115"/>
      <c r="F2695" s="1115"/>
      <c r="G2695" s="1115"/>
      <c r="H2695" s="1115"/>
      <c r="I2695" s="1115"/>
      <c r="J2695" s="1115"/>
      <c r="K2695" s="1115"/>
      <c r="L2695" s="1115"/>
      <c r="M2695" s="1115"/>
    </row>
    <row r="2696" spans="1:13" x14ac:dyDescent="0.2">
      <c r="A2696" s="1115"/>
      <c r="B2696" s="1115"/>
      <c r="C2696" s="1115"/>
      <c r="D2696" s="1115"/>
      <c r="E2696" s="1115"/>
      <c r="F2696" s="1115"/>
      <c r="G2696" s="1115"/>
      <c r="H2696" s="1115"/>
      <c r="I2696" s="1115"/>
      <c r="J2696" s="1115"/>
      <c r="K2696" s="1115"/>
      <c r="L2696" s="1115"/>
      <c r="M2696" s="1115"/>
    </row>
    <row r="2697" spans="1:13" x14ac:dyDescent="0.2">
      <c r="A2697" s="1115"/>
      <c r="B2697" s="1115"/>
      <c r="C2697" s="1115"/>
      <c r="D2697" s="1115"/>
      <c r="E2697" s="1115"/>
      <c r="F2697" s="1115"/>
      <c r="G2697" s="1115"/>
      <c r="H2697" s="1115"/>
      <c r="I2697" s="1115"/>
      <c r="J2697" s="1115"/>
      <c r="K2697" s="1115"/>
      <c r="L2697" s="1115"/>
      <c r="M2697" s="1115"/>
    </row>
    <row r="2698" spans="1:13" x14ac:dyDescent="0.2">
      <c r="A2698" s="1115"/>
      <c r="B2698" s="1115"/>
      <c r="C2698" s="1115"/>
      <c r="D2698" s="1115"/>
      <c r="E2698" s="1115"/>
      <c r="F2698" s="1115"/>
      <c r="G2698" s="1115"/>
      <c r="H2698" s="1115"/>
      <c r="I2698" s="1115"/>
      <c r="J2698" s="1115"/>
      <c r="K2698" s="1115"/>
      <c r="L2698" s="1115"/>
      <c r="M2698" s="1115"/>
    </row>
    <row r="2699" spans="1:13" x14ac:dyDescent="0.2">
      <c r="A2699" s="1115"/>
      <c r="B2699" s="1115"/>
      <c r="C2699" s="1115"/>
      <c r="D2699" s="1115"/>
      <c r="E2699" s="1115"/>
      <c r="F2699" s="1115"/>
      <c r="G2699" s="1115"/>
      <c r="H2699" s="1115"/>
      <c r="I2699" s="1115"/>
      <c r="J2699" s="1115"/>
      <c r="K2699" s="1115"/>
      <c r="L2699" s="1115"/>
      <c r="M2699" s="1115"/>
    </row>
    <row r="2700" spans="1:13" x14ac:dyDescent="0.2">
      <c r="A2700" s="1115"/>
      <c r="B2700" s="1115"/>
      <c r="C2700" s="1115"/>
      <c r="D2700" s="1115"/>
      <c r="E2700" s="1115"/>
      <c r="F2700" s="1115"/>
      <c r="G2700" s="1115"/>
      <c r="H2700" s="1115"/>
      <c r="I2700" s="1115"/>
      <c r="J2700" s="1115"/>
      <c r="K2700" s="1115"/>
      <c r="L2700" s="1115"/>
      <c r="M2700" s="1115"/>
    </row>
    <row r="2701" spans="1:13" x14ac:dyDescent="0.2">
      <c r="A2701" s="1115"/>
      <c r="B2701" s="1115"/>
      <c r="C2701" s="1115"/>
      <c r="D2701" s="1115"/>
      <c r="E2701" s="1115"/>
      <c r="F2701" s="1115"/>
      <c r="G2701" s="1115"/>
      <c r="H2701" s="1115"/>
      <c r="I2701" s="1115"/>
      <c r="J2701" s="1115"/>
      <c r="K2701" s="1115"/>
      <c r="L2701" s="1115"/>
      <c r="M2701" s="1115"/>
    </row>
    <row r="2702" spans="1:13" x14ac:dyDescent="0.2">
      <c r="A2702" s="1115"/>
      <c r="B2702" s="1115"/>
      <c r="C2702" s="1115"/>
      <c r="D2702" s="1115"/>
      <c r="E2702" s="1115"/>
      <c r="F2702" s="1115"/>
      <c r="G2702" s="1115"/>
      <c r="H2702" s="1115"/>
      <c r="I2702" s="1115"/>
      <c r="J2702" s="1115"/>
      <c r="K2702" s="1115"/>
      <c r="L2702" s="1115"/>
      <c r="M2702" s="1115"/>
    </row>
    <row r="2703" spans="1:13" x14ac:dyDescent="0.2">
      <c r="A2703" s="1115"/>
      <c r="B2703" s="1115"/>
      <c r="C2703" s="1115"/>
      <c r="D2703" s="1115"/>
      <c r="E2703" s="1115"/>
      <c r="F2703" s="1115"/>
      <c r="G2703" s="1115"/>
      <c r="H2703" s="1115"/>
      <c r="I2703" s="1115"/>
      <c r="J2703" s="1115"/>
      <c r="K2703" s="1115"/>
      <c r="L2703" s="1115"/>
      <c r="M2703" s="1115"/>
    </row>
    <row r="2704" spans="1:13" x14ac:dyDescent="0.2">
      <c r="A2704" s="1115"/>
      <c r="B2704" s="1115"/>
      <c r="C2704" s="1115"/>
      <c r="D2704" s="1115"/>
      <c r="E2704" s="1115"/>
      <c r="F2704" s="1115"/>
      <c r="G2704" s="1115"/>
      <c r="H2704" s="1115"/>
      <c r="I2704" s="1115"/>
      <c r="J2704" s="1115"/>
      <c r="K2704" s="1115"/>
      <c r="L2704" s="1115"/>
      <c r="M2704" s="1115"/>
    </row>
    <row r="2705" spans="1:13" x14ac:dyDescent="0.2">
      <c r="A2705" s="1115"/>
      <c r="B2705" s="1115"/>
      <c r="C2705" s="1115"/>
      <c r="D2705" s="1115"/>
      <c r="E2705" s="1115"/>
      <c r="F2705" s="1115"/>
      <c r="G2705" s="1115"/>
      <c r="H2705" s="1115"/>
      <c r="I2705" s="1115"/>
      <c r="J2705" s="1115"/>
      <c r="K2705" s="1115"/>
      <c r="L2705" s="1115"/>
      <c r="M2705" s="1115"/>
    </row>
    <row r="2706" spans="1:13" x14ac:dyDescent="0.2">
      <c r="A2706" s="1115"/>
      <c r="B2706" s="1115"/>
      <c r="C2706" s="1115"/>
      <c r="D2706" s="1115"/>
      <c r="E2706" s="1115"/>
      <c r="F2706" s="1115"/>
      <c r="G2706" s="1115"/>
      <c r="H2706" s="1115"/>
      <c r="I2706" s="1115"/>
      <c r="J2706" s="1115"/>
      <c r="K2706" s="1115"/>
      <c r="L2706" s="1115"/>
      <c r="M2706" s="1115"/>
    </row>
    <row r="2707" spans="1:13" x14ac:dyDescent="0.2">
      <c r="A2707" s="1115"/>
      <c r="B2707" s="1115"/>
      <c r="C2707" s="1115"/>
      <c r="D2707" s="1115"/>
      <c r="E2707" s="1115"/>
      <c r="F2707" s="1115"/>
      <c r="G2707" s="1115"/>
      <c r="H2707" s="1115"/>
      <c r="I2707" s="1115"/>
      <c r="J2707" s="1115"/>
      <c r="K2707" s="1115"/>
      <c r="L2707" s="1115"/>
      <c r="M2707" s="1115"/>
    </row>
    <row r="2708" spans="1:13" x14ac:dyDescent="0.2">
      <c r="A2708" s="1115"/>
      <c r="B2708" s="1115"/>
      <c r="C2708" s="1115"/>
      <c r="D2708" s="1115"/>
      <c r="E2708" s="1115"/>
      <c r="F2708" s="1115"/>
      <c r="G2708" s="1115"/>
      <c r="H2708" s="1115"/>
      <c r="I2708" s="1115"/>
      <c r="J2708" s="1115"/>
      <c r="K2708" s="1115"/>
      <c r="L2708" s="1115"/>
      <c r="M2708" s="1115"/>
    </row>
    <row r="2709" spans="1:13" x14ac:dyDescent="0.2">
      <c r="A2709" s="1115"/>
      <c r="B2709" s="1115"/>
      <c r="C2709" s="1115"/>
      <c r="D2709" s="1115"/>
      <c r="E2709" s="1115"/>
      <c r="F2709" s="1115"/>
      <c r="G2709" s="1115"/>
      <c r="H2709" s="1115"/>
      <c r="I2709" s="1115"/>
      <c r="J2709" s="1115"/>
      <c r="K2709" s="1115"/>
      <c r="L2709" s="1115"/>
      <c r="M2709" s="1115"/>
    </row>
    <row r="2710" spans="1:13" x14ac:dyDescent="0.2">
      <c r="A2710" s="1115"/>
      <c r="B2710" s="1115"/>
      <c r="C2710" s="1115"/>
      <c r="D2710" s="1115"/>
      <c r="E2710" s="1115"/>
      <c r="F2710" s="1115"/>
      <c r="G2710" s="1115"/>
      <c r="H2710" s="1115"/>
      <c r="I2710" s="1115"/>
      <c r="J2710" s="1115"/>
      <c r="K2710" s="1115"/>
      <c r="L2710" s="1115"/>
      <c r="M2710" s="1115"/>
    </row>
    <row r="2711" spans="1:13" x14ac:dyDescent="0.2">
      <c r="A2711" s="1115"/>
      <c r="B2711" s="1115"/>
      <c r="C2711" s="1115"/>
      <c r="D2711" s="1115"/>
      <c r="E2711" s="1115"/>
      <c r="F2711" s="1115"/>
      <c r="G2711" s="1115"/>
      <c r="H2711" s="1115"/>
      <c r="I2711" s="1115"/>
      <c r="J2711" s="1115"/>
      <c r="K2711" s="1115"/>
      <c r="L2711" s="1115"/>
      <c r="M2711" s="1115"/>
    </row>
    <row r="2712" spans="1:13" x14ac:dyDescent="0.2">
      <c r="A2712" s="1115"/>
      <c r="B2712" s="1115"/>
      <c r="C2712" s="1115"/>
      <c r="D2712" s="1115"/>
      <c r="E2712" s="1115"/>
      <c r="F2712" s="1115"/>
      <c r="G2712" s="1115"/>
      <c r="H2712" s="1115"/>
      <c r="I2712" s="1115"/>
      <c r="J2712" s="1115"/>
      <c r="K2712" s="1115"/>
      <c r="L2712" s="1115"/>
      <c r="M2712" s="1115"/>
    </row>
    <row r="2713" spans="1:13" x14ac:dyDescent="0.2">
      <c r="A2713" s="1115"/>
      <c r="B2713" s="1115"/>
      <c r="C2713" s="1115"/>
      <c r="D2713" s="1115"/>
      <c r="E2713" s="1115"/>
      <c r="F2713" s="1115"/>
      <c r="G2713" s="1115"/>
      <c r="H2713" s="1115"/>
      <c r="I2713" s="1115"/>
      <c r="J2713" s="1115"/>
      <c r="K2713" s="1115"/>
      <c r="L2713" s="1115"/>
      <c r="M2713" s="1115"/>
    </row>
    <row r="2714" spans="1:13" x14ac:dyDescent="0.2">
      <c r="A2714" s="1115"/>
      <c r="B2714" s="1115"/>
      <c r="C2714" s="1115"/>
      <c r="D2714" s="1115"/>
      <c r="E2714" s="1115"/>
      <c r="F2714" s="1115"/>
      <c r="G2714" s="1115"/>
      <c r="H2714" s="1115"/>
      <c r="I2714" s="1115"/>
      <c r="J2714" s="1115"/>
      <c r="K2714" s="1115"/>
      <c r="L2714" s="1115"/>
      <c r="M2714" s="1115"/>
    </row>
    <row r="2715" spans="1:13" x14ac:dyDescent="0.2">
      <c r="A2715" s="1115"/>
      <c r="B2715" s="1115"/>
      <c r="C2715" s="1115"/>
      <c r="D2715" s="1115"/>
      <c r="E2715" s="1115"/>
      <c r="F2715" s="1115"/>
      <c r="G2715" s="1115"/>
      <c r="H2715" s="1115"/>
      <c r="I2715" s="1115"/>
      <c r="J2715" s="1115"/>
      <c r="K2715" s="1115"/>
      <c r="L2715" s="1115"/>
      <c r="M2715" s="1115"/>
    </row>
    <row r="2716" spans="1:13" x14ac:dyDescent="0.2">
      <c r="A2716" s="1115"/>
      <c r="B2716" s="1115"/>
      <c r="C2716" s="1115"/>
      <c r="D2716" s="1115"/>
      <c r="E2716" s="1115"/>
      <c r="F2716" s="1115"/>
      <c r="G2716" s="1115"/>
      <c r="H2716" s="1115"/>
      <c r="I2716" s="1115"/>
      <c r="J2716" s="1115"/>
      <c r="K2716" s="1115"/>
      <c r="L2716" s="1115"/>
      <c r="M2716" s="1115"/>
    </row>
    <row r="2717" spans="1:13" x14ac:dyDescent="0.2">
      <c r="A2717" s="1115"/>
      <c r="B2717" s="1115"/>
      <c r="C2717" s="1115"/>
      <c r="D2717" s="1115"/>
      <c r="E2717" s="1115"/>
      <c r="F2717" s="1115"/>
      <c r="G2717" s="1115"/>
      <c r="H2717" s="1115"/>
      <c r="I2717" s="1115"/>
      <c r="J2717" s="1115"/>
      <c r="K2717" s="1115"/>
      <c r="L2717" s="1115"/>
      <c r="M2717" s="1115"/>
    </row>
    <row r="2718" spans="1:13" x14ac:dyDescent="0.2">
      <c r="A2718" s="1115"/>
      <c r="B2718" s="1115"/>
      <c r="C2718" s="1115"/>
      <c r="D2718" s="1115"/>
      <c r="E2718" s="1115"/>
      <c r="F2718" s="1115"/>
      <c r="G2718" s="1115"/>
      <c r="H2718" s="1115"/>
      <c r="I2718" s="1115"/>
      <c r="J2718" s="1115"/>
      <c r="K2718" s="1115"/>
      <c r="L2718" s="1115"/>
      <c r="M2718" s="1115"/>
    </row>
    <row r="2719" spans="1:13" x14ac:dyDescent="0.2">
      <c r="A2719" s="1115"/>
      <c r="B2719" s="1115"/>
      <c r="C2719" s="1115"/>
      <c r="D2719" s="1115"/>
      <c r="E2719" s="1115"/>
      <c r="F2719" s="1115"/>
      <c r="G2719" s="1115"/>
      <c r="H2719" s="1115"/>
      <c r="I2719" s="1115"/>
      <c r="J2719" s="1115"/>
      <c r="K2719" s="1115"/>
      <c r="L2719" s="1115"/>
      <c r="M2719" s="1115"/>
    </row>
    <row r="2720" spans="1:13" x14ac:dyDescent="0.2">
      <c r="A2720" s="1115"/>
      <c r="B2720" s="1115"/>
      <c r="C2720" s="1115"/>
      <c r="D2720" s="1115"/>
      <c r="E2720" s="1115"/>
      <c r="F2720" s="1115"/>
      <c r="G2720" s="1115"/>
      <c r="H2720" s="1115"/>
      <c r="I2720" s="1115"/>
      <c r="J2720" s="1115"/>
      <c r="K2720" s="1115"/>
      <c r="L2720" s="1115"/>
      <c r="M2720" s="1115"/>
    </row>
    <row r="2721" spans="1:13" x14ac:dyDescent="0.2">
      <c r="A2721" s="1115"/>
      <c r="B2721" s="1115"/>
      <c r="C2721" s="1115"/>
      <c r="D2721" s="1115"/>
      <c r="E2721" s="1115"/>
      <c r="F2721" s="1115"/>
      <c r="G2721" s="1115"/>
      <c r="H2721" s="1115"/>
      <c r="I2721" s="1115"/>
      <c r="J2721" s="1115"/>
      <c r="K2721" s="1115"/>
      <c r="L2721" s="1115"/>
      <c r="M2721" s="1115"/>
    </row>
    <row r="2722" spans="1:13" x14ac:dyDescent="0.2">
      <c r="A2722" s="1115"/>
      <c r="B2722" s="1115"/>
      <c r="C2722" s="1115"/>
      <c r="D2722" s="1115"/>
      <c r="E2722" s="1115"/>
      <c r="F2722" s="1115"/>
      <c r="G2722" s="1115"/>
      <c r="H2722" s="1115"/>
      <c r="I2722" s="1115"/>
      <c r="J2722" s="1115"/>
      <c r="K2722" s="1115"/>
      <c r="L2722" s="1115"/>
      <c r="M2722" s="1115"/>
    </row>
    <row r="2723" spans="1:13" x14ac:dyDescent="0.2">
      <c r="A2723" s="1115"/>
      <c r="B2723" s="1115"/>
      <c r="C2723" s="1115"/>
      <c r="D2723" s="1115"/>
      <c r="E2723" s="1115"/>
      <c r="F2723" s="1115"/>
      <c r="G2723" s="1115"/>
      <c r="H2723" s="1115"/>
      <c r="I2723" s="1115"/>
      <c r="J2723" s="1115"/>
      <c r="K2723" s="1115"/>
      <c r="L2723" s="1115"/>
      <c r="M2723" s="1115"/>
    </row>
    <row r="2724" spans="1:13" x14ac:dyDescent="0.2">
      <c r="A2724" s="1115"/>
      <c r="B2724" s="1115"/>
      <c r="C2724" s="1115"/>
      <c r="D2724" s="1115"/>
      <c r="E2724" s="1115"/>
      <c r="F2724" s="1115"/>
      <c r="G2724" s="1115"/>
      <c r="H2724" s="1115"/>
      <c r="I2724" s="1115"/>
      <c r="J2724" s="1115"/>
      <c r="K2724" s="1115"/>
      <c r="L2724" s="1115"/>
      <c r="M2724" s="1115"/>
    </row>
    <row r="2725" spans="1:13" x14ac:dyDescent="0.2">
      <c r="A2725" s="1115"/>
      <c r="B2725" s="1115"/>
      <c r="C2725" s="1115"/>
      <c r="D2725" s="1115"/>
      <c r="E2725" s="1115"/>
      <c r="F2725" s="1115"/>
      <c r="G2725" s="1115"/>
      <c r="H2725" s="1115"/>
      <c r="I2725" s="1115"/>
      <c r="J2725" s="1115"/>
      <c r="K2725" s="1115"/>
      <c r="L2725" s="1115"/>
      <c r="M2725" s="1115"/>
    </row>
    <row r="2726" spans="1:13" x14ac:dyDescent="0.2">
      <c r="A2726" s="1115"/>
      <c r="B2726" s="1115"/>
      <c r="C2726" s="1115"/>
      <c r="D2726" s="1115"/>
      <c r="E2726" s="1115"/>
      <c r="F2726" s="1115"/>
      <c r="G2726" s="1115"/>
      <c r="H2726" s="1115"/>
      <c r="I2726" s="1115"/>
      <c r="J2726" s="1115"/>
      <c r="K2726" s="1115"/>
      <c r="L2726" s="1115"/>
      <c r="M2726" s="1115"/>
    </row>
    <row r="2727" spans="1:13" x14ac:dyDescent="0.2">
      <c r="A2727" s="1115"/>
      <c r="B2727" s="1115"/>
      <c r="C2727" s="1115"/>
      <c r="D2727" s="1115"/>
      <c r="E2727" s="1115"/>
      <c r="F2727" s="1115"/>
      <c r="G2727" s="1115"/>
      <c r="H2727" s="1115"/>
      <c r="I2727" s="1115"/>
      <c r="J2727" s="1115"/>
      <c r="K2727" s="1115"/>
      <c r="L2727" s="1115"/>
      <c r="M2727" s="1115"/>
    </row>
    <row r="2728" spans="1:13" x14ac:dyDescent="0.2">
      <c r="A2728" s="1115"/>
      <c r="B2728" s="1115"/>
      <c r="C2728" s="1115"/>
      <c r="D2728" s="1115"/>
      <c r="E2728" s="1115"/>
      <c r="F2728" s="1115"/>
      <c r="G2728" s="1115"/>
      <c r="H2728" s="1115"/>
      <c r="I2728" s="1115"/>
      <c r="J2728" s="1115"/>
      <c r="K2728" s="1115"/>
      <c r="L2728" s="1115"/>
      <c r="M2728" s="1115"/>
    </row>
    <row r="2729" spans="1:13" x14ac:dyDescent="0.2">
      <c r="A2729" s="1115"/>
      <c r="B2729" s="1115"/>
      <c r="C2729" s="1115"/>
      <c r="D2729" s="1115"/>
      <c r="E2729" s="1115"/>
      <c r="F2729" s="1115"/>
      <c r="G2729" s="1115"/>
      <c r="H2729" s="1115"/>
      <c r="I2729" s="1115"/>
      <c r="J2729" s="1115"/>
      <c r="K2729" s="1115"/>
      <c r="L2729" s="1115"/>
      <c r="M2729" s="1115"/>
    </row>
    <row r="2730" spans="1:13" x14ac:dyDescent="0.2">
      <c r="A2730" s="1115"/>
      <c r="B2730" s="1115"/>
      <c r="C2730" s="1115"/>
      <c r="D2730" s="1115"/>
      <c r="E2730" s="1115"/>
      <c r="F2730" s="1115"/>
      <c r="G2730" s="1115"/>
      <c r="H2730" s="1115"/>
      <c r="I2730" s="1115"/>
      <c r="J2730" s="1115"/>
      <c r="K2730" s="1115"/>
      <c r="L2730" s="1115"/>
      <c r="M2730" s="1115"/>
    </row>
    <row r="2731" spans="1:13" x14ac:dyDescent="0.2">
      <c r="A2731" s="1115"/>
      <c r="B2731" s="1115"/>
      <c r="C2731" s="1115"/>
      <c r="D2731" s="1115"/>
      <c r="E2731" s="1115"/>
      <c r="F2731" s="1115"/>
      <c r="G2731" s="1115"/>
      <c r="H2731" s="1115"/>
      <c r="I2731" s="1115"/>
      <c r="J2731" s="1115"/>
      <c r="K2731" s="1115"/>
      <c r="L2731" s="1115"/>
      <c r="M2731" s="1115"/>
    </row>
    <row r="2732" spans="1:13" x14ac:dyDescent="0.2">
      <c r="A2732" s="1115"/>
      <c r="B2732" s="1115"/>
      <c r="C2732" s="1115"/>
      <c r="D2732" s="1115"/>
      <c r="E2732" s="1115"/>
      <c r="F2732" s="1115"/>
      <c r="G2732" s="1115"/>
      <c r="H2732" s="1115"/>
      <c r="I2732" s="1115"/>
      <c r="J2732" s="1115"/>
      <c r="K2732" s="1115"/>
      <c r="L2732" s="1115"/>
      <c r="M2732" s="1115"/>
    </row>
    <row r="2733" spans="1:13" x14ac:dyDescent="0.2">
      <c r="A2733" s="1115"/>
      <c r="B2733" s="1115"/>
      <c r="C2733" s="1115"/>
      <c r="D2733" s="1115"/>
      <c r="E2733" s="1115"/>
      <c r="F2733" s="1115"/>
      <c r="G2733" s="1115"/>
      <c r="H2733" s="1115"/>
      <c r="I2733" s="1115"/>
      <c r="J2733" s="1115"/>
      <c r="K2733" s="1115"/>
      <c r="L2733" s="1115"/>
      <c r="M2733" s="1115"/>
    </row>
    <row r="2734" spans="1:13" x14ac:dyDescent="0.2">
      <c r="A2734" s="1115"/>
      <c r="B2734" s="1115"/>
      <c r="C2734" s="1115"/>
      <c r="D2734" s="1115"/>
      <c r="E2734" s="1115"/>
      <c r="F2734" s="1115"/>
      <c r="G2734" s="1115"/>
      <c r="H2734" s="1115"/>
      <c r="I2734" s="1115"/>
      <c r="J2734" s="1115"/>
      <c r="K2734" s="1115"/>
      <c r="L2734" s="1115"/>
      <c r="M2734" s="1115"/>
    </row>
    <row r="2735" spans="1:13" x14ac:dyDescent="0.2">
      <c r="A2735" s="1115"/>
      <c r="B2735" s="1115"/>
      <c r="C2735" s="1115"/>
      <c r="D2735" s="1115"/>
      <c r="E2735" s="1115"/>
      <c r="F2735" s="1115"/>
      <c r="G2735" s="1115"/>
      <c r="H2735" s="1115"/>
      <c r="I2735" s="1115"/>
      <c r="J2735" s="1115"/>
      <c r="K2735" s="1115"/>
      <c r="L2735" s="1115"/>
      <c r="M2735" s="1115"/>
    </row>
    <row r="2736" spans="1:13" x14ac:dyDescent="0.2">
      <c r="A2736" s="1115"/>
      <c r="B2736" s="1115"/>
      <c r="C2736" s="1115"/>
      <c r="D2736" s="1115"/>
      <c r="E2736" s="1115"/>
      <c r="F2736" s="1115"/>
      <c r="G2736" s="1115"/>
      <c r="H2736" s="1115"/>
      <c r="I2736" s="1115"/>
      <c r="J2736" s="1115"/>
      <c r="K2736" s="1115"/>
      <c r="L2736" s="1115"/>
      <c r="M2736" s="1115"/>
    </row>
    <row r="2737" spans="1:13" x14ac:dyDescent="0.2">
      <c r="A2737" s="1115"/>
      <c r="B2737" s="1115"/>
      <c r="C2737" s="1115"/>
      <c r="D2737" s="1115"/>
      <c r="E2737" s="1115"/>
      <c r="F2737" s="1115"/>
      <c r="G2737" s="1115"/>
      <c r="H2737" s="1115"/>
      <c r="I2737" s="1115"/>
      <c r="J2737" s="1115"/>
      <c r="K2737" s="1115"/>
      <c r="L2737" s="1115"/>
      <c r="M2737" s="1115"/>
    </row>
    <row r="2738" spans="1:13" x14ac:dyDescent="0.2">
      <c r="A2738" s="1115"/>
      <c r="B2738" s="1115"/>
      <c r="C2738" s="1115"/>
      <c r="D2738" s="1115"/>
      <c r="E2738" s="1115"/>
      <c r="F2738" s="1115"/>
      <c r="G2738" s="1115"/>
      <c r="H2738" s="1115"/>
      <c r="I2738" s="1115"/>
      <c r="J2738" s="1115"/>
      <c r="K2738" s="1115"/>
      <c r="L2738" s="1115"/>
      <c r="M2738" s="1115"/>
    </row>
    <row r="2739" spans="1:13" x14ac:dyDescent="0.2">
      <c r="A2739" s="1115"/>
      <c r="B2739" s="1115"/>
      <c r="C2739" s="1115"/>
      <c r="D2739" s="1115"/>
      <c r="E2739" s="1115"/>
      <c r="F2739" s="1115"/>
      <c r="G2739" s="1115"/>
      <c r="H2739" s="1115"/>
      <c r="I2739" s="1115"/>
      <c r="J2739" s="1115"/>
      <c r="K2739" s="1115"/>
      <c r="L2739" s="1115"/>
      <c r="M2739" s="1115"/>
    </row>
    <row r="2740" spans="1:13" x14ac:dyDescent="0.2">
      <c r="A2740" s="1115"/>
      <c r="B2740" s="1115"/>
      <c r="C2740" s="1115"/>
      <c r="D2740" s="1115"/>
      <c r="E2740" s="1115"/>
      <c r="F2740" s="1115"/>
      <c r="G2740" s="1115"/>
      <c r="H2740" s="1115"/>
      <c r="I2740" s="1115"/>
      <c r="J2740" s="1115"/>
      <c r="K2740" s="1115"/>
      <c r="L2740" s="1115"/>
      <c r="M2740" s="1115"/>
    </row>
    <row r="2741" spans="1:13" x14ac:dyDescent="0.2">
      <c r="A2741" s="1115"/>
      <c r="B2741" s="1115"/>
      <c r="C2741" s="1115"/>
      <c r="D2741" s="1115"/>
      <c r="E2741" s="1115"/>
      <c r="F2741" s="1115"/>
      <c r="G2741" s="1115"/>
      <c r="H2741" s="1115"/>
      <c r="I2741" s="1115"/>
      <c r="J2741" s="1115"/>
      <c r="K2741" s="1115"/>
      <c r="L2741" s="1115"/>
      <c r="M2741" s="1115"/>
    </row>
    <row r="2742" spans="1:13" x14ac:dyDescent="0.2">
      <c r="A2742" s="1115"/>
      <c r="B2742" s="1115"/>
      <c r="C2742" s="1115"/>
      <c r="D2742" s="1115"/>
      <c r="E2742" s="1115"/>
      <c r="F2742" s="1115"/>
      <c r="G2742" s="1115"/>
      <c r="H2742" s="1115"/>
      <c r="I2742" s="1115"/>
      <c r="J2742" s="1115"/>
      <c r="K2742" s="1115"/>
      <c r="L2742" s="1115"/>
      <c r="M2742" s="1115"/>
    </row>
    <row r="2743" spans="1:13" x14ac:dyDescent="0.2">
      <c r="A2743" s="1115"/>
      <c r="B2743" s="1115"/>
      <c r="C2743" s="1115"/>
      <c r="D2743" s="1115"/>
      <c r="E2743" s="1115"/>
      <c r="F2743" s="1115"/>
      <c r="G2743" s="1115"/>
      <c r="H2743" s="1115"/>
      <c r="I2743" s="1115"/>
      <c r="J2743" s="1115"/>
      <c r="K2743" s="1115"/>
      <c r="L2743" s="1115"/>
      <c r="M2743" s="1115"/>
    </row>
    <row r="2744" spans="1:13" x14ac:dyDescent="0.2">
      <c r="A2744" s="1115"/>
      <c r="B2744" s="1115"/>
      <c r="C2744" s="1115"/>
      <c r="D2744" s="1115"/>
      <c r="E2744" s="1115"/>
      <c r="F2744" s="1115"/>
      <c r="G2744" s="1115"/>
      <c r="H2744" s="1115"/>
      <c r="I2744" s="1115"/>
      <c r="J2744" s="1115"/>
      <c r="K2744" s="1115"/>
      <c r="L2744" s="1115"/>
      <c r="M2744" s="1115"/>
    </row>
    <row r="2745" spans="1:13" x14ac:dyDescent="0.2">
      <c r="A2745" s="1115"/>
      <c r="B2745" s="1115"/>
      <c r="C2745" s="1115"/>
      <c r="D2745" s="1115"/>
      <c r="E2745" s="1115"/>
      <c r="F2745" s="1115"/>
      <c r="G2745" s="1115"/>
      <c r="H2745" s="1115"/>
      <c r="I2745" s="1115"/>
      <c r="J2745" s="1115"/>
      <c r="K2745" s="1115"/>
      <c r="L2745" s="1115"/>
      <c r="M2745" s="1115"/>
    </row>
    <row r="2746" spans="1:13" x14ac:dyDescent="0.2">
      <c r="A2746" s="1115"/>
      <c r="B2746" s="1115"/>
      <c r="C2746" s="1115"/>
      <c r="D2746" s="1115"/>
      <c r="E2746" s="1115"/>
      <c r="F2746" s="1115"/>
      <c r="G2746" s="1115"/>
      <c r="H2746" s="1115"/>
      <c r="I2746" s="1115"/>
      <c r="J2746" s="1115"/>
      <c r="K2746" s="1115"/>
      <c r="L2746" s="1115"/>
      <c r="M2746" s="1115"/>
    </row>
    <row r="2747" spans="1:13" x14ac:dyDescent="0.2">
      <c r="A2747" s="1115"/>
      <c r="B2747" s="1115"/>
      <c r="C2747" s="1115"/>
      <c r="D2747" s="1115"/>
      <c r="E2747" s="1115"/>
      <c r="F2747" s="1115"/>
      <c r="G2747" s="1115"/>
      <c r="H2747" s="1115"/>
      <c r="I2747" s="1115"/>
      <c r="J2747" s="1115"/>
      <c r="K2747" s="1115"/>
      <c r="L2747" s="1115"/>
      <c r="M2747" s="1115"/>
    </row>
    <row r="2748" spans="1:13" x14ac:dyDescent="0.2">
      <c r="A2748" s="1115"/>
      <c r="B2748" s="1115"/>
      <c r="C2748" s="1115"/>
      <c r="D2748" s="1115"/>
      <c r="E2748" s="1115"/>
      <c r="F2748" s="1115"/>
      <c r="G2748" s="1115"/>
      <c r="H2748" s="1115"/>
      <c r="I2748" s="1115"/>
      <c r="J2748" s="1115"/>
      <c r="K2748" s="1115"/>
      <c r="L2748" s="1115"/>
      <c r="M2748" s="1115"/>
    </row>
    <row r="2749" spans="1:13" x14ac:dyDescent="0.2">
      <c r="A2749" s="1115"/>
      <c r="B2749" s="1115"/>
      <c r="C2749" s="1115"/>
      <c r="D2749" s="1115"/>
      <c r="E2749" s="1115"/>
      <c r="F2749" s="1115"/>
      <c r="G2749" s="1115"/>
      <c r="H2749" s="1115"/>
      <c r="I2749" s="1115"/>
      <c r="J2749" s="1115"/>
      <c r="K2749" s="1115"/>
      <c r="L2749" s="1115"/>
      <c r="M2749" s="1115"/>
    </row>
    <row r="2750" spans="1:13" x14ac:dyDescent="0.2">
      <c r="A2750" s="1115"/>
      <c r="B2750" s="1115"/>
      <c r="C2750" s="1115"/>
      <c r="D2750" s="1115"/>
      <c r="E2750" s="1115"/>
      <c r="F2750" s="1115"/>
      <c r="G2750" s="1115"/>
      <c r="H2750" s="1115"/>
      <c r="I2750" s="1115"/>
      <c r="J2750" s="1115"/>
      <c r="K2750" s="1115"/>
      <c r="L2750" s="1115"/>
      <c r="M2750" s="1115"/>
    </row>
    <row r="2751" spans="1:13" x14ac:dyDescent="0.2">
      <c r="A2751" s="1115"/>
      <c r="B2751" s="1115"/>
      <c r="C2751" s="1115"/>
      <c r="D2751" s="1115"/>
      <c r="E2751" s="1115"/>
      <c r="F2751" s="1115"/>
      <c r="G2751" s="1115"/>
      <c r="H2751" s="1115"/>
      <c r="I2751" s="1115"/>
      <c r="J2751" s="1115"/>
      <c r="K2751" s="1115"/>
      <c r="L2751" s="1115"/>
      <c r="M2751" s="1115"/>
    </row>
    <row r="2752" spans="1:13" x14ac:dyDescent="0.2">
      <c r="A2752" s="1115"/>
      <c r="B2752" s="1115"/>
      <c r="C2752" s="1115"/>
      <c r="D2752" s="1115"/>
      <c r="E2752" s="1115"/>
      <c r="F2752" s="1115"/>
      <c r="G2752" s="1115"/>
      <c r="H2752" s="1115"/>
      <c r="I2752" s="1115"/>
      <c r="J2752" s="1115"/>
      <c r="K2752" s="1115"/>
      <c r="L2752" s="1115"/>
      <c r="M2752" s="1115"/>
    </row>
    <row r="2753" spans="1:13" x14ac:dyDescent="0.2">
      <c r="A2753" s="1115"/>
      <c r="B2753" s="1115"/>
      <c r="C2753" s="1115"/>
      <c r="D2753" s="1115"/>
      <c r="E2753" s="1115"/>
      <c r="F2753" s="1115"/>
      <c r="G2753" s="1115"/>
      <c r="H2753" s="1115"/>
      <c r="I2753" s="1115"/>
      <c r="J2753" s="1115"/>
      <c r="K2753" s="1115"/>
      <c r="L2753" s="1115"/>
      <c r="M2753" s="1115"/>
    </row>
    <row r="2754" spans="1:13" x14ac:dyDescent="0.2">
      <c r="A2754" s="1115"/>
      <c r="B2754" s="1115"/>
      <c r="C2754" s="1115"/>
      <c r="D2754" s="1115"/>
      <c r="E2754" s="1115"/>
      <c r="F2754" s="1115"/>
      <c r="G2754" s="1115"/>
      <c r="H2754" s="1115"/>
      <c r="I2754" s="1115"/>
      <c r="J2754" s="1115"/>
      <c r="K2754" s="1115"/>
      <c r="L2754" s="1115"/>
      <c r="M2754" s="1115"/>
    </row>
    <row r="2755" spans="1:13" x14ac:dyDescent="0.2">
      <c r="A2755" s="1115"/>
      <c r="B2755" s="1115"/>
      <c r="C2755" s="1115"/>
      <c r="D2755" s="1115"/>
      <c r="E2755" s="1115"/>
      <c r="F2755" s="1115"/>
      <c r="G2755" s="1115"/>
      <c r="H2755" s="1115"/>
      <c r="I2755" s="1115"/>
      <c r="J2755" s="1115"/>
      <c r="K2755" s="1115"/>
      <c r="L2755" s="1115"/>
      <c r="M2755" s="1115"/>
    </row>
    <row r="2756" spans="1:13" x14ac:dyDescent="0.2">
      <c r="A2756" s="1115"/>
      <c r="B2756" s="1115"/>
      <c r="C2756" s="1115"/>
      <c r="D2756" s="1115"/>
      <c r="E2756" s="1115"/>
      <c r="F2756" s="1115"/>
      <c r="G2756" s="1115"/>
      <c r="H2756" s="1115"/>
      <c r="I2756" s="1115"/>
      <c r="J2756" s="1115"/>
      <c r="K2756" s="1115"/>
      <c r="L2756" s="1115"/>
      <c r="M2756" s="1115"/>
    </row>
    <row r="2757" spans="1:13" x14ac:dyDescent="0.2">
      <c r="A2757" s="1115"/>
      <c r="B2757" s="1115"/>
      <c r="C2757" s="1115"/>
      <c r="D2757" s="1115"/>
      <c r="E2757" s="1115"/>
      <c r="F2757" s="1115"/>
      <c r="G2757" s="1115"/>
      <c r="H2757" s="1115"/>
      <c r="I2757" s="1115"/>
      <c r="J2757" s="1115"/>
      <c r="K2757" s="1115"/>
      <c r="L2757" s="1115"/>
      <c r="M2757" s="1115"/>
    </row>
    <row r="2758" spans="1:13" x14ac:dyDescent="0.2">
      <c r="A2758" s="1115"/>
      <c r="B2758" s="1115"/>
      <c r="C2758" s="1115"/>
      <c r="D2758" s="1115"/>
      <c r="E2758" s="1115"/>
      <c r="F2758" s="1115"/>
      <c r="G2758" s="1115"/>
      <c r="H2758" s="1115"/>
      <c r="I2758" s="1115"/>
      <c r="J2758" s="1115"/>
      <c r="K2758" s="1115"/>
      <c r="L2758" s="1115"/>
      <c r="M2758" s="1115"/>
    </row>
    <row r="2759" spans="1:13" x14ac:dyDescent="0.2">
      <c r="A2759" s="1115"/>
      <c r="B2759" s="1115"/>
      <c r="C2759" s="1115"/>
      <c r="D2759" s="1115"/>
      <c r="E2759" s="1115"/>
      <c r="F2759" s="1115"/>
      <c r="G2759" s="1115"/>
      <c r="H2759" s="1115"/>
      <c r="I2759" s="1115"/>
      <c r="J2759" s="1115"/>
      <c r="K2759" s="1115"/>
      <c r="L2759" s="1115"/>
      <c r="M2759" s="1115"/>
    </row>
    <row r="2760" spans="1:13" x14ac:dyDescent="0.2">
      <c r="A2760" s="1115"/>
      <c r="B2760" s="1115"/>
      <c r="C2760" s="1115"/>
      <c r="D2760" s="1115"/>
      <c r="E2760" s="1115"/>
      <c r="F2760" s="1115"/>
      <c r="G2760" s="1115"/>
      <c r="H2760" s="1115"/>
      <c r="I2760" s="1115"/>
      <c r="J2760" s="1115"/>
      <c r="K2760" s="1115"/>
      <c r="L2760" s="1115"/>
      <c r="M2760" s="1115"/>
    </row>
    <row r="2761" spans="1:13" x14ac:dyDescent="0.2">
      <c r="A2761" s="1115"/>
      <c r="B2761" s="1115"/>
      <c r="C2761" s="1115"/>
      <c r="D2761" s="1115"/>
      <c r="E2761" s="1115"/>
      <c r="F2761" s="1115"/>
      <c r="G2761" s="1115"/>
      <c r="H2761" s="1115"/>
      <c r="I2761" s="1115"/>
      <c r="J2761" s="1115"/>
      <c r="K2761" s="1115"/>
      <c r="L2761" s="1115"/>
      <c r="M2761" s="1115"/>
    </row>
    <row r="2762" spans="1:13" x14ac:dyDescent="0.2">
      <c r="A2762" s="1115"/>
      <c r="B2762" s="1115"/>
      <c r="C2762" s="1115"/>
      <c r="D2762" s="1115"/>
      <c r="E2762" s="1115"/>
      <c r="F2762" s="1115"/>
      <c r="G2762" s="1115"/>
      <c r="H2762" s="1115"/>
      <c r="I2762" s="1115"/>
      <c r="J2762" s="1115"/>
      <c r="K2762" s="1115"/>
      <c r="L2762" s="1115"/>
      <c r="M2762" s="1115"/>
    </row>
    <row r="2763" spans="1:13" x14ac:dyDescent="0.2">
      <c r="A2763" s="1115"/>
      <c r="B2763" s="1115"/>
      <c r="C2763" s="1115"/>
      <c r="D2763" s="1115"/>
      <c r="E2763" s="1115"/>
      <c r="F2763" s="1115"/>
      <c r="G2763" s="1115"/>
      <c r="H2763" s="1115"/>
      <c r="I2763" s="1115"/>
      <c r="J2763" s="1115"/>
      <c r="K2763" s="1115"/>
      <c r="L2763" s="1115"/>
      <c r="M2763" s="1115"/>
    </row>
    <row r="2764" spans="1:13" x14ac:dyDescent="0.2">
      <c r="A2764" s="1115"/>
      <c r="B2764" s="1115"/>
      <c r="C2764" s="1115"/>
      <c r="D2764" s="1115"/>
      <c r="E2764" s="1115"/>
      <c r="F2764" s="1115"/>
      <c r="G2764" s="1115"/>
      <c r="H2764" s="1115"/>
      <c r="I2764" s="1115"/>
      <c r="J2764" s="1115"/>
      <c r="K2764" s="1115"/>
      <c r="L2764" s="1115"/>
      <c r="M2764" s="1115"/>
    </row>
    <row r="2765" spans="1:13" x14ac:dyDescent="0.2">
      <c r="A2765" s="1115"/>
      <c r="B2765" s="1115"/>
      <c r="C2765" s="1115"/>
      <c r="D2765" s="1115"/>
      <c r="E2765" s="1115"/>
      <c r="F2765" s="1115"/>
      <c r="G2765" s="1115"/>
      <c r="H2765" s="1115"/>
      <c r="I2765" s="1115"/>
      <c r="J2765" s="1115"/>
      <c r="K2765" s="1115"/>
      <c r="L2765" s="1115"/>
      <c r="M2765" s="1115"/>
    </row>
    <row r="2766" spans="1:13" x14ac:dyDescent="0.2">
      <c r="A2766" s="1115"/>
      <c r="B2766" s="1115"/>
      <c r="C2766" s="1115"/>
      <c r="D2766" s="1115"/>
      <c r="E2766" s="1115"/>
      <c r="F2766" s="1115"/>
      <c r="G2766" s="1115"/>
      <c r="H2766" s="1115"/>
      <c r="I2766" s="1115"/>
      <c r="J2766" s="1115"/>
      <c r="K2766" s="1115"/>
      <c r="L2766" s="1115"/>
      <c r="M2766" s="1115"/>
    </row>
    <row r="2767" spans="1:13" x14ac:dyDescent="0.2">
      <c r="A2767" s="1115"/>
      <c r="B2767" s="1115"/>
      <c r="C2767" s="1115"/>
      <c r="D2767" s="1115"/>
      <c r="E2767" s="1115"/>
      <c r="F2767" s="1115"/>
      <c r="G2767" s="1115"/>
      <c r="H2767" s="1115"/>
      <c r="I2767" s="1115"/>
      <c r="J2767" s="1115"/>
      <c r="K2767" s="1115"/>
      <c r="L2767" s="1115"/>
      <c r="M2767" s="1115"/>
    </row>
    <row r="2768" spans="1:13" x14ac:dyDescent="0.2">
      <c r="A2768" s="1115"/>
      <c r="B2768" s="1115"/>
      <c r="C2768" s="1115"/>
      <c r="D2768" s="1115"/>
      <c r="E2768" s="1115"/>
      <c r="F2768" s="1115"/>
      <c r="G2768" s="1115"/>
      <c r="H2768" s="1115"/>
      <c r="I2768" s="1115"/>
      <c r="J2768" s="1115"/>
      <c r="K2768" s="1115"/>
      <c r="L2768" s="1115"/>
      <c r="M2768" s="1115"/>
    </row>
    <row r="2769" spans="1:13" x14ac:dyDescent="0.2">
      <c r="A2769" s="1115"/>
      <c r="B2769" s="1115"/>
      <c r="C2769" s="1115"/>
      <c r="D2769" s="1115"/>
      <c r="E2769" s="1115"/>
      <c r="F2769" s="1115"/>
      <c r="G2769" s="1115"/>
      <c r="H2769" s="1115"/>
      <c r="I2769" s="1115"/>
      <c r="J2769" s="1115"/>
      <c r="K2769" s="1115"/>
      <c r="L2769" s="1115"/>
      <c r="M2769" s="1115"/>
    </row>
    <row r="2770" spans="1:13" x14ac:dyDescent="0.2">
      <c r="A2770" s="1115"/>
      <c r="B2770" s="1115"/>
      <c r="C2770" s="1115"/>
      <c r="D2770" s="1115"/>
      <c r="E2770" s="1115"/>
      <c r="F2770" s="1115"/>
      <c r="G2770" s="1115"/>
      <c r="H2770" s="1115"/>
      <c r="I2770" s="1115"/>
      <c r="J2770" s="1115"/>
      <c r="K2770" s="1115"/>
      <c r="L2770" s="1115"/>
      <c r="M2770" s="1115"/>
    </row>
    <row r="2771" spans="1:13" x14ac:dyDescent="0.2">
      <c r="A2771" s="1115"/>
      <c r="B2771" s="1115"/>
      <c r="C2771" s="1115"/>
      <c r="D2771" s="1115"/>
      <c r="E2771" s="1115"/>
      <c r="F2771" s="1115"/>
      <c r="G2771" s="1115"/>
      <c r="H2771" s="1115"/>
      <c r="I2771" s="1115"/>
      <c r="J2771" s="1115"/>
      <c r="K2771" s="1115"/>
      <c r="L2771" s="1115"/>
      <c r="M2771" s="1115"/>
    </row>
    <row r="2772" spans="1:13" x14ac:dyDescent="0.2">
      <c r="A2772" s="1115"/>
      <c r="B2772" s="1115"/>
      <c r="C2772" s="1115"/>
      <c r="D2772" s="1115"/>
      <c r="E2772" s="1115"/>
      <c r="F2772" s="1115"/>
      <c r="G2772" s="1115"/>
      <c r="H2772" s="1115"/>
      <c r="I2772" s="1115"/>
      <c r="J2772" s="1115"/>
      <c r="K2772" s="1115"/>
      <c r="L2772" s="1115"/>
      <c r="M2772" s="1115"/>
    </row>
    <row r="2773" spans="1:13" x14ac:dyDescent="0.2">
      <c r="A2773" s="1115"/>
      <c r="B2773" s="1115"/>
      <c r="C2773" s="1115"/>
      <c r="D2773" s="1115"/>
      <c r="E2773" s="1115"/>
      <c r="F2773" s="1115"/>
      <c r="G2773" s="1115"/>
      <c r="H2773" s="1115"/>
      <c r="I2773" s="1115"/>
      <c r="J2773" s="1115"/>
      <c r="K2773" s="1115"/>
      <c r="L2773" s="1115"/>
      <c r="M2773" s="1115"/>
    </row>
    <row r="2774" spans="1:13" x14ac:dyDescent="0.2">
      <c r="A2774" s="1115"/>
      <c r="B2774" s="1115"/>
      <c r="C2774" s="1115"/>
      <c r="D2774" s="1115"/>
      <c r="E2774" s="1115"/>
      <c r="F2774" s="1115"/>
      <c r="G2774" s="1115"/>
      <c r="H2774" s="1115"/>
      <c r="I2774" s="1115"/>
      <c r="J2774" s="1115"/>
      <c r="K2774" s="1115"/>
      <c r="L2774" s="1115"/>
      <c r="M2774" s="1115"/>
    </row>
    <row r="2775" spans="1:13" x14ac:dyDescent="0.2">
      <c r="A2775" s="1115"/>
      <c r="B2775" s="1115"/>
      <c r="C2775" s="1115"/>
      <c r="D2775" s="1115"/>
      <c r="E2775" s="1115"/>
      <c r="F2775" s="1115"/>
      <c r="G2775" s="1115"/>
      <c r="H2775" s="1115"/>
      <c r="I2775" s="1115"/>
      <c r="J2775" s="1115"/>
      <c r="K2775" s="1115"/>
      <c r="L2775" s="1115"/>
      <c r="M2775" s="1115"/>
    </row>
    <row r="2776" spans="1:13" x14ac:dyDescent="0.2">
      <c r="A2776" s="1115"/>
      <c r="B2776" s="1115"/>
      <c r="C2776" s="1115"/>
      <c r="D2776" s="1115"/>
      <c r="E2776" s="1115"/>
      <c r="F2776" s="1115"/>
      <c r="G2776" s="1115"/>
      <c r="H2776" s="1115"/>
      <c r="I2776" s="1115"/>
      <c r="J2776" s="1115"/>
      <c r="K2776" s="1115"/>
      <c r="L2776" s="1115"/>
      <c r="M2776" s="1115"/>
    </row>
    <row r="2777" spans="1:13" x14ac:dyDescent="0.2">
      <c r="A2777" s="1115"/>
      <c r="B2777" s="1115"/>
      <c r="C2777" s="1115"/>
      <c r="D2777" s="1115"/>
      <c r="E2777" s="1115"/>
      <c r="F2777" s="1115"/>
      <c r="G2777" s="1115"/>
      <c r="H2777" s="1115"/>
      <c r="I2777" s="1115"/>
      <c r="J2777" s="1115"/>
      <c r="K2777" s="1115"/>
      <c r="L2777" s="1115"/>
      <c r="M2777" s="1115"/>
    </row>
    <row r="2778" spans="1:13" x14ac:dyDescent="0.2">
      <c r="A2778" s="1115"/>
      <c r="B2778" s="1115"/>
      <c r="C2778" s="1115"/>
      <c r="D2778" s="1115"/>
      <c r="E2778" s="1115"/>
      <c r="F2778" s="1115"/>
      <c r="G2778" s="1115"/>
      <c r="H2778" s="1115"/>
      <c r="I2778" s="1115"/>
      <c r="J2778" s="1115"/>
      <c r="K2778" s="1115"/>
      <c r="L2778" s="1115"/>
      <c r="M2778" s="1115"/>
    </row>
    <row r="2779" spans="1:13" x14ac:dyDescent="0.2">
      <c r="A2779" s="1115"/>
      <c r="B2779" s="1115"/>
      <c r="C2779" s="1115"/>
      <c r="D2779" s="1115"/>
      <c r="E2779" s="1115"/>
      <c r="F2779" s="1115"/>
      <c r="G2779" s="1115"/>
      <c r="H2779" s="1115"/>
      <c r="I2779" s="1115"/>
      <c r="J2779" s="1115"/>
      <c r="K2779" s="1115"/>
      <c r="L2779" s="1115"/>
      <c r="M2779" s="1115"/>
    </row>
    <row r="2780" spans="1:13" x14ac:dyDescent="0.2">
      <c r="A2780" s="1115"/>
      <c r="B2780" s="1115"/>
      <c r="C2780" s="1115"/>
      <c r="D2780" s="1115"/>
      <c r="E2780" s="1115"/>
      <c r="F2780" s="1115"/>
      <c r="G2780" s="1115"/>
      <c r="H2780" s="1115"/>
      <c r="I2780" s="1115"/>
      <c r="J2780" s="1115"/>
      <c r="K2780" s="1115"/>
      <c r="L2780" s="1115"/>
      <c r="M2780" s="1115"/>
    </row>
    <row r="2781" spans="1:13" x14ac:dyDescent="0.2">
      <c r="A2781" s="1115"/>
      <c r="B2781" s="1115"/>
      <c r="C2781" s="1115"/>
      <c r="D2781" s="1115"/>
      <c r="E2781" s="1115"/>
      <c r="F2781" s="1115"/>
      <c r="G2781" s="1115"/>
      <c r="H2781" s="1115"/>
      <c r="I2781" s="1115"/>
      <c r="J2781" s="1115"/>
      <c r="K2781" s="1115"/>
      <c r="L2781" s="1115"/>
      <c r="M2781" s="1115"/>
    </row>
    <row r="2782" spans="1:13" x14ac:dyDescent="0.2">
      <c r="A2782" s="1115"/>
      <c r="B2782" s="1115"/>
      <c r="C2782" s="1115"/>
      <c r="D2782" s="1115"/>
      <c r="E2782" s="1115"/>
      <c r="F2782" s="1115"/>
      <c r="G2782" s="1115"/>
      <c r="H2782" s="1115"/>
      <c r="I2782" s="1115"/>
      <c r="J2782" s="1115"/>
      <c r="K2782" s="1115"/>
      <c r="L2782" s="1115"/>
      <c r="M2782" s="1115"/>
    </row>
    <row r="2783" spans="1:13" x14ac:dyDescent="0.2">
      <c r="A2783" s="1115"/>
      <c r="B2783" s="1115"/>
      <c r="C2783" s="1115"/>
      <c r="D2783" s="1115"/>
      <c r="E2783" s="1115"/>
      <c r="F2783" s="1115"/>
      <c r="G2783" s="1115"/>
      <c r="H2783" s="1115"/>
      <c r="I2783" s="1115"/>
      <c r="J2783" s="1115"/>
      <c r="K2783" s="1115"/>
      <c r="L2783" s="1115"/>
      <c r="M2783" s="1115"/>
    </row>
    <row r="2784" spans="1:13" x14ac:dyDescent="0.2">
      <c r="A2784" s="1115"/>
      <c r="B2784" s="1115"/>
      <c r="C2784" s="1115"/>
      <c r="D2784" s="1115"/>
      <c r="E2784" s="1115"/>
      <c r="F2784" s="1115"/>
      <c r="G2784" s="1115"/>
      <c r="H2784" s="1115"/>
      <c r="I2784" s="1115"/>
      <c r="J2784" s="1115"/>
      <c r="K2784" s="1115"/>
      <c r="L2784" s="1115"/>
      <c r="M2784" s="1115"/>
    </row>
    <row r="2785" spans="1:13" x14ac:dyDescent="0.2">
      <c r="A2785" s="1115"/>
      <c r="B2785" s="1115"/>
      <c r="C2785" s="1115"/>
      <c r="D2785" s="1115"/>
      <c r="E2785" s="1115"/>
      <c r="F2785" s="1115"/>
      <c r="G2785" s="1115"/>
      <c r="H2785" s="1115"/>
      <c r="I2785" s="1115"/>
      <c r="J2785" s="1115"/>
      <c r="K2785" s="1115"/>
      <c r="L2785" s="1115"/>
      <c r="M2785" s="1115"/>
    </row>
    <row r="2786" spans="1:13" x14ac:dyDescent="0.2">
      <c r="A2786" s="1115"/>
      <c r="B2786" s="1115"/>
      <c r="C2786" s="1115"/>
      <c r="D2786" s="1115"/>
      <c r="E2786" s="1115"/>
      <c r="F2786" s="1115"/>
      <c r="G2786" s="1115"/>
      <c r="H2786" s="1115"/>
      <c r="I2786" s="1115"/>
      <c r="J2786" s="1115"/>
      <c r="K2786" s="1115"/>
      <c r="L2786" s="1115"/>
      <c r="M2786" s="1115"/>
    </row>
    <row r="2787" spans="1:13" x14ac:dyDescent="0.2">
      <c r="A2787" s="1115"/>
      <c r="B2787" s="1115"/>
      <c r="C2787" s="1115"/>
      <c r="D2787" s="1115"/>
      <c r="E2787" s="1115"/>
      <c r="F2787" s="1115"/>
      <c r="G2787" s="1115"/>
      <c r="H2787" s="1115"/>
      <c r="I2787" s="1115"/>
      <c r="J2787" s="1115"/>
      <c r="K2787" s="1115"/>
      <c r="L2787" s="1115"/>
      <c r="M2787" s="1115"/>
    </row>
    <row r="2788" spans="1:13" x14ac:dyDescent="0.2">
      <c r="A2788" s="1115"/>
      <c r="B2788" s="1115"/>
      <c r="C2788" s="1115"/>
      <c r="D2788" s="1115"/>
      <c r="E2788" s="1115"/>
      <c r="F2788" s="1115"/>
      <c r="G2788" s="1115"/>
      <c r="H2788" s="1115"/>
      <c r="I2788" s="1115"/>
      <c r="J2788" s="1115"/>
      <c r="K2788" s="1115"/>
      <c r="L2788" s="1115"/>
      <c r="M2788" s="1115"/>
    </row>
    <row r="2789" spans="1:13" x14ac:dyDescent="0.2">
      <c r="A2789" s="1115"/>
      <c r="B2789" s="1115"/>
      <c r="C2789" s="1115"/>
      <c r="D2789" s="1115"/>
      <c r="E2789" s="1115"/>
      <c r="F2789" s="1115"/>
      <c r="G2789" s="1115"/>
      <c r="H2789" s="1115"/>
      <c r="I2789" s="1115"/>
      <c r="J2789" s="1115"/>
      <c r="K2789" s="1115"/>
      <c r="L2789" s="1115"/>
      <c r="M2789" s="1115"/>
    </row>
    <row r="2790" spans="1:13" x14ac:dyDescent="0.2">
      <c r="A2790" s="1115"/>
      <c r="B2790" s="1115"/>
      <c r="C2790" s="1115"/>
      <c r="D2790" s="1115"/>
      <c r="E2790" s="1115"/>
      <c r="F2790" s="1115"/>
      <c r="G2790" s="1115"/>
      <c r="H2790" s="1115"/>
      <c r="I2790" s="1115"/>
      <c r="J2790" s="1115"/>
      <c r="K2790" s="1115"/>
      <c r="L2790" s="1115"/>
      <c r="M2790" s="1115"/>
    </row>
    <row r="2791" spans="1:13" x14ac:dyDescent="0.2">
      <c r="A2791" s="1115"/>
      <c r="B2791" s="1115"/>
      <c r="C2791" s="1115"/>
      <c r="D2791" s="1115"/>
      <c r="E2791" s="1115"/>
      <c r="F2791" s="1115"/>
      <c r="G2791" s="1115"/>
      <c r="H2791" s="1115"/>
      <c r="I2791" s="1115"/>
      <c r="J2791" s="1115"/>
      <c r="K2791" s="1115"/>
      <c r="L2791" s="1115"/>
      <c r="M2791" s="1115"/>
    </row>
    <row r="2792" spans="1:13" x14ac:dyDescent="0.2">
      <c r="A2792" s="1115"/>
      <c r="B2792" s="1115"/>
      <c r="C2792" s="1115"/>
      <c r="D2792" s="1115"/>
      <c r="E2792" s="1115"/>
      <c r="F2792" s="1115"/>
      <c r="G2792" s="1115"/>
      <c r="H2792" s="1115"/>
      <c r="I2792" s="1115"/>
      <c r="J2792" s="1115"/>
      <c r="K2792" s="1115"/>
      <c r="L2792" s="1115"/>
      <c r="M2792" s="1115"/>
    </row>
    <row r="2793" spans="1:13" x14ac:dyDescent="0.2">
      <c r="A2793" s="1115"/>
      <c r="B2793" s="1115"/>
      <c r="C2793" s="1115"/>
      <c r="D2793" s="1115"/>
      <c r="E2793" s="1115"/>
      <c r="F2793" s="1115"/>
      <c r="G2793" s="1115"/>
      <c r="H2793" s="1115"/>
      <c r="I2793" s="1115"/>
      <c r="J2793" s="1115"/>
      <c r="K2793" s="1115"/>
      <c r="L2793" s="1115"/>
      <c r="M2793" s="1115"/>
    </row>
    <row r="2794" spans="1:13" x14ac:dyDescent="0.2">
      <c r="A2794" s="1115"/>
      <c r="B2794" s="1115"/>
      <c r="C2794" s="1115"/>
      <c r="D2794" s="1115"/>
      <c r="E2794" s="1115"/>
      <c r="F2794" s="1115"/>
      <c r="G2794" s="1115"/>
      <c r="H2794" s="1115"/>
      <c r="I2794" s="1115"/>
      <c r="J2794" s="1115"/>
      <c r="K2794" s="1115"/>
      <c r="L2794" s="1115"/>
      <c r="M2794" s="1115"/>
    </row>
    <row r="2795" spans="1:13" x14ac:dyDescent="0.2">
      <c r="A2795" s="1115"/>
      <c r="B2795" s="1115"/>
      <c r="C2795" s="1115"/>
      <c r="D2795" s="1115"/>
      <c r="E2795" s="1115"/>
      <c r="F2795" s="1115"/>
      <c r="G2795" s="1115"/>
      <c r="H2795" s="1115"/>
      <c r="I2795" s="1115"/>
      <c r="J2795" s="1115"/>
      <c r="K2795" s="1115"/>
      <c r="L2795" s="1115"/>
      <c r="M2795" s="1115"/>
    </row>
    <row r="2796" spans="1:13" x14ac:dyDescent="0.2">
      <c r="A2796" s="1115"/>
      <c r="B2796" s="1115"/>
      <c r="C2796" s="1115"/>
      <c r="D2796" s="1115"/>
      <c r="E2796" s="1115"/>
      <c r="F2796" s="1115"/>
      <c r="G2796" s="1115"/>
      <c r="H2796" s="1115"/>
      <c r="I2796" s="1115"/>
      <c r="J2796" s="1115"/>
      <c r="K2796" s="1115"/>
      <c r="L2796" s="1115"/>
      <c r="M2796" s="1115"/>
    </row>
    <row r="2797" spans="1:13" x14ac:dyDescent="0.2">
      <c r="A2797" s="1115"/>
      <c r="B2797" s="1115"/>
      <c r="C2797" s="1115"/>
      <c r="D2797" s="1115"/>
      <c r="E2797" s="1115"/>
      <c r="F2797" s="1115"/>
      <c r="G2797" s="1115"/>
      <c r="H2797" s="1115"/>
      <c r="I2797" s="1115"/>
      <c r="J2797" s="1115"/>
      <c r="K2797" s="1115"/>
      <c r="L2797" s="1115"/>
      <c r="M2797" s="1115"/>
    </row>
    <row r="2798" spans="1:13" x14ac:dyDescent="0.2">
      <c r="A2798" s="1115"/>
      <c r="B2798" s="1115"/>
      <c r="C2798" s="1115"/>
      <c r="D2798" s="1115"/>
      <c r="E2798" s="1115"/>
      <c r="F2798" s="1115"/>
      <c r="G2798" s="1115"/>
      <c r="H2798" s="1115"/>
      <c r="I2798" s="1115"/>
      <c r="J2798" s="1115"/>
      <c r="K2798" s="1115"/>
      <c r="L2798" s="1115"/>
      <c r="M2798" s="1115"/>
    </row>
    <row r="2799" spans="1:13" x14ac:dyDescent="0.2">
      <c r="A2799" s="1115"/>
      <c r="B2799" s="1115"/>
      <c r="C2799" s="1115"/>
      <c r="D2799" s="1115"/>
      <c r="E2799" s="1115"/>
      <c r="F2799" s="1115"/>
      <c r="G2799" s="1115"/>
      <c r="H2799" s="1115"/>
      <c r="I2799" s="1115"/>
      <c r="J2799" s="1115"/>
      <c r="K2799" s="1115"/>
      <c r="L2799" s="1115"/>
      <c r="M2799" s="1115"/>
    </row>
    <row r="2800" spans="1:13" x14ac:dyDescent="0.2">
      <c r="A2800" s="1115"/>
      <c r="B2800" s="1115"/>
      <c r="C2800" s="1115"/>
      <c r="D2800" s="1115"/>
      <c r="E2800" s="1115"/>
      <c r="F2800" s="1115"/>
      <c r="G2800" s="1115"/>
      <c r="H2800" s="1115"/>
      <c r="I2800" s="1115"/>
      <c r="J2800" s="1115"/>
      <c r="K2800" s="1115"/>
      <c r="L2800" s="1115"/>
      <c r="M2800" s="1115"/>
    </row>
    <row r="2801" spans="1:13" x14ac:dyDescent="0.2">
      <c r="A2801" s="1115"/>
      <c r="B2801" s="1115"/>
      <c r="C2801" s="1115"/>
      <c r="D2801" s="1115"/>
      <c r="E2801" s="1115"/>
      <c r="F2801" s="1115"/>
      <c r="G2801" s="1115"/>
      <c r="H2801" s="1115"/>
      <c r="I2801" s="1115"/>
      <c r="J2801" s="1115"/>
      <c r="K2801" s="1115"/>
      <c r="L2801" s="1115"/>
      <c r="M2801" s="1115"/>
    </row>
    <row r="2802" spans="1:13" x14ac:dyDescent="0.2">
      <c r="A2802" s="1115"/>
      <c r="B2802" s="1115"/>
      <c r="C2802" s="1115"/>
      <c r="D2802" s="1115"/>
      <c r="E2802" s="1115"/>
      <c r="F2802" s="1115"/>
      <c r="G2802" s="1115"/>
      <c r="H2802" s="1115"/>
      <c r="I2802" s="1115"/>
      <c r="J2802" s="1115"/>
      <c r="K2802" s="1115"/>
      <c r="L2802" s="1115"/>
      <c r="M2802" s="1115"/>
    </row>
    <row r="2803" spans="1:13" x14ac:dyDescent="0.2">
      <c r="A2803" s="1115"/>
      <c r="B2803" s="1115"/>
      <c r="C2803" s="1115"/>
      <c r="D2803" s="1115"/>
      <c r="E2803" s="1115"/>
      <c r="F2803" s="1115"/>
      <c r="G2803" s="1115"/>
      <c r="H2803" s="1115"/>
      <c r="I2803" s="1115"/>
      <c r="J2803" s="1115"/>
      <c r="K2803" s="1115"/>
      <c r="L2803" s="1115"/>
      <c r="M2803" s="1115"/>
    </row>
    <row r="2804" spans="1:13" x14ac:dyDescent="0.2">
      <c r="A2804" s="1115"/>
      <c r="B2804" s="1115"/>
      <c r="C2804" s="1115"/>
      <c r="D2804" s="1115"/>
      <c r="E2804" s="1115"/>
      <c r="F2804" s="1115"/>
      <c r="G2804" s="1115"/>
      <c r="H2804" s="1115"/>
      <c r="I2804" s="1115"/>
      <c r="J2804" s="1115"/>
      <c r="K2804" s="1115"/>
      <c r="L2804" s="1115"/>
      <c r="M2804" s="1115"/>
    </row>
    <row r="2805" spans="1:13" x14ac:dyDescent="0.2">
      <c r="A2805" s="1115"/>
      <c r="B2805" s="1115"/>
      <c r="C2805" s="1115"/>
      <c r="D2805" s="1115"/>
      <c r="E2805" s="1115"/>
      <c r="F2805" s="1115"/>
      <c r="G2805" s="1115"/>
      <c r="H2805" s="1115"/>
      <c r="I2805" s="1115"/>
      <c r="J2805" s="1115"/>
      <c r="K2805" s="1115"/>
      <c r="L2805" s="1115"/>
      <c r="M2805" s="1115"/>
    </row>
    <row r="2806" spans="1:13" x14ac:dyDescent="0.2">
      <c r="A2806" s="1115"/>
      <c r="B2806" s="1115"/>
      <c r="C2806" s="1115"/>
      <c r="D2806" s="1115"/>
      <c r="E2806" s="1115"/>
      <c r="F2806" s="1115"/>
      <c r="G2806" s="1115"/>
      <c r="H2806" s="1115"/>
      <c r="I2806" s="1115"/>
      <c r="J2806" s="1115"/>
      <c r="K2806" s="1115"/>
      <c r="L2806" s="1115"/>
      <c r="M2806" s="1115"/>
    </row>
    <row r="2807" spans="1:13" x14ac:dyDescent="0.2">
      <c r="A2807" s="1115"/>
      <c r="B2807" s="1115"/>
      <c r="C2807" s="1115"/>
      <c r="D2807" s="1115"/>
      <c r="E2807" s="1115"/>
      <c r="F2807" s="1115"/>
      <c r="G2807" s="1115"/>
      <c r="H2807" s="1115"/>
      <c r="I2807" s="1115"/>
      <c r="J2807" s="1115"/>
      <c r="K2807" s="1115"/>
      <c r="L2807" s="1115"/>
      <c r="M2807" s="1115"/>
    </row>
    <row r="2808" spans="1:13" x14ac:dyDescent="0.2">
      <c r="A2808" s="1115"/>
      <c r="B2808" s="1115"/>
      <c r="C2808" s="1115"/>
      <c r="D2808" s="1115"/>
      <c r="E2808" s="1115"/>
      <c r="F2808" s="1115"/>
      <c r="G2808" s="1115"/>
      <c r="H2808" s="1115"/>
      <c r="I2808" s="1115"/>
      <c r="J2808" s="1115"/>
      <c r="K2808" s="1115"/>
      <c r="L2808" s="1115"/>
      <c r="M2808" s="1115"/>
    </row>
    <row r="2809" spans="1:13" x14ac:dyDescent="0.2">
      <c r="A2809" s="1115"/>
      <c r="B2809" s="1115"/>
      <c r="C2809" s="1115"/>
      <c r="D2809" s="1115"/>
      <c r="E2809" s="1115"/>
      <c r="F2809" s="1115"/>
      <c r="G2809" s="1115"/>
      <c r="H2809" s="1115"/>
      <c r="I2809" s="1115"/>
      <c r="J2809" s="1115"/>
      <c r="K2809" s="1115"/>
      <c r="L2809" s="1115"/>
      <c r="M2809" s="1115"/>
    </row>
    <row r="2810" spans="1:13" x14ac:dyDescent="0.2">
      <c r="A2810" s="1115"/>
      <c r="B2810" s="1115"/>
      <c r="C2810" s="1115"/>
      <c r="D2810" s="1115"/>
      <c r="E2810" s="1115"/>
      <c r="F2810" s="1115"/>
      <c r="G2810" s="1115"/>
      <c r="H2810" s="1115"/>
      <c r="I2810" s="1115"/>
      <c r="J2810" s="1115"/>
      <c r="K2810" s="1115"/>
      <c r="L2810" s="1115"/>
      <c r="M2810" s="1115"/>
    </row>
    <row r="2811" spans="1:13" x14ac:dyDescent="0.2">
      <c r="A2811" s="1115"/>
      <c r="B2811" s="1115"/>
      <c r="C2811" s="1115"/>
      <c r="D2811" s="1115"/>
      <c r="E2811" s="1115"/>
      <c r="F2811" s="1115"/>
      <c r="G2811" s="1115"/>
      <c r="H2811" s="1115"/>
      <c r="I2811" s="1115"/>
      <c r="J2811" s="1115"/>
      <c r="K2811" s="1115"/>
      <c r="L2811" s="1115"/>
      <c r="M2811" s="1115"/>
    </row>
    <row r="2812" spans="1:13" x14ac:dyDescent="0.2">
      <c r="A2812" s="1115"/>
      <c r="B2812" s="1115"/>
      <c r="C2812" s="1115"/>
      <c r="D2812" s="1115"/>
      <c r="E2812" s="1115"/>
      <c r="F2812" s="1115"/>
      <c r="G2812" s="1115"/>
      <c r="H2812" s="1115"/>
      <c r="I2812" s="1115"/>
      <c r="J2812" s="1115"/>
      <c r="K2812" s="1115"/>
      <c r="L2812" s="1115"/>
      <c r="M2812" s="1115"/>
    </row>
    <row r="2813" spans="1:13" x14ac:dyDescent="0.2">
      <c r="A2813" s="1115"/>
      <c r="B2813" s="1115"/>
      <c r="C2813" s="1115"/>
      <c r="D2813" s="1115"/>
      <c r="E2813" s="1115"/>
      <c r="F2813" s="1115"/>
      <c r="G2813" s="1115"/>
      <c r="H2813" s="1115"/>
      <c r="I2813" s="1115"/>
      <c r="J2813" s="1115"/>
      <c r="K2813" s="1115"/>
      <c r="L2813" s="1115"/>
      <c r="M2813" s="1115"/>
    </row>
    <row r="2814" spans="1:13" x14ac:dyDescent="0.2">
      <c r="A2814" s="1115"/>
      <c r="B2814" s="1115"/>
      <c r="C2814" s="1115"/>
      <c r="D2814" s="1115"/>
      <c r="E2814" s="1115"/>
      <c r="F2814" s="1115"/>
      <c r="G2814" s="1115"/>
      <c r="H2814" s="1115"/>
      <c r="I2814" s="1115"/>
      <c r="J2814" s="1115"/>
      <c r="K2814" s="1115"/>
      <c r="L2814" s="1115"/>
      <c r="M2814" s="1115"/>
    </row>
    <row r="2815" spans="1:13" x14ac:dyDescent="0.2">
      <c r="A2815" s="1115"/>
      <c r="B2815" s="1115"/>
      <c r="C2815" s="1115"/>
      <c r="D2815" s="1115"/>
      <c r="E2815" s="1115"/>
      <c r="F2815" s="1115"/>
      <c r="G2815" s="1115"/>
      <c r="H2815" s="1115"/>
      <c r="I2815" s="1115"/>
      <c r="J2815" s="1115"/>
      <c r="K2815" s="1115"/>
      <c r="L2815" s="1115"/>
      <c r="M2815" s="1115"/>
    </row>
    <row r="2816" spans="1:13" x14ac:dyDescent="0.2">
      <c r="A2816" s="1115"/>
      <c r="B2816" s="1115"/>
      <c r="C2816" s="1115"/>
      <c r="D2816" s="1115"/>
      <c r="E2816" s="1115"/>
      <c r="F2816" s="1115"/>
      <c r="G2816" s="1115"/>
      <c r="H2816" s="1115"/>
      <c r="I2816" s="1115"/>
      <c r="J2816" s="1115"/>
      <c r="K2816" s="1115"/>
      <c r="L2816" s="1115"/>
      <c r="M2816" s="1115"/>
    </row>
    <row r="2817" spans="1:13" x14ac:dyDescent="0.2">
      <c r="A2817" s="1115"/>
      <c r="B2817" s="1115"/>
      <c r="C2817" s="1115"/>
      <c r="D2817" s="1115"/>
      <c r="E2817" s="1115"/>
      <c r="F2817" s="1115"/>
      <c r="G2817" s="1115"/>
      <c r="H2817" s="1115"/>
      <c r="I2817" s="1115"/>
      <c r="J2817" s="1115"/>
      <c r="K2817" s="1115"/>
      <c r="L2817" s="1115"/>
      <c r="M2817" s="1115"/>
    </row>
    <row r="2818" spans="1:13" x14ac:dyDescent="0.2">
      <c r="A2818" s="1115"/>
      <c r="B2818" s="1115"/>
      <c r="C2818" s="1115"/>
      <c r="D2818" s="1115"/>
      <c r="E2818" s="1115"/>
      <c r="F2818" s="1115"/>
      <c r="G2818" s="1115"/>
      <c r="H2818" s="1115"/>
      <c r="I2818" s="1115"/>
      <c r="J2818" s="1115"/>
      <c r="K2818" s="1115"/>
      <c r="L2818" s="1115"/>
      <c r="M2818" s="1115"/>
    </row>
    <row r="2819" spans="1:13" x14ac:dyDescent="0.2">
      <c r="A2819" s="1115"/>
      <c r="B2819" s="1115"/>
      <c r="C2819" s="1115"/>
      <c r="D2819" s="1115"/>
      <c r="E2819" s="1115"/>
      <c r="F2819" s="1115"/>
      <c r="G2819" s="1115"/>
      <c r="H2819" s="1115"/>
      <c r="I2819" s="1115"/>
      <c r="J2819" s="1115"/>
      <c r="K2819" s="1115"/>
      <c r="L2819" s="1115"/>
      <c r="M2819" s="1115"/>
    </row>
    <row r="2820" spans="1:13" x14ac:dyDescent="0.2">
      <c r="A2820" s="1115"/>
      <c r="B2820" s="1115"/>
      <c r="C2820" s="1115"/>
      <c r="D2820" s="1115"/>
      <c r="E2820" s="1115"/>
      <c r="F2820" s="1115"/>
      <c r="G2820" s="1115"/>
      <c r="H2820" s="1115"/>
      <c r="I2820" s="1115"/>
      <c r="J2820" s="1115"/>
      <c r="K2820" s="1115"/>
      <c r="L2820" s="1115"/>
      <c r="M2820" s="1115"/>
    </row>
    <row r="2821" spans="1:13" x14ac:dyDescent="0.2">
      <c r="A2821" s="1115"/>
      <c r="B2821" s="1115"/>
      <c r="C2821" s="1115"/>
      <c r="D2821" s="1115"/>
      <c r="E2821" s="1115"/>
      <c r="F2821" s="1115"/>
      <c r="G2821" s="1115"/>
      <c r="H2821" s="1115"/>
      <c r="I2821" s="1115"/>
      <c r="J2821" s="1115"/>
      <c r="K2821" s="1115"/>
      <c r="L2821" s="1115"/>
      <c r="M2821" s="1115"/>
    </row>
    <row r="2822" spans="1:13" x14ac:dyDescent="0.2">
      <c r="A2822" s="1115"/>
      <c r="B2822" s="1115"/>
      <c r="C2822" s="1115"/>
      <c r="D2822" s="1115"/>
      <c r="E2822" s="1115"/>
      <c r="F2822" s="1115"/>
      <c r="G2822" s="1115"/>
      <c r="H2822" s="1115"/>
      <c r="I2822" s="1115"/>
      <c r="J2822" s="1115"/>
      <c r="K2822" s="1115"/>
      <c r="L2822" s="1115"/>
      <c r="M2822" s="1115"/>
    </row>
    <row r="2823" spans="1:13" x14ac:dyDescent="0.2">
      <c r="A2823" s="1115"/>
      <c r="B2823" s="1115"/>
      <c r="C2823" s="1115"/>
      <c r="D2823" s="1115"/>
      <c r="E2823" s="1115"/>
      <c r="F2823" s="1115"/>
      <c r="G2823" s="1115"/>
      <c r="H2823" s="1115"/>
      <c r="I2823" s="1115"/>
      <c r="J2823" s="1115"/>
      <c r="K2823" s="1115"/>
      <c r="L2823" s="1115"/>
      <c r="M2823" s="1115"/>
    </row>
    <row r="2824" spans="1:13" x14ac:dyDescent="0.2">
      <c r="A2824" s="1115"/>
      <c r="B2824" s="1115"/>
      <c r="C2824" s="1115"/>
      <c r="D2824" s="1115"/>
      <c r="E2824" s="1115"/>
      <c r="F2824" s="1115"/>
      <c r="G2824" s="1115"/>
      <c r="H2824" s="1115"/>
      <c r="I2824" s="1115"/>
      <c r="J2824" s="1115"/>
      <c r="K2824" s="1115"/>
      <c r="L2824" s="1115"/>
      <c r="M2824" s="1115"/>
    </row>
    <row r="2825" spans="1:13" x14ac:dyDescent="0.2">
      <c r="A2825" s="1115"/>
      <c r="B2825" s="1115"/>
      <c r="C2825" s="1115"/>
      <c r="D2825" s="1115"/>
      <c r="E2825" s="1115"/>
      <c r="F2825" s="1115"/>
      <c r="G2825" s="1115"/>
      <c r="H2825" s="1115"/>
      <c r="I2825" s="1115"/>
      <c r="J2825" s="1115"/>
      <c r="K2825" s="1115"/>
      <c r="L2825" s="1115"/>
      <c r="M2825" s="1115"/>
    </row>
    <row r="2826" spans="1:13" x14ac:dyDescent="0.2">
      <c r="A2826" s="1115"/>
      <c r="B2826" s="1115"/>
      <c r="C2826" s="1115"/>
      <c r="D2826" s="1115"/>
      <c r="E2826" s="1115"/>
      <c r="F2826" s="1115"/>
      <c r="G2826" s="1115"/>
      <c r="H2826" s="1115"/>
      <c r="I2826" s="1115"/>
      <c r="J2826" s="1115"/>
      <c r="K2826" s="1115"/>
      <c r="L2826" s="1115"/>
      <c r="M2826" s="1115"/>
    </row>
    <row r="2827" spans="1:13" x14ac:dyDescent="0.2">
      <c r="A2827" s="1115"/>
      <c r="B2827" s="1115"/>
      <c r="C2827" s="1115"/>
      <c r="D2827" s="1115"/>
      <c r="E2827" s="1115"/>
      <c r="F2827" s="1115"/>
      <c r="G2827" s="1115"/>
      <c r="H2827" s="1115"/>
      <c r="I2827" s="1115"/>
      <c r="J2827" s="1115"/>
      <c r="K2827" s="1115"/>
      <c r="L2827" s="1115"/>
      <c r="M2827" s="1115"/>
    </row>
    <row r="2828" spans="1:13" x14ac:dyDescent="0.2">
      <c r="A2828" s="1115"/>
      <c r="B2828" s="1115"/>
      <c r="C2828" s="1115"/>
      <c r="D2828" s="1115"/>
      <c r="E2828" s="1115"/>
      <c r="F2828" s="1115"/>
      <c r="G2828" s="1115"/>
      <c r="H2828" s="1115"/>
      <c r="I2828" s="1115"/>
      <c r="J2828" s="1115"/>
      <c r="K2828" s="1115"/>
      <c r="L2828" s="1115"/>
      <c r="M2828" s="1115"/>
    </row>
    <row r="2829" spans="1:13" x14ac:dyDescent="0.2">
      <c r="A2829" s="1115"/>
      <c r="B2829" s="1115"/>
      <c r="C2829" s="1115"/>
      <c r="D2829" s="1115"/>
      <c r="E2829" s="1115"/>
      <c r="F2829" s="1115"/>
      <c r="G2829" s="1115"/>
      <c r="H2829" s="1115"/>
      <c r="I2829" s="1115"/>
      <c r="J2829" s="1115"/>
      <c r="K2829" s="1115"/>
      <c r="L2829" s="1115"/>
      <c r="M2829" s="1115"/>
    </row>
    <row r="2830" spans="1:13" x14ac:dyDescent="0.2">
      <c r="A2830" s="1115"/>
      <c r="B2830" s="1115"/>
      <c r="C2830" s="1115"/>
      <c r="D2830" s="1115"/>
      <c r="E2830" s="1115"/>
      <c r="F2830" s="1115"/>
      <c r="G2830" s="1115"/>
      <c r="H2830" s="1115"/>
      <c r="I2830" s="1115"/>
      <c r="J2830" s="1115"/>
      <c r="K2830" s="1115"/>
      <c r="L2830" s="1115"/>
      <c r="M2830" s="1115"/>
    </row>
    <row r="2831" spans="1:13" x14ac:dyDescent="0.2">
      <c r="A2831" s="1115"/>
      <c r="B2831" s="1115"/>
      <c r="C2831" s="1115"/>
      <c r="D2831" s="1115"/>
      <c r="E2831" s="1115"/>
      <c r="F2831" s="1115"/>
      <c r="G2831" s="1115"/>
      <c r="H2831" s="1115"/>
      <c r="I2831" s="1115"/>
      <c r="J2831" s="1115"/>
      <c r="K2831" s="1115"/>
      <c r="L2831" s="1115"/>
      <c r="M2831" s="1115"/>
    </row>
    <row r="2832" spans="1:13" x14ac:dyDescent="0.2">
      <c r="A2832" s="1115"/>
      <c r="B2832" s="1115"/>
      <c r="C2832" s="1115"/>
      <c r="D2832" s="1115"/>
      <c r="E2832" s="1115"/>
      <c r="F2832" s="1115"/>
      <c r="G2832" s="1115"/>
      <c r="H2832" s="1115"/>
      <c r="I2832" s="1115"/>
      <c r="J2832" s="1115"/>
      <c r="K2832" s="1115"/>
      <c r="L2832" s="1115"/>
      <c r="M2832" s="1115"/>
    </row>
    <row r="2833" spans="1:13" x14ac:dyDescent="0.2">
      <c r="A2833" s="1115"/>
      <c r="B2833" s="1115"/>
      <c r="C2833" s="1115"/>
      <c r="D2833" s="1115"/>
      <c r="E2833" s="1115"/>
      <c r="F2833" s="1115"/>
      <c r="G2833" s="1115"/>
      <c r="H2833" s="1115"/>
      <c r="I2833" s="1115"/>
      <c r="J2833" s="1115"/>
      <c r="K2833" s="1115"/>
      <c r="L2833" s="1115"/>
      <c r="M2833" s="1115"/>
    </row>
    <row r="2834" spans="1:13" x14ac:dyDescent="0.2">
      <c r="A2834" s="1115"/>
      <c r="B2834" s="1115"/>
      <c r="C2834" s="1115"/>
      <c r="D2834" s="1115"/>
      <c r="E2834" s="1115"/>
      <c r="F2834" s="1115"/>
      <c r="G2834" s="1115"/>
      <c r="H2834" s="1115"/>
      <c r="I2834" s="1115"/>
      <c r="J2834" s="1115"/>
      <c r="K2834" s="1115"/>
      <c r="L2834" s="1115"/>
      <c r="M2834" s="1115"/>
    </row>
    <row r="2835" spans="1:13" x14ac:dyDescent="0.2">
      <c r="A2835" s="1115"/>
      <c r="B2835" s="1115"/>
      <c r="C2835" s="1115"/>
      <c r="D2835" s="1115"/>
      <c r="E2835" s="1115"/>
      <c r="F2835" s="1115"/>
      <c r="G2835" s="1115"/>
      <c r="H2835" s="1115"/>
      <c r="I2835" s="1115"/>
      <c r="J2835" s="1115"/>
      <c r="K2835" s="1115"/>
      <c r="L2835" s="1115"/>
      <c r="M2835" s="1115"/>
    </row>
    <row r="2836" spans="1:13" x14ac:dyDescent="0.2">
      <c r="A2836" s="1115"/>
      <c r="B2836" s="1115"/>
      <c r="C2836" s="1115"/>
      <c r="D2836" s="1115"/>
      <c r="E2836" s="1115"/>
      <c r="F2836" s="1115"/>
      <c r="G2836" s="1115"/>
      <c r="H2836" s="1115"/>
      <c r="I2836" s="1115"/>
      <c r="J2836" s="1115"/>
      <c r="K2836" s="1115"/>
      <c r="L2836" s="1115"/>
      <c r="M2836" s="1115"/>
    </row>
    <row r="2837" spans="1:13" x14ac:dyDescent="0.2">
      <c r="A2837" s="1115"/>
      <c r="B2837" s="1115"/>
      <c r="C2837" s="1115"/>
      <c r="D2837" s="1115"/>
      <c r="E2837" s="1115"/>
      <c r="F2837" s="1115"/>
      <c r="G2837" s="1115"/>
      <c r="H2837" s="1115"/>
      <c r="I2837" s="1115"/>
      <c r="J2837" s="1115"/>
      <c r="K2837" s="1115"/>
      <c r="L2837" s="1115"/>
      <c r="M2837" s="1115"/>
    </row>
    <row r="2838" spans="1:13" x14ac:dyDescent="0.2">
      <c r="A2838" s="1115"/>
      <c r="B2838" s="1115"/>
      <c r="C2838" s="1115"/>
      <c r="D2838" s="1115"/>
      <c r="E2838" s="1115"/>
      <c r="F2838" s="1115"/>
      <c r="G2838" s="1115"/>
      <c r="H2838" s="1115"/>
      <c r="I2838" s="1115"/>
      <c r="J2838" s="1115"/>
      <c r="K2838" s="1115"/>
      <c r="L2838" s="1115"/>
      <c r="M2838" s="1115"/>
    </row>
    <row r="2839" spans="1:13" x14ac:dyDescent="0.2">
      <c r="A2839" s="1115"/>
      <c r="B2839" s="1115"/>
      <c r="C2839" s="1115"/>
      <c r="D2839" s="1115"/>
      <c r="E2839" s="1115"/>
      <c r="F2839" s="1115"/>
      <c r="G2839" s="1115"/>
      <c r="H2839" s="1115"/>
      <c r="I2839" s="1115"/>
      <c r="J2839" s="1115"/>
      <c r="K2839" s="1115"/>
      <c r="L2839" s="1115"/>
      <c r="M2839" s="1115"/>
    </row>
    <row r="2840" spans="1:13" x14ac:dyDescent="0.2">
      <c r="A2840" s="1115"/>
      <c r="B2840" s="1115"/>
      <c r="C2840" s="1115"/>
      <c r="D2840" s="1115"/>
      <c r="E2840" s="1115"/>
      <c r="F2840" s="1115"/>
      <c r="G2840" s="1115"/>
      <c r="H2840" s="1115"/>
      <c r="I2840" s="1115"/>
      <c r="J2840" s="1115"/>
      <c r="K2840" s="1115"/>
      <c r="L2840" s="1115"/>
      <c r="M2840" s="1115"/>
    </row>
    <row r="2841" spans="1:13" x14ac:dyDescent="0.2">
      <c r="A2841" s="1115"/>
      <c r="B2841" s="1115"/>
      <c r="C2841" s="1115"/>
      <c r="D2841" s="1115"/>
      <c r="E2841" s="1115"/>
      <c r="F2841" s="1115"/>
      <c r="G2841" s="1115"/>
      <c r="H2841" s="1115"/>
      <c r="I2841" s="1115"/>
      <c r="J2841" s="1115"/>
      <c r="K2841" s="1115"/>
      <c r="L2841" s="1115"/>
      <c r="M2841" s="1115"/>
    </row>
    <row r="2842" spans="1:13" x14ac:dyDescent="0.2">
      <c r="A2842" s="1115"/>
      <c r="B2842" s="1115"/>
      <c r="C2842" s="1115"/>
      <c r="D2842" s="1115"/>
      <c r="E2842" s="1115"/>
      <c r="F2842" s="1115"/>
      <c r="G2842" s="1115"/>
      <c r="H2842" s="1115"/>
      <c r="I2842" s="1115"/>
      <c r="J2842" s="1115"/>
      <c r="K2842" s="1115"/>
      <c r="L2842" s="1115"/>
      <c r="M2842" s="1115"/>
    </row>
    <row r="2843" spans="1:13" x14ac:dyDescent="0.2">
      <c r="A2843" s="1115"/>
      <c r="B2843" s="1115"/>
      <c r="C2843" s="1115"/>
      <c r="D2843" s="1115"/>
      <c r="E2843" s="1115"/>
      <c r="F2843" s="1115"/>
      <c r="G2843" s="1115"/>
      <c r="H2843" s="1115"/>
      <c r="I2843" s="1115"/>
      <c r="J2843" s="1115"/>
      <c r="K2843" s="1115"/>
      <c r="L2843" s="1115"/>
      <c r="M2843" s="1115"/>
    </row>
    <row r="2844" spans="1:13" x14ac:dyDescent="0.2">
      <c r="A2844" s="1115"/>
      <c r="B2844" s="1115"/>
      <c r="C2844" s="1115"/>
      <c r="D2844" s="1115"/>
      <c r="E2844" s="1115"/>
      <c r="F2844" s="1115"/>
      <c r="G2844" s="1115"/>
      <c r="H2844" s="1115"/>
      <c r="I2844" s="1115"/>
      <c r="J2844" s="1115"/>
      <c r="K2844" s="1115"/>
      <c r="L2844" s="1115"/>
      <c r="M2844" s="1115"/>
    </row>
    <row r="2845" spans="1:13" x14ac:dyDescent="0.2">
      <c r="A2845" s="1115"/>
      <c r="B2845" s="1115"/>
      <c r="C2845" s="1115"/>
      <c r="D2845" s="1115"/>
      <c r="E2845" s="1115"/>
      <c r="F2845" s="1115"/>
      <c r="G2845" s="1115"/>
      <c r="H2845" s="1115"/>
      <c r="I2845" s="1115"/>
      <c r="J2845" s="1115"/>
      <c r="K2845" s="1115"/>
      <c r="L2845" s="1115"/>
      <c r="M2845" s="1115"/>
    </row>
    <row r="2846" spans="1:13" x14ac:dyDescent="0.2">
      <c r="A2846" s="1115"/>
      <c r="B2846" s="1115"/>
      <c r="C2846" s="1115"/>
      <c r="D2846" s="1115"/>
      <c r="E2846" s="1115"/>
      <c r="F2846" s="1115"/>
      <c r="G2846" s="1115"/>
      <c r="H2846" s="1115"/>
      <c r="I2846" s="1115"/>
      <c r="J2846" s="1115"/>
      <c r="K2846" s="1115"/>
      <c r="L2846" s="1115"/>
      <c r="M2846" s="1115"/>
    </row>
    <row r="2847" spans="1:13" x14ac:dyDescent="0.2">
      <c r="A2847" s="1115"/>
      <c r="B2847" s="1115"/>
      <c r="C2847" s="1115"/>
      <c r="D2847" s="1115"/>
      <c r="E2847" s="1115"/>
      <c r="F2847" s="1115"/>
      <c r="G2847" s="1115"/>
      <c r="H2847" s="1115"/>
      <c r="I2847" s="1115"/>
      <c r="J2847" s="1115"/>
      <c r="K2847" s="1115"/>
      <c r="L2847" s="1115"/>
      <c r="M2847" s="1115"/>
    </row>
    <row r="2848" spans="1:13" x14ac:dyDescent="0.2">
      <c r="A2848" s="1115"/>
      <c r="B2848" s="1115"/>
      <c r="C2848" s="1115"/>
      <c r="D2848" s="1115"/>
      <c r="E2848" s="1115"/>
      <c r="F2848" s="1115"/>
      <c r="G2848" s="1115"/>
      <c r="H2848" s="1115"/>
      <c r="I2848" s="1115"/>
      <c r="J2848" s="1115"/>
      <c r="K2848" s="1115"/>
      <c r="L2848" s="1115"/>
      <c r="M2848" s="1115"/>
    </row>
    <row r="2849" spans="1:13" x14ac:dyDescent="0.2">
      <c r="A2849" s="1115"/>
      <c r="B2849" s="1115"/>
      <c r="C2849" s="1115"/>
      <c r="D2849" s="1115"/>
      <c r="E2849" s="1115"/>
      <c r="F2849" s="1115"/>
      <c r="G2849" s="1115"/>
      <c r="H2849" s="1115"/>
      <c r="I2849" s="1115"/>
      <c r="J2849" s="1115"/>
      <c r="K2849" s="1115"/>
      <c r="L2849" s="1115"/>
      <c r="M2849" s="1115"/>
    </row>
    <row r="2850" spans="1:13" x14ac:dyDescent="0.2">
      <c r="A2850" s="1115"/>
      <c r="B2850" s="1115"/>
      <c r="C2850" s="1115"/>
      <c r="D2850" s="1115"/>
      <c r="E2850" s="1115"/>
      <c r="F2850" s="1115"/>
      <c r="G2850" s="1115"/>
      <c r="H2850" s="1115"/>
      <c r="I2850" s="1115"/>
      <c r="J2850" s="1115"/>
      <c r="K2850" s="1115"/>
      <c r="L2850" s="1115"/>
      <c r="M2850" s="1115"/>
    </row>
    <row r="2851" spans="1:13" x14ac:dyDescent="0.2">
      <c r="A2851" s="1115"/>
      <c r="B2851" s="1115"/>
      <c r="C2851" s="1115"/>
      <c r="D2851" s="1115"/>
      <c r="E2851" s="1115"/>
      <c r="F2851" s="1115"/>
      <c r="G2851" s="1115"/>
      <c r="H2851" s="1115"/>
      <c r="I2851" s="1115"/>
      <c r="J2851" s="1115"/>
      <c r="K2851" s="1115"/>
      <c r="L2851" s="1115"/>
      <c r="M2851" s="1115"/>
    </row>
    <row r="2852" spans="1:13" x14ac:dyDescent="0.2">
      <c r="A2852" s="1115"/>
      <c r="B2852" s="1115"/>
      <c r="C2852" s="1115"/>
      <c r="D2852" s="1115"/>
      <c r="E2852" s="1115"/>
      <c r="F2852" s="1115"/>
      <c r="G2852" s="1115"/>
      <c r="H2852" s="1115"/>
      <c r="I2852" s="1115"/>
      <c r="J2852" s="1115"/>
      <c r="K2852" s="1115"/>
      <c r="L2852" s="1115"/>
      <c r="M2852" s="1115"/>
    </row>
    <row r="2853" spans="1:13" x14ac:dyDescent="0.2">
      <c r="A2853" s="1115"/>
      <c r="B2853" s="1115"/>
      <c r="C2853" s="1115"/>
      <c r="D2853" s="1115"/>
      <c r="E2853" s="1115"/>
      <c r="F2853" s="1115"/>
      <c r="G2853" s="1115"/>
      <c r="H2853" s="1115"/>
      <c r="I2853" s="1115"/>
      <c r="J2853" s="1115"/>
      <c r="K2853" s="1115"/>
      <c r="L2853" s="1115"/>
      <c r="M2853" s="1115"/>
    </row>
    <row r="2854" spans="1:13" x14ac:dyDescent="0.2">
      <c r="A2854" s="1115"/>
      <c r="B2854" s="1115"/>
      <c r="C2854" s="1115"/>
      <c r="D2854" s="1115"/>
      <c r="E2854" s="1115"/>
      <c r="F2854" s="1115"/>
      <c r="G2854" s="1115"/>
      <c r="H2854" s="1115"/>
      <c r="I2854" s="1115"/>
      <c r="J2854" s="1115"/>
      <c r="K2854" s="1115"/>
      <c r="L2854" s="1115"/>
      <c r="M2854" s="1115"/>
    </row>
    <row r="2855" spans="1:13" x14ac:dyDescent="0.2">
      <c r="A2855" s="1115"/>
      <c r="B2855" s="1115"/>
      <c r="C2855" s="1115"/>
      <c r="D2855" s="1115"/>
      <c r="E2855" s="1115"/>
      <c r="F2855" s="1115"/>
      <c r="G2855" s="1115"/>
      <c r="H2855" s="1115"/>
      <c r="I2855" s="1115"/>
      <c r="J2855" s="1115"/>
      <c r="K2855" s="1115"/>
      <c r="L2855" s="1115"/>
      <c r="M2855" s="1115"/>
    </row>
    <row r="2856" spans="1:13" x14ac:dyDescent="0.2">
      <c r="A2856" s="1115"/>
      <c r="B2856" s="1115"/>
      <c r="C2856" s="1115"/>
      <c r="D2856" s="1115"/>
      <c r="E2856" s="1115"/>
      <c r="F2856" s="1115"/>
      <c r="G2856" s="1115"/>
      <c r="H2856" s="1115"/>
      <c r="I2856" s="1115"/>
      <c r="J2856" s="1115"/>
      <c r="K2856" s="1115"/>
      <c r="L2856" s="1115"/>
      <c r="M2856" s="1115"/>
    </row>
    <row r="2857" spans="1:13" x14ac:dyDescent="0.2">
      <c r="A2857" s="1115"/>
      <c r="B2857" s="1115"/>
      <c r="C2857" s="1115"/>
      <c r="D2857" s="1115"/>
      <c r="E2857" s="1115"/>
      <c r="F2857" s="1115"/>
      <c r="G2857" s="1115"/>
      <c r="H2857" s="1115"/>
      <c r="I2857" s="1115"/>
      <c r="J2857" s="1115"/>
      <c r="K2857" s="1115"/>
      <c r="L2857" s="1115"/>
      <c r="M2857" s="1115"/>
    </row>
    <row r="2858" spans="1:13" x14ac:dyDescent="0.2">
      <c r="A2858" s="1115"/>
      <c r="B2858" s="1115"/>
      <c r="C2858" s="1115"/>
      <c r="D2858" s="1115"/>
      <c r="E2858" s="1115"/>
      <c r="F2858" s="1115"/>
      <c r="G2858" s="1115"/>
      <c r="H2858" s="1115"/>
      <c r="I2858" s="1115"/>
      <c r="J2858" s="1115"/>
      <c r="K2858" s="1115"/>
      <c r="L2858" s="1115"/>
      <c r="M2858" s="1115"/>
    </row>
    <row r="2859" spans="1:13" x14ac:dyDescent="0.2">
      <c r="A2859" s="1115"/>
      <c r="B2859" s="1115"/>
      <c r="C2859" s="1115"/>
      <c r="D2859" s="1115"/>
      <c r="E2859" s="1115"/>
      <c r="F2859" s="1115"/>
      <c r="G2859" s="1115"/>
      <c r="H2859" s="1115"/>
      <c r="I2859" s="1115"/>
      <c r="J2859" s="1115"/>
      <c r="K2859" s="1115"/>
      <c r="L2859" s="1115"/>
      <c r="M2859" s="1115"/>
    </row>
    <row r="2860" spans="1:13" x14ac:dyDescent="0.2">
      <c r="A2860" s="1115"/>
      <c r="B2860" s="1115"/>
      <c r="C2860" s="1115"/>
      <c r="D2860" s="1115"/>
      <c r="E2860" s="1115"/>
      <c r="F2860" s="1115"/>
      <c r="G2860" s="1115"/>
      <c r="H2860" s="1115"/>
      <c r="I2860" s="1115"/>
      <c r="J2860" s="1115"/>
      <c r="K2860" s="1115"/>
      <c r="L2860" s="1115"/>
      <c r="M2860" s="1115"/>
    </row>
    <row r="2861" spans="1:13" x14ac:dyDescent="0.2">
      <c r="A2861" s="1115"/>
      <c r="B2861" s="1115"/>
      <c r="C2861" s="1115"/>
      <c r="D2861" s="1115"/>
      <c r="E2861" s="1115"/>
      <c r="F2861" s="1115"/>
      <c r="G2861" s="1115"/>
      <c r="H2861" s="1115"/>
      <c r="I2861" s="1115"/>
      <c r="J2861" s="1115"/>
      <c r="K2861" s="1115"/>
      <c r="L2861" s="1115"/>
      <c r="M2861" s="1115"/>
    </row>
    <row r="2862" spans="1:13" x14ac:dyDescent="0.2">
      <c r="A2862" s="1115"/>
      <c r="B2862" s="1115"/>
      <c r="C2862" s="1115"/>
      <c r="D2862" s="1115"/>
      <c r="E2862" s="1115"/>
      <c r="F2862" s="1115"/>
      <c r="G2862" s="1115"/>
      <c r="H2862" s="1115"/>
      <c r="I2862" s="1115"/>
      <c r="J2862" s="1115"/>
      <c r="K2862" s="1115"/>
      <c r="L2862" s="1115"/>
      <c r="M2862" s="1115"/>
    </row>
    <row r="2863" spans="1:13" x14ac:dyDescent="0.2">
      <c r="A2863" s="1115"/>
      <c r="B2863" s="1115"/>
      <c r="C2863" s="1115"/>
      <c r="D2863" s="1115"/>
      <c r="E2863" s="1115"/>
      <c r="F2863" s="1115"/>
      <c r="G2863" s="1115"/>
      <c r="H2863" s="1115"/>
      <c r="I2863" s="1115"/>
      <c r="J2863" s="1115"/>
      <c r="K2863" s="1115"/>
      <c r="L2863" s="1115"/>
      <c r="M2863" s="1115"/>
    </row>
    <row r="2864" spans="1:13" x14ac:dyDescent="0.2">
      <c r="A2864" s="1115"/>
      <c r="B2864" s="1115"/>
      <c r="C2864" s="1115"/>
      <c r="D2864" s="1115"/>
      <c r="E2864" s="1115"/>
      <c r="F2864" s="1115"/>
      <c r="G2864" s="1115"/>
      <c r="H2864" s="1115"/>
      <c r="I2864" s="1115"/>
      <c r="J2864" s="1115"/>
      <c r="K2864" s="1115"/>
      <c r="L2864" s="1115"/>
      <c r="M2864" s="1115"/>
    </row>
    <row r="2865" spans="1:13" x14ac:dyDescent="0.2">
      <c r="A2865" s="1115"/>
      <c r="B2865" s="1115"/>
      <c r="C2865" s="1115"/>
      <c r="D2865" s="1115"/>
      <c r="E2865" s="1115"/>
      <c r="F2865" s="1115"/>
      <c r="G2865" s="1115"/>
      <c r="H2865" s="1115"/>
      <c r="I2865" s="1115"/>
      <c r="J2865" s="1115"/>
      <c r="K2865" s="1115"/>
      <c r="L2865" s="1115"/>
      <c r="M2865" s="1115"/>
    </row>
    <row r="2866" spans="1:13" x14ac:dyDescent="0.2">
      <c r="A2866" s="1115"/>
      <c r="B2866" s="1115"/>
      <c r="C2866" s="1115"/>
      <c r="D2866" s="1115"/>
      <c r="E2866" s="1115"/>
      <c r="F2866" s="1115"/>
      <c r="G2866" s="1115"/>
      <c r="H2866" s="1115"/>
      <c r="I2866" s="1115"/>
      <c r="J2866" s="1115"/>
      <c r="K2866" s="1115"/>
      <c r="L2866" s="1115"/>
      <c r="M2866" s="1115"/>
    </row>
    <row r="2867" spans="1:13" x14ac:dyDescent="0.2">
      <c r="A2867" s="1115"/>
      <c r="B2867" s="1115"/>
      <c r="C2867" s="1115"/>
      <c r="D2867" s="1115"/>
      <c r="E2867" s="1115"/>
      <c r="F2867" s="1115"/>
      <c r="G2867" s="1115"/>
      <c r="H2867" s="1115"/>
      <c r="I2867" s="1115"/>
      <c r="J2867" s="1115"/>
      <c r="K2867" s="1115"/>
      <c r="L2867" s="1115"/>
      <c r="M2867" s="1115"/>
    </row>
    <row r="2868" spans="1:13" x14ac:dyDescent="0.2">
      <c r="A2868" s="1115"/>
      <c r="B2868" s="1115"/>
      <c r="C2868" s="1115"/>
      <c r="D2868" s="1115"/>
      <c r="E2868" s="1115"/>
      <c r="F2868" s="1115"/>
      <c r="G2868" s="1115"/>
      <c r="H2868" s="1115"/>
      <c r="I2868" s="1115"/>
      <c r="J2868" s="1115"/>
      <c r="K2868" s="1115"/>
      <c r="L2868" s="1115"/>
      <c r="M2868" s="1115"/>
    </row>
    <row r="2869" spans="1:13" x14ac:dyDescent="0.2">
      <c r="A2869" s="1115"/>
      <c r="B2869" s="1115"/>
      <c r="C2869" s="1115"/>
      <c r="D2869" s="1115"/>
      <c r="E2869" s="1115"/>
      <c r="F2869" s="1115"/>
      <c r="G2869" s="1115"/>
      <c r="H2869" s="1115"/>
      <c r="I2869" s="1115"/>
      <c r="J2869" s="1115"/>
      <c r="K2869" s="1115"/>
      <c r="L2869" s="1115"/>
      <c r="M2869" s="1115"/>
    </row>
    <row r="2870" spans="1:13" x14ac:dyDescent="0.2">
      <c r="A2870" s="1115"/>
      <c r="B2870" s="1115"/>
      <c r="C2870" s="1115"/>
      <c r="D2870" s="1115"/>
      <c r="E2870" s="1115"/>
      <c r="F2870" s="1115"/>
      <c r="G2870" s="1115"/>
      <c r="H2870" s="1115"/>
      <c r="I2870" s="1115"/>
      <c r="J2870" s="1115"/>
      <c r="K2870" s="1115"/>
      <c r="L2870" s="1115"/>
      <c r="M2870" s="1115"/>
    </row>
    <row r="2871" spans="1:13" x14ac:dyDescent="0.2">
      <c r="A2871" s="1115"/>
      <c r="B2871" s="1115"/>
      <c r="C2871" s="1115"/>
      <c r="D2871" s="1115"/>
      <c r="E2871" s="1115"/>
      <c r="F2871" s="1115"/>
      <c r="G2871" s="1115"/>
      <c r="H2871" s="1115"/>
      <c r="I2871" s="1115"/>
      <c r="J2871" s="1115"/>
      <c r="K2871" s="1115"/>
      <c r="L2871" s="1115"/>
      <c r="M2871" s="1115"/>
    </row>
    <row r="2872" spans="1:13" x14ac:dyDescent="0.2">
      <c r="A2872" s="1115"/>
      <c r="B2872" s="1115"/>
      <c r="C2872" s="1115"/>
      <c r="D2872" s="1115"/>
      <c r="E2872" s="1115"/>
      <c r="F2872" s="1115"/>
      <c r="G2872" s="1115"/>
      <c r="H2872" s="1115"/>
      <c r="I2872" s="1115"/>
      <c r="J2872" s="1115"/>
      <c r="K2872" s="1115"/>
      <c r="L2872" s="1115"/>
      <c r="M2872" s="1115"/>
    </row>
    <row r="2873" spans="1:13" x14ac:dyDescent="0.2">
      <c r="A2873" s="1115"/>
      <c r="B2873" s="1115"/>
      <c r="C2873" s="1115"/>
      <c r="D2873" s="1115"/>
      <c r="E2873" s="1115"/>
      <c r="F2873" s="1115"/>
      <c r="G2873" s="1115"/>
      <c r="H2873" s="1115"/>
      <c r="I2873" s="1115"/>
      <c r="J2873" s="1115"/>
      <c r="K2873" s="1115"/>
      <c r="L2873" s="1115"/>
      <c r="M2873" s="1115"/>
    </row>
    <row r="2874" spans="1:13" x14ac:dyDescent="0.2">
      <c r="A2874" s="1115"/>
      <c r="B2874" s="1115"/>
      <c r="C2874" s="1115"/>
      <c r="D2874" s="1115"/>
      <c r="E2874" s="1115"/>
      <c r="F2874" s="1115"/>
      <c r="G2874" s="1115"/>
      <c r="H2874" s="1115"/>
      <c r="I2874" s="1115"/>
      <c r="J2874" s="1115"/>
      <c r="K2874" s="1115"/>
      <c r="L2874" s="1115"/>
      <c r="M2874" s="1115"/>
    </row>
    <row r="2875" spans="1:13" x14ac:dyDescent="0.2">
      <c r="A2875" s="1115"/>
      <c r="B2875" s="1115"/>
      <c r="C2875" s="1115"/>
      <c r="D2875" s="1115"/>
      <c r="E2875" s="1115"/>
      <c r="F2875" s="1115"/>
      <c r="G2875" s="1115"/>
      <c r="H2875" s="1115"/>
      <c r="I2875" s="1115"/>
      <c r="J2875" s="1115"/>
      <c r="K2875" s="1115"/>
      <c r="L2875" s="1115"/>
      <c r="M2875" s="1115"/>
    </row>
    <row r="2876" spans="1:13" x14ac:dyDescent="0.2">
      <c r="A2876" s="1115"/>
      <c r="B2876" s="1115"/>
      <c r="C2876" s="1115"/>
      <c r="D2876" s="1115"/>
      <c r="E2876" s="1115"/>
      <c r="F2876" s="1115"/>
      <c r="G2876" s="1115"/>
      <c r="H2876" s="1115"/>
      <c r="I2876" s="1115"/>
      <c r="J2876" s="1115"/>
      <c r="K2876" s="1115"/>
      <c r="L2876" s="1115"/>
      <c r="M2876" s="1115"/>
    </row>
    <row r="2877" spans="1:13" x14ac:dyDescent="0.2">
      <c r="A2877" s="1115"/>
      <c r="B2877" s="1115"/>
      <c r="C2877" s="1115"/>
      <c r="D2877" s="1115"/>
      <c r="E2877" s="1115"/>
      <c r="F2877" s="1115"/>
      <c r="G2877" s="1115"/>
      <c r="H2877" s="1115"/>
      <c r="I2877" s="1115"/>
      <c r="J2877" s="1115"/>
      <c r="K2877" s="1115"/>
      <c r="L2877" s="1115"/>
      <c r="M2877" s="1115"/>
    </row>
    <row r="2878" spans="1:13" x14ac:dyDescent="0.2">
      <c r="A2878" s="1115"/>
      <c r="B2878" s="1115"/>
      <c r="C2878" s="1115"/>
      <c r="D2878" s="1115"/>
      <c r="E2878" s="1115"/>
      <c r="F2878" s="1115"/>
      <c r="G2878" s="1115"/>
      <c r="H2878" s="1115"/>
      <c r="I2878" s="1115"/>
      <c r="J2878" s="1115"/>
      <c r="K2878" s="1115"/>
      <c r="L2878" s="1115"/>
      <c r="M2878" s="1115"/>
    </row>
    <row r="2879" spans="1:13" x14ac:dyDescent="0.2">
      <c r="A2879" s="1115"/>
      <c r="B2879" s="1115"/>
      <c r="C2879" s="1115"/>
      <c r="D2879" s="1115"/>
      <c r="E2879" s="1115"/>
      <c r="F2879" s="1115"/>
      <c r="G2879" s="1115"/>
      <c r="H2879" s="1115"/>
      <c r="I2879" s="1115"/>
      <c r="J2879" s="1115"/>
      <c r="K2879" s="1115"/>
      <c r="L2879" s="1115"/>
      <c r="M2879" s="1115"/>
    </row>
    <row r="2880" spans="1:13" x14ac:dyDescent="0.2">
      <c r="A2880" s="1115"/>
      <c r="B2880" s="1115"/>
      <c r="C2880" s="1115"/>
      <c r="D2880" s="1115"/>
      <c r="E2880" s="1115"/>
      <c r="F2880" s="1115"/>
      <c r="G2880" s="1115"/>
      <c r="H2880" s="1115"/>
      <c r="I2880" s="1115"/>
      <c r="J2880" s="1115"/>
      <c r="K2880" s="1115"/>
      <c r="L2880" s="1115"/>
      <c r="M2880" s="1115"/>
    </row>
    <row r="2881" spans="1:13" x14ac:dyDescent="0.2">
      <c r="A2881" s="1115"/>
      <c r="B2881" s="1115"/>
      <c r="C2881" s="1115"/>
      <c r="D2881" s="1115"/>
      <c r="E2881" s="1115"/>
      <c r="F2881" s="1115"/>
      <c r="G2881" s="1115"/>
      <c r="H2881" s="1115"/>
      <c r="I2881" s="1115"/>
      <c r="J2881" s="1115"/>
      <c r="K2881" s="1115"/>
      <c r="L2881" s="1115"/>
      <c r="M2881" s="1115"/>
    </row>
    <row r="2882" spans="1:13" x14ac:dyDescent="0.2">
      <c r="A2882" s="1115"/>
      <c r="B2882" s="1115"/>
      <c r="C2882" s="1115"/>
      <c r="D2882" s="1115"/>
      <c r="E2882" s="1115"/>
      <c r="F2882" s="1115"/>
      <c r="G2882" s="1115"/>
      <c r="H2882" s="1115"/>
      <c r="I2882" s="1115"/>
      <c r="J2882" s="1115"/>
      <c r="K2882" s="1115"/>
      <c r="L2882" s="1115"/>
      <c r="M2882" s="1115"/>
    </row>
    <row r="2883" spans="1:13" x14ac:dyDescent="0.2">
      <c r="A2883" s="1115"/>
      <c r="B2883" s="1115"/>
      <c r="C2883" s="1115"/>
      <c r="D2883" s="1115"/>
      <c r="E2883" s="1115"/>
      <c r="F2883" s="1115"/>
      <c r="G2883" s="1115"/>
      <c r="H2883" s="1115"/>
      <c r="I2883" s="1115"/>
      <c r="J2883" s="1115"/>
      <c r="K2883" s="1115"/>
      <c r="L2883" s="1115"/>
      <c r="M2883" s="1115"/>
    </row>
    <row r="2884" spans="1:13" x14ac:dyDescent="0.2">
      <c r="A2884" s="1115"/>
      <c r="B2884" s="1115"/>
      <c r="C2884" s="1115"/>
      <c r="D2884" s="1115"/>
      <c r="E2884" s="1115"/>
      <c r="F2884" s="1115"/>
      <c r="G2884" s="1115"/>
      <c r="H2884" s="1115"/>
      <c r="I2884" s="1115"/>
      <c r="J2884" s="1115"/>
      <c r="K2884" s="1115"/>
      <c r="L2884" s="1115"/>
      <c r="M2884" s="1115"/>
    </row>
    <row r="2885" spans="1:13" x14ac:dyDescent="0.2">
      <c r="A2885" s="1115"/>
      <c r="B2885" s="1115"/>
      <c r="C2885" s="1115"/>
      <c r="D2885" s="1115"/>
      <c r="E2885" s="1115"/>
      <c r="F2885" s="1115"/>
      <c r="G2885" s="1115"/>
      <c r="H2885" s="1115"/>
      <c r="I2885" s="1115"/>
      <c r="J2885" s="1115"/>
      <c r="K2885" s="1115"/>
      <c r="L2885" s="1115"/>
      <c r="M2885" s="1115"/>
    </row>
    <row r="2886" spans="1:13" x14ac:dyDescent="0.2">
      <c r="A2886" s="1115"/>
      <c r="B2886" s="1115"/>
      <c r="C2886" s="1115"/>
      <c r="D2886" s="1115"/>
      <c r="E2886" s="1115"/>
      <c r="F2886" s="1115"/>
      <c r="G2886" s="1115"/>
      <c r="H2886" s="1115"/>
      <c r="I2886" s="1115"/>
      <c r="J2886" s="1115"/>
      <c r="K2886" s="1115"/>
      <c r="L2886" s="1115"/>
      <c r="M2886" s="1115"/>
    </row>
    <row r="2887" spans="1:13" x14ac:dyDescent="0.2">
      <c r="A2887" s="1115"/>
      <c r="B2887" s="1115"/>
      <c r="C2887" s="1115"/>
      <c r="D2887" s="1115"/>
      <c r="E2887" s="1115"/>
      <c r="F2887" s="1115"/>
      <c r="G2887" s="1115"/>
      <c r="H2887" s="1115"/>
      <c r="I2887" s="1115"/>
      <c r="J2887" s="1115"/>
      <c r="K2887" s="1115"/>
      <c r="L2887" s="1115"/>
      <c r="M2887" s="1115"/>
    </row>
    <row r="2888" spans="1:13" x14ac:dyDescent="0.2">
      <c r="A2888" s="1115"/>
      <c r="B2888" s="1115"/>
      <c r="C2888" s="1115"/>
      <c r="D2888" s="1115"/>
      <c r="E2888" s="1115"/>
      <c r="F2888" s="1115"/>
      <c r="G2888" s="1115"/>
      <c r="H2888" s="1115"/>
      <c r="I2888" s="1115"/>
      <c r="J2888" s="1115"/>
      <c r="K2888" s="1115"/>
      <c r="L2888" s="1115"/>
      <c r="M2888" s="1115"/>
    </row>
    <row r="2889" spans="1:13" x14ac:dyDescent="0.2">
      <c r="A2889" s="1115"/>
      <c r="B2889" s="1115"/>
      <c r="C2889" s="1115"/>
      <c r="D2889" s="1115"/>
      <c r="E2889" s="1115"/>
      <c r="F2889" s="1115"/>
      <c r="G2889" s="1115"/>
      <c r="H2889" s="1115"/>
      <c r="I2889" s="1115"/>
      <c r="J2889" s="1115"/>
      <c r="K2889" s="1115"/>
      <c r="L2889" s="1115"/>
      <c r="M2889" s="1115"/>
    </row>
    <row r="2890" spans="1:13" x14ac:dyDescent="0.2">
      <c r="A2890" s="1115"/>
      <c r="B2890" s="1115"/>
      <c r="C2890" s="1115"/>
      <c r="D2890" s="1115"/>
      <c r="E2890" s="1115"/>
      <c r="F2890" s="1115"/>
      <c r="G2890" s="1115"/>
      <c r="H2890" s="1115"/>
      <c r="I2890" s="1115"/>
      <c r="J2890" s="1115"/>
      <c r="K2890" s="1115"/>
      <c r="L2890" s="1115"/>
      <c r="M2890" s="1115"/>
    </row>
    <row r="2891" spans="1:13" x14ac:dyDescent="0.2">
      <c r="A2891" s="1115"/>
      <c r="B2891" s="1115"/>
      <c r="C2891" s="1115"/>
      <c r="D2891" s="1115"/>
      <c r="E2891" s="1115"/>
      <c r="F2891" s="1115"/>
      <c r="G2891" s="1115"/>
      <c r="H2891" s="1115"/>
      <c r="I2891" s="1115"/>
      <c r="J2891" s="1115"/>
      <c r="K2891" s="1115"/>
      <c r="L2891" s="1115"/>
      <c r="M2891" s="1115"/>
    </row>
    <row r="2892" spans="1:13" x14ac:dyDescent="0.2">
      <c r="A2892" s="1115"/>
      <c r="B2892" s="1115"/>
      <c r="C2892" s="1115"/>
      <c r="D2892" s="1115"/>
      <c r="E2892" s="1115"/>
      <c r="F2892" s="1115"/>
      <c r="G2892" s="1115"/>
      <c r="H2892" s="1115"/>
      <c r="I2892" s="1115"/>
      <c r="J2892" s="1115"/>
      <c r="K2892" s="1115"/>
      <c r="L2892" s="1115"/>
      <c r="M2892" s="1115"/>
    </row>
    <row r="2893" spans="1:13" x14ac:dyDescent="0.2">
      <c r="A2893" s="1115"/>
      <c r="B2893" s="1115"/>
      <c r="C2893" s="1115"/>
      <c r="D2893" s="1115"/>
      <c r="E2893" s="1115"/>
      <c r="F2893" s="1115"/>
      <c r="G2893" s="1115"/>
      <c r="H2893" s="1115"/>
      <c r="I2893" s="1115"/>
      <c r="J2893" s="1115"/>
      <c r="K2893" s="1115"/>
      <c r="L2893" s="1115"/>
      <c r="M2893" s="1115"/>
    </row>
    <row r="2894" spans="1:13" x14ac:dyDescent="0.2">
      <c r="A2894" s="1115"/>
      <c r="B2894" s="1115"/>
      <c r="C2894" s="1115"/>
      <c r="D2894" s="1115"/>
      <c r="E2894" s="1115"/>
      <c r="F2894" s="1115"/>
      <c r="G2894" s="1115"/>
      <c r="H2894" s="1115"/>
      <c r="I2894" s="1115"/>
      <c r="J2894" s="1115"/>
      <c r="K2894" s="1115"/>
      <c r="L2894" s="1115"/>
      <c r="M2894" s="1115"/>
    </row>
    <row r="2895" spans="1:13" x14ac:dyDescent="0.2">
      <c r="A2895" s="1115"/>
      <c r="B2895" s="1115"/>
      <c r="C2895" s="1115"/>
      <c r="D2895" s="1115"/>
      <c r="E2895" s="1115"/>
      <c r="F2895" s="1115"/>
      <c r="G2895" s="1115"/>
      <c r="H2895" s="1115"/>
      <c r="I2895" s="1115"/>
      <c r="J2895" s="1115"/>
      <c r="K2895" s="1115"/>
      <c r="L2895" s="1115"/>
      <c r="M2895" s="1115"/>
    </row>
    <row r="2896" spans="1:13" x14ac:dyDescent="0.2">
      <c r="A2896" s="1115"/>
      <c r="B2896" s="1115"/>
      <c r="C2896" s="1115"/>
      <c r="D2896" s="1115"/>
      <c r="E2896" s="1115"/>
      <c r="F2896" s="1115"/>
      <c r="G2896" s="1115"/>
      <c r="H2896" s="1115"/>
      <c r="I2896" s="1115"/>
      <c r="J2896" s="1115"/>
      <c r="K2896" s="1115"/>
      <c r="L2896" s="1115"/>
      <c r="M2896" s="1115"/>
    </row>
    <row r="2897" spans="1:13" x14ac:dyDescent="0.2">
      <c r="A2897" s="1115"/>
      <c r="B2897" s="1115"/>
      <c r="C2897" s="1115"/>
      <c r="D2897" s="1115"/>
      <c r="E2897" s="1115"/>
      <c r="F2897" s="1115"/>
      <c r="G2897" s="1115"/>
      <c r="H2897" s="1115"/>
      <c r="I2897" s="1115"/>
      <c r="J2897" s="1115"/>
      <c r="K2897" s="1115"/>
      <c r="L2897" s="1115"/>
      <c r="M2897" s="1115"/>
    </row>
    <row r="2898" spans="1:13" x14ac:dyDescent="0.2">
      <c r="A2898" s="1115"/>
      <c r="B2898" s="1115"/>
      <c r="C2898" s="1115"/>
      <c r="D2898" s="1115"/>
      <c r="E2898" s="1115"/>
      <c r="F2898" s="1115"/>
      <c r="G2898" s="1115"/>
      <c r="H2898" s="1115"/>
      <c r="I2898" s="1115"/>
      <c r="J2898" s="1115"/>
      <c r="K2898" s="1115"/>
      <c r="L2898" s="1115"/>
      <c r="M2898" s="1115"/>
    </row>
    <row r="2899" spans="1:13" x14ac:dyDescent="0.2">
      <c r="A2899" s="1115"/>
      <c r="B2899" s="1115"/>
      <c r="C2899" s="1115"/>
      <c r="D2899" s="1115"/>
      <c r="E2899" s="1115"/>
      <c r="F2899" s="1115"/>
      <c r="G2899" s="1115"/>
      <c r="H2899" s="1115"/>
      <c r="I2899" s="1115"/>
      <c r="J2899" s="1115"/>
      <c r="K2899" s="1115"/>
      <c r="L2899" s="1115"/>
      <c r="M2899" s="1115"/>
    </row>
    <row r="2900" spans="1:13" x14ac:dyDescent="0.2">
      <c r="A2900" s="1115"/>
      <c r="B2900" s="1115"/>
      <c r="C2900" s="1115"/>
      <c r="D2900" s="1115"/>
      <c r="E2900" s="1115"/>
      <c r="F2900" s="1115"/>
      <c r="G2900" s="1115"/>
      <c r="H2900" s="1115"/>
      <c r="I2900" s="1115"/>
      <c r="J2900" s="1115"/>
      <c r="K2900" s="1115"/>
      <c r="L2900" s="1115"/>
      <c r="M2900" s="1115"/>
    </row>
    <row r="2901" spans="1:13" x14ac:dyDescent="0.2">
      <c r="A2901" s="1115"/>
      <c r="B2901" s="1115"/>
      <c r="C2901" s="1115"/>
      <c r="D2901" s="1115"/>
      <c r="E2901" s="1115"/>
      <c r="F2901" s="1115"/>
      <c r="G2901" s="1115"/>
      <c r="H2901" s="1115"/>
      <c r="I2901" s="1115"/>
      <c r="J2901" s="1115"/>
      <c r="K2901" s="1115"/>
      <c r="L2901" s="1115"/>
      <c r="M2901" s="1115"/>
    </row>
    <row r="2902" spans="1:13" x14ac:dyDescent="0.2">
      <c r="A2902" s="1115"/>
      <c r="B2902" s="1115"/>
      <c r="C2902" s="1115"/>
      <c r="D2902" s="1115"/>
      <c r="E2902" s="1115"/>
      <c r="F2902" s="1115"/>
      <c r="G2902" s="1115"/>
      <c r="H2902" s="1115"/>
      <c r="I2902" s="1115"/>
      <c r="J2902" s="1115"/>
      <c r="K2902" s="1115"/>
      <c r="L2902" s="1115"/>
      <c r="M2902" s="1115"/>
    </row>
    <row r="2903" spans="1:13" x14ac:dyDescent="0.2">
      <c r="A2903" s="1115"/>
      <c r="B2903" s="1115"/>
      <c r="C2903" s="1115"/>
      <c r="D2903" s="1115"/>
      <c r="E2903" s="1115"/>
      <c r="F2903" s="1115"/>
      <c r="G2903" s="1115"/>
      <c r="H2903" s="1115"/>
      <c r="I2903" s="1115"/>
      <c r="J2903" s="1115"/>
      <c r="K2903" s="1115"/>
      <c r="L2903" s="1115"/>
      <c r="M2903" s="1115"/>
    </row>
    <row r="2904" spans="1:13" x14ac:dyDescent="0.2">
      <c r="A2904" s="1115"/>
      <c r="B2904" s="1115"/>
      <c r="C2904" s="1115"/>
      <c r="D2904" s="1115"/>
      <c r="E2904" s="1115"/>
      <c r="F2904" s="1115"/>
      <c r="G2904" s="1115"/>
      <c r="H2904" s="1115"/>
      <c r="I2904" s="1115"/>
      <c r="J2904" s="1115"/>
      <c r="K2904" s="1115"/>
      <c r="L2904" s="1115"/>
      <c r="M2904" s="1115"/>
    </row>
    <row r="2905" spans="1:13" x14ac:dyDescent="0.2">
      <c r="A2905" s="1115"/>
      <c r="B2905" s="1115"/>
      <c r="C2905" s="1115"/>
      <c r="D2905" s="1115"/>
      <c r="E2905" s="1115"/>
      <c r="F2905" s="1115"/>
      <c r="G2905" s="1115"/>
      <c r="H2905" s="1115"/>
      <c r="I2905" s="1115"/>
      <c r="J2905" s="1115"/>
      <c r="K2905" s="1115"/>
      <c r="L2905" s="1115"/>
      <c r="M2905" s="1115"/>
    </row>
    <row r="2906" spans="1:13" x14ac:dyDescent="0.2">
      <c r="A2906" s="1115"/>
      <c r="B2906" s="1115"/>
      <c r="C2906" s="1115"/>
      <c r="D2906" s="1115"/>
      <c r="E2906" s="1115"/>
      <c r="F2906" s="1115"/>
      <c r="G2906" s="1115"/>
      <c r="H2906" s="1115"/>
      <c r="I2906" s="1115"/>
      <c r="J2906" s="1115"/>
      <c r="K2906" s="1115"/>
      <c r="L2906" s="1115"/>
      <c r="M2906" s="1115"/>
    </row>
    <row r="2907" spans="1:13" x14ac:dyDescent="0.2">
      <c r="A2907" s="1115"/>
      <c r="B2907" s="1115"/>
      <c r="C2907" s="1115"/>
      <c r="D2907" s="1115"/>
      <c r="E2907" s="1115"/>
      <c r="F2907" s="1115"/>
      <c r="G2907" s="1115"/>
      <c r="H2907" s="1115"/>
      <c r="I2907" s="1115"/>
      <c r="J2907" s="1115"/>
      <c r="K2907" s="1115"/>
      <c r="L2907" s="1115"/>
      <c r="M2907" s="1115"/>
    </row>
    <row r="2908" spans="1:13" x14ac:dyDescent="0.2">
      <c r="A2908" s="1115"/>
      <c r="B2908" s="1115"/>
      <c r="C2908" s="1115"/>
      <c r="D2908" s="1115"/>
      <c r="E2908" s="1115"/>
      <c r="F2908" s="1115"/>
      <c r="G2908" s="1115"/>
      <c r="H2908" s="1115"/>
      <c r="I2908" s="1115"/>
      <c r="J2908" s="1115"/>
      <c r="K2908" s="1115"/>
      <c r="L2908" s="1115"/>
      <c r="M2908" s="1115"/>
    </row>
    <row r="2909" spans="1:13" x14ac:dyDescent="0.2">
      <c r="A2909" s="1115"/>
      <c r="B2909" s="1115"/>
      <c r="C2909" s="1115"/>
      <c r="D2909" s="1115"/>
      <c r="E2909" s="1115"/>
      <c r="F2909" s="1115"/>
      <c r="G2909" s="1115"/>
      <c r="H2909" s="1115"/>
      <c r="I2909" s="1115"/>
      <c r="J2909" s="1115"/>
      <c r="K2909" s="1115"/>
      <c r="L2909" s="1115"/>
      <c r="M2909" s="1115"/>
    </row>
    <row r="2910" spans="1:13" x14ac:dyDescent="0.2">
      <c r="A2910" s="1115"/>
      <c r="B2910" s="1115"/>
      <c r="C2910" s="1115"/>
      <c r="D2910" s="1115"/>
      <c r="E2910" s="1115"/>
      <c r="F2910" s="1115"/>
      <c r="G2910" s="1115"/>
      <c r="H2910" s="1115"/>
      <c r="I2910" s="1115"/>
      <c r="J2910" s="1115"/>
      <c r="K2910" s="1115"/>
      <c r="L2910" s="1115"/>
      <c r="M2910" s="1115"/>
    </row>
    <row r="2911" spans="1:13" x14ac:dyDescent="0.2">
      <c r="A2911" s="1115"/>
      <c r="B2911" s="1115"/>
      <c r="C2911" s="1115"/>
      <c r="D2911" s="1115"/>
      <c r="E2911" s="1115"/>
      <c r="F2911" s="1115"/>
      <c r="G2911" s="1115"/>
      <c r="H2911" s="1115"/>
      <c r="I2911" s="1115"/>
      <c r="J2911" s="1115"/>
      <c r="K2911" s="1115"/>
      <c r="L2911" s="1115"/>
      <c r="M2911" s="1115"/>
    </row>
    <row r="2912" spans="1:13" x14ac:dyDescent="0.2">
      <c r="A2912" s="1115"/>
      <c r="B2912" s="1115"/>
      <c r="C2912" s="1115"/>
      <c r="D2912" s="1115"/>
      <c r="E2912" s="1115"/>
      <c r="F2912" s="1115"/>
      <c r="G2912" s="1115"/>
      <c r="H2912" s="1115"/>
      <c r="I2912" s="1115"/>
      <c r="J2912" s="1115"/>
      <c r="K2912" s="1115"/>
      <c r="L2912" s="1115"/>
      <c r="M2912" s="1115"/>
    </row>
    <row r="2913" spans="1:13" x14ac:dyDescent="0.2">
      <c r="A2913" s="1115"/>
      <c r="B2913" s="1115"/>
      <c r="C2913" s="1115"/>
      <c r="D2913" s="1115"/>
      <c r="E2913" s="1115"/>
      <c r="F2913" s="1115"/>
      <c r="G2913" s="1115"/>
      <c r="H2913" s="1115"/>
      <c r="I2913" s="1115"/>
      <c r="J2913" s="1115"/>
      <c r="K2913" s="1115"/>
      <c r="L2913" s="1115"/>
      <c r="M2913" s="1115"/>
    </row>
    <row r="2914" spans="1:13" x14ac:dyDescent="0.2">
      <c r="A2914" s="1115"/>
      <c r="B2914" s="1115"/>
      <c r="C2914" s="1115"/>
      <c r="D2914" s="1115"/>
      <c r="E2914" s="1115"/>
      <c r="F2914" s="1115"/>
      <c r="G2914" s="1115"/>
      <c r="H2914" s="1115"/>
      <c r="I2914" s="1115"/>
      <c r="J2914" s="1115"/>
      <c r="K2914" s="1115"/>
      <c r="L2914" s="1115"/>
      <c r="M2914" s="1115"/>
    </row>
    <row r="2915" spans="1:13" x14ac:dyDescent="0.2">
      <c r="A2915" s="1115"/>
      <c r="B2915" s="1115"/>
      <c r="C2915" s="1115"/>
      <c r="D2915" s="1115"/>
      <c r="E2915" s="1115"/>
      <c r="F2915" s="1115"/>
      <c r="G2915" s="1115"/>
      <c r="H2915" s="1115"/>
      <c r="I2915" s="1115"/>
      <c r="J2915" s="1115"/>
      <c r="K2915" s="1115"/>
      <c r="L2915" s="1115"/>
      <c r="M2915" s="1115"/>
    </row>
    <row r="2916" spans="1:13" x14ac:dyDescent="0.2">
      <c r="A2916" s="1115"/>
      <c r="B2916" s="1115"/>
      <c r="C2916" s="1115"/>
      <c r="D2916" s="1115"/>
      <c r="E2916" s="1115"/>
      <c r="F2916" s="1115"/>
      <c r="G2916" s="1115"/>
      <c r="H2916" s="1115"/>
      <c r="I2916" s="1115"/>
      <c r="J2916" s="1115"/>
      <c r="K2916" s="1115"/>
      <c r="L2916" s="1115"/>
      <c r="M2916" s="1115"/>
    </row>
    <row r="2917" spans="1:13" x14ac:dyDescent="0.2">
      <c r="A2917" s="1115"/>
      <c r="B2917" s="1115"/>
      <c r="C2917" s="1115"/>
      <c r="D2917" s="1115"/>
      <c r="E2917" s="1115"/>
      <c r="F2917" s="1115"/>
      <c r="G2917" s="1115"/>
      <c r="H2917" s="1115"/>
      <c r="I2917" s="1115"/>
      <c r="J2917" s="1115"/>
      <c r="K2917" s="1115"/>
      <c r="L2917" s="1115"/>
      <c r="M2917" s="1115"/>
    </row>
    <row r="2918" spans="1:13" x14ac:dyDescent="0.2">
      <c r="A2918" s="1115"/>
      <c r="B2918" s="1115"/>
      <c r="C2918" s="1115"/>
      <c r="D2918" s="1115"/>
      <c r="E2918" s="1115"/>
      <c r="F2918" s="1115"/>
      <c r="G2918" s="1115"/>
      <c r="H2918" s="1115"/>
      <c r="I2918" s="1115"/>
      <c r="J2918" s="1115"/>
      <c r="K2918" s="1115"/>
      <c r="L2918" s="1115"/>
      <c r="M2918" s="1115"/>
    </row>
    <row r="2919" spans="1:13" x14ac:dyDescent="0.2">
      <c r="A2919" s="1115"/>
      <c r="B2919" s="1115"/>
      <c r="C2919" s="1115"/>
      <c r="D2919" s="1115"/>
      <c r="E2919" s="1115"/>
      <c r="F2919" s="1115"/>
      <c r="G2919" s="1115"/>
      <c r="H2919" s="1115"/>
      <c r="I2919" s="1115"/>
      <c r="J2919" s="1115"/>
      <c r="K2919" s="1115"/>
      <c r="L2919" s="1115"/>
      <c r="M2919" s="1115"/>
    </row>
    <row r="2920" spans="1:13" x14ac:dyDescent="0.2">
      <c r="A2920" s="1115"/>
      <c r="B2920" s="1115"/>
      <c r="C2920" s="1115"/>
      <c r="D2920" s="1115"/>
      <c r="E2920" s="1115"/>
      <c r="F2920" s="1115"/>
      <c r="G2920" s="1115"/>
      <c r="H2920" s="1115"/>
      <c r="I2920" s="1115"/>
      <c r="J2920" s="1115"/>
      <c r="K2920" s="1115"/>
      <c r="L2920" s="1115"/>
      <c r="M2920" s="1115"/>
    </row>
    <row r="2921" spans="1:13" x14ac:dyDescent="0.2">
      <c r="A2921" s="1115"/>
      <c r="B2921" s="1115"/>
      <c r="C2921" s="1115"/>
      <c r="D2921" s="1115"/>
      <c r="E2921" s="1115"/>
      <c r="F2921" s="1115"/>
      <c r="G2921" s="1115"/>
      <c r="H2921" s="1115"/>
      <c r="I2921" s="1115"/>
      <c r="J2921" s="1115"/>
      <c r="K2921" s="1115"/>
      <c r="L2921" s="1115"/>
      <c r="M2921" s="1115"/>
    </row>
    <row r="2922" spans="1:13" x14ac:dyDescent="0.2">
      <c r="A2922" s="1115"/>
      <c r="B2922" s="1115"/>
      <c r="C2922" s="1115"/>
      <c r="D2922" s="1115"/>
      <c r="E2922" s="1115"/>
      <c r="F2922" s="1115"/>
      <c r="G2922" s="1115"/>
      <c r="H2922" s="1115"/>
      <c r="I2922" s="1115"/>
      <c r="J2922" s="1115"/>
      <c r="K2922" s="1115"/>
      <c r="L2922" s="1115"/>
      <c r="M2922" s="1115"/>
    </row>
    <row r="2923" spans="1:13" x14ac:dyDescent="0.2">
      <c r="A2923" s="1115"/>
      <c r="B2923" s="1115"/>
      <c r="C2923" s="1115"/>
      <c r="D2923" s="1115"/>
      <c r="E2923" s="1115"/>
      <c r="F2923" s="1115"/>
      <c r="G2923" s="1115"/>
      <c r="H2923" s="1115"/>
      <c r="I2923" s="1115"/>
      <c r="J2923" s="1115"/>
      <c r="K2923" s="1115"/>
      <c r="L2923" s="1115"/>
      <c r="M2923" s="1115"/>
    </row>
    <row r="2924" spans="1:13" x14ac:dyDescent="0.2">
      <c r="A2924" s="1115"/>
      <c r="B2924" s="1115"/>
      <c r="C2924" s="1115"/>
      <c r="D2924" s="1115"/>
      <c r="E2924" s="1115"/>
      <c r="F2924" s="1115"/>
      <c r="G2924" s="1115"/>
      <c r="H2924" s="1115"/>
      <c r="I2924" s="1115"/>
      <c r="J2924" s="1115"/>
      <c r="K2924" s="1115"/>
      <c r="L2924" s="1115"/>
      <c r="M2924" s="1115"/>
    </row>
    <row r="2925" spans="1:13" x14ac:dyDescent="0.2">
      <c r="A2925" s="1115"/>
      <c r="B2925" s="1115"/>
      <c r="C2925" s="1115"/>
      <c r="D2925" s="1115"/>
      <c r="E2925" s="1115"/>
      <c r="F2925" s="1115"/>
      <c r="G2925" s="1115"/>
      <c r="H2925" s="1115"/>
      <c r="I2925" s="1115"/>
      <c r="J2925" s="1115"/>
      <c r="K2925" s="1115"/>
      <c r="L2925" s="1115"/>
      <c r="M2925" s="1115"/>
    </row>
    <row r="2926" spans="1:13" x14ac:dyDescent="0.2">
      <c r="A2926" s="1115"/>
      <c r="B2926" s="1115"/>
      <c r="C2926" s="1115"/>
      <c r="D2926" s="1115"/>
      <c r="E2926" s="1115"/>
      <c r="F2926" s="1115"/>
      <c r="G2926" s="1115"/>
      <c r="H2926" s="1115"/>
      <c r="I2926" s="1115"/>
      <c r="J2926" s="1115"/>
      <c r="K2926" s="1115"/>
      <c r="L2926" s="1115"/>
      <c r="M2926" s="1115"/>
    </row>
    <row r="2927" spans="1:13" x14ac:dyDescent="0.2">
      <c r="A2927" s="1115"/>
      <c r="B2927" s="1115"/>
      <c r="C2927" s="1115"/>
      <c r="D2927" s="1115"/>
      <c r="E2927" s="1115"/>
      <c r="F2927" s="1115"/>
      <c r="G2927" s="1115"/>
      <c r="H2927" s="1115"/>
      <c r="I2927" s="1115"/>
      <c r="J2927" s="1115"/>
      <c r="K2927" s="1115"/>
      <c r="L2927" s="1115"/>
      <c r="M2927" s="1115"/>
    </row>
    <row r="2928" spans="1:13" x14ac:dyDescent="0.2">
      <c r="A2928" s="1115"/>
      <c r="B2928" s="1115"/>
      <c r="C2928" s="1115"/>
      <c r="D2928" s="1115"/>
      <c r="E2928" s="1115"/>
      <c r="F2928" s="1115"/>
      <c r="G2928" s="1115"/>
      <c r="H2928" s="1115"/>
      <c r="I2928" s="1115"/>
      <c r="J2928" s="1115"/>
      <c r="K2928" s="1115"/>
      <c r="L2928" s="1115"/>
      <c r="M2928" s="1115"/>
    </row>
    <row r="2929" spans="1:13" x14ac:dyDescent="0.2">
      <c r="A2929" s="1115"/>
      <c r="B2929" s="1115"/>
      <c r="C2929" s="1115"/>
      <c r="D2929" s="1115"/>
      <c r="E2929" s="1115"/>
      <c r="F2929" s="1115"/>
      <c r="G2929" s="1115"/>
      <c r="H2929" s="1115"/>
      <c r="I2929" s="1115"/>
      <c r="J2929" s="1115"/>
      <c r="K2929" s="1115"/>
      <c r="L2929" s="1115"/>
      <c r="M2929" s="1115"/>
    </row>
    <row r="2930" spans="1:13" x14ac:dyDescent="0.2">
      <c r="A2930" s="1115"/>
      <c r="B2930" s="1115"/>
      <c r="C2930" s="1115"/>
      <c r="D2930" s="1115"/>
      <c r="E2930" s="1115"/>
      <c r="F2930" s="1115"/>
      <c r="G2930" s="1115"/>
      <c r="H2930" s="1115"/>
      <c r="I2930" s="1115"/>
      <c r="J2930" s="1115"/>
      <c r="K2930" s="1115"/>
      <c r="L2930" s="1115"/>
      <c r="M2930" s="1115"/>
    </row>
    <row r="2931" spans="1:13" x14ac:dyDescent="0.2">
      <c r="A2931" s="1115"/>
      <c r="B2931" s="1115"/>
      <c r="C2931" s="1115"/>
      <c r="D2931" s="1115"/>
      <c r="E2931" s="1115"/>
      <c r="F2931" s="1115"/>
      <c r="G2931" s="1115"/>
      <c r="H2931" s="1115"/>
      <c r="I2931" s="1115"/>
      <c r="J2931" s="1115"/>
      <c r="K2931" s="1115"/>
      <c r="L2931" s="1115"/>
      <c r="M2931" s="1115"/>
    </row>
    <row r="2932" spans="1:13" x14ac:dyDescent="0.2">
      <c r="A2932" s="1115"/>
      <c r="B2932" s="1115"/>
      <c r="C2932" s="1115"/>
      <c r="D2932" s="1115"/>
      <c r="E2932" s="1115"/>
      <c r="F2932" s="1115"/>
      <c r="G2932" s="1115"/>
      <c r="H2932" s="1115"/>
      <c r="I2932" s="1115"/>
      <c r="J2932" s="1115"/>
      <c r="K2932" s="1115"/>
      <c r="L2932" s="1115"/>
      <c r="M2932" s="1115"/>
    </row>
    <row r="2933" spans="1:13" x14ac:dyDescent="0.2">
      <c r="A2933" s="1115"/>
      <c r="B2933" s="1115"/>
      <c r="C2933" s="1115"/>
      <c r="D2933" s="1115"/>
      <c r="E2933" s="1115"/>
      <c r="F2933" s="1115"/>
      <c r="G2933" s="1115"/>
      <c r="H2933" s="1115"/>
      <c r="I2933" s="1115"/>
      <c r="J2933" s="1115"/>
      <c r="K2933" s="1115"/>
      <c r="L2933" s="1115"/>
      <c r="M2933" s="1115"/>
    </row>
    <row r="2934" spans="1:13" x14ac:dyDescent="0.2">
      <c r="A2934" s="1115"/>
      <c r="B2934" s="1115"/>
      <c r="C2934" s="1115"/>
      <c r="D2934" s="1115"/>
      <c r="E2934" s="1115"/>
      <c r="F2934" s="1115"/>
      <c r="G2934" s="1115"/>
      <c r="H2934" s="1115"/>
      <c r="I2934" s="1115"/>
      <c r="J2934" s="1115"/>
      <c r="K2934" s="1115"/>
      <c r="L2934" s="1115"/>
      <c r="M2934" s="1115"/>
    </row>
    <row r="2935" spans="1:13" x14ac:dyDescent="0.2">
      <c r="A2935" s="1115"/>
      <c r="B2935" s="1115"/>
      <c r="C2935" s="1115"/>
      <c r="D2935" s="1115"/>
      <c r="E2935" s="1115"/>
      <c r="F2935" s="1115"/>
      <c r="G2935" s="1115"/>
      <c r="H2935" s="1115"/>
      <c r="I2935" s="1115"/>
      <c r="J2935" s="1115"/>
      <c r="K2935" s="1115"/>
      <c r="L2935" s="1115"/>
      <c r="M2935" s="1115"/>
    </row>
    <row r="2936" spans="1:13" x14ac:dyDescent="0.2">
      <c r="A2936" s="1115"/>
      <c r="B2936" s="1115"/>
      <c r="C2936" s="1115"/>
      <c r="D2936" s="1115"/>
      <c r="E2936" s="1115"/>
      <c r="F2936" s="1115"/>
      <c r="G2936" s="1115"/>
      <c r="H2936" s="1115"/>
      <c r="I2936" s="1115"/>
      <c r="J2936" s="1115"/>
      <c r="K2936" s="1115"/>
      <c r="L2936" s="1115"/>
      <c r="M2936" s="1115"/>
    </row>
    <row r="2937" spans="1:13" x14ac:dyDescent="0.2">
      <c r="A2937" s="1115"/>
      <c r="B2937" s="1115"/>
      <c r="C2937" s="1115"/>
      <c r="D2937" s="1115"/>
      <c r="E2937" s="1115"/>
      <c r="F2937" s="1115"/>
      <c r="G2937" s="1115"/>
      <c r="H2937" s="1115"/>
      <c r="I2937" s="1115"/>
      <c r="J2937" s="1115"/>
      <c r="K2937" s="1115"/>
      <c r="L2937" s="1115"/>
      <c r="M2937" s="1115"/>
    </row>
    <row r="2938" spans="1:13" x14ac:dyDescent="0.2">
      <c r="A2938" s="1115"/>
      <c r="B2938" s="1115"/>
      <c r="C2938" s="1115"/>
      <c r="D2938" s="1115"/>
      <c r="E2938" s="1115"/>
      <c r="F2938" s="1115"/>
      <c r="G2938" s="1115"/>
      <c r="H2938" s="1115"/>
      <c r="I2938" s="1115"/>
      <c r="J2938" s="1115"/>
      <c r="K2938" s="1115"/>
      <c r="L2938" s="1115"/>
      <c r="M2938" s="1115"/>
    </row>
    <row r="2939" spans="1:13" x14ac:dyDescent="0.2">
      <c r="A2939" s="1115"/>
      <c r="B2939" s="1115"/>
      <c r="C2939" s="1115"/>
      <c r="D2939" s="1115"/>
      <c r="E2939" s="1115"/>
      <c r="F2939" s="1115"/>
      <c r="G2939" s="1115"/>
      <c r="H2939" s="1115"/>
      <c r="I2939" s="1115"/>
      <c r="J2939" s="1115"/>
      <c r="K2939" s="1115"/>
      <c r="L2939" s="1115"/>
      <c r="M2939" s="1115"/>
    </row>
    <row r="2940" spans="1:13" x14ac:dyDescent="0.2">
      <c r="A2940" s="1115"/>
      <c r="B2940" s="1115"/>
      <c r="C2940" s="1115"/>
      <c r="D2940" s="1115"/>
      <c r="E2940" s="1115"/>
      <c r="F2940" s="1115"/>
      <c r="G2940" s="1115"/>
      <c r="H2940" s="1115"/>
      <c r="I2940" s="1115"/>
      <c r="J2940" s="1115"/>
      <c r="K2940" s="1115"/>
      <c r="L2940" s="1115"/>
      <c r="M2940" s="1115"/>
    </row>
    <row r="2941" spans="1:13" x14ac:dyDescent="0.2">
      <c r="A2941" s="1115"/>
      <c r="B2941" s="1115"/>
      <c r="C2941" s="1115"/>
      <c r="D2941" s="1115"/>
      <c r="E2941" s="1115"/>
      <c r="F2941" s="1115"/>
      <c r="G2941" s="1115"/>
      <c r="H2941" s="1115"/>
      <c r="I2941" s="1115"/>
      <c r="J2941" s="1115"/>
      <c r="K2941" s="1115"/>
      <c r="L2941" s="1115"/>
      <c r="M2941" s="1115"/>
    </row>
    <row r="2942" spans="1:13" x14ac:dyDescent="0.2">
      <c r="A2942" s="1115"/>
      <c r="B2942" s="1115"/>
      <c r="C2942" s="1115"/>
      <c r="D2942" s="1115"/>
      <c r="E2942" s="1115"/>
      <c r="F2942" s="1115"/>
      <c r="G2942" s="1115"/>
      <c r="H2942" s="1115"/>
      <c r="I2942" s="1115"/>
      <c r="J2942" s="1115"/>
      <c r="K2942" s="1115"/>
      <c r="L2942" s="1115"/>
      <c r="M2942" s="1115"/>
    </row>
    <row r="2943" spans="1:13" x14ac:dyDescent="0.2">
      <c r="A2943" s="1115"/>
      <c r="B2943" s="1115"/>
      <c r="C2943" s="1115"/>
      <c r="D2943" s="1115"/>
      <c r="E2943" s="1115"/>
      <c r="F2943" s="1115"/>
      <c r="G2943" s="1115"/>
      <c r="H2943" s="1115"/>
      <c r="I2943" s="1115"/>
      <c r="J2943" s="1115"/>
      <c r="K2943" s="1115"/>
      <c r="L2943" s="1115"/>
      <c r="M2943" s="1115"/>
    </row>
    <row r="2944" spans="1:13" x14ac:dyDescent="0.2">
      <c r="A2944" s="1115"/>
      <c r="B2944" s="1115"/>
      <c r="C2944" s="1115"/>
      <c r="D2944" s="1115"/>
      <c r="E2944" s="1115"/>
      <c r="F2944" s="1115"/>
      <c r="G2944" s="1115"/>
      <c r="H2944" s="1115"/>
      <c r="I2944" s="1115"/>
      <c r="J2944" s="1115"/>
      <c r="K2944" s="1115"/>
      <c r="L2944" s="1115"/>
      <c r="M2944" s="1115"/>
    </row>
    <row r="2945" spans="1:13" x14ac:dyDescent="0.2">
      <c r="A2945" s="1115"/>
      <c r="B2945" s="1115"/>
      <c r="C2945" s="1115"/>
      <c r="D2945" s="1115"/>
      <c r="E2945" s="1115"/>
      <c r="F2945" s="1115"/>
      <c r="G2945" s="1115"/>
      <c r="H2945" s="1115"/>
      <c r="I2945" s="1115"/>
      <c r="J2945" s="1115"/>
      <c r="K2945" s="1115"/>
      <c r="L2945" s="1115"/>
      <c r="M2945" s="1115"/>
    </row>
    <row r="2946" spans="1:13" x14ac:dyDescent="0.2">
      <c r="A2946" s="1115"/>
      <c r="B2946" s="1115"/>
      <c r="C2946" s="1115"/>
      <c r="D2946" s="1115"/>
      <c r="E2946" s="1115"/>
      <c r="F2946" s="1115"/>
      <c r="G2946" s="1115"/>
      <c r="H2946" s="1115"/>
      <c r="I2946" s="1115"/>
      <c r="J2946" s="1115"/>
      <c r="K2946" s="1115"/>
      <c r="L2946" s="1115"/>
      <c r="M2946" s="1115"/>
    </row>
    <row r="2947" spans="1:13" x14ac:dyDescent="0.2">
      <c r="A2947" s="1115"/>
      <c r="B2947" s="1115"/>
      <c r="C2947" s="1115"/>
      <c r="D2947" s="1115"/>
      <c r="E2947" s="1115"/>
      <c r="F2947" s="1115"/>
      <c r="G2947" s="1115"/>
      <c r="H2947" s="1115"/>
      <c r="I2947" s="1115"/>
      <c r="J2947" s="1115"/>
      <c r="K2947" s="1115"/>
      <c r="L2947" s="1115"/>
      <c r="M2947" s="1115"/>
    </row>
    <row r="2948" spans="1:13" x14ac:dyDescent="0.2">
      <c r="A2948" s="1115"/>
      <c r="B2948" s="1115"/>
      <c r="C2948" s="1115"/>
      <c r="D2948" s="1115"/>
      <c r="E2948" s="1115"/>
      <c r="F2948" s="1115"/>
      <c r="G2948" s="1115"/>
      <c r="H2948" s="1115"/>
      <c r="I2948" s="1115"/>
      <c r="J2948" s="1115"/>
      <c r="K2948" s="1115"/>
      <c r="L2948" s="1115"/>
      <c r="M2948" s="1115"/>
    </row>
    <row r="2949" spans="1:13" x14ac:dyDescent="0.2">
      <c r="A2949" s="1115"/>
      <c r="B2949" s="1115"/>
      <c r="C2949" s="1115"/>
      <c r="D2949" s="1115"/>
      <c r="E2949" s="1115"/>
      <c r="F2949" s="1115"/>
      <c r="G2949" s="1115"/>
      <c r="H2949" s="1115"/>
      <c r="I2949" s="1115"/>
      <c r="J2949" s="1115"/>
      <c r="K2949" s="1115"/>
      <c r="L2949" s="1115"/>
      <c r="M2949" s="1115"/>
    </row>
    <row r="2950" spans="1:13" x14ac:dyDescent="0.2">
      <c r="A2950" s="1115"/>
      <c r="B2950" s="1115"/>
      <c r="C2950" s="1115"/>
      <c r="D2950" s="1115"/>
      <c r="E2950" s="1115"/>
      <c r="F2950" s="1115"/>
      <c r="G2950" s="1115"/>
      <c r="H2950" s="1115"/>
      <c r="I2950" s="1115"/>
      <c r="J2950" s="1115"/>
      <c r="K2950" s="1115"/>
      <c r="L2950" s="1115"/>
      <c r="M2950" s="1115"/>
    </row>
    <row r="2951" spans="1:13" x14ac:dyDescent="0.2">
      <c r="A2951" s="1115"/>
      <c r="B2951" s="1115"/>
      <c r="C2951" s="1115"/>
      <c r="D2951" s="1115"/>
      <c r="E2951" s="1115"/>
      <c r="F2951" s="1115"/>
      <c r="G2951" s="1115"/>
      <c r="H2951" s="1115"/>
      <c r="I2951" s="1115"/>
      <c r="J2951" s="1115"/>
      <c r="K2951" s="1115"/>
      <c r="L2951" s="1115"/>
      <c r="M2951" s="1115"/>
    </row>
    <row r="2952" spans="1:13" x14ac:dyDescent="0.2">
      <c r="A2952" s="1115"/>
      <c r="B2952" s="1115"/>
      <c r="C2952" s="1115"/>
      <c r="D2952" s="1115"/>
      <c r="E2952" s="1115"/>
      <c r="F2952" s="1115"/>
      <c r="G2952" s="1115"/>
      <c r="H2952" s="1115"/>
      <c r="I2952" s="1115"/>
      <c r="J2952" s="1115"/>
      <c r="K2952" s="1115"/>
      <c r="L2952" s="1115"/>
      <c r="M2952" s="1115"/>
    </row>
    <row r="2953" spans="1:13" x14ac:dyDescent="0.2">
      <c r="A2953" s="1115"/>
      <c r="B2953" s="1115"/>
      <c r="C2953" s="1115"/>
      <c r="D2953" s="1115"/>
      <c r="E2953" s="1115"/>
      <c r="F2953" s="1115"/>
      <c r="G2953" s="1115"/>
      <c r="H2953" s="1115"/>
      <c r="I2953" s="1115"/>
      <c r="J2953" s="1115"/>
      <c r="K2953" s="1115"/>
      <c r="L2953" s="1115"/>
      <c r="M2953" s="1115"/>
    </row>
    <row r="2954" spans="1:13" x14ac:dyDescent="0.2">
      <c r="A2954" s="1115"/>
      <c r="B2954" s="1115"/>
      <c r="C2954" s="1115"/>
      <c r="D2954" s="1115"/>
      <c r="E2954" s="1115"/>
      <c r="F2954" s="1115"/>
      <c r="G2954" s="1115"/>
      <c r="H2954" s="1115"/>
      <c r="I2954" s="1115"/>
      <c r="J2954" s="1115"/>
      <c r="K2954" s="1115"/>
      <c r="L2954" s="1115"/>
      <c r="M2954" s="1115"/>
    </row>
    <row r="2955" spans="1:13" x14ac:dyDescent="0.2">
      <c r="A2955" s="1115"/>
      <c r="B2955" s="1115"/>
      <c r="C2955" s="1115"/>
      <c r="D2955" s="1115"/>
      <c r="E2955" s="1115"/>
      <c r="F2955" s="1115"/>
      <c r="G2955" s="1115"/>
      <c r="H2955" s="1115"/>
      <c r="I2955" s="1115"/>
      <c r="J2955" s="1115"/>
      <c r="K2955" s="1115"/>
      <c r="L2955" s="1115"/>
      <c r="M2955" s="1115"/>
    </row>
    <row r="2956" spans="1:13" x14ac:dyDescent="0.2">
      <c r="A2956" s="1115"/>
      <c r="B2956" s="1115"/>
      <c r="C2956" s="1115"/>
      <c r="D2956" s="1115"/>
      <c r="E2956" s="1115"/>
      <c r="F2956" s="1115"/>
      <c r="G2956" s="1115"/>
      <c r="H2956" s="1115"/>
      <c r="I2956" s="1115"/>
      <c r="J2956" s="1115"/>
      <c r="K2956" s="1115"/>
      <c r="L2956" s="1115"/>
      <c r="M2956" s="1115"/>
    </row>
    <row r="2957" spans="1:13" x14ac:dyDescent="0.2">
      <c r="A2957" s="1115"/>
      <c r="B2957" s="1115"/>
      <c r="C2957" s="1115"/>
      <c r="D2957" s="1115"/>
      <c r="E2957" s="1115"/>
      <c r="F2957" s="1115"/>
      <c r="G2957" s="1115"/>
      <c r="H2957" s="1115"/>
      <c r="I2957" s="1115"/>
      <c r="J2957" s="1115"/>
      <c r="K2957" s="1115"/>
      <c r="L2957" s="1115"/>
      <c r="M2957" s="1115"/>
    </row>
    <row r="2958" spans="1:13" x14ac:dyDescent="0.2">
      <c r="A2958" s="1115"/>
      <c r="B2958" s="1115"/>
      <c r="C2958" s="1115"/>
      <c r="D2958" s="1115"/>
      <c r="E2958" s="1115"/>
      <c r="F2958" s="1115"/>
      <c r="G2958" s="1115"/>
      <c r="H2958" s="1115"/>
      <c r="I2958" s="1115"/>
      <c r="J2958" s="1115"/>
      <c r="K2958" s="1115"/>
      <c r="L2958" s="1115"/>
      <c r="M2958" s="1115"/>
    </row>
    <row r="2959" spans="1:13" x14ac:dyDescent="0.2">
      <c r="A2959" s="1115"/>
      <c r="B2959" s="1115"/>
      <c r="C2959" s="1115"/>
      <c r="D2959" s="1115"/>
      <c r="E2959" s="1115"/>
      <c r="F2959" s="1115"/>
      <c r="G2959" s="1115"/>
      <c r="H2959" s="1115"/>
      <c r="I2959" s="1115"/>
      <c r="J2959" s="1115"/>
      <c r="K2959" s="1115"/>
      <c r="L2959" s="1115"/>
      <c r="M2959" s="1115"/>
    </row>
    <row r="2960" spans="1:13" x14ac:dyDescent="0.2">
      <c r="A2960" s="1115"/>
      <c r="B2960" s="1115"/>
      <c r="C2960" s="1115"/>
      <c r="D2960" s="1115"/>
      <c r="E2960" s="1115"/>
      <c r="F2960" s="1115"/>
      <c r="G2960" s="1115"/>
      <c r="H2960" s="1115"/>
      <c r="I2960" s="1115"/>
      <c r="J2960" s="1115"/>
      <c r="K2960" s="1115"/>
      <c r="L2960" s="1115"/>
      <c r="M2960" s="1115"/>
    </row>
    <row r="2961" spans="1:13" x14ac:dyDescent="0.2">
      <c r="A2961" s="1115"/>
      <c r="B2961" s="1115"/>
      <c r="C2961" s="1115"/>
      <c r="D2961" s="1115"/>
      <c r="E2961" s="1115"/>
      <c r="F2961" s="1115"/>
      <c r="G2961" s="1115"/>
      <c r="H2961" s="1115"/>
      <c r="I2961" s="1115"/>
      <c r="J2961" s="1115"/>
      <c r="K2961" s="1115"/>
      <c r="L2961" s="1115"/>
      <c r="M2961" s="1115"/>
    </row>
    <row r="2962" spans="1:13" x14ac:dyDescent="0.2">
      <c r="A2962" s="1115"/>
      <c r="B2962" s="1115"/>
      <c r="C2962" s="1115"/>
      <c r="D2962" s="1115"/>
      <c r="E2962" s="1115"/>
      <c r="F2962" s="1115"/>
      <c r="G2962" s="1115"/>
      <c r="H2962" s="1115"/>
      <c r="I2962" s="1115"/>
      <c r="J2962" s="1115"/>
      <c r="K2962" s="1115"/>
      <c r="L2962" s="1115"/>
      <c r="M2962" s="1115"/>
    </row>
    <row r="2963" spans="1:13" x14ac:dyDescent="0.2">
      <c r="A2963" s="1115"/>
      <c r="B2963" s="1115"/>
      <c r="C2963" s="1115"/>
      <c r="D2963" s="1115"/>
      <c r="E2963" s="1115"/>
      <c r="F2963" s="1115"/>
      <c r="G2963" s="1115"/>
      <c r="H2963" s="1115"/>
      <c r="I2963" s="1115"/>
      <c r="J2963" s="1115"/>
      <c r="K2963" s="1115"/>
      <c r="L2963" s="1115"/>
      <c r="M2963" s="1115"/>
    </row>
    <row r="2964" spans="1:13" x14ac:dyDescent="0.2">
      <c r="A2964" s="1115"/>
      <c r="B2964" s="1115"/>
      <c r="C2964" s="1115"/>
      <c r="D2964" s="1115"/>
      <c r="E2964" s="1115"/>
      <c r="F2964" s="1115"/>
      <c r="G2964" s="1115"/>
      <c r="H2964" s="1115"/>
      <c r="I2964" s="1115"/>
      <c r="J2964" s="1115"/>
      <c r="K2964" s="1115"/>
      <c r="L2964" s="1115"/>
      <c r="M2964" s="1115"/>
    </row>
    <row r="2965" spans="1:13" x14ac:dyDescent="0.2">
      <c r="A2965" s="1115"/>
      <c r="B2965" s="1115"/>
      <c r="C2965" s="1115"/>
      <c r="D2965" s="1115"/>
      <c r="E2965" s="1115"/>
      <c r="F2965" s="1115"/>
      <c r="G2965" s="1115"/>
      <c r="H2965" s="1115"/>
      <c r="I2965" s="1115"/>
      <c r="J2965" s="1115"/>
      <c r="K2965" s="1115"/>
      <c r="L2965" s="1115"/>
      <c r="M2965" s="1115"/>
    </row>
    <row r="2966" spans="1:13" x14ac:dyDescent="0.2">
      <c r="A2966" s="1115"/>
      <c r="B2966" s="1115"/>
      <c r="C2966" s="1115"/>
      <c r="D2966" s="1115"/>
      <c r="E2966" s="1115"/>
      <c r="F2966" s="1115"/>
      <c r="G2966" s="1115"/>
      <c r="H2966" s="1115"/>
      <c r="I2966" s="1115"/>
      <c r="J2966" s="1115"/>
      <c r="K2966" s="1115"/>
      <c r="L2966" s="1115"/>
      <c r="M2966" s="1115"/>
    </row>
    <row r="2967" spans="1:13" x14ac:dyDescent="0.2">
      <c r="A2967" s="1115"/>
      <c r="B2967" s="1115"/>
      <c r="C2967" s="1115"/>
      <c r="D2967" s="1115"/>
      <c r="E2967" s="1115"/>
      <c r="F2967" s="1115"/>
      <c r="G2967" s="1115"/>
      <c r="H2967" s="1115"/>
      <c r="I2967" s="1115"/>
      <c r="J2967" s="1115"/>
      <c r="K2967" s="1115"/>
      <c r="L2967" s="1115"/>
      <c r="M2967" s="1115"/>
    </row>
    <row r="2968" spans="1:13" x14ac:dyDescent="0.2">
      <c r="A2968" s="1115"/>
      <c r="B2968" s="1115"/>
      <c r="C2968" s="1115"/>
      <c r="D2968" s="1115"/>
      <c r="E2968" s="1115"/>
      <c r="F2968" s="1115"/>
      <c r="G2968" s="1115"/>
      <c r="H2968" s="1115"/>
      <c r="I2968" s="1115"/>
      <c r="J2968" s="1115"/>
      <c r="K2968" s="1115"/>
      <c r="L2968" s="1115"/>
      <c r="M2968" s="1115"/>
    </row>
    <row r="2969" spans="1:13" x14ac:dyDescent="0.2">
      <c r="A2969" s="1115"/>
      <c r="B2969" s="1115"/>
      <c r="C2969" s="1115"/>
      <c r="D2969" s="1115"/>
      <c r="E2969" s="1115"/>
      <c r="F2969" s="1115"/>
      <c r="G2969" s="1115"/>
      <c r="H2969" s="1115"/>
      <c r="I2969" s="1115"/>
      <c r="J2969" s="1115"/>
      <c r="K2969" s="1115"/>
      <c r="L2969" s="1115"/>
      <c r="M2969" s="1115"/>
    </row>
    <row r="2970" spans="1:13" x14ac:dyDescent="0.2">
      <c r="A2970" s="1115"/>
      <c r="B2970" s="1115"/>
      <c r="C2970" s="1115"/>
      <c r="D2970" s="1115"/>
      <c r="E2970" s="1115"/>
      <c r="F2970" s="1115"/>
      <c r="G2970" s="1115"/>
      <c r="H2970" s="1115"/>
      <c r="I2970" s="1115"/>
      <c r="J2970" s="1115"/>
      <c r="K2970" s="1115"/>
      <c r="L2970" s="1115"/>
      <c r="M2970" s="1115"/>
    </row>
    <row r="2971" spans="1:13" x14ac:dyDescent="0.2">
      <c r="A2971" s="1115"/>
      <c r="B2971" s="1115"/>
      <c r="C2971" s="1115"/>
      <c r="D2971" s="1115"/>
      <c r="E2971" s="1115"/>
      <c r="F2971" s="1115"/>
      <c r="G2971" s="1115"/>
      <c r="H2971" s="1115"/>
      <c r="I2971" s="1115"/>
      <c r="J2971" s="1115"/>
      <c r="K2971" s="1115"/>
      <c r="L2971" s="1115"/>
      <c r="M2971" s="1115"/>
    </row>
    <row r="2972" spans="1:13" x14ac:dyDescent="0.2">
      <c r="A2972" s="1115"/>
      <c r="B2972" s="1115"/>
      <c r="C2972" s="1115"/>
      <c r="D2972" s="1115"/>
      <c r="E2972" s="1115"/>
      <c r="F2972" s="1115"/>
      <c r="G2972" s="1115"/>
      <c r="H2972" s="1115"/>
      <c r="I2972" s="1115"/>
      <c r="J2972" s="1115"/>
      <c r="K2972" s="1115"/>
      <c r="L2972" s="1115"/>
      <c r="M2972" s="1115"/>
    </row>
    <row r="2973" spans="1:13" x14ac:dyDescent="0.2">
      <c r="A2973" s="1115"/>
      <c r="B2973" s="1115"/>
      <c r="C2973" s="1115"/>
      <c r="D2973" s="1115"/>
      <c r="E2973" s="1115"/>
      <c r="F2973" s="1115"/>
      <c r="G2973" s="1115"/>
      <c r="H2973" s="1115"/>
      <c r="I2973" s="1115"/>
      <c r="J2973" s="1115"/>
      <c r="K2973" s="1115"/>
      <c r="L2973" s="1115"/>
      <c r="M2973" s="1115"/>
    </row>
    <row r="2974" spans="1:13" x14ac:dyDescent="0.2">
      <c r="A2974" s="1115"/>
      <c r="B2974" s="1115"/>
      <c r="C2974" s="1115"/>
      <c r="D2974" s="1115"/>
      <c r="E2974" s="1115"/>
      <c r="F2974" s="1115"/>
      <c r="G2974" s="1115"/>
      <c r="H2974" s="1115"/>
      <c r="I2974" s="1115"/>
      <c r="J2974" s="1115"/>
      <c r="K2974" s="1115"/>
      <c r="L2974" s="1115"/>
      <c r="M2974" s="1115"/>
    </row>
    <row r="2975" spans="1:13" x14ac:dyDescent="0.2">
      <c r="A2975" s="1115"/>
      <c r="B2975" s="1115"/>
      <c r="C2975" s="1115"/>
      <c r="D2975" s="1115"/>
      <c r="E2975" s="1115"/>
      <c r="F2975" s="1115"/>
      <c r="G2975" s="1115"/>
      <c r="H2975" s="1115"/>
      <c r="I2975" s="1115"/>
      <c r="J2975" s="1115"/>
      <c r="K2975" s="1115"/>
      <c r="L2975" s="1115"/>
      <c r="M2975" s="1115"/>
    </row>
    <row r="2976" spans="1:13" x14ac:dyDescent="0.2">
      <c r="A2976" s="1115"/>
      <c r="B2976" s="1115"/>
      <c r="C2976" s="1115"/>
      <c r="D2976" s="1115"/>
      <c r="E2976" s="1115"/>
      <c r="F2976" s="1115"/>
      <c r="G2976" s="1115"/>
      <c r="H2976" s="1115"/>
      <c r="I2976" s="1115"/>
      <c r="J2976" s="1115"/>
      <c r="K2976" s="1115"/>
      <c r="L2976" s="1115"/>
      <c r="M2976" s="1115"/>
    </row>
    <row r="2977" spans="1:13" x14ac:dyDescent="0.2">
      <c r="A2977" s="1115"/>
      <c r="B2977" s="1115"/>
      <c r="C2977" s="1115"/>
      <c r="D2977" s="1115"/>
      <c r="E2977" s="1115"/>
      <c r="F2977" s="1115"/>
      <c r="G2977" s="1115"/>
      <c r="H2977" s="1115"/>
      <c r="I2977" s="1115"/>
      <c r="J2977" s="1115"/>
      <c r="K2977" s="1115"/>
      <c r="L2977" s="1115"/>
      <c r="M2977" s="1115"/>
    </row>
    <row r="2978" spans="1:13" x14ac:dyDescent="0.2">
      <c r="A2978" s="1115"/>
      <c r="B2978" s="1115"/>
      <c r="C2978" s="1115"/>
      <c r="D2978" s="1115"/>
      <c r="E2978" s="1115"/>
      <c r="F2978" s="1115"/>
      <c r="G2978" s="1115"/>
      <c r="H2978" s="1115"/>
      <c r="I2978" s="1115"/>
      <c r="J2978" s="1115"/>
      <c r="K2978" s="1115"/>
      <c r="L2978" s="1115"/>
      <c r="M2978" s="1115"/>
    </row>
    <row r="2979" spans="1:13" x14ac:dyDescent="0.2">
      <c r="A2979" s="1115"/>
      <c r="B2979" s="1115"/>
      <c r="C2979" s="1115"/>
      <c r="D2979" s="1115"/>
      <c r="E2979" s="1115"/>
      <c r="F2979" s="1115"/>
      <c r="G2979" s="1115"/>
      <c r="H2979" s="1115"/>
      <c r="I2979" s="1115"/>
      <c r="J2979" s="1115"/>
      <c r="K2979" s="1115"/>
      <c r="L2979" s="1115"/>
      <c r="M2979" s="1115"/>
    </row>
    <row r="2980" spans="1:13" x14ac:dyDescent="0.2">
      <c r="A2980" s="1115"/>
      <c r="B2980" s="1115"/>
      <c r="C2980" s="1115"/>
      <c r="D2980" s="1115"/>
      <c r="E2980" s="1115"/>
      <c r="F2980" s="1115"/>
      <c r="G2980" s="1115"/>
      <c r="H2980" s="1115"/>
      <c r="I2980" s="1115"/>
      <c r="J2980" s="1115"/>
      <c r="K2980" s="1115"/>
      <c r="L2980" s="1115"/>
      <c r="M2980" s="1115"/>
    </row>
    <row r="2981" spans="1:13" x14ac:dyDescent="0.2">
      <c r="A2981" s="1115"/>
      <c r="B2981" s="1115"/>
      <c r="C2981" s="1115"/>
      <c r="D2981" s="1115"/>
      <c r="E2981" s="1115"/>
      <c r="F2981" s="1115"/>
      <c r="G2981" s="1115"/>
      <c r="H2981" s="1115"/>
      <c r="I2981" s="1115"/>
      <c r="J2981" s="1115"/>
      <c r="K2981" s="1115"/>
      <c r="L2981" s="1115"/>
      <c r="M2981" s="1115"/>
    </row>
    <row r="2982" spans="1:13" x14ac:dyDescent="0.2">
      <c r="A2982" s="1115"/>
      <c r="B2982" s="1115"/>
      <c r="C2982" s="1115"/>
      <c r="D2982" s="1115"/>
      <c r="E2982" s="1115"/>
      <c r="F2982" s="1115"/>
      <c r="G2982" s="1115"/>
      <c r="H2982" s="1115"/>
      <c r="I2982" s="1115"/>
      <c r="J2982" s="1115"/>
      <c r="K2982" s="1115"/>
      <c r="L2982" s="1115"/>
      <c r="M2982" s="1115"/>
    </row>
    <row r="2983" spans="1:13" x14ac:dyDescent="0.2">
      <c r="A2983" s="1115"/>
      <c r="B2983" s="1115"/>
      <c r="C2983" s="1115"/>
      <c r="D2983" s="1115"/>
      <c r="E2983" s="1115"/>
      <c r="F2983" s="1115"/>
      <c r="G2983" s="1115"/>
      <c r="H2983" s="1115"/>
      <c r="I2983" s="1115"/>
      <c r="J2983" s="1115"/>
      <c r="K2983" s="1115"/>
      <c r="L2983" s="1115"/>
      <c r="M2983" s="1115"/>
    </row>
    <row r="2984" spans="1:13" x14ac:dyDescent="0.2">
      <c r="A2984" s="1115"/>
      <c r="B2984" s="1115"/>
      <c r="C2984" s="1115"/>
      <c r="D2984" s="1115"/>
      <c r="E2984" s="1115"/>
      <c r="F2984" s="1115"/>
      <c r="G2984" s="1115"/>
      <c r="H2984" s="1115"/>
      <c r="I2984" s="1115"/>
      <c r="J2984" s="1115"/>
      <c r="K2984" s="1115"/>
      <c r="L2984" s="1115"/>
      <c r="M2984" s="1115"/>
    </row>
    <row r="2985" spans="1:13" x14ac:dyDescent="0.2">
      <c r="A2985" s="1115"/>
      <c r="B2985" s="1115"/>
      <c r="C2985" s="1115"/>
      <c r="D2985" s="1115"/>
      <c r="E2985" s="1115"/>
      <c r="F2985" s="1115"/>
      <c r="G2985" s="1115"/>
      <c r="H2985" s="1115"/>
      <c r="I2985" s="1115"/>
      <c r="J2985" s="1115"/>
      <c r="K2985" s="1115"/>
      <c r="L2985" s="1115"/>
      <c r="M2985" s="1115"/>
    </row>
    <row r="2986" spans="1:13" x14ac:dyDescent="0.2">
      <c r="A2986" s="1115"/>
      <c r="B2986" s="1115"/>
      <c r="C2986" s="1115"/>
      <c r="D2986" s="1115"/>
      <c r="E2986" s="1115"/>
      <c r="F2986" s="1115"/>
      <c r="G2986" s="1115"/>
      <c r="H2986" s="1115"/>
      <c r="I2986" s="1115"/>
      <c r="J2986" s="1115"/>
      <c r="K2986" s="1115"/>
      <c r="L2986" s="1115"/>
      <c r="M2986" s="1115"/>
    </row>
    <row r="2987" spans="1:13" x14ac:dyDescent="0.2">
      <c r="A2987" s="1115"/>
      <c r="B2987" s="1115"/>
      <c r="C2987" s="1115"/>
      <c r="D2987" s="1115"/>
      <c r="E2987" s="1115"/>
      <c r="F2987" s="1115"/>
      <c r="G2987" s="1115"/>
      <c r="H2987" s="1115"/>
      <c r="I2987" s="1115"/>
      <c r="J2987" s="1115"/>
      <c r="K2987" s="1115"/>
      <c r="L2987" s="1115"/>
      <c r="M2987" s="1115"/>
    </row>
    <row r="2988" spans="1:13" x14ac:dyDescent="0.2">
      <c r="A2988" s="1115"/>
      <c r="B2988" s="1115"/>
      <c r="C2988" s="1115"/>
      <c r="D2988" s="1115"/>
      <c r="E2988" s="1115"/>
      <c r="F2988" s="1115"/>
      <c r="G2988" s="1115"/>
      <c r="H2988" s="1115"/>
      <c r="I2988" s="1115"/>
      <c r="J2988" s="1115"/>
      <c r="K2988" s="1115"/>
      <c r="L2988" s="1115"/>
      <c r="M2988" s="1115"/>
    </row>
    <row r="2989" spans="1:13" x14ac:dyDescent="0.2">
      <c r="A2989" s="1115"/>
      <c r="B2989" s="1115"/>
      <c r="C2989" s="1115"/>
      <c r="D2989" s="1115"/>
      <c r="E2989" s="1115"/>
      <c r="F2989" s="1115"/>
      <c r="G2989" s="1115"/>
      <c r="H2989" s="1115"/>
      <c r="I2989" s="1115"/>
      <c r="J2989" s="1115"/>
      <c r="K2989" s="1115"/>
      <c r="L2989" s="1115"/>
      <c r="M2989" s="1115"/>
    </row>
    <row r="2990" spans="1:13" x14ac:dyDescent="0.2">
      <c r="A2990" s="1115"/>
      <c r="B2990" s="1115"/>
      <c r="C2990" s="1115"/>
      <c r="D2990" s="1115"/>
      <c r="E2990" s="1115"/>
      <c r="F2990" s="1115"/>
      <c r="G2990" s="1115"/>
      <c r="H2990" s="1115"/>
      <c r="I2990" s="1115"/>
      <c r="J2990" s="1115"/>
      <c r="K2990" s="1115"/>
      <c r="L2990" s="1115"/>
      <c r="M2990" s="1115"/>
    </row>
    <row r="2991" spans="1:13" x14ac:dyDescent="0.2">
      <c r="A2991" s="1115"/>
      <c r="B2991" s="1115"/>
      <c r="C2991" s="1115"/>
      <c r="D2991" s="1115"/>
      <c r="E2991" s="1115"/>
      <c r="F2991" s="1115"/>
      <c r="G2991" s="1115"/>
      <c r="H2991" s="1115"/>
      <c r="I2991" s="1115"/>
      <c r="J2991" s="1115"/>
      <c r="K2991" s="1115"/>
      <c r="L2991" s="1115"/>
      <c r="M2991" s="1115"/>
    </row>
    <row r="2992" spans="1:13" x14ac:dyDescent="0.2">
      <c r="A2992" s="1115"/>
      <c r="B2992" s="1115"/>
      <c r="C2992" s="1115"/>
      <c r="D2992" s="1115"/>
      <c r="E2992" s="1115"/>
      <c r="F2992" s="1115"/>
      <c r="G2992" s="1115"/>
      <c r="H2992" s="1115"/>
      <c r="I2992" s="1115"/>
      <c r="J2992" s="1115"/>
      <c r="K2992" s="1115"/>
      <c r="L2992" s="1115"/>
      <c r="M2992" s="1115"/>
    </row>
    <row r="2993" spans="1:13" x14ac:dyDescent="0.2">
      <c r="A2993" s="1115"/>
      <c r="B2993" s="1115"/>
      <c r="C2993" s="1115"/>
      <c r="D2993" s="1115"/>
      <c r="E2993" s="1115"/>
      <c r="F2993" s="1115"/>
      <c r="G2993" s="1115"/>
      <c r="H2993" s="1115"/>
      <c r="I2993" s="1115"/>
      <c r="J2993" s="1115"/>
      <c r="K2993" s="1115"/>
      <c r="L2993" s="1115"/>
      <c r="M2993" s="1115"/>
    </row>
    <row r="2994" spans="1:13" x14ac:dyDescent="0.2">
      <c r="A2994" s="1115"/>
      <c r="B2994" s="1115"/>
      <c r="C2994" s="1115"/>
      <c r="D2994" s="1115"/>
      <c r="E2994" s="1115"/>
      <c r="F2994" s="1115"/>
      <c r="G2994" s="1115"/>
      <c r="H2994" s="1115"/>
      <c r="I2994" s="1115"/>
      <c r="J2994" s="1115"/>
      <c r="K2994" s="1115"/>
      <c r="L2994" s="1115"/>
      <c r="M2994" s="1115"/>
    </row>
    <row r="2995" spans="1:13" x14ac:dyDescent="0.2">
      <c r="A2995" s="1115"/>
      <c r="B2995" s="1115"/>
      <c r="C2995" s="1115"/>
      <c r="D2995" s="1115"/>
      <c r="E2995" s="1115"/>
      <c r="F2995" s="1115"/>
      <c r="G2995" s="1115"/>
      <c r="H2995" s="1115"/>
      <c r="I2995" s="1115"/>
      <c r="J2995" s="1115"/>
      <c r="K2995" s="1115"/>
      <c r="L2995" s="1115"/>
      <c r="M2995" s="1115"/>
    </row>
    <row r="2996" spans="1:13" x14ac:dyDescent="0.2">
      <c r="A2996" s="1115"/>
      <c r="B2996" s="1115"/>
      <c r="C2996" s="1115"/>
      <c r="D2996" s="1115"/>
      <c r="E2996" s="1115"/>
      <c r="F2996" s="1115"/>
      <c r="G2996" s="1115"/>
      <c r="H2996" s="1115"/>
      <c r="I2996" s="1115"/>
      <c r="J2996" s="1115"/>
      <c r="K2996" s="1115"/>
      <c r="L2996" s="1115"/>
      <c r="M2996" s="1115"/>
    </row>
    <row r="2997" spans="1:13" x14ac:dyDescent="0.2">
      <c r="A2997" s="1115"/>
      <c r="B2997" s="1115"/>
      <c r="C2997" s="1115"/>
      <c r="D2997" s="1115"/>
      <c r="E2997" s="1115"/>
      <c r="F2997" s="1115"/>
      <c r="G2997" s="1115"/>
      <c r="H2997" s="1115"/>
      <c r="I2997" s="1115"/>
      <c r="J2997" s="1115"/>
      <c r="K2997" s="1115"/>
      <c r="L2997" s="1115"/>
      <c r="M2997" s="1115"/>
    </row>
    <row r="2998" spans="1:13" x14ac:dyDescent="0.2">
      <c r="A2998" s="1115"/>
      <c r="B2998" s="1115"/>
      <c r="C2998" s="1115"/>
      <c r="D2998" s="1115"/>
      <c r="E2998" s="1115"/>
      <c r="F2998" s="1115"/>
      <c r="G2998" s="1115"/>
      <c r="H2998" s="1115"/>
      <c r="I2998" s="1115"/>
      <c r="J2998" s="1115"/>
      <c r="K2998" s="1115"/>
      <c r="L2998" s="1115"/>
      <c r="M2998" s="1115"/>
    </row>
    <row r="2999" spans="1:13" x14ac:dyDescent="0.2">
      <c r="A2999" s="1115"/>
      <c r="B2999" s="1115"/>
      <c r="C2999" s="1115"/>
      <c r="D2999" s="1115"/>
      <c r="E2999" s="1115"/>
      <c r="F2999" s="1115"/>
      <c r="G2999" s="1115"/>
      <c r="H2999" s="1115"/>
      <c r="I2999" s="1115"/>
      <c r="J2999" s="1115"/>
      <c r="K2999" s="1115"/>
      <c r="L2999" s="1115"/>
      <c r="M2999" s="1115"/>
    </row>
    <row r="3000" spans="1:13" x14ac:dyDescent="0.2">
      <c r="A3000" s="1115"/>
      <c r="B3000" s="1115"/>
      <c r="C3000" s="1115"/>
      <c r="D3000" s="1115"/>
      <c r="E3000" s="1115"/>
      <c r="F3000" s="1115"/>
      <c r="G3000" s="1115"/>
      <c r="H3000" s="1115"/>
      <c r="I3000" s="1115"/>
      <c r="J3000" s="1115"/>
      <c r="K3000" s="1115"/>
      <c r="L3000" s="1115"/>
      <c r="M3000" s="1115"/>
    </row>
    <row r="3001" spans="1:13" x14ac:dyDescent="0.2">
      <c r="A3001" s="1115"/>
      <c r="B3001" s="1115"/>
      <c r="C3001" s="1115"/>
      <c r="D3001" s="1115"/>
      <c r="E3001" s="1115"/>
      <c r="F3001" s="1115"/>
      <c r="G3001" s="1115"/>
      <c r="H3001" s="1115"/>
      <c r="I3001" s="1115"/>
      <c r="J3001" s="1115"/>
      <c r="K3001" s="1115"/>
      <c r="L3001" s="1115"/>
      <c r="M3001" s="1115"/>
    </row>
    <row r="3002" spans="1:13" x14ac:dyDescent="0.2">
      <c r="A3002" s="1115"/>
      <c r="B3002" s="1115"/>
      <c r="C3002" s="1115"/>
      <c r="D3002" s="1115"/>
      <c r="E3002" s="1115"/>
      <c r="F3002" s="1115"/>
      <c r="G3002" s="1115"/>
      <c r="H3002" s="1115"/>
      <c r="I3002" s="1115"/>
      <c r="J3002" s="1115"/>
      <c r="K3002" s="1115"/>
      <c r="L3002" s="1115"/>
      <c r="M3002" s="1115"/>
    </row>
    <row r="3003" spans="1:13" x14ac:dyDescent="0.2">
      <c r="A3003" s="1115"/>
      <c r="B3003" s="1115"/>
      <c r="C3003" s="1115"/>
      <c r="D3003" s="1115"/>
      <c r="E3003" s="1115"/>
      <c r="F3003" s="1115"/>
      <c r="G3003" s="1115"/>
      <c r="H3003" s="1115"/>
      <c r="I3003" s="1115"/>
      <c r="J3003" s="1115"/>
      <c r="K3003" s="1115"/>
      <c r="L3003" s="1115"/>
      <c r="M3003" s="1115"/>
    </row>
    <row r="3004" spans="1:13" x14ac:dyDescent="0.2">
      <c r="A3004" s="1115"/>
      <c r="B3004" s="1115"/>
      <c r="C3004" s="1115"/>
      <c r="D3004" s="1115"/>
      <c r="E3004" s="1115"/>
      <c r="F3004" s="1115"/>
      <c r="G3004" s="1115"/>
      <c r="H3004" s="1115"/>
      <c r="I3004" s="1115"/>
      <c r="J3004" s="1115"/>
      <c r="K3004" s="1115"/>
      <c r="L3004" s="1115"/>
      <c r="M3004" s="1115"/>
    </row>
    <row r="3005" spans="1:13" x14ac:dyDescent="0.2">
      <c r="A3005" s="1115"/>
      <c r="B3005" s="1115"/>
      <c r="C3005" s="1115"/>
      <c r="D3005" s="1115"/>
      <c r="E3005" s="1115"/>
      <c r="F3005" s="1115"/>
      <c r="G3005" s="1115"/>
      <c r="H3005" s="1115"/>
      <c r="I3005" s="1115"/>
      <c r="J3005" s="1115"/>
      <c r="K3005" s="1115"/>
      <c r="L3005" s="1115"/>
      <c r="M3005" s="1115"/>
    </row>
    <row r="3006" spans="1:13" x14ac:dyDescent="0.2">
      <c r="A3006" s="1115"/>
      <c r="B3006" s="1115"/>
      <c r="C3006" s="1115"/>
      <c r="D3006" s="1115"/>
      <c r="E3006" s="1115"/>
      <c r="F3006" s="1115"/>
      <c r="G3006" s="1115"/>
      <c r="H3006" s="1115"/>
      <c r="I3006" s="1115"/>
      <c r="J3006" s="1115"/>
      <c r="K3006" s="1115"/>
      <c r="L3006" s="1115"/>
      <c r="M3006" s="1115"/>
    </row>
    <row r="3007" spans="1:13" x14ac:dyDescent="0.2">
      <c r="A3007" s="1115"/>
      <c r="B3007" s="1115"/>
      <c r="C3007" s="1115"/>
      <c r="D3007" s="1115"/>
      <c r="E3007" s="1115"/>
      <c r="F3007" s="1115"/>
      <c r="G3007" s="1115"/>
      <c r="H3007" s="1115"/>
      <c r="I3007" s="1115"/>
      <c r="J3007" s="1115"/>
      <c r="K3007" s="1115"/>
      <c r="L3007" s="1115"/>
      <c r="M3007" s="1115"/>
    </row>
    <row r="3008" spans="1:13" x14ac:dyDescent="0.2">
      <c r="A3008" s="1115"/>
      <c r="B3008" s="1115"/>
      <c r="C3008" s="1115"/>
      <c r="D3008" s="1115"/>
      <c r="E3008" s="1115"/>
      <c r="F3008" s="1115"/>
      <c r="G3008" s="1115"/>
      <c r="H3008" s="1115"/>
      <c r="I3008" s="1115"/>
      <c r="J3008" s="1115"/>
      <c r="K3008" s="1115"/>
      <c r="L3008" s="1115"/>
      <c r="M3008" s="1115"/>
    </row>
    <row r="3009" spans="1:13" x14ac:dyDescent="0.2">
      <c r="A3009" s="1115"/>
      <c r="B3009" s="1115"/>
      <c r="C3009" s="1115"/>
      <c r="D3009" s="1115"/>
      <c r="E3009" s="1115"/>
      <c r="F3009" s="1115"/>
      <c r="G3009" s="1115"/>
      <c r="H3009" s="1115"/>
      <c r="I3009" s="1115"/>
      <c r="J3009" s="1115"/>
      <c r="K3009" s="1115"/>
      <c r="L3009" s="1115"/>
      <c r="M3009" s="1115"/>
    </row>
    <row r="3010" spans="1:13" x14ac:dyDescent="0.2">
      <c r="A3010" s="1115"/>
      <c r="B3010" s="1115"/>
      <c r="C3010" s="1115"/>
      <c r="D3010" s="1115"/>
      <c r="E3010" s="1115"/>
      <c r="F3010" s="1115"/>
      <c r="G3010" s="1115"/>
      <c r="H3010" s="1115"/>
      <c r="I3010" s="1115"/>
      <c r="J3010" s="1115"/>
      <c r="K3010" s="1115"/>
      <c r="L3010" s="1115"/>
      <c r="M3010" s="1115"/>
    </row>
    <row r="3011" spans="1:13" x14ac:dyDescent="0.2">
      <c r="A3011" s="1115"/>
      <c r="B3011" s="1115"/>
      <c r="C3011" s="1115"/>
      <c r="D3011" s="1115"/>
      <c r="E3011" s="1115"/>
      <c r="F3011" s="1115"/>
      <c r="G3011" s="1115"/>
      <c r="H3011" s="1115"/>
      <c r="I3011" s="1115"/>
      <c r="J3011" s="1115"/>
      <c r="K3011" s="1115"/>
      <c r="L3011" s="1115"/>
      <c r="M3011" s="1115"/>
    </row>
    <row r="3012" spans="1:13" x14ac:dyDescent="0.2">
      <c r="A3012" s="1115"/>
      <c r="B3012" s="1115"/>
      <c r="C3012" s="1115"/>
      <c r="D3012" s="1115"/>
      <c r="E3012" s="1115"/>
      <c r="F3012" s="1115"/>
      <c r="G3012" s="1115"/>
      <c r="H3012" s="1115"/>
      <c r="I3012" s="1115"/>
      <c r="J3012" s="1115"/>
      <c r="K3012" s="1115"/>
      <c r="L3012" s="1115"/>
      <c r="M3012" s="1115"/>
    </row>
    <row r="3013" spans="1:13" x14ac:dyDescent="0.2">
      <c r="A3013" s="1115"/>
      <c r="B3013" s="1115"/>
      <c r="C3013" s="1115"/>
      <c r="D3013" s="1115"/>
      <c r="E3013" s="1115"/>
      <c r="F3013" s="1115"/>
      <c r="G3013" s="1115"/>
      <c r="H3013" s="1115"/>
      <c r="I3013" s="1115"/>
      <c r="J3013" s="1115"/>
      <c r="K3013" s="1115"/>
      <c r="L3013" s="1115"/>
      <c r="M3013" s="1115"/>
    </row>
    <row r="3014" spans="1:13" x14ac:dyDescent="0.2">
      <c r="A3014" s="1115"/>
      <c r="B3014" s="1115"/>
      <c r="C3014" s="1115"/>
      <c r="D3014" s="1115"/>
      <c r="E3014" s="1115"/>
      <c r="F3014" s="1115"/>
      <c r="G3014" s="1115"/>
      <c r="H3014" s="1115"/>
      <c r="I3014" s="1115"/>
      <c r="J3014" s="1115"/>
      <c r="K3014" s="1115"/>
      <c r="L3014" s="1115"/>
      <c r="M3014" s="1115"/>
    </row>
    <row r="3015" spans="1:13" x14ac:dyDescent="0.2">
      <c r="A3015" s="1115"/>
      <c r="B3015" s="1115"/>
      <c r="C3015" s="1115"/>
      <c r="D3015" s="1115"/>
      <c r="E3015" s="1115"/>
      <c r="F3015" s="1115"/>
      <c r="G3015" s="1115"/>
      <c r="H3015" s="1115"/>
      <c r="I3015" s="1115"/>
      <c r="J3015" s="1115"/>
      <c r="K3015" s="1115"/>
      <c r="L3015" s="1115"/>
      <c r="M3015" s="1115"/>
    </row>
    <row r="3016" spans="1:13" x14ac:dyDescent="0.2">
      <c r="A3016" s="1115"/>
      <c r="B3016" s="1115"/>
      <c r="C3016" s="1115"/>
      <c r="D3016" s="1115"/>
      <c r="E3016" s="1115"/>
      <c r="F3016" s="1115"/>
      <c r="G3016" s="1115"/>
      <c r="H3016" s="1115"/>
      <c r="I3016" s="1115"/>
      <c r="J3016" s="1115"/>
      <c r="K3016" s="1115"/>
      <c r="L3016" s="1115"/>
      <c r="M3016" s="1115"/>
    </row>
    <row r="3017" spans="1:13" x14ac:dyDescent="0.2">
      <c r="A3017" s="1115"/>
      <c r="B3017" s="1115"/>
      <c r="C3017" s="1115"/>
      <c r="D3017" s="1115"/>
      <c r="E3017" s="1115"/>
      <c r="F3017" s="1115"/>
      <c r="G3017" s="1115"/>
      <c r="H3017" s="1115"/>
      <c r="I3017" s="1115"/>
      <c r="J3017" s="1115"/>
      <c r="K3017" s="1115"/>
      <c r="L3017" s="1115"/>
      <c r="M3017" s="1115"/>
    </row>
    <row r="3018" spans="1:13" x14ac:dyDescent="0.2">
      <c r="A3018" s="1115"/>
      <c r="B3018" s="1115"/>
      <c r="C3018" s="1115"/>
      <c r="D3018" s="1115"/>
      <c r="E3018" s="1115"/>
      <c r="F3018" s="1115"/>
      <c r="G3018" s="1115"/>
      <c r="H3018" s="1115"/>
      <c r="I3018" s="1115"/>
      <c r="J3018" s="1115"/>
      <c r="K3018" s="1115"/>
      <c r="L3018" s="1115"/>
      <c r="M3018" s="1115"/>
    </row>
    <row r="3019" spans="1:13" x14ac:dyDescent="0.2">
      <c r="A3019" s="1115"/>
      <c r="B3019" s="1115"/>
      <c r="C3019" s="1115"/>
      <c r="D3019" s="1115"/>
      <c r="E3019" s="1115"/>
      <c r="F3019" s="1115"/>
      <c r="G3019" s="1115"/>
      <c r="H3019" s="1115"/>
      <c r="I3019" s="1115"/>
      <c r="J3019" s="1115"/>
      <c r="K3019" s="1115"/>
      <c r="L3019" s="1115"/>
      <c r="M3019" s="1115"/>
    </row>
    <row r="3020" spans="1:13" x14ac:dyDescent="0.2">
      <c r="A3020" s="1115"/>
      <c r="B3020" s="1115"/>
      <c r="C3020" s="1115"/>
      <c r="D3020" s="1115"/>
      <c r="E3020" s="1115"/>
      <c r="F3020" s="1115"/>
      <c r="G3020" s="1115"/>
      <c r="H3020" s="1115"/>
      <c r="I3020" s="1115"/>
      <c r="J3020" s="1115"/>
      <c r="K3020" s="1115"/>
      <c r="L3020" s="1115"/>
      <c r="M3020" s="1115"/>
    </row>
    <row r="3021" spans="1:13" x14ac:dyDescent="0.2">
      <c r="A3021" s="1115"/>
      <c r="B3021" s="1115"/>
      <c r="C3021" s="1115"/>
      <c r="D3021" s="1115"/>
      <c r="E3021" s="1115"/>
      <c r="F3021" s="1115"/>
      <c r="G3021" s="1115"/>
      <c r="H3021" s="1115"/>
      <c r="I3021" s="1115"/>
      <c r="J3021" s="1115"/>
      <c r="K3021" s="1115"/>
      <c r="L3021" s="1115"/>
      <c r="M3021" s="1115"/>
    </row>
    <row r="3022" spans="1:13" x14ac:dyDescent="0.2">
      <c r="A3022" s="1115"/>
      <c r="B3022" s="1115"/>
      <c r="C3022" s="1115"/>
      <c r="D3022" s="1115"/>
      <c r="E3022" s="1115"/>
      <c r="F3022" s="1115"/>
      <c r="G3022" s="1115"/>
      <c r="H3022" s="1115"/>
      <c r="I3022" s="1115"/>
      <c r="J3022" s="1115"/>
      <c r="K3022" s="1115"/>
      <c r="L3022" s="1115"/>
      <c r="M3022" s="1115"/>
    </row>
    <row r="3023" spans="1:13" x14ac:dyDescent="0.2">
      <c r="A3023" s="1115"/>
      <c r="B3023" s="1115"/>
      <c r="C3023" s="1115"/>
      <c r="D3023" s="1115"/>
      <c r="E3023" s="1115"/>
      <c r="F3023" s="1115"/>
      <c r="G3023" s="1115"/>
      <c r="H3023" s="1115"/>
      <c r="I3023" s="1115"/>
      <c r="J3023" s="1115"/>
      <c r="K3023" s="1115"/>
      <c r="L3023" s="1115"/>
      <c r="M3023" s="1115"/>
    </row>
    <row r="3024" spans="1:13" x14ac:dyDescent="0.2">
      <c r="A3024" s="1115"/>
      <c r="B3024" s="1115"/>
      <c r="C3024" s="1115"/>
      <c r="D3024" s="1115"/>
      <c r="E3024" s="1115"/>
      <c r="F3024" s="1115"/>
      <c r="G3024" s="1115"/>
      <c r="H3024" s="1115"/>
      <c r="I3024" s="1115"/>
      <c r="J3024" s="1115"/>
      <c r="K3024" s="1115"/>
      <c r="L3024" s="1115"/>
      <c r="M3024" s="1115"/>
    </row>
    <row r="3025" spans="1:13" x14ac:dyDescent="0.2">
      <c r="A3025" s="1115"/>
      <c r="B3025" s="1115"/>
      <c r="C3025" s="1115"/>
      <c r="D3025" s="1115"/>
      <c r="E3025" s="1115"/>
      <c r="F3025" s="1115"/>
      <c r="G3025" s="1115"/>
      <c r="H3025" s="1115"/>
      <c r="I3025" s="1115"/>
      <c r="J3025" s="1115"/>
      <c r="K3025" s="1115"/>
      <c r="L3025" s="1115"/>
      <c r="M3025" s="1115"/>
    </row>
    <row r="3026" spans="1:13" x14ac:dyDescent="0.2">
      <c r="A3026" s="1115"/>
      <c r="B3026" s="1115"/>
      <c r="C3026" s="1115"/>
      <c r="D3026" s="1115"/>
      <c r="E3026" s="1115"/>
      <c r="F3026" s="1115"/>
      <c r="G3026" s="1115"/>
      <c r="H3026" s="1115"/>
      <c r="I3026" s="1115"/>
      <c r="J3026" s="1115"/>
      <c r="K3026" s="1115"/>
      <c r="L3026" s="1115"/>
      <c r="M3026" s="1115"/>
    </row>
    <row r="3027" spans="1:13" x14ac:dyDescent="0.2">
      <c r="A3027" s="1115"/>
      <c r="B3027" s="1115"/>
      <c r="C3027" s="1115"/>
      <c r="D3027" s="1115"/>
      <c r="E3027" s="1115"/>
      <c r="F3027" s="1115"/>
      <c r="G3027" s="1115"/>
      <c r="H3027" s="1115"/>
      <c r="I3027" s="1115"/>
      <c r="J3027" s="1115"/>
      <c r="K3027" s="1115"/>
      <c r="L3027" s="1115"/>
      <c r="M3027" s="1115"/>
    </row>
    <row r="3028" spans="1:13" x14ac:dyDescent="0.2">
      <c r="A3028" s="1115"/>
      <c r="B3028" s="1115"/>
      <c r="C3028" s="1115"/>
      <c r="D3028" s="1115"/>
      <c r="E3028" s="1115"/>
      <c r="F3028" s="1115"/>
      <c r="G3028" s="1115"/>
      <c r="H3028" s="1115"/>
      <c r="I3028" s="1115"/>
      <c r="J3028" s="1115"/>
      <c r="K3028" s="1115"/>
      <c r="L3028" s="1115"/>
      <c r="M3028" s="1115"/>
    </row>
    <row r="3029" spans="1:13" x14ac:dyDescent="0.2">
      <c r="A3029" s="1115"/>
      <c r="B3029" s="1115"/>
      <c r="C3029" s="1115"/>
      <c r="D3029" s="1115"/>
      <c r="E3029" s="1115"/>
      <c r="F3029" s="1115"/>
      <c r="G3029" s="1115"/>
      <c r="H3029" s="1115"/>
      <c r="I3029" s="1115"/>
      <c r="J3029" s="1115"/>
      <c r="K3029" s="1115"/>
      <c r="L3029" s="1115"/>
      <c r="M3029" s="1115"/>
    </row>
    <row r="3030" spans="1:13" x14ac:dyDescent="0.2">
      <c r="A3030" s="1115"/>
      <c r="B3030" s="1115"/>
      <c r="C3030" s="1115"/>
      <c r="D3030" s="1115"/>
      <c r="E3030" s="1115"/>
      <c r="F3030" s="1115"/>
      <c r="G3030" s="1115"/>
      <c r="H3030" s="1115"/>
      <c r="I3030" s="1115"/>
      <c r="J3030" s="1115"/>
      <c r="K3030" s="1115"/>
      <c r="L3030" s="1115"/>
      <c r="M3030" s="1115"/>
    </row>
    <row r="3031" spans="1:13" x14ac:dyDescent="0.2">
      <c r="A3031" s="1115"/>
      <c r="B3031" s="1115"/>
      <c r="C3031" s="1115"/>
      <c r="D3031" s="1115"/>
      <c r="E3031" s="1115"/>
      <c r="F3031" s="1115"/>
      <c r="G3031" s="1115"/>
      <c r="H3031" s="1115"/>
      <c r="I3031" s="1115"/>
      <c r="J3031" s="1115"/>
      <c r="K3031" s="1115"/>
      <c r="L3031" s="1115"/>
      <c r="M3031" s="1115"/>
    </row>
    <row r="3032" spans="1:13" x14ac:dyDescent="0.2">
      <c r="A3032" s="1115"/>
      <c r="B3032" s="1115"/>
      <c r="C3032" s="1115"/>
      <c r="D3032" s="1115"/>
      <c r="E3032" s="1115"/>
      <c r="F3032" s="1115"/>
      <c r="G3032" s="1115"/>
      <c r="H3032" s="1115"/>
      <c r="I3032" s="1115"/>
      <c r="J3032" s="1115"/>
      <c r="K3032" s="1115"/>
      <c r="L3032" s="1115"/>
      <c r="M3032" s="1115"/>
    </row>
    <row r="3033" spans="1:13" x14ac:dyDescent="0.2">
      <c r="A3033" s="1115"/>
      <c r="B3033" s="1115"/>
      <c r="C3033" s="1115"/>
      <c r="D3033" s="1115"/>
      <c r="E3033" s="1115"/>
      <c r="F3033" s="1115"/>
      <c r="G3033" s="1115"/>
      <c r="H3033" s="1115"/>
      <c r="I3033" s="1115"/>
      <c r="J3033" s="1115"/>
      <c r="K3033" s="1115"/>
      <c r="L3033" s="1115"/>
      <c r="M3033" s="1115"/>
    </row>
    <row r="3034" spans="1:13" x14ac:dyDescent="0.2">
      <c r="A3034" s="1115"/>
      <c r="B3034" s="1115"/>
      <c r="C3034" s="1115"/>
      <c r="D3034" s="1115"/>
      <c r="E3034" s="1115"/>
      <c r="F3034" s="1115"/>
      <c r="G3034" s="1115"/>
      <c r="H3034" s="1115"/>
      <c r="I3034" s="1115"/>
      <c r="J3034" s="1115"/>
      <c r="K3034" s="1115"/>
      <c r="L3034" s="1115"/>
      <c r="M3034" s="1115"/>
    </row>
    <row r="3035" spans="1:13" x14ac:dyDescent="0.2">
      <c r="A3035" s="1115"/>
      <c r="B3035" s="1115"/>
      <c r="C3035" s="1115"/>
      <c r="D3035" s="1115"/>
      <c r="E3035" s="1115"/>
      <c r="F3035" s="1115"/>
      <c r="G3035" s="1115"/>
      <c r="H3035" s="1115"/>
      <c r="I3035" s="1115"/>
      <c r="J3035" s="1115"/>
      <c r="K3035" s="1115"/>
      <c r="L3035" s="1115"/>
      <c r="M3035" s="1115"/>
    </row>
    <row r="3036" spans="1:13" x14ac:dyDescent="0.2">
      <c r="A3036" s="1115"/>
      <c r="B3036" s="1115"/>
      <c r="C3036" s="1115"/>
      <c r="D3036" s="1115"/>
      <c r="E3036" s="1115"/>
      <c r="F3036" s="1115"/>
      <c r="G3036" s="1115"/>
      <c r="H3036" s="1115"/>
      <c r="I3036" s="1115"/>
      <c r="J3036" s="1115"/>
      <c r="K3036" s="1115"/>
      <c r="L3036" s="1115"/>
      <c r="M3036" s="1115"/>
    </row>
    <row r="3037" spans="1:13" x14ac:dyDescent="0.2">
      <c r="A3037" s="1115"/>
      <c r="B3037" s="1115"/>
      <c r="C3037" s="1115"/>
      <c r="D3037" s="1115"/>
      <c r="E3037" s="1115"/>
      <c r="F3037" s="1115"/>
      <c r="G3037" s="1115"/>
      <c r="H3037" s="1115"/>
      <c r="I3037" s="1115"/>
      <c r="J3037" s="1115"/>
      <c r="K3037" s="1115"/>
      <c r="L3037" s="1115"/>
      <c r="M3037" s="1115"/>
    </row>
    <row r="3038" spans="1:13" x14ac:dyDescent="0.2">
      <c r="A3038" s="1115"/>
      <c r="B3038" s="1115"/>
      <c r="C3038" s="1115"/>
      <c r="D3038" s="1115"/>
      <c r="E3038" s="1115"/>
      <c r="F3038" s="1115"/>
      <c r="G3038" s="1115"/>
      <c r="H3038" s="1115"/>
      <c r="I3038" s="1115"/>
      <c r="J3038" s="1115"/>
      <c r="K3038" s="1115"/>
      <c r="L3038" s="1115"/>
      <c r="M3038" s="1115"/>
    </row>
    <row r="3039" spans="1:13" x14ac:dyDescent="0.2">
      <c r="A3039" s="1115"/>
      <c r="B3039" s="1115"/>
      <c r="C3039" s="1115"/>
      <c r="D3039" s="1115"/>
      <c r="E3039" s="1115"/>
      <c r="F3039" s="1115"/>
      <c r="G3039" s="1115"/>
      <c r="H3039" s="1115"/>
      <c r="I3039" s="1115"/>
      <c r="J3039" s="1115"/>
      <c r="K3039" s="1115"/>
      <c r="L3039" s="1115"/>
      <c r="M3039" s="1115"/>
    </row>
    <row r="3040" spans="1:13" x14ac:dyDescent="0.2">
      <c r="A3040" s="1115"/>
      <c r="B3040" s="1115"/>
      <c r="C3040" s="1115"/>
      <c r="D3040" s="1115"/>
      <c r="E3040" s="1115"/>
      <c r="F3040" s="1115"/>
      <c r="G3040" s="1115"/>
      <c r="H3040" s="1115"/>
      <c r="I3040" s="1115"/>
      <c r="J3040" s="1115"/>
      <c r="K3040" s="1115"/>
      <c r="L3040" s="1115"/>
      <c r="M3040" s="1115"/>
    </row>
    <row r="3041" spans="1:13" x14ac:dyDescent="0.2">
      <c r="A3041" s="1115"/>
      <c r="B3041" s="1115"/>
      <c r="C3041" s="1115"/>
      <c r="D3041" s="1115"/>
      <c r="E3041" s="1115"/>
      <c r="F3041" s="1115"/>
      <c r="G3041" s="1115"/>
      <c r="H3041" s="1115"/>
      <c r="I3041" s="1115"/>
      <c r="J3041" s="1115"/>
      <c r="K3041" s="1115"/>
      <c r="L3041" s="1115"/>
      <c r="M3041" s="1115"/>
    </row>
    <row r="3042" spans="1:13" x14ac:dyDescent="0.2">
      <c r="A3042" s="1115"/>
      <c r="B3042" s="1115"/>
      <c r="C3042" s="1115"/>
      <c r="D3042" s="1115"/>
      <c r="E3042" s="1115"/>
      <c r="F3042" s="1115"/>
      <c r="G3042" s="1115"/>
      <c r="H3042" s="1115"/>
      <c r="I3042" s="1115"/>
      <c r="J3042" s="1115"/>
      <c r="K3042" s="1115"/>
      <c r="L3042" s="1115"/>
      <c r="M3042" s="1115"/>
    </row>
    <row r="3043" spans="1:13" x14ac:dyDescent="0.2">
      <c r="A3043" s="1115"/>
      <c r="B3043" s="1115"/>
      <c r="C3043" s="1115"/>
      <c r="D3043" s="1115"/>
      <c r="E3043" s="1115"/>
      <c r="F3043" s="1115"/>
      <c r="G3043" s="1115"/>
      <c r="H3043" s="1115"/>
      <c r="I3043" s="1115"/>
      <c r="J3043" s="1115"/>
      <c r="K3043" s="1115"/>
      <c r="L3043" s="1115"/>
      <c r="M3043" s="1115"/>
    </row>
    <row r="3044" spans="1:13" x14ac:dyDescent="0.2">
      <c r="A3044" s="1115"/>
      <c r="B3044" s="1115"/>
      <c r="C3044" s="1115"/>
      <c r="D3044" s="1115"/>
      <c r="E3044" s="1115"/>
      <c r="F3044" s="1115"/>
      <c r="G3044" s="1115"/>
      <c r="H3044" s="1115"/>
      <c r="I3044" s="1115"/>
      <c r="J3044" s="1115"/>
      <c r="K3044" s="1115"/>
      <c r="L3044" s="1115"/>
      <c r="M3044" s="1115"/>
    </row>
    <row r="3045" spans="1:13" x14ac:dyDescent="0.2">
      <c r="A3045" s="1115"/>
      <c r="B3045" s="1115"/>
      <c r="C3045" s="1115"/>
      <c r="D3045" s="1115"/>
      <c r="E3045" s="1115"/>
      <c r="F3045" s="1115"/>
      <c r="G3045" s="1115"/>
      <c r="H3045" s="1115"/>
      <c r="I3045" s="1115"/>
      <c r="J3045" s="1115"/>
      <c r="K3045" s="1115"/>
      <c r="L3045" s="1115"/>
      <c r="M3045" s="1115"/>
    </row>
    <row r="3046" spans="1:13" x14ac:dyDescent="0.2">
      <c r="A3046" s="1115"/>
      <c r="B3046" s="1115"/>
      <c r="C3046" s="1115"/>
      <c r="D3046" s="1115"/>
      <c r="E3046" s="1115"/>
      <c r="F3046" s="1115"/>
      <c r="G3046" s="1115"/>
      <c r="H3046" s="1115"/>
      <c r="I3046" s="1115"/>
      <c r="J3046" s="1115"/>
      <c r="K3046" s="1115"/>
      <c r="L3046" s="1115"/>
      <c r="M3046" s="1115"/>
    </row>
    <row r="3047" spans="1:13" x14ac:dyDescent="0.2">
      <c r="A3047" s="1115"/>
      <c r="B3047" s="1115"/>
      <c r="C3047" s="1115"/>
      <c r="D3047" s="1115"/>
      <c r="E3047" s="1115"/>
      <c r="F3047" s="1115"/>
      <c r="G3047" s="1115"/>
      <c r="H3047" s="1115"/>
      <c r="I3047" s="1115"/>
      <c r="J3047" s="1115"/>
      <c r="K3047" s="1115"/>
      <c r="L3047" s="1115"/>
      <c r="M3047" s="1115"/>
    </row>
    <row r="3048" spans="1:13" x14ac:dyDescent="0.2">
      <c r="A3048" s="1115"/>
      <c r="B3048" s="1115"/>
      <c r="C3048" s="1115"/>
      <c r="D3048" s="1115"/>
      <c r="E3048" s="1115"/>
      <c r="F3048" s="1115"/>
      <c r="G3048" s="1115"/>
      <c r="H3048" s="1115"/>
      <c r="I3048" s="1115"/>
      <c r="J3048" s="1115"/>
      <c r="K3048" s="1115"/>
      <c r="L3048" s="1115"/>
      <c r="M3048" s="1115"/>
    </row>
    <row r="3049" spans="1:13" x14ac:dyDescent="0.2">
      <c r="A3049" s="1115"/>
      <c r="B3049" s="1115"/>
      <c r="C3049" s="1115"/>
      <c r="D3049" s="1115"/>
      <c r="E3049" s="1115"/>
      <c r="F3049" s="1115"/>
      <c r="G3049" s="1115"/>
      <c r="H3049" s="1115"/>
      <c r="I3049" s="1115"/>
      <c r="J3049" s="1115"/>
      <c r="K3049" s="1115"/>
      <c r="L3049" s="1115"/>
      <c r="M3049" s="1115"/>
    </row>
    <row r="3050" spans="1:13" x14ac:dyDescent="0.2">
      <c r="A3050" s="1115"/>
      <c r="B3050" s="1115"/>
      <c r="C3050" s="1115"/>
      <c r="D3050" s="1115"/>
      <c r="E3050" s="1115"/>
      <c r="F3050" s="1115"/>
      <c r="G3050" s="1115"/>
      <c r="H3050" s="1115"/>
      <c r="I3050" s="1115"/>
      <c r="J3050" s="1115"/>
      <c r="K3050" s="1115"/>
      <c r="L3050" s="1115"/>
      <c r="M3050" s="1115"/>
    </row>
    <row r="3051" spans="1:13" x14ac:dyDescent="0.2">
      <c r="A3051" s="1115"/>
      <c r="B3051" s="1115"/>
      <c r="C3051" s="1115"/>
      <c r="D3051" s="1115"/>
      <c r="E3051" s="1115"/>
      <c r="F3051" s="1115"/>
      <c r="G3051" s="1115"/>
      <c r="H3051" s="1115"/>
      <c r="I3051" s="1115"/>
      <c r="J3051" s="1115"/>
      <c r="K3051" s="1115"/>
      <c r="L3051" s="1115"/>
      <c r="M3051" s="1115"/>
    </row>
    <row r="3052" spans="1:13" x14ac:dyDescent="0.2">
      <c r="A3052" s="1115"/>
      <c r="B3052" s="1115"/>
      <c r="C3052" s="1115"/>
      <c r="D3052" s="1115"/>
      <c r="E3052" s="1115"/>
      <c r="F3052" s="1115"/>
      <c r="G3052" s="1115"/>
      <c r="H3052" s="1115"/>
      <c r="I3052" s="1115"/>
      <c r="J3052" s="1115"/>
      <c r="K3052" s="1115"/>
      <c r="L3052" s="1115"/>
      <c r="M3052" s="1115"/>
    </row>
    <row r="3053" spans="1:13" x14ac:dyDescent="0.2">
      <c r="A3053" s="1115"/>
      <c r="B3053" s="1115"/>
      <c r="C3053" s="1115"/>
      <c r="D3053" s="1115"/>
      <c r="E3053" s="1115"/>
      <c r="F3053" s="1115"/>
      <c r="G3053" s="1115"/>
      <c r="H3053" s="1115"/>
      <c r="I3053" s="1115"/>
      <c r="J3053" s="1115"/>
      <c r="K3053" s="1115"/>
      <c r="L3053" s="1115"/>
      <c r="M3053" s="1115"/>
    </row>
    <row r="3054" spans="1:13" x14ac:dyDescent="0.2">
      <c r="A3054" s="1115"/>
      <c r="B3054" s="1115"/>
      <c r="C3054" s="1115"/>
      <c r="D3054" s="1115"/>
      <c r="E3054" s="1115"/>
      <c r="F3054" s="1115"/>
      <c r="G3054" s="1115"/>
      <c r="H3054" s="1115"/>
      <c r="I3054" s="1115"/>
      <c r="J3054" s="1115"/>
      <c r="K3054" s="1115"/>
      <c r="L3054" s="1115"/>
      <c r="M3054" s="1115"/>
    </row>
    <row r="3055" spans="1:13" x14ac:dyDescent="0.2">
      <c r="A3055" s="1115"/>
      <c r="B3055" s="1115"/>
      <c r="C3055" s="1115"/>
      <c r="D3055" s="1115"/>
      <c r="E3055" s="1115"/>
      <c r="F3055" s="1115"/>
      <c r="G3055" s="1115"/>
      <c r="H3055" s="1115"/>
      <c r="I3055" s="1115"/>
      <c r="J3055" s="1115"/>
      <c r="K3055" s="1115"/>
      <c r="L3055" s="1115"/>
      <c r="M3055" s="1115"/>
    </row>
    <row r="3056" spans="1:13" x14ac:dyDescent="0.2">
      <c r="A3056" s="1115"/>
      <c r="B3056" s="1115"/>
      <c r="C3056" s="1115"/>
      <c r="D3056" s="1115"/>
      <c r="E3056" s="1115"/>
      <c r="F3056" s="1115"/>
      <c r="G3056" s="1115"/>
      <c r="H3056" s="1115"/>
      <c r="I3056" s="1115"/>
      <c r="J3056" s="1115"/>
      <c r="K3056" s="1115"/>
      <c r="L3056" s="1115"/>
      <c r="M3056" s="1115"/>
    </row>
    <row r="3057" spans="1:13" x14ac:dyDescent="0.2">
      <c r="A3057" s="1115"/>
      <c r="B3057" s="1115"/>
      <c r="C3057" s="1115"/>
      <c r="D3057" s="1115"/>
      <c r="E3057" s="1115"/>
      <c r="F3057" s="1115"/>
      <c r="G3057" s="1115"/>
      <c r="H3057" s="1115"/>
      <c r="I3057" s="1115"/>
      <c r="J3057" s="1115"/>
      <c r="K3057" s="1115"/>
      <c r="L3057" s="1115"/>
      <c r="M3057" s="1115"/>
    </row>
    <row r="3058" spans="1:13" x14ac:dyDescent="0.2">
      <c r="A3058" s="1115"/>
      <c r="B3058" s="1115"/>
      <c r="C3058" s="1115"/>
      <c r="D3058" s="1115"/>
      <c r="E3058" s="1115"/>
      <c r="F3058" s="1115"/>
      <c r="G3058" s="1115"/>
      <c r="H3058" s="1115"/>
      <c r="I3058" s="1115"/>
      <c r="J3058" s="1115"/>
      <c r="K3058" s="1115"/>
      <c r="L3058" s="1115"/>
      <c r="M3058" s="1115"/>
    </row>
    <row r="3059" spans="1:13" x14ac:dyDescent="0.2">
      <c r="A3059" s="1115"/>
      <c r="B3059" s="1115"/>
      <c r="C3059" s="1115"/>
      <c r="D3059" s="1115"/>
      <c r="E3059" s="1115"/>
      <c r="F3059" s="1115"/>
      <c r="G3059" s="1115"/>
      <c r="H3059" s="1115"/>
      <c r="I3059" s="1115"/>
      <c r="J3059" s="1115"/>
      <c r="K3059" s="1115"/>
      <c r="L3059" s="1115"/>
      <c r="M3059" s="1115"/>
    </row>
    <row r="3060" spans="1:13" x14ac:dyDescent="0.2">
      <c r="A3060" s="1115"/>
      <c r="B3060" s="1115"/>
      <c r="C3060" s="1115"/>
      <c r="D3060" s="1115"/>
      <c r="E3060" s="1115"/>
      <c r="F3060" s="1115"/>
      <c r="G3060" s="1115"/>
      <c r="H3060" s="1115"/>
      <c r="I3060" s="1115"/>
      <c r="J3060" s="1115"/>
      <c r="K3060" s="1115"/>
      <c r="L3060" s="1115"/>
      <c r="M3060" s="1115"/>
    </row>
    <row r="3061" spans="1:13" x14ac:dyDescent="0.2">
      <c r="A3061" s="1115"/>
      <c r="B3061" s="1115"/>
      <c r="C3061" s="1115"/>
      <c r="D3061" s="1115"/>
      <c r="E3061" s="1115"/>
      <c r="F3061" s="1115"/>
      <c r="G3061" s="1115"/>
      <c r="H3061" s="1115"/>
      <c r="I3061" s="1115"/>
      <c r="J3061" s="1115"/>
      <c r="K3061" s="1115"/>
      <c r="L3061" s="1115"/>
      <c r="M3061" s="1115"/>
    </row>
    <row r="3062" spans="1:13" x14ac:dyDescent="0.2">
      <c r="A3062" s="1115"/>
      <c r="B3062" s="1115"/>
      <c r="C3062" s="1115"/>
      <c r="D3062" s="1115"/>
      <c r="E3062" s="1115"/>
      <c r="F3062" s="1115"/>
      <c r="G3062" s="1115"/>
      <c r="H3062" s="1115"/>
      <c r="I3062" s="1115"/>
      <c r="J3062" s="1115"/>
      <c r="K3062" s="1115"/>
      <c r="L3062" s="1115"/>
      <c r="M3062" s="1115"/>
    </row>
    <row r="3063" spans="1:13" x14ac:dyDescent="0.2">
      <c r="A3063" s="1115"/>
      <c r="B3063" s="1115"/>
      <c r="C3063" s="1115"/>
      <c r="D3063" s="1115"/>
      <c r="E3063" s="1115"/>
      <c r="F3063" s="1115"/>
      <c r="G3063" s="1115"/>
      <c r="H3063" s="1115"/>
      <c r="I3063" s="1115"/>
      <c r="J3063" s="1115"/>
      <c r="K3063" s="1115"/>
      <c r="L3063" s="1115"/>
      <c r="M3063" s="1115"/>
    </row>
    <row r="3064" spans="1:13" x14ac:dyDescent="0.2">
      <c r="A3064" s="1115"/>
      <c r="B3064" s="1115"/>
      <c r="C3064" s="1115"/>
      <c r="D3064" s="1115"/>
      <c r="E3064" s="1115"/>
      <c r="F3064" s="1115"/>
      <c r="G3064" s="1115"/>
      <c r="H3064" s="1115"/>
      <c r="I3064" s="1115"/>
      <c r="J3064" s="1115"/>
      <c r="K3064" s="1115"/>
      <c r="L3064" s="1115"/>
      <c r="M3064" s="1115"/>
    </row>
    <row r="3065" spans="1:13" x14ac:dyDescent="0.2">
      <c r="A3065" s="1115"/>
      <c r="B3065" s="1115"/>
      <c r="C3065" s="1115"/>
      <c r="D3065" s="1115"/>
      <c r="E3065" s="1115"/>
      <c r="F3065" s="1115"/>
      <c r="G3065" s="1115"/>
      <c r="H3065" s="1115"/>
      <c r="I3065" s="1115"/>
      <c r="J3065" s="1115"/>
      <c r="K3065" s="1115"/>
      <c r="L3065" s="1115"/>
      <c r="M3065" s="1115"/>
    </row>
    <row r="3066" spans="1:13" x14ac:dyDescent="0.2">
      <c r="A3066" s="1115"/>
      <c r="B3066" s="1115"/>
      <c r="C3066" s="1115"/>
      <c r="D3066" s="1115"/>
      <c r="E3066" s="1115"/>
      <c r="F3066" s="1115"/>
      <c r="G3066" s="1115"/>
      <c r="H3066" s="1115"/>
      <c r="I3066" s="1115"/>
      <c r="J3066" s="1115"/>
      <c r="K3066" s="1115"/>
      <c r="L3066" s="1115"/>
      <c r="M3066" s="1115"/>
    </row>
    <row r="3067" spans="1:13" x14ac:dyDescent="0.2">
      <c r="A3067" s="1115"/>
      <c r="B3067" s="1115"/>
      <c r="C3067" s="1115"/>
      <c r="D3067" s="1115"/>
      <c r="E3067" s="1115"/>
      <c r="F3067" s="1115"/>
      <c r="G3067" s="1115"/>
      <c r="H3067" s="1115"/>
      <c r="I3067" s="1115"/>
      <c r="J3067" s="1115"/>
      <c r="K3067" s="1115"/>
      <c r="L3067" s="1115"/>
      <c r="M3067" s="1115"/>
    </row>
    <row r="3068" spans="1:13" x14ac:dyDescent="0.2">
      <c r="A3068" s="1115"/>
      <c r="B3068" s="1115"/>
      <c r="C3068" s="1115"/>
      <c r="D3068" s="1115"/>
      <c r="E3068" s="1115"/>
      <c r="F3068" s="1115"/>
      <c r="G3068" s="1115"/>
      <c r="H3068" s="1115"/>
      <c r="I3068" s="1115"/>
      <c r="J3068" s="1115"/>
      <c r="K3068" s="1115"/>
      <c r="L3068" s="1115"/>
      <c r="M3068" s="1115"/>
    </row>
    <row r="3069" spans="1:13" x14ac:dyDescent="0.2">
      <c r="A3069" s="1115"/>
      <c r="B3069" s="1115"/>
      <c r="C3069" s="1115"/>
      <c r="D3069" s="1115"/>
      <c r="E3069" s="1115"/>
      <c r="F3069" s="1115"/>
      <c r="G3069" s="1115"/>
      <c r="H3069" s="1115"/>
      <c r="I3069" s="1115"/>
      <c r="J3069" s="1115"/>
      <c r="K3069" s="1115"/>
      <c r="L3069" s="1115"/>
      <c r="M3069" s="1115"/>
    </row>
    <row r="3070" spans="1:13" x14ac:dyDescent="0.2">
      <c r="A3070" s="1115"/>
      <c r="B3070" s="1115"/>
      <c r="C3070" s="1115"/>
      <c r="D3070" s="1115"/>
      <c r="E3070" s="1115"/>
      <c r="F3070" s="1115"/>
      <c r="G3070" s="1115"/>
      <c r="H3070" s="1115"/>
      <c r="I3070" s="1115"/>
      <c r="J3070" s="1115"/>
      <c r="K3070" s="1115"/>
      <c r="L3070" s="1115"/>
      <c r="M3070" s="1115"/>
    </row>
    <row r="3071" spans="1:13" x14ac:dyDescent="0.2">
      <c r="A3071" s="1115"/>
      <c r="B3071" s="1115"/>
      <c r="C3071" s="1115"/>
      <c r="D3071" s="1115"/>
      <c r="E3071" s="1115"/>
      <c r="F3071" s="1115"/>
      <c r="G3071" s="1115"/>
      <c r="H3071" s="1115"/>
      <c r="I3071" s="1115"/>
      <c r="J3071" s="1115"/>
      <c r="K3071" s="1115"/>
      <c r="L3071" s="1115"/>
      <c r="M3071" s="1115"/>
    </row>
    <row r="3072" spans="1:13" x14ac:dyDescent="0.2">
      <c r="A3072" s="1115"/>
      <c r="B3072" s="1115"/>
      <c r="C3072" s="1115"/>
      <c r="D3072" s="1115"/>
      <c r="E3072" s="1115"/>
      <c r="F3072" s="1115"/>
      <c r="G3072" s="1115"/>
      <c r="H3072" s="1115"/>
      <c r="I3072" s="1115"/>
      <c r="J3072" s="1115"/>
      <c r="K3072" s="1115"/>
      <c r="L3072" s="1115"/>
      <c r="M3072" s="1115"/>
    </row>
    <row r="3073" spans="1:13" x14ac:dyDescent="0.2">
      <c r="A3073" s="1115"/>
      <c r="B3073" s="1115"/>
      <c r="C3073" s="1115"/>
      <c r="D3073" s="1115"/>
      <c r="E3073" s="1115"/>
      <c r="F3073" s="1115"/>
      <c r="G3073" s="1115"/>
      <c r="H3073" s="1115"/>
      <c r="I3073" s="1115"/>
      <c r="J3073" s="1115"/>
      <c r="K3073" s="1115"/>
      <c r="L3073" s="1115"/>
      <c r="M3073" s="1115"/>
    </row>
    <row r="3074" spans="1:13" x14ac:dyDescent="0.2">
      <c r="A3074" s="1115"/>
      <c r="B3074" s="1115"/>
      <c r="C3074" s="1115"/>
      <c r="D3074" s="1115"/>
      <c r="E3074" s="1115"/>
      <c r="F3074" s="1115"/>
      <c r="G3074" s="1115"/>
      <c r="H3074" s="1115"/>
      <c r="I3074" s="1115"/>
      <c r="J3074" s="1115"/>
      <c r="K3074" s="1115"/>
      <c r="L3074" s="1115"/>
      <c r="M3074" s="1115"/>
    </row>
    <row r="3075" spans="1:13" x14ac:dyDescent="0.2">
      <c r="A3075" s="1115"/>
      <c r="B3075" s="1115"/>
      <c r="C3075" s="1115"/>
      <c r="D3075" s="1115"/>
      <c r="E3075" s="1115"/>
      <c r="F3075" s="1115"/>
      <c r="G3075" s="1115"/>
      <c r="H3075" s="1115"/>
      <c r="I3075" s="1115"/>
      <c r="J3075" s="1115"/>
      <c r="K3075" s="1115"/>
      <c r="L3075" s="1115"/>
      <c r="M3075" s="1115"/>
    </row>
    <row r="3076" spans="1:13" x14ac:dyDescent="0.2">
      <c r="A3076" s="1115"/>
      <c r="B3076" s="1115"/>
      <c r="C3076" s="1115"/>
      <c r="D3076" s="1115"/>
      <c r="E3076" s="1115"/>
      <c r="F3076" s="1115"/>
      <c r="G3076" s="1115"/>
      <c r="H3076" s="1115"/>
      <c r="I3076" s="1115"/>
      <c r="J3076" s="1115"/>
      <c r="K3076" s="1115"/>
      <c r="L3076" s="1115"/>
      <c r="M3076" s="1115"/>
    </row>
    <row r="3077" spans="1:13" x14ac:dyDescent="0.2">
      <c r="A3077" s="1115"/>
      <c r="B3077" s="1115"/>
      <c r="C3077" s="1115"/>
      <c r="D3077" s="1115"/>
      <c r="E3077" s="1115"/>
      <c r="F3077" s="1115"/>
      <c r="G3077" s="1115"/>
      <c r="H3077" s="1115"/>
      <c r="I3077" s="1115"/>
      <c r="J3077" s="1115"/>
      <c r="K3077" s="1115"/>
      <c r="L3077" s="1115"/>
      <c r="M3077" s="1115"/>
    </row>
    <row r="3078" spans="1:13" x14ac:dyDescent="0.2">
      <c r="A3078" s="1115"/>
      <c r="B3078" s="1115"/>
      <c r="C3078" s="1115"/>
      <c r="D3078" s="1115"/>
      <c r="E3078" s="1115"/>
      <c r="F3078" s="1115"/>
      <c r="G3078" s="1115"/>
      <c r="H3078" s="1115"/>
      <c r="I3078" s="1115"/>
      <c r="J3078" s="1115"/>
      <c r="K3078" s="1115"/>
      <c r="L3078" s="1115"/>
      <c r="M3078" s="1115"/>
    </row>
    <row r="3079" spans="1:13" x14ac:dyDescent="0.2">
      <c r="A3079" s="1115"/>
      <c r="B3079" s="1115"/>
      <c r="C3079" s="1115"/>
      <c r="D3079" s="1115"/>
      <c r="E3079" s="1115"/>
      <c r="F3079" s="1115"/>
      <c r="G3079" s="1115"/>
      <c r="H3079" s="1115"/>
      <c r="I3079" s="1115"/>
      <c r="J3079" s="1115"/>
      <c r="K3079" s="1115"/>
      <c r="L3079" s="1115"/>
      <c r="M3079" s="1115"/>
    </row>
    <row r="3080" spans="1:13" x14ac:dyDescent="0.2">
      <c r="A3080" s="1115"/>
      <c r="B3080" s="1115"/>
      <c r="C3080" s="1115"/>
      <c r="D3080" s="1115"/>
      <c r="E3080" s="1115"/>
      <c r="F3080" s="1115"/>
      <c r="G3080" s="1115"/>
      <c r="H3080" s="1115"/>
      <c r="I3080" s="1115"/>
      <c r="J3080" s="1115"/>
      <c r="K3080" s="1115"/>
      <c r="L3080" s="1115"/>
      <c r="M3080" s="1115"/>
    </row>
    <row r="3081" spans="1:13" x14ac:dyDescent="0.2">
      <c r="A3081" s="1115"/>
      <c r="B3081" s="1115"/>
      <c r="C3081" s="1115"/>
      <c r="D3081" s="1115"/>
      <c r="E3081" s="1115"/>
      <c r="F3081" s="1115"/>
      <c r="G3081" s="1115"/>
      <c r="H3081" s="1115"/>
      <c r="I3081" s="1115"/>
      <c r="J3081" s="1115"/>
      <c r="K3081" s="1115"/>
      <c r="L3081" s="1115"/>
      <c r="M3081" s="1115"/>
    </row>
    <row r="3082" spans="1:13" x14ac:dyDescent="0.2">
      <c r="A3082" s="1115"/>
      <c r="B3082" s="1115"/>
      <c r="C3082" s="1115"/>
      <c r="D3082" s="1115"/>
      <c r="E3082" s="1115"/>
      <c r="F3082" s="1115"/>
      <c r="G3082" s="1115"/>
      <c r="H3082" s="1115"/>
      <c r="I3082" s="1115"/>
      <c r="J3082" s="1115"/>
      <c r="K3082" s="1115"/>
      <c r="L3082" s="1115"/>
      <c r="M3082" s="1115"/>
    </row>
    <row r="3083" spans="1:13" x14ac:dyDescent="0.2">
      <c r="A3083" s="1115"/>
      <c r="B3083" s="1115"/>
      <c r="C3083" s="1115"/>
      <c r="D3083" s="1115"/>
      <c r="E3083" s="1115"/>
      <c r="F3083" s="1115"/>
      <c r="G3083" s="1115"/>
      <c r="H3083" s="1115"/>
      <c r="I3083" s="1115"/>
      <c r="J3083" s="1115"/>
      <c r="K3083" s="1115"/>
      <c r="L3083" s="1115"/>
      <c r="M3083" s="1115"/>
    </row>
    <row r="3084" spans="1:13" x14ac:dyDescent="0.2">
      <c r="A3084" s="1115"/>
      <c r="B3084" s="1115"/>
      <c r="C3084" s="1115"/>
      <c r="D3084" s="1115"/>
      <c r="E3084" s="1115"/>
      <c r="F3084" s="1115"/>
      <c r="G3084" s="1115"/>
      <c r="H3084" s="1115"/>
      <c r="I3084" s="1115"/>
      <c r="J3084" s="1115"/>
      <c r="K3084" s="1115"/>
      <c r="L3084" s="1115"/>
      <c r="M3084" s="1115"/>
    </row>
    <row r="3085" spans="1:13" x14ac:dyDescent="0.2">
      <c r="A3085" s="1115"/>
      <c r="B3085" s="1115"/>
      <c r="C3085" s="1115"/>
      <c r="D3085" s="1115"/>
      <c r="E3085" s="1115"/>
      <c r="F3085" s="1115"/>
      <c r="G3085" s="1115"/>
      <c r="H3085" s="1115"/>
      <c r="I3085" s="1115"/>
      <c r="J3085" s="1115"/>
      <c r="K3085" s="1115"/>
      <c r="L3085" s="1115"/>
      <c r="M3085" s="1115"/>
    </row>
    <row r="3086" spans="1:13" x14ac:dyDescent="0.2">
      <c r="A3086" s="1115"/>
      <c r="B3086" s="1115"/>
      <c r="C3086" s="1115"/>
      <c r="D3086" s="1115"/>
      <c r="E3086" s="1115"/>
      <c r="F3086" s="1115"/>
      <c r="G3086" s="1115"/>
      <c r="H3086" s="1115"/>
      <c r="I3086" s="1115"/>
      <c r="J3086" s="1115"/>
      <c r="K3086" s="1115"/>
      <c r="L3086" s="1115"/>
      <c r="M3086" s="1115"/>
    </row>
    <row r="3087" spans="1:13" x14ac:dyDescent="0.2">
      <c r="A3087" s="1115"/>
      <c r="B3087" s="1115"/>
      <c r="C3087" s="1115"/>
      <c r="D3087" s="1115"/>
      <c r="E3087" s="1115"/>
      <c r="F3087" s="1115"/>
      <c r="G3087" s="1115"/>
      <c r="H3087" s="1115"/>
      <c r="I3087" s="1115"/>
      <c r="J3087" s="1115"/>
      <c r="K3087" s="1115"/>
      <c r="L3087" s="1115"/>
      <c r="M3087" s="1115"/>
    </row>
    <row r="3088" spans="1:13" x14ac:dyDescent="0.2">
      <c r="A3088" s="1115"/>
      <c r="B3088" s="1115"/>
      <c r="C3088" s="1115"/>
      <c r="D3088" s="1115"/>
      <c r="E3088" s="1115"/>
      <c r="F3088" s="1115"/>
      <c r="G3088" s="1115"/>
      <c r="H3088" s="1115"/>
      <c r="I3088" s="1115"/>
      <c r="J3088" s="1115"/>
      <c r="K3088" s="1115"/>
      <c r="L3088" s="1115"/>
      <c r="M3088" s="1115"/>
    </row>
    <row r="3089" spans="1:13" x14ac:dyDescent="0.2">
      <c r="A3089" s="1115"/>
      <c r="B3089" s="1115"/>
      <c r="C3089" s="1115"/>
      <c r="D3089" s="1115"/>
      <c r="E3089" s="1115"/>
      <c r="F3089" s="1115"/>
      <c r="G3089" s="1115"/>
      <c r="H3089" s="1115"/>
      <c r="I3089" s="1115"/>
      <c r="J3089" s="1115"/>
      <c r="K3089" s="1115"/>
      <c r="L3089" s="1115"/>
      <c r="M3089" s="1115"/>
    </row>
    <row r="3090" spans="1:13" x14ac:dyDescent="0.2">
      <c r="A3090" s="1115"/>
      <c r="B3090" s="1115"/>
      <c r="C3090" s="1115"/>
      <c r="D3090" s="1115"/>
      <c r="E3090" s="1115"/>
      <c r="F3090" s="1115"/>
      <c r="G3090" s="1115"/>
      <c r="H3090" s="1115"/>
      <c r="I3090" s="1115"/>
      <c r="J3090" s="1115"/>
      <c r="K3090" s="1115"/>
      <c r="L3090" s="1115"/>
      <c r="M3090" s="1115"/>
    </row>
    <row r="3091" spans="1:13" x14ac:dyDescent="0.2">
      <c r="A3091" s="1115"/>
      <c r="B3091" s="1115"/>
      <c r="C3091" s="1115"/>
      <c r="D3091" s="1115"/>
      <c r="E3091" s="1115"/>
      <c r="F3091" s="1115"/>
      <c r="G3091" s="1115"/>
      <c r="H3091" s="1115"/>
      <c r="I3091" s="1115"/>
      <c r="J3091" s="1115"/>
      <c r="K3091" s="1115"/>
      <c r="L3091" s="1115"/>
      <c r="M3091" s="1115"/>
    </row>
    <row r="3092" spans="1:13" x14ac:dyDescent="0.2">
      <c r="A3092" s="1115"/>
      <c r="B3092" s="1115"/>
      <c r="C3092" s="1115"/>
      <c r="D3092" s="1115"/>
      <c r="E3092" s="1115"/>
      <c r="F3092" s="1115"/>
      <c r="G3092" s="1115"/>
      <c r="H3092" s="1115"/>
      <c r="I3092" s="1115"/>
      <c r="J3092" s="1115"/>
      <c r="K3092" s="1115"/>
      <c r="L3092" s="1115"/>
      <c r="M3092" s="1115"/>
    </row>
    <row r="3093" spans="1:13" x14ac:dyDescent="0.2">
      <c r="A3093" s="1115"/>
      <c r="B3093" s="1115"/>
      <c r="C3093" s="1115"/>
      <c r="D3093" s="1115"/>
      <c r="E3093" s="1115"/>
      <c r="F3093" s="1115"/>
      <c r="G3093" s="1115"/>
      <c r="H3093" s="1115"/>
      <c r="I3093" s="1115"/>
      <c r="J3093" s="1115"/>
      <c r="K3093" s="1115"/>
      <c r="L3093" s="1115"/>
      <c r="M3093" s="1115"/>
    </row>
    <row r="3094" spans="1:13" x14ac:dyDescent="0.2">
      <c r="A3094" s="1115"/>
      <c r="B3094" s="1115"/>
      <c r="C3094" s="1115"/>
      <c r="D3094" s="1115"/>
      <c r="E3094" s="1115"/>
      <c r="F3094" s="1115"/>
      <c r="G3094" s="1115"/>
      <c r="H3094" s="1115"/>
      <c r="I3094" s="1115"/>
      <c r="J3094" s="1115"/>
      <c r="K3094" s="1115"/>
      <c r="L3094" s="1115"/>
      <c r="M3094" s="1115"/>
    </row>
    <row r="3095" spans="1:13" x14ac:dyDescent="0.2">
      <c r="A3095" s="1115"/>
      <c r="B3095" s="1115"/>
      <c r="C3095" s="1115"/>
      <c r="D3095" s="1115"/>
      <c r="E3095" s="1115"/>
      <c r="F3095" s="1115"/>
      <c r="G3095" s="1115"/>
      <c r="H3095" s="1115"/>
      <c r="I3095" s="1115"/>
      <c r="J3095" s="1115"/>
      <c r="K3095" s="1115"/>
      <c r="L3095" s="1115"/>
      <c r="M3095" s="1115"/>
    </row>
    <row r="3096" spans="1:13" x14ac:dyDescent="0.2">
      <c r="A3096" s="1115"/>
      <c r="B3096" s="1115"/>
      <c r="C3096" s="1115"/>
      <c r="D3096" s="1115"/>
      <c r="E3096" s="1115"/>
      <c r="F3096" s="1115"/>
      <c r="G3096" s="1115"/>
      <c r="H3096" s="1115"/>
      <c r="I3096" s="1115"/>
      <c r="J3096" s="1115"/>
      <c r="K3096" s="1115"/>
      <c r="L3096" s="1115"/>
      <c r="M3096" s="1115"/>
    </row>
    <row r="3097" spans="1:13" x14ac:dyDescent="0.2">
      <c r="A3097" s="1115"/>
      <c r="B3097" s="1115"/>
      <c r="C3097" s="1115"/>
      <c r="D3097" s="1115"/>
      <c r="E3097" s="1115"/>
      <c r="F3097" s="1115"/>
      <c r="G3097" s="1115"/>
      <c r="H3097" s="1115"/>
      <c r="I3097" s="1115"/>
      <c r="J3097" s="1115"/>
      <c r="K3097" s="1115"/>
      <c r="L3097" s="1115"/>
      <c r="M3097" s="1115"/>
    </row>
    <row r="3098" spans="1:13" x14ac:dyDescent="0.2">
      <c r="A3098" s="1115"/>
      <c r="B3098" s="1115"/>
      <c r="C3098" s="1115"/>
      <c r="D3098" s="1115"/>
      <c r="E3098" s="1115"/>
      <c r="F3098" s="1115"/>
      <c r="G3098" s="1115"/>
      <c r="H3098" s="1115"/>
      <c r="I3098" s="1115"/>
      <c r="J3098" s="1115"/>
      <c r="K3098" s="1115"/>
      <c r="L3098" s="1115"/>
      <c r="M3098" s="1115"/>
    </row>
    <row r="3099" spans="1:13" x14ac:dyDescent="0.2">
      <c r="A3099" s="1115"/>
      <c r="B3099" s="1115"/>
      <c r="C3099" s="1115"/>
      <c r="D3099" s="1115"/>
      <c r="E3099" s="1115"/>
      <c r="F3099" s="1115"/>
      <c r="G3099" s="1115"/>
      <c r="H3099" s="1115"/>
      <c r="I3099" s="1115"/>
      <c r="J3099" s="1115"/>
      <c r="K3099" s="1115"/>
      <c r="L3099" s="1115"/>
      <c r="M3099" s="1115"/>
    </row>
    <row r="3100" spans="1:13" x14ac:dyDescent="0.2">
      <c r="A3100" s="1115"/>
      <c r="B3100" s="1115"/>
      <c r="C3100" s="1115"/>
      <c r="D3100" s="1115"/>
      <c r="E3100" s="1115"/>
      <c r="F3100" s="1115"/>
      <c r="G3100" s="1115"/>
      <c r="H3100" s="1115"/>
      <c r="I3100" s="1115"/>
      <c r="J3100" s="1115"/>
      <c r="K3100" s="1115"/>
      <c r="L3100" s="1115"/>
      <c r="M3100" s="1115"/>
    </row>
    <row r="3101" spans="1:13" x14ac:dyDescent="0.2">
      <c r="A3101" s="1115"/>
      <c r="B3101" s="1115"/>
      <c r="C3101" s="1115"/>
      <c r="D3101" s="1115"/>
      <c r="E3101" s="1115"/>
      <c r="F3101" s="1115"/>
      <c r="G3101" s="1115"/>
      <c r="H3101" s="1115"/>
      <c r="I3101" s="1115"/>
      <c r="J3101" s="1115"/>
      <c r="K3101" s="1115"/>
      <c r="L3101" s="1115"/>
      <c r="M3101" s="1115"/>
    </row>
    <row r="3102" spans="1:13" x14ac:dyDescent="0.2">
      <c r="A3102" s="1115"/>
      <c r="B3102" s="1115"/>
      <c r="C3102" s="1115"/>
      <c r="D3102" s="1115"/>
      <c r="E3102" s="1115"/>
      <c r="F3102" s="1115"/>
      <c r="G3102" s="1115"/>
      <c r="H3102" s="1115"/>
      <c r="I3102" s="1115"/>
      <c r="J3102" s="1115"/>
      <c r="K3102" s="1115"/>
      <c r="L3102" s="1115"/>
      <c r="M3102" s="1115"/>
    </row>
    <row r="3103" spans="1:13" x14ac:dyDescent="0.2">
      <c r="A3103" s="1115"/>
      <c r="B3103" s="1115"/>
      <c r="C3103" s="1115"/>
      <c r="D3103" s="1115"/>
      <c r="E3103" s="1115"/>
      <c r="F3103" s="1115"/>
      <c r="G3103" s="1115"/>
      <c r="H3103" s="1115"/>
      <c r="I3103" s="1115"/>
      <c r="J3103" s="1115"/>
      <c r="K3103" s="1115"/>
      <c r="L3103" s="1115"/>
      <c r="M3103" s="1115"/>
    </row>
    <row r="3104" spans="1:13" x14ac:dyDescent="0.2">
      <c r="A3104" s="1115"/>
      <c r="B3104" s="1115"/>
      <c r="C3104" s="1115"/>
      <c r="D3104" s="1115"/>
      <c r="E3104" s="1115"/>
      <c r="F3104" s="1115"/>
      <c r="G3104" s="1115"/>
      <c r="H3104" s="1115"/>
      <c r="I3104" s="1115"/>
      <c r="J3104" s="1115"/>
      <c r="K3104" s="1115"/>
      <c r="L3104" s="1115"/>
      <c r="M3104" s="1115"/>
    </row>
    <row r="3105" spans="1:13" x14ac:dyDescent="0.2">
      <c r="A3105" s="1115"/>
      <c r="B3105" s="1115"/>
      <c r="C3105" s="1115"/>
      <c r="D3105" s="1115"/>
      <c r="E3105" s="1115"/>
      <c r="F3105" s="1115"/>
      <c r="G3105" s="1115"/>
      <c r="H3105" s="1115"/>
      <c r="I3105" s="1115"/>
      <c r="J3105" s="1115"/>
      <c r="K3105" s="1115"/>
      <c r="L3105" s="1115"/>
      <c r="M3105" s="1115"/>
    </row>
    <row r="3106" spans="1:13" x14ac:dyDescent="0.2">
      <c r="A3106" s="1115"/>
      <c r="B3106" s="1115"/>
      <c r="C3106" s="1115"/>
      <c r="D3106" s="1115"/>
      <c r="E3106" s="1115"/>
      <c r="F3106" s="1115"/>
      <c r="G3106" s="1115"/>
      <c r="H3106" s="1115"/>
      <c r="I3106" s="1115"/>
      <c r="J3106" s="1115"/>
      <c r="K3106" s="1115"/>
      <c r="L3106" s="1115"/>
      <c r="M3106" s="1115"/>
    </row>
    <row r="3107" spans="1:13" x14ac:dyDescent="0.2">
      <c r="A3107" s="1115"/>
      <c r="B3107" s="1115"/>
      <c r="C3107" s="1115"/>
      <c r="D3107" s="1115"/>
      <c r="E3107" s="1115"/>
      <c r="F3107" s="1115"/>
      <c r="G3107" s="1115"/>
      <c r="H3107" s="1115"/>
      <c r="I3107" s="1115"/>
      <c r="J3107" s="1115"/>
      <c r="K3107" s="1115"/>
      <c r="L3107" s="1115"/>
      <c r="M3107" s="1115"/>
    </row>
    <row r="3108" spans="1:13" x14ac:dyDescent="0.2">
      <c r="A3108" s="1115"/>
      <c r="B3108" s="1115"/>
      <c r="C3108" s="1115"/>
      <c r="D3108" s="1115"/>
      <c r="E3108" s="1115"/>
      <c r="F3108" s="1115"/>
      <c r="G3108" s="1115"/>
      <c r="H3108" s="1115"/>
      <c r="I3108" s="1115"/>
      <c r="J3108" s="1115"/>
      <c r="K3108" s="1115"/>
      <c r="L3108" s="1115"/>
      <c r="M3108" s="1115"/>
    </row>
    <row r="3109" spans="1:13" x14ac:dyDescent="0.2">
      <c r="A3109" s="1115"/>
      <c r="B3109" s="1115"/>
      <c r="C3109" s="1115"/>
      <c r="D3109" s="1115"/>
      <c r="E3109" s="1115"/>
      <c r="F3109" s="1115"/>
      <c r="G3109" s="1115"/>
      <c r="H3109" s="1115"/>
      <c r="I3109" s="1115"/>
      <c r="J3109" s="1115"/>
      <c r="K3109" s="1115"/>
      <c r="L3109" s="1115"/>
      <c r="M3109" s="1115"/>
    </row>
    <row r="3110" spans="1:13" x14ac:dyDescent="0.2">
      <c r="A3110" s="1115"/>
      <c r="B3110" s="1115"/>
      <c r="C3110" s="1115"/>
      <c r="D3110" s="1115"/>
      <c r="E3110" s="1115"/>
      <c r="F3110" s="1115"/>
      <c r="G3110" s="1115"/>
      <c r="H3110" s="1115"/>
      <c r="I3110" s="1115"/>
      <c r="J3110" s="1115"/>
      <c r="K3110" s="1115"/>
      <c r="L3110" s="1115"/>
      <c r="M3110" s="1115"/>
    </row>
    <row r="3111" spans="1:13" x14ac:dyDescent="0.2">
      <c r="A3111" s="1115"/>
      <c r="B3111" s="1115"/>
      <c r="C3111" s="1115"/>
      <c r="D3111" s="1115"/>
      <c r="E3111" s="1115"/>
      <c r="F3111" s="1115"/>
      <c r="G3111" s="1115"/>
      <c r="H3111" s="1115"/>
      <c r="I3111" s="1115"/>
      <c r="J3111" s="1115"/>
      <c r="K3111" s="1115"/>
      <c r="L3111" s="1115"/>
      <c r="M3111" s="1115"/>
    </row>
    <row r="3112" spans="1:13" x14ac:dyDescent="0.2">
      <c r="A3112" s="1115"/>
      <c r="B3112" s="1115"/>
      <c r="C3112" s="1115"/>
      <c r="D3112" s="1115"/>
      <c r="E3112" s="1115"/>
      <c r="F3112" s="1115"/>
      <c r="G3112" s="1115"/>
      <c r="H3112" s="1115"/>
      <c r="I3112" s="1115"/>
      <c r="J3112" s="1115"/>
      <c r="K3112" s="1115"/>
      <c r="L3112" s="1115"/>
      <c r="M3112" s="1115"/>
    </row>
    <row r="3113" spans="1:13" x14ac:dyDescent="0.2">
      <c r="A3113" s="1115"/>
      <c r="B3113" s="1115"/>
      <c r="C3113" s="1115"/>
      <c r="D3113" s="1115"/>
      <c r="E3113" s="1115"/>
      <c r="F3113" s="1115"/>
      <c r="G3113" s="1115"/>
      <c r="H3113" s="1115"/>
      <c r="I3113" s="1115"/>
      <c r="J3113" s="1115"/>
      <c r="K3113" s="1115"/>
      <c r="L3113" s="1115"/>
      <c r="M3113" s="1115"/>
    </row>
    <row r="3114" spans="1:13" x14ac:dyDescent="0.2">
      <c r="A3114" s="1115"/>
      <c r="B3114" s="1115"/>
      <c r="C3114" s="1115"/>
      <c r="D3114" s="1115"/>
      <c r="E3114" s="1115"/>
      <c r="F3114" s="1115"/>
      <c r="G3114" s="1115"/>
      <c r="H3114" s="1115"/>
      <c r="I3114" s="1115"/>
      <c r="J3114" s="1115"/>
      <c r="K3114" s="1115"/>
      <c r="L3114" s="1115"/>
      <c r="M3114" s="1115"/>
    </row>
    <row r="3115" spans="1:13" x14ac:dyDescent="0.2">
      <c r="A3115" s="1115"/>
      <c r="B3115" s="1115"/>
      <c r="C3115" s="1115"/>
      <c r="D3115" s="1115"/>
      <c r="E3115" s="1115"/>
      <c r="F3115" s="1115"/>
      <c r="G3115" s="1115"/>
      <c r="H3115" s="1115"/>
      <c r="I3115" s="1115"/>
      <c r="J3115" s="1115"/>
      <c r="K3115" s="1115"/>
      <c r="L3115" s="1115"/>
      <c r="M3115" s="1115"/>
    </row>
    <row r="3116" spans="1:13" x14ac:dyDescent="0.2">
      <c r="A3116" s="1115"/>
      <c r="B3116" s="1115"/>
      <c r="C3116" s="1115"/>
      <c r="D3116" s="1115"/>
      <c r="E3116" s="1115"/>
      <c r="F3116" s="1115"/>
      <c r="G3116" s="1115"/>
      <c r="H3116" s="1115"/>
      <c r="I3116" s="1115"/>
      <c r="J3116" s="1115"/>
      <c r="K3116" s="1115"/>
      <c r="L3116" s="1115"/>
      <c r="M3116" s="1115"/>
    </row>
    <row r="3117" spans="1:13" x14ac:dyDescent="0.2">
      <c r="A3117" s="1115"/>
      <c r="B3117" s="1115"/>
      <c r="C3117" s="1115"/>
      <c r="D3117" s="1115"/>
      <c r="E3117" s="1115"/>
      <c r="F3117" s="1115"/>
      <c r="G3117" s="1115"/>
      <c r="H3117" s="1115"/>
      <c r="I3117" s="1115"/>
      <c r="J3117" s="1115"/>
      <c r="K3117" s="1115"/>
      <c r="L3117" s="1115"/>
      <c r="M3117" s="1115"/>
    </row>
    <row r="3118" spans="1:13" x14ac:dyDescent="0.2">
      <c r="A3118" s="1115"/>
      <c r="B3118" s="1115"/>
      <c r="C3118" s="1115"/>
      <c r="D3118" s="1115"/>
      <c r="E3118" s="1115"/>
      <c r="F3118" s="1115"/>
      <c r="G3118" s="1115"/>
      <c r="H3118" s="1115"/>
      <c r="I3118" s="1115"/>
      <c r="J3118" s="1115"/>
      <c r="K3118" s="1115"/>
      <c r="L3118" s="1115"/>
      <c r="M3118" s="1115"/>
    </row>
    <row r="3119" spans="1:13" x14ac:dyDescent="0.2">
      <c r="A3119" s="1115"/>
      <c r="B3119" s="1115"/>
      <c r="C3119" s="1115"/>
      <c r="D3119" s="1115"/>
      <c r="E3119" s="1115"/>
      <c r="F3119" s="1115"/>
      <c r="G3119" s="1115"/>
      <c r="H3119" s="1115"/>
      <c r="I3119" s="1115"/>
      <c r="J3119" s="1115"/>
      <c r="K3119" s="1115"/>
      <c r="L3119" s="1115"/>
      <c r="M3119" s="1115"/>
    </row>
    <row r="3120" spans="1:13" x14ac:dyDescent="0.2">
      <c r="A3120" s="1115"/>
      <c r="B3120" s="1115"/>
      <c r="C3120" s="1115"/>
      <c r="D3120" s="1115"/>
      <c r="E3120" s="1115"/>
      <c r="F3120" s="1115"/>
      <c r="G3120" s="1115"/>
      <c r="H3120" s="1115"/>
      <c r="I3120" s="1115"/>
      <c r="J3120" s="1115"/>
      <c r="K3120" s="1115"/>
      <c r="L3120" s="1115"/>
      <c r="M3120" s="1115"/>
    </row>
    <row r="3121" spans="1:13" x14ac:dyDescent="0.2">
      <c r="A3121" s="1115"/>
      <c r="B3121" s="1115"/>
      <c r="C3121" s="1115"/>
      <c r="D3121" s="1115"/>
      <c r="E3121" s="1115"/>
      <c r="F3121" s="1115"/>
      <c r="G3121" s="1115"/>
      <c r="H3121" s="1115"/>
      <c r="I3121" s="1115"/>
      <c r="J3121" s="1115"/>
      <c r="K3121" s="1115"/>
      <c r="L3121" s="1115"/>
      <c r="M3121" s="1115"/>
    </row>
    <row r="3122" spans="1:13" x14ac:dyDescent="0.2">
      <c r="A3122" s="1115"/>
      <c r="B3122" s="1115"/>
      <c r="C3122" s="1115"/>
      <c r="D3122" s="1115"/>
      <c r="E3122" s="1115"/>
      <c r="F3122" s="1115"/>
      <c r="G3122" s="1115"/>
      <c r="H3122" s="1115"/>
      <c r="I3122" s="1115"/>
      <c r="J3122" s="1115"/>
      <c r="K3122" s="1115"/>
      <c r="L3122" s="1115"/>
      <c r="M3122" s="1115"/>
    </row>
    <row r="3123" spans="1:13" x14ac:dyDescent="0.2">
      <c r="A3123" s="1115"/>
      <c r="B3123" s="1115"/>
      <c r="C3123" s="1115"/>
      <c r="D3123" s="1115"/>
      <c r="E3123" s="1115"/>
      <c r="F3123" s="1115"/>
      <c r="G3123" s="1115"/>
      <c r="H3123" s="1115"/>
      <c r="I3123" s="1115"/>
      <c r="J3123" s="1115"/>
      <c r="K3123" s="1115"/>
      <c r="L3123" s="1115"/>
      <c r="M3123" s="1115"/>
    </row>
    <row r="3124" spans="1:13" x14ac:dyDescent="0.2">
      <c r="A3124" s="1115"/>
      <c r="B3124" s="1115"/>
      <c r="C3124" s="1115"/>
      <c r="D3124" s="1115"/>
      <c r="E3124" s="1115"/>
      <c r="F3124" s="1115"/>
      <c r="G3124" s="1115"/>
      <c r="H3124" s="1115"/>
      <c r="I3124" s="1115"/>
      <c r="J3124" s="1115"/>
      <c r="K3124" s="1115"/>
      <c r="L3124" s="1115"/>
      <c r="M3124" s="1115"/>
    </row>
    <row r="3125" spans="1:13" x14ac:dyDescent="0.2">
      <c r="A3125" s="1115"/>
      <c r="B3125" s="1115"/>
      <c r="C3125" s="1115"/>
      <c r="D3125" s="1115"/>
      <c r="E3125" s="1115"/>
      <c r="F3125" s="1115"/>
      <c r="G3125" s="1115"/>
      <c r="H3125" s="1115"/>
      <c r="I3125" s="1115"/>
      <c r="J3125" s="1115"/>
      <c r="K3125" s="1115"/>
      <c r="L3125" s="1115"/>
      <c r="M3125" s="1115"/>
    </row>
    <row r="3126" spans="1:13" x14ac:dyDescent="0.2">
      <c r="A3126" s="1115"/>
      <c r="B3126" s="1115"/>
      <c r="C3126" s="1115"/>
      <c r="D3126" s="1115"/>
      <c r="E3126" s="1115"/>
      <c r="F3126" s="1115"/>
      <c r="G3126" s="1115"/>
      <c r="H3126" s="1115"/>
      <c r="I3126" s="1115"/>
      <c r="J3126" s="1115"/>
      <c r="K3126" s="1115"/>
      <c r="L3126" s="1115"/>
      <c r="M3126" s="1115"/>
    </row>
    <row r="3127" spans="1:13" x14ac:dyDescent="0.2">
      <c r="A3127" s="1115"/>
      <c r="B3127" s="1115"/>
      <c r="C3127" s="1115"/>
      <c r="D3127" s="1115"/>
      <c r="E3127" s="1115"/>
      <c r="F3127" s="1115"/>
      <c r="G3127" s="1115"/>
      <c r="H3127" s="1115"/>
      <c r="I3127" s="1115"/>
      <c r="J3127" s="1115"/>
      <c r="K3127" s="1115"/>
      <c r="L3127" s="1115"/>
      <c r="M3127" s="1115"/>
    </row>
    <row r="3128" spans="1:13" x14ac:dyDescent="0.2">
      <c r="A3128" s="1115"/>
      <c r="B3128" s="1115"/>
      <c r="C3128" s="1115"/>
      <c r="D3128" s="1115"/>
      <c r="E3128" s="1115"/>
      <c r="F3128" s="1115"/>
      <c r="G3128" s="1115"/>
      <c r="H3128" s="1115"/>
      <c r="I3128" s="1115"/>
      <c r="J3128" s="1115"/>
      <c r="K3128" s="1115"/>
      <c r="L3128" s="1115"/>
      <c r="M3128" s="1115"/>
    </row>
    <row r="3129" spans="1:13" x14ac:dyDescent="0.2">
      <c r="A3129" s="1115"/>
      <c r="B3129" s="1115"/>
      <c r="C3129" s="1115"/>
      <c r="D3129" s="1115"/>
      <c r="E3129" s="1115"/>
      <c r="F3129" s="1115"/>
      <c r="G3129" s="1115"/>
      <c r="H3129" s="1115"/>
      <c r="I3129" s="1115"/>
      <c r="J3129" s="1115"/>
      <c r="K3129" s="1115"/>
      <c r="L3129" s="1115"/>
      <c r="M3129" s="1115"/>
    </row>
    <row r="3130" spans="1:13" x14ac:dyDescent="0.2">
      <c r="A3130" s="1115"/>
      <c r="B3130" s="1115"/>
      <c r="C3130" s="1115"/>
      <c r="D3130" s="1115"/>
      <c r="E3130" s="1115"/>
      <c r="F3130" s="1115"/>
      <c r="G3130" s="1115"/>
      <c r="H3130" s="1115"/>
      <c r="I3130" s="1115"/>
      <c r="J3130" s="1115"/>
      <c r="K3130" s="1115"/>
      <c r="L3130" s="1115"/>
      <c r="M3130" s="1115"/>
    </row>
    <row r="3131" spans="1:13" x14ac:dyDescent="0.2">
      <c r="A3131" s="1115"/>
      <c r="B3131" s="1115"/>
      <c r="C3131" s="1115"/>
      <c r="D3131" s="1115"/>
      <c r="E3131" s="1115"/>
      <c r="F3131" s="1115"/>
      <c r="G3131" s="1115"/>
      <c r="H3131" s="1115"/>
      <c r="I3131" s="1115"/>
      <c r="J3131" s="1115"/>
      <c r="K3131" s="1115"/>
      <c r="L3131" s="1115"/>
      <c r="M3131" s="1115"/>
    </row>
    <row r="3132" spans="1:13" x14ac:dyDescent="0.2">
      <c r="A3132" s="1115"/>
      <c r="B3132" s="1115"/>
      <c r="C3132" s="1115"/>
      <c r="D3132" s="1115"/>
      <c r="E3132" s="1115"/>
      <c r="F3132" s="1115"/>
      <c r="G3132" s="1115"/>
      <c r="H3132" s="1115"/>
      <c r="I3132" s="1115"/>
      <c r="J3132" s="1115"/>
      <c r="K3132" s="1115"/>
      <c r="L3132" s="1115"/>
      <c r="M3132" s="1115"/>
    </row>
    <row r="3133" spans="1:13" x14ac:dyDescent="0.2">
      <c r="A3133" s="1115"/>
      <c r="B3133" s="1115"/>
      <c r="C3133" s="1115"/>
      <c r="D3133" s="1115"/>
      <c r="E3133" s="1115"/>
      <c r="F3133" s="1115"/>
      <c r="G3133" s="1115"/>
      <c r="H3133" s="1115"/>
      <c r="I3133" s="1115"/>
      <c r="J3133" s="1115"/>
      <c r="K3133" s="1115"/>
      <c r="L3133" s="1115"/>
      <c r="M3133" s="1115"/>
    </row>
    <row r="3134" spans="1:13" x14ac:dyDescent="0.2">
      <c r="A3134" s="1115"/>
      <c r="B3134" s="1115"/>
      <c r="C3134" s="1115"/>
      <c r="D3134" s="1115"/>
      <c r="E3134" s="1115"/>
      <c r="F3134" s="1115"/>
      <c r="G3134" s="1115"/>
      <c r="H3134" s="1115"/>
      <c r="I3134" s="1115"/>
      <c r="J3134" s="1115"/>
      <c r="K3134" s="1115"/>
      <c r="L3134" s="1115"/>
      <c r="M3134" s="1115"/>
    </row>
    <row r="3135" spans="1:13" x14ac:dyDescent="0.2">
      <c r="A3135" s="1115"/>
      <c r="B3135" s="1115"/>
      <c r="C3135" s="1115"/>
      <c r="D3135" s="1115"/>
      <c r="E3135" s="1115"/>
      <c r="F3135" s="1115"/>
      <c r="G3135" s="1115"/>
      <c r="H3135" s="1115"/>
      <c r="I3135" s="1115"/>
      <c r="J3135" s="1115"/>
      <c r="K3135" s="1115"/>
      <c r="L3135" s="1115"/>
      <c r="M3135" s="1115"/>
    </row>
    <row r="3136" spans="1:13" x14ac:dyDescent="0.2">
      <c r="A3136" s="1115"/>
      <c r="B3136" s="1115"/>
      <c r="C3136" s="1115"/>
      <c r="D3136" s="1115"/>
      <c r="E3136" s="1115"/>
      <c r="F3136" s="1115"/>
      <c r="G3136" s="1115"/>
      <c r="H3136" s="1115"/>
      <c r="I3136" s="1115"/>
      <c r="J3136" s="1115"/>
      <c r="K3136" s="1115"/>
      <c r="L3136" s="1115"/>
      <c r="M3136" s="1115"/>
    </row>
    <row r="3137" spans="1:13" x14ac:dyDescent="0.2">
      <c r="A3137" s="1115"/>
      <c r="B3137" s="1115"/>
      <c r="C3137" s="1115"/>
      <c r="D3137" s="1115"/>
      <c r="E3137" s="1115"/>
      <c r="F3137" s="1115"/>
      <c r="G3137" s="1115"/>
      <c r="H3137" s="1115"/>
      <c r="I3137" s="1115"/>
      <c r="J3137" s="1115"/>
      <c r="K3137" s="1115"/>
      <c r="L3137" s="1115"/>
      <c r="M3137" s="1115"/>
    </row>
    <row r="3138" spans="1:13" x14ac:dyDescent="0.2">
      <c r="A3138" s="1115"/>
      <c r="B3138" s="1115"/>
      <c r="C3138" s="1115"/>
      <c r="D3138" s="1115"/>
      <c r="E3138" s="1115"/>
      <c r="F3138" s="1115"/>
      <c r="G3138" s="1115"/>
      <c r="H3138" s="1115"/>
      <c r="I3138" s="1115"/>
      <c r="J3138" s="1115"/>
      <c r="K3138" s="1115"/>
      <c r="L3138" s="1115"/>
      <c r="M3138" s="1115"/>
    </row>
    <row r="3139" spans="1:13" x14ac:dyDescent="0.2">
      <c r="A3139" s="1115"/>
      <c r="B3139" s="1115"/>
      <c r="C3139" s="1115"/>
      <c r="D3139" s="1115"/>
      <c r="E3139" s="1115"/>
      <c r="F3139" s="1115"/>
      <c r="G3139" s="1115"/>
      <c r="H3139" s="1115"/>
      <c r="I3139" s="1115"/>
      <c r="J3139" s="1115"/>
      <c r="K3139" s="1115"/>
      <c r="L3139" s="1115"/>
      <c r="M3139" s="1115"/>
    </row>
    <row r="3140" spans="1:13" x14ac:dyDescent="0.2">
      <c r="A3140" s="1115"/>
      <c r="B3140" s="1115"/>
      <c r="C3140" s="1115"/>
      <c r="D3140" s="1115"/>
      <c r="E3140" s="1115"/>
      <c r="F3140" s="1115"/>
      <c r="G3140" s="1115"/>
      <c r="H3140" s="1115"/>
      <c r="I3140" s="1115"/>
      <c r="J3140" s="1115"/>
      <c r="K3140" s="1115"/>
      <c r="L3140" s="1115"/>
      <c r="M3140" s="1115"/>
    </row>
    <row r="3141" spans="1:13" x14ac:dyDescent="0.2">
      <c r="A3141" s="1115"/>
      <c r="B3141" s="1115"/>
      <c r="C3141" s="1115"/>
      <c r="D3141" s="1115"/>
      <c r="E3141" s="1115"/>
      <c r="F3141" s="1115"/>
      <c r="G3141" s="1115"/>
      <c r="H3141" s="1115"/>
      <c r="I3141" s="1115"/>
      <c r="J3141" s="1115"/>
      <c r="K3141" s="1115"/>
      <c r="L3141" s="1115"/>
      <c r="M3141" s="1115"/>
    </row>
    <row r="3142" spans="1:13" x14ac:dyDescent="0.2">
      <c r="A3142" s="1115"/>
      <c r="B3142" s="1115"/>
      <c r="C3142" s="1115"/>
      <c r="D3142" s="1115"/>
      <c r="E3142" s="1115"/>
      <c r="F3142" s="1115"/>
      <c r="G3142" s="1115"/>
      <c r="H3142" s="1115"/>
      <c r="I3142" s="1115"/>
      <c r="J3142" s="1115"/>
      <c r="K3142" s="1115"/>
      <c r="L3142" s="1115"/>
      <c r="M3142" s="1115"/>
    </row>
    <row r="3143" spans="1:13" x14ac:dyDescent="0.2">
      <c r="A3143" s="1115"/>
      <c r="B3143" s="1115"/>
      <c r="C3143" s="1115"/>
      <c r="D3143" s="1115"/>
      <c r="E3143" s="1115"/>
      <c r="F3143" s="1115"/>
      <c r="G3143" s="1115"/>
      <c r="H3143" s="1115"/>
      <c r="I3143" s="1115"/>
      <c r="J3143" s="1115"/>
      <c r="K3143" s="1115"/>
      <c r="L3143" s="1115"/>
      <c r="M3143" s="1115"/>
    </row>
    <row r="3144" spans="1:13" x14ac:dyDescent="0.2">
      <c r="A3144" s="1115"/>
      <c r="B3144" s="1115"/>
      <c r="C3144" s="1115"/>
      <c r="D3144" s="1115"/>
      <c r="E3144" s="1115"/>
      <c r="F3144" s="1115"/>
      <c r="G3144" s="1115"/>
      <c r="H3144" s="1115"/>
      <c r="I3144" s="1115"/>
      <c r="J3144" s="1115"/>
      <c r="K3144" s="1115"/>
      <c r="L3144" s="1115"/>
      <c r="M3144" s="1115"/>
    </row>
    <row r="3145" spans="1:13" x14ac:dyDescent="0.2">
      <c r="A3145" s="1115"/>
      <c r="B3145" s="1115"/>
      <c r="C3145" s="1115"/>
      <c r="D3145" s="1115"/>
      <c r="E3145" s="1115"/>
      <c r="F3145" s="1115"/>
      <c r="G3145" s="1115"/>
      <c r="H3145" s="1115"/>
      <c r="I3145" s="1115"/>
      <c r="J3145" s="1115"/>
      <c r="K3145" s="1115"/>
      <c r="L3145" s="1115"/>
      <c r="M3145" s="1115"/>
    </row>
    <row r="3146" spans="1:13" x14ac:dyDescent="0.2">
      <c r="A3146" s="1115"/>
      <c r="B3146" s="1115"/>
      <c r="C3146" s="1115"/>
      <c r="D3146" s="1115"/>
      <c r="E3146" s="1115"/>
      <c r="F3146" s="1115"/>
      <c r="G3146" s="1115"/>
      <c r="H3146" s="1115"/>
      <c r="I3146" s="1115"/>
      <c r="J3146" s="1115"/>
      <c r="K3146" s="1115"/>
      <c r="L3146" s="1115"/>
      <c r="M3146" s="1115"/>
    </row>
    <row r="3147" spans="1:13" x14ac:dyDescent="0.2">
      <c r="A3147" s="1115"/>
      <c r="B3147" s="1115"/>
      <c r="C3147" s="1115"/>
      <c r="D3147" s="1115"/>
      <c r="E3147" s="1115"/>
      <c r="F3147" s="1115"/>
      <c r="G3147" s="1115"/>
      <c r="H3147" s="1115"/>
      <c r="I3147" s="1115"/>
      <c r="J3147" s="1115"/>
      <c r="K3147" s="1115"/>
      <c r="L3147" s="1115"/>
      <c r="M3147" s="1115"/>
    </row>
    <row r="3148" spans="1:13" x14ac:dyDescent="0.2">
      <c r="A3148" s="1115"/>
      <c r="B3148" s="1115"/>
      <c r="C3148" s="1115"/>
      <c r="D3148" s="1115"/>
      <c r="E3148" s="1115"/>
      <c r="F3148" s="1115"/>
      <c r="G3148" s="1115"/>
      <c r="H3148" s="1115"/>
      <c r="I3148" s="1115"/>
      <c r="J3148" s="1115"/>
      <c r="K3148" s="1115"/>
      <c r="L3148" s="1115"/>
      <c r="M3148" s="1115"/>
    </row>
    <row r="3149" spans="1:13" x14ac:dyDescent="0.2">
      <c r="A3149" s="1115"/>
      <c r="B3149" s="1115"/>
      <c r="C3149" s="1115"/>
      <c r="D3149" s="1115"/>
      <c r="E3149" s="1115"/>
      <c r="F3149" s="1115"/>
      <c r="G3149" s="1115"/>
      <c r="H3149" s="1115"/>
      <c r="I3149" s="1115"/>
      <c r="J3149" s="1115"/>
      <c r="K3149" s="1115"/>
      <c r="L3149" s="1115"/>
      <c r="M3149" s="1115"/>
    </row>
    <row r="3150" spans="1:13" x14ac:dyDescent="0.2">
      <c r="A3150" s="1115"/>
      <c r="B3150" s="1115"/>
      <c r="C3150" s="1115"/>
      <c r="D3150" s="1115"/>
      <c r="E3150" s="1115"/>
      <c r="F3150" s="1115"/>
      <c r="G3150" s="1115"/>
      <c r="H3150" s="1115"/>
      <c r="I3150" s="1115"/>
      <c r="J3150" s="1115"/>
      <c r="K3150" s="1115"/>
      <c r="L3150" s="1115"/>
      <c r="M3150" s="1115"/>
    </row>
    <row r="3151" spans="1:13" x14ac:dyDescent="0.2">
      <c r="A3151" s="1115"/>
      <c r="B3151" s="1115"/>
      <c r="C3151" s="1115"/>
      <c r="D3151" s="1115"/>
      <c r="E3151" s="1115"/>
      <c r="F3151" s="1115"/>
      <c r="G3151" s="1115"/>
      <c r="H3151" s="1115"/>
      <c r="I3151" s="1115"/>
      <c r="J3151" s="1115"/>
      <c r="K3151" s="1115"/>
      <c r="L3151" s="1115"/>
      <c r="M3151" s="1115"/>
    </row>
    <row r="3152" spans="1:13" x14ac:dyDescent="0.2">
      <c r="A3152" s="1115"/>
      <c r="B3152" s="1115"/>
      <c r="C3152" s="1115"/>
      <c r="D3152" s="1115"/>
      <c r="E3152" s="1115"/>
      <c r="F3152" s="1115"/>
      <c r="G3152" s="1115"/>
      <c r="H3152" s="1115"/>
      <c r="I3152" s="1115"/>
      <c r="J3152" s="1115"/>
      <c r="K3152" s="1115"/>
      <c r="L3152" s="1115"/>
      <c r="M3152" s="1115"/>
    </row>
    <row r="3153" spans="1:13" x14ac:dyDescent="0.2">
      <c r="A3153" s="1115"/>
      <c r="B3153" s="1115"/>
      <c r="C3153" s="1115"/>
      <c r="D3153" s="1115"/>
      <c r="E3153" s="1115"/>
      <c r="F3153" s="1115"/>
      <c r="G3153" s="1115"/>
      <c r="H3153" s="1115"/>
      <c r="I3153" s="1115"/>
      <c r="J3153" s="1115"/>
      <c r="K3153" s="1115"/>
      <c r="L3153" s="1115"/>
      <c r="M3153" s="1115"/>
    </row>
    <row r="3154" spans="1:13" x14ac:dyDescent="0.2">
      <c r="A3154" s="1115"/>
      <c r="B3154" s="1115"/>
      <c r="C3154" s="1115"/>
      <c r="D3154" s="1115"/>
      <c r="E3154" s="1115"/>
      <c r="F3154" s="1115"/>
      <c r="G3154" s="1115"/>
      <c r="H3154" s="1115"/>
      <c r="I3154" s="1115"/>
      <c r="J3154" s="1115"/>
      <c r="K3154" s="1115"/>
      <c r="L3154" s="1115"/>
      <c r="M3154" s="1115"/>
    </row>
    <row r="3155" spans="1:13" x14ac:dyDescent="0.2">
      <c r="A3155" s="1115"/>
      <c r="B3155" s="1115"/>
      <c r="C3155" s="1115"/>
      <c r="D3155" s="1115"/>
      <c r="E3155" s="1115"/>
      <c r="F3155" s="1115"/>
      <c r="G3155" s="1115"/>
      <c r="H3155" s="1115"/>
      <c r="I3155" s="1115"/>
      <c r="J3155" s="1115"/>
      <c r="K3155" s="1115"/>
      <c r="L3155" s="1115"/>
      <c r="M3155" s="1115"/>
    </row>
    <row r="3156" spans="1:13" x14ac:dyDescent="0.2">
      <c r="A3156" s="1115"/>
      <c r="B3156" s="1115"/>
      <c r="C3156" s="1115"/>
      <c r="D3156" s="1115"/>
      <c r="E3156" s="1115"/>
      <c r="F3156" s="1115"/>
      <c r="G3156" s="1115"/>
      <c r="H3156" s="1115"/>
      <c r="I3156" s="1115"/>
      <c r="J3156" s="1115"/>
      <c r="K3156" s="1115"/>
      <c r="L3156" s="1115"/>
      <c r="M3156" s="1115"/>
    </row>
    <row r="3157" spans="1:13" x14ac:dyDescent="0.2">
      <c r="A3157" s="1115"/>
      <c r="B3157" s="1115"/>
      <c r="C3157" s="1115"/>
      <c r="D3157" s="1115"/>
      <c r="E3157" s="1115"/>
      <c r="F3157" s="1115"/>
      <c r="G3157" s="1115"/>
      <c r="H3157" s="1115"/>
      <c r="I3157" s="1115"/>
      <c r="J3157" s="1115"/>
      <c r="K3157" s="1115"/>
      <c r="L3157" s="1115"/>
      <c r="M3157" s="1115"/>
    </row>
    <row r="3158" spans="1:13" x14ac:dyDescent="0.2">
      <c r="A3158" s="1115"/>
      <c r="B3158" s="1115"/>
      <c r="C3158" s="1115"/>
      <c r="D3158" s="1115"/>
      <c r="E3158" s="1115"/>
      <c r="F3158" s="1115"/>
      <c r="G3158" s="1115"/>
      <c r="H3158" s="1115"/>
      <c r="I3158" s="1115"/>
      <c r="J3158" s="1115"/>
      <c r="K3158" s="1115"/>
      <c r="L3158" s="1115"/>
      <c r="M3158" s="1115"/>
    </row>
    <row r="3159" spans="1:13" x14ac:dyDescent="0.2">
      <c r="A3159" s="1115"/>
      <c r="B3159" s="1115"/>
      <c r="C3159" s="1115"/>
      <c r="D3159" s="1115"/>
      <c r="E3159" s="1115"/>
      <c r="F3159" s="1115"/>
      <c r="G3159" s="1115"/>
      <c r="H3159" s="1115"/>
      <c r="I3159" s="1115"/>
      <c r="J3159" s="1115"/>
      <c r="K3159" s="1115"/>
      <c r="L3159" s="1115"/>
      <c r="M3159" s="1115"/>
    </row>
    <row r="3160" spans="1:13" x14ac:dyDescent="0.2">
      <c r="A3160" s="1115"/>
      <c r="B3160" s="1115"/>
      <c r="C3160" s="1115"/>
      <c r="D3160" s="1115"/>
      <c r="E3160" s="1115"/>
      <c r="F3160" s="1115"/>
      <c r="G3160" s="1115"/>
      <c r="H3160" s="1115"/>
      <c r="I3160" s="1115"/>
      <c r="J3160" s="1115"/>
      <c r="K3160" s="1115"/>
      <c r="L3160" s="1115"/>
      <c r="M3160" s="1115"/>
    </row>
    <row r="3161" spans="1:13" x14ac:dyDescent="0.2">
      <c r="A3161" s="1115"/>
      <c r="B3161" s="1115"/>
      <c r="C3161" s="1115"/>
      <c r="D3161" s="1115"/>
      <c r="E3161" s="1115"/>
      <c r="F3161" s="1115"/>
      <c r="G3161" s="1115"/>
      <c r="H3161" s="1115"/>
      <c r="I3161" s="1115"/>
      <c r="J3161" s="1115"/>
      <c r="K3161" s="1115"/>
      <c r="L3161" s="1115"/>
      <c r="M3161" s="1115"/>
    </row>
    <row r="3162" spans="1:13" x14ac:dyDescent="0.2">
      <c r="A3162" s="1115"/>
      <c r="B3162" s="1115"/>
      <c r="C3162" s="1115"/>
      <c r="D3162" s="1115"/>
      <c r="E3162" s="1115"/>
      <c r="F3162" s="1115"/>
      <c r="G3162" s="1115"/>
      <c r="H3162" s="1115"/>
      <c r="I3162" s="1115"/>
      <c r="J3162" s="1115"/>
      <c r="K3162" s="1115"/>
      <c r="L3162" s="1115"/>
      <c r="M3162" s="1115"/>
    </row>
    <row r="3163" spans="1:13" x14ac:dyDescent="0.2">
      <c r="A3163" s="1115"/>
      <c r="B3163" s="1115"/>
      <c r="C3163" s="1115"/>
      <c r="D3163" s="1115"/>
      <c r="E3163" s="1115"/>
      <c r="F3163" s="1115"/>
      <c r="G3163" s="1115"/>
      <c r="H3163" s="1115"/>
      <c r="I3163" s="1115"/>
      <c r="J3163" s="1115"/>
      <c r="K3163" s="1115"/>
      <c r="L3163" s="1115"/>
      <c r="M3163" s="1115"/>
    </row>
    <row r="3164" spans="1:13" x14ac:dyDescent="0.2">
      <c r="A3164" s="1115"/>
      <c r="B3164" s="1115"/>
      <c r="C3164" s="1115"/>
      <c r="D3164" s="1115"/>
      <c r="E3164" s="1115"/>
      <c r="F3164" s="1115"/>
      <c r="G3164" s="1115"/>
      <c r="H3164" s="1115"/>
      <c r="I3164" s="1115"/>
      <c r="J3164" s="1115"/>
      <c r="K3164" s="1115"/>
      <c r="L3164" s="1115"/>
      <c r="M3164" s="1115"/>
    </row>
    <row r="3165" spans="1:13" x14ac:dyDescent="0.2">
      <c r="A3165" s="1115"/>
      <c r="B3165" s="1115"/>
      <c r="C3165" s="1115"/>
      <c r="D3165" s="1115"/>
      <c r="E3165" s="1115"/>
      <c r="F3165" s="1115"/>
      <c r="G3165" s="1115"/>
      <c r="H3165" s="1115"/>
      <c r="I3165" s="1115"/>
      <c r="J3165" s="1115"/>
      <c r="K3165" s="1115"/>
      <c r="L3165" s="1115"/>
      <c r="M3165" s="1115"/>
    </row>
    <row r="3166" spans="1:13" x14ac:dyDescent="0.2">
      <c r="A3166" s="1115"/>
      <c r="B3166" s="1115"/>
      <c r="C3166" s="1115"/>
      <c r="D3166" s="1115"/>
      <c r="E3166" s="1115"/>
      <c r="F3166" s="1115"/>
      <c r="G3166" s="1115"/>
      <c r="H3166" s="1115"/>
      <c r="I3166" s="1115"/>
      <c r="J3166" s="1115"/>
      <c r="K3166" s="1115"/>
      <c r="L3166" s="1115"/>
      <c r="M3166" s="1115"/>
    </row>
    <row r="3167" spans="1:13" x14ac:dyDescent="0.2">
      <c r="A3167" s="1115"/>
      <c r="B3167" s="1115"/>
      <c r="C3167" s="1115"/>
      <c r="D3167" s="1115"/>
      <c r="E3167" s="1115"/>
      <c r="F3167" s="1115"/>
      <c r="G3167" s="1115"/>
      <c r="H3167" s="1115"/>
      <c r="I3167" s="1115"/>
      <c r="J3167" s="1115"/>
      <c r="K3167" s="1115"/>
      <c r="L3167" s="1115"/>
      <c r="M3167" s="1115"/>
    </row>
    <row r="3168" spans="1:13" x14ac:dyDescent="0.2">
      <c r="A3168" s="1115"/>
      <c r="B3168" s="1115"/>
      <c r="C3168" s="1115"/>
      <c r="D3168" s="1115"/>
      <c r="E3168" s="1115"/>
      <c r="F3168" s="1115"/>
      <c r="G3168" s="1115"/>
      <c r="H3168" s="1115"/>
      <c r="I3168" s="1115"/>
      <c r="J3168" s="1115"/>
      <c r="K3168" s="1115"/>
      <c r="L3168" s="1115"/>
      <c r="M3168" s="1115"/>
    </row>
    <row r="3169" spans="1:13" x14ac:dyDescent="0.2">
      <c r="A3169" s="1115"/>
      <c r="B3169" s="1115"/>
      <c r="C3169" s="1115"/>
      <c r="D3169" s="1115"/>
      <c r="E3169" s="1115"/>
      <c r="F3169" s="1115"/>
      <c r="G3169" s="1115"/>
      <c r="H3169" s="1115"/>
      <c r="I3169" s="1115"/>
      <c r="J3169" s="1115"/>
      <c r="K3169" s="1115"/>
      <c r="L3169" s="1115"/>
      <c r="M3169" s="1115"/>
    </row>
    <row r="3170" spans="1:13" x14ac:dyDescent="0.2">
      <c r="A3170" s="1115"/>
      <c r="B3170" s="1115"/>
      <c r="C3170" s="1115"/>
      <c r="D3170" s="1115"/>
      <c r="E3170" s="1115"/>
      <c r="F3170" s="1115"/>
      <c r="G3170" s="1115"/>
      <c r="H3170" s="1115"/>
      <c r="I3170" s="1115"/>
      <c r="J3170" s="1115"/>
      <c r="K3170" s="1115"/>
      <c r="L3170" s="1115"/>
      <c r="M3170" s="1115"/>
    </row>
    <row r="3171" spans="1:13" x14ac:dyDescent="0.2">
      <c r="A3171" s="1115"/>
      <c r="B3171" s="1115"/>
      <c r="C3171" s="1115"/>
      <c r="D3171" s="1115"/>
      <c r="E3171" s="1115"/>
      <c r="F3171" s="1115"/>
      <c r="G3171" s="1115"/>
      <c r="H3171" s="1115"/>
      <c r="I3171" s="1115"/>
      <c r="J3171" s="1115"/>
      <c r="K3171" s="1115"/>
      <c r="L3171" s="1115"/>
      <c r="M3171" s="1115"/>
    </row>
    <row r="3172" spans="1:13" x14ac:dyDescent="0.2">
      <c r="A3172" s="1115"/>
      <c r="B3172" s="1115"/>
      <c r="C3172" s="1115"/>
      <c r="D3172" s="1115"/>
      <c r="E3172" s="1115"/>
      <c r="F3172" s="1115"/>
      <c r="G3172" s="1115"/>
      <c r="H3172" s="1115"/>
      <c r="I3172" s="1115"/>
      <c r="J3172" s="1115"/>
      <c r="K3172" s="1115"/>
      <c r="L3172" s="1115"/>
      <c r="M3172" s="1115"/>
    </row>
    <row r="3173" spans="1:13" x14ac:dyDescent="0.2">
      <c r="A3173" s="1115"/>
      <c r="B3173" s="1115"/>
      <c r="C3173" s="1115"/>
      <c r="D3173" s="1115"/>
      <c r="E3173" s="1115"/>
      <c r="F3173" s="1115"/>
      <c r="G3173" s="1115"/>
      <c r="H3173" s="1115"/>
      <c r="I3173" s="1115"/>
      <c r="J3173" s="1115"/>
      <c r="K3173" s="1115"/>
      <c r="L3173" s="1115"/>
      <c r="M3173" s="1115"/>
    </row>
    <row r="3174" spans="1:13" x14ac:dyDescent="0.2">
      <c r="A3174" s="1115"/>
      <c r="B3174" s="1115"/>
      <c r="C3174" s="1115"/>
      <c r="D3174" s="1115"/>
      <c r="E3174" s="1115"/>
      <c r="F3174" s="1115"/>
      <c r="G3174" s="1115"/>
      <c r="H3174" s="1115"/>
      <c r="I3174" s="1115"/>
      <c r="J3174" s="1115"/>
      <c r="K3174" s="1115"/>
      <c r="L3174" s="1115"/>
      <c r="M3174" s="1115"/>
    </row>
    <row r="3175" spans="1:13" x14ac:dyDescent="0.2">
      <c r="A3175" s="1115"/>
      <c r="B3175" s="1115"/>
      <c r="C3175" s="1115"/>
      <c r="D3175" s="1115"/>
      <c r="E3175" s="1115"/>
      <c r="F3175" s="1115"/>
      <c r="G3175" s="1115"/>
      <c r="H3175" s="1115"/>
      <c r="I3175" s="1115"/>
      <c r="J3175" s="1115"/>
      <c r="K3175" s="1115"/>
      <c r="L3175" s="1115"/>
      <c r="M3175" s="1115"/>
    </row>
    <row r="3176" spans="1:13" x14ac:dyDescent="0.2">
      <c r="A3176" s="1115"/>
      <c r="B3176" s="1115"/>
      <c r="C3176" s="1115"/>
      <c r="D3176" s="1115"/>
      <c r="E3176" s="1115"/>
      <c r="F3176" s="1115"/>
      <c r="G3176" s="1115"/>
      <c r="H3176" s="1115"/>
      <c r="I3176" s="1115"/>
      <c r="J3176" s="1115"/>
      <c r="K3176" s="1115"/>
      <c r="L3176" s="1115"/>
      <c r="M3176" s="1115"/>
    </row>
    <row r="3177" spans="1:13" x14ac:dyDescent="0.2">
      <c r="A3177" s="1115"/>
      <c r="B3177" s="1115"/>
      <c r="C3177" s="1115"/>
      <c r="D3177" s="1115"/>
      <c r="E3177" s="1115"/>
      <c r="F3177" s="1115"/>
      <c r="G3177" s="1115"/>
      <c r="H3177" s="1115"/>
      <c r="I3177" s="1115"/>
      <c r="J3177" s="1115"/>
      <c r="K3177" s="1115"/>
      <c r="L3177" s="1115"/>
      <c r="M3177" s="1115"/>
    </row>
    <row r="3178" spans="1:13" x14ac:dyDescent="0.2">
      <c r="A3178" s="1115"/>
      <c r="B3178" s="1115"/>
      <c r="C3178" s="1115"/>
      <c r="D3178" s="1115"/>
      <c r="E3178" s="1115"/>
      <c r="F3178" s="1115"/>
      <c r="G3178" s="1115"/>
      <c r="H3178" s="1115"/>
      <c r="I3178" s="1115"/>
      <c r="J3178" s="1115"/>
      <c r="K3178" s="1115"/>
      <c r="L3178" s="1115"/>
      <c r="M3178" s="1115"/>
    </row>
    <row r="3179" spans="1:13" x14ac:dyDescent="0.2">
      <c r="A3179" s="1115"/>
      <c r="B3179" s="1115"/>
      <c r="C3179" s="1115"/>
      <c r="D3179" s="1115"/>
      <c r="E3179" s="1115"/>
      <c r="F3179" s="1115"/>
      <c r="G3179" s="1115"/>
      <c r="H3179" s="1115"/>
      <c r="I3179" s="1115"/>
      <c r="J3179" s="1115"/>
      <c r="K3179" s="1115"/>
      <c r="L3179" s="1115"/>
      <c r="M3179" s="1115"/>
    </row>
    <row r="3180" spans="1:13" x14ac:dyDescent="0.2">
      <c r="A3180" s="1115"/>
      <c r="B3180" s="1115"/>
      <c r="C3180" s="1115"/>
      <c r="D3180" s="1115"/>
      <c r="E3180" s="1115"/>
      <c r="F3180" s="1115"/>
      <c r="G3180" s="1115"/>
      <c r="H3180" s="1115"/>
      <c r="I3180" s="1115"/>
      <c r="J3180" s="1115"/>
      <c r="K3180" s="1115"/>
      <c r="L3180" s="1115"/>
      <c r="M3180" s="1115"/>
    </row>
    <row r="3181" spans="1:13" x14ac:dyDescent="0.2">
      <c r="A3181" s="1115"/>
      <c r="B3181" s="1115"/>
      <c r="C3181" s="1115"/>
      <c r="D3181" s="1115"/>
      <c r="E3181" s="1115"/>
      <c r="F3181" s="1115"/>
      <c r="G3181" s="1115"/>
      <c r="H3181" s="1115"/>
      <c r="I3181" s="1115"/>
      <c r="J3181" s="1115"/>
      <c r="K3181" s="1115"/>
      <c r="L3181" s="1115"/>
      <c r="M3181" s="1115"/>
    </row>
    <row r="3182" spans="1:13" x14ac:dyDescent="0.2">
      <c r="A3182" s="1115"/>
      <c r="B3182" s="1115"/>
      <c r="C3182" s="1115"/>
      <c r="D3182" s="1115"/>
      <c r="E3182" s="1115"/>
      <c r="F3182" s="1115"/>
      <c r="G3182" s="1115"/>
      <c r="H3182" s="1115"/>
      <c r="I3182" s="1115"/>
      <c r="J3182" s="1115"/>
      <c r="K3182" s="1115"/>
      <c r="L3182" s="1115"/>
      <c r="M3182" s="1115"/>
    </row>
    <row r="3183" spans="1:13" x14ac:dyDescent="0.2">
      <c r="A3183" s="1115"/>
      <c r="B3183" s="1115"/>
      <c r="C3183" s="1115"/>
      <c r="D3183" s="1115"/>
      <c r="E3183" s="1115"/>
      <c r="F3183" s="1115"/>
      <c r="G3183" s="1115"/>
      <c r="H3183" s="1115"/>
      <c r="I3183" s="1115"/>
      <c r="J3183" s="1115"/>
      <c r="K3183" s="1115"/>
      <c r="L3183" s="1115"/>
      <c r="M3183" s="1115"/>
    </row>
    <row r="3184" spans="1:13" x14ac:dyDescent="0.2">
      <c r="A3184" s="1115"/>
      <c r="B3184" s="1115"/>
      <c r="C3184" s="1115"/>
      <c r="D3184" s="1115"/>
      <c r="E3184" s="1115"/>
      <c r="F3184" s="1115"/>
      <c r="G3184" s="1115"/>
      <c r="H3184" s="1115"/>
      <c r="I3184" s="1115"/>
      <c r="J3184" s="1115"/>
      <c r="K3184" s="1115"/>
      <c r="L3184" s="1115"/>
      <c r="M3184" s="1115"/>
    </row>
    <row r="3185" spans="1:13" x14ac:dyDescent="0.2">
      <c r="A3185" s="1115"/>
      <c r="B3185" s="1115"/>
      <c r="C3185" s="1115"/>
      <c r="D3185" s="1115"/>
      <c r="E3185" s="1115"/>
      <c r="F3185" s="1115"/>
      <c r="G3185" s="1115"/>
      <c r="H3185" s="1115"/>
      <c r="I3185" s="1115"/>
      <c r="J3185" s="1115"/>
      <c r="K3185" s="1115"/>
      <c r="L3185" s="1115"/>
      <c r="M3185" s="1115"/>
    </row>
    <row r="3186" spans="1:13" x14ac:dyDescent="0.2">
      <c r="A3186" s="1115"/>
      <c r="B3186" s="1115"/>
      <c r="C3186" s="1115"/>
      <c r="D3186" s="1115"/>
      <c r="E3186" s="1115"/>
      <c r="F3186" s="1115"/>
      <c r="G3186" s="1115"/>
      <c r="H3186" s="1115"/>
      <c r="I3186" s="1115"/>
      <c r="J3186" s="1115"/>
      <c r="K3186" s="1115"/>
      <c r="L3186" s="1115"/>
      <c r="M3186" s="1115"/>
    </row>
    <row r="3187" spans="1:13" x14ac:dyDescent="0.2">
      <c r="A3187" s="1115"/>
      <c r="B3187" s="1115"/>
      <c r="C3187" s="1115"/>
      <c r="D3187" s="1115"/>
      <c r="E3187" s="1115"/>
      <c r="F3187" s="1115"/>
      <c r="G3187" s="1115"/>
      <c r="H3187" s="1115"/>
      <c r="I3187" s="1115"/>
      <c r="J3187" s="1115"/>
      <c r="K3187" s="1115"/>
      <c r="L3187" s="1115"/>
      <c r="M3187" s="1115"/>
    </row>
    <row r="3188" spans="1:13" x14ac:dyDescent="0.2">
      <c r="A3188" s="1115"/>
      <c r="B3188" s="1115"/>
      <c r="C3188" s="1115"/>
      <c r="D3188" s="1115"/>
      <c r="E3188" s="1115"/>
      <c r="F3188" s="1115"/>
      <c r="G3188" s="1115"/>
      <c r="H3188" s="1115"/>
      <c r="I3188" s="1115"/>
      <c r="J3188" s="1115"/>
      <c r="K3188" s="1115"/>
      <c r="L3188" s="1115"/>
      <c r="M3188" s="1115"/>
    </row>
    <row r="3189" spans="1:13" x14ac:dyDescent="0.2">
      <c r="A3189" s="1115"/>
      <c r="B3189" s="1115"/>
      <c r="C3189" s="1115"/>
      <c r="D3189" s="1115"/>
      <c r="E3189" s="1115"/>
      <c r="F3189" s="1115"/>
      <c r="G3189" s="1115"/>
      <c r="H3189" s="1115"/>
      <c r="I3189" s="1115"/>
      <c r="J3189" s="1115"/>
      <c r="K3189" s="1115"/>
      <c r="L3189" s="1115"/>
      <c r="M3189" s="1115"/>
    </row>
    <row r="3190" spans="1:13" x14ac:dyDescent="0.2">
      <c r="A3190" s="1115"/>
      <c r="B3190" s="1115"/>
      <c r="C3190" s="1115"/>
      <c r="D3190" s="1115"/>
      <c r="E3190" s="1115"/>
      <c r="F3190" s="1115"/>
      <c r="G3190" s="1115"/>
      <c r="H3190" s="1115"/>
      <c r="I3190" s="1115"/>
      <c r="J3190" s="1115"/>
      <c r="K3190" s="1115"/>
      <c r="L3190" s="1115"/>
      <c r="M3190" s="1115"/>
    </row>
    <row r="3191" spans="1:13" x14ac:dyDescent="0.2">
      <c r="A3191" s="1115"/>
      <c r="B3191" s="1115"/>
      <c r="C3191" s="1115"/>
      <c r="D3191" s="1115"/>
      <c r="E3191" s="1115"/>
      <c r="F3191" s="1115"/>
      <c r="G3191" s="1115"/>
      <c r="H3191" s="1115"/>
      <c r="I3191" s="1115"/>
      <c r="J3191" s="1115"/>
      <c r="K3191" s="1115"/>
      <c r="L3191" s="1115"/>
      <c r="M3191" s="1115"/>
    </row>
    <row r="3192" spans="1:13" x14ac:dyDescent="0.2">
      <c r="A3192" s="1115"/>
      <c r="B3192" s="1115"/>
      <c r="C3192" s="1115"/>
      <c r="D3192" s="1115"/>
      <c r="E3192" s="1115"/>
      <c r="F3192" s="1115"/>
      <c r="G3192" s="1115"/>
      <c r="H3192" s="1115"/>
      <c r="I3192" s="1115"/>
      <c r="J3192" s="1115"/>
      <c r="K3192" s="1115"/>
      <c r="L3192" s="1115"/>
      <c r="M3192" s="1115"/>
    </row>
    <row r="3193" spans="1:13" x14ac:dyDescent="0.2">
      <c r="A3193" s="1115"/>
      <c r="B3193" s="1115"/>
      <c r="C3193" s="1115"/>
      <c r="D3193" s="1115"/>
      <c r="E3193" s="1115"/>
      <c r="F3193" s="1115"/>
      <c r="G3193" s="1115"/>
      <c r="H3193" s="1115"/>
      <c r="I3193" s="1115"/>
      <c r="J3193" s="1115"/>
      <c r="K3193" s="1115"/>
      <c r="L3193" s="1115"/>
      <c r="M3193" s="1115"/>
    </row>
    <row r="3194" spans="1:13" x14ac:dyDescent="0.2">
      <c r="A3194" s="1115"/>
      <c r="B3194" s="1115"/>
      <c r="C3194" s="1115"/>
      <c r="D3194" s="1115"/>
      <c r="E3194" s="1115"/>
      <c r="F3194" s="1115"/>
      <c r="G3194" s="1115"/>
      <c r="H3194" s="1115"/>
      <c r="I3194" s="1115"/>
      <c r="J3194" s="1115"/>
      <c r="K3194" s="1115"/>
      <c r="L3194" s="1115"/>
      <c r="M3194" s="1115"/>
    </row>
    <row r="3195" spans="1:13" x14ac:dyDescent="0.2">
      <c r="A3195" s="1115"/>
      <c r="B3195" s="1115"/>
      <c r="C3195" s="1115"/>
      <c r="D3195" s="1115"/>
      <c r="E3195" s="1115"/>
      <c r="F3195" s="1115"/>
      <c r="G3195" s="1115"/>
      <c r="H3195" s="1115"/>
      <c r="I3195" s="1115"/>
      <c r="J3195" s="1115"/>
      <c r="K3195" s="1115"/>
      <c r="L3195" s="1115"/>
      <c r="M3195" s="1115"/>
    </row>
    <row r="3196" spans="1:13" x14ac:dyDescent="0.2">
      <c r="A3196" s="1115"/>
      <c r="B3196" s="1115"/>
      <c r="C3196" s="1115"/>
      <c r="D3196" s="1115"/>
      <c r="E3196" s="1115"/>
      <c r="F3196" s="1115"/>
      <c r="G3196" s="1115"/>
      <c r="H3196" s="1115"/>
      <c r="I3196" s="1115"/>
      <c r="J3196" s="1115"/>
      <c r="K3196" s="1115"/>
      <c r="L3196" s="1115"/>
      <c r="M3196" s="1115"/>
    </row>
    <row r="3197" spans="1:13" x14ac:dyDescent="0.2">
      <c r="A3197" s="1115"/>
      <c r="B3197" s="1115"/>
      <c r="C3197" s="1115"/>
      <c r="D3197" s="1115"/>
      <c r="E3197" s="1115"/>
      <c r="F3197" s="1115"/>
      <c r="G3197" s="1115"/>
      <c r="H3197" s="1115"/>
      <c r="I3197" s="1115"/>
      <c r="J3197" s="1115"/>
      <c r="K3197" s="1115"/>
      <c r="L3197" s="1115"/>
      <c r="M3197" s="1115"/>
    </row>
    <row r="3198" spans="1:13" x14ac:dyDescent="0.2">
      <c r="A3198" s="1115"/>
      <c r="B3198" s="1115"/>
      <c r="C3198" s="1115"/>
      <c r="D3198" s="1115"/>
      <c r="E3198" s="1115"/>
      <c r="F3198" s="1115"/>
      <c r="G3198" s="1115"/>
      <c r="H3198" s="1115"/>
      <c r="I3198" s="1115"/>
      <c r="J3198" s="1115"/>
      <c r="K3198" s="1115"/>
      <c r="L3198" s="1115"/>
      <c r="M3198" s="1115"/>
    </row>
    <row r="3199" spans="1:13" x14ac:dyDescent="0.2">
      <c r="A3199" s="1115"/>
      <c r="B3199" s="1115"/>
      <c r="C3199" s="1115"/>
      <c r="D3199" s="1115"/>
      <c r="E3199" s="1115"/>
      <c r="F3199" s="1115"/>
      <c r="G3199" s="1115"/>
      <c r="H3199" s="1115"/>
      <c r="I3199" s="1115"/>
      <c r="J3199" s="1115"/>
      <c r="K3199" s="1115"/>
      <c r="L3199" s="1115"/>
      <c r="M3199" s="1115"/>
    </row>
    <row r="3200" spans="1:13" x14ac:dyDescent="0.2">
      <c r="A3200" s="1115"/>
      <c r="B3200" s="1115"/>
      <c r="C3200" s="1115"/>
      <c r="D3200" s="1115"/>
      <c r="E3200" s="1115"/>
      <c r="F3200" s="1115"/>
      <c r="G3200" s="1115"/>
      <c r="H3200" s="1115"/>
      <c r="I3200" s="1115"/>
      <c r="J3200" s="1115"/>
      <c r="K3200" s="1115"/>
      <c r="L3200" s="1115"/>
      <c r="M3200" s="1115"/>
    </row>
    <row r="3201" spans="1:13" x14ac:dyDescent="0.2">
      <c r="A3201" s="1115"/>
      <c r="B3201" s="1115"/>
      <c r="C3201" s="1115"/>
      <c r="D3201" s="1115"/>
      <c r="E3201" s="1115"/>
      <c r="F3201" s="1115"/>
      <c r="G3201" s="1115"/>
      <c r="H3201" s="1115"/>
      <c r="I3201" s="1115"/>
      <c r="J3201" s="1115"/>
      <c r="K3201" s="1115"/>
      <c r="L3201" s="1115"/>
      <c r="M3201" s="1115"/>
    </row>
    <row r="3202" spans="1:13" x14ac:dyDescent="0.2">
      <c r="A3202" s="1115"/>
      <c r="B3202" s="1115"/>
      <c r="C3202" s="1115"/>
      <c r="D3202" s="1115"/>
      <c r="E3202" s="1115"/>
      <c r="F3202" s="1115"/>
      <c r="G3202" s="1115"/>
      <c r="H3202" s="1115"/>
      <c r="I3202" s="1115"/>
      <c r="J3202" s="1115"/>
      <c r="K3202" s="1115"/>
      <c r="L3202" s="1115"/>
      <c r="M3202" s="1115"/>
    </row>
    <row r="3203" spans="1:13" x14ac:dyDescent="0.2">
      <c r="A3203" s="1115"/>
      <c r="B3203" s="1115"/>
      <c r="C3203" s="1115"/>
      <c r="D3203" s="1115"/>
      <c r="E3203" s="1115"/>
      <c r="F3203" s="1115"/>
      <c r="G3203" s="1115"/>
      <c r="H3203" s="1115"/>
      <c r="I3203" s="1115"/>
      <c r="J3203" s="1115"/>
      <c r="K3203" s="1115"/>
      <c r="L3203" s="1115"/>
      <c r="M3203" s="1115"/>
    </row>
    <row r="3204" spans="1:13" x14ac:dyDescent="0.2">
      <c r="A3204" s="1115"/>
      <c r="B3204" s="1115"/>
      <c r="C3204" s="1115"/>
      <c r="D3204" s="1115"/>
      <c r="E3204" s="1115"/>
      <c r="F3204" s="1115"/>
      <c r="G3204" s="1115"/>
      <c r="H3204" s="1115"/>
      <c r="I3204" s="1115"/>
      <c r="J3204" s="1115"/>
      <c r="K3204" s="1115"/>
      <c r="L3204" s="1115"/>
      <c r="M3204" s="1115"/>
    </row>
    <row r="3205" spans="1:13" x14ac:dyDescent="0.2">
      <c r="A3205" s="1115"/>
      <c r="B3205" s="1115"/>
      <c r="C3205" s="1115"/>
      <c r="D3205" s="1115"/>
      <c r="E3205" s="1115"/>
      <c r="F3205" s="1115"/>
      <c r="G3205" s="1115"/>
      <c r="H3205" s="1115"/>
      <c r="I3205" s="1115"/>
      <c r="J3205" s="1115"/>
      <c r="K3205" s="1115"/>
      <c r="L3205" s="1115"/>
      <c r="M3205" s="1115"/>
    </row>
    <row r="3206" spans="1:13" x14ac:dyDescent="0.2">
      <c r="A3206" s="1115"/>
      <c r="B3206" s="1115"/>
      <c r="C3206" s="1115"/>
      <c r="D3206" s="1115"/>
      <c r="E3206" s="1115"/>
      <c r="F3206" s="1115"/>
      <c r="G3206" s="1115"/>
      <c r="H3206" s="1115"/>
      <c r="I3206" s="1115"/>
      <c r="J3206" s="1115"/>
      <c r="K3206" s="1115"/>
      <c r="L3206" s="1115"/>
      <c r="M3206" s="1115"/>
    </row>
    <row r="3207" spans="1:13" x14ac:dyDescent="0.2">
      <c r="A3207" s="1115"/>
      <c r="B3207" s="1115"/>
      <c r="C3207" s="1115"/>
      <c r="D3207" s="1115"/>
      <c r="E3207" s="1115"/>
      <c r="F3207" s="1115"/>
      <c r="G3207" s="1115"/>
      <c r="H3207" s="1115"/>
      <c r="I3207" s="1115"/>
      <c r="J3207" s="1115"/>
      <c r="K3207" s="1115"/>
      <c r="L3207" s="1115"/>
      <c r="M3207" s="1115"/>
    </row>
    <row r="3208" spans="1:13" x14ac:dyDescent="0.2">
      <c r="A3208" s="1115"/>
      <c r="B3208" s="1115"/>
      <c r="C3208" s="1115"/>
      <c r="D3208" s="1115"/>
      <c r="E3208" s="1115"/>
      <c r="F3208" s="1115"/>
      <c r="G3208" s="1115"/>
      <c r="H3208" s="1115"/>
      <c r="I3208" s="1115"/>
      <c r="J3208" s="1115"/>
      <c r="K3208" s="1115"/>
      <c r="L3208" s="1115"/>
      <c r="M3208" s="1115"/>
    </row>
    <row r="3209" spans="1:13" x14ac:dyDescent="0.2">
      <c r="A3209" s="1115"/>
      <c r="B3209" s="1115"/>
      <c r="C3209" s="1115"/>
      <c r="D3209" s="1115"/>
      <c r="E3209" s="1115"/>
      <c r="F3209" s="1115"/>
      <c r="G3209" s="1115"/>
      <c r="H3209" s="1115"/>
      <c r="I3209" s="1115"/>
      <c r="J3209" s="1115"/>
      <c r="K3209" s="1115"/>
      <c r="L3209" s="1115"/>
      <c r="M3209" s="1115"/>
    </row>
    <row r="3210" spans="1:13" x14ac:dyDescent="0.2">
      <c r="A3210" s="1115"/>
      <c r="B3210" s="1115"/>
      <c r="C3210" s="1115"/>
      <c r="D3210" s="1115"/>
      <c r="E3210" s="1115"/>
      <c r="F3210" s="1115"/>
      <c r="G3210" s="1115"/>
      <c r="H3210" s="1115"/>
      <c r="I3210" s="1115"/>
      <c r="J3210" s="1115"/>
      <c r="K3210" s="1115"/>
      <c r="L3210" s="1115"/>
      <c r="M3210" s="1115"/>
    </row>
    <row r="3211" spans="1:13" x14ac:dyDescent="0.2">
      <c r="A3211" s="1115"/>
      <c r="B3211" s="1115"/>
      <c r="C3211" s="1115"/>
      <c r="D3211" s="1115"/>
      <c r="E3211" s="1115"/>
      <c r="F3211" s="1115"/>
      <c r="G3211" s="1115"/>
      <c r="H3211" s="1115"/>
      <c r="I3211" s="1115"/>
      <c r="J3211" s="1115"/>
      <c r="K3211" s="1115"/>
      <c r="L3211" s="1115"/>
      <c r="M3211" s="1115"/>
    </row>
    <row r="3212" spans="1:13" x14ac:dyDescent="0.2">
      <c r="A3212" s="1115"/>
      <c r="B3212" s="1115"/>
      <c r="C3212" s="1115"/>
      <c r="D3212" s="1115"/>
      <c r="E3212" s="1115"/>
      <c r="F3212" s="1115"/>
      <c r="G3212" s="1115"/>
      <c r="H3212" s="1115"/>
      <c r="I3212" s="1115"/>
      <c r="J3212" s="1115"/>
      <c r="K3212" s="1115"/>
      <c r="L3212" s="1115"/>
      <c r="M3212" s="1115"/>
    </row>
    <row r="3213" spans="1:13" x14ac:dyDescent="0.2">
      <c r="A3213" s="1115"/>
      <c r="B3213" s="1115"/>
      <c r="C3213" s="1115"/>
      <c r="D3213" s="1115"/>
      <c r="E3213" s="1115"/>
      <c r="F3213" s="1115"/>
      <c r="G3213" s="1115"/>
      <c r="H3213" s="1115"/>
      <c r="I3213" s="1115"/>
      <c r="J3213" s="1115"/>
      <c r="K3213" s="1115"/>
      <c r="L3213" s="1115"/>
      <c r="M3213" s="1115"/>
    </row>
    <row r="3214" spans="1:13" x14ac:dyDescent="0.2">
      <c r="A3214" s="1115"/>
      <c r="B3214" s="1115"/>
      <c r="C3214" s="1115"/>
      <c r="D3214" s="1115"/>
      <c r="E3214" s="1115"/>
      <c r="F3214" s="1115"/>
      <c r="G3214" s="1115"/>
      <c r="H3214" s="1115"/>
      <c r="I3214" s="1115"/>
      <c r="J3214" s="1115"/>
      <c r="K3214" s="1115"/>
      <c r="L3214" s="1115"/>
      <c r="M3214" s="1115"/>
    </row>
    <row r="3215" spans="1:13" x14ac:dyDescent="0.2">
      <c r="A3215" s="1115"/>
      <c r="B3215" s="1115"/>
      <c r="C3215" s="1115"/>
      <c r="D3215" s="1115"/>
      <c r="E3215" s="1115"/>
      <c r="F3215" s="1115"/>
      <c r="G3215" s="1115"/>
      <c r="H3215" s="1115"/>
      <c r="I3215" s="1115"/>
      <c r="J3215" s="1115"/>
      <c r="K3215" s="1115"/>
      <c r="L3215" s="1115"/>
      <c r="M3215" s="1115"/>
    </row>
    <row r="3216" spans="1:13" x14ac:dyDescent="0.2">
      <c r="A3216" s="1115"/>
      <c r="B3216" s="1115"/>
      <c r="C3216" s="1115"/>
      <c r="D3216" s="1115"/>
      <c r="E3216" s="1115"/>
      <c r="F3216" s="1115"/>
      <c r="G3216" s="1115"/>
      <c r="H3216" s="1115"/>
      <c r="I3216" s="1115"/>
      <c r="J3216" s="1115"/>
      <c r="K3216" s="1115"/>
      <c r="L3216" s="1115"/>
      <c r="M3216" s="1115"/>
    </row>
    <row r="3217" spans="1:13" x14ac:dyDescent="0.2">
      <c r="A3217" s="1115"/>
      <c r="B3217" s="1115"/>
      <c r="C3217" s="1115"/>
      <c r="D3217" s="1115"/>
      <c r="E3217" s="1115"/>
      <c r="F3217" s="1115"/>
      <c r="G3217" s="1115"/>
      <c r="H3217" s="1115"/>
      <c r="I3217" s="1115"/>
      <c r="J3217" s="1115"/>
      <c r="K3217" s="1115"/>
      <c r="L3217" s="1115"/>
      <c r="M3217" s="1115"/>
    </row>
    <row r="3218" spans="1:13" x14ac:dyDescent="0.2">
      <c r="A3218" s="1115"/>
      <c r="B3218" s="1115"/>
      <c r="C3218" s="1115"/>
      <c r="D3218" s="1115"/>
      <c r="E3218" s="1115"/>
      <c r="F3218" s="1115"/>
      <c r="G3218" s="1115"/>
      <c r="H3218" s="1115"/>
      <c r="I3218" s="1115"/>
      <c r="J3218" s="1115"/>
      <c r="K3218" s="1115"/>
      <c r="L3218" s="1115"/>
      <c r="M3218" s="1115"/>
    </row>
    <row r="3219" spans="1:13" x14ac:dyDescent="0.2">
      <c r="A3219" s="1115"/>
      <c r="B3219" s="1115"/>
      <c r="C3219" s="1115"/>
      <c r="D3219" s="1115"/>
      <c r="E3219" s="1115"/>
      <c r="F3219" s="1115"/>
      <c r="G3219" s="1115"/>
      <c r="H3219" s="1115"/>
      <c r="I3219" s="1115"/>
      <c r="J3219" s="1115"/>
      <c r="K3219" s="1115"/>
      <c r="L3219" s="1115"/>
      <c r="M3219" s="1115"/>
    </row>
    <row r="3220" spans="1:13" x14ac:dyDescent="0.2">
      <c r="A3220" s="1115"/>
      <c r="B3220" s="1115"/>
      <c r="C3220" s="1115"/>
      <c r="D3220" s="1115"/>
      <c r="E3220" s="1115"/>
      <c r="F3220" s="1115"/>
      <c r="G3220" s="1115"/>
      <c r="H3220" s="1115"/>
      <c r="I3220" s="1115"/>
      <c r="J3220" s="1115"/>
      <c r="K3220" s="1115"/>
      <c r="L3220" s="1115"/>
      <c r="M3220" s="1115"/>
    </row>
    <row r="3221" spans="1:13" x14ac:dyDescent="0.2">
      <c r="A3221" s="1115"/>
      <c r="B3221" s="1115"/>
      <c r="C3221" s="1115"/>
      <c r="D3221" s="1115"/>
      <c r="E3221" s="1115"/>
      <c r="F3221" s="1115"/>
      <c r="G3221" s="1115"/>
      <c r="H3221" s="1115"/>
      <c r="I3221" s="1115"/>
      <c r="J3221" s="1115"/>
      <c r="K3221" s="1115"/>
      <c r="L3221" s="1115"/>
      <c r="M3221" s="1115"/>
    </row>
    <row r="3222" spans="1:13" x14ac:dyDescent="0.2">
      <c r="A3222" s="1115"/>
      <c r="B3222" s="1115"/>
      <c r="C3222" s="1115"/>
      <c r="D3222" s="1115"/>
      <c r="E3222" s="1115"/>
      <c r="F3222" s="1115"/>
      <c r="G3222" s="1115"/>
      <c r="H3222" s="1115"/>
      <c r="I3222" s="1115"/>
      <c r="J3222" s="1115"/>
      <c r="K3222" s="1115"/>
      <c r="L3222" s="1115"/>
      <c r="M3222" s="1115"/>
    </row>
    <row r="3223" spans="1:13" x14ac:dyDescent="0.2">
      <c r="A3223" s="1115"/>
      <c r="B3223" s="1115"/>
      <c r="C3223" s="1115"/>
      <c r="D3223" s="1115"/>
      <c r="E3223" s="1115"/>
      <c r="F3223" s="1115"/>
      <c r="G3223" s="1115"/>
      <c r="H3223" s="1115"/>
      <c r="I3223" s="1115"/>
      <c r="J3223" s="1115"/>
      <c r="K3223" s="1115"/>
      <c r="L3223" s="1115"/>
      <c r="M3223" s="1115"/>
    </row>
    <row r="3224" spans="1:13" x14ac:dyDescent="0.2">
      <c r="A3224" s="1115"/>
      <c r="B3224" s="1115"/>
      <c r="C3224" s="1115"/>
      <c r="D3224" s="1115"/>
      <c r="E3224" s="1115"/>
      <c r="F3224" s="1115"/>
      <c r="G3224" s="1115"/>
      <c r="H3224" s="1115"/>
      <c r="I3224" s="1115"/>
      <c r="J3224" s="1115"/>
      <c r="K3224" s="1115"/>
      <c r="L3224" s="1115"/>
      <c r="M3224" s="1115"/>
    </row>
    <row r="3225" spans="1:13" x14ac:dyDescent="0.2">
      <c r="A3225" s="1115"/>
      <c r="B3225" s="1115"/>
      <c r="C3225" s="1115"/>
      <c r="D3225" s="1115"/>
      <c r="E3225" s="1115"/>
      <c r="F3225" s="1115"/>
      <c r="G3225" s="1115"/>
      <c r="H3225" s="1115"/>
      <c r="I3225" s="1115"/>
      <c r="J3225" s="1115"/>
      <c r="K3225" s="1115"/>
      <c r="L3225" s="1115"/>
      <c r="M3225" s="1115"/>
    </row>
    <row r="3226" spans="1:13" x14ac:dyDescent="0.2">
      <c r="A3226" s="1115"/>
      <c r="B3226" s="1115"/>
      <c r="C3226" s="1115"/>
      <c r="D3226" s="1115"/>
      <c r="E3226" s="1115"/>
      <c r="F3226" s="1115"/>
      <c r="G3226" s="1115"/>
      <c r="H3226" s="1115"/>
      <c r="I3226" s="1115"/>
      <c r="J3226" s="1115"/>
      <c r="K3226" s="1115"/>
      <c r="L3226" s="1115"/>
      <c r="M3226" s="1115"/>
    </row>
    <row r="3227" spans="1:13" x14ac:dyDescent="0.2">
      <c r="A3227" s="1115"/>
      <c r="B3227" s="1115"/>
      <c r="C3227" s="1115"/>
      <c r="D3227" s="1115"/>
      <c r="E3227" s="1115"/>
      <c r="F3227" s="1115"/>
      <c r="G3227" s="1115"/>
      <c r="H3227" s="1115"/>
      <c r="I3227" s="1115"/>
      <c r="J3227" s="1115"/>
      <c r="K3227" s="1115"/>
      <c r="L3227" s="1115"/>
      <c r="M3227" s="1115"/>
    </row>
    <row r="3228" spans="1:13" x14ac:dyDescent="0.2">
      <c r="A3228" s="1115"/>
      <c r="B3228" s="1115"/>
      <c r="C3228" s="1115"/>
      <c r="D3228" s="1115"/>
      <c r="E3228" s="1115"/>
      <c r="F3228" s="1115"/>
      <c r="G3228" s="1115"/>
      <c r="H3228" s="1115"/>
      <c r="I3228" s="1115"/>
      <c r="J3228" s="1115"/>
      <c r="K3228" s="1115"/>
      <c r="L3228" s="1115"/>
      <c r="M3228" s="1115"/>
    </row>
    <row r="3229" spans="1:13" x14ac:dyDescent="0.2">
      <c r="A3229" s="1115"/>
      <c r="B3229" s="1115"/>
      <c r="C3229" s="1115"/>
      <c r="D3229" s="1115"/>
      <c r="E3229" s="1115"/>
      <c r="F3229" s="1115"/>
      <c r="G3229" s="1115"/>
      <c r="H3229" s="1115"/>
      <c r="I3229" s="1115"/>
      <c r="J3229" s="1115"/>
      <c r="K3229" s="1115"/>
      <c r="L3229" s="1115"/>
      <c r="M3229" s="1115"/>
    </row>
    <row r="3230" spans="1:13" x14ac:dyDescent="0.2">
      <c r="A3230" s="1115"/>
      <c r="B3230" s="1115"/>
      <c r="C3230" s="1115"/>
      <c r="D3230" s="1115"/>
      <c r="E3230" s="1115"/>
      <c r="F3230" s="1115"/>
      <c r="G3230" s="1115"/>
      <c r="H3230" s="1115"/>
      <c r="I3230" s="1115"/>
      <c r="J3230" s="1115"/>
      <c r="K3230" s="1115"/>
      <c r="L3230" s="1115"/>
      <c r="M3230" s="1115"/>
    </row>
    <row r="3231" spans="1:13" x14ac:dyDescent="0.2">
      <c r="A3231" s="1115"/>
      <c r="B3231" s="1115"/>
      <c r="C3231" s="1115"/>
      <c r="D3231" s="1115"/>
      <c r="E3231" s="1115"/>
      <c r="F3231" s="1115"/>
      <c r="G3231" s="1115"/>
      <c r="H3231" s="1115"/>
      <c r="I3231" s="1115"/>
      <c r="J3231" s="1115"/>
      <c r="K3231" s="1115"/>
      <c r="L3231" s="1115"/>
      <c r="M3231" s="1115"/>
    </row>
    <row r="3232" spans="1:13" x14ac:dyDescent="0.2">
      <c r="A3232" s="1115"/>
      <c r="B3232" s="1115"/>
      <c r="C3232" s="1115"/>
      <c r="D3232" s="1115"/>
      <c r="E3232" s="1115"/>
      <c r="F3232" s="1115"/>
      <c r="G3232" s="1115"/>
      <c r="H3232" s="1115"/>
      <c r="I3232" s="1115"/>
      <c r="J3232" s="1115"/>
      <c r="K3232" s="1115"/>
      <c r="L3232" s="1115"/>
      <c r="M3232" s="1115"/>
    </row>
    <row r="3233" spans="1:13" x14ac:dyDescent="0.2">
      <c r="A3233" s="1115"/>
      <c r="B3233" s="1115"/>
      <c r="C3233" s="1115"/>
      <c r="D3233" s="1115"/>
      <c r="E3233" s="1115"/>
      <c r="F3233" s="1115"/>
      <c r="G3233" s="1115"/>
      <c r="H3233" s="1115"/>
      <c r="I3233" s="1115"/>
      <c r="J3233" s="1115"/>
      <c r="K3233" s="1115"/>
      <c r="L3233" s="1115"/>
      <c r="M3233" s="1115"/>
    </row>
    <row r="3234" spans="1:13" x14ac:dyDescent="0.2">
      <c r="A3234" s="1115"/>
      <c r="B3234" s="1115"/>
      <c r="C3234" s="1115"/>
      <c r="D3234" s="1115"/>
      <c r="E3234" s="1115"/>
      <c r="F3234" s="1115"/>
      <c r="G3234" s="1115"/>
      <c r="H3234" s="1115"/>
      <c r="I3234" s="1115"/>
      <c r="J3234" s="1115"/>
      <c r="K3234" s="1115"/>
      <c r="L3234" s="1115"/>
      <c r="M3234" s="1115"/>
    </row>
    <row r="3235" spans="1:13" x14ac:dyDescent="0.2">
      <c r="A3235" s="1115"/>
      <c r="B3235" s="1115"/>
      <c r="C3235" s="1115"/>
      <c r="D3235" s="1115"/>
      <c r="E3235" s="1115"/>
      <c r="F3235" s="1115"/>
      <c r="G3235" s="1115"/>
      <c r="H3235" s="1115"/>
      <c r="I3235" s="1115"/>
      <c r="J3235" s="1115"/>
      <c r="K3235" s="1115"/>
      <c r="L3235" s="1115"/>
      <c r="M3235" s="1115"/>
    </row>
    <row r="3236" spans="1:13" x14ac:dyDescent="0.2">
      <c r="A3236" s="1115"/>
      <c r="B3236" s="1115"/>
      <c r="C3236" s="1115"/>
      <c r="D3236" s="1115"/>
      <c r="E3236" s="1115"/>
      <c r="F3236" s="1115"/>
      <c r="G3236" s="1115"/>
      <c r="H3236" s="1115"/>
      <c r="I3236" s="1115"/>
      <c r="J3236" s="1115"/>
      <c r="K3236" s="1115"/>
      <c r="L3236" s="1115"/>
      <c r="M3236" s="1115"/>
    </row>
    <row r="3237" spans="1:13" x14ac:dyDescent="0.2">
      <c r="A3237" s="1115"/>
      <c r="B3237" s="1115"/>
      <c r="C3237" s="1115"/>
      <c r="D3237" s="1115"/>
      <c r="E3237" s="1115"/>
      <c r="F3237" s="1115"/>
      <c r="G3237" s="1115"/>
      <c r="H3237" s="1115"/>
      <c r="I3237" s="1115"/>
      <c r="J3237" s="1115"/>
      <c r="K3237" s="1115"/>
      <c r="L3237" s="1115"/>
      <c r="M3237" s="1115"/>
    </row>
    <row r="3238" spans="1:13" x14ac:dyDescent="0.2">
      <c r="A3238" s="1115"/>
      <c r="B3238" s="1115"/>
      <c r="C3238" s="1115"/>
      <c r="D3238" s="1115"/>
      <c r="E3238" s="1115"/>
      <c r="F3238" s="1115"/>
      <c r="G3238" s="1115"/>
      <c r="H3238" s="1115"/>
      <c r="I3238" s="1115"/>
      <c r="J3238" s="1115"/>
      <c r="K3238" s="1115"/>
      <c r="L3238" s="1115"/>
      <c r="M3238" s="1115"/>
    </row>
    <row r="3239" spans="1:13" x14ac:dyDescent="0.2">
      <c r="A3239" s="1115"/>
      <c r="B3239" s="1115"/>
      <c r="C3239" s="1115"/>
      <c r="D3239" s="1115"/>
      <c r="E3239" s="1115"/>
      <c r="F3239" s="1115"/>
      <c r="G3239" s="1115"/>
      <c r="H3239" s="1115"/>
      <c r="I3239" s="1115"/>
      <c r="J3239" s="1115"/>
      <c r="K3239" s="1115"/>
      <c r="L3239" s="1115"/>
      <c r="M3239" s="1115"/>
    </row>
    <row r="3240" spans="1:13" x14ac:dyDescent="0.2">
      <c r="A3240" s="1115"/>
      <c r="B3240" s="1115"/>
      <c r="C3240" s="1115"/>
      <c r="D3240" s="1115"/>
      <c r="E3240" s="1115"/>
      <c r="F3240" s="1115"/>
      <c r="G3240" s="1115"/>
      <c r="H3240" s="1115"/>
      <c r="I3240" s="1115"/>
      <c r="J3240" s="1115"/>
      <c r="K3240" s="1115"/>
      <c r="L3240" s="1115"/>
      <c r="M3240" s="1115"/>
    </row>
    <row r="3241" spans="1:13" x14ac:dyDescent="0.2">
      <c r="A3241" s="1115"/>
      <c r="B3241" s="1115"/>
      <c r="C3241" s="1115"/>
      <c r="D3241" s="1115"/>
      <c r="E3241" s="1115"/>
      <c r="F3241" s="1115"/>
      <c r="G3241" s="1115"/>
      <c r="H3241" s="1115"/>
      <c r="I3241" s="1115"/>
      <c r="J3241" s="1115"/>
      <c r="K3241" s="1115"/>
      <c r="L3241" s="1115"/>
      <c r="M3241" s="1115"/>
    </row>
    <row r="3242" spans="1:13" x14ac:dyDescent="0.2">
      <c r="A3242" s="1115"/>
      <c r="B3242" s="1115"/>
      <c r="C3242" s="1115"/>
      <c r="D3242" s="1115"/>
      <c r="E3242" s="1115"/>
      <c r="F3242" s="1115"/>
      <c r="G3242" s="1115"/>
      <c r="H3242" s="1115"/>
      <c r="I3242" s="1115"/>
      <c r="J3242" s="1115"/>
      <c r="K3242" s="1115"/>
      <c r="L3242" s="1115"/>
      <c r="M3242" s="1115"/>
    </row>
    <row r="3243" spans="1:13" x14ac:dyDescent="0.2">
      <c r="A3243" s="1115"/>
      <c r="B3243" s="1115"/>
      <c r="C3243" s="1115"/>
      <c r="D3243" s="1115"/>
      <c r="E3243" s="1115"/>
      <c r="F3243" s="1115"/>
      <c r="G3243" s="1115"/>
      <c r="H3243" s="1115"/>
      <c r="I3243" s="1115"/>
      <c r="J3243" s="1115"/>
      <c r="K3243" s="1115"/>
      <c r="L3243" s="1115"/>
      <c r="M3243" s="1115"/>
    </row>
    <row r="3244" spans="1:13" x14ac:dyDescent="0.2">
      <c r="A3244" s="1115"/>
      <c r="B3244" s="1115"/>
      <c r="C3244" s="1115"/>
      <c r="D3244" s="1115"/>
      <c r="E3244" s="1115"/>
      <c r="F3244" s="1115"/>
      <c r="G3244" s="1115"/>
      <c r="H3244" s="1115"/>
      <c r="I3244" s="1115"/>
      <c r="J3244" s="1115"/>
      <c r="K3244" s="1115"/>
      <c r="L3244" s="1115"/>
      <c r="M3244" s="1115"/>
    </row>
    <row r="3245" spans="1:13" x14ac:dyDescent="0.2">
      <c r="A3245" s="1115"/>
      <c r="B3245" s="1115"/>
      <c r="C3245" s="1115"/>
      <c r="D3245" s="1115"/>
      <c r="E3245" s="1115"/>
      <c r="F3245" s="1115"/>
      <c r="G3245" s="1115"/>
      <c r="H3245" s="1115"/>
      <c r="I3245" s="1115"/>
      <c r="J3245" s="1115"/>
      <c r="K3245" s="1115"/>
      <c r="L3245" s="1115"/>
      <c r="M3245" s="1115"/>
    </row>
    <row r="3246" spans="1:13" x14ac:dyDescent="0.2">
      <c r="A3246" s="1115"/>
      <c r="B3246" s="1115"/>
      <c r="C3246" s="1115"/>
      <c r="D3246" s="1115"/>
      <c r="E3246" s="1115"/>
      <c r="F3246" s="1115"/>
      <c r="G3246" s="1115"/>
      <c r="H3246" s="1115"/>
      <c r="I3246" s="1115"/>
      <c r="J3246" s="1115"/>
      <c r="K3246" s="1115"/>
      <c r="L3246" s="1115"/>
      <c r="M3246" s="1115"/>
    </row>
    <row r="3247" spans="1:13" x14ac:dyDescent="0.2">
      <c r="A3247" s="1115"/>
      <c r="B3247" s="1115"/>
      <c r="C3247" s="1115"/>
      <c r="D3247" s="1115"/>
      <c r="E3247" s="1115"/>
      <c r="F3247" s="1115"/>
      <c r="G3247" s="1115"/>
      <c r="H3247" s="1115"/>
      <c r="I3247" s="1115"/>
      <c r="J3247" s="1115"/>
      <c r="K3247" s="1115"/>
      <c r="L3247" s="1115"/>
      <c r="M3247" s="1115"/>
    </row>
    <row r="3248" spans="1:13" x14ac:dyDescent="0.2">
      <c r="A3248" s="1115"/>
      <c r="B3248" s="1115"/>
      <c r="C3248" s="1115"/>
      <c r="D3248" s="1115"/>
      <c r="E3248" s="1115"/>
      <c r="F3248" s="1115"/>
      <c r="G3248" s="1115"/>
      <c r="H3248" s="1115"/>
      <c r="I3248" s="1115"/>
      <c r="J3248" s="1115"/>
      <c r="K3248" s="1115"/>
      <c r="L3248" s="1115"/>
      <c r="M3248" s="1115"/>
    </row>
    <row r="3249" spans="1:13" x14ac:dyDescent="0.2">
      <c r="A3249" s="1115"/>
      <c r="B3249" s="1115"/>
      <c r="C3249" s="1115"/>
      <c r="D3249" s="1115"/>
      <c r="E3249" s="1115"/>
      <c r="F3249" s="1115"/>
      <c r="G3249" s="1115"/>
      <c r="H3249" s="1115"/>
      <c r="I3249" s="1115"/>
      <c r="J3249" s="1115"/>
      <c r="K3249" s="1115"/>
      <c r="L3249" s="1115"/>
      <c r="M3249" s="1115"/>
    </row>
    <row r="3250" spans="1:13" x14ac:dyDescent="0.2">
      <c r="A3250" s="1115"/>
      <c r="B3250" s="1115"/>
      <c r="C3250" s="1115"/>
      <c r="D3250" s="1115"/>
      <c r="E3250" s="1115"/>
      <c r="F3250" s="1115"/>
      <c r="G3250" s="1115"/>
      <c r="H3250" s="1115"/>
      <c r="I3250" s="1115"/>
      <c r="J3250" s="1115"/>
      <c r="K3250" s="1115"/>
      <c r="L3250" s="1115"/>
      <c r="M3250" s="1115"/>
    </row>
    <row r="3251" spans="1:13" x14ac:dyDescent="0.2">
      <c r="A3251" s="1115"/>
      <c r="B3251" s="1115"/>
      <c r="C3251" s="1115"/>
      <c r="D3251" s="1115"/>
      <c r="E3251" s="1115"/>
      <c r="F3251" s="1115"/>
      <c r="G3251" s="1115"/>
      <c r="H3251" s="1115"/>
      <c r="I3251" s="1115"/>
      <c r="J3251" s="1115"/>
      <c r="K3251" s="1115"/>
      <c r="L3251" s="1115"/>
      <c r="M3251" s="1115"/>
    </row>
    <row r="3252" spans="1:13" x14ac:dyDescent="0.2">
      <c r="A3252" s="1115"/>
      <c r="B3252" s="1115"/>
      <c r="C3252" s="1115"/>
      <c r="D3252" s="1115"/>
      <c r="E3252" s="1115"/>
      <c r="F3252" s="1115"/>
      <c r="G3252" s="1115"/>
      <c r="H3252" s="1115"/>
      <c r="I3252" s="1115"/>
      <c r="J3252" s="1115"/>
      <c r="K3252" s="1115"/>
      <c r="L3252" s="1115"/>
      <c r="M3252" s="1115"/>
    </row>
    <row r="3253" spans="1:13" x14ac:dyDescent="0.2">
      <c r="A3253" s="1115"/>
      <c r="B3253" s="1115"/>
      <c r="C3253" s="1115"/>
      <c r="D3253" s="1115"/>
      <c r="E3253" s="1115"/>
      <c r="F3253" s="1115"/>
      <c r="G3253" s="1115"/>
      <c r="H3253" s="1115"/>
      <c r="I3253" s="1115"/>
      <c r="J3253" s="1115"/>
      <c r="K3253" s="1115"/>
      <c r="L3253" s="1115"/>
      <c r="M3253" s="1115"/>
    </row>
    <row r="3254" spans="1:13" x14ac:dyDescent="0.2">
      <c r="A3254" s="1115"/>
      <c r="B3254" s="1115"/>
      <c r="C3254" s="1115"/>
      <c r="D3254" s="1115"/>
      <c r="E3254" s="1115"/>
      <c r="F3254" s="1115"/>
      <c r="G3254" s="1115"/>
      <c r="H3254" s="1115"/>
      <c r="I3254" s="1115"/>
      <c r="J3254" s="1115"/>
      <c r="K3254" s="1115"/>
      <c r="L3254" s="1115"/>
      <c r="M3254" s="1115"/>
    </row>
    <row r="3255" spans="1:13" x14ac:dyDescent="0.2">
      <c r="A3255" s="1115"/>
      <c r="B3255" s="1115"/>
      <c r="C3255" s="1115"/>
      <c r="D3255" s="1115"/>
      <c r="E3255" s="1115"/>
      <c r="F3255" s="1115"/>
      <c r="G3255" s="1115"/>
      <c r="H3255" s="1115"/>
      <c r="I3255" s="1115"/>
      <c r="J3255" s="1115"/>
      <c r="K3255" s="1115"/>
      <c r="L3255" s="1115"/>
      <c r="M3255" s="1115"/>
    </row>
    <row r="3256" spans="1:13" x14ac:dyDescent="0.2">
      <c r="A3256" s="1115"/>
      <c r="B3256" s="1115"/>
      <c r="C3256" s="1115"/>
      <c r="D3256" s="1115"/>
      <c r="E3256" s="1115"/>
      <c r="F3256" s="1115"/>
      <c r="G3256" s="1115"/>
      <c r="H3256" s="1115"/>
      <c r="I3256" s="1115"/>
      <c r="J3256" s="1115"/>
      <c r="K3256" s="1115"/>
      <c r="L3256" s="1115"/>
      <c r="M3256" s="1115"/>
    </row>
    <row r="3257" spans="1:13" x14ac:dyDescent="0.2">
      <c r="A3257" s="1115"/>
      <c r="B3257" s="1115"/>
      <c r="C3257" s="1115"/>
      <c r="D3257" s="1115"/>
      <c r="E3257" s="1115"/>
      <c r="F3257" s="1115"/>
      <c r="G3257" s="1115"/>
      <c r="H3257" s="1115"/>
      <c r="I3257" s="1115"/>
      <c r="J3257" s="1115"/>
      <c r="K3257" s="1115"/>
      <c r="L3257" s="1115"/>
      <c r="M3257" s="1115"/>
    </row>
    <row r="3258" spans="1:13" x14ac:dyDescent="0.2">
      <c r="A3258" s="1115"/>
      <c r="B3258" s="1115"/>
      <c r="C3258" s="1115"/>
      <c r="D3258" s="1115"/>
      <c r="E3258" s="1115"/>
      <c r="F3258" s="1115"/>
      <c r="G3258" s="1115"/>
      <c r="H3258" s="1115"/>
      <c r="I3258" s="1115"/>
      <c r="J3258" s="1115"/>
      <c r="K3258" s="1115"/>
      <c r="L3258" s="1115"/>
      <c r="M3258" s="1115"/>
    </row>
    <row r="3259" spans="1:13" x14ac:dyDescent="0.2">
      <c r="A3259" s="1115"/>
      <c r="B3259" s="1115"/>
      <c r="C3259" s="1115"/>
      <c r="D3259" s="1115"/>
      <c r="E3259" s="1115"/>
      <c r="F3259" s="1115"/>
      <c r="G3259" s="1115"/>
      <c r="H3259" s="1115"/>
      <c r="I3259" s="1115"/>
      <c r="J3259" s="1115"/>
      <c r="K3259" s="1115"/>
      <c r="L3259" s="1115"/>
      <c r="M3259" s="1115"/>
    </row>
    <row r="3260" spans="1:13" x14ac:dyDescent="0.2">
      <c r="A3260" s="1115"/>
      <c r="B3260" s="1115"/>
      <c r="C3260" s="1115"/>
      <c r="D3260" s="1115"/>
      <c r="E3260" s="1115"/>
      <c r="F3260" s="1115"/>
      <c r="G3260" s="1115"/>
      <c r="H3260" s="1115"/>
      <c r="I3260" s="1115"/>
      <c r="J3260" s="1115"/>
      <c r="K3260" s="1115"/>
      <c r="L3260" s="1115"/>
      <c r="M3260" s="1115"/>
    </row>
    <row r="3261" spans="1:13" x14ac:dyDescent="0.2">
      <c r="A3261" s="1115"/>
      <c r="B3261" s="1115"/>
      <c r="C3261" s="1115"/>
      <c r="D3261" s="1115"/>
      <c r="E3261" s="1115"/>
      <c r="F3261" s="1115"/>
      <c r="G3261" s="1115"/>
      <c r="H3261" s="1115"/>
      <c r="I3261" s="1115"/>
      <c r="J3261" s="1115"/>
      <c r="K3261" s="1115"/>
      <c r="L3261" s="1115"/>
      <c r="M3261" s="1115"/>
    </row>
    <row r="3262" spans="1:13" x14ac:dyDescent="0.2">
      <c r="A3262" s="1115"/>
      <c r="B3262" s="1115"/>
      <c r="C3262" s="1115"/>
      <c r="D3262" s="1115"/>
      <c r="E3262" s="1115"/>
      <c r="F3262" s="1115"/>
      <c r="G3262" s="1115"/>
      <c r="H3262" s="1115"/>
      <c r="I3262" s="1115"/>
      <c r="J3262" s="1115"/>
      <c r="K3262" s="1115"/>
      <c r="L3262" s="1115"/>
      <c r="M3262" s="1115"/>
    </row>
    <row r="3263" spans="1:13" x14ac:dyDescent="0.2">
      <c r="A3263" s="1115"/>
      <c r="B3263" s="1115"/>
      <c r="C3263" s="1115"/>
      <c r="D3263" s="1115"/>
      <c r="E3263" s="1115"/>
      <c r="F3263" s="1115"/>
      <c r="G3263" s="1115"/>
      <c r="H3263" s="1115"/>
      <c r="I3263" s="1115"/>
      <c r="J3263" s="1115"/>
      <c r="K3263" s="1115"/>
      <c r="L3263" s="1115"/>
      <c r="M3263" s="1115"/>
    </row>
    <row r="3264" spans="1:13" x14ac:dyDescent="0.2">
      <c r="A3264" s="1115"/>
      <c r="B3264" s="1115"/>
      <c r="C3264" s="1115"/>
      <c r="D3264" s="1115"/>
      <c r="E3264" s="1115"/>
      <c r="F3264" s="1115"/>
      <c r="G3264" s="1115"/>
      <c r="H3264" s="1115"/>
      <c r="I3264" s="1115"/>
      <c r="J3264" s="1115"/>
      <c r="K3264" s="1115"/>
      <c r="L3264" s="1115"/>
      <c r="M3264" s="1115"/>
    </row>
    <row r="3265" spans="1:13" x14ac:dyDescent="0.2">
      <c r="A3265" s="1115"/>
      <c r="B3265" s="1115"/>
      <c r="C3265" s="1115"/>
      <c r="D3265" s="1115"/>
      <c r="E3265" s="1115"/>
      <c r="F3265" s="1115"/>
      <c r="G3265" s="1115"/>
      <c r="H3265" s="1115"/>
      <c r="I3265" s="1115"/>
      <c r="J3265" s="1115"/>
      <c r="K3265" s="1115"/>
      <c r="L3265" s="1115"/>
      <c r="M3265" s="1115"/>
    </row>
    <row r="3266" spans="1:13" x14ac:dyDescent="0.2">
      <c r="A3266" s="1115"/>
      <c r="B3266" s="1115"/>
      <c r="C3266" s="1115"/>
      <c r="D3266" s="1115"/>
      <c r="E3266" s="1115"/>
      <c r="F3266" s="1115"/>
      <c r="G3266" s="1115"/>
      <c r="H3266" s="1115"/>
      <c r="I3266" s="1115"/>
      <c r="J3266" s="1115"/>
      <c r="K3266" s="1115"/>
      <c r="L3266" s="1115"/>
      <c r="M3266" s="1115"/>
    </row>
    <row r="3267" spans="1:13" x14ac:dyDescent="0.2">
      <c r="A3267" s="1115"/>
      <c r="B3267" s="1115"/>
      <c r="C3267" s="1115"/>
      <c r="D3267" s="1115"/>
      <c r="E3267" s="1115"/>
      <c r="F3267" s="1115"/>
      <c r="G3267" s="1115"/>
      <c r="H3267" s="1115"/>
      <c r="I3267" s="1115"/>
      <c r="J3267" s="1115"/>
      <c r="K3267" s="1115"/>
      <c r="L3267" s="1115"/>
      <c r="M3267" s="1115"/>
    </row>
    <row r="3268" spans="1:13" x14ac:dyDescent="0.2">
      <c r="A3268" s="1115"/>
      <c r="B3268" s="1115"/>
      <c r="C3268" s="1115"/>
      <c r="D3268" s="1115"/>
      <c r="E3268" s="1115"/>
      <c r="F3268" s="1115"/>
      <c r="G3268" s="1115"/>
      <c r="H3268" s="1115"/>
      <c r="I3268" s="1115"/>
      <c r="J3268" s="1115"/>
      <c r="K3268" s="1115"/>
      <c r="L3268" s="1115"/>
      <c r="M3268" s="1115"/>
    </row>
    <row r="3269" spans="1:13" x14ac:dyDescent="0.2">
      <c r="A3269" s="1115"/>
      <c r="B3269" s="1115"/>
      <c r="C3269" s="1115"/>
      <c r="D3269" s="1115"/>
      <c r="E3269" s="1115"/>
      <c r="F3269" s="1115"/>
      <c r="G3269" s="1115"/>
      <c r="H3269" s="1115"/>
      <c r="I3269" s="1115"/>
      <c r="J3269" s="1115"/>
      <c r="K3269" s="1115"/>
      <c r="L3269" s="1115"/>
      <c r="M3269" s="1115"/>
    </row>
    <row r="3270" spans="1:13" x14ac:dyDescent="0.2">
      <c r="A3270" s="1115"/>
      <c r="B3270" s="1115"/>
      <c r="C3270" s="1115"/>
      <c r="D3270" s="1115"/>
      <c r="E3270" s="1115"/>
      <c r="F3270" s="1115"/>
      <c r="G3270" s="1115"/>
      <c r="H3270" s="1115"/>
      <c r="I3270" s="1115"/>
      <c r="J3270" s="1115"/>
      <c r="K3270" s="1115"/>
      <c r="L3270" s="1115"/>
      <c r="M3270" s="1115"/>
    </row>
    <row r="3271" spans="1:13" x14ac:dyDescent="0.2">
      <c r="A3271" s="1115"/>
      <c r="B3271" s="1115"/>
      <c r="C3271" s="1115"/>
      <c r="D3271" s="1115"/>
      <c r="E3271" s="1115"/>
      <c r="F3271" s="1115"/>
      <c r="G3271" s="1115"/>
      <c r="H3271" s="1115"/>
      <c r="I3271" s="1115"/>
      <c r="J3271" s="1115"/>
      <c r="K3271" s="1115"/>
      <c r="L3271" s="1115"/>
      <c r="M3271" s="1115"/>
    </row>
    <row r="3272" spans="1:13" x14ac:dyDescent="0.2">
      <c r="A3272" s="1115"/>
      <c r="B3272" s="1115"/>
      <c r="C3272" s="1115"/>
      <c r="D3272" s="1115"/>
      <c r="E3272" s="1115"/>
      <c r="F3272" s="1115"/>
      <c r="G3272" s="1115"/>
      <c r="H3272" s="1115"/>
      <c r="I3272" s="1115"/>
      <c r="J3272" s="1115"/>
      <c r="K3272" s="1115"/>
      <c r="L3272" s="1115"/>
      <c r="M3272" s="1115"/>
    </row>
    <row r="3273" spans="1:13" x14ac:dyDescent="0.2">
      <c r="A3273" s="1115"/>
      <c r="B3273" s="1115"/>
      <c r="C3273" s="1115"/>
      <c r="D3273" s="1115"/>
      <c r="E3273" s="1115"/>
      <c r="F3273" s="1115"/>
      <c r="G3273" s="1115"/>
      <c r="H3273" s="1115"/>
      <c r="I3273" s="1115"/>
      <c r="J3273" s="1115"/>
      <c r="K3273" s="1115"/>
      <c r="L3273" s="1115"/>
      <c r="M3273" s="1115"/>
    </row>
    <row r="3274" spans="1:13" x14ac:dyDescent="0.2">
      <c r="A3274" s="1115"/>
      <c r="B3274" s="1115"/>
      <c r="C3274" s="1115"/>
      <c r="D3274" s="1115"/>
      <c r="E3274" s="1115"/>
      <c r="F3274" s="1115"/>
      <c r="G3274" s="1115"/>
      <c r="H3274" s="1115"/>
      <c r="I3274" s="1115"/>
      <c r="J3274" s="1115"/>
      <c r="K3274" s="1115"/>
      <c r="L3274" s="1115"/>
      <c r="M3274" s="1115"/>
    </row>
    <row r="3275" spans="1:13" x14ac:dyDescent="0.2">
      <c r="A3275" s="1115"/>
      <c r="B3275" s="1115"/>
      <c r="C3275" s="1115"/>
      <c r="D3275" s="1115"/>
      <c r="E3275" s="1115"/>
      <c r="F3275" s="1115"/>
      <c r="G3275" s="1115"/>
      <c r="H3275" s="1115"/>
      <c r="I3275" s="1115"/>
      <c r="J3275" s="1115"/>
      <c r="K3275" s="1115"/>
      <c r="L3275" s="1115"/>
      <c r="M3275" s="1115"/>
    </row>
    <row r="3276" spans="1:13" x14ac:dyDescent="0.2">
      <c r="A3276" s="1115"/>
      <c r="B3276" s="1115"/>
      <c r="C3276" s="1115"/>
      <c r="D3276" s="1115"/>
      <c r="E3276" s="1115"/>
      <c r="F3276" s="1115"/>
      <c r="G3276" s="1115"/>
      <c r="H3276" s="1115"/>
      <c r="I3276" s="1115"/>
      <c r="J3276" s="1115"/>
      <c r="K3276" s="1115"/>
      <c r="L3276" s="1115"/>
      <c r="M3276" s="1115"/>
    </row>
    <row r="3277" spans="1:13" x14ac:dyDescent="0.2">
      <c r="A3277" s="1115"/>
      <c r="B3277" s="1115"/>
      <c r="C3277" s="1115"/>
      <c r="D3277" s="1115"/>
      <c r="E3277" s="1115"/>
      <c r="F3277" s="1115"/>
      <c r="G3277" s="1115"/>
      <c r="H3277" s="1115"/>
      <c r="I3277" s="1115"/>
      <c r="J3277" s="1115"/>
      <c r="K3277" s="1115"/>
      <c r="L3277" s="1115"/>
      <c r="M3277" s="1115"/>
    </row>
    <row r="3278" spans="1:13" x14ac:dyDescent="0.2">
      <c r="A3278" s="1115"/>
      <c r="B3278" s="1115"/>
      <c r="C3278" s="1115"/>
      <c r="D3278" s="1115"/>
      <c r="E3278" s="1115"/>
      <c r="F3278" s="1115"/>
      <c r="G3278" s="1115"/>
      <c r="H3278" s="1115"/>
      <c r="I3278" s="1115"/>
      <c r="J3278" s="1115"/>
      <c r="K3278" s="1115"/>
      <c r="L3278" s="1115"/>
      <c r="M3278" s="1115"/>
    </row>
    <row r="3279" spans="1:13" x14ac:dyDescent="0.2">
      <c r="A3279" s="1115"/>
      <c r="B3279" s="1115"/>
      <c r="C3279" s="1115"/>
      <c r="D3279" s="1115"/>
      <c r="E3279" s="1115"/>
      <c r="F3279" s="1115"/>
      <c r="G3279" s="1115"/>
      <c r="H3279" s="1115"/>
      <c r="I3279" s="1115"/>
      <c r="J3279" s="1115"/>
      <c r="K3279" s="1115"/>
      <c r="L3279" s="1115"/>
      <c r="M3279" s="1115"/>
    </row>
    <row r="3280" spans="1:13" x14ac:dyDescent="0.2">
      <c r="A3280" s="1115"/>
      <c r="B3280" s="1115"/>
      <c r="C3280" s="1115"/>
      <c r="D3280" s="1115"/>
      <c r="E3280" s="1115"/>
      <c r="F3280" s="1115"/>
      <c r="G3280" s="1115"/>
      <c r="H3280" s="1115"/>
      <c r="I3280" s="1115"/>
      <c r="J3280" s="1115"/>
      <c r="K3280" s="1115"/>
      <c r="L3280" s="1115"/>
      <c r="M3280" s="1115"/>
    </row>
    <row r="3281" spans="1:13" x14ac:dyDescent="0.2">
      <c r="A3281" s="1115"/>
      <c r="B3281" s="1115"/>
      <c r="C3281" s="1115"/>
      <c r="D3281" s="1115"/>
      <c r="E3281" s="1115"/>
      <c r="F3281" s="1115"/>
      <c r="G3281" s="1115"/>
      <c r="H3281" s="1115"/>
      <c r="I3281" s="1115"/>
      <c r="J3281" s="1115"/>
      <c r="K3281" s="1115"/>
      <c r="L3281" s="1115"/>
      <c r="M3281" s="1115"/>
    </row>
    <row r="3282" spans="1:13" x14ac:dyDescent="0.2">
      <c r="A3282" s="1115"/>
      <c r="B3282" s="1115"/>
      <c r="C3282" s="1115"/>
      <c r="D3282" s="1115"/>
      <c r="E3282" s="1115"/>
      <c r="F3282" s="1115"/>
      <c r="G3282" s="1115"/>
      <c r="H3282" s="1115"/>
      <c r="I3282" s="1115"/>
      <c r="J3282" s="1115"/>
      <c r="K3282" s="1115"/>
      <c r="L3282" s="1115"/>
      <c r="M3282" s="1115"/>
    </row>
    <row r="3283" spans="1:13" x14ac:dyDescent="0.2">
      <c r="A3283" s="1115"/>
      <c r="B3283" s="1115"/>
      <c r="C3283" s="1115"/>
      <c r="D3283" s="1115"/>
      <c r="E3283" s="1115"/>
      <c r="F3283" s="1115"/>
      <c r="G3283" s="1115"/>
      <c r="H3283" s="1115"/>
      <c r="I3283" s="1115"/>
      <c r="J3283" s="1115"/>
      <c r="K3283" s="1115"/>
      <c r="L3283" s="1115"/>
      <c r="M3283" s="1115"/>
    </row>
    <row r="3284" spans="1:13" x14ac:dyDescent="0.2">
      <c r="A3284" s="1115"/>
      <c r="B3284" s="1115"/>
      <c r="C3284" s="1115"/>
      <c r="D3284" s="1115"/>
      <c r="E3284" s="1115"/>
      <c r="F3284" s="1115"/>
      <c r="G3284" s="1115"/>
      <c r="H3284" s="1115"/>
      <c r="I3284" s="1115"/>
      <c r="J3284" s="1115"/>
      <c r="K3284" s="1115"/>
      <c r="L3284" s="1115"/>
      <c r="M3284" s="1115"/>
    </row>
    <row r="3285" spans="1:13" x14ac:dyDescent="0.2">
      <c r="A3285" s="1115"/>
      <c r="B3285" s="1115"/>
      <c r="C3285" s="1115"/>
      <c r="D3285" s="1115"/>
      <c r="E3285" s="1115"/>
      <c r="F3285" s="1115"/>
      <c r="G3285" s="1115"/>
      <c r="H3285" s="1115"/>
      <c r="I3285" s="1115"/>
      <c r="J3285" s="1115"/>
      <c r="K3285" s="1115"/>
      <c r="L3285" s="1115"/>
      <c r="M3285" s="1115"/>
    </row>
    <row r="3286" spans="1:13" x14ac:dyDescent="0.2">
      <c r="A3286" s="1115"/>
      <c r="B3286" s="1115"/>
      <c r="C3286" s="1115"/>
      <c r="D3286" s="1115"/>
      <c r="E3286" s="1115"/>
      <c r="F3286" s="1115"/>
      <c r="G3286" s="1115"/>
      <c r="H3286" s="1115"/>
      <c r="I3286" s="1115"/>
      <c r="J3286" s="1115"/>
      <c r="K3286" s="1115"/>
      <c r="L3286" s="1115"/>
      <c r="M3286" s="1115"/>
    </row>
    <row r="3287" spans="1:13" x14ac:dyDescent="0.2">
      <c r="A3287" s="1115"/>
      <c r="B3287" s="1115"/>
      <c r="C3287" s="1115"/>
      <c r="D3287" s="1115"/>
      <c r="E3287" s="1115"/>
      <c r="F3287" s="1115"/>
      <c r="G3287" s="1115"/>
      <c r="H3287" s="1115"/>
      <c r="I3287" s="1115"/>
      <c r="J3287" s="1115"/>
      <c r="K3287" s="1115"/>
      <c r="L3287" s="1115"/>
      <c r="M3287" s="1115"/>
    </row>
    <row r="3288" spans="1:13" x14ac:dyDescent="0.2">
      <c r="A3288" s="1115"/>
      <c r="B3288" s="1115"/>
      <c r="C3288" s="1115"/>
      <c r="D3288" s="1115"/>
      <c r="E3288" s="1115"/>
      <c r="F3288" s="1115"/>
      <c r="G3288" s="1115"/>
      <c r="H3288" s="1115"/>
      <c r="I3288" s="1115"/>
      <c r="J3288" s="1115"/>
      <c r="K3288" s="1115"/>
      <c r="L3288" s="1115"/>
      <c r="M3288" s="1115"/>
    </row>
    <row r="3289" spans="1:13" x14ac:dyDescent="0.2">
      <c r="A3289" s="1115"/>
      <c r="B3289" s="1115"/>
      <c r="C3289" s="1115"/>
      <c r="D3289" s="1115"/>
      <c r="E3289" s="1115"/>
      <c r="F3289" s="1115"/>
      <c r="G3289" s="1115"/>
      <c r="H3289" s="1115"/>
      <c r="I3289" s="1115"/>
      <c r="J3289" s="1115"/>
      <c r="K3289" s="1115"/>
      <c r="L3289" s="1115"/>
      <c r="M3289" s="1115"/>
    </row>
    <row r="3290" spans="1:13" x14ac:dyDescent="0.2">
      <c r="A3290" s="1115"/>
      <c r="B3290" s="1115"/>
      <c r="C3290" s="1115"/>
      <c r="D3290" s="1115"/>
      <c r="E3290" s="1115"/>
      <c r="F3290" s="1115"/>
      <c r="G3290" s="1115"/>
      <c r="H3290" s="1115"/>
      <c r="I3290" s="1115"/>
      <c r="J3290" s="1115"/>
      <c r="K3290" s="1115"/>
      <c r="L3290" s="1115"/>
      <c r="M3290" s="1115"/>
    </row>
    <row r="3291" spans="1:13" x14ac:dyDescent="0.2">
      <c r="A3291" s="1115"/>
      <c r="B3291" s="1115"/>
      <c r="C3291" s="1115"/>
      <c r="D3291" s="1115"/>
      <c r="E3291" s="1115"/>
      <c r="F3291" s="1115"/>
      <c r="G3291" s="1115"/>
      <c r="H3291" s="1115"/>
      <c r="I3291" s="1115"/>
      <c r="J3291" s="1115"/>
      <c r="K3291" s="1115"/>
      <c r="L3291" s="1115"/>
      <c r="M3291" s="1115"/>
    </row>
    <row r="3292" spans="1:13" x14ac:dyDescent="0.2">
      <c r="A3292" s="1115"/>
      <c r="B3292" s="1115"/>
      <c r="C3292" s="1115"/>
      <c r="D3292" s="1115"/>
      <c r="E3292" s="1115"/>
      <c r="F3292" s="1115"/>
      <c r="G3292" s="1115"/>
      <c r="H3292" s="1115"/>
      <c r="I3292" s="1115"/>
      <c r="J3292" s="1115"/>
      <c r="K3292" s="1115"/>
      <c r="L3292" s="1115"/>
      <c r="M3292" s="1115"/>
    </row>
    <row r="3293" spans="1:13" x14ac:dyDescent="0.2">
      <c r="A3293" s="1115"/>
      <c r="B3293" s="1115"/>
      <c r="C3293" s="1115"/>
      <c r="D3293" s="1115"/>
      <c r="E3293" s="1115"/>
      <c r="F3293" s="1115"/>
      <c r="G3293" s="1115"/>
      <c r="H3293" s="1115"/>
      <c r="I3293" s="1115"/>
      <c r="J3293" s="1115"/>
      <c r="K3293" s="1115"/>
      <c r="L3293" s="1115"/>
      <c r="M3293" s="1115"/>
    </row>
    <row r="3294" spans="1:13" x14ac:dyDescent="0.2">
      <c r="A3294" s="1115"/>
      <c r="B3294" s="1115"/>
      <c r="C3294" s="1115"/>
      <c r="D3294" s="1115"/>
      <c r="E3294" s="1115"/>
      <c r="F3294" s="1115"/>
      <c r="G3294" s="1115"/>
      <c r="H3294" s="1115"/>
      <c r="I3294" s="1115"/>
      <c r="J3294" s="1115"/>
      <c r="K3294" s="1115"/>
      <c r="L3294" s="1115"/>
      <c r="M3294" s="1115"/>
    </row>
    <row r="3295" spans="1:13" x14ac:dyDescent="0.2">
      <c r="A3295" s="1115"/>
      <c r="B3295" s="1115"/>
      <c r="C3295" s="1115"/>
      <c r="D3295" s="1115"/>
      <c r="E3295" s="1115"/>
      <c r="F3295" s="1115"/>
      <c r="G3295" s="1115"/>
      <c r="H3295" s="1115"/>
      <c r="I3295" s="1115"/>
      <c r="J3295" s="1115"/>
      <c r="K3295" s="1115"/>
      <c r="L3295" s="1115"/>
      <c r="M3295" s="1115"/>
    </row>
    <row r="3296" spans="1:13" x14ac:dyDescent="0.2">
      <c r="A3296" s="1115"/>
      <c r="B3296" s="1115"/>
      <c r="C3296" s="1115"/>
      <c r="D3296" s="1115"/>
      <c r="E3296" s="1115"/>
      <c r="F3296" s="1115"/>
      <c r="G3296" s="1115"/>
      <c r="H3296" s="1115"/>
      <c r="I3296" s="1115"/>
      <c r="J3296" s="1115"/>
      <c r="K3296" s="1115"/>
      <c r="L3296" s="1115"/>
      <c r="M3296" s="1115"/>
    </row>
    <row r="3297" spans="1:13" x14ac:dyDescent="0.2">
      <c r="A3297" s="1115"/>
      <c r="B3297" s="1115"/>
      <c r="C3297" s="1115"/>
      <c r="D3297" s="1115"/>
      <c r="E3297" s="1115"/>
      <c r="F3297" s="1115"/>
      <c r="G3297" s="1115"/>
      <c r="H3297" s="1115"/>
      <c r="I3297" s="1115"/>
      <c r="J3297" s="1115"/>
      <c r="K3297" s="1115"/>
      <c r="L3297" s="1115"/>
      <c r="M3297" s="1115"/>
    </row>
    <row r="3298" spans="1:13" x14ac:dyDescent="0.2">
      <c r="A3298" s="1115"/>
      <c r="B3298" s="1115"/>
      <c r="C3298" s="1115"/>
      <c r="D3298" s="1115"/>
      <c r="E3298" s="1115"/>
      <c r="F3298" s="1115"/>
      <c r="G3298" s="1115"/>
      <c r="H3298" s="1115"/>
      <c r="I3298" s="1115"/>
      <c r="J3298" s="1115"/>
      <c r="K3298" s="1115"/>
      <c r="L3298" s="1115"/>
      <c r="M3298" s="1115"/>
    </row>
    <row r="3299" spans="1:13" x14ac:dyDescent="0.2">
      <c r="A3299" s="1115"/>
      <c r="B3299" s="1115"/>
      <c r="C3299" s="1115"/>
      <c r="D3299" s="1115"/>
      <c r="E3299" s="1115"/>
      <c r="F3299" s="1115"/>
      <c r="G3299" s="1115"/>
      <c r="H3299" s="1115"/>
      <c r="I3299" s="1115"/>
      <c r="J3299" s="1115"/>
      <c r="K3299" s="1115"/>
      <c r="L3299" s="1115"/>
      <c r="M3299" s="1115"/>
    </row>
    <row r="3300" spans="1:13" x14ac:dyDescent="0.2">
      <c r="A3300" s="1115"/>
      <c r="B3300" s="1115"/>
      <c r="C3300" s="1115"/>
      <c r="D3300" s="1115"/>
      <c r="E3300" s="1115"/>
      <c r="F3300" s="1115"/>
      <c r="G3300" s="1115"/>
      <c r="H3300" s="1115"/>
      <c r="I3300" s="1115"/>
      <c r="J3300" s="1115"/>
      <c r="K3300" s="1115"/>
      <c r="L3300" s="1115"/>
      <c r="M3300" s="1115"/>
    </row>
    <row r="3301" spans="1:13" x14ac:dyDescent="0.2">
      <c r="A3301" s="1115"/>
      <c r="B3301" s="1115"/>
      <c r="C3301" s="1115"/>
      <c r="D3301" s="1115"/>
      <c r="E3301" s="1115"/>
      <c r="F3301" s="1115"/>
      <c r="G3301" s="1115"/>
      <c r="H3301" s="1115"/>
      <c r="I3301" s="1115"/>
      <c r="J3301" s="1115"/>
      <c r="K3301" s="1115"/>
      <c r="L3301" s="1115"/>
      <c r="M3301" s="1115"/>
    </row>
    <row r="3302" spans="1:13" x14ac:dyDescent="0.2">
      <c r="A3302" s="1115"/>
      <c r="B3302" s="1115"/>
      <c r="C3302" s="1115"/>
      <c r="D3302" s="1115"/>
      <c r="E3302" s="1115"/>
      <c r="F3302" s="1115"/>
      <c r="G3302" s="1115"/>
      <c r="H3302" s="1115"/>
      <c r="I3302" s="1115"/>
      <c r="J3302" s="1115"/>
      <c r="K3302" s="1115"/>
      <c r="L3302" s="1115"/>
      <c r="M3302" s="1115"/>
    </row>
    <row r="3303" spans="1:13" x14ac:dyDescent="0.2">
      <c r="A3303" s="1115"/>
      <c r="B3303" s="1115"/>
      <c r="C3303" s="1115"/>
      <c r="D3303" s="1115"/>
      <c r="E3303" s="1115"/>
      <c r="F3303" s="1115"/>
      <c r="G3303" s="1115"/>
      <c r="H3303" s="1115"/>
      <c r="I3303" s="1115"/>
      <c r="J3303" s="1115"/>
      <c r="K3303" s="1115"/>
      <c r="L3303" s="1115"/>
      <c r="M3303" s="1115"/>
    </row>
    <row r="3304" spans="1:13" x14ac:dyDescent="0.2">
      <c r="A3304" s="1115"/>
      <c r="B3304" s="1115"/>
      <c r="C3304" s="1115"/>
      <c r="D3304" s="1115"/>
      <c r="E3304" s="1115"/>
      <c r="F3304" s="1115"/>
      <c r="G3304" s="1115"/>
      <c r="H3304" s="1115"/>
      <c r="I3304" s="1115"/>
      <c r="J3304" s="1115"/>
      <c r="K3304" s="1115"/>
      <c r="L3304" s="1115"/>
      <c r="M3304" s="1115"/>
    </row>
    <row r="3305" spans="1:13" x14ac:dyDescent="0.2">
      <c r="A3305" s="1115"/>
      <c r="B3305" s="1115"/>
      <c r="C3305" s="1115"/>
      <c r="D3305" s="1115"/>
      <c r="E3305" s="1115"/>
      <c r="F3305" s="1115"/>
      <c r="G3305" s="1115"/>
      <c r="H3305" s="1115"/>
      <c r="I3305" s="1115"/>
      <c r="J3305" s="1115"/>
      <c r="K3305" s="1115"/>
      <c r="L3305" s="1115"/>
      <c r="M3305" s="1115"/>
    </row>
    <row r="3306" spans="1:13" x14ac:dyDescent="0.2">
      <c r="A3306" s="1115"/>
      <c r="B3306" s="1115"/>
      <c r="C3306" s="1115"/>
      <c r="D3306" s="1115"/>
      <c r="E3306" s="1115"/>
      <c r="F3306" s="1115"/>
      <c r="G3306" s="1115"/>
      <c r="H3306" s="1115"/>
      <c r="I3306" s="1115"/>
      <c r="J3306" s="1115"/>
      <c r="K3306" s="1115"/>
      <c r="L3306" s="1115"/>
      <c r="M3306" s="1115"/>
    </row>
    <row r="3307" spans="1:13" x14ac:dyDescent="0.2">
      <c r="A3307" s="1115"/>
      <c r="B3307" s="1115"/>
      <c r="C3307" s="1115"/>
      <c r="D3307" s="1115"/>
      <c r="E3307" s="1115"/>
      <c r="F3307" s="1115"/>
      <c r="G3307" s="1115"/>
      <c r="H3307" s="1115"/>
      <c r="I3307" s="1115"/>
      <c r="J3307" s="1115"/>
      <c r="K3307" s="1115"/>
      <c r="L3307" s="1115"/>
      <c r="M3307" s="1115"/>
    </row>
    <row r="3308" spans="1:13" x14ac:dyDescent="0.2">
      <c r="A3308" s="1115"/>
      <c r="B3308" s="1115"/>
      <c r="C3308" s="1115"/>
      <c r="D3308" s="1115"/>
      <c r="E3308" s="1115"/>
      <c r="F3308" s="1115"/>
      <c r="G3308" s="1115"/>
      <c r="H3308" s="1115"/>
      <c r="I3308" s="1115"/>
      <c r="J3308" s="1115"/>
      <c r="K3308" s="1115"/>
      <c r="L3308" s="1115"/>
      <c r="M3308" s="1115"/>
    </row>
    <row r="3309" spans="1:13" x14ac:dyDescent="0.2">
      <c r="A3309" s="1115"/>
      <c r="B3309" s="1115"/>
      <c r="C3309" s="1115"/>
      <c r="D3309" s="1115"/>
      <c r="E3309" s="1115"/>
      <c r="F3309" s="1115"/>
      <c r="G3309" s="1115"/>
      <c r="H3309" s="1115"/>
      <c r="I3309" s="1115"/>
      <c r="J3309" s="1115"/>
      <c r="K3309" s="1115"/>
      <c r="L3309" s="1115"/>
      <c r="M3309" s="1115"/>
    </row>
    <row r="3310" spans="1:13" x14ac:dyDescent="0.2">
      <c r="A3310" s="1115"/>
      <c r="B3310" s="1115"/>
      <c r="C3310" s="1115"/>
      <c r="D3310" s="1115"/>
      <c r="E3310" s="1115"/>
      <c r="F3310" s="1115"/>
      <c r="G3310" s="1115"/>
      <c r="H3310" s="1115"/>
      <c r="I3310" s="1115"/>
      <c r="J3310" s="1115"/>
      <c r="K3310" s="1115"/>
      <c r="L3310" s="1115"/>
      <c r="M3310" s="1115"/>
    </row>
    <row r="3311" spans="1:13" x14ac:dyDescent="0.2">
      <c r="A3311" s="1115"/>
      <c r="B3311" s="1115"/>
      <c r="C3311" s="1115"/>
      <c r="D3311" s="1115"/>
      <c r="E3311" s="1115"/>
      <c r="F3311" s="1115"/>
      <c r="G3311" s="1115"/>
      <c r="H3311" s="1115"/>
      <c r="I3311" s="1115"/>
      <c r="J3311" s="1115"/>
      <c r="K3311" s="1115"/>
      <c r="L3311" s="1115"/>
      <c r="M3311" s="1115"/>
    </row>
    <row r="3312" spans="1:13" x14ac:dyDescent="0.2">
      <c r="A3312" s="1115"/>
      <c r="B3312" s="1115"/>
      <c r="C3312" s="1115"/>
      <c r="D3312" s="1115"/>
      <c r="E3312" s="1115"/>
      <c r="F3312" s="1115"/>
      <c r="G3312" s="1115"/>
      <c r="H3312" s="1115"/>
      <c r="I3312" s="1115"/>
      <c r="J3312" s="1115"/>
      <c r="K3312" s="1115"/>
      <c r="L3312" s="1115"/>
      <c r="M3312" s="1115"/>
    </row>
    <row r="3313" spans="1:13" x14ac:dyDescent="0.2">
      <c r="A3313" s="1115"/>
      <c r="B3313" s="1115"/>
      <c r="C3313" s="1115"/>
      <c r="D3313" s="1115"/>
      <c r="E3313" s="1115"/>
      <c r="F3313" s="1115"/>
      <c r="G3313" s="1115"/>
      <c r="H3313" s="1115"/>
      <c r="I3313" s="1115"/>
      <c r="J3313" s="1115"/>
      <c r="K3313" s="1115"/>
      <c r="L3313" s="1115"/>
      <c r="M3313" s="1115"/>
    </row>
    <row r="3314" spans="1:13" x14ac:dyDescent="0.2">
      <c r="A3314" s="1115"/>
      <c r="B3314" s="1115"/>
      <c r="C3314" s="1115"/>
      <c r="D3314" s="1115"/>
      <c r="E3314" s="1115"/>
      <c r="F3314" s="1115"/>
      <c r="G3314" s="1115"/>
      <c r="H3314" s="1115"/>
      <c r="I3314" s="1115"/>
      <c r="J3314" s="1115"/>
      <c r="K3314" s="1115"/>
      <c r="L3314" s="1115"/>
      <c r="M3314" s="1115"/>
    </row>
    <row r="3315" spans="1:13" x14ac:dyDescent="0.2">
      <c r="A3315" s="1115"/>
      <c r="B3315" s="1115"/>
      <c r="C3315" s="1115"/>
      <c r="D3315" s="1115"/>
      <c r="E3315" s="1115"/>
      <c r="F3315" s="1115"/>
      <c r="G3315" s="1115"/>
      <c r="H3315" s="1115"/>
      <c r="I3315" s="1115"/>
      <c r="J3315" s="1115"/>
      <c r="K3315" s="1115"/>
      <c r="L3315" s="1115"/>
      <c r="M3315" s="1115"/>
    </row>
    <row r="3316" spans="1:13" x14ac:dyDescent="0.2">
      <c r="A3316" s="1115"/>
      <c r="B3316" s="1115"/>
      <c r="C3316" s="1115"/>
      <c r="D3316" s="1115"/>
      <c r="E3316" s="1115"/>
      <c r="F3316" s="1115"/>
      <c r="G3316" s="1115"/>
      <c r="H3316" s="1115"/>
      <c r="I3316" s="1115"/>
      <c r="J3316" s="1115"/>
      <c r="K3316" s="1115"/>
      <c r="L3316" s="1115"/>
      <c r="M3316" s="1115"/>
    </row>
    <row r="3317" spans="1:13" x14ac:dyDescent="0.2">
      <c r="A3317" s="1115"/>
      <c r="B3317" s="1115"/>
      <c r="C3317" s="1115"/>
      <c r="D3317" s="1115"/>
      <c r="E3317" s="1115"/>
      <c r="F3317" s="1115"/>
      <c r="G3317" s="1115"/>
      <c r="H3317" s="1115"/>
      <c r="I3317" s="1115"/>
      <c r="J3317" s="1115"/>
      <c r="K3317" s="1115"/>
      <c r="L3317" s="1115"/>
      <c r="M3317" s="1115"/>
    </row>
    <row r="3318" spans="1:13" x14ac:dyDescent="0.2">
      <c r="A3318" s="1115"/>
      <c r="B3318" s="1115"/>
      <c r="C3318" s="1115"/>
      <c r="D3318" s="1115"/>
      <c r="E3318" s="1115"/>
      <c r="F3318" s="1115"/>
      <c r="G3318" s="1115"/>
      <c r="H3318" s="1115"/>
      <c r="I3318" s="1115"/>
      <c r="J3318" s="1115"/>
      <c r="K3318" s="1115"/>
      <c r="L3318" s="1115"/>
      <c r="M3318" s="1115"/>
    </row>
    <row r="3319" spans="1:13" x14ac:dyDescent="0.2">
      <c r="A3319" s="1115"/>
      <c r="B3319" s="1115"/>
      <c r="C3319" s="1115"/>
      <c r="D3319" s="1115"/>
      <c r="E3319" s="1115"/>
      <c r="F3319" s="1115"/>
      <c r="G3319" s="1115"/>
      <c r="H3319" s="1115"/>
      <c r="I3319" s="1115"/>
      <c r="J3319" s="1115"/>
      <c r="K3319" s="1115"/>
      <c r="L3319" s="1115"/>
      <c r="M3319" s="1115"/>
    </row>
    <row r="3320" spans="1:13" x14ac:dyDescent="0.2">
      <c r="A3320" s="1115"/>
      <c r="B3320" s="1115"/>
      <c r="C3320" s="1115"/>
      <c r="D3320" s="1115"/>
      <c r="E3320" s="1115"/>
      <c r="F3320" s="1115"/>
      <c r="G3320" s="1115"/>
      <c r="H3320" s="1115"/>
      <c r="I3320" s="1115"/>
      <c r="J3320" s="1115"/>
      <c r="K3320" s="1115"/>
      <c r="L3320" s="1115"/>
      <c r="M3320" s="1115"/>
    </row>
    <row r="3321" spans="1:13" x14ac:dyDescent="0.2">
      <c r="A3321" s="1115"/>
      <c r="B3321" s="1115"/>
      <c r="C3321" s="1115"/>
      <c r="D3321" s="1115"/>
      <c r="E3321" s="1115"/>
      <c r="F3321" s="1115"/>
      <c r="G3321" s="1115"/>
      <c r="H3321" s="1115"/>
      <c r="I3321" s="1115"/>
      <c r="J3321" s="1115"/>
      <c r="K3321" s="1115"/>
      <c r="L3321" s="1115"/>
      <c r="M3321" s="1115"/>
    </row>
    <row r="3322" spans="1:13" x14ac:dyDescent="0.2">
      <c r="A3322" s="1115"/>
      <c r="B3322" s="1115"/>
      <c r="C3322" s="1115"/>
      <c r="D3322" s="1115"/>
      <c r="E3322" s="1115"/>
      <c r="F3322" s="1115"/>
      <c r="G3322" s="1115"/>
      <c r="H3322" s="1115"/>
      <c r="I3322" s="1115"/>
      <c r="J3322" s="1115"/>
      <c r="K3322" s="1115"/>
      <c r="L3322" s="1115"/>
      <c r="M3322" s="1115"/>
    </row>
    <row r="3323" spans="1:13" x14ac:dyDescent="0.2">
      <c r="A3323" s="1115"/>
      <c r="B3323" s="1115"/>
      <c r="C3323" s="1115"/>
      <c r="D3323" s="1115"/>
      <c r="E3323" s="1115"/>
      <c r="F3323" s="1115"/>
      <c r="G3323" s="1115"/>
      <c r="H3323" s="1115"/>
      <c r="I3323" s="1115"/>
      <c r="J3323" s="1115"/>
      <c r="K3323" s="1115"/>
      <c r="L3323" s="1115"/>
      <c r="M3323" s="1115"/>
    </row>
    <row r="3324" spans="1:13" x14ac:dyDescent="0.2">
      <c r="A3324" s="1115"/>
      <c r="B3324" s="1115"/>
      <c r="C3324" s="1115"/>
      <c r="D3324" s="1115"/>
      <c r="E3324" s="1115"/>
      <c r="F3324" s="1115"/>
      <c r="G3324" s="1115"/>
      <c r="H3324" s="1115"/>
      <c r="I3324" s="1115"/>
      <c r="J3324" s="1115"/>
      <c r="K3324" s="1115"/>
      <c r="L3324" s="1115"/>
      <c r="M3324" s="1115"/>
    </row>
    <row r="3325" spans="1:13" x14ac:dyDescent="0.2">
      <c r="A3325" s="1115"/>
      <c r="B3325" s="1115"/>
      <c r="C3325" s="1115"/>
      <c r="D3325" s="1115"/>
      <c r="E3325" s="1115"/>
      <c r="F3325" s="1115"/>
      <c r="G3325" s="1115"/>
      <c r="H3325" s="1115"/>
      <c r="I3325" s="1115"/>
      <c r="J3325" s="1115"/>
      <c r="K3325" s="1115"/>
      <c r="L3325" s="1115"/>
      <c r="M3325" s="1115"/>
    </row>
    <row r="3326" spans="1:13" x14ac:dyDescent="0.2">
      <c r="A3326" s="1115"/>
      <c r="B3326" s="1115"/>
      <c r="C3326" s="1115"/>
      <c r="D3326" s="1115"/>
      <c r="E3326" s="1115"/>
      <c r="F3326" s="1115"/>
      <c r="G3326" s="1115"/>
      <c r="H3326" s="1115"/>
      <c r="I3326" s="1115"/>
      <c r="J3326" s="1115"/>
      <c r="K3326" s="1115"/>
      <c r="L3326" s="1115"/>
      <c r="M3326" s="1115"/>
    </row>
    <row r="3327" spans="1:13" x14ac:dyDescent="0.2">
      <c r="A3327" s="1115"/>
      <c r="B3327" s="1115"/>
      <c r="C3327" s="1115"/>
      <c r="D3327" s="1115"/>
      <c r="E3327" s="1115"/>
      <c r="F3327" s="1115"/>
      <c r="G3327" s="1115"/>
      <c r="H3327" s="1115"/>
      <c r="I3327" s="1115"/>
      <c r="J3327" s="1115"/>
      <c r="K3327" s="1115"/>
      <c r="L3327" s="1115"/>
      <c r="M3327" s="1115"/>
    </row>
    <row r="3328" spans="1:13" x14ac:dyDescent="0.2">
      <c r="A3328" s="1115"/>
      <c r="B3328" s="1115"/>
      <c r="C3328" s="1115"/>
      <c r="D3328" s="1115"/>
      <c r="E3328" s="1115"/>
      <c r="F3328" s="1115"/>
      <c r="G3328" s="1115"/>
      <c r="H3328" s="1115"/>
      <c r="I3328" s="1115"/>
      <c r="J3328" s="1115"/>
      <c r="K3328" s="1115"/>
      <c r="L3328" s="1115"/>
      <c r="M3328" s="1115"/>
    </row>
    <row r="3329" spans="1:13" x14ac:dyDescent="0.2">
      <c r="A3329" s="1115"/>
      <c r="B3329" s="1115"/>
      <c r="C3329" s="1115"/>
      <c r="D3329" s="1115"/>
      <c r="E3329" s="1115"/>
      <c r="F3329" s="1115"/>
      <c r="G3329" s="1115"/>
      <c r="H3329" s="1115"/>
      <c r="I3329" s="1115"/>
      <c r="J3329" s="1115"/>
      <c r="K3329" s="1115"/>
      <c r="L3329" s="1115"/>
      <c r="M3329" s="1115"/>
    </row>
    <row r="3330" spans="1:13" x14ac:dyDescent="0.2">
      <c r="A3330" s="1115"/>
      <c r="B3330" s="1115"/>
      <c r="C3330" s="1115"/>
      <c r="D3330" s="1115"/>
      <c r="E3330" s="1115"/>
      <c r="F3330" s="1115"/>
      <c r="G3330" s="1115"/>
      <c r="H3330" s="1115"/>
      <c r="I3330" s="1115"/>
      <c r="J3330" s="1115"/>
      <c r="K3330" s="1115"/>
      <c r="L3330" s="1115"/>
      <c r="M3330" s="1115"/>
    </row>
    <row r="3331" spans="1:13" x14ac:dyDescent="0.2">
      <c r="A3331" s="1115"/>
      <c r="B3331" s="1115"/>
      <c r="C3331" s="1115"/>
      <c r="D3331" s="1115"/>
      <c r="E3331" s="1115"/>
      <c r="F3331" s="1115"/>
      <c r="G3331" s="1115"/>
      <c r="H3331" s="1115"/>
      <c r="I3331" s="1115"/>
      <c r="J3331" s="1115"/>
      <c r="K3331" s="1115"/>
      <c r="L3331" s="1115"/>
      <c r="M3331" s="1115"/>
    </row>
    <row r="3332" spans="1:13" x14ac:dyDescent="0.2">
      <c r="A3332" s="1115"/>
      <c r="B3332" s="1115"/>
      <c r="C3332" s="1115"/>
      <c r="D3332" s="1115"/>
      <c r="E3332" s="1115"/>
      <c r="F3332" s="1115"/>
      <c r="G3332" s="1115"/>
      <c r="H3332" s="1115"/>
      <c r="I3332" s="1115"/>
      <c r="J3332" s="1115"/>
      <c r="K3332" s="1115"/>
      <c r="L3332" s="1115"/>
      <c r="M3332" s="1115"/>
    </row>
    <row r="3333" spans="1:13" x14ac:dyDescent="0.2">
      <c r="A3333" s="1115"/>
      <c r="B3333" s="1115"/>
      <c r="C3333" s="1115"/>
      <c r="D3333" s="1115"/>
      <c r="E3333" s="1115"/>
      <c r="F3333" s="1115"/>
      <c r="G3333" s="1115"/>
      <c r="H3333" s="1115"/>
      <c r="I3333" s="1115"/>
      <c r="J3333" s="1115"/>
      <c r="K3333" s="1115"/>
      <c r="L3333" s="1115"/>
      <c r="M3333" s="1115"/>
    </row>
    <row r="3334" spans="1:13" x14ac:dyDescent="0.2">
      <c r="A3334" s="1115"/>
      <c r="B3334" s="1115"/>
      <c r="C3334" s="1115"/>
      <c r="D3334" s="1115"/>
      <c r="E3334" s="1115"/>
      <c r="F3334" s="1115"/>
      <c r="G3334" s="1115"/>
      <c r="H3334" s="1115"/>
      <c r="I3334" s="1115"/>
      <c r="J3334" s="1115"/>
      <c r="K3334" s="1115"/>
      <c r="L3334" s="1115"/>
      <c r="M3334" s="1115"/>
    </row>
    <row r="3335" spans="1:13" x14ac:dyDescent="0.2">
      <c r="A3335" s="1115"/>
      <c r="B3335" s="1115"/>
      <c r="C3335" s="1115"/>
      <c r="D3335" s="1115"/>
      <c r="E3335" s="1115"/>
      <c r="F3335" s="1115"/>
      <c r="G3335" s="1115"/>
      <c r="H3335" s="1115"/>
      <c r="I3335" s="1115"/>
      <c r="J3335" s="1115"/>
      <c r="K3335" s="1115"/>
      <c r="L3335" s="1115"/>
      <c r="M3335" s="1115"/>
    </row>
    <row r="3336" spans="1:13" x14ac:dyDescent="0.2">
      <c r="A3336" s="1115"/>
      <c r="B3336" s="1115"/>
      <c r="C3336" s="1115"/>
      <c r="D3336" s="1115"/>
      <c r="E3336" s="1115"/>
      <c r="F3336" s="1115"/>
      <c r="G3336" s="1115"/>
      <c r="H3336" s="1115"/>
      <c r="I3336" s="1115"/>
      <c r="J3336" s="1115"/>
      <c r="K3336" s="1115"/>
      <c r="L3336" s="1115"/>
      <c r="M3336" s="1115"/>
    </row>
    <row r="3337" spans="1:13" x14ac:dyDescent="0.2">
      <c r="A3337" s="1115"/>
      <c r="B3337" s="1115"/>
      <c r="C3337" s="1115"/>
      <c r="D3337" s="1115"/>
      <c r="E3337" s="1115"/>
      <c r="F3337" s="1115"/>
      <c r="G3337" s="1115"/>
      <c r="H3337" s="1115"/>
      <c r="I3337" s="1115"/>
      <c r="J3337" s="1115"/>
      <c r="K3337" s="1115"/>
      <c r="L3337" s="1115"/>
      <c r="M3337" s="1115"/>
    </row>
    <row r="3338" spans="1:13" x14ac:dyDescent="0.2">
      <c r="A3338" s="1115"/>
      <c r="B3338" s="1115"/>
      <c r="C3338" s="1115"/>
      <c r="D3338" s="1115"/>
      <c r="E3338" s="1115"/>
      <c r="F3338" s="1115"/>
      <c r="G3338" s="1115"/>
      <c r="H3338" s="1115"/>
      <c r="I3338" s="1115"/>
      <c r="J3338" s="1115"/>
      <c r="K3338" s="1115"/>
      <c r="L3338" s="1115"/>
      <c r="M3338" s="1115"/>
    </row>
    <row r="3339" spans="1:13" x14ac:dyDescent="0.2">
      <c r="A3339" s="1115"/>
      <c r="B3339" s="1115"/>
      <c r="C3339" s="1115"/>
      <c r="D3339" s="1115"/>
      <c r="E3339" s="1115"/>
      <c r="F3339" s="1115"/>
      <c r="G3339" s="1115"/>
      <c r="H3339" s="1115"/>
      <c r="I3339" s="1115"/>
      <c r="J3339" s="1115"/>
      <c r="K3339" s="1115"/>
      <c r="L3339" s="1115"/>
      <c r="M3339" s="1115"/>
    </row>
    <row r="3340" spans="1:13" x14ac:dyDescent="0.2">
      <c r="A3340" s="1115"/>
      <c r="B3340" s="1115"/>
      <c r="C3340" s="1115"/>
      <c r="D3340" s="1115"/>
      <c r="E3340" s="1115"/>
      <c r="F3340" s="1115"/>
      <c r="G3340" s="1115"/>
      <c r="H3340" s="1115"/>
      <c r="I3340" s="1115"/>
      <c r="J3340" s="1115"/>
      <c r="K3340" s="1115"/>
      <c r="L3340" s="1115"/>
      <c r="M3340" s="1115"/>
    </row>
    <row r="3341" spans="1:13" x14ac:dyDescent="0.2">
      <c r="A3341" s="1115"/>
      <c r="B3341" s="1115"/>
      <c r="C3341" s="1115"/>
      <c r="D3341" s="1115"/>
      <c r="E3341" s="1115"/>
      <c r="F3341" s="1115"/>
      <c r="G3341" s="1115"/>
      <c r="H3341" s="1115"/>
      <c r="I3341" s="1115"/>
      <c r="J3341" s="1115"/>
      <c r="K3341" s="1115"/>
      <c r="L3341" s="1115"/>
      <c r="M3341" s="1115"/>
    </row>
    <row r="3342" spans="1:13" x14ac:dyDescent="0.2">
      <c r="A3342" s="1115"/>
      <c r="B3342" s="1115"/>
      <c r="C3342" s="1115"/>
      <c r="D3342" s="1115"/>
      <c r="E3342" s="1115"/>
      <c r="F3342" s="1115"/>
      <c r="G3342" s="1115"/>
      <c r="H3342" s="1115"/>
      <c r="I3342" s="1115"/>
      <c r="J3342" s="1115"/>
      <c r="K3342" s="1115"/>
      <c r="L3342" s="1115"/>
      <c r="M3342" s="1115"/>
    </row>
    <row r="3343" spans="1:13" x14ac:dyDescent="0.2">
      <c r="A3343" s="1115"/>
      <c r="B3343" s="1115"/>
      <c r="C3343" s="1115"/>
      <c r="D3343" s="1115"/>
      <c r="E3343" s="1115"/>
      <c r="F3343" s="1115"/>
      <c r="G3343" s="1115"/>
      <c r="H3343" s="1115"/>
      <c r="I3343" s="1115"/>
      <c r="J3343" s="1115"/>
      <c r="K3343" s="1115"/>
      <c r="L3343" s="1115"/>
      <c r="M3343" s="1115"/>
    </row>
    <row r="3344" spans="1:13" x14ac:dyDescent="0.2">
      <c r="A3344" s="1115"/>
      <c r="B3344" s="1115"/>
      <c r="C3344" s="1115"/>
      <c r="D3344" s="1115"/>
      <c r="E3344" s="1115"/>
      <c r="F3344" s="1115"/>
      <c r="G3344" s="1115"/>
      <c r="H3344" s="1115"/>
      <c r="I3344" s="1115"/>
      <c r="J3344" s="1115"/>
      <c r="K3344" s="1115"/>
      <c r="L3344" s="1115"/>
      <c r="M3344" s="1115"/>
    </row>
    <row r="3345" spans="1:13" x14ac:dyDescent="0.2">
      <c r="A3345" s="1115"/>
      <c r="B3345" s="1115"/>
      <c r="C3345" s="1115"/>
      <c r="D3345" s="1115"/>
      <c r="E3345" s="1115"/>
      <c r="F3345" s="1115"/>
      <c r="G3345" s="1115"/>
      <c r="H3345" s="1115"/>
      <c r="I3345" s="1115"/>
      <c r="J3345" s="1115"/>
      <c r="K3345" s="1115"/>
      <c r="L3345" s="1115"/>
      <c r="M3345" s="1115"/>
    </row>
    <row r="3346" spans="1:13" x14ac:dyDescent="0.2">
      <c r="A3346" s="1115"/>
      <c r="B3346" s="1115"/>
      <c r="C3346" s="1115"/>
      <c r="D3346" s="1115"/>
      <c r="E3346" s="1115"/>
      <c r="F3346" s="1115"/>
      <c r="G3346" s="1115"/>
      <c r="H3346" s="1115"/>
      <c r="I3346" s="1115"/>
      <c r="J3346" s="1115"/>
      <c r="K3346" s="1115"/>
      <c r="L3346" s="1115"/>
      <c r="M3346" s="1115"/>
    </row>
    <row r="3347" spans="1:13" x14ac:dyDescent="0.2">
      <c r="A3347" s="1115"/>
      <c r="B3347" s="1115"/>
      <c r="C3347" s="1115"/>
      <c r="D3347" s="1115"/>
      <c r="E3347" s="1115"/>
      <c r="F3347" s="1115"/>
      <c r="G3347" s="1115"/>
      <c r="H3347" s="1115"/>
      <c r="I3347" s="1115"/>
      <c r="J3347" s="1115"/>
      <c r="K3347" s="1115"/>
      <c r="L3347" s="1115"/>
      <c r="M3347" s="1115"/>
    </row>
    <row r="3348" spans="1:13" x14ac:dyDescent="0.2">
      <c r="A3348" s="1115"/>
      <c r="B3348" s="1115"/>
      <c r="C3348" s="1115"/>
      <c r="D3348" s="1115"/>
      <c r="E3348" s="1115"/>
      <c r="F3348" s="1115"/>
      <c r="G3348" s="1115"/>
      <c r="H3348" s="1115"/>
      <c r="I3348" s="1115"/>
      <c r="J3348" s="1115"/>
      <c r="K3348" s="1115"/>
      <c r="L3348" s="1115"/>
      <c r="M3348" s="1115"/>
    </row>
    <row r="3349" spans="1:13" x14ac:dyDescent="0.2">
      <c r="A3349" s="1115"/>
      <c r="B3349" s="1115"/>
      <c r="C3349" s="1115"/>
      <c r="D3349" s="1115"/>
      <c r="E3349" s="1115"/>
      <c r="F3349" s="1115"/>
      <c r="G3349" s="1115"/>
      <c r="H3349" s="1115"/>
      <c r="I3349" s="1115"/>
      <c r="J3349" s="1115"/>
      <c r="K3349" s="1115"/>
      <c r="L3349" s="1115"/>
      <c r="M3349" s="1115"/>
    </row>
    <row r="3350" spans="1:13" x14ac:dyDescent="0.2">
      <c r="A3350" s="1115"/>
      <c r="B3350" s="1115"/>
      <c r="C3350" s="1115"/>
      <c r="D3350" s="1115"/>
      <c r="E3350" s="1115"/>
      <c r="F3350" s="1115"/>
      <c r="G3350" s="1115"/>
      <c r="H3350" s="1115"/>
      <c r="I3350" s="1115"/>
      <c r="J3350" s="1115"/>
      <c r="K3350" s="1115"/>
      <c r="L3350" s="1115"/>
      <c r="M3350" s="1115"/>
    </row>
    <row r="3351" spans="1:13" x14ac:dyDescent="0.2">
      <c r="A3351" s="1115"/>
      <c r="B3351" s="1115"/>
      <c r="C3351" s="1115"/>
      <c r="D3351" s="1115"/>
      <c r="E3351" s="1115"/>
      <c r="F3351" s="1115"/>
      <c r="G3351" s="1115"/>
      <c r="H3351" s="1115"/>
      <c r="I3351" s="1115"/>
      <c r="J3351" s="1115"/>
      <c r="K3351" s="1115"/>
      <c r="L3351" s="1115"/>
      <c r="M3351" s="1115"/>
    </row>
    <row r="3352" spans="1:13" x14ac:dyDescent="0.2">
      <c r="A3352" s="1115"/>
      <c r="B3352" s="1115"/>
      <c r="C3352" s="1115"/>
      <c r="D3352" s="1115"/>
      <c r="E3352" s="1115"/>
      <c r="F3352" s="1115"/>
      <c r="G3352" s="1115"/>
      <c r="H3352" s="1115"/>
      <c r="I3352" s="1115"/>
      <c r="J3352" s="1115"/>
      <c r="K3352" s="1115"/>
      <c r="L3352" s="1115"/>
      <c r="M3352" s="1115"/>
    </row>
    <row r="3353" spans="1:13" x14ac:dyDescent="0.2">
      <c r="A3353" s="1115"/>
      <c r="B3353" s="1115"/>
      <c r="C3353" s="1115"/>
      <c r="D3353" s="1115"/>
      <c r="E3353" s="1115"/>
      <c r="F3353" s="1115"/>
      <c r="G3353" s="1115"/>
      <c r="H3353" s="1115"/>
      <c r="I3353" s="1115"/>
      <c r="J3353" s="1115"/>
      <c r="K3353" s="1115"/>
      <c r="L3353" s="1115"/>
      <c r="M3353" s="1115"/>
    </row>
    <row r="3354" spans="1:13" x14ac:dyDescent="0.2">
      <c r="A3354" s="1115"/>
      <c r="B3354" s="1115"/>
      <c r="C3354" s="1115"/>
      <c r="D3354" s="1115"/>
      <c r="E3354" s="1115"/>
      <c r="F3354" s="1115"/>
      <c r="G3354" s="1115"/>
      <c r="H3354" s="1115"/>
      <c r="I3354" s="1115"/>
      <c r="J3354" s="1115"/>
      <c r="K3354" s="1115"/>
      <c r="L3354" s="1115"/>
      <c r="M3354" s="1115"/>
    </row>
    <row r="3355" spans="1:13" x14ac:dyDescent="0.2">
      <c r="A3355" s="1115"/>
      <c r="B3355" s="1115"/>
      <c r="C3355" s="1115"/>
      <c r="D3355" s="1115"/>
      <c r="E3355" s="1115"/>
      <c r="F3355" s="1115"/>
      <c r="G3355" s="1115"/>
      <c r="H3355" s="1115"/>
      <c r="I3355" s="1115"/>
      <c r="J3355" s="1115"/>
      <c r="K3355" s="1115"/>
      <c r="L3355" s="1115"/>
      <c r="M3355" s="1115"/>
    </row>
    <row r="3356" spans="1:13" x14ac:dyDescent="0.2">
      <c r="A3356" s="1115"/>
      <c r="B3356" s="1115"/>
      <c r="C3356" s="1115"/>
      <c r="D3356" s="1115"/>
      <c r="E3356" s="1115"/>
      <c r="F3356" s="1115"/>
      <c r="G3356" s="1115"/>
      <c r="H3356" s="1115"/>
      <c r="I3356" s="1115"/>
      <c r="J3356" s="1115"/>
      <c r="K3356" s="1115"/>
      <c r="L3356" s="1115"/>
      <c r="M3356" s="1115"/>
    </row>
    <row r="3357" spans="1:13" x14ac:dyDescent="0.2">
      <c r="A3357" s="1115"/>
      <c r="B3357" s="1115"/>
      <c r="C3357" s="1115"/>
      <c r="D3357" s="1115"/>
      <c r="E3357" s="1115"/>
      <c r="F3357" s="1115"/>
      <c r="G3357" s="1115"/>
      <c r="H3357" s="1115"/>
      <c r="I3357" s="1115"/>
      <c r="J3357" s="1115"/>
      <c r="K3357" s="1115"/>
      <c r="L3357" s="1115"/>
      <c r="M3357" s="1115"/>
    </row>
    <row r="3358" spans="1:13" x14ac:dyDescent="0.2">
      <c r="A3358" s="1115"/>
      <c r="B3358" s="1115"/>
      <c r="C3358" s="1115"/>
      <c r="D3358" s="1115"/>
      <c r="E3358" s="1115"/>
      <c r="F3358" s="1115"/>
      <c r="G3358" s="1115"/>
      <c r="H3358" s="1115"/>
      <c r="I3358" s="1115"/>
      <c r="J3358" s="1115"/>
      <c r="K3358" s="1115"/>
      <c r="L3358" s="1115"/>
      <c r="M3358" s="1115"/>
    </row>
    <row r="3359" spans="1:13" x14ac:dyDescent="0.2">
      <c r="A3359" s="1115"/>
      <c r="B3359" s="1115"/>
      <c r="C3359" s="1115"/>
      <c r="D3359" s="1115"/>
      <c r="E3359" s="1115"/>
      <c r="F3359" s="1115"/>
      <c r="G3359" s="1115"/>
      <c r="H3359" s="1115"/>
      <c r="I3359" s="1115"/>
      <c r="J3359" s="1115"/>
      <c r="K3359" s="1115"/>
      <c r="L3359" s="1115"/>
      <c r="M3359" s="1115"/>
    </row>
    <row r="3360" spans="1:13" x14ac:dyDescent="0.2">
      <c r="A3360" s="1115"/>
      <c r="B3360" s="1115"/>
      <c r="C3360" s="1115"/>
      <c r="D3360" s="1115"/>
      <c r="E3360" s="1115"/>
      <c r="F3360" s="1115"/>
      <c r="G3360" s="1115"/>
      <c r="H3360" s="1115"/>
      <c r="I3360" s="1115"/>
      <c r="J3360" s="1115"/>
      <c r="K3360" s="1115"/>
      <c r="L3360" s="1115"/>
      <c r="M3360" s="1115"/>
    </row>
    <row r="3361" spans="1:13" x14ac:dyDescent="0.2">
      <c r="A3361" s="1115"/>
      <c r="B3361" s="1115"/>
      <c r="C3361" s="1115"/>
      <c r="D3361" s="1115"/>
      <c r="E3361" s="1115"/>
      <c r="F3361" s="1115"/>
      <c r="G3361" s="1115"/>
      <c r="H3361" s="1115"/>
      <c r="I3361" s="1115"/>
      <c r="J3361" s="1115"/>
      <c r="K3361" s="1115"/>
      <c r="L3361" s="1115"/>
      <c r="M3361" s="1115"/>
    </row>
    <row r="3362" spans="1:13" x14ac:dyDescent="0.2">
      <c r="A3362" s="1115"/>
      <c r="B3362" s="1115"/>
      <c r="C3362" s="1115"/>
      <c r="D3362" s="1115"/>
      <c r="E3362" s="1115"/>
      <c r="F3362" s="1115"/>
      <c r="G3362" s="1115"/>
      <c r="H3362" s="1115"/>
      <c r="I3362" s="1115"/>
      <c r="J3362" s="1115"/>
      <c r="K3362" s="1115"/>
      <c r="L3362" s="1115"/>
      <c r="M3362" s="1115"/>
    </row>
    <row r="3363" spans="1:13" x14ac:dyDescent="0.2">
      <c r="A3363" s="1115"/>
      <c r="B3363" s="1115"/>
      <c r="C3363" s="1115"/>
      <c r="D3363" s="1115"/>
      <c r="E3363" s="1115"/>
      <c r="F3363" s="1115"/>
      <c r="G3363" s="1115"/>
      <c r="H3363" s="1115"/>
      <c r="I3363" s="1115"/>
      <c r="J3363" s="1115"/>
      <c r="K3363" s="1115"/>
      <c r="L3363" s="1115"/>
      <c r="M3363" s="1115"/>
    </row>
    <row r="3364" spans="1:13" x14ac:dyDescent="0.2">
      <c r="A3364" s="1115"/>
      <c r="B3364" s="1115"/>
      <c r="C3364" s="1115"/>
      <c r="D3364" s="1115"/>
      <c r="E3364" s="1115"/>
      <c r="F3364" s="1115"/>
      <c r="G3364" s="1115"/>
      <c r="H3364" s="1115"/>
      <c r="I3364" s="1115"/>
      <c r="J3364" s="1115"/>
      <c r="K3364" s="1115"/>
      <c r="L3364" s="1115"/>
      <c r="M3364" s="1115"/>
    </row>
    <row r="3365" spans="1:13" x14ac:dyDescent="0.2">
      <c r="A3365" s="1115"/>
      <c r="B3365" s="1115"/>
      <c r="C3365" s="1115"/>
      <c r="D3365" s="1115"/>
      <c r="E3365" s="1115"/>
      <c r="F3365" s="1115"/>
      <c r="G3365" s="1115"/>
      <c r="H3365" s="1115"/>
      <c r="I3365" s="1115"/>
      <c r="J3365" s="1115"/>
      <c r="K3365" s="1115"/>
      <c r="L3365" s="1115"/>
      <c r="M3365" s="1115"/>
    </row>
    <row r="3366" spans="1:13" x14ac:dyDescent="0.2">
      <c r="A3366" s="1115"/>
      <c r="B3366" s="1115"/>
      <c r="C3366" s="1115"/>
      <c r="D3366" s="1115"/>
      <c r="E3366" s="1115"/>
      <c r="F3366" s="1115"/>
      <c r="G3366" s="1115"/>
      <c r="H3366" s="1115"/>
      <c r="I3366" s="1115"/>
      <c r="J3366" s="1115"/>
      <c r="K3366" s="1115"/>
      <c r="L3366" s="1115"/>
      <c r="M3366" s="1115"/>
    </row>
    <row r="3367" spans="1:13" x14ac:dyDescent="0.2">
      <c r="A3367" s="1115"/>
      <c r="B3367" s="1115"/>
      <c r="C3367" s="1115"/>
      <c r="D3367" s="1115"/>
      <c r="E3367" s="1115"/>
      <c r="F3367" s="1115"/>
      <c r="G3367" s="1115"/>
      <c r="H3367" s="1115"/>
      <c r="I3367" s="1115"/>
      <c r="J3367" s="1115"/>
      <c r="K3367" s="1115"/>
      <c r="L3367" s="1115"/>
      <c r="M3367" s="1115"/>
    </row>
    <row r="3368" spans="1:13" x14ac:dyDescent="0.2">
      <c r="A3368" s="1115"/>
      <c r="B3368" s="1115"/>
      <c r="C3368" s="1115"/>
      <c r="D3368" s="1115"/>
      <c r="E3368" s="1115"/>
      <c r="F3368" s="1115"/>
      <c r="G3368" s="1115"/>
      <c r="H3368" s="1115"/>
      <c r="I3368" s="1115"/>
      <c r="J3368" s="1115"/>
      <c r="K3368" s="1115"/>
      <c r="L3368" s="1115"/>
      <c r="M3368" s="1115"/>
    </row>
    <row r="3369" spans="1:13" x14ac:dyDescent="0.2">
      <c r="A3369" s="1115"/>
      <c r="B3369" s="1115"/>
      <c r="C3369" s="1115"/>
      <c r="D3369" s="1115"/>
      <c r="E3369" s="1115"/>
      <c r="F3369" s="1115"/>
      <c r="G3369" s="1115"/>
      <c r="H3369" s="1115"/>
      <c r="I3369" s="1115"/>
      <c r="J3369" s="1115"/>
      <c r="K3369" s="1115"/>
      <c r="L3369" s="1115"/>
      <c r="M3369" s="1115"/>
    </row>
    <row r="3370" spans="1:13" x14ac:dyDescent="0.2">
      <c r="A3370" s="1115"/>
      <c r="B3370" s="1115"/>
      <c r="C3370" s="1115"/>
      <c r="D3370" s="1115"/>
      <c r="E3370" s="1115"/>
      <c r="F3370" s="1115"/>
      <c r="G3370" s="1115"/>
      <c r="H3370" s="1115"/>
      <c r="I3370" s="1115"/>
      <c r="J3370" s="1115"/>
      <c r="K3370" s="1115"/>
      <c r="L3370" s="1115"/>
      <c r="M3370" s="1115"/>
    </row>
    <row r="3371" spans="1:13" x14ac:dyDescent="0.2">
      <c r="A3371" s="1115"/>
      <c r="B3371" s="1115"/>
      <c r="C3371" s="1115"/>
      <c r="D3371" s="1115"/>
      <c r="E3371" s="1115"/>
      <c r="F3371" s="1115"/>
      <c r="G3371" s="1115"/>
      <c r="H3371" s="1115"/>
      <c r="I3371" s="1115"/>
      <c r="J3371" s="1115"/>
      <c r="K3371" s="1115"/>
      <c r="L3371" s="1115"/>
      <c r="M3371" s="1115"/>
    </row>
    <row r="3372" spans="1:13" x14ac:dyDescent="0.2">
      <c r="A3372" s="1115"/>
      <c r="B3372" s="1115"/>
      <c r="C3372" s="1115"/>
      <c r="D3372" s="1115"/>
      <c r="E3372" s="1115"/>
      <c r="F3372" s="1115"/>
      <c r="G3372" s="1115"/>
      <c r="H3372" s="1115"/>
      <c r="I3372" s="1115"/>
      <c r="J3372" s="1115"/>
      <c r="K3372" s="1115"/>
      <c r="L3372" s="1115"/>
      <c r="M3372" s="1115"/>
    </row>
    <row r="3373" spans="1:13" x14ac:dyDescent="0.2">
      <c r="A3373" s="1115"/>
      <c r="B3373" s="1115"/>
      <c r="C3373" s="1115"/>
      <c r="D3373" s="1115"/>
      <c r="E3373" s="1115"/>
      <c r="F3373" s="1115"/>
      <c r="G3373" s="1115"/>
      <c r="H3373" s="1115"/>
      <c r="I3373" s="1115"/>
      <c r="J3373" s="1115"/>
      <c r="K3373" s="1115"/>
      <c r="L3373" s="1115"/>
      <c r="M3373" s="1115"/>
    </row>
    <row r="3374" spans="1:13" x14ac:dyDescent="0.2">
      <c r="A3374" s="1115"/>
      <c r="B3374" s="1115"/>
      <c r="C3374" s="1115"/>
      <c r="D3374" s="1115"/>
      <c r="E3374" s="1115"/>
      <c r="F3374" s="1115"/>
      <c r="G3374" s="1115"/>
      <c r="H3374" s="1115"/>
      <c r="I3374" s="1115"/>
      <c r="J3374" s="1115"/>
      <c r="K3374" s="1115"/>
      <c r="L3374" s="1115"/>
      <c r="M3374" s="1115"/>
    </row>
    <row r="3375" spans="1:13" x14ac:dyDescent="0.2">
      <c r="A3375" s="1115"/>
      <c r="B3375" s="1115"/>
      <c r="C3375" s="1115"/>
      <c r="D3375" s="1115"/>
      <c r="E3375" s="1115"/>
      <c r="F3375" s="1115"/>
      <c r="G3375" s="1115"/>
      <c r="H3375" s="1115"/>
      <c r="I3375" s="1115"/>
      <c r="J3375" s="1115"/>
      <c r="K3375" s="1115"/>
      <c r="L3375" s="1115"/>
      <c r="M3375" s="1115"/>
    </row>
    <row r="3376" spans="1:13" x14ac:dyDescent="0.2">
      <c r="A3376" s="1115"/>
      <c r="B3376" s="1115"/>
      <c r="C3376" s="1115"/>
      <c r="D3376" s="1115"/>
      <c r="E3376" s="1115"/>
      <c r="F3376" s="1115"/>
      <c r="G3376" s="1115"/>
      <c r="H3376" s="1115"/>
      <c r="I3376" s="1115"/>
      <c r="J3376" s="1115"/>
      <c r="K3376" s="1115"/>
      <c r="L3376" s="1115"/>
      <c r="M3376" s="1115"/>
    </row>
    <row r="3377" spans="1:13" x14ac:dyDescent="0.2">
      <c r="A3377" s="1115"/>
      <c r="B3377" s="1115"/>
      <c r="C3377" s="1115"/>
      <c r="D3377" s="1115"/>
      <c r="E3377" s="1115"/>
      <c r="F3377" s="1115"/>
      <c r="G3377" s="1115"/>
      <c r="H3377" s="1115"/>
      <c r="I3377" s="1115"/>
      <c r="J3377" s="1115"/>
      <c r="K3377" s="1115"/>
      <c r="L3377" s="1115"/>
      <c r="M3377" s="1115"/>
    </row>
    <row r="3378" spans="1:13" x14ac:dyDescent="0.2">
      <c r="A3378" s="1115"/>
      <c r="B3378" s="1115"/>
      <c r="C3378" s="1115"/>
      <c r="D3378" s="1115"/>
      <c r="E3378" s="1115"/>
      <c r="F3378" s="1115"/>
      <c r="G3378" s="1115"/>
      <c r="H3378" s="1115"/>
      <c r="I3378" s="1115"/>
      <c r="J3378" s="1115"/>
      <c r="K3378" s="1115"/>
      <c r="L3378" s="1115"/>
      <c r="M3378" s="1115"/>
    </row>
    <row r="3379" spans="1:13" x14ac:dyDescent="0.2">
      <c r="A3379" s="1115"/>
      <c r="B3379" s="1115"/>
      <c r="C3379" s="1115"/>
      <c r="D3379" s="1115"/>
      <c r="E3379" s="1115"/>
      <c r="F3379" s="1115"/>
      <c r="G3379" s="1115"/>
      <c r="H3379" s="1115"/>
      <c r="I3379" s="1115"/>
      <c r="J3379" s="1115"/>
      <c r="K3379" s="1115"/>
      <c r="L3379" s="1115"/>
      <c r="M3379" s="1115"/>
    </row>
    <row r="3380" spans="1:13" x14ac:dyDescent="0.2">
      <c r="A3380" s="1115"/>
      <c r="B3380" s="1115"/>
      <c r="C3380" s="1115"/>
      <c r="D3380" s="1115"/>
      <c r="E3380" s="1115"/>
      <c r="F3380" s="1115"/>
      <c r="G3380" s="1115"/>
      <c r="H3380" s="1115"/>
      <c r="I3380" s="1115"/>
      <c r="J3380" s="1115"/>
      <c r="K3380" s="1115"/>
      <c r="L3380" s="1115"/>
      <c r="M3380" s="1115"/>
    </row>
    <row r="3381" spans="1:13" x14ac:dyDescent="0.2">
      <c r="A3381" s="1115"/>
      <c r="B3381" s="1115"/>
      <c r="C3381" s="1115"/>
      <c r="D3381" s="1115"/>
      <c r="E3381" s="1115"/>
      <c r="F3381" s="1115"/>
      <c r="G3381" s="1115"/>
      <c r="H3381" s="1115"/>
      <c r="I3381" s="1115"/>
      <c r="J3381" s="1115"/>
      <c r="K3381" s="1115"/>
      <c r="L3381" s="1115"/>
      <c r="M3381" s="1115"/>
    </row>
    <row r="3382" spans="1:13" x14ac:dyDescent="0.2">
      <c r="A3382" s="1115"/>
      <c r="B3382" s="1115"/>
      <c r="C3382" s="1115"/>
      <c r="D3382" s="1115"/>
      <c r="E3382" s="1115"/>
      <c r="F3382" s="1115"/>
      <c r="G3382" s="1115"/>
      <c r="H3382" s="1115"/>
      <c r="I3382" s="1115"/>
      <c r="J3382" s="1115"/>
      <c r="K3382" s="1115"/>
      <c r="L3382" s="1115"/>
      <c r="M3382" s="1115"/>
    </row>
    <row r="3383" spans="1:13" x14ac:dyDescent="0.2">
      <c r="A3383" s="1115"/>
      <c r="B3383" s="1115"/>
      <c r="C3383" s="1115"/>
      <c r="D3383" s="1115"/>
      <c r="E3383" s="1115"/>
      <c r="F3383" s="1115"/>
      <c r="G3383" s="1115"/>
      <c r="H3383" s="1115"/>
      <c r="I3383" s="1115"/>
      <c r="J3383" s="1115"/>
      <c r="K3383" s="1115"/>
      <c r="L3383" s="1115"/>
      <c r="M3383" s="1115"/>
    </row>
    <row r="3384" spans="1:13" x14ac:dyDescent="0.2">
      <c r="A3384" s="1115"/>
      <c r="B3384" s="1115"/>
      <c r="C3384" s="1115"/>
      <c r="D3384" s="1115"/>
      <c r="E3384" s="1115"/>
      <c r="F3384" s="1115"/>
      <c r="G3384" s="1115"/>
      <c r="H3384" s="1115"/>
      <c r="I3384" s="1115"/>
      <c r="J3384" s="1115"/>
      <c r="K3384" s="1115"/>
      <c r="L3384" s="1115"/>
      <c r="M3384" s="1115"/>
    </row>
    <row r="3385" spans="1:13" x14ac:dyDescent="0.2">
      <c r="A3385" s="1115"/>
      <c r="B3385" s="1115"/>
      <c r="C3385" s="1115"/>
      <c r="D3385" s="1115"/>
      <c r="E3385" s="1115"/>
      <c r="F3385" s="1115"/>
      <c r="G3385" s="1115"/>
      <c r="H3385" s="1115"/>
      <c r="I3385" s="1115"/>
      <c r="J3385" s="1115"/>
      <c r="K3385" s="1115"/>
      <c r="L3385" s="1115"/>
      <c r="M3385" s="1115"/>
    </row>
    <row r="3386" spans="1:13" x14ac:dyDescent="0.2">
      <c r="A3386" s="1115"/>
      <c r="B3386" s="1115"/>
      <c r="C3386" s="1115"/>
      <c r="D3386" s="1115"/>
      <c r="E3386" s="1115"/>
      <c r="F3386" s="1115"/>
      <c r="G3386" s="1115"/>
      <c r="H3386" s="1115"/>
      <c r="I3386" s="1115"/>
      <c r="J3386" s="1115"/>
      <c r="K3386" s="1115"/>
      <c r="L3386" s="1115"/>
      <c r="M3386" s="1115"/>
    </row>
    <row r="3387" spans="1:13" x14ac:dyDescent="0.2">
      <c r="A3387" s="1115"/>
      <c r="B3387" s="1115"/>
      <c r="C3387" s="1115"/>
      <c r="D3387" s="1115"/>
      <c r="E3387" s="1115"/>
      <c r="F3387" s="1115"/>
      <c r="G3387" s="1115"/>
      <c r="H3387" s="1115"/>
      <c r="I3387" s="1115"/>
      <c r="J3387" s="1115"/>
      <c r="K3387" s="1115"/>
      <c r="L3387" s="1115"/>
      <c r="M3387" s="1115"/>
    </row>
    <row r="3388" spans="1:13" x14ac:dyDescent="0.2">
      <c r="A3388" s="1115"/>
      <c r="B3388" s="1115"/>
      <c r="C3388" s="1115"/>
      <c r="D3388" s="1115"/>
      <c r="E3388" s="1115"/>
      <c r="F3388" s="1115"/>
      <c r="G3388" s="1115"/>
      <c r="H3388" s="1115"/>
      <c r="I3388" s="1115"/>
      <c r="J3388" s="1115"/>
      <c r="K3388" s="1115"/>
      <c r="L3388" s="1115"/>
      <c r="M3388" s="1115"/>
    </row>
    <row r="3389" spans="1:13" x14ac:dyDescent="0.2">
      <c r="A3389" s="1115"/>
      <c r="B3389" s="1115"/>
      <c r="C3389" s="1115"/>
      <c r="D3389" s="1115"/>
      <c r="E3389" s="1115"/>
      <c r="F3389" s="1115"/>
      <c r="G3389" s="1115"/>
      <c r="H3389" s="1115"/>
      <c r="I3389" s="1115"/>
      <c r="J3389" s="1115"/>
      <c r="K3389" s="1115"/>
      <c r="L3389" s="1115"/>
      <c r="M3389" s="1115"/>
    </row>
    <row r="3390" spans="1:13" x14ac:dyDescent="0.2">
      <c r="A3390" s="1115"/>
      <c r="B3390" s="1115"/>
      <c r="C3390" s="1115"/>
      <c r="D3390" s="1115"/>
      <c r="E3390" s="1115"/>
      <c r="F3390" s="1115"/>
      <c r="G3390" s="1115"/>
      <c r="H3390" s="1115"/>
      <c r="I3390" s="1115"/>
      <c r="J3390" s="1115"/>
      <c r="K3390" s="1115"/>
      <c r="L3390" s="1115"/>
      <c r="M3390" s="1115"/>
    </row>
    <row r="3391" spans="1:13" x14ac:dyDescent="0.2">
      <c r="A3391" s="1115"/>
      <c r="B3391" s="1115"/>
      <c r="C3391" s="1115"/>
      <c r="D3391" s="1115"/>
      <c r="E3391" s="1115"/>
      <c r="F3391" s="1115"/>
      <c r="G3391" s="1115"/>
      <c r="H3391" s="1115"/>
      <c r="I3391" s="1115"/>
      <c r="J3391" s="1115"/>
      <c r="K3391" s="1115"/>
      <c r="L3391" s="1115"/>
      <c r="M3391" s="1115"/>
    </row>
    <row r="3392" spans="1:13" x14ac:dyDescent="0.2">
      <c r="A3392" s="1115"/>
      <c r="B3392" s="1115"/>
      <c r="C3392" s="1115"/>
      <c r="D3392" s="1115"/>
      <c r="E3392" s="1115"/>
      <c r="F3392" s="1115"/>
      <c r="G3392" s="1115"/>
      <c r="H3392" s="1115"/>
      <c r="I3392" s="1115"/>
      <c r="J3392" s="1115"/>
      <c r="K3392" s="1115"/>
      <c r="L3392" s="1115"/>
      <c r="M3392" s="1115"/>
    </row>
    <row r="3393" spans="1:13" x14ac:dyDescent="0.2">
      <c r="A3393" s="1115"/>
      <c r="B3393" s="1115"/>
      <c r="C3393" s="1115"/>
      <c r="D3393" s="1115"/>
      <c r="E3393" s="1115"/>
      <c r="F3393" s="1115"/>
      <c r="G3393" s="1115"/>
      <c r="H3393" s="1115"/>
      <c r="I3393" s="1115"/>
      <c r="J3393" s="1115"/>
      <c r="K3393" s="1115"/>
      <c r="L3393" s="1115"/>
      <c r="M3393" s="1115"/>
    </row>
    <row r="3394" spans="1:13" x14ac:dyDescent="0.2">
      <c r="A3394" s="1115"/>
      <c r="B3394" s="1115"/>
      <c r="C3394" s="1115"/>
      <c r="D3394" s="1115"/>
      <c r="E3394" s="1115"/>
      <c r="F3394" s="1115"/>
      <c r="G3394" s="1115"/>
      <c r="H3394" s="1115"/>
      <c r="I3394" s="1115"/>
      <c r="J3394" s="1115"/>
      <c r="K3394" s="1115"/>
      <c r="L3394" s="1115"/>
      <c r="M3394" s="1115"/>
    </row>
    <row r="3395" spans="1:13" x14ac:dyDescent="0.2">
      <c r="A3395" s="1115"/>
      <c r="B3395" s="1115"/>
      <c r="C3395" s="1115"/>
      <c r="D3395" s="1115"/>
      <c r="E3395" s="1115"/>
      <c r="F3395" s="1115"/>
      <c r="G3395" s="1115"/>
      <c r="H3395" s="1115"/>
      <c r="I3395" s="1115"/>
      <c r="J3395" s="1115"/>
      <c r="K3395" s="1115"/>
      <c r="L3395" s="1115"/>
      <c r="M3395" s="1115"/>
    </row>
    <row r="3396" spans="1:13" x14ac:dyDescent="0.2">
      <c r="A3396" s="1115"/>
      <c r="B3396" s="1115"/>
      <c r="C3396" s="1115"/>
      <c r="D3396" s="1115"/>
      <c r="E3396" s="1115"/>
      <c r="F3396" s="1115"/>
      <c r="G3396" s="1115"/>
      <c r="H3396" s="1115"/>
      <c r="I3396" s="1115"/>
      <c r="J3396" s="1115"/>
      <c r="K3396" s="1115"/>
      <c r="L3396" s="1115"/>
      <c r="M3396" s="1115"/>
    </row>
    <row r="3397" spans="1:13" x14ac:dyDescent="0.2">
      <c r="A3397" s="1115"/>
      <c r="B3397" s="1115"/>
      <c r="C3397" s="1115"/>
      <c r="D3397" s="1115"/>
      <c r="E3397" s="1115"/>
      <c r="F3397" s="1115"/>
      <c r="G3397" s="1115"/>
      <c r="H3397" s="1115"/>
      <c r="I3397" s="1115"/>
      <c r="J3397" s="1115"/>
      <c r="K3397" s="1115"/>
      <c r="L3397" s="1115"/>
      <c r="M3397" s="1115"/>
    </row>
    <row r="3398" spans="1:13" x14ac:dyDescent="0.2">
      <c r="A3398" s="1115"/>
      <c r="B3398" s="1115"/>
      <c r="C3398" s="1115"/>
      <c r="D3398" s="1115"/>
      <c r="E3398" s="1115"/>
      <c r="F3398" s="1115"/>
      <c r="G3398" s="1115"/>
      <c r="H3398" s="1115"/>
      <c r="I3398" s="1115"/>
      <c r="J3398" s="1115"/>
      <c r="K3398" s="1115"/>
      <c r="L3398" s="1115"/>
      <c r="M3398" s="1115"/>
    </row>
    <row r="3399" spans="1:13" x14ac:dyDescent="0.2">
      <c r="A3399" s="1115"/>
      <c r="B3399" s="1115"/>
      <c r="C3399" s="1115"/>
      <c r="D3399" s="1115"/>
      <c r="E3399" s="1115"/>
      <c r="F3399" s="1115"/>
      <c r="G3399" s="1115"/>
      <c r="H3399" s="1115"/>
      <c r="I3399" s="1115"/>
      <c r="J3399" s="1115"/>
      <c r="K3399" s="1115"/>
      <c r="L3399" s="1115"/>
      <c r="M3399" s="1115"/>
    </row>
    <row r="3400" spans="1:13" x14ac:dyDescent="0.2">
      <c r="A3400" s="1115"/>
      <c r="B3400" s="1115"/>
      <c r="C3400" s="1115"/>
      <c r="D3400" s="1115"/>
      <c r="E3400" s="1115"/>
      <c r="F3400" s="1115"/>
      <c r="G3400" s="1115"/>
      <c r="H3400" s="1115"/>
      <c r="I3400" s="1115"/>
      <c r="J3400" s="1115"/>
      <c r="K3400" s="1115"/>
      <c r="L3400" s="1115"/>
      <c r="M3400" s="1115"/>
    </row>
    <row r="3401" spans="1:13" x14ac:dyDescent="0.2">
      <c r="A3401" s="1115"/>
      <c r="B3401" s="1115"/>
      <c r="C3401" s="1115"/>
      <c r="D3401" s="1115"/>
      <c r="E3401" s="1115"/>
      <c r="F3401" s="1115"/>
      <c r="G3401" s="1115"/>
      <c r="H3401" s="1115"/>
      <c r="I3401" s="1115"/>
      <c r="J3401" s="1115"/>
      <c r="K3401" s="1115"/>
      <c r="L3401" s="1115"/>
      <c r="M3401" s="1115"/>
    </row>
    <row r="3402" spans="1:13" x14ac:dyDescent="0.2">
      <c r="A3402" s="1115"/>
      <c r="B3402" s="1115"/>
      <c r="C3402" s="1115"/>
      <c r="D3402" s="1115"/>
      <c r="E3402" s="1115"/>
      <c r="F3402" s="1115"/>
      <c r="G3402" s="1115"/>
      <c r="H3402" s="1115"/>
      <c r="I3402" s="1115"/>
      <c r="J3402" s="1115"/>
      <c r="K3402" s="1115"/>
      <c r="L3402" s="1115"/>
      <c r="M3402" s="1115"/>
    </row>
    <row r="3403" spans="1:13" x14ac:dyDescent="0.2">
      <c r="A3403" s="1115"/>
      <c r="B3403" s="1115"/>
      <c r="C3403" s="1115"/>
      <c r="D3403" s="1115"/>
      <c r="E3403" s="1115"/>
      <c r="F3403" s="1115"/>
      <c r="G3403" s="1115"/>
      <c r="H3403" s="1115"/>
      <c r="I3403" s="1115"/>
      <c r="J3403" s="1115"/>
      <c r="K3403" s="1115"/>
      <c r="L3403" s="1115"/>
      <c r="M3403" s="1115"/>
    </row>
    <row r="3404" spans="1:13" x14ac:dyDescent="0.2">
      <c r="A3404" s="1115"/>
      <c r="B3404" s="1115"/>
      <c r="C3404" s="1115"/>
      <c r="D3404" s="1115"/>
      <c r="E3404" s="1115"/>
      <c r="F3404" s="1115"/>
      <c r="G3404" s="1115"/>
      <c r="H3404" s="1115"/>
      <c r="I3404" s="1115"/>
      <c r="J3404" s="1115"/>
      <c r="K3404" s="1115"/>
      <c r="L3404" s="1115"/>
      <c r="M3404" s="1115"/>
    </row>
    <row r="3405" spans="1:13" x14ac:dyDescent="0.2">
      <c r="A3405" s="1115"/>
      <c r="B3405" s="1115"/>
      <c r="C3405" s="1115"/>
      <c r="D3405" s="1115"/>
      <c r="E3405" s="1115"/>
      <c r="F3405" s="1115"/>
      <c r="G3405" s="1115"/>
      <c r="H3405" s="1115"/>
      <c r="I3405" s="1115"/>
      <c r="J3405" s="1115"/>
      <c r="K3405" s="1115"/>
      <c r="L3405" s="1115"/>
      <c r="M3405" s="1115"/>
    </row>
    <row r="3406" spans="1:13" x14ac:dyDescent="0.2">
      <c r="A3406" s="1115"/>
      <c r="B3406" s="1115"/>
      <c r="C3406" s="1115"/>
      <c r="D3406" s="1115"/>
      <c r="E3406" s="1115"/>
      <c r="F3406" s="1115"/>
      <c r="G3406" s="1115"/>
      <c r="H3406" s="1115"/>
      <c r="I3406" s="1115"/>
      <c r="J3406" s="1115"/>
      <c r="K3406" s="1115"/>
      <c r="L3406" s="1115"/>
      <c r="M3406" s="1115"/>
    </row>
    <row r="3407" spans="1:13" x14ac:dyDescent="0.2">
      <c r="A3407" s="1115"/>
      <c r="B3407" s="1115"/>
      <c r="C3407" s="1115"/>
      <c r="D3407" s="1115"/>
      <c r="E3407" s="1115"/>
      <c r="F3407" s="1115"/>
      <c r="G3407" s="1115"/>
      <c r="H3407" s="1115"/>
      <c r="I3407" s="1115"/>
      <c r="J3407" s="1115"/>
      <c r="K3407" s="1115"/>
      <c r="L3407" s="1115"/>
      <c r="M3407" s="1115"/>
    </row>
    <row r="3408" spans="1:13" x14ac:dyDescent="0.2">
      <c r="A3408" s="1115"/>
      <c r="B3408" s="1115"/>
      <c r="C3408" s="1115"/>
      <c r="D3408" s="1115"/>
      <c r="E3408" s="1115"/>
      <c r="F3408" s="1115"/>
      <c r="G3408" s="1115"/>
      <c r="H3408" s="1115"/>
      <c r="I3408" s="1115"/>
      <c r="J3408" s="1115"/>
      <c r="K3408" s="1115"/>
      <c r="L3408" s="1115"/>
      <c r="M3408" s="1115"/>
    </row>
    <row r="3409" spans="1:13" x14ac:dyDescent="0.2">
      <c r="A3409" s="1115"/>
      <c r="B3409" s="1115"/>
      <c r="C3409" s="1115"/>
      <c r="D3409" s="1115"/>
      <c r="E3409" s="1115"/>
      <c r="F3409" s="1115"/>
      <c r="G3409" s="1115"/>
      <c r="H3409" s="1115"/>
      <c r="I3409" s="1115"/>
      <c r="J3409" s="1115"/>
      <c r="K3409" s="1115"/>
      <c r="L3409" s="1115"/>
      <c r="M3409" s="1115"/>
    </row>
    <row r="3410" spans="1:13" x14ac:dyDescent="0.2">
      <c r="A3410" s="1115"/>
      <c r="B3410" s="1115"/>
      <c r="C3410" s="1115"/>
      <c r="D3410" s="1115"/>
      <c r="E3410" s="1115"/>
      <c r="F3410" s="1115"/>
      <c r="G3410" s="1115"/>
      <c r="H3410" s="1115"/>
      <c r="I3410" s="1115"/>
      <c r="J3410" s="1115"/>
      <c r="K3410" s="1115"/>
      <c r="L3410" s="1115"/>
      <c r="M3410" s="1115"/>
    </row>
    <row r="3411" spans="1:13" x14ac:dyDescent="0.2">
      <c r="A3411" s="1115"/>
      <c r="B3411" s="1115"/>
      <c r="C3411" s="1115"/>
      <c r="D3411" s="1115"/>
      <c r="E3411" s="1115"/>
      <c r="F3411" s="1115"/>
      <c r="G3411" s="1115"/>
      <c r="H3411" s="1115"/>
      <c r="I3411" s="1115"/>
      <c r="J3411" s="1115"/>
      <c r="K3411" s="1115"/>
      <c r="L3411" s="1115"/>
      <c r="M3411" s="1115"/>
    </row>
    <row r="3412" spans="1:13" x14ac:dyDescent="0.2">
      <c r="A3412" s="1115"/>
      <c r="B3412" s="1115"/>
      <c r="C3412" s="1115"/>
      <c r="D3412" s="1115"/>
      <c r="E3412" s="1115"/>
      <c r="F3412" s="1115"/>
      <c r="G3412" s="1115"/>
      <c r="H3412" s="1115"/>
      <c r="I3412" s="1115"/>
      <c r="J3412" s="1115"/>
      <c r="K3412" s="1115"/>
      <c r="L3412" s="1115"/>
      <c r="M3412" s="1115"/>
    </row>
    <row r="3413" spans="1:13" x14ac:dyDescent="0.2">
      <c r="A3413" s="1115"/>
      <c r="B3413" s="1115"/>
      <c r="C3413" s="1115"/>
      <c r="D3413" s="1115"/>
      <c r="E3413" s="1115"/>
      <c r="F3413" s="1115"/>
      <c r="G3413" s="1115"/>
      <c r="H3413" s="1115"/>
      <c r="I3413" s="1115"/>
      <c r="J3413" s="1115"/>
      <c r="K3413" s="1115"/>
      <c r="L3413" s="1115"/>
      <c r="M3413" s="1115"/>
    </row>
    <row r="3414" spans="1:13" x14ac:dyDescent="0.2">
      <c r="A3414" s="1115"/>
      <c r="B3414" s="1115"/>
      <c r="C3414" s="1115"/>
      <c r="D3414" s="1115"/>
      <c r="E3414" s="1115"/>
      <c r="F3414" s="1115"/>
      <c r="G3414" s="1115"/>
      <c r="H3414" s="1115"/>
      <c r="I3414" s="1115"/>
      <c r="J3414" s="1115"/>
      <c r="K3414" s="1115"/>
      <c r="L3414" s="1115"/>
      <c r="M3414" s="1115"/>
    </row>
    <row r="3415" spans="1:13" x14ac:dyDescent="0.2">
      <c r="A3415" s="1115"/>
      <c r="B3415" s="1115"/>
      <c r="C3415" s="1115"/>
      <c r="D3415" s="1115"/>
      <c r="E3415" s="1115"/>
      <c r="F3415" s="1115"/>
      <c r="G3415" s="1115"/>
      <c r="H3415" s="1115"/>
      <c r="I3415" s="1115"/>
      <c r="J3415" s="1115"/>
      <c r="K3415" s="1115"/>
      <c r="L3415" s="1115"/>
      <c r="M3415" s="1115"/>
    </row>
    <row r="3416" spans="1:13" x14ac:dyDescent="0.2">
      <c r="A3416" s="1115"/>
      <c r="B3416" s="1115"/>
      <c r="C3416" s="1115"/>
      <c r="D3416" s="1115"/>
      <c r="E3416" s="1115"/>
      <c r="F3416" s="1115"/>
      <c r="G3416" s="1115"/>
      <c r="H3416" s="1115"/>
      <c r="I3416" s="1115"/>
      <c r="J3416" s="1115"/>
      <c r="K3416" s="1115"/>
      <c r="L3416" s="1115"/>
      <c r="M3416" s="1115"/>
    </row>
    <row r="3417" spans="1:13" x14ac:dyDescent="0.2">
      <c r="A3417" s="1115"/>
      <c r="B3417" s="1115"/>
      <c r="C3417" s="1115"/>
      <c r="D3417" s="1115"/>
      <c r="E3417" s="1115"/>
      <c r="F3417" s="1115"/>
      <c r="G3417" s="1115"/>
      <c r="H3417" s="1115"/>
      <c r="I3417" s="1115"/>
      <c r="J3417" s="1115"/>
      <c r="K3417" s="1115"/>
      <c r="L3417" s="1115"/>
      <c r="M3417" s="1115"/>
    </row>
    <row r="3418" spans="1:13" x14ac:dyDescent="0.2">
      <c r="A3418" s="1115"/>
      <c r="B3418" s="1115"/>
      <c r="C3418" s="1115"/>
      <c r="D3418" s="1115"/>
      <c r="E3418" s="1115"/>
      <c r="F3418" s="1115"/>
      <c r="G3418" s="1115"/>
      <c r="H3418" s="1115"/>
      <c r="I3418" s="1115"/>
      <c r="J3418" s="1115"/>
      <c r="K3418" s="1115"/>
      <c r="L3418" s="1115"/>
      <c r="M3418" s="1115"/>
    </row>
    <row r="3419" spans="1:13" x14ac:dyDescent="0.2">
      <c r="A3419" s="1115"/>
      <c r="B3419" s="1115"/>
      <c r="C3419" s="1115"/>
      <c r="D3419" s="1115"/>
      <c r="E3419" s="1115"/>
      <c r="F3419" s="1115"/>
      <c r="G3419" s="1115"/>
      <c r="H3419" s="1115"/>
      <c r="I3419" s="1115"/>
      <c r="J3419" s="1115"/>
      <c r="K3419" s="1115"/>
      <c r="L3419" s="1115"/>
      <c r="M3419" s="1115"/>
    </row>
    <row r="3420" spans="1:13" x14ac:dyDescent="0.2">
      <c r="A3420" s="1115"/>
      <c r="B3420" s="1115"/>
      <c r="C3420" s="1115"/>
      <c r="D3420" s="1115"/>
      <c r="E3420" s="1115"/>
      <c r="F3420" s="1115"/>
      <c r="G3420" s="1115"/>
      <c r="H3420" s="1115"/>
      <c r="I3420" s="1115"/>
      <c r="J3420" s="1115"/>
      <c r="K3420" s="1115"/>
      <c r="L3420" s="1115"/>
      <c r="M3420" s="1115"/>
    </row>
    <row r="3421" spans="1:13" x14ac:dyDescent="0.2">
      <c r="A3421" s="1115"/>
      <c r="B3421" s="1115"/>
      <c r="C3421" s="1115"/>
      <c r="D3421" s="1115"/>
      <c r="E3421" s="1115"/>
      <c r="F3421" s="1115"/>
      <c r="G3421" s="1115"/>
      <c r="H3421" s="1115"/>
      <c r="I3421" s="1115"/>
      <c r="J3421" s="1115"/>
      <c r="K3421" s="1115"/>
      <c r="L3421" s="1115"/>
      <c r="M3421" s="1115"/>
    </row>
    <row r="3422" spans="1:13" x14ac:dyDescent="0.2">
      <c r="A3422" s="1115"/>
      <c r="B3422" s="1115"/>
      <c r="C3422" s="1115"/>
      <c r="D3422" s="1115"/>
      <c r="E3422" s="1115"/>
      <c r="F3422" s="1115"/>
      <c r="G3422" s="1115"/>
      <c r="H3422" s="1115"/>
      <c r="I3422" s="1115"/>
      <c r="J3422" s="1115"/>
      <c r="K3422" s="1115"/>
      <c r="L3422" s="1115"/>
      <c r="M3422" s="1115"/>
    </row>
    <row r="3423" spans="1:13" x14ac:dyDescent="0.2">
      <c r="A3423" s="1115"/>
      <c r="B3423" s="1115"/>
      <c r="C3423" s="1115"/>
      <c r="D3423" s="1115"/>
      <c r="E3423" s="1115"/>
      <c r="F3423" s="1115"/>
      <c r="G3423" s="1115"/>
      <c r="H3423" s="1115"/>
      <c r="I3423" s="1115"/>
      <c r="J3423" s="1115"/>
      <c r="K3423" s="1115"/>
      <c r="L3423" s="1115"/>
      <c r="M3423" s="1115"/>
    </row>
    <row r="3424" spans="1:13" x14ac:dyDescent="0.2">
      <c r="A3424" s="1115"/>
      <c r="B3424" s="1115"/>
      <c r="C3424" s="1115"/>
      <c r="D3424" s="1115"/>
      <c r="E3424" s="1115"/>
      <c r="F3424" s="1115"/>
      <c r="G3424" s="1115"/>
      <c r="H3424" s="1115"/>
      <c r="I3424" s="1115"/>
      <c r="J3424" s="1115"/>
      <c r="K3424" s="1115"/>
      <c r="L3424" s="1115"/>
      <c r="M3424" s="1115"/>
    </row>
    <row r="3425" spans="1:13" x14ac:dyDescent="0.2">
      <c r="A3425" s="1115"/>
      <c r="B3425" s="1115"/>
      <c r="C3425" s="1115"/>
      <c r="D3425" s="1115"/>
      <c r="E3425" s="1115"/>
      <c r="F3425" s="1115"/>
      <c r="G3425" s="1115"/>
      <c r="H3425" s="1115"/>
      <c r="I3425" s="1115"/>
      <c r="J3425" s="1115"/>
      <c r="K3425" s="1115"/>
      <c r="L3425" s="1115"/>
      <c r="M3425" s="1115"/>
    </row>
    <row r="3426" spans="1:13" x14ac:dyDescent="0.2">
      <c r="A3426" s="1115"/>
      <c r="B3426" s="1115"/>
      <c r="C3426" s="1115"/>
      <c r="D3426" s="1115"/>
      <c r="E3426" s="1115"/>
      <c r="F3426" s="1115"/>
      <c r="G3426" s="1115"/>
      <c r="H3426" s="1115"/>
      <c r="I3426" s="1115"/>
      <c r="J3426" s="1115"/>
      <c r="K3426" s="1115"/>
      <c r="L3426" s="1115"/>
      <c r="M3426" s="1115"/>
    </row>
    <row r="3427" spans="1:13" x14ac:dyDescent="0.2">
      <c r="A3427" s="1115"/>
      <c r="B3427" s="1115"/>
      <c r="C3427" s="1115"/>
      <c r="D3427" s="1115"/>
      <c r="E3427" s="1115"/>
      <c r="F3427" s="1115"/>
      <c r="G3427" s="1115"/>
      <c r="H3427" s="1115"/>
      <c r="I3427" s="1115"/>
      <c r="J3427" s="1115"/>
      <c r="K3427" s="1115"/>
      <c r="L3427" s="1115"/>
      <c r="M3427" s="1115"/>
    </row>
    <row r="3428" spans="1:13" x14ac:dyDescent="0.2">
      <c r="A3428" s="1115"/>
      <c r="B3428" s="1115"/>
      <c r="C3428" s="1115"/>
      <c r="D3428" s="1115"/>
      <c r="E3428" s="1115"/>
      <c r="F3428" s="1115"/>
      <c r="G3428" s="1115"/>
      <c r="H3428" s="1115"/>
      <c r="I3428" s="1115"/>
      <c r="J3428" s="1115"/>
      <c r="K3428" s="1115"/>
      <c r="L3428" s="1115"/>
      <c r="M3428" s="1115"/>
    </row>
    <row r="3429" spans="1:13" x14ac:dyDescent="0.2">
      <c r="A3429" s="1115"/>
      <c r="B3429" s="1115"/>
      <c r="C3429" s="1115"/>
      <c r="D3429" s="1115"/>
      <c r="E3429" s="1115"/>
      <c r="F3429" s="1115"/>
      <c r="G3429" s="1115"/>
      <c r="H3429" s="1115"/>
      <c r="I3429" s="1115"/>
      <c r="J3429" s="1115"/>
      <c r="K3429" s="1115"/>
      <c r="L3429" s="1115"/>
      <c r="M3429" s="1115"/>
    </row>
    <row r="3430" spans="1:13" x14ac:dyDescent="0.2">
      <c r="A3430" s="1115"/>
      <c r="B3430" s="1115"/>
      <c r="C3430" s="1115"/>
      <c r="D3430" s="1115"/>
      <c r="E3430" s="1115"/>
      <c r="F3430" s="1115"/>
      <c r="G3430" s="1115"/>
      <c r="H3430" s="1115"/>
      <c r="I3430" s="1115"/>
      <c r="J3430" s="1115"/>
      <c r="K3430" s="1115"/>
      <c r="L3430" s="1115"/>
      <c r="M3430" s="1115"/>
    </row>
    <row r="3431" spans="1:13" x14ac:dyDescent="0.2">
      <c r="A3431" s="1115"/>
      <c r="B3431" s="1115"/>
      <c r="C3431" s="1115"/>
      <c r="D3431" s="1115"/>
      <c r="E3431" s="1115"/>
      <c r="F3431" s="1115"/>
      <c r="G3431" s="1115"/>
      <c r="H3431" s="1115"/>
      <c r="I3431" s="1115"/>
      <c r="J3431" s="1115"/>
      <c r="K3431" s="1115"/>
      <c r="L3431" s="1115"/>
      <c r="M3431" s="1115"/>
    </row>
    <row r="3432" spans="1:13" x14ac:dyDescent="0.2">
      <c r="A3432" s="1115"/>
      <c r="B3432" s="1115"/>
      <c r="C3432" s="1115"/>
      <c r="D3432" s="1115"/>
      <c r="E3432" s="1115"/>
      <c r="F3432" s="1115"/>
      <c r="G3432" s="1115"/>
      <c r="H3432" s="1115"/>
      <c r="I3432" s="1115"/>
      <c r="J3432" s="1115"/>
      <c r="K3432" s="1115"/>
      <c r="L3432" s="1115"/>
      <c r="M3432" s="1115"/>
    </row>
    <row r="3433" spans="1:13" x14ac:dyDescent="0.2">
      <c r="A3433" s="1115"/>
      <c r="B3433" s="1115"/>
      <c r="C3433" s="1115"/>
      <c r="D3433" s="1115"/>
      <c r="E3433" s="1115"/>
      <c r="F3433" s="1115"/>
      <c r="G3433" s="1115"/>
      <c r="H3433" s="1115"/>
      <c r="I3433" s="1115"/>
      <c r="J3433" s="1115"/>
      <c r="K3433" s="1115"/>
      <c r="L3433" s="1115"/>
      <c r="M3433" s="1115"/>
    </row>
    <row r="3434" spans="1:13" x14ac:dyDescent="0.2">
      <c r="A3434" s="1115"/>
      <c r="B3434" s="1115"/>
      <c r="C3434" s="1115"/>
      <c r="D3434" s="1115"/>
      <c r="E3434" s="1115"/>
      <c r="F3434" s="1115"/>
      <c r="G3434" s="1115"/>
      <c r="H3434" s="1115"/>
      <c r="I3434" s="1115"/>
      <c r="J3434" s="1115"/>
      <c r="K3434" s="1115"/>
      <c r="L3434" s="1115"/>
      <c r="M3434" s="1115"/>
    </row>
    <row r="3435" spans="1:13" x14ac:dyDescent="0.2">
      <c r="A3435" s="1115"/>
      <c r="B3435" s="1115"/>
      <c r="C3435" s="1115"/>
      <c r="D3435" s="1115"/>
      <c r="E3435" s="1115"/>
      <c r="F3435" s="1115"/>
      <c r="G3435" s="1115"/>
      <c r="H3435" s="1115"/>
      <c r="I3435" s="1115"/>
      <c r="J3435" s="1115"/>
      <c r="K3435" s="1115"/>
      <c r="L3435" s="1115"/>
      <c r="M3435" s="1115"/>
    </row>
    <row r="3436" spans="1:13" x14ac:dyDescent="0.2">
      <c r="A3436" s="1115"/>
      <c r="B3436" s="1115"/>
      <c r="C3436" s="1115"/>
      <c r="D3436" s="1115"/>
      <c r="E3436" s="1115"/>
      <c r="F3436" s="1115"/>
      <c r="G3436" s="1115"/>
      <c r="H3436" s="1115"/>
      <c r="I3436" s="1115"/>
      <c r="J3436" s="1115"/>
      <c r="K3436" s="1115"/>
      <c r="L3436" s="1115"/>
      <c r="M3436" s="1115"/>
    </row>
    <row r="3437" spans="1:13" x14ac:dyDescent="0.2">
      <c r="A3437" s="1115"/>
      <c r="B3437" s="1115"/>
      <c r="C3437" s="1115"/>
      <c r="D3437" s="1115"/>
      <c r="E3437" s="1115"/>
      <c r="F3437" s="1115"/>
      <c r="G3437" s="1115"/>
      <c r="H3437" s="1115"/>
      <c r="I3437" s="1115"/>
      <c r="J3437" s="1115"/>
      <c r="K3437" s="1115"/>
      <c r="L3437" s="1115"/>
      <c r="M3437" s="1115"/>
    </row>
    <row r="3438" spans="1:13" x14ac:dyDescent="0.2">
      <c r="A3438" s="1115"/>
      <c r="B3438" s="1115"/>
      <c r="C3438" s="1115"/>
      <c r="D3438" s="1115"/>
      <c r="E3438" s="1115"/>
      <c r="F3438" s="1115"/>
      <c r="G3438" s="1115"/>
      <c r="H3438" s="1115"/>
      <c r="I3438" s="1115"/>
      <c r="J3438" s="1115"/>
      <c r="K3438" s="1115"/>
      <c r="L3438" s="1115"/>
      <c r="M3438" s="1115"/>
    </row>
    <row r="3439" spans="1:13" x14ac:dyDescent="0.2">
      <c r="A3439" s="1115"/>
      <c r="B3439" s="1115"/>
      <c r="C3439" s="1115"/>
      <c r="D3439" s="1115"/>
      <c r="E3439" s="1115"/>
      <c r="F3439" s="1115"/>
      <c r="G3439" s="1115"/>
      <c r="H3439" s="1115"/>
      <c r="I3439" s="1115"/>
      <c r="J3439" s="1115"/>
      <c r="K3439" s="1115"/>
      <c r="L3439" s="1115"/>
      <c r="M3439" s="1115"/>
    </row>
    <row r="3440" spans="1:13" x14ac:dyDescent="0.2">
      <c r="A3440" s="1115"/>
      <c r="B3440" s="1115"/>
      <c r="C3440" s="1115"/>
      <c r="D3440" s="1115"/>
      <c r="E3440" s="1115"/>
      <c r="F3440" s="1115"/>
      <c r="G3440" s="1115"/>
      <c r="H3440" s="1115"/>
      <c r="I3440" s="1115"/>
      <c r="J3440" s="1115"/>
      <c r="K3440" s="1115"/>
      <c r="L3440" s="1115"/>
      <c r="M3440" s="1115"/>
    </row>
    <row r="3441" spans="1:13" x14ac:dyDescent="0.2">
      <c r="A3441" s="1115"/>
      <c r="B3441" s="1115"/>
      <c r="C3441" s="1115"/>
      <c r="D3441" s="1115"/>
      <c r="E3441" s="1115"/>
      <c r="F3441" s="1115"/>
      <c r="G3441" s="1115"/>
      <c r="H3441" s="1115"/>
      <c r="I3441" s="1115"/>
      <c r="J3441" s="1115"/>
      <c r="K3441" s="1115"/>
      <c r="L3441" s="1115"/>
      <c r="M3441" s="1115"/>
    </row>
    <row r="3442" spans="1:13" x14ac:dyDescent="0.2">
      <c r="A3442" s="1115"/>
      <c r="B3442" s="1115"/>
      <c r="C3442" s="1115"/>
      <c r="D3442" s="1115"/>
      <c r="E3442" s="1115"/>
      <c r="F3442" s="1115"/>
      <c r="G3442" s="1115"/>
      <c r="H3442" s="1115"/>
      <c r="I3442" s="1115"/>
      <c r="J3442" s="1115"/>
      <c r="K3442" s="1115"/>
      <c r="L3442" s="1115"/>
      <c r="M3442" s="1115"/>
    </row>
    <row r="3443" spans="1:13" x14ac:dyDescent="0.2">
      <c r="A3443" s="1115"/>
      <c r="B3443" s="1115"/>
      <c r="C3443" s="1115"/>
      <c r="D3443" s="1115"/>
      <c r="E3443" s="1115"/>
      <c r="F3443" s="1115"/>
      <c r="G3443" s="1115"/>
      <c r="H3443" s="1115"/>
      <c r="I3443" s="1115"/>
      <c r="J3443" s="1115"/>
      <c r="K3443" s="1115"/>
      <c r="L3443" s="1115"/>
      <c r="M3443" s="1115"/>
    </row>
    <row r="3444" spans="1:13" x14ac:dyDescent="0.2">
      <c r="A3444" s="1115"/>
      <c r="B3444" s="1115"/>
      <c r="C3444" s="1115"/>
      <c r="D3444" s="1115"/>
      <c r="E3444" s="1115"/>
      <c r="F3444" s="1115"/>
      <c r="G3444" s="1115"/>
      <c r="H3444" s="1115"/>
      <c r="I3444" s="1115"/>
      <c r="J3444" s="1115"/>
      <c r="K3444" s="1115"/>
      <c r="L3444" s="1115"/>
      <c r="M3444" s="1115"/>
    </row>
    <row r="3445" spans="1:13" x14ac:dyDescent="0.2">
      <c r="A3445" s="1115"/>
      <c r="B3445" s="1115"/>
      <c r="C3445" s="1115"/>
      <c r="D3445" s="1115"/>
      <c r="E3445" s="1115"/>
      <c r="F3445" s="1115"/>
      <c r="G3445" s="1115"/>
      <c r="H3445" s="1115"/>
      <c r="I3445" s="1115"/>
      <c r="J3445" s="1115"/>
      <c r="K3445" s="1115"/>
      <c r="L3445" s="1115"/>
      <c r="M3445" s="1115"/>
    </row>
    <row r="3446" spans="1:13" x14ac:dyDescent="0.2">
      <c r="A3446" s="1115"/>
      <c r="B3446" s="1115"/>
      <c r="C3446" s="1115"/>
      <c r="D3446" s="1115"/>
      <c r="E3446" s="1115"/>
      <c r="F3446" s="1115"/>
      <c r="G3446" s="1115"/>
      <c r="H3446" s="1115"/>
      <c r="I3446" s="1115"/>
      <c r="J3446" s="1115"/>
      <c r="K3446" s="1115"/>
      <c r="L3446" s="1115"/>
      <c r="M3446" s="1115"/>
    </row>
    <row r="3447" spans="1:13" x14ac:dyDescent="0.2">
      <c r="A3447" s="1115"/>
      <c r="B3447" s="1115"/>
      <c r="C3447" s="1115"/>
      <c r="D3447" s="1115"/>
      <c r="E3447" s="1115"/>
      <c r="F3447" s="1115"/>
      <c r="G3447" s="1115"/>
      <c r="H3447" s="1115"/>
      <c r="I3447" s="1115"/>
      <c r="J3447" s="1115"/>
      <c r="K3447" s="1115"/>
      <c r="L3447" s="1115"/>
      <c r="M3447" s="1115"/>
    </row>
    <row r="3448" spans="1:13" x14ac:dyDescent="0.2">
      <c r="A3448" s="1115"/>
      <c r="B3448" s="1115"/>
      <c r="C3448" s="1115"/>
      <c r="D3448" s="1115"/>
      <c r="E3448" s="1115"/>
      <c r="F3448" s="1115"/>
      <c r="G3448" s="1115"/>
      <c r="H3448" s="1115"/>
      <c r="I3448" s="1115"/>
      <c r="J3448" s="1115"/>
      <c r="K3448" s="1115"/>
      <c r="L3448" s="1115"/>
      <c r="M3448" s="1115"/>
    </row>
    <row r="3449" spans="1:13" x14ac:dyDescent="0.2">
      <c r="A3449" s="1115"/>
      <c r="B3449" s="1115"/>
      <c r="C3449" s="1115"/>
      <c r="D3449" s="1115"/>
      <c r="E3449" s="1115"/>
      <c r="F3449" s="1115"/>
      <c r="G3449" s="1115"/>
      <c r="H3449" s="1115"/>
      <c r="I3449" s="1115"/>
      <c r="J3449" s="1115"/>
      <c r="K3449" s="1115"/>
      <c r="L3449" s="1115"/>
      <c r="M3449" s="1115"/>
    </row>
    <row r="3450" spans="1:13" x14ac:dyDescent="0.2">
      <c r="A3450" s="1115"/>
      <c r="B3450" s="1115"/>
      <c r="C3450" s="1115"/>
      <c r="D3450" s="1115"/>
      <c r="E3450" s="1115"/>
      <c r="F3450" s="1115"/>
      <c r="G3450" s="1115"/>
      <c r="H3450" s="1115"/>
      <c r="I3450" s="1115"/>
      <c r="J3450" s="1115"/>
      <c r="K3450" s="1115"/>
      <c r="L3450" s="1115"/>
      <c r="M3450" s="1115"/>
    </row>
    <row r="3451" spans="1:13" x14ac:dyDescent="0.2">
      <c r="A3451" s="1115"/>
      <c r="B3451" s="1115"/>
      <c r="C3451" s="1115"/>
      <c r="D3451" s="1115"/>
      <c r="E3451" s="1115"/>
      <c r="F3451" s="1115"/>
      <c r="G3451" s="1115"/>
      <c r="H3451" s="1115"/>
      <c r="I3451" s="1115"/>
      <c r="J3451" s="1115"/>
      <c r="K3451" s="1115"/>
      <c r="L3451" s="1115"/>
      <c r="M3451" s="1115"/>
    </row>
    <row r="3452" spans="1:13" x14ac:dyDescent="0.2">
      <c r="A3452" s="1115"/>
      <c r="B3452" s="1115"/>
      <c r="C3452" s="1115"/>
      <c r="D3452" s="1115"/>
      <c r="E3452" s="1115"/>
      <c r="F3452" s="1115"/>
      <c r="G3452" s="1115"/>
      <c r="H3452" s="1115"/>
      <c r="I3452" s="1115"/>
      <c r="J3452" s="1115"/>
      <c r="K3452" s="1115"/>
      <c r="L3452" s="1115"/>
      <c r="M3452" s="1115"/>
    </row>
    <row r="3453" spans="1:13" x14ac:dyDescent="0.2">
      <c r="A3453" s="1115"/>
      <c r="B3453" s="1115"/>
      <c r="C3453" s="1115"/>
      <c r="D3453" s="1115"/>
      <c r="E3453" s="1115"/>
      <c r="F3453" s="1115"/>
      <c r="G3453" s="1115"/>
      <c r="H3453" s="1115"/>
      <c r="I3453" s="1115"/>
      <c r="J3453" s="1115"/>
      <c r="K3453" s="1115"/>
      <c r="L3453" s="1115"/>
      <c r="M3453" s="1115"/>
    </row>
    <row r="3454" spans="1:13" x14ac:dyDescent="0.2">
      <c r="A3454" s="1115"/>
      <c r="B3454" s="1115"/>
      <c r="C3454" s="1115"/>
      <c r="D3454" s="1115"/>
      <c r="E3454" s="1115"/>
      <c r="F3454" s="1115"/>
      <c r="G3454" s="1115"/>
      <c r="H3454" s="1115"/>
      <c r="I3454" s="1115"/>
      <c r="J3454" s="1115"/>
      <c r="K3454" s="1115"/>
      <c r="L3454" s="1115"/>
      <c r="M3454" s="1115"/>
    </row>
    <row r="3455" spans="1:13" x14ac:dyDescent="0.2">
      <c r="A3455" s="1115"/>
      <c r="B3455" s="1115"/>
      <c r="C3455" s="1115"/>
      <c r="D3455" s="1115"/>
      <c r="E3455" s="1115"/>
      <c r="F3455" s="1115"/>
      <c r="G3455" s="1115"/>
      <c r="H3455" s="1115"/>
      <c r="I3455" s="1115"/>
      <c r="J3455" s="1115"/>
      <c r="K3455" s="1115"/>
      <c r="L3455" s="1115"/>
      <c r="M3455" s="1115"/>
    </row>
    <row r="3456" spans="1:13" x14ac:dyDescent="0.2">
      <c r="A3456" s="1115"/>
      <c r="B3456" s="1115"/>
      <c r="C3456" s="1115"/>
      <c r="D3456" s="1115"/>
      <c r="E3456" s="1115"/>
      <c r="F3456" s="1115"/>
      <c r="G3456" s="1115"/>
      <c r="H3456" s="1115"/>
      <c r="I3456" s="1115"/>
      <c r="J3456" s="1115"/>
      <c r="K3456" s="1115"/>
      <c r="L3456" s="1115"/>
      <c r="M3456" s="1115"/>
    </row>
    <row r="3457" spans="1:13" x14ac:dyDescent="0.2">
      <c r="A3457" s="1115"/>
      <c r="B3457" s="1115"/>
      <c r="C3457" s="1115"/>
      <c r="D3457" s="1115"/>
      <c r="E3457" s="1115"/>
      <c r="F3457" s="1115"/>
      <c r="G3457" s="1115"/>
      <c r="H3457" s="1115"/>
      <c r="I3457" s="1115"/>
      <c r="J3457" s="1115"/>
      <c r="K3457" s="1115"/>
      <c r="L3457" s="1115"/>
      <c r="M3457" s="1115"/>
    </row>
    <row r="3458" spans="1:13" x14ac:dyDescent="0.2">
      <c r="A3458" s="1115"/>
      <c r="B3458" s="1115"/>
      <c r="C3458" s="1115"/>
      <c r="D3458" s="1115"/>
      <c r="E3458" s="1115"/>
      <c r="F3458" s="1115"/>
      <c r="G3458" s="1115"/>
      <c r="H3458" s="1115"/>
      <c r="I3458" s="1115"/>
      <c r="J3458" s="1115"/>
      <c r="K3458" s="1115"/>
      <c r="L3458" s="1115"/>
      <c r="M3458" s="1115"/>
    </row>
    <row r="3459" spans="1:13" x14ac:dyDescent="0.2">
      <c r="A3459" s="1115"/>
      <c r="B3459" s="1115"/>
      <c r="C3459" s="1115"/>
      <c r="D3459" s="1115"/>
      <c r="E3459" s="1115"/>
      <c r="F3459" s="1115"/>
      <c r="G3459" s="1115"/>
      <c r="H3459" s="1115"/>
      <c r="I3459" s="1115"/>
      <c r="J3459" s="1115"/>
      <c r="K3459" s="1115"/>
      <c r="L3459" s="1115"/>
      <c r="M3459" s="1115"/>
    </row>
    <row r="3460" spans="1:13" x14ac:dyDescent="0.2">
      <c r="A3460" s="1115"/>
      <c r="B3460" s="1115"/>
      <c r="C3460" s="1115"/>
      <c r="D3460" s="1115"/>
      <c r="E3460" s="1115"/>
      <c r="F3460" s="1115"/>
      <c r="G3460" s="1115"/>
      <c r="H3460" s="1115"/>
      <c r="I3460" s="1115"/>
      <c r="J3460" s="1115"/>
      <c r="K3460" s="1115"/>
      <c r="L3460" s="1115"/>
      <c r="M3460" s="1115"/>
    </row>
    <row r="3461" spans="1:13" x14ac:dyDescent="0.2">
      <c r="A3461" s="1115"/>
      <c r="B3461" s="1115"/>
      <c r="C3461" s="1115"/>
      <c r="D3461" s="1115"/>
      <c r="E3461" s="1115"/>
      <c r="F3461" s="1115"/>
      <c r="G3461" s="1115"/>
      <c r="H3461" s="1115"/>
      <c r="I3461" s="1115"/>
      <c r="J3461" s="1115"/>
      <c r="K3461" s="1115"/>
      <c r="L3461" s="1115"/>
      <c r="M3461" s="1115"/>
    </row>
    <row r="3462" spans="1:13" x14ac:dyDescent="0.2">
      <c r="A3462" s="1115"/>
      <c r="B3462" s="1115"/>
      <c r="C3462" s="1115"/>
      <c r="D3462" s="1115"/>
      <c r="E3462" s="1115"/>
      <c r="F3462" s="1115"/>
      <c r="G3462" s="1115"/>
      <c r="H3462" s="1115"/>
      <c r="I3462" s="1115"/>
      <c r="J3462" s="1115"/>
      <c r="K3462" s="1115"/>
      <c r="L3462" s="1115"/>
      <c r="M3462" s="1115"/>
    </row>
    <row r="3463" spans="1:13" x14ac:dyDescent="0.2">
      <c r="A3463" s="1115"/>
      <c r="B3463" s="1115"/>
      <c r="C3463" s="1115"/>
      <c r="D3463" s="1115"/>
      <c r="E3463" s="1115"/>
      <c r="F3463" s="1115"/>
      <c r="G3463" s="1115"/>
      <c r="H3463" s="1115"/>
      <c r="I3463" s="1115"/>
      <c r="J3463" s="1115"/>
      <c r="K3463" s="1115"/>
      <c r="L3463" s="1115"/>
      <c r="M3463" s="1115"/>
    </row>
    <row r="3464" spans="1:13" x14ac:dyDescent="0.2">
      <c r="A3464" s="1115"/>
      <c r="B3464" s="1115"/>
      <c r="C3464" s="1115"/>
      <c r="D3464" s="1115"/>
      <c r="E3464" s="1115"/>
      <c r="F3464" s="1115"/>
      <c r="G3464" s="1115"/>
      <c r="H3464" s="1115"/>
      <c r="I3464" s="1115"/>
      <c r="J3464" s="1115"/>
      <c r="K3464" s="1115"/>
      <c r="L3464" s="1115"/>
      <c r="M3464" s="1115"/>
    </row>
    <row r="3465" spans="1:13" x14ac:dyDescent="0.2">
      <c r="A3465" s="1115"/>
      <c r="B3465" s="1115"/>
      <c r="C3465" s="1115"/>
      <c r="D3465" s="1115"/>
      <c r="E3465" s="1115"/>
      <c r="F3465" s="1115"/>
      <c r="G3465" s="1115"/>
      <c r="H3465" s="1115"/>
      <c r="I3465" s="1115"/>
      <c r="J3465" s="1115"/>
      <c r="K3465" s="1115"/>
      <c r="L3465" s="1115"/>
      <c r="M3465" s="1115"/>
    </row>
    <row r="3466" spans="1:13" x14ac:dyDescent="0.2">
      <c r="A3466" s="1115"/>
      <c r="B3466" s="1115"/>
      <c r="C3466" s="1115"/>
      <c r="D3466" s="1115"/>
      <c r="E3466" s="1115"/>
      <c r="F3466" s="1115"/>
      <c r="G3466" s="1115"/>
      <c r="H3466" s="1115"/>
      <c r="I3466" s="1115"/>
      <c r="J3466" s="1115"/>
      <c r="K3466" s="1115"/>
      <c r="L3466" s="1115"/>
      <c r="M3466" s="1115"/>
    </row>
    <row r="3467" spans="1:13" x14ac:dyDescent="0.2">
      <c r="A3467" s="1115"/>
      <c r="B3467" s="1115"/>
      <c r="C3467" s="1115"/>
      <c r="D3467" s="1115"/>
      <c r="E3467" s="1115"/>
      <c r="F3467" s="1115"/>
      <c r="G3467" s="1115"/>
      <c r="H3467" s="1115"/>
      <c r="I3467" s="1115"/>
      <c r="J3467" s="1115"/>
      <c r="K3467" s="1115"/>
      <c r="L3467" s="1115"/>
      <c r="M3467" s="1115"/>
    </row>
    <row r="3468" spans="1:13" x14ac:dyDescent="0.2">
      <c r="A3468" s="1115"/>
      <c r="B3468" s="1115"/>
      <c r="C3468" s="1115"/>
      <c r="D3468" s="1115"/>
      <c r="E3468" s="1115"/>
      <c r="F3468" s="1115"/>
      <c r="G3468" s="1115"/>
      <c r="H3468" s="1115"/>
      <c r="I3468" s="1115"/>
      <c r="J3468" s="1115"/>
      <c r="K3468" s="1115"/>
      <c r="L3468" s="1115"/>
      <c r="M3468" s="1115"/>
    </row>
    <row r="3469" spans="1:13" x14ac:dyDescent="0.2">
      <c r="A3469" s="1115"/>
      <c r="B3469" s="1115"/>
      <c r="C3469" s="1115"/>
      <c r="D3469" s="1115"/>
      <c r="E3469" s="1115"/>
      <c r="F3469" s="1115"/>
      <c r="G3469" s="1115"/>
      <c r="H3469" s="1115"/>
      <c r="I3469" s="1115"/>
      <c r="J3469" s="1115"/>
      <c r="K3469" s="1115"/>
      <c r="L3469" s="1115"/>
      <c r="M3469" s="1115"/>
    </row>
    <row r="3470" spans="1:13" x14ac:dyDescent="0.2">
      <c r="A3470" s="1115"/>
      <c r="B3470" s="1115"/>
      <c r="C3470" s="1115"/>
      <c r="D3470" s="1115"/>
      <c r="E3470" s="1115"/>
      <c r="F3470" s="1115"/>
      <c r="G3470" s="1115"/>
      <c r="H3470" s="1115"/>
      <c r="I3470" s="1115"/>
      <c r="J3470" s="1115"/>
      <c r="K3470" s="1115"/>
      <c r="L3470" s="1115"/>
      <c r="M3470" s="1115"/>
    </row>
    <row r="3471" spans="1:13" x14ac:dyDescent="0.2">
      <c r="A3471" s="1115"/>
      <c r="B3471" s="1115"/>
      <c r="C3471" s="1115"/>
      <c r="D3471" s="1115"/>
      <c r="E3471" s="1115"/>
      <c r="F3471" s="1115"/>
      <c r="G3471" s="1115"/>
      <c r="H3471" s="1115"/>
      <c r="I3471" s="1115"/>
      <c r="J3471" s="1115"/>
      <c r="K3471" s="1115"/>
      <c r="L3471" s="1115"/>
      <c r="M3471" s="1115"/>
    </row>
    <row r="3472" spans="1:13" x14ac:dyDescent="0.2">
      <c r="A3472" s="1115"/>
      <c r="B3472" s="1115"/>
      <c r="C3472" s="1115"/>
      <c r="D3472" s="1115"/>
      <c r="E3472" s="1115"/>
      <c r="F3472" s="1115"/>
      <c r="G3472" s="1115"/>
      <c r="H3472" s="1115"/>
      <c r="I3472" s="1115"/>
      <c r="J3472" s="1115"/>
      <c r="K3472" s="1115"/>
      <c r="L3472" s="1115"/>
      <c r="M3472" s="1115"/>
    </row>
    <row r="3473" spans="1:13" x14ac:dyDescent="0.2">
      <c r="A3473" s="1115"/>
      <c r="B3473" s="1115"/>
      <c r="C3473" s="1115"/>
      <c r="D3473" s="1115"/>
      <c r="E3473" s="1115"/>
      <c r="F3473" s="1115"/>
      <c r="G3473" s="1115"/>
      <c r="H3473" s="1115"/>
      <c r="I3473" s="1115"/>
      <c r="J3473" s="1115"/>
      <c r="K3473" s="1115"/>
      <c r="L3473" s="1115"/>
      <c r="M3473" s="1115"/>
    </row>
    <row r="3474" spans="1:13" x14ac:dyDescent="0.2">
      <c r="A3474" s="1115"/>
      <c r="B3474" s="1115"/>
      <c r="C3474" s="1115"/>
      <c r="D3474" s="1115"/>
      <c r="E3474" s="1115"/>
      <c r="F3474" s="1115"/>
      <c r="G3474" s="1115"/>
      <c r="H3474" s="1115"/>
      <c r="I3474" s="1115"/>
      <c r="J3474" s="1115"/>
      <c r="K3474" s="1115"/>
      <c r="L3474" s="1115"/>
      <c r="M3474" s="1115"/>
    </row>
    <row r="3475" spans="1:13" x14ac:dyDescent="0.2">
      <c r="A3475" s="1115"/>
      <c r="B3475" s="1115"/>
      <c r="C3475" s="1115"/>
      <c r="D3475" s="1115"/>
      <c r="E3475" s="1115"/>
      <c r="F3475" s="1115"/>
      <c r="G3475" s="1115"/>
      <c r="H3475" s="1115"/>
      <c r="I3475" s="1115"/>
      <c r="J3475" s="1115"/>
      <c r="K3475" s="1115"/>
      <c r="L3475" s="1115"/>
      <c r="M3475" s="1115"/>
    </row>
    <row r="3476" spans="1:13" x14ac:dyDescent="0.2">
      <c r="A3476" s="1115"/>
      <c r="B3476" s="1115"/>
      <c r="C3476" s="1115"/>
      <c r="D3476" s="1115"/>
      <c r="E3476" s="1115"/>
      <c r="F3476" s="1115"/>
      <c r="G3476" s="1115"/>
      <c r="H3476" s="1115"/>
      <c r="I3476" s="1115"/>
      <c r="J3476" s="1115"/>
      <c r="K3476" s="1115"/>
      <c r="L3476" s="1115"/>
      <c r="M3476" s="1115"/>
    </row>
    <row r="3477" spans="1:13" x14ac:dyDescent="0.2">
      <c r="A3477" s="1115"/>
      <c r="B3477" s="1115"/>
      <c r="C3477" s="1115"/>
      <c r="D3477" s="1115"/>
      <c r="E3477" s="1115"/>
      <c r="F3477" s="1115"/>
      <c r="G3477" s="1115"/>
      <c r="H3477" s="1115"/>
      <c r="I3477" s="1115"/>
      <c r="J3477" s="1115"/>
      <c r="K3477" s="1115"/>
      <c r="L3477" s="1115"/>
      <c r="M3477" s="1115"/>
    </row>
    <row r="3478" spans="1:13" x14ac:dyDescent="0.2">
      <c r="A3478" s="1115"/>
      <c r="B3478" s="1115"/>
      <c r="C3478" s="1115"/>
      <c r="D3478" s="1115"/>
      <c r="E3478" s="1115"/>
      <c r="F3478" s="1115"/>
      <c r="G3478" s="1115"/>
      <c r="H3478" s="1115"/>
      <c r="I3478" s="1115"/>
      <c r="J3478" s="1115"/>
      <c r="K3478" s="1115"/>
      <c r="L3478" s="1115"/>
      <c r="M3478" s="1115"/>
    </row>
    <row r="3479" spans="1:13" x14ac:dyDescent="0.2">
      <c r="A3479" s="1115"/>
      <c r="B3479" s="1115"/>
      <c r="C3479" s="1115"/>
      <c r="D3479" s="1115"/>
      <c r="E3479" s="1115"/>
      <c r="F3479" s="1115"/>
      <c r="G3479" s="1115"/>
      <c r="H3479" s="1115"/>
      <c r="I3479" s="1115"/>
      <c r="J3479" s="1115"/>
      <c r="K3479" s="1115"/>
      <c r="L3479" s="1115"/>
      <c r="M3479" s="1115"/>
    </row>
    <row r="3480" spans="1:13" x14ac:dyDescent="0.2">
      <c r="A3480" s="1115"/>
      <c r="B3480" s="1115"/>
      <c r="C3480" s="1115"/>
      <c r="D3480" s="1115"/>
      <c r="E3480" s="1115"/>
      <c r="F3480" s="1115"/>
      <c r="G3480" s="1115"/>
      <c r="H3480" s="1115"/>
      <c r="I3480" s="1115"/>
      <c r="J3480" s="1115"/>
      <c r="K3480" s="1115"/>
      <c r="L3480" s="1115"/>
      <c r="M3480" s="1115"/>
    </row>
    <row r="3481" spans="1:13" x14ac:dyDescent="0.2">
      <c r="A3481" s="1115"/>
      <c r="B3481" s="1115"/>
      <c r="C3481" s="1115"/>
      <c r="D3481" s="1115"/>
      <c r="E3481" s="1115"/>
      <c r="F3481" s="1115"/>
      <c r="G3481" s="1115"/>
      <c r="H3481" s="1115"/>
      <c r="I3481" s="1115"/>
      <c r="J3481" s="1115"/>
      <c r="K3481" s="1115"/>
      <c r="L3481" s="1115"/>
      <c r="M3481" s="1115"/>
    </row>
    <row r="3482" spans="1:13" x14ac:dyDescent="0.2">
      <c r="A3482" s="1115"/>
      <c r="B3482" s="1115"/>
      <c r="C3482" s="1115"/>
      <c r="D3482" s="1115"/>
      <c r="E3482" s="1115"/>
      <c r="F3482" s="1115"/>
      <c r="G3482" s="1115"/>
      <c r="H3482" s="1115"/>
      <c r="I3482" s="1115"/>
      <c r="J3482" s="1115"/>
      <c r="K3482" s="1115"/>
      <c r="L3482" s="1115"/>
      <c r="M3482" s="1115"/>
    </row>
    <row r="3483" spans="1:13" x14ac:dyDescent="0.2">
      <c r="A3483" s="1115"/>
      <c r="B3483" s="1115"/>
      <c r="C3483" s="1115"/>
      <c r="D3483" s="1115"/>
      <c r="E3483" s="1115"/>
      <c r="F3483" s="1115"/>
      <c r="G3483" s="1115"/>
      <c r="H3483" s="1115"/>
      <c r="I3483" s="1115"/>
      <c r="J3483" s="1115"/>
      <c r="K3483" s="1115"/>
      <c r="L3483" s="1115"/>
      <c r="M3483" s="1115"/>
    </row>
    <row r="3484" spans="1:13" x14ac:dyDescent="0.2">
      <c r="A3484" s="1115"/>
      <c r="B3484" s="1115"/>
      <c r="C3484" s="1115"/>
      <c r="D3484" s="1115"/>
      <c r="E3484" s="1115"/>
      <c r="F3484" s="1115"/>
      <c r="G3484" s="1115"/>
      <c r="H3484" s="1115"/>
      <c r="I3484" s="1115"/>
      <c r="J3484" s="1115"/>
      <c r="K3484" s="1115"/>
      <c r="L3484" s="1115"/>
      <c r="M3484" s="1115"/>
    </row>
    <row r="3485" spans="1:13" x14ac:dyDescent="0.2">
      <c r="A3485" s="1115"/>
      <c r="B3485" s="1115"/>
      <c r="C3485" s="1115"/>
      <c r="D3485" s="1115"/>
      <c r="E3485" s="1115"/>
      <c r="F3485" s="1115"/>
      <c r="G3485" s="1115"/>
      <c r="H3485" s="1115"/>
      <c r="I3485" s="1115"/>
      <c r="J3485" s="1115"/>
      <c r="K3485" s="1115"/>
      <c r="L3485" s="1115"/>
      <c r="M3485" s="1115"/>
    </row>
    <row r="3486" spans="1:13" x14ac:dyDescent="0.2">
      <c r="A3486" s="1115"/>
      <c r="B3486" s="1115"/>
      <c r="C3486" s="1115"/>
      <c r="D3486" s="1115"/>
      <c r="E3486" s="1115"/>
      <c r="F3486" s="1115"/>
      <c r="G3486" s="1115"/>
      <c r="H3486" s="1115"/>
      <c r="I3486" s="1115"/>
      <c r="J3486" s="1115"/>
      <c r="K3486" s="1115"/>
      <c r="L3486" s="1115"/>
      <c r="M3486" s="1115"/>
    </row>
    <row r="3487" spans="1:13" x14ac:dyDescent="0.2">
      <c r="A3487" s="1115"/>
      <c r="B3487" s="1115"/>
      <c r="C3487" s="1115"/>
      <c r="D3487" s="1115"/>
      <c r="E3487" s="1115"/>
      <c r="F3487" s="1115"/>
      <c r="G3487" s="1115"/>
      <c r="H3487" s="1115"/>
      <c r="I3487" s="1115"/>
      <c r="J3487" s="1115"/>
      <c r="K3487" s="1115"/>
      <c r="L3487" s="1115"/>
      <c r="M3487" s="1115"/>
    </row>
    <row r="3488" spans="1:13" x14ac:dyDescent="0.2">
      <c r="A3488" s="1115"/>
      <c r="B3488" s="1115"/>
      <c r="C3488" s="1115"/>
      <c r="D3488" s="1115"/>
      <c r="E3488" s="1115"/>
      <c r="F3488" s="1115"/>
      <c r="G3488" s="1115"/>
      <c r="H3488" s="1115"/>
      <c r="I3488" s="1115"/>
      <c r="J3488" s="1115"/>
      <c r="K3488" s="1115"/>
      <c r="L3488" s="1115"/>
      <c r="M3488" s="1115"/>
    </row>
    <row r="3489" spans="1:13" x14ac:dyDescent="0.2">
      <c r="A3489" s="1115"/>
      <c r="B3489" s="1115"/>
      <c r="C3489" s="1115"/>
      <c r="D3489" s="1115"/>
      <c r="E3489" s="1115"/>
      <c r="F3489" s="1115"/>
      <c r="G3489" s="1115"/>
      <c r="H3489" s="1115"/>
      <c r="I3489" s="1115"/>
      <c r="J3489" s="1115"/>
      <c r="K3489" s="1115"/>
      <c r="L3489" s="1115"/>
      <c r="M3489" s="1115"/>
    </row>
    <row r="3490" spans="1:13" x14ac:dyDescent="0.2">
      <c r="A3490" s="1115"/>
      <c r="B3490" s="1115"/>
      <c r="C3490" s="1115"/>
      <c r="D3490" s="1115"/>
      <c r="E3490" s="1115"/>
      <c r="F3490" s="1115"/>
      <c r="G3490" s="1115"/>
      <c r="H3490" s="1115"/>
      <c r="I3490" s="1115"/>
      <c r="J3490" s="1115"/>
      <c r="K3490" s="1115"/>
      <c r="L3490" s="1115"/>
      <c r="M3490" s="1115"/>
    </row>
    <row r="3491" spans="1:13" x14ac:dyDescent="0.2">
      <c r="A3491" s="1115"/>
      <c r="B3491" s="1115"/>
      <c r="C3491" s="1115"/>
      <c r="D3491" s="1115"/>
      <c r="E3491" s="1115"/>
      <c r="F3491" s="1115"/>
      <c r="G3491" s="1115"/>
      <c r="H3491" s="1115"/>
      <c r="I3491" s="1115"/>
      <c r="J3491" s="1115"/>
      <c r="K3491" s="1115"/>
      <c r="L3491" s="1115"/>
      <c r="M3491" s="1115"/>
    </row>
    <row r="3492" spans="1:13" x14ac:dyDescent="0.2">
      <c r="A3492" s="1115"/>
      <c r="B3492" s="1115"/>
      <c r="C3492" s="1115"/>
      <c r="D3492" s="1115"/>
      <c r="E3492" s="1115"/>
      <c r="F3492" s="1115"/>
      <c r="G3492" s="1115"/>
      <c r="H3492" s="1115"/>
      <c r="I3492" s="1115"/>
      <c r="J3492" s="1115"/>
      <c r="K3492" s="1115"/>
      <c r="L3492" s="1115"/>
      <c r="M3492" s="1115"/>
    </row>
    <row r="3493" spans="1:13" x14ac:dyDescent="0.2">
      <c r="A3493" s="1115"/>
      <c r="B3493" s="1115"/>
      <c r="C3493" s="1115"/>
      <c r="D3493" s="1115"/>
      <c r="E3493" s="1115"/>
      <c r="F3493" s="1115"/>
      <c r="G3493" s="1115"/>
      <c r="H3493" s="1115"/>
      <c r="I3493" s="1115"/>
      <c r="J3493" s="1115"/>
      <c r="K3493" s="1115"/>
      <c r="L3493" s="1115"/>
      <c r="M3493" s="1115"/>
    </row>
    <row r="3494" spans="1:13" x14ac:dyDescent="0.2">
      <c r="A3494" s="1115"/>
      <c r="B3494" s="1115"/>
      <c r="C3494" s="1115"/>
      <c r="D3494" s="1115"/>
      <c r="E3494" s="1115"/>
      <c r="F3494" s="1115"/>
      <c r="G3494" s="1115"/>
      <c r="H3494" s="1115"/>
      <c r="I3494" s="1115"/>
      <c r="J3494" s="1115"/>
      <c r="K3494" s="1115"/>
      <c r="L3494" s="1115"/>
      <c r="M3494" s="1115"/>
    </row>
    <row r="3495" spans="1:13" x14ac:dyDescent="0.2">
      <c r="A3495" s="1115"/>
      <c r="B3495" s="1115"/>
      <c r="C3495" s="1115"/>
      <c r="D3495" s="1115"/>
      <c r="E3495" s="1115"/>
      <c r="F3495" s="1115"/>
      <c r="G3495" s="1115"/>
      <c r="H3495" s="1115"/>
      <c r="I3495" s="1115"/>
      <c r="J3495" s="1115"/>
      <c r="K3495" s="1115"/>
      <c r="L3495" s="1115"/>
      <c r="M3495" s="1115"/>
    </row>
    <row r="3496" spans="1:13" x14ac:dyDescent="0.2">
      <c r="A3496" s="1115"/>
      <c r="B3496" s="1115"/>
      <c r="C3496" s="1115"/>
      <c r="D3496" s="1115"/>
      <c r="E3496" s="1115"/>
      <c r="F3496" s="1115"/>
      <c r="G3496" s="1115"/>
      <c r="H3496" s="1115"/>
      <c r="I3496" s="1115"/>
      <c r="J3496" s="1115"/>
      <c r="K3496" s="1115"/>
      <c r="L3496" s="1115"/>
      <c r="M3496" s="1115"/>
    </row>
    <row r="3497" spans="1:13" x14ac:dyDescent="0.2">
      <c r="A3497" s="1115"/>
      <c r="B3497" s="1115"/>
      <c r="C3497" s="1115"/>
      <c r="D3497" s="1115"/>
      <c r="E3497" s="1115"/>
      <c r="F3497" s="1115"/>
      <c r="G3497" s="1115"/>
      <c r="H3497" s="1115"/>
      <c r="I3497" s="1115"/>
      <c r="J3497" s="1115"/>
      <c r="K3497" s="1115"/>
      <c r="L3497" s="1115"/>
      <c r="M3497" s="1115"/>
    </row>
    <row r="3498" spans="1:13" x14ac:dyDescent="0.2">
      <c r="A3498" s="1115"/>
      <c r="B3498" s="1115"/>
      <c r="C3498" s="1115"/>
      <c r="D3498" s="1115"/>
      <c r="E3498" s="1115"/>
      <c r="F3498" s="1115"/>
      <c r="G3498" s="1115"/>
      <c r="H3498" s="1115"/>
      <c r="I3498" s="1115"/>
      <c r="J3498" s="1115"/>
      <c r="K3498" s="1115"/>
      <c r="L3498" s="1115"/>
      <c r="M3498" s="1115"/>
    </row>
    <row r="3499" spans="1:13" x14ac:dyDescent="0.2">
      <c r="A3499" s="1115"/>
      <c r="B3499" s="1115"/>
      <c r="C3499" s="1115"/>
      <c r="D3499" s="1115"/>
      <c r="E3499" s="1115"/>
      <c r="F3499" s="1115"/>
      <c r="G3499" s="1115"/>
      <c r="H3499" s="1115"/>
      <c r="I3499" s="1115"/>
      <c r="J3499" s="1115"/>
      <c r="K3499" s="1115"/>
      <c r="L3499" s="1115"/>
      <c r="M3499" s="1115"/>
    </row>
    <row r="3500" spans="1:13" x14ac:dyDescent="0.2">
      <c r="A3500" s="1115"/>
      <c r="B3500" s="1115"/>
      <c r="C3500" s="1115"/>
      <c r="D3500" s="1115"/>
      <c r="E3500" s="1115"/>
      <c r="F3500" s="1115"/>
      <c r="G3500" s="1115"/>
      <c r="H3500" s="1115"/>
      <c r="I3500" s="1115"/>
      <c r="J3500" s="1115"/>
      <c r="K3500" s="1115"/>
      <c r="L3500" s="1115"/>
      <c r="M3500" s="1115"/>
    </row>
    <row r="3501" spans="1:13" x14ac:dyDescent="0.2">
      <c r="A3501" s="1115"/>
      <c r="B3501" s="1115"/>
      <c r="C3501" s="1115"/>
      <c r="D3501" s="1115"/>
      <c r="E3501" s="1115"/>
      <c r="F3501" s="1115"/>
      <c r="G3501" s="1115"/>
      <c r="H3501" s="1115"/>
      <c r="I3501" s="1115"/>
      <c r="J3501" s="1115"/>
      <c r="K3501" s="1115"/>
      <c r="L3501" s="1115"/>
      <c r="M3501" s="1115"/>
    </row>
    <row r="3502" spans="1:13" x14ac:dyDescent="0.2">
      <c r="A3502" s="1115"/>
      <c r="B3502" s="1115"/>
      <c r="C3502" s="1115"/>
      <c r="D3502" s="1115"/>
      <c r="E3502" s="1115"/>
      <c r="F3502" s="1115"/>
      <c r="G3502" s="1115"/>
      <c r="H3502" s="1115"/>
      <c r="I3502" s="1115"/>
      <c r="J3502" s="1115"/>
      <c r="K3502" s="1115"/>
      <c r="L3502" s="1115"/>
      <c r="M3502" s="1115"/>
    </row>
    <row r="3503" spans="1:13" x14ac:dyDescent="0.2">
      <c r="A3503" s="1115"/>
      <c r="B3503" s="1115"/>
      <c r="C3503" s="1115"/>
      <c r="D3503" s="1115"/>
      <c r="E3503" s="1115"/>
      <c r="F3503" s="1115"/>
      <c r="G3503" s="1115"/>
      <c r="H3503" s="1115"/>
      <c r="I3503" s="1115"/>
      <c r="J3503" s="1115"/>
      <c r="K3503" s="1115"/>
      <c r="L3503" s="1115"/>
      <c r="M3503" s="1115"/>
    </row>
    <row r="3504" spans="1:13" x14ac:dyDescent="0.2">
      <c r="A3504" s="1115"/>
      <c r="B3504" s="1115"/>
      <c r="C3504" s="1115"/>
      <c r="D3504" s="1115"/>
      <c r="E3504" s="1115"/>
      <c r="F3504" s="1115"/>
      <c r="G3504" s="1115"/>
      <c r="H3504" s="1115"/>
      <c r="I3504" s="1115"/>
      <c r="J3504" s="1115"/>
      <c r="K3504" s="1115"/>
      <c r="L3504" s="1115"/>
      <c r="M3504" s="1115"/>
    </row>
    <row r="3505" spans="1:13" x14ac:dyDescent="0.2">
      <c r="A3505" s="1115"/>
      <c r="B3505" s="1115"/>
      <c r="C3505" s="1115"/>
      <c r="D3505" s="1115"/>
      <c r="E3505" s="1115"/>
      <c r="F3505" s="1115"/>
      <c r="G3505" s="1115"/>
      <c r="H3505" s="1115"/>
      <c r="I3505" s="1115"/>
      <c r="J3505" s="1115"/>
      <c r="K3505" s="1115"/>
      <c r="L3505" s="1115"/>
      <c r="M3505" s="1115"/>
    </row>
    <row r="3506" spans="1:13" x14ac:dyDescent="0.2">
      <c r="A3506" s="1115"/>
      <c r="B3506" s="1115"/>
      <c r="C3506" s="1115"/>
      <c r="D3506" s="1115"/>
      <c r="E3506" s="1115"/>
      <c r="F3506" s="1115"/>
      <c r="G3506" s="1115"/>
      <c r="H3506" s="1115"/>
      <c r="I3506" s="1115"/>
      <c r="J3506" s="1115"/>
      <c r="K3506" s="1115"/>
      <c r="L3506" s="1115"/>
      <c r="M3506" s="1115"/>
    </row>
    <row r="3507" spans="1:13" x14ac:dyDescent="0.2">
      <c r="A3507" s="1115"/>
      <c r="B3507" s="1115"/>
      <c r="C3507" s="1115"/>
      <c r="D3507" s="1115"/>
      <c r="E3507" s="1115"/>
      <c r="F3507" s="1115"/>
      <c r="G3507" s="1115"/>
      <c r="H3507" s="1115"/>
      <c r="I3507" s="1115"/>
      <c r="J3507" s="1115"/>
      <c r="K3507" s="1115"/>
      <c r="L3507" s="1115"/>
      <c r="M3507" s="1115"/>
    </row>
    <row r="3508" spans="1:13" x14ac:dyDescent="0.2">
      <c r="A3508" s="1115"/>
      <c r="B3508" s="1115"/>
      <c r="C3508" s="1115"/>
      <c r="D3508" s="1115"/>
      <c r="E3508" s="1115"/>
      <c r="F3508" s="1115"/>
      <c r="G3508" s="1115"/>
      <c r="H3508" s="1115"/>
      <c r="I3508" s="1115"/>
      <c r="J3508" s="1115"/>
      <c r="K3508" s="1115"/>
      <c r="L3508" s="1115"/>
      <c r="M3508" s="1115"/>
    </row>
    <row r="3509" spans="1:13" x14ac:dyDescent="0.2">
      <c r="A3509" s="1115"/>
      <c r="B3509" s="1115"/>
      <c r="C3509" s="1115"/>
      <c r="D3509" s="1115"/>
      <c r="E3509" s="1115"/>
      <c r="F3509" s="1115"/>
      <c r="G3509" s="1115"/>
      <c r="H3509" s="1115"/>
      <c r="I3509" s="1115"/>
      <c r="J3509" s="1115"/>
      <c r="K3509" s="1115"/>
      <c r="L3509" s="1115"/>
      <c r="M3509" s="1115"/>
    </row>
    <row r="3510" spans="1:13" x14ac:dyDescent="0.2">
      <c r="A3510" s="1115"/>
      <c r="B3510" s="1115"/>
      <c r="C3510" s="1115"/>
      <c r="D3510" s="1115"/>
      <c r="E3510" s="1115"/>
      <c r="F3510" s="1115"/>
      <c r="G3510" s="1115"/>
      <c r="H3510" s="1115"/>
      <c r="I3510" s="1115"/>
      <c r="J3510" s="1115"/>
      <c r="K3510" s="1115"/>
      <c r="L3510" s="1115"/>
      <c r="M3510" s="1115"/>
    </row>
    <row r="3511" spans="1:13" x14ac:dyDescent="0.2">
      <c r="A3511" s="1115"/>
      <c r="B3511" s="1115"/>
      <c r="C3511" s="1115"/>
      <c r="D3511" s="1115"/>
      <c r="E3511" s="1115"/>
      <c r="F3511" s="1115"/>
      <c r="G3511" s="1115"/>
      <c r="H3511" s="1115"/>
      <c r="I3511" s="1115"/>
      <c r="J3511" s="1115"/>
      <c r="K3511" s="1115"/>
      <c r="L3511" s="1115"/>
      <c r="M3511" s="1115"/>
    </row>
    <row r="3512" spans="1:13" x14ac:dyDescent="0.2">
      <c r="A3512" s="1115"/>
      <c r="B3512" s="1115"/>
      <c r="C3512" s="1115"/>
      <c r="D3512" s="1115"/>
      <c r="E3512" s="1115"/>
      <c r="F3512" s="1115"/>
      <c r="G3512" s="1115"/>
      <c r="H3512" s="1115"/>
      <c r="I3512" s="1115"/>
      <c r="J3512" s="1115"/>
      <c r="K3512" s="1115"/>
      <c r="L3512" s="1115"/>
      <c r="M3512" s="1115"/>
    </row>
    <row r="3513" spans="1:13" x14ac:dyDescent="0.2">
      <c r="A3513" s="1115"/>
      <c r="B3513" s="1115"/>
      <c r="C3513" s="1115"/>
      <c r="D3513" s="1115"/>
      <c r="E3513" s="1115"/>
      <c r="F3513" s="1115"/>
      <c r="G3513" s="1115"/>
      <c r="H3513" s="1115"/>
      <c r="I3513" s="1115"/>
      <c r="J3513" s="1115"/>
      <c r="K3513" s="1115"/>
      <c r="L3513" s="1115"/>
      <c r="M3513" s="1115"/>
    </row>
    <row r="3514" spans="1:13" x14ac:dyDescent="0.2">
      <c r="A3514" s="1115"/>
      <c r="B3514" s="1115"/>
      <c r="C3514" s="1115"/>
      <c r="D3514" s="1115"/>
      <c r="E3514" s="1115"/>
      <c r="F3514" s="1115"/>
      <c r="G3514" s="1115"/>
      <c r="H3514" s="1115"/>
      <c r="I3514" s="1115"/>
      <c r="J3514" s="1115"/>
      <c r="K3514" s="1115"/>
      <c r="L3514" s="1115"/>
      <c r="M3514" s="1115"/>
    </row>
    <row r="3515" spans="1:13" x14ac:dyDescent="0.2">
      <c r="A3515" s="1115"/>
      <c r="B3515" s="1115"/>
      <c r="C3515" s="1115"/>
      <c r="D3515" s="1115"/>
      <c r="E3515" s="1115"/>
      <c r="F3515" s="1115"/>
      <c r="G3515" s="1115"/>
      <c r="H3515" s="1115"/>
      <c r="I3515" s="1115"/>
      <c r="J3515" s="1115"/>
      <c r="K3515" s="1115"/>
      <c r="L3515" s="1115"/>
      <c r="M3515" s="1115"/>
    </row>
    <row r="3516" spans="1:13" x14ac:dyDescent="0.2">
      <c r="A3516" s="1115"/>
      <c r="B3516" s="1115"/>
      <c r="C3516" s="1115"/>
      <c r="D3516" s="1115"/>
      <c r="E3516" s="1115"/>
      <c r="F3516" s="1115"/>
      <c r="G3516" s="1115"/>
      <c r="H3516" s="1115"/>
      <c r="I3516" s="1115"/>
      <c r="J3516" s="1115"/>
      <c r="K3516" s="1115"/>
      <c r="L3516" s="1115"/>
      <c r="M3516" s="1115"/>
    </row>
    <row r="3517" spans="1:13" x14ac:dyDescent="0.2">
      <c r="A3517" s="1115"/>
      <c r="B3517" s="1115"/>
      <c r="C3517" s="1115"/>
      <c r="D3517" s="1115"/>
      <c r="E3517" s="1115"/>
      <c r="F3517" s="1115"/>
      <c r="G3517" s="1115"/>
      <c r="H3517" s="1115"/>
      <c r="I3517" s="1115"/>
      <c r="J3517" s="1115"/>
      <c r="K3517" s="1115"/>
      <c r="L3517" s="1115"/>
      <c r="M3517" s="1115"/>
    </row>
    <row r="3518" spans="1:13" x14ac:dyDescent="0.2">
      <c r="A3518" s="1115"/>
      <c r="B3518" s="1115"/>
      <c r="C3518" s="1115"/>
      <c r="D3518" s="1115"/>
      <c r="E3518" s="1115"/>
      <c r="F3518" s="1115"/>
      <c r="G3518" s="1115"/>
      <c r="H3518" s="1115"/>
      <c r="I3518" s="1115"/>
      <c r="J3518" s="1115"/>
      <c r="K3518" s="1115"/>
      <c r="L3518" s="1115"/>
      <c r="M3518" s="1115"/>
    </row>
    <row r="3519" spans="1:13" x14ac:dyDescent="0.2">
      <c r="A3519" s="1115"/>
      <c r="B3519" s="1115"/>
      <c r="C3519" s="1115"/>
      <c r="D3519" s="1115"/>
      <c r="E3519" s="1115"/>
      <c r="F3519" s="1115"/>
      <c r="G3519" s="1115"/>
      <c r="H3519" s="1115"/>
      <c r="I3519" s="1115"/>
      <c r="J3519" s="1115"/>
      <c r="K3519" s="1115"/>
      <c r="L3519" s="1115"/>
      <c r="M3519" s="1115"/>
    </row>
    <row r="3520" spans="1:13" x14ac:dyDescent="0.2">
      <c r="A3520" s="1115"/>
      <c r="B3520" s="1115"/>
      <c r="C3520" s="1115"/>
      <c r="D3520" s="1115"/>
      <c r="E3520" s="1115"/>
      <c r="F3520" s="1115"/>
      <c r="G3520" s="1115"/>
      <c r="H3520" s="1115"/>
      <c r="I3520" s="1115"/>
      <c r="J3520" s="1115"/>
      <c r="K3520" s="1115"/>
      <c r="L3520" s="1115"/>
      <c r="M3520" s="1115"/>
    </row>
    <row r="3521" spans="1:13" x14ac:dyDescent="0.2">
      <c r="A3521" s="1115"/>
      <c r="B3521" s="1115"/>
      <c r="C3521" s="1115"/>
      <c r="D3521" s="1115"/>
      <c r="E3521" s="1115"/>
      <c r="F3521" s="1115"/>
      <c r="G3521" s="1115"/>
      <c r="H3521" s="1115"/>
      <c r="I3521" s="1115"/>
      <c r="J3521" s="1115"/>
      <c r="K3521" s="1115"/>
      <c r="L3521" s="1115"/>
      <c r="M3521" s="1115"/>
    </row>
    <row r="3522" spans="1:13" x14ac:dyDescent="0.2">
      <c r="A3522" s="1115"/>
      <c r="B3522" s="1115"/>
      <c r="C3522" s="1115"/>
      <c r="D3522" s="1115"/>
      <c r="E3522" s="1115"/>
      <c r="F3522" s="1115"/>
      <c r="G3522" s="1115"/>
      <c r="H3522" s="1115"/>
      <c r="I3522" s="1115"/>
      <c r="J3522" s="1115"/>
      <c r="K3522" s="1115"/>
      <c r="L3522" s="1115"/>
      <c r="M3522" s="1115"/>
    </row>
    <row r="3523" spans="1:13" x14ac:dyDescent="0.2">
      <c r="A3523" s="1115"/>
      <c r="B3523" s="1115"/>
      <c r="C3523" s="1115"/>
      <c r="D3523" s="1115"/>
      <c r="E3523" s="1115"/>
      <c r="F3523" s="1115"/>
      <c r="G3523" s="1115"/>
      <c r="H3523" s="1115"/>
      <c r="I3523" s="1115"/>
      <c r="J3523" s="1115"/>
      <c r="K3523" s="1115"/>
      <c r="L3523" s="1115"/>
      <c r="M3523" s="1115"/>
    </row>
    <row r="3524" spans="1:13" x14ac:dyDescent="0.2">
      <c r="A3524" s="1115"/>
      <c r="B3524" s="1115"/>
      <c r="C3524" s="1115"/>
      <c r="D3524" s="1115"/>
      <c r="E3524" s="1115"/>
      <c r="F3524" s="1115"/>
      <c r="G3524" s="1115"/>
      <c r="H3524" s="1115"/>
      <c r="I3524" s="1115"/>
      <c r="J3524" s="1115"/>
      <c r="K3524" s="1115"/>
      <c r="L3524" s="1115"/>
      <c r="M3524" s="1115"/>
    </row>
    <row r="3525" spans="1:13" x14ac:dyDescent="0.2">
      <c r="A3525" s="1115"/>
      <c r="B3525" s="1115"/>
      <c r="C3525" s="1115"/>
      <c r="D3525" s="1115"/>
      <c r="E3525" s="1115"/>
      <c r="F3525" s="1115"/>
      <c r="G3525" s="1115"/>
      <c r="H3525" s="1115"/>
      <c r="I3525" s="1115"/>
      <c r="J3525" s="1115"/>
      <c r="K3525" s="1115"/>
      <c r="L3525" s="1115"/>
      <c r="M3525" s="1115"/>
    </row>
    <row r="3526" spans="1:13" x14ac:dyDescent="0.2">
      <c r="A3526" s="1115"/>
      <c r="B3526" s="1115"/>
      <c r="C3526" s="1115"/>
      <c r="D3526" s="1115"/>
      <c r="E3526" s="1115"/>
      <c r="F3526" s="1115"/>
      <c r="G3526" s="1115"/>
      <c r="H3526" s="1115"/>
      <c r="I3526" s="1115"/>
      <c r="J3526" s="1115"/>
      <c r="K3526" s="1115"/>
      <c r="L3526" s="1115"/>
      <c r="M3526" s="1115"/>
    </row>
    <row r="3527" spans="1:13" x14ac:dyDescent="0.2">
      <c r="A3527" s="1115"/>
      <c r="B3527" s="1115"/>
      <c r="C3527" s="1115"/>
      <c r="D3527" s="1115"/>
      <c r="E3527" s="1115"/>
      <c r="F3527" s="1115"/>
      <c r="G3527" s="1115"/>
      <c r="H3527" s="1115"/>
      <c r="I3527" s="1115"/>
      <c r="J3527" s="1115"/>
      <c r="K3527" s="1115"/>
      <c r="L3527" s="1115"/>
      <c r="M3527" s="1115"/>
    </row>
    <row r="3528" spans="1:13" x14ac:dyDescent="0.2">
      <c r="A3528" s="1115"/>
      <c r="B3528" s="1115"/>
      <c r="C3528" s="1115"/>
      <c r="D3528" s="1115"/>
      <c r="E3528" s="1115"/>
      <c r="F3528" s="1115"/>
      <c r="G3528" s="1115"/>
      <c r="H3528" s="1115"/>
      <c r="I3528" s="1115"/>
      <c r="J3528" s="1115"/>
      <c r="K3528" s="1115"/>
      <c r="L3528" s="1115"/>
      <c r="M3528" s="1115"/>
    </row>
    <row r="3529" spans="1:13" x14ac:dyDescent="0.2">
      <c r="A3529" s="1115"/>
      <c r="B3529" s="1115"/>
      <c r="C3529" s="1115"/>
      <c r="D3529" s="1115"/>
      <c r="E3529" s="1115"/>
      <c r="F3529" s="1115"/>
      <c r="G3529" s="1115"/>
      <c r="H3529" s="1115"/>
      <c r="I3529" s="1115"/>
      <c r="J3529" s="1115"/>
      <c r="K3529" s="1115"/>
      <c r="L3529" s="1115"/>
      <c r="M3529" s="1115"/>
    </row>
    <row r="3530" spans="1:13" x14ac:dyDescent="0.2">
      <c r="A3530" s="1115"/>
      <c r="B3530" s="1115"/>
      <c r="C3530" s="1115"/>
      <c r="D3530" s="1115"/>
      <c r="E3530" s="1115"/>
      <c r="F3530" s="1115"/>
      <c r="G3530" s="1115"/>
      <c r="H3530" s="1115"/>
      <c r="I3530" s="1115"/>
      <c r="J3530" s="1115"/>
      <c r="K3530" s="1115"/>
      <c r="L3530" s="1115"/>
      <c r="M3530" s="1115"/>
    </row>
    <row r="3531" spans="1:13" x14ac:dyDescent="0.2">
      <c r="A3531" s="1115"/>
      <c r="B3531" s="1115"/>
      <c r="C3531" s="1115"/>
      <c r="D3531" s="1115"/>
      <c r="E3531" s="1115"/>
      <c r="F3531" s="1115"/>
      <c r="G3531" s="1115"/>
      <c r="H3531" s="1115"/>
      <c r="I3531" s="1115"/>
      <c r="J3531" s="1115"/>
      <c r="K3531" s="1115"/>
      <c r="L3531" s="1115"/>
      <c r="M3531" s="1115"/>
    </row>
    <row r="3532" spans="1:13" x14ac:dyDescent="0.2">
      <c r="A3532" s="1115"/>
      <c r="B3532" s="1115"/>
      <c r="C3532" s="1115"/>
      <c r="D3532" s="1115"/>
      <c r="E3532" s="1115"/>
      <c r="F3532" s="1115"/>
      <c r="G3532" s="1115"/>
      <c r="H3532" s="1115"/>
      <c r="I3532" s="1115"/>
      <c r="J3532" s="1115"/>
      <c r="K3532" s="1115"/>
      <c r="L3532" s="1115"/>
      <c r="M3532" s="1115"/>
    </row>
    <row r="3533" spans="1:13" x14ac:dyDescent="0.2">
      <c r="A3533" s="1115"/>
      <c r="B3533" s="1115"/>
      <c r="C3533" s="1115"/>
      <c r="D3533" s="1115"/>
      <c r="E3533" s="1115"/>
      <c r="F3533" s="1115"/>
      <c r="G3533" s="1115"/>
      <c r="H3533" s="1115"/>
      <c r="I3533" s="1115"/>
      <c r="J3533" s="1115"/>
      <c r="K3533" s="1115"/>
      <c r="L3533" s="1115"/>
      <c r="M3533" s="1115"/>
    </row>
    <row r="3534" spans="1:13" x14ac:dyDescent="0.2">
      <c r="A3534" s="1115"/>
      <c r="B3534" s="1115"/>
      <c r="C3534" s="1115"/>
      <c r="D3534" s="1115"/>
      <c r="E3534" s="1115"/>
      <c r="F3534" s="1115"/>
      <c r="G3534" s="1115"/>
      <c r="H3534" s="1115"/>
      <c r="I3534" s="1115"/>
      <c r="J3534" s="1115"/>
      <c r="K3534" s="1115"/>
      <c r="L3534" s="1115"/>
      <c r="M3534" s="1115"/>
    </row>
    <row r="3535" spans="1:13" x14ac:dyDescent="0.2">
      <c r="A3535" s="1115"/>
      <c r="B3535" s="1115"/>
      <c r="C3535" s="1115"/>
      <c r="D3535" s="1115"/>
      <c r="E3535" s="1115"/>
      <c r="F3535" s="1115"/>
      <c r="G3535" s="1115"/>
      <c r="H3535" s="1115"/>
      <c r="I3535" s="1115"/>
      <c r="J3535" s="1115"/>
      <c r="K3535" s="1115"/>
      <c r="L3535" s="1115"/>
      <c r="M3535" s="1115"/>
    </row>
    <row r="3536" spans="1:13" x14ac:dyDescent="0.2">
      <c r="A3536" s="1115"/>
      <c r="B3536" s="1115"/>
      <c r="C3536" s="1115"/>
      <c r="D3536" s="1115"/>
      <c r="E3536" s="1115"/>
      <c r="F3536" s="1115"/>
      <c r="G3536" s="1115"/>
      <c r="H3536" s="1115"/>
      <c r="I3536" s="1115"/>
      <c r="J3536" s="1115"/>
      <c r="K3536" s="1115"/>
      <c r="L3536" s="1115"/>
      <c r="M3536" s="1115"/>
    </row>
    <row r="3537" spans="1:13" x14ac:dyDescent="0.2">
      <c r="A3537" s="1115"/>
      <c r="B3537" s="1115"/>
      <c r="C3537" s="1115"/>
      <c r="D3537" s="1115"/>
      <c r="E3537" s="1115"/>
      <c r="F3537" s="1115"/>
      <c r="G3537" s="1115"/>
      <c r="H3537" s="1115"/>
      <c r="I3537" s="1115"/>
      <c r="J3537" s="1115"/>
      <c r="K3537" s="1115"/>
      <c r="L3537" s="1115"/>
      <c r="M3537" s="1115"/>
    </row>
    <row r="3538" spans="1:13" x14ac:dyDescent="0.2">
      <c r="A3538" s="1115"/>
      <c r="B3538" s="1115"/>
      <c r="C3538" s="1115"/>
      <c r="D3538" s="1115"/>
      <c r="E3538" s="1115"/>
      <c r="F3538" s="1115"/>
      <c r="G3538" s="1115"/>
      <c r="H3538" s="1115"/>
      <c r="I3538" s="1115"/>
      <c r="J3538" s="1115"/>
      <c r="K3538" s="1115"/>
      <c r="L3538" s="1115"/>
      <c r="M3538" s="1115"/>
    </row>
    <row r="3539" spans="1:13" x14ac:dyDescent="0.2">
      <c r="A3539" s="1115"/>
      <c r="B3539" s="1115"/>
      <c r="C3539" s="1115"/>
      <c r="D3539" s="1115"/>
      <c r="E3539" s="1115"/>
      <c r="F3539" s="1115"/>
      <c r="G3539" s="1115"/>
      <c r="H3539" s="1115"/>
      <c r="I3539" s="1115"/>
      <c r="J3539" s="1115"/>
      <c r="K3539" s="1115"/>
      <c r="L3539" s="1115"/>
      <c r="M3539" s="1115"/>
    </row>
    <row r="3540" spans="1:13" x14ac:dyDescent="0.2">
      <c r="A3540" s="1115"/>
      <c r="B3540" s="1115"/>
      <c r="C3540" s="1115"/>
      <c r="D3540" s="1115"/>
      <c r="E3540" s="1115"/>
      <c r="F3540" s="1115"/>
      <c r="G3540" s="1115"/>
      <c r="H3540" s="1115"/>
      <c r="I3540" s="1115"/>
      <c r="J3540" s="1115"/>
      <c r="K3540" s="1115"/>
      <c r="L3540" s="1115"/>
      <c r="M3540" s="1115"/>
    </row>
    <row r="3541" spans="1:13" x14ac:dyDescent="0.2">
      <c r="A3541" s="1115"/>
      <c r="B3541" s="1115"/>
      <c r="C3541" s="1115"/>
      <c r="D3541" s="1115"/>
      <c r="E3541" s="1115"/>
      <c r="F3541" s="1115"/>
      <c r="G3541" s="1115"/>
      <c r="H3541" s="1115"/>
      <c r="I3541" s="1115"/>
      <c r="J3541" s="1115"/>
      <c r="K3541" s="1115"/>
      <c r="L3541" s="1115"/>
      <c r="M3541" s="1115"/>
    </row>
    <row r="3542" spans="1:13" x14ac:dyDescent="0.2">
      <c r="A3542" s="1115"/>
      <c r="B3542" s="1115"/>
      <c r="C3542" s="1115"/>
      <c r="D3542" s="1115"/>
      <c r="E3542" s="1115"/>
      <c r="F3542" s="1115"/>
      <c r="G3542" s="1115"/>
      <c r="H3542" s="1115"/>
      <c r="I3542" s="1115"/>
      <c r="J3542" s="1115"/>
      <c r="K3542" s="1115"/>
      <c r="L3542" s="1115"/>
      <c r="M3542" s="1115"/>
    </row>
    <row r="3543" spans="1:13" x14ac:dyDescent="0.2">
      <c r="A3543" s="1115"/>
      <c r="B3543" s="1115"/>
      <c r="C3543" s="1115"/>
      <c r="D3543" s="1115"/>
      <c r="E3543" s="1115"/>
      <c r="F3543" s="1115"/>
      <c r="G3543" s="1115"/>
      <c r="H3543" s="1115"/>
      <c r="I3543" s="1115"/>
      <c r="J3543" s="1115"/>
      <c r="K3543" s="1115"/>
      <c r="L3543" s="1115"/>
      <c r="M3543" s="1115"/>
    </row>
    <row r="3544" spans="1:13" x14ac:dyDescent="0.2">
      <c r="A3544" s="1115"/>
      <c r="B3544" s="1115"/>
      <c r="C3544" s="1115"/>
      <c r="D3544" s="1115"/>
      <c r="E3544" s="1115"/>
      <c r="F3544" s="1115"/>
      <c r="G3544" s="1115"/>
      <c r="H3544" s="1115"/>
      <c r="I3544" s="1115"/>
      <c r="J3544" s="1115"/>
      <c r="K3544" s="1115"/>
      <c r="L3544" s="1115"/>
      <c r="M3544" s="1115"/>
    </row>
    <row r="3545" spans="1:13" x14ac:dyDescent="0.2">
      <c r="A3545" s="1115"/>
      <c r="B3545" s="1115"/>
      <c r="C3545" s="1115"/>
      <c r="D3545" s="1115"/>
      <c r="E3545" s="1115"/>
      <c r="F3545" s="1115"/>
      <c r="G3545" s="1115"/>
      <c r="H3545" s="1115"/>
      <c r="I3545" s="1115"/>
      <c r="J3545" s="1115"/>
      <c r="K3545" s="1115"/>
      <c r="L3545" s="1115"/>
      <c r="M3545" s="1115"/>
    </row>
    <row r="3546" spans="1:13" x14ac:dyDescent="0.2">
      <c r="A3546" s="1115"/>
      <c r="B3546" s="1115"/>
      <c r="C3546" s="1115"/>
      <c r="D3546" s="1115"/>
      <c r="E3546" s="1115"/>
      <c r="F3546" s="1115"/>
      <c r="G3546" s="1115"/>
      <c r="H3546" s="1115"/>
      <c r="I3546" s="1115"/>
      <c r="J3546" s="1115"/>
      <c r="K3546" s="1115"/>
      <c r="L3546" s="1115"/>
      <c r="M3546" s="1115"/>
    </row>
    <row r="3547" spans="1:13" x14ac:dyDescent="0.2">
      <c r="A3547" s="1115"/>
      <c r="B3547" s="1115"/>
      <c r="C3547" s="1115"/>
      <c r="D3547" s="1115"/>
      <c r="E3547" s="1115"/>
      <c r="F3547" s="1115"/>
      <c r="G3547" s="1115"/>
      <c r="H3547" s="1115"/>
      <c r="I3547" s="1115"/>
      <c r="J3547" s="1115"/>
      <c r="K3547" s="1115"/>
      <c r="L3547" s="1115"/>
      <c r="M3547" s="1115"/>
    </row>
    <row r="3548" spans="1:13" x14ac:dyDescent="0.2">
      <c r="A3548" s="1115"/>
      <c r="B3548" s="1115"/>
      <c r="C3548" s="1115"/>
      <c r="D3548" s="1115"/>
      <c r="E3548" s="1115"/>
      <c r="F3548" s="1115"/>
      <c r="G3548" s="1115"/>
      <c r="H3548" s="1115"/>
      <c r="I3548" s="1115"/>
      <c r="J3548" s="1115"/>
      <c r="K3548" s="1115"/>
      <c r="L3548" s="1115"/>
      <c r="M3548" s="1115"/>
    </row>
    <row r="3549" spans="1:13" x14ac:dyDescent="0.2">
      <c r="A3549" s="1115"/>
      <c r="B3549" s="1115"/>
      <c r="C3549" s="1115"/>
      <c r="D3549" s="1115"/>
      <c r="E3549" s="1115"/>
      <c r="F3549" s="1115"/>
      <c r="G3549" s="1115"/>
      <c r="H3549" s="1115"/>
      <c r="I3549" s="1115"/>
      <c r="J3549" s="1115"/>
      <c r="K3549" s="1115"/>
      <c r="L3549" s="1115"/>
      <c r="M3549" s="1115"/>
    </row>
    <row r="3550" spans="1:13" x14ac:dyDescent="0.2">
      <c r="A3550" s="1115"/>
      <c r="B3550" s="1115"/>
      <c r="C3550" s="1115"/>
      <c r="D3550" s="1115"/>
      <c r="E3550" s="1115"/>
      <c r="F3550" s="1115"/>
      <c r="G3550" s="1115"/>
      <c r="H3550" s="1115"/>
      <c r="I3550" s="1115"/>
      <c r="J3550" s="1115"/>
      <c r="K3550" s="1115"/>
      <c r="L3550" s="1115"/>
      <c r="M3550" s="1115"/>
    </row>
    <row r="3551" spans="1:13" x14ac:dyDescent="0.2">
      <c r="A3551" s="1115"/>
      <c r="B3551" s="1115"/>
      <c r="C3551" s="1115"/>
      <c r="D3551" s="1115"/>
      <c r="E3551" s="1115"/>
      <c r="F3551" s="1115"/>
      <c r="G3551" s="1115"/>
      <c r="H3551" s="1115"/>
      <c r="I3551" s="1115"/>
      <c r="J3551" s="1115"/>
      <c r="K3551" s="1115"/>
      <c r="L3551" s="1115"/>
      <c r="M3551" s="1115"/>
    </row>
    <row r="3552" spans="1:13" x14ac:dyDescent="0.2">
      <c r="A3552" s="1115"/>
      <c r="B3552" s="1115"/>
      <c r="C3552" s="1115"/>
      <c r="D3552" s="1115"/>
      <c r="E3552" s="1115"/>
      <c r="F3552" s="1115"/>
      <c r="G3552" s="1115"/>
      <c r="H3552" s="1115"/>
      <c r="I3552" s="1115"/>
      <c r="J3552" s="1115"/>
      <c r="K3552" s="1115"/>
      <c r="L3552" s="1115"/>
      <c r="M3552" s="1115"/>
    </row>
    <row r="3553" spans="1:13" x14ac:dyDescent="0.2">
      <c r="A3553" s="1115"/>
      <c r="B3553" s="1115"/>
      <c r="C3553" s="1115"/>
      <c r="D3553" s="1115"/>
      <c r="E3553" s="1115"/>
      <c r="F3553" s="1115"/>
      <c r="G3553" s="1115"/>
      <c r="H3553" s="1115"/>
      <c r="I3553" s="1115"/>
      <c r="J3553" s="1115"/>
      <c r="K3553" s="1115"/>
      <c r="L3553" s="1115"/>
      <c r="M3553" s="1115"/>
    </row>
    <row r="3554" spans="1:13" x14ac:dyDescent="0.2">
      <c r="A3554" s="1115"/>
      <c r="B3554" s="1115"/>
      <c r="C3554" s="1115"/>
      <c r="D3554" s="1115"/>
      <c r="E3554" s="1115"/>
      <c r="F3554" s="1115"/>
      <c r="G3554" s="1115"/>
      <c r="H3554" s="1115"/>
      <c r="I3554" s="1115"/>
      <c r="J3554" s="1115"/>
      <c r="K3554" s="1115"/>
      <c r="L3554" s="1115"/>
      <c r="M3554" s="1115"/>
    </row>
    <row r="3555" spans="1:13" x14ac:dyDescent="0.2">
      <c r="A3555" s="1115"/>
      <c r="B3555" s="1115"/>
      <c r="C3555" s="1115"/>
      <c r="D3555" s="1115"/>
      <c r="E3555" s="1115"/>
      <c r="F3555" s="1115"/>
      <c r="G3555" s="1115"/>
      <c r="H3555" s="1115"/>
      <c r="I3555" s="1115"/>
      <c r="J3555" s="1115"/>
      <c r="K3555" s="1115"/>
      <c r="L3555" s="1115"/>
      <c r="M3555" s="1115"/>
    </row>
    <row r="3556" spans="1:13" x14ac:dyDescent="0.2">
      <c r="A3556" s="1115"/>
      <c r="B3556" s="1115"/>
      <c r="C3556" s="1115"/>
      <c r="D3556" s="1115"/>
      <c r="E3556" s="1115"/>
      <c r="F3556" s="1115"/>
      <c r="G3556" s="1115"/>
      <c r="H3556" s="1115"/>
      <c r="I3556" s="1115"/>
      <c r="J3556" s="1115"/>
      <c r="K3556" s="1115"/>
      <c r="L3556" s="1115"/>
      <c r="M3556" s="1115"/>
    </row>
    <row r="3557" spans="1:13" x14ac:dyDescent="0.2">
      <c r="A3557" s="1115"/>
      <c r="B3557" s="1115"/>
      <c r="C3557" s="1115"/>
      <c r="D3557" s="1115"/>
      <c r="E3557" s="1115"/>
      <c r="F3557" s="1115"/>
      <c r="G3557" s="1115"/>
      <c r="H3557" s="1115"/>
      <c r="I3557" s="1115"/>
      <c r="J3557" s="1115"/>
      <c r="K3557" s="1115"/>
      <c r="L3557" s="1115"/>
      <c r="M3557" s="1115"/>
    </row>
    <row r="3558" spans="1:13" x14ac:dyDescent="0.2">
      <c r="A3558" s="1115"/>
      <c r="B3558" s="1115"/>
      <c r="C3558" s="1115"/>
      <c r="D3558" s="1115"/>
      <c r="E3558" s="1115"/>
      <c r="F3558" s="1115"/>
      <c r="G3558" s="1115"/>
      <c r="H3558" s="1115"/>
      <c r="I3558" s="1115"/>
      <c r="J3558" s="1115"/>
      <c r="K3558" s="1115"/>
      <c r="L3558" s="1115"/>
      <c r="M3558" s="1115"/>
    </row>
    <row r="3559" spans="1:13" x14ac:dyDescent="0.2">
      <c r="A3559" s="1115"/>
      <c r="B3559" s="1115"/>
      <c r="C3559" s="1115"/>
      <c r="D3559" s="1115"/>
      <c r="E3559" s="1115"/>
      <c r="F3559" s="1115"/>
      <c r="G3559" s="1115"/>
      <c r="H3559" s="1115"/>
      <c r="I3559" s="1115"/>
      <c r="J3559" s="1115"/>
      <c r="K3559" s="1115"/>
      <c r="L3559" s="1115"/>
      <c r="M3559" s="1115"/>
    </row>
    <row r="3560" spans="1:13" x14ac:dyDescent="0.2">
      <c r="A3560" s="1115"/>
      <c r="B3560" s="1115"/>
      <c r="C3560" s="1115"/>
      <c r="D3560" s="1115"/>
      <c r="E3560" s="1115"/>
      <c r="F3560" s="1115"/>
      <c r="G3560" s="1115"/>
      <c r="H3560" s="1115"/>
      <c r="I3560" s="1115"/>
      <c r="J3560" s="1115"/>
      <c r="K3560" s="1115"/>
      <c r="L3560" s="1115"/>
      <c r="M3560" s="1115"/>
    </row>
    <row r="3561" spans="1:13" x14ac:dyDescent="0.2">
      <c r="A3561" s="1115"/>
      <c r="B3561" s="1115"/>
      <c r="C3561" s="1115"/>
      <c r="D3561" s="1115"/>
      <c r="E3561" s="1115"/>
      <c r="F3561" s="1115"/>
      <c r="G3561" s="1115"/>
      <c r="H3561" s="1115"/>
      <c r="I3561" s="1115"/>
      <c r="J3561" s="1115"/>
      <c r="K3561" s="1115"/>
      <c r="L3561" s="1115"/>
      <c r="M3561" s="1115"/>
    </row>
    <row r="3562" spans="1:13" x14ac:dyDescent="0.2">
      <c r="A3562" s="1115"/>
      <c r="B3562" s="1115"/>
      <c r="C3562" s="1115"/>
      <c r="D3562" s="1115"/>
      <c r="E3562" s="1115"/>
      <c r="F3562" s="1115"/>
      <c r="G3562" s="1115"/>
      <c r="H3562" s="1115"/>
      <c r="I3562" s="1115"/>
      <c r="J3562" s="1115"/>
      <c r="K3562" s="1115"/>
      <c r="L3562" s="1115"/>
      <c r="M3562" s="1115"/>
    </row>
    <row r="3563" spans="1:13" x14ac:dyDescent="0.2">
      <c r="A3563" s="1115"/>
      <c r="B3563" s="1115"/>
      <c r="C3563" s="1115"/>
      <c r="D3563" s="1115"/>
      <c r="E3563" s="1115"/>
      <c r="F3563" s="1115"/>
      <c r="G3563" s="1115"/>
      <c r="H3563" s="1115"/>
      <c r="I3563" s="1115"/>
      <c r="J3563" s="1115"/>
      <c r="K3563" s="1115"/>
      <c r="L3563" s="1115"/>
      <c r="M3563" s="1115"/>
    </row>
    <row r="3564" spans="1:13" x14ac:dyDescent="0.2">
      <c r="A3564" s="1115"/>
      <c r="B3564" s="1115"/>
      <c r="C3564" s="1115"/>
      <c r="D3564" s="1115"/>
      <c r="E3564" s="1115"/>
      <c r="F3564" s="1115"/>
      <c r="G3564" s="1115"/>
      <c r="H3564" s="1115"/>
      <c r="I3564" s="1115"/>
      <c r="J3564" s="1115"/>
      <c r="K3564" s="1115"/>
      <c r="L3564" s="1115"/>
      <c r="M3564" s="1115"/>
    </row>
    <row r="3565" spans="1:13" x14ac:dyDescent="0.2">
      <c r="A3565" s="1115"/>
      <c r="B3565" s="1115"/>
      <c r="C3565" s="1115"/>
      <c r="D3565" s="1115"/>
      <c r="E3565" s="1115"/>
      <c r="F3565" s="1115"/>
      <c r="G3565" s="1115"/>
      <c r="H3565" s="1115"/>
      <c r="I3565" s="1115"/>
      <c r="J3565" s="1115"/>
      <c r="K3565" s="1115"/>
      <c r="L3565" s="1115"/>
      <c r="M3565" s="1115"/>
    </row>
    <row r="3566" spans="1:13" x14ac:dyDescent="0.2">
      <c r="A3566" s="1115"/>
      <c r="B3566" s="1115"/>
      <c r="C3566" s="1115"/>
      <c r="D3566" s="1115"/>
      <c r="E3566" s="1115"/>
      <c r="F3566" s="1115"/>
      <c r="G3566" s="1115"/>
      <c r="H3566" s="1115"/>
      <c r="I3566" s="1115"/>
      <c r="J3566" s="1115"/>
      <c r="K3566" s="1115"/>
      <c r="L3566" s="1115"/>
      <c r="M3566" s="1115"/>
    </row>
    <row r="3567" spans="1:13" x14ac:dyDescent="0.2">
      <c r="A3567" s="1115"/>
      <c r="B3567" s="1115"/>
      <c r="C3567" s="1115"/>
      <c r="D3567" s="1115"/>
      <c r="E3567" s="1115"/>
      <c r="F3567" s="1115"/>
      <c r="G3567" s="1115"/>
      <c r="H3567" s="1115"/>
      <c r="I3567" s="1115"/>
      <c r="J3567" s="1115"/>
      <c r="K3567" s="1115"/>
      <c r="L3567" s="1115"/>
      <c r="M3567" s="1115"/>
    </row>
    <row r="3568" spans="1:13" x14ac:dyDescent="0.2">
      <c r="A3568" s="1115"/>
      <c r="B3568" s="1115"/>
      <c r="C3568" s="1115"/>
      <c r="D3568" s="1115"/>
      <c r="E3568" s="1115"/>
      <c r="F3568" s="1115"/>
      <c r="G3568" s="1115"/>
      <c r="H3568" s="1115"/>
      <c r="I3568" s="1115"/>
      <c r="J3568" s="1115"/>
      <c r="K3568" s="1115"/>
      <c r="L3568" s="1115"/>
      <c r="M3568" s="1115"/>
    </row>
    <row r="3569" spans="1:13" x14ac:dyDescent="0.2">
      <c r="A3569" s="1115"/>
      <c r="B3569" s="1115"/>
      <c r="C3569" s="1115"/>
      <c r="D3569" s="1115"/>
      <c r="E3569" s="1115"/>
      <c r="F3569" s="1115"/>
      <c r="G3569" s="1115"/>
      <c r="H3569" s="1115"/>
      <c r="I3569" s="1115"/>
      <c r="J3569" s="1115"/>
      <c r="K3569" s="1115"/>
      <c r="L3569" s="1115"/>
      <c r="M3569" s="1115"/>
    </row>
    <row r="3570" spans="1:13" x14ac:dyDescent="0.2">
      <c r="A3570" s="1115"/>
      <c r="B3570" s="1115"/>
      <c r="C3570" s="1115"/>
      <c r="D3570" s="1115"/>
      <c r="E3570" s="1115"/>
      <c r="F3570" s="1115"/>
      <c r="G3570" s="1115"/>
      <c r="H3570" s="1115"/>
      <c r="I3570" s="1115"/>
      <c r="J3570" s="1115"/>
      <c r="K3570" s="1115"/>
      <c r="L3570" s="1115"/>
      <c r="M3570" s="1115"/>
    </row>
    <row r="3571" spans="1:13" x14ac:dyDescent="0.2">
      <c r="A3571" s="1115"/>
      <c r="B3571" s="1115"/>
      <c r="C3571" s="1115"/>
      <c r="D3571" s="1115"/>
      <c r="E3571" s="1115"/>
      <c r="F3571" s="1115"/>
      <c r="G3571" s="1115"/>
      <c r="H3571" s="1115"/>
      <c r="I3571" s="1115"/>
      <c r="J3571" s="1115"/>
      <c r="K3571" s="1115"/>
      <c r="L3571" s="1115"/>
      <c r="M3571" s="1115"/>
    </row>
    <row r="3572" spans="1:13" x14ac:dyDescent="0.2">
      <c r="A3572" s="1115"/>
      <c r="B3572" s="1115"/>
      <c r="C3572" s="1115"/>
      <c r="D3572" s="1115"/>
      <c r="E3572" s="1115"/>
      <c r="F3572" s="1115"/>
      <c r="G3572" s="1115"/>
      <c r="H3572" s="1115"/>
      <c r="I3572" s="1115"/>
      <c r="J3572" s="1115"/>
      <c r="K3572" s="1115"/>
      <c r="L3572" s="1115"/>
      <c r="M3572" s="1115"/>
    </row>
    <row r="3573" spans="1:13" x14ac:dyDescent="0.2">
      <c r="A3573" s="1115"/>
      <c r="B3573" s="1115"/>
      <c r="C3573" s="1115"/>
      <c r="D3573" s="1115"/>
      <c r="E3573" s="1115"/>
      <c r="F3573" s="1115"/>
      <c r="G3573" s="1115"/>
      <c r="H3573" s="1115"/>
      <c r="I3573" s="1115"/>
      <c r="J3573" s="1115"/>
      <c r="K3573" s="1115"/>
      <c r="L3573" s="1115"/>
      <c r="M3573" s="1115"/>
    </row>
    <row r="3574" spans="1:13" x14ac:dyDescent="0.2">
      <c r="A3574" s="1115"/>
      <c r="B3574" s="1115"/>
      <c r="C3574" s="1115"/>
      <c r="D3574" s="1115"/>
      <c r="E3574" s="1115"/>
      <c r="F3574" s="1115"/>
      <c r="G3574" s="1115"/>
      <c r="H3574" s="1115"/>
      <c r="I3574" s="1115"/>
      <c r="J3574" s="1115"/>
      <c r="K3574" s="1115"/>
      <c r="L3574" s="1115"/>
      <c r="M3574" s="1115"/>
    </row>
    <row r="3575" spans="1:13" x14ac:dyDescent="0.2">
      <c r="A3575" s="1115"/>
      <c r="B3575" s="1115"/>
      <c r="C3575" s="1115"/>
      <c r="D3575" s="1115"/>
      <c r="E3575" s="1115"/>
      <c r="F3575" s="1115"/>
      <c r="G3575" s="1115"/>
      <c r="H3575" s="1115"/>
      <c r="I3575" s="1115"/>
      <c r="J3575" s="1115"/>
      <c r="K3575" s="1115"/>
      <c r="L3575" s="1115"/>
      <c r="M3575" s="1115"/>
    </row>
    <row r="3576" spans="1:13" x14ac:dyDescent="0.2">
      <c r="A3576" s="1115"/>
      <c r="B3576" s="1115"/>
      <c r="C3576" s="1115"/>
      <c r="D3576" s="1115"/>
      <c r="E3576" s="1115"/>
      <c r="F3576" s="1115"/>
      <c r="G3576" s="1115"/>
      <c r="H3576" s="1115"/>
      <c r="I3576" s="1115"/>
      <c r="J3576" s="1115"/>
      <c r="K3576" s="1115"/>
      <c r="L3576" s="1115"/>
      <c r="M3576" s="1115"/>
    </row>
    <row r="3577" spans="1:13" x14ac:dyDescent="0.2">
      <c r="A3577" s="1115"/>
      <c r="B3577" s="1115"/>
      <c r="C3577" s="1115"/>
      <c r="D3577" s="1115"/>
      <c r="E3577" s="1115"/>
      <c r="F3577" s="1115"/>
      <c r="G3577" s="1115"/>
      <c r="H3577" s="1115"/>
      <c r="I3577" s="1115"/>
      <c r="J3577" s="1115"/>
      <c r="K3577" s="1115"/>
      <c r="L3577" s="1115"/>
      <c r="M3577" s="1115"/>
    </row>
    <row r="3578" spans="1:13" x14ac:dyDescent="0.2">
      <c r="A3578" s="1115"/>
      <c r="B3578" s="1115"/>
      <c r="C3578" s="1115"/>
      <c r="D3578" s="1115"/>
      <c r="E3578" s="1115"/>
      <c r="F3578" s="1115"/>
      <c r="G3578" s="1115"/>
      <c r="H3578" s="1115"/>
      <c r="I3578" s="1115"/>
      <c r="J3578" s="1115"/>
      <c r="K3578" s="1115"/>
      <c r="L3578" s="1115"/>
      <c r="M3578" s="1115"/>
    </row>
    <row r="3579" spans="1:13" x14ac:dyDescent="0.2">
      <c r="A3579" s="1115"/>
      <c r="B3579" s="1115"/>
      <c r="C3579" s="1115"/>
      <c r="D3579" s="1115"/>
      <c r="E3579" s="1115"/>
      <c r="F3579" s="1115"/>
      <c r="G3579" s="1115"/>
      <c r="H3579" s="1115"/>
      <c r="I3579" s="1115"/>
      <c r="J3579" s="1115"/>
      <c r="K3579" s="1115"/>
      <c r="L3579" s="1115"/>
      <c r="M3579" s="1115"/>
    </row>
    <row r="3580" spans="1:13" x14ac:dyDescent="0.2">
      <c r="A3580" s="1115"/>
      <c r="B3580" s="1115"/>
      <c r="C3580" s="1115"/>
      <c r="D3580" s="1115"/>
      <c r="E3580" s="1115"/>
      <c r="F3580" s="1115"/>
      <c r="G3580" s="1115"/>
      <c r="H3580" s="1115"/>
      <c r="I3580" s="1115"/>
      <c r="J3580" s="1115"/>
      <c r="K3580" s="1115"/>
      <c r="L3580" s="1115"/>
      <c r="M3580" s="1115"/>
    </row>
    <row r="3581" spans="1:13" x14ac:dyDescent="0.2">
      <c r="A3581" s="1115"/>
      <c r="B3581" s="1115"/>
      <c r="C3581" s="1115"/>
      <c r="D3581" s="1115"/>
      <c r="E3581" s="1115"/>
      <c r="F3581" s="1115"/>
      <c r="G3581" s="1115"/>
      <c r="H3581" s="1115"/>
      <c r="I3581" s="1115"/>
      <c r="J3581" s="1115"/>
      <c r="K3581" s="1115"/>
      <c r="L3581" s="1115"/>
      <c r="M3581" s="1115"/>
    </row>
    <row r="3582" spans="1:13" x14ac:dyDescent="0.2">
      <c r="A3582" s="1115"/>
      <c r="B3582" s="1115"/>
      <c r="C3582" s="1115"/>
      <c r="D3582" s="1115"/>
      <c r="E3582" s="1115"/>
      <c r="F3582" s="1115"/>
      <c r="G3582" s="1115"/>
      <c r="H3582" s="1115"/>
      <c r="I3582" s="1115"/>
      <c r="J3582" s="1115"/>
      <c r="K3582" s="1115"/>
      <c r="L3582" s="1115"/>
      <c r="M3582" s="1115"/>
    </row>
    <row r="3583" spans="1:13" x14ac:dyDescent="0.2">
      <c r="A3583" s="1115"/>
      <c r="B3583" s="1115"/>
      <c r="C3583" s="1115"/>
      <c r="D3583" s="1115"/>
      <c r="E3583" s="1115"/>
      <c r="F3583" s="1115"/>
      <c r="G3583" s="1115"/>
      <c r="H3583" s="1115"/>
      <c r="I3583" s="1115"/>
      <c r="J3583" s="1115"/>
      <c r="K3583" s="1115"/>
      <c r="L3583" s="1115"/>
      <c r="M3583" s="1115"/>
    </row>
    <row r="3584" spans="1:13" x14ac:dyDescent="0.2">
      <c r="A3584" s="1115"/>
      <c r="B3584" s="1115"/>
      <c r="C3584" s="1115"/>
      <c r="D3584" s="1115"/>
      <c r="E3584" s="1115"/>
      <c r="F3584" s="1115"/>
      <c r="G3584" s="1115"/>
      <c r="H3584" s="1115"/>
      <c r="I3584" s="1115"/>
      <c r="J3584" s="1115"/>
      <c r="K3584" s="1115"/>
      <c r="L3584" s="1115"/>
      <c r="M3584" s="1115"/>
    </row>
    <row r="3585" spans="1:13" x14ac:dyDescent="0.2">
      <c r="A3585" s="1115"/>
      <c r="B3585" s="1115"/>
      <c r="C3585" s="1115"/>
      <c r="D3585" s="1115"/>
      <c r="E3585" s="1115"/>
      <c r="F3585" s="1115"/>
      <c r="G3585" s="1115"/>
      <c r="H3585" s="1115"/>
      <c r="I3585" s="1115"/>
      <c r="J3585" s="1115"/>
      <c r="K3585" s="1115"/>
      <c r="L3585" s="1115"/>
      <c r="M3585" s="1115"/>
    </row>
    <row r="3586" spans="1:13" x14ac:dyDescent="0.2">
      <c r="A3586" s="1115"/>
      <c r="B3586" s="1115"/>
      <c r="C3586" s="1115"/>
      <c r="D3586" s="1115"/>
      <c r="E3586" s="1115"/>
      <c r="F3586" s="1115"/>
      <c r="G3586" s="1115"/>
      <c r="H3586" s="1115"/>
      <c r="I3586" s="1115"/>
      <c r="J3586" s="1115"/>
      <c r="K3586" s="1115"/>
      <c r="L3586" s="1115"/>
      <c r="M3586" s="1115"/>
    </row>
    <row r="3587" spans="1:13" x14ac:dyDescent="0.2">
      <c r="A3587" s="1115"/>
      <c r="B3587" s="1115"/>
      <c r="C3587" s="1115"/>
      <c r="D3587" s="1115"/>
      <c r="E3587" s="1115"/>
      <c r="F3587" s="1115"/>
      <c r="G3587" s="1115"/>
      <c r="H3587" s="1115"/>
      <c r="I3587" s="1115"/>
      <c r="J3587" s="1115"/>
      <c r="K3587" s="1115"/>
      <c r="L3587" s="1115"/>
      <c r="M3587" s="1115"/>
    </row>
    <row r="3588" spans="1:13" x14ac:dyDescent="0.2">
      <c r="A3588" s="1115"/>
      <c r="B3588" s="1115"/>
      <c r="C3588" s="1115"/>
      <c r="D3588" s="1115"/>
      <c r="E3588" s="1115"/>
      <c r="F3588" s="1115"/>
      <c r="G3588" s="1115"/>
      <c r="H3588" s="1115"/>
      <c r="I3588" s="1115"/>
      <c r="J3588" s="1115"/>
      <c r="K3588" s="1115"/>
      <c r="L3588" s="1115"/>
      <c r="M3588" s="1115"/>
    </row>
    <row r="3589" spans="1:13" x14ac:dyDescent="0.2">
      <c r="A3589" s="1115"/>
      <c r="B3589" s="1115"/>
      <c r="C3589" s="1115"/>
      <c r="D3589" s="1115"/>
      <c r="E3589" s="1115"/>
      <c r="F3589" s="1115"/>
      <c r="G3589" s="1115"/>
      <c r="H3589" s="1115"/>
      <c r="I3589" s="1115"/>
      <c r="J3589" s="1115"/>
      <c r="K3589" s="1115"/>
      <c r="L3589" s="1115"/>
      <c r="M3589" s="1115"/>
    </row>
    <row r="3590" spans="1:13" x14ac:dyDescent="0.2">
      <c r="A3590" s="1115"/>
      <c r="B3590" s="1115"/>
      <c r="C3590" s="1115"/>
      <c r="D3590" s="1115"/>
      <c r="E3590" s="1115"/>
      <c r="F3590" s="1115"/>
      <c r="G3590" s="1115"/>
      <c r="H3590" s="1115"/>
      <c r="I3590" s="1115"/>
      <c r="J3590" s="1115"/>
      <c r="K3590" s="1115"/>
      <c r="L3590" s="1115"/>
      <c r="M3590" s="1115"/>
    </row>
    <row r="3591" spans="1:13" x14ac:dyDescent="0.2">
      <c r="A3591" s="1115"/>
      <c r="B3591" s="1115"/>
      <c r="C3591" s="1115"/>
      <c r="D3591" s="1115"/>
      <c r="E3591" s="1115"/>
      <c r="F3591" s="1115"/>
      <c r="G3591" s="1115"/>
      <c r="H3591" s="1115"/>
      <c r="I3591" s="1115"/>
      <c r="J3591" s="1115"/>
      <c r="K3591" s="1115"/>
      <c r="L3591" s="1115"/>
      <c r="M3591" s="1115"/>
    </row>
    <row r="3592" spans="1:13" x14ac:dyDescent="0.2">
      <c r="A3592" s="1115"/>
      <c r="B3592" s="1115"/>
      <c r="C3592" s="1115"/>
      <c r="D3592" s="1115"/>
      <c r="E3592" s="1115"/>
      <c r="F3592" s="1115"/>
      <c r="G3592" s="1115"/>
      <c r="H3592" s="1115"/>
      <c r="I3592" s="1115"/>
      <c r="J3592" s="1115"/>
      <c r="K3592" s="1115"/>
      <c r="L3592" s="1115"/>
      <c r="M3592" s="1115"/>
    </row>
    <row r="3593" spans="1:13" x14ac:dyDescent="0.2">
      <c r="A3593" s="1115"/>
      <c r="B3593" s="1115"/>
      <c r="C3593" s="1115"/>
      <c r="D3593" s="1115"/>
      <c r="E3593" s="1115"/>
      <c r="F3593" s="1115"/>
      <c r="G3593" s="1115"/>
      <c r="H3593" s="1115"/>
      <c r="I3593" s="1115"/>
      <c r="J3593" s="1115"/>
      <c r="K3593" s="1115"/>
      <c r="L3593" s="1115"/>
      <c r="M3593" s="1115"/>
    </row>
    <row r="3594" spans="1:13" x14ac:dyDescent="0.2">
      <c r="A3594" s="1115"/>
      <c r="B3594" s="1115"/>
      <c r="C3594" s="1115"/>
      <c r="D3594" s="1115"/>
      <c r="E3594" s="1115"/>
      <c r="F3594" s="1115"/>
      <c r="G3594" s="1115"/>
      <c r="H3594" s="1115"/>
      <c r="I3594" s="1115"/>
      <c r="J3594" s="1115"/>
      <c r="K3594" s="1115"/>
      <c r="L3594" s="1115"/>
      <c r="M3594" s="1115"/>
    </row>
    <row r="3595" spans="1:13" x14ac:dyDescent="0.2">
      <c r="A3595" s="1115"/>
      <c r="B3595" s="1115"/>
      <c r="C3595" s="1115"/>
      <c r="D3595" s="1115"/>
      <c r="E3595" s="1115"/>
      <c r="F3595" s="1115"/>
      <c r="G3595" s="1115"/>
      <c r="H3595" s="1115"/>
      <c r="I3595" s="1115"/>
      <c r="J3595" s="1115"/>
      <c r="K3595" s="1115"/>
      <c r="L3595" s="1115"/>
      <c r="M3595" s="1115"/>
    </row>
    <row r="3596" spans="1:13" x14ac:dyDescent="0.2">
      <c r="A3596" s="1115"/>
      <c r="B3596" s="1115"/>
      <c r="C3596" s="1115"/>
      <c r="D3596" s="1115"/>
      <c r="E3596" s="1115"/>
      <c r="F3596" s="1115"/>
      <c r="G3596" s="1115"/>
      <c r="H3596" s="1115"/>
      <c r="I3596" s="1115"/>
      <c r="J3596" s="1115"/>
      <c r="K3596" s="1115"/>
      <c r="L3596" s="1115"/>
      <c r="M3596" s="1115"/>
    </row>
    <row r="3597" spans="1:13" x14ac:dyDescent="0.2">
      <c r="A3597" s="1115"/>
      <c r="B3597" s="1115"/>
      <c r="C3597" s="1115"/>
      <c r="D3597" s="1115"/>
      <c r="E3597" s="1115"/>
      <c r="F3597" s="1115"/>
      <c r="G3597" s="1115"/>
      <c r="H3597" s="1115"/>
      <c r="I3597" s="1115"/>
      <c r="J3597" s="1115"/>
      <c r="K3597" s="1115"/>
      <c r="L3597" s="1115"/>
      <c r="M3597" s="1115"/>
    </row>
    <row r="3598" spans="1:13" x14ac:dyDescent="0.2">
      <c r="A3598" s="1115"/>
      <c r="B3598" s="1115"/>
      <c r="C3598" s="1115"/>
      <c r="D3598" s="1115"/>
      <c r="E3598" s="1115"/>
      <c r="F3598" s="1115"/>
      <c r="G3598" s="1115"/>
      <c r="H3598" s="1115"/>
      <c r="I3598" s="1115"/>
      <c r="J3598" s="1115"/>
      <c r="K3598" s="1115"/>
      <c r="L3598" s="1115"/>
      <c r="M3598" s="1115"/>
    </row>
    <row r="3599" spans="1:13" x14ac:dyDescent="0.2">
      <c r="A3599" s="1115"/>
      <c r="B3599" s="1115"/>
      <c r="C3599" s="1115"/>
      <c r="D3599" s="1115"/>
      <c r="E3599" s="1115"/>
      <c r="F3599" s="1115"/>
      <c r="G3599" s="1115"/>
      <c r="H3599" s="1115"/>
      <c r="I3599" s="1115"/>
      <c r="J3599" s="1115"/>
      <c r="K3599" s="1115"/>
      <c r="L3599" s="1115"/>
      <c r="M3599" s="1115"/>
    </row>
    <row r="3600" spans="1:13" x14ac:dyDescent="0.2">
      <c r="A3600" s="1115"/>
      <c r="B3600" s="1115"/>
      <c r="C3600" s="1115"/>
      <c r="D3600" s="1115"/>
      <c r="E3600" s="1115"/>
      <c r="F3600" s="1115"/>
      <c r="G3600" s="1115"/>
      <c r="H3600" s="1115"/>
      <c r="I3600" s="1115"/>
      <c r="J3600" s="1115"/>
      <c r="K3600" s="1115"/>
      <c r="L3600" s="1115"/>
      <c r="M3600" s="1115"/>
    </row>
    <row r="3601" spans="1:13" x14ac:dyDescent="0.2">
      <c r="A3601" s="1115"/>
      <c r="B3601" s="1115"/>
      <c r="C3601" s="1115"/>
      <c r="D3601" s="1115"/>
      <c r="E3601" s="1115"/>
      <c r="F3601" s="1115"/>
      <c r="G3601" s="1115"/>
      <c r="H3601" s="1115"/>
      <c r="I3601" s="1115"/>
      <c r="J3601" s="1115"/>
      <c r="K3601" s="1115"/>
      <c r="L3601" s="1115"/>
      <c r="M3601" s="1115"/>
    </row>
    <row r="3602" spans="1:13" x14ac:dyDescent="0.2">
      <c r="A3602" s="1115"/>
      <c r="B3602" s="1115"/>
      <c r="C3602" s="1115"/>
      <c r="D3602" s="1115"/>
      <c r="E3602" s="1115"/>
      <c r="F3602" s="1115"/>
      <c r="G3602" s="1115"/>
      <c r="H3602" s="1115"/>
      <c r="I3602" s="1115"/>
      <c r="J3602" s="1115"/>
      <c r="K3602" s="1115"/>
      <c r="L3602" s="1115"/>
      <c r="M3602" s="1115"/>
    </row>
    <row r="3603" spans="1:13" x14ac:dyDescent="0.2">
      <c r="A3603" s="1115"/>
      <c r="B3603" s="1115"/>
      <c r="C3603" s="1115"/>
      <c r="D3603" s="1115"/>
      <c r="E3603" s="1115"/>
      <c r="F3603" s="1115"/>
      <c r="G3603" s="1115"/>
      <c r="H3603" s="1115"/>
      <c r="I3603" s="1115"/>
      <c r="J3603" s="1115"/>
      <c r="K3603" s="1115"/>
      <c r="L3603" s="1115"/>
      <c r="M3603" s="1115"/>
    </row>
    <row r="3604" spans="1:13" x14ac:dyDescent="0.2">
      <c r="A3604" s="1115"/>
      <c r="B3604" s="1115"/>
      <c r="C3604" s="1115"/>
      <c r="D3604" s="1115"/>
      <c r="E3604" s="1115"/>
      <c r="F3604" s="1115"/>
      <c r="G3604" s="1115"/>
      <c r="H3604" s="1115"/>
      <c r="I3604" s="1115"/>
      <c r="J3604" s="1115"/>
      <c r="K3604" s="1115"/>
      <c r="L3604" s="1115"/>
      <c r="M3604" s="1115"/>
    </row>
    <row r="3605" spans="1:13" x14ac:dyDescent="0.2">
      <c r="A3605" s="1115"/>
      <c r="B3605" s="1115"/>
      <c r="C3605" s="1115"/>
      <c r="D3605" s="1115"/>
      <c r="E3605" s="1115"/>
      <c r="F3605" s="1115"/>
      <c r="G3605" s="1115"/>
      <c r="H3605" s="1115"/>
      <c r="I3605" s="1115"/>
      <c r="J3605" s="1115"/>
      <c r="K3605" s="1115"/>
      <c r="L3605" s="1115"/>
      <c r="M3605" s="1115"/>
    </row>
    <row r="3606" spans="1:13" x14ac:dyDescent="0.2">
      <c r="A3606" s="1115"/>
      <c r="B3606" s="1115"/>
      <c r="C3606" s="1115"/>
      <c r="D3606" s="1115"/>
      <c r="E3606" s="1115"/>
      <c r="F3606" s="1115"/>
      <c r="G3606" s="1115"/>
      <c r="H3606" s="1115"/>
      <c r="I3606" s="1115"/>
      <c r="J3606" s="1115"/>
      <c r="K3606" s="1115"/>
      <c r="L3606" s="1115"/>
      <c r="M3606" s="1115"/>
    </row>
    <row r="3607" spans="1:13" x14ac:dyDescent="0.2">
      <c r="A3607" s="1115"/>
      <c r="B3607" s="1115"/>
      <c r="C3607" s="1115"/>
      <c r="D3607" s="1115"/>
      <c r="E3607" s="1115"/>
      <c r="F3607" s="1115"/>
      <c r="G3607" s="1115"/>
      <c r="H3607" s="1115"/>
      <c r="I3607" s="1115"/>
      <c r="J3607" s="1115"/>
      <c r="K3607" s="1115"/>
      <c r="L3607" s="1115"/>
      <c r="M3607" s="1115"/>
    </row>
    <row r="3608" spans="1:13" x14ac:dyDescent="0.2">
      <c r="A3608" s="1115"/>
      <c r="B3608" s="1115"/>
      <c r="C3608" s="1115"/>
      <c r="D3608" s="1115"/>
      <c r="E3608" s="1115"/>
      <c r="F3608" s="1115"/>
      <c r="G3608" s="1115"/>
      <c r="H3608" s="1115"/>
      <c r="I3608" s="1115"/>
      <c r="J3608" s="1115"/>
      <c r="K3608" s="1115"/>
      <c r="L3608" s="1115"/>
      <c r="M3608" s="1115"/>
    </row>
    <row r="3609" spans="1:13" x14ac:dyDescent="0.2">
      <c r="A3609" s="1115"/>
      <c r="B3609" s="1115"/>
      <c r="C3609" s="1115"/>
      <c r="D3609" s="1115"/>
      <c r="E3609" s="1115"/>
      <c r="F3609" s="1115"/>
      <c r="G3609" s="1115"/>
      <c r="H3609" s="1115"/>
      <c r="I3609" s="1115"/>
      <c r="J3609" s="1115"/>
      <c r="K3609" s="1115"/>
      <c r="L3609" s="1115"/>
      <c r="M3609" s="1115"/>
    </row>
    <row r="3610" spans="1:13" x14ac:dyDescent="0.2">
      <c r="A3610" s="1115"/>
      <c r="B3610" s="1115"/>
      <c r="C3610" s="1115"/>
      <c r="D3610" s="1115"/>
      <c r="E3610" s="1115"/>
      <c r="F3610" s="1115"/>
      <c r="G3610" s="1115"/>
      <c r="H3610" s="1115"/>
      <c r="I3610" s="1115"/>
      <c r="J3610" s="1115"/>
      <c r="K3610" s="1115"/>
      <c r="L3610" s="1115"/>
      <c r="M3610" s="1115"/>
    </row>
    <row r="3611" spans="1:13" x14ac:dyDescent="0.2">
      <c r="A3611" s="1115"/>
      <c r="B3611" s="1115"/>
      <c r="C3611" s="1115"/>
      <c r="D3611" s="1115"/>
      <c r="E3611" s="1115"/>
      <c r="F3611" s="1115"/>
      <c r="G3611" s="1115"/>
      <c r="H3611" s="1115"/>
      <c r="I3611" s="1115"/>
      <c r="J3611" s="1115"/>
      <c r="K3611" s="1115"/>
      <c r="L3611" s="1115"/>
      <c r="M3611" s="1115"/>
    </row>
    <row r="3612" spans="1:13" x14ac:dyDescent="0.2">
      <c r="A3612" s="1115"/>
      <c r="B3612" s="1115"/>
      <c r="C3612" s="1115"/>
      <c r="D3612" s="1115"/>
      <c r="E3612" s="1115"/>
      <c r="F3612" s="1115"/>
      <c r="G3612" s="1115"/>
      <c r="H3612" s="1115"/>
      <c r="I3612" s="1115"/>
      <c r="J3612" s="1115"/>
      <c r="K3612" s="1115"/>
      <c r="L3612" s="1115"/>
      <c r="M3612" s="1115"/>
    </row>
    <row r="3613" spans="1:13" x14ac:dyDescent="0.2">
      <c r="A3613" s="1115"/>
      <c r="B3613" s="1115"/>
      <c r="C3613" s="1115"/>
      <c r="D3613" s="1115"/>
      <c r="E3613" s="1115"/>
      <c r="F3613" s="1115"/>
      <c r="G3613" s="1115"/>
      <c r="H3613" s="1115"/>
      <c r="I3613" s="1115"/>
      <c r="J3613" s="1115"/>
      <c r="K3613" s="1115"/>
      <c r="L3613" s="1115"/>
      <c r="M3613" s="1115"/>
    </row>
    <row r="3614" spans="1:13" x14ac:dyDescent="0.2">
      <c r="A3614" s="1115"/>
      <c r="B3614" s="1115"/>
      <c r="C3614" s="1115"/>
      <c r="D3614" s="1115"/>
      <c r="E3614" s="1115"/>
      <c r="F3614" s="1115"/>
      <c r="G3614" s="1115"/>
      <c r="H3614" s="1115"/>
      <c r="I3614" s="1115"/>
      <c r="J3614" s="1115"/>
      <c r="K3614" s="1115"/>
      <c r="L3614" s="1115"/>
      <c r="M3614" s="1115"/>
    </row>
    <row r="3615" spans="1:13" x14ac:dyDescent="0.2">
      <c r="A3615" s="1115"/>
      <c r="B3615" s="1115"/>
      <c r="C3615" s="1115"/>
      <c r="D3615" s="1115"/>
      <c r="E3615" s="1115"/>
      <c r="F3615" s="1115"/>
      <c r="G3615" s="1115"/>
      <c r="H3615" s="1115"/>
      <c r="I3615" s="1115"/>
      <c r="J3615" s="1115"/>
      <c r="K3615" s="1115"/>
      <c r="L3615" s="1115"/>
      <c r="M3615" s="1115"/>
    </row>
    <row r="3616" spans="1:13" x14ac:dyDescent="0.2">
      <c r="A3616" s="1115"/>
      <c r="B3616" s="1115"/>
      <c r="C3616" s="1115"/>
      <c r="D3616" s="1115"/>
      <c r="E3616" s="1115"/>
      <c r="F3616" s="1115"/>
      <c r="G3616" s="1115"/>
      <c r="H3616" s="1115"/>
      <c r="I3616" s="1115"/>
      <c r="J3616" s="1115"/>
      <c r="K3616" s="1115"/>
      <c r="L3616" s="1115"/>
      <c r="M3616" s="1115"/>
    </row>
    <row r="3617" spans="1:13" x14ac:dyDescent="0.2">
      <c r="A3617" s="1115"/>
      <c r="B3617" s="1115"/>
      <c r="C3617" s="1115"/>
      <c r="D3617" s="1115"/>
      <c r="E3617" s="1115"/>
      <c r="F3617" s="1115"/>
      <c r="G3617" s="1115"/>
      <c r="H3617" s="1115"/>
      <c r="I3617" s="1115"/>
      <c r="J3617" s="1115"/>
      <c r="K3617" s="1115"/>
      <c r="L3617" s="1115"/>
      <c r="M3617" s="1115"/>
    </row>
    <row r="3618" spans="1:13" x14ac:dyDescent="0.2">
      <c r="A3618" s="1115"/>
      <c r="B3618" s="1115"/>
      <c r="C3618" s="1115"/>
      <c r="D3618" s="1115"/>
      <c r="E3618" s="1115"/>
      <c r="F3618" s="1115"/>
      <c r="G3618" s="1115"/>
      <c r="H3618" s="1115"/>
      <c r="I3618" s="1115"/>
      <c r="J3618" s="1115"/>
      <c r="K3618" s="1115"/>
      <c r="L3618" s="1115"/>
      <c r="M3618" s="1115"/>
    </row>
    <row r="3619" spans="1:13" x14ac:dyDescent="0.2">
      <c r="A3619" s="1115"/>
      <c r="B3619" s="1115"/>
      <c r="C3619" s="1115"/>
      <c r="D3619" s="1115"/>
      <c r="E3619" s="1115"/>
      <c r="F3619" s="1115"/>
      <c r="G3619" s="1115"/>
      <c r="H3619" s="1115"/>
      <c r="I3619" s="1115"/>
      <c r="J3619" s="1115"/>
      <c r="K3619" s="1115"/>
      <c r="L3619" s="1115"/>
      <c r="M3619" s="1115"/>
    </row>
    <row r="3620" spans="1:13" x14ac:dyDescent="0.2">
      <c r="A3620" s="1115"/>
      <c r="B3620" s="1115"/>
      <c r="C3620" s="1115"/>
      <c r="D3620" s="1115"/>
      <c r="E3620" s="1115"/>
      <c r="F3620" s="1115"/>
      <c r="G3620" s="1115"/>
      <c r="H3620" s="1115"/>
      <c r="I3620" s="1115"/>
      <c r="J3620" s="1115"/>
      <c r="K3620" s="1115"/>
      <c r="L3620" s="1115"/>
      <c r="M3620" s="1115"/>
    </row>
    <row r="3621" spans="1:13" x14ac:dyDescent="0.2">
      <c r="A3621" s="1115"/>
      <c r="B3621" s="1115"/>
      <c r="C3621" s="1115"/>
      <c r="D3621" s="1115"/>
      <c r="E3621" s="1115"/>
      <c r="F3621" s="1115"/>
      <c r="G3621" s="1115"/>
      <c r="H3621" s="1115"/>
      <c r="I3621" s="1115"/>
      <c r="J3621" s="1115"/>
      <c r="K3621" s="1115"/>
      <c r="L3621" s="1115"/>
      <c r="M3621" s="1115"/>
    </row>
    <row r="3622" spans="1:13" x14ac:dyDescent="0.2">
      <c r="A3622" s="1115"/>
      <c r="B3622" s="1115"/>
      <c r="C3622" s="1115"/>
      <c r="D3622" s="1115"/>
      <c r="E3622" s="1115"/>
      <c r="F3622" s="1115"/>
      <c r="G3622" s="1115"/>
      <c r="H3622" s="1115"/>
      <c r="I3622" s="1115"/>
      <c r="J3622" s="1115"/>
      <c r="K3622" s="1115"/>
      <c r="L3622" s="1115"/>
      <c r="M3622" s="1115"/>
    </row>
    <row r="3623" spans="1:13" x14ac:dyDescent="0.2">
      <c r="A3623" s="1115"/>
      <c r="B3623" s="1115"/>
      <c r="C3623" s="1115"/>
      <c r="D3623" s="1115"/>
      <c r="E3623" s="1115"/>
      <c r="F3623" s="1115"/>
      <c r="G3623" s="1115"/>
      <c r="H3623" s="1115"/>
      <c r="I3623" s="1115"/>
      <c r="J3623" s="1115"/>
      <c r="K3623" s="1115"/>
      <c r="L3623" s="1115"/>
      <c r="M3623" s="1115"/>
    </row>
    <row r="3624" spans="1:13" x14ac:dyDescent="0.2">
      <c r="A3624" s="1115"/>
      <c r="B3624" s="1115"/>
      <c r="C3624" s="1115"/>
      <c r="D3624" s="1115"/>
      <c r="E3624" s="1115"/>
      <c r="F3624" s="1115"/>
      <c r="G3624" s="1115"/>
      <c r="H3624" s="1115"/>
      <c r="I3624" s="1115"/>
      <c r="J3624" s="1115"/>
      <c r="K3624" s="1115"/>
      <c r="L3624" s="1115"/>
      <c r="M3624" s="1115"/>
    </row>
    <row r="3625" spans="1:13" x14ac:dyDescent="0.2">
      <c r="A3625" s="1115"/>
      <c r="B3625" s="1115"/>
      <c r="C3625" s="1115"/>
      <c r="D3625" s="1115"/>
      <c r="E3625" s="1115"/>
      <c r="F3625" s="1115"/>
      <c r="G3625" s="1115"/>
      <c r="H3625" s="1115"/>
      <c r="I3625" s="1115"/>
      <c r="J3625" s="1115"/>
      <c r="K3625" s="1115"/>
      <c r="L3625" s="1115"/>
      <c r="M3625" s="1115"/>
    </row>
    <row r="3626" spans="1:13" x14ac:dyDescent="0.2">
      <c r="A3626" s="1115"/>
      <c r="B3626" s="1115"/>
      <c r="C3626" s="1115"/>
      <c r="D3626" s="1115"/>
      <c r="E3626" s="1115"/>
      <c r="F3626" s="1115"/>
      <c r="G3626" s="1115"/>
      <c r="H3626" s="1115"/>
      <c r="I3626" s="1115"/>
      <c r="J3626" s="1115"/>
      <c r="K3626" s="1115"/>
      <c r="L3626" s="1115"/>
      <c r="M3626" s="1115"/>
    </row>
    <row r="3627" spans="1:13" x14ac:dyDescent="0.2">
      <c r="A3627" s="1115"/>
      <c r="B3627" s="1115"/>
      <c r="C3627" s="1115"/>
      <c r="D3627" s="1115"/>
      <c r="E3627" s="1115"/>
      <c r="F3627" s="1115"/>
      <c r="G3627" s="1115"/>
      <c r="H3627" s="1115"/>
      <c r="I3627" s="1115"/>
      <c r="J3627" s="1115"/>
      <c r="K3627" s="1115"/>
      <c r="L3627" s="1115"/>
      <c r="M3627" s="1115"/>
    </row>
    <row r="3628" spans="1:13" x14ac:dyDescent="0.2">
      <c r="A3628" s="1115"/>
      <c r="B3628" s="1115"/>
      <c r="C3628" s="1115"/>
      <c r="D3628" s="1115"/>
      <c r="E3628" s="1115"/>
      <c r="F3628" s="1115"/>
      <c r="G3628" s="1115"/>
      <c r="H3628" s="1115"/>
      <c r="I3628" s="1115"/>
      <c r="J3628" s="1115"/>
      <c r="K3628" s="1115"/>
      <c r="L3628" s="1115"/>
      <c r="M3628" s="1115"/>
    </row>
    <row r="3629" spans="1:13" x14ac:dyDescent="0.2">
      <c r="A3629" s="1115"/>
      <c r="B3629" s="1115"/>
      <c r="C3629" s="1115"/>
      <c r="D3629" s="1115"/>
      <c r="E3629" s="1115"/>
      <c r="F3629" s="1115"/>
      <c r="G3629" s="1115"/>
      <c r="H3629" s="1115"/>
      <c r="I3629" s="1115"/>
      <c r="J3629" s="1115"/>
      <c r="K3629" s="1115"/>
      <c r="L3629" s="1115"/>
      <c r="M3629" s="1115"/>
    </row>
    <row r="3630" spans="1:13" x14ac:dyDescent="0.2">
      <c r="A3630" s="1115"/>
      <c r="B3630" s="1115"/>
      <c r="C3630" s="1115"/>
      <c r="D3630" s="1115"/>
      <c r="E3630" s="1115"/>
      <c r="F3630" s="1115"/>
      <c r="G3630" s="1115"/>
      <c r="H3630" s="1115"/>
      <c r="I3630" s="1115"/>
      <c r="J3630" s="1115"/>
      <c r="K3630" s="1115"/>
      <c r="L3630" s="1115"/>
      <c r="M3630" s="1115"/>
    </row>
    <row r="3631" spans="1:13" x14ac:dyDescent="0.2">
      <c r="A3631" s="1115"/>
      <c r="B3631" s="1115"/>
      <c r="C3631" s="1115"/>
      <c r="D3631" s="1115"/>
      <c r="E3631" s="1115"/>
      <c r="F3631" s="1115"/>
      <c r="G3631" s="1115"/>
      <c r="H3631" s="1115"/>
      <c r="I3631" s="1115"/>
      <c r="J3631" s="1115"/>
      <c r="K3631" s="1115"/>
      <c r="L3631" s="1115"/>
      <c r="M3631" s="1115"/>
    </row>
    <row r="3632" spans="1:13" x14ac:dyDescent="0.2">
      <c r="A3632" s="1115"/>
      <c r="B3632" s="1115"/>
      <c r="C3632" s="1115"/>
      <c r="D3632" s="1115"/>
      <c r="E3632" s="1115"/>
      <c r="F3632" s="1115"/>
      <c r="G3632" s="1115"/>
      <c r="H3632" s="1115"/>
      <c r="I3632" s="1115"/>
      <c r="J3632" s="1115"/>
      <c r="K3632" s="1115"/>
      <c r="L3632" s="1115"/>
      <c r="M3632" s="1115"/>
    </row>
    <row r="3633" spans="1:13" x14ac:dyDescent="0.2">
      <c r="A3633" s="1115"/>
      <c r="B3633" s="1115"/>
      <c r="C3633" s="1115"/>
      <c r="D3633" s="1115"/>
      <c r="E3633" s="1115"/>
      <c r="F3633" s="1115"/>
      <c r="G3633" s="1115"/>
      <c r="H3633" s="1115"/>
      <c r="I3633" s="1115"/>
      <c r="J3633" s="1115"/>
      <c r="K3633" s="1115"/>
      <c r="L3633" s="1115"/>
      <c r="M3633" s="1115"/>
    </row>
    <row r="3634" spans="1:13" x14ac:dyDescent="0.2">
      <c r="A3634" s="1115"/>
      <c r="B3634" s="1115"/>
      <c r="C3634" s="1115"/>
      <c r="D3634" s="1115"/>
      <c r="E3634" s="1115"/>
      <c r="F3634" s="1115"/>
      <c r="G3634" s="1115"/>
      <c r="H3634" s="1115"/>
      <c r="I3634" s="1115"/>
      <c r="J3634" s="1115"/>
      <c r="K3634" s="1115"/>
      <c r="L3634" s="1115"/>
      <c r="M3634" s="1115"/>
    </row>
    <row r="3635" spans="1:13" x14ac:dyDescent="0.2">
      <c r="A3635" s="1115"/>
      <c r="B3635" s="1115"/>
      <c r="C3635" s="1115"/>
      <c r="D3635" s="1115"/>
      <c r="E3635" s="1115"/>
      <c r="F3635" s="1115"/>
      <c r="G3635" s="1115"/>
      <c r="H3635" s="1115"/>
      <c r="I3635" s="1115"/>
      <c r="J3635" s="1115"/>
      <c r="K3635" s="1115"/>
      <c r="L3635" s="1115"/>
      <c r="M3635" s="1115"/>
    </row>
    <row r="3636" spans="1:13" x14ac:dyDescent="0.2">
      <c r="A3636" s="1115"/>
      <c r="B3636" s="1115"/>
      <c r="C3636" s="1115"/>
      <c r="D3636" s="1115"/>
      <c r="E3636" s="1115"/>
      <c r="F3636" s="1115"/>
      <c r="G3636" s="1115"/>
      <c r="H3636" s="1115"/>
      <c r="I3636" s="1115"/>
      <c r="J3636" s="1115"/>
      <c r="K3636" s="1115"/>
      <c r="L3636" s="1115"/>
      <c r="M3636" s="1115"/>
    </row>
    <row r="3637" spans="1:13" x14ac:dyDescent="0.2">
      <c r="A3637" s="1115"/>
      <c r="B3637" s="1115"/>
      <c r="C3637" s="1115"/>
      <c r="D3637" s="1115"/>
      <c r="E3637" s="1115"/>
      <c r="F3637" s="1115"/>
      <c r="G3637" s="1115"/>
      <c r="H3637" s="1115"/>
      <c r="I3637" s="1115"/>
      <c r="J3637" s="1115"/>
      <c r="K3637" s="1115"/>
      <c r="L3637" s="1115"/>
      <c r="M3637" s="1115"/>
    </row>
    <row r="3638" spans="1:13" x14ac:dyDescent="0.2">
      <c r="A3638" s="1115"/>
      <c r="B3638" s="1115"/>
      <c r="C3638" s="1115"/>
      <c r="D3638" s="1115"/>
      <c r="E3638" s="1115"/>
      <c r="F3638" s="1115"/>
      <c r="G3638" s="1115"/>
      <c r="H3638" s="1115"/>
      <c r="I3638" s="1115"/>
      <c r="J3638" s="1115"/>
      <c r="K3638" s="1115"/>
      <c r="L3638" s="1115"/>
      <c r="M3638" s="1115"/>
    </row>
    <row r="3639" spans="1:13" x14ac:dyDescent="0.2">
      <c r="A3639" s="1115"/>
      <c r="B3639" s="1115"/>
      <c r="C3639" s="1115"/>
      <c r="D3639" s="1115"/>
      <c r="E3639" s="1115"/>
      <c r="F3639" s="1115"/>
      <c r="G3639" s="1115"/>
      <c r="H3639" s="1115"/>
      <c r="I3639" s="1115"/>
      <c r="J3639" s="1115"/>
      <c r="K3639" s="1115"/>
      <c r="L3639" s="1115"/>
      <c r="M3639" s="1115"/>
    </row>
    <row r="3640" spans="1:13" x14ac:dyDescent="0.2">
      <c r="A3640" s="1115"/>
      <c r="B3640" s="1115"/>
      <c r="C3640" s="1115"/>
      <c r="D3640" s="1115"/>
      <c r="E3640" s="1115"/>
      <c r="F3640" s="1115"/>
      <c r="G3640" s="1115"/>
      <c r="H3640" s="1115"/>
      <c r="I3640" s="1115"/>
      <c r="J3640" s="1115"/>
      <c r="K3640" s="1115"/>
      <c r="L3640" s="1115"/>
      <c r="M3640" s="1115"/>
    </row>
    <row r="3641" spans="1:13" x14ac:dyDescent="0.2">
      <c r="A3641" s="1115"/>
      <c r="B3641" s="1115"/>
      <c r="C3641" s="1115"/>
      <c r="D3641" s="1115"/>
      <c r="E3641" s="1115"/>
      <c r="F3641" s="1115"/>
      <c r="G3641" s="1115"/>
      <c r="H3641" s="1115"/>
      <c r="I3641" s="1115"/>
      <c r="J3641" s="1115"/>
      <c r="K3641" s="1115"/>
      <c r="L3641" s="1115"/>
      <c r="M3641" s="1115"/>
    </row>
    <row r="3642" spans="1:13" x14ac:dyDescent="0.2">
      <c r="A3642" s="1115"/>
      <c r="B3642" s="1115"/>
      <c r="C3642" s="1115"/>
      <c r="D3642" s="1115"/>
      <c r="E3642" s="1115"/>
      <c r="F3642" s="1115"/>
      <c r="G3642" s="1115"/>
      <c r="H3642" s="1115"/>
      <c r="I3642" s="1115"/>
      <c r="J3642" s="1115"/>
      <c r="K3642" s="1115"/>
      <c r="L3642" s="1115"/>
      <c r="M3642" s="1115"/>
    </row>
    <row r="3643" spans="1:13" x14ac:dyDescent="0.2">
      <c r="A3643" s="1115"/>
      <c r="B3643" s="1115"/>
      <c r="C3643" s="1115"/>
      <c r="D3643" s="1115"/>
      <c r="E3643" s="1115"/>
      <c r="F3643" s="1115"/>
      <c r="G3643" s="1115"/>
      <c r="H3643" s="1115"/>
      <c r="I3643" s="1115"/>
      <c r="J3643" s="1115"/>
      <c r="K3643" s="1115"/>
      <c r="L3643" s="1115"/>
      <c r="M3643" s="1115"/>
    </row>
    <row r="3644" spans="1:13" x14ac:dyDescent="0.2">
      <c r="A3644" s="1115"/>
      <c r="B3644" s="1115"/>
      <c r="C3644" s="1115"/>
      <c r="D3644" s="1115"/>
      <c r="E3644" s="1115"/>
      <c r="F3644" s="1115"/>
      <c r="G3644" s="1115"/>
      <c r="H3644" s="1115"/>
      <c r="I3644" s="1115"/>
      <c r="J3644" s="1115"/>
      <c r="K3644" s="1115"/>
      <c r="L3644" s="1115"/>
      <c r="M3644" s="1115"/>
    </row>
    <row r="3645" spans="1:13" x14ac:dyDescent="0.2">
      <c r="A3645" s="1115"/>
      <c r="B3645" s="1115"/>
      <c r="C3645" s="1115"/>
      <c r="D3645" s="1115"/>
      <c r="E3645" s="1115"/>
      <c r="F3645" s="1115"/>
      <c r="G3645" s="1115"/>
      <c r="H3645" s="1115"/>
      <c r="I3645" s="1115"/>
      <c r="J3645" s="1115"/>
      <c r="K3645" s="1115"/>
      <c r="L3645" s="1115"/>
      <c r="M3645" s="1115"/>
    </row>
    <row r="3646" spans="1:13" x14ac:dyDescent="0.2">
      <c r="A3646" s="1115"/>
      <c r="B3646" s="1115"/>
      <c r="C3646" s="1115"/>
      <c r="D3646" s="1115"/>
      <c r="E3646" s="1115"/>
      <c r="F3646" s="1115"/>
      <c r="G3646" s="1115"/>
      <c r="H3646" s="1115"/>
      <c r="I3646" s="1115"/>
      <c r="J3646" s="1115"/>
      <c r="K3646" s="1115"/>
      <c r="L3646" s="1115"/>
      <c r="M3646" s="1115"/>
    </row>
    <row r="3647" spans="1:13" x14ac:dyDescent="0.2">
      <c r="A3647" s="1115"/>
      <c r="B3647" s="1115"/>
      <c r="C3647" s="1115"/>
      <c r="D3647" s="1115"/>
      <c r="E3647" s="1115"/>
      <c r="F3647" s="1115"/>
      <c r="G3647" s="1115"/>
      <c r="H3647" s="1115"/>
      <c r="I3647" s="1115"/>
      <c r="J3647" s="1115"/>
      <c r="K3647" s="1115"/>
      <c r="L3647" s="1115"/>
      <c r="M3647" s="1115"/>
    </row>
    <row r="3648" spans="1:13" x14ac:dyDescent="0.2">
      <c r="A3648" s="1115"/>
      <c r="B3648" s="1115"/>
      <c r="C3648" s="1115"/>
      <c r="D3648" s="1115"/>
      <c r="E3648" s="1115"/>
      <c r="F3648" s="1115"/>
      <c r="G3648" s="1115"/>
      <c r="H3648" s="1115"/>
      <c r="I3648" s="1115"/>
      <c r="J3648" s="1115"/>
      <c r="K3648" s="1115"/>
      <c r="L3648" s="1115"/>
      <c r="M3648" s="1115"/>
    </row>
    <row r="3649" spans="1:13" x14ac:dyDescent="0.2">
      <c r="A3649" s="1115"/>
      <c r="B3649" s="1115"/>
      <c r="C3649" s="1115"/>
      <c r="D3649" s="1115"/>
      <c r="E3649" s="1115"/>
      <c r="F3649" s="1115"/>
      <c r="G3649" s="1115"/>
      <c r="H3649" s="1115"/>
      <c r="I3649" s="1115"/>
      <c r="J3649" s="1115"/>
      <c r="K3649" s="1115"/>
      <c r="L3649" s="1115"/>
      <c r="M3649" s="1115"/>
    </row>
    <row r="3650" spans="1:13" x14ac:dyDescent="0.2">
      <c r="A3650" s="1115"/>
      <c r="B3650" s="1115"/>
      <c r="C3650" s="1115"/>
      <c r="D3650" s="1115"/>
      <c r="E3650" s="1115"/>
      <c r="F3650" s="1115"/>
      <c r="G3650" s="1115"/>
      <c r="H3650" s="1115"/>
      <c r="I3650" s="1115"/>
      <c r="J3650" s="1115"/>
      <c r="K3650" s="1115"/>
      <c r="L3650" s="1115"/>
      <c r="M3650" s="1115"/>
    </row>
    <row r="3651" spans="1:13" x14ac:dyDescent="0.2">
      <c r="A3651" s="1115"/>
      <c r="B3651" s="1115"/>
      <c r="C3651" s="1115"/>
      <c r="D3651" s="1115"/>
      <c r="E3651" s="1115"/>
      <c r="F3651" s="1115"/>
      <c r="G3651" s="1115"/>
      <c r="H3651" s="1115"/>
      <c r="I3651" s="1115"/>
      <c r="J3651" s="1115"/>
      <c r="K3651" s="1115"/>
      <c r="L3651" s="1115"/>
      <c r="M3651" s="1115"/>
    </row>
    <row r="3652" spans="1:13" x14ac:dyDescent="0.2">
      <c r="A3652" s="1115"/>
      <c r="B3652" s="1115"/>
      <c r="C3652" s="1115"/>
      <c r="D3652" s="1115"/>
      <c r="E3652" s="1115"/>
      <c r="F3652" s="1115"/>
      <c r="G3652" s="1115"/>
      <c r="H3652" s="1115"/>
      <c r="I3652" s="1115"/>
      <c r="J3652" s="1115"/>
      <c r="K3652" s="1115"/>
      <c r="L3652" s="1115"/>
      <c r="M3652" s="1115"/>
    </row>
    <row r="3653" spans="1:13" x14ac:dyDescent="0.2">
      <c r="A3653" s="1115"/>
      <c r="B3653" s="1115"/>
      <c r="C3653" s="1115"/>
      <c r="D3653" s="1115"/>
      <c r="E3653" s="1115"/>
      <c r="F3653" s="1115"/>
      <c r="G3653" s="1115"/>
      <c r="H3653" s="1115"/>
      <c r="I3653" s="1115"/>
      <c r="J3653" s="1115"/>
      <c r="K3653" s="1115"/>
      <c r="L3653" s="1115"/>
      <c r="M3653" s="1115"/>
    </row>
    <row r="3654" spans="1:13" x14ac:dyDescent="0.2">
      <c r="A3654" s="1115"/>
      <c r="B3654" s="1115"/>
      <c r="C3654" s="1115"/>
      <c r="D3654" s="1115"/>
      <c r="E3654" s="1115"/>
      <c r="F3654" s="1115"/>
      <c r="G3654" s="1115"/>
      <c r="H3654" s="1115"/>
      <c r="I3654" s="1115"/>
      <c r="J3654" s="1115"/>
      <c r="K3654" s="1115"/>
      <c r="L3654" s="1115"/>
      <c r="M3654" s="1115"/>
    </row>
    <row r="3655" spans="1:13" x14ac:dyDescent="0.2">
      <c r="A3655" s="1115"/>
      <c r="B3655" s="1115"/>
      <c r="C3655" s="1115"/>
      <c r="D3655" s="1115"/>
      <c r="E3655" s="1115"/>
      <c r="F3655" s="1115"/>
      <c r="G3655" s="1115"/>
      <c r="H3655" s="1115"/>
      <c r="I3655" s="1115"/>
      <c r="J3655" s="1115"/>
      <c r="K3655" s="1115"/>
      <c r="L3655" s="1115"/>
      <c r="M3655" s="1115"/>
    </row>
    <row r="3656" spans="1:13" x14ac:dyDescent="0.2">
      <c r="A3656" s="1115"/>
      <c r="B3656" s="1115"/>
      <c r="C3656" s="1115"/>
      <c r="D3656" s="1115"/>
      <c r="E3656" s="1115"/>
      <c r="F3656" s="1115"/>
      <c r="G3656" s="1115"/>
      <c r="H3656" s="1115"/>
      <c r="I3656" s="1115"/>
      <c r="J3656" s="1115"/>
      <c r="K3656" s="1115"/>
      <c r="L3656" s="1115"/>
      <c r="M3656" s="1115"/>
    </row>
    <row r="3657" spans="1:13" x14ac:dyDescent="0.2">
      <c r="A3657" s="1115"/>
      <c r="B3657" s="1115"/>
      <c r="C3657" s="1115"/>
      <c r="D3657" s="1115"/>
      <c r="E3657" s="1115"/>
      <c r="F3657" s="1115"/>
      <c r="G3657" s="1115"/>
      <c r="H3657" s="1115"/>
      <c r="I3657" s="1115"/>
      <c r="J3657" s="1115"/>
      <c r="K3657" s="1115"/>
      <c r="L3657" s="1115"/>
      <c r="M3657" s="1115"/>
    </row>
    <row r="3658" spans="1:13" x14ac:dyDescent="0.2">
      <c r="A3658" s="1115"/>
      <c r="B3658" s="1115"/>
      <c r="C3658" s="1115"/>
      <c r="D3658" s="1115"/>
      <c r="E3658" s="1115"/>
      <c r="F3658" s="1115"/>
      <c r="G3658" s="1115"/>
      <c r="H3658" s="1115"/>
      <c r="I3658" s="1115"/>
      <c r="J3658" s="1115"/>
      <c r="K3658" s="1115"/>
      <c r="L3658" s="1115"/>
      <c r="M3658" s="1115"/>
    </row>
    <row r="3659" spans="1:13" x14ac:dyDescent="0.2">
      <c r="A3659" s="1115"/>
      <c r="B3659" s="1115"/>
      <c r="C3659" s="1115"/>
      <c r="D3659" s="1115"/>
      <c r="E3659" s="1115"/>
      <c r="F3659" s="1115"/>
      <c r="G3659" s="1115"/>
      <c r="H3659" s="1115"/>
      <c r="I3659" s="1115"/>
      <c r="J3659" s="1115"/>
      <c r="K3659" s="1115"/>
      <c r="L3659" s="1115"/>
      <c r="M3659" s="1115"/>
    </row>
    <row r="3660" spans="1:13" x14ac:dyDescent="0.2">
      <c r="A3660" s="1115"/>
      <c r="B3660" s="1115"/>
      <c r="C3660" s="1115"/>
      <c r="D3660" s="1115"/>
      <c r="E3660" s="1115"/>
      <c r="F3660" s="1115"/>
      <c r="G3660" s="1115"/>
      <c r="H3660" s="1115"/>
      <c r="I3660" s="1115"/>
      <c r="J3660" s="1115"/>
      <c r="K3660" s="1115"/>
      <c r="L3660" s="1115"/>
      <c r="M3660" s="1115"/>
    </row>
    <row r="3661" spans="1:13" x14ac:dyDescent="0.2">
      <c r="A3661" s="1115"/>
      <c r="B3661" s="1115"/>
      <c r="C3661" s="1115"/>
      <c r="D3661" s="1115"/>
      <c r="E3661" s="1115"/>
      <c r="F3661" s="1115"/>
      <c r="G3661" s="1115"/>
      <c r="H3661" s="1115"/>
      <c r="I3661" s="1115"/>
      <c r="J3661" s="1115"/>
      <c r="K3661" s="1115"/>
      <c r="L3661" s="1115"/>
      <c r="M3661" s="1115"/>
    </row>
    <row r="3662" spans="1:13" x14ac:dyDescent="0.2">
      <c r="A3662" s="1115"/>
      <c r="B3662" s="1115"/>
      <c r="C3662" s="1115"/>
      <c r="D3662" s="1115"/>
      <c r="E3662" s="1115"/>
      <c r="F3662" s="1115"/>
      <c r="G3662" s="1115"/>
      <c r="H3662" s="1115"/>
      <c r="I3662" s="1115"/>
      <c r="J3662" s="1115"/>
      <c r="K3662" s="1115"/>
      <c r="L3662" s="1115"/>
      <c r="M3662" s="1115"/>
    </row>
    <row r="3663" spans="1:13" x14ac:dyDescent="0.2">
      <c r="A3663" s="1115"/>
      <c r="B3663" s="1115"/>
      <c r="C3663" s="1115"/>
      <c r="D3663" s="1115"/>
      <c r="E3663" s="1115"/>
      <c r="F3663" s="1115"/>
      <c r="G3663" s="1115"/>
      <c r="H3663" s="1115"/>
      <c r="I3663" s="1115"/>
      <c r="J3663" s="1115"/>
      <c r="K3663" s="1115"/>
      <c r="L3663" s="1115"/>
      <c r="M3663" s="1115"/>
    </row>
    <row r="3664" spans="1:13" x14ac:dyDescent="0.2">
      <c r="A3664" s="1115"/>
      <c r="B3664" s="1115"/>
      <c r="C3664" s="1115"/>
      <c r="D3664" s="1115"/>
      <c r="E3664" s="1115"/>
      <c r="F3664" s="1115"/>
      <c r="G3664" s="1115"/>
      <c r="H3664" s="1115"/>
      <c r="I3664" s="1115"/>
      <c r="J3664" s="1115"/>
      <c r="K3664" s="1115"/>
      <c r="L3664" s="1115"/>
      <c r="M3664" s="1115"/>
    </row>
    <row r="3665" spans="1:13" x14ac:dyDescent="0.2">
      <c r="A3665" s="1115"/>
      <c r="B3665" s="1115"/>
      <c r="C3665" s="1115"/>
      <c r="D3665" s="1115"/>
      <c r="E3665" s="1115"/>
      <c r="F3665" s="1115"/>
      <c r="G3665" s="1115"/>
      <c r="H3665" s="1115"/>
      <c r="I3665" s="1115"/>
      <c r="J3665" s="1115"/>
      <c r="K3665" s="1115"/>
      <c r="L3665" s="1115"/>
      <c r="M3665" s="1115"/>
    </row>
    <row r="3666" spans="1:13" x14ac:dyDescent="0.2">
      <c r="A3666" s="1115"/>
      <c r="B3666" s="1115"/>
      <c r="C3666" s="1115"/>
      <c r="D3666" s="1115"/>
      <c r="E3666" s="1115"/>
      <c r="F3666" s="1115"/>
      <c r="G3666" s="1115"/>
      <c r="H3666" s="1115"/>
      <c r="I3666" s="1115"/>
      <c r="J3666" s="1115"/>
      <c r="K3666" s="1115"/>
      <c r="L3666" s="1115"/>
      <c r="M3666" s="1115"/>
    </row>
    <row r="3667" spans="1:13" x14ac:dyDescent="0.2">
      <c r="A3667" s="1115"/>
      <c r="B3667" s="1115"/>
      <c r="C3667" s="1115"/>
      <c r="D3667" s="1115"/>
      <c r="E3667" s="1115"/>
      <c r="F3667" s="1115"/>
      <c r="G3667" s="1115"/>
      <c r="H3667" s="1115"/>
      <c r="I3667" s="1115"/>
      <c r="J3667" s="1115"/>
      <c r="K3667" s="1115"/>
      <c r="L3667" s="1115"/>
      <c r="M3667" s="1115"/>
    </row>
    <row r="3668" spans="1:13" x14ac:dyDescent="0.2">
      <c r="A3668" s="1115"/>
      <c r="B3668" s="1115"/>
      <c r="C3668" s="1115"/>
      <c r="D3668" s="1115"/>
      <c r="E3668" s="1115"/>
      <c r="F3668" s="1115"/>
      <c r="G3668" s="1115"/>
      <c r="H3668" s="1115"/>
      <c r="I3668" s="1115"/>
      <c r="J3668" s="1115"/>
      <c r="K3668" s="1115"/>
      <c r="L3668" s="1115"/>
      <c r="M3668" s="1115"/>
    </row>
    <row r="3669" spans="1:13" x14ac:dyDescent="0.2">
      <c r="A3669" s="1115"/>
      <c r="B3669" s="1115"/>
      <c r="C3669" s="1115"/>
      <c r="D3669" s="1115"/>
      <c r="E3669" s="1115"/>
      <c r="F3669" s="1115"/>
      <c r="G3669" s="1115"/>
      <c r="H3669" s="1115"/>
      <c r="I3669" s="1115"/>
      <c r="J3669" s="1115"/>
      <c r="K3669" s="1115"/>
      <c r="L3669" s="1115"/>
      <c r="M3669" s="1115"/>
    </row>
    <row r="3670" spans="1:13" x14ac:dyDescent="0.2">
      <c r="A3670" s="1115"/>
      <c r="B3670" s="1115"/>
      <c r="C3670" s="1115"/>
      <c r="D3670" s="1115"/>
      <c r="E3670" s="1115"/>
      <c r="F3670" s="1115"/>
      <c r="G3670" s="1115"/>
      <c r="H3670" s="1115"/>
      <c r="I3670" s="1115"/>
      <c r="J3670" s="1115"/>
      <c r="K3670" s="1115"/>
      <c r="L3670" s="1115"/>
      <c r="M3670" s="1115"/>
    </row>
    <row r="3671" spans="1:13" x14ac:dyDescent="0.2">
      <c r="A3671" s="1115"/>
      <c r="B3671" s="1115"/>
      <c r="C3671" s="1115"/>
      <c r="D3671" s="1115"/>
      <c r="E3671" s="1115"/>
      <c r="F3671" s="1115"/>
      <c r="G3671" s="1115"/>
      <c r="H3671" s="1115"/>
      <c r="I3671" s="1115"/>
      <c r="J3671" s="1115"/>
      <c r="K3671" s="1115"/>
      <c r="L3671" s="1115"/>
      <c r="M3671" s="1115"/>
    </row>
    <row r="3672" spans="1:13" x14ac:dyDescent="0.2">
      <c r="A3672" s="1115"/>
      <c r="B3672" s="1115"/>
      <c r="C3672" s="1115"/>
      <c r="D3672" s="1115"/>
      <c r="E3672" s="1115"/>
      <c r="F3672" s="1115"/>
      <c r="G3672" s="1115"/>
      <c r="H3672" s="1115"/>
      <c r="I3672" s="1115"/>
      <c r="J3672" s="1115"/>
      <c r="K3672" s="1115"/>
      <c r="L3672" s="1115"/>
      <c r="M3672" s="1115"/>
    </row>
    <row r="3673" spans="1:13" x14ac:dyDescent="0.2">
      <c r="A3673" s="1115"/>
      <c r="B3673" s="1115"/>
      <c r="C3673" s="1115"/>
      <c r="D3673" s="1115"/>
      <c r="E3673" s="1115"/>
      <c r="F3673" s="1115"/>
      <c r="G3673" s="1115"/>
      <c r="H3673" s="1115"/>
      <c r="I3673" s="1115"/>
      <c r="J3673" s="1115"/>
      <c r="K3673" s="1115"/>
      <c r="L3673" s="1115"/>
      <c r="M3673" s="1115"/>
    </row>
    <row r="3674" spans="1:13" x14ac:dyDescent="0.2">
      <c r="A3674" s="1115"/>
      <c r="B3674" s="1115"/>
      <c r="C3674" s="1115"/>
      <c r="D3674" s="1115"/>
      <c r="E3674" s="1115"/>
      <c r="F3674" s="1115"/>
      <c r="G3674" s="1115"/>
      <c r="H3674" s="1115"/>
      <c r="I3674" s="1115"/>
      <c r="J3674" s="1115"/>
      <c r="K3674" s="1115"/>
      <c r="L3674" s="1115"/>
      <c r="M3674" s="1115"/>
    </row>
    <row r="3675" spans="1:13" x14ac:dyDescent="0.2">
      <c r="A3675" s="1115"/>
      <c r="B3675" s="1115"/>
      <c r="C3675" s="1115"/>
      <c r="D3675" s="1115"/>
      <c r="E3675" s="1115"/>
      <c r="F3675" s="1115"/>
      <c r="G3675" s="1115"/>
      <c r="H3675" s="1115"/>
      <c r="I3675" s="1115"/>
      <c r="J3675" s="1115"/>
      <c r="K3675" s="1115"/>
      <c r="L3675" s="1115"/>
      <c r="M3675" s="1115"/>
    </row>
    <row r="3676" spans="1:13" x14ac:dyDescent="0.2">
      <c r="A3676" s="1115"/>
      <c r="B3676" s="1115"/>
      <c r="C3676" s="1115"/>
      <c r="D3676" s="1115"/>
      <c r="E3676" s="1115"/>
      <c r="F3676" s="1115"/>
      <c r="G3676" s="1115"/>
      <c r="H3676" s="1115"/>
      <c r="I3676" s="1115"/>
      <c r="J3676" s="1115"/>
      <c r="K3676" s="1115"/>
      <c r="L3676" s="1115"/>
      <c r="M3676" s="1115"/>
    </row>
    <row r="3677" spans="1:13" x14ac:dyDescent="0.2">
      <c r="A3677" s="1115"/>
      <c r="B3677" s="1115"/>
      <c r="C3677" s="1115"/>
      <c r="D3677" s="1115"/>
      <c r="E3677" s="1115"/>
      <c r="F3677" s="1115"/>
      <c r="G3677" s="1115"/>
      <c r="H3677" s="1115"/>
      <c r="I3677" s="1115"/>
      <c r="J3677" s="1115"/>
      <c r="K3677" s="1115"/>
      <c r="L3677" s="1115"/>
      <c r="M3677" s="1115"/>
    </row>
    <row r="3678" spans="1:13" x14ac:dyDescent="0.2">
      <c r="A3678" s="1115"/>
      <c r="B3678" s="1115"/>
      <c r="C3678" s="1115"/>
      <c r="D3678" s="1115"/>
      <c r="E3678" s="1115"/>
      <c r="F3678" s="1115"/>
      <c r="G3678" s="1115"/>
      <c r="H3678" s="1115"/>
      <c r="I3678" s="1115"/>
      <c r="J3678" s="1115"/>
      <c r="K3678" s="1115"/>
      <c r="L3678" s="1115"/>
      <c r="M3678" s="1115"/>
    </row>
    <row r="3679" spans="1:13" x14ac:dyDescent="0.2">
      <c r="A3679" s="1115"/>
      <c r="B3679" s="1115"/>
      <c r="C3679" s="1115"/>
      <c r="D3679" s="1115"/>
      <c r="E3679" s="1115"/>
      <c r="F3679" s="1115"/>
      <c r="G3679" s="1115"/>
      <c r="H3679" s="1115"/>
      <c r="I3679" s="1115"/>
      <c r="J3679" s="1115"/>
      <c r="K3679" s="1115"/>
      <c r="L3679" s="1115"/>
      <c r="M3679" s="1115"/>
    </row>
    <row r="3680" spans="1:13" x14ac:dyDescent="0.2">
      <c r="A3680" s="1115"/>
      <c r="B3680" s="1115"/>
      <c r="C3680" s="1115"/>
      <c r="D3680" s="1115"/>
      <c r="E3680" s="1115"/>
      <c r="F3680" s="1115"/>
      <c r="G3680" s="1115"/>
      <c r="H3680" s="1115"/>
      <c r="I3680" s="1115"/>
      <c r="J3680" s="1115"/>
      <c r="K3680" s="1115"/>
      <c r="L3680" s="1115"/>
      <c r="M3680" s="1115"/>
    </row>
    <row r="3681" spans="1:13" x14ac:dyDescent="0.2">
      <c r="A3681" s="1115"/>
      <c r="B3681" s="1115"/>
      <c r="C3681" s="1115"/>
      <c r="D3681" s="1115"/>
      <c r="E3681" s="1115"/>
      <c r="F3681" s="1115"/>
      <c r="G3681" s="1115"/>
      <c r="H3681" s="1115"/>
      <c r="I3681" s="1115"/>
      <c r="J3681" s="1115"/>
      <c r="K3681" s="1115"/>
      <c r="L3681" s="1115"/>
      <c r="M3681" s="1115"/>
    </row>
    <row r="3682" spans="1:13" x14ac:dyDescent="0.2">
      <c r="A3682" s="1115"/>
      <c r="B3682" s="1115"/>
      <c r="C3682" s="1115"/>
      <c r="D3682" s="1115"/>
      <c r="E3682" s="1115"/>
      <c r="F3682" s="1115"/>
      <c r="G3682" s="1115"/>
      <c r="H3682" s="1115"/>
      <c r="I3682" s="1115"/>
      <c r="J3682" s="1115"/>
      <c r="K3682" s="1115"/>
      <c r="L3682" s="1115"/>
      <c r="M3682" s="1115"/>
    </row>
    <row r="3683" spans="1:13" x14ac:dyDescent="0.2">
      <c r="A3683" s="1115"/>
      <c r="B3683" s="1115"/>
      <c r="C3683" s="1115"/>
      <c r="D3683" s="1115"/>
      <c r="E3683" s="1115"/>
      <c r="F3683" s="1115"/>
      <c r="G3683" s="1115"/>
      <c r="H3683" s="1115"/>
      <c r="I3683" s="1115"/>
      <c r="J3683" s="1115"/>
      <c r="K3683" s="1115"/>
      <c r="L3683" s="1115"/>
      <c r="M3683" s="1115"/>
    </row>
    <row r="3684" spans="1:13" x14ac:dyDescent="0.2">
      <c r="A3684" s="1115"/>
      <c r="B3684" s="1115"/>
      <c r="C3684" s="1115"/>
      <c r="D3684" s="1115"/>
      <c r="E3684" s="1115"/>
      <c r="F3684" s="1115"/>
      <c r="G3684" s="1115"/>
      <c r="H3684" s="1115"/>
      <c r="I3684" s="1115"/>
      <c r="J3684" s="1115"/>
      <c r="K3684" s="1115"/>
      <c r="L3684" s="1115"/>
      <c r="M3684" s="1115"/>
    </row>
    <row r="3685" spans="1:13" x14ac:dyDescent="0.2">
      <c r="A3685" s="1115"/>
      <c r="B3685" s="1115"/>
      <c r="C3685" s="1115"/>
      <c r="D3685" s="1115"/>
      <c r="E3685" s="1115"/>
      <c r="F3685" s="1115"/>
      <c r="G3685" s="1115"/>
      <c r="H3685" s="1115"/>
      <c r="I3685" s="1115"/>
      <c r="J3685" s="1115"/>
      <c r="K3685" s="1115"/>
      <c r="L3685" s="1115"/>
      <c r="M3685" s="1115"/>
    </row>
    <row r="3686" spans="1:13" x14ac:dyDescent="0.2">
      <c r="A3686" s="1115"/>
      <c r="B3686" s="1115"/>
      <c r="C3686" s="1115"/>
      <c r="D3686" s="1115"/>
      <c r="E3686" s="1115"/>
      <c r="F3686" s="1115"/>
      <c r="G3686" s="1115"/>
      <c r="H3686" s="1115"/>
      <c r="I3686" s="1115"/>
      <c r="J3686" s="1115"/>
      <c r="K3686" s="1115"/>
      <c r="L3686" s="1115"/>
      <c r="M3686" s="1115"/>
    </row>
    <row r="3687" spans="1:13" x14ac:dyDescent="0.2">
      <c r="A3687" s="1115"/>
      <c r="B3687" s="1115"/>
      <c r="C3687" s="1115"/>
      <c r="D3687" s="1115"/>
      <c r="E3687" s="1115"/>
      <c r="F3687" s="1115"/>
      <c r="G3687" s="1115"/>
      <c r="H3687" s="1115"/>
      <c r="I3687" s="1115"/>
      <c r="J3687" s="1115"/>
      <c r="K3687" s="1115"/>
      <c r="L3687" s="1115"/>
      <c r="M3687" s="1115"/>
    </row>
    <row r="3688" spans="1:13" x14ac:dyDescent="0.2">
      <c r="A3688" s="1115"/>
      <c r="B3688" s="1115"/>
      <c r="C3688" s="1115"/>
      <c r="D3688" s="1115"/>
      <c r="E3688" s="1115"/>
      <c r="F3688" s="1115"/>
      <c r="G3688" s="1115"/>
      <c r="H3688" s="1115"/>
      <c r="I3688" s="1115"/>
      <c r="J3688" s="1115"/>
      <c r="K3688" s="1115"/>
      <c r="L3688" s="1115"/>
      <c r="M3688" s="1115"/>
    </row>
    <row r="3689" spans="1:13" x14ac:dyDescent="0.2">
      <c r="A3689" s="1115"/>
      <c r="B3689" s="1115"/>
      <c r="C3689" s="1115"/>
      <c r="D3689" s="1115"/>
      <c r="E3689" s="1115"/>
      <c r="F3689" s="1115"/>
      <c r="G3689" s="1115"/>
      <c r="H3689" s="1115"/>
      <c r="I3689" s="1115"/>
      <c r="J3689" s="1115"/>
      <c r="K3689" s="1115"/>
      <c r="L3689" s="1115"/>
      <c r="M3689" s="1115"/>
    </row>
    <row r="3690" spans="1:13" x14ac:dyDescent="0.2">
      <c r="A3690" s="1115"/>
      <c r="B3690" s="1115"/>
      <c r="C3690" s="1115"/>
      <c r="D3690" s="1115"/>
      <c r="E3690" s="1115"/>
      <c r="F3690" s="1115"/>
      <c r="G3690" s="1115"/>
      <c r="H3690" s="1115"/>
      <c r="I3690" s="1115"/>
      <c r="J3690" s="1115"/>
      <c r="K3690" s="1115"/>
      <c r="L3690" s="1115"/>
      <c r="M3690" s="1115"/>
    </row>
    <row r="3691" spans="1:13" x14ac:dyDescent="0.2">
      <c r="A3691" s="1115"/>
      <c r="B3691" s="1115"/>
      <c r="C3691" s="1115"/>
      <c r="D3691" s="1115"/>
      <c r="E3691" s="1115"/>
      <c r="F3691" s="1115"/>
      <c r="G3691" s="1115"/>
      <c r="H3691" s="1115"/>
      <c r="I3691" s="1115"/>
      <c r="J3691" s="1115"/>
      <c r="K3691" s="1115"/>
      <c r="L3691" s="1115"/>
      <c r="M3691" s="1115"/>
    </row>
    <row r="3692" spans="1:13" x14ac:dyDescent="0.2">
      <c r="A3692" s="1115"/>
      <c r="B3692" s="1115"/>
      <c r="C3692" s="1115"/>
      <c r="D3692" s="1115"/>
      <c r="E3692" s="1115"/>
      <c r="F3692" s="1115"/>
      <c r="G3692" s="1115"/>
      <c r="H3692" s="1115"/>
      <c r="I3692" s="1115"/>
      <c r="J3692" s="1115"/>
      <c r="K3692" s="1115"/>
      <c r="L3692" s="1115"/>
      <c r="M3692" s="1115"/>
    </row>
    <row r="3693" spans="1:13" x14ac:dyDescent="0.2">
      <c r="A3693" s="1115"/>
      <c r="B3693" s="1115"/>
      <c r="C3693" s="1115"/>
      <c r="D3693" s="1115"/>
      <c r="E3693" s="1115"/>
      <c r="F3693" s="1115"/>
      <c r="G3693" s="1115"/>
      <c r="H3693" s="1115"/>
      <c r="I3693" s="1115"/>
      <c r="J3693" s="1115"/>
      <c r="K3693" s="1115"/>
      <c r="L3693" s="1115"/>
      <c r="M3693" s="1115"/>
    </row>
    <row r="3694" spans="1:13" x14ac:dyDescent="0.2">
      <c r="A3694" s="1115"/>
      <c r="B3694" s="1115"/>
      <c r="C3694" s="1115"/>
      <c r="D3694" s="1115"/>
      <c r="E3694" s="1115"/>
      <c r="F3694" s="1115"/>
      <c r="G3694" s="1115"/>
      <c r="H3694" s="1115"/>
      <c r="I3694" s="1115"/>
      <c r="J3694" s="1115"/>
      <c r="K3694" s="1115"/>
      <c r="L3694" s="1115"/>
      <c r="M3694" s="1115"/>
    </row>
    <row r="3695" spans="1:13" x14ac:dyDescent="0.2">
      <c r="A3695" s="1115"/>
      <c r="B3695" s="1115"/>
      <c r="C3695" s="1115"/>
      <c r="D3695" s="1115"/>
      <c r="E3695" s="1115"/>
      <c r="F3695" s="1115"/>
      <c r="G3695" s="1115"/>
      <c r="H3695" s="1115"/>
      <c r="I3695" s="1115"/>
      <c r="J3695" s="1115"/>
      <c r="K3695" s="1115"/>
      <c r="L3695" s="1115"/>
      <c r="M3695" s="1115"/>
    </row>
    <row r="3696" spans="1:13" x14ac:dyDescent="0.2">
      <c r="A3696" s="1115"/>
      <c r="B3696" s="1115"/>
      <c r="C3696" s="1115"/>
      <c r="D3696" s="1115"/>
      <c r="E3696" s="1115"/>
      <c r="F3696" s="1115"/>
      <c r="G3696" s="1115"/>
      <c r="H3696" s="1115"/>
      <c r="I3696" s="1115"/>
      <c r="J3696" s="1115"/>
      <c r="K3696" s="1115"/>
      <c r="L3696" s="1115"/>
      <c r="M3696" s="1115"/>
    </row>
    <row r="3697" spans="1:13" x14ac:dyDescent="0.2">
      <c r="A3697" s="1115"/>
      <c r="B3697" s="1115"/>
      <c r="C3697" s="1115"/>
      <c r="D3697" s="1115"/>
      <c r="E3697" s="1115"/>
      <c r="F3697" s="1115"/>
      <c r="G3697" s="1115"/>
      <c r="H3697" s="1115"/>
      <c r="I3697" s="1115"/>
      <c r="J3697" s="1115"/>
      <c r="K3697" s="1115"/>
      <c r="L3697" s="1115"/>
      <c r="M3697" s="1115"/>
    </row>
    <row r="3698" spans="1:13" x14ac:dyDescent="0.2">
      <c r="A3698" s="1115"/>
      <c r="B3698" s="1115"/>
      <c r="C3698" s="1115"/>
      <c r="D3698" s="1115"/>
      <c r="E3698" s="1115"/>
      <c r="F3698" s="1115"/>
      <c r="G3698" s="1115"/>
      <c r="H3698" s="1115"/>
      <c r="I3698" s="1115"/>
      <c r="J3698" s="1115"/>
      <c r="K3698" s="1115"/>
      <c r="L3698" s="1115"/>
      <c r="M3698" s="1115"/>
    </row>
    <row r="3699" spans="1:13" x14ac:dyDescent="0.2">
      <c r="A3699" s="1115"/>
      <c r="B3699" s="1115"/>
      <c r="C3699" s="1115"/>
      <c r="D3699" s="1115"/>
      <c r="E3699" s="1115"/>
      <c r="F3699" s="1115"/>
      <c r="G3699" s="1115"/>
      <c r="H3699" s="1115"/>
      <c r="I3699" s="1115"/>
      <c r="J3699" s="1115"/>
      <c r="K3699" s="1115"/>
      <c r="L3699" s="1115"/>
      <c r="M3699" s="1115"/>
    </row>
    <row r="3700" spans="1:13" x14ac:dyDescent="0.2">
      <c r="A3700" s="1115"/>
      <c r="B3700" s="1115"/>
      <c r="C3700" s="1115"/>
      <c r="D3700" s="1115"/>
      <c r="E3700" s="1115"/>
      <c r="F3700" s="1115"/>
      <c r="G3700" s="1115"/>
      <c r="H3700" s="1115"/>
      <c r="I3700" s="1115"/>
      <c r="J3700" s="1115"/>
      <c r="K3700" s="1115"/>
      <c r="L3700" s="1115"/>
      <c r="M3700" s="1115"/>
    </row>
    <row r="3701" spans="1:13" x14ac:dyDescent="0.2">
      <c r="A3701" s="1115"/>
      <c r="B3701" s="1115"/>
      <c r="C3701" s="1115"/>
      <c r="D3701" s="1115"/>
      <c r="E3701" s="1115"/>
      <c r="F3701" s="1115"/>
      <c r="G3701" s="1115"/>
      <c r="H3701" s="1115"/>
      <c r="I3701" s="1115"/>
      <c r="J3701" s="1115"/>
      <c r="K3701" s="1115"/>
      <c r="L3701" s="1115"/>
      <c r="M3701" s="1115"/>
    </row>
    <row r="3702" spans="1:13" x14ac:dyDescent="0.2">
      <c r="A3702" s="1115"/>
      <c r="B3702" s="1115"/>
      <c r="C3702" s="1115"/>
      <c r="D3702" s="1115"/>
      <c r="E3702" s="1115"/>
      <c r="F3702" s="1115"/>
      <c r="G3702" s="1115"/>
      <c r="H3702" s="1115"/>
      <c r="I3702" s="1115"/>
      <c r="J3702" s="1115"/>
      <c r="K3702" s="1115"/>
      <c r="L3702" s="1115"/>
      <c r="M3702" s="1115"/>
    </row>
    <row r="3703" spans="1:13" x14ac:dyDescent="0.2">
      <c r="A3703" s="1115"/>
      <c r="B3703" s="1115"/>
      <c r="C3703" s="1115"/>
      <c r="D3703" s="1115"/>
      <c r="E3703" s="1115"/>
      <c r="F3703" s="1115"/>
      <c r="G3703" s="1115"/>
      <c r="H3703" s="1115"/>
      <c r="I3703" s="1115"/>
      <c r="J3703" s="1115"/>
      <c r="K3703" s="1115"/>
      <c r="L3703" s="1115"/>
      <c r="M3703" s="1115"/>
    </row>
    <row r="3704" spans="1:13" x14ac:dyDescent="0.2">
      <c r="A3704" s="1115"/>
      <c r="B3704" s="1115"/>
      <c r="C3704" s="1115"/>
      <c r="D3704" s="1115"/>
      <c r="E3704" s="1115"/>
      <c r="F3704" s="1115"/>
      <c r="G3704" s="1115"/>
      <c r="H3704" s="1115"/>
      <c r="I3704" s="1115"/>
      <c r="J3704" s="1115"/>
      <c r="K3704" s="1115"/>
      <c r="L3704" s="1115"/>
      <c r="M3704" s="1115"/>
    </row>
    <row r="3705" spans="1:13" x14ac:dyDescent="0.2">
      <c r="A3705" s="1115"/>
      <c r="B3705" s="1115"/>
      <c r="C3705" s="1115"/>
      <c r="D3705" s="1115"/>
      <c r="E3705" s="1115"/>
      <c r="F3705" s="1115"/>
      <c r="G3705" s="1115"/>
      <c r="H3705" s="1115"/>
      <c r="I3705" s="1115"/>
      <c r="J3705" s="1115"/>
      <c r="K3705" s="1115"/>
      <c r="L3705" s="1115"/>
      <c r="M3705" s="1115"/>
    </row>
    <row r="3706" spans="1:13" x14ac:dyDescent="0.2">
      <c r="A3706" s="1115"/>
      <c r="B3706" s="1115"/>
      <c r="C3706" s="1115"/>
      <c r="D3706" s="1115"/>
      <c r="E3706" s="1115"/>
      <c r="F3706" s="1115"/>
      <c r="G3706" s="1115"/>
      <c r="H3706" s="1115"/>
      <c r="I3706" s="1115"/>
      <c r="J3706" s="1115"/>
      <c r="K3706" s="1115"/>
      <c r="L3706" s="1115"/>
      <c r="M3706" s="1115"/>
    </row>
    <row r="3707" spans="1:13" x14ac:dyDescent="0.2">
      <c r="A3707" s="1115"/>
      <c r="B3707" s="1115"/>
      <c r="C3707" s="1115"/>
      <c r="D3707" s="1115"/>
      <c r="E3707" s="1115"/>
      <c r="F3707" s="1115"/>
      <c r="G3707" s="1115"/>
      <c r="H3707" s="1115"/>
      <c r="I3707" s="1115"/>
      <c r="J3707" s="1115"/>
      <c r="K3707" s="1115"/>
      <c r="L3707" s="1115"/>
      <c r="M3707" s="1115"/>
    </row>
    <row r="3708" spans="1:13" x14ac:dyDescent="0.2">
      <c r="A3708" s="1115"/>
      <c r="B3708" s="1115"/>
      <c r="C3708" s="1115"/>
      <c r="D3708" s="1115"/>
      <c r="E3708" s="1115"/>
      <c r="F3708" s="1115"/>
      <c r="G3708" s="1115"/>
      <c r="H3708" s="1115"/>
      <c r="I3708" s="1115"/>
      <c r="J3708" s="1115"/>
      <c r="K3708" s="1115"/>
      <c r="L3708" s="1115"/>
      <c r="M3708" s="1115"/>
    </row>
    <row r="3709" spans="1:13" x14ac:dyDescent="0.2">
      <c r="A3709" s="1115"/>
      <c r="B3709" s="1115"/>
      <c r="C3709" s="1115"/>
      <c r="D3709" s="1115"/>
      <c r="E3709" s="1115"/>
      <c r="F3709" s="1115"/>
      <c r="G3709" s="1115"/>
      <c r="H3709" s="1115"/>
      <c r="I3709" s="1115"/>
      <c r="J3709" s="1115"/>
      <c r="K3709" s="1115"/>
      <c r="L3709" s="1115"/>
      <c r="M3709" s="1115"/>
    </row>
    <row r="3710" spans="1:13" x14ac:dyDescent="0.2">
      <c r="A3710" s="1115"/>
      <c r="B3710" s="1115"/>
      <c r="C3710" s="1115"/>
      <c r="D3710" s="1115"/>
      <c r="E3710" s="1115"/>
      <c r="F3710" s="1115"/>
      <c r="G3710" s="1115"/>
      <c r="H3710" s="1115"/>
      <c r="I3710" s="1115"/>
      <c r="J3710" s="1115"/>
      <c r="K3710" s="1115"/>
      <c r="L3710" s="1115"/>
      <c r="M3710" s="1115"/>
    </row>
    <row r="3711" spans="1:13" x14ac:dyDescent="0.2">
      <c r="A3711" s="1115"/>
      <c r="B3711" s="1115"/>
      <c r="C3711" s="1115"/>
      <c r="D3711" s="1115"/>
      <c r="E3711" s="1115"/>
      <c r="F3711" s="1115"/>
      <c r="G3711" s="1115"/>
      <c r="H3711" s="1115"/>
      <c r="I3711" s="1115"/>
      <c r="J3711" s="1115"/>
      <c r="K3711" s="1115"/>
      <c r="L3711" s="1115"/>
      <c r="M3711" s="1115"/>
    </row>
    <row r="3712" spans="1:13" x14ac:dyDescent="0.2">
      <c r="A3712" s="1115"/>
      <c r="B3712" s="1115"/>
      <c r="C3712" s="1115"/>
      <c r="D3712" s="1115"/>
      <c r="E3712" s="1115"/>
      <c r="F3712" s="1115"/>
      <c r="G3712" s="1115"/>
      <c r="H3712" s="1115"/>
      <c r="I3712" s="1115"/>
      <c r="J3712" s="1115"/>
      <c r="K3712" s="1115"/>
      <c r="L3712" s="1115"/>
      <c r="M3712" s="1115"/>
    </row>
    <row r="3713" spans="1:13" x14ac:dyDescent="0.2">
      <c r="A3713" s="1115"/>
      <c r="B3713" s="1115"/>
      <c r="C3713" s="1115"/>
      <c r="D3713" s="1115"/>
      <c r="E3713" s="1115"/>
      <c r="F3713" s="1115"/>
      <c r="G3713" s="1115"/>
      <c r="H3713" s="1115"/>
      <c r="I3713" s="1115"/>
      <c r="J3713" s="1115"/>
      <c r="K3713" s="1115"/>
      <c r="L3713" s="1115"/>
      <c r="M3713" s="1115"/>
    </row>
    <row r="3714" spans="1:13" x14ac:dyDescent="0.2">
      <c r="A3714" s="1115"/>
      <c r="B3714" s="1115"/>
      <c r="C3714" s="1115"/>
      <c r="D3714" s="1115"/>
      <c r="E3714" s="1115"/>
      <c r="F3714" s="1115"/>
      <c r="G3714" s="1115"/>
      <c r="H3714" s="1115"/>
      <c r="I3714" s="1115"/>
      <c r="J3714" s="1115"/>
      <c r="K3714" s="1115"/>
      <c r="L3714" s="1115"/>
      <c r="M3714" s="1115"/>
    </row>
    <row r="3715" spans="1:13" x14ac:dyDescent="0.2">
      <c r="A3715" s="1115"/>
      <c r="B3715" s="1115"/>
      <c r="C3715" s="1115"/>
      <c r="D3715" s="1115"/>
      <c r="E3715" s="1115"/>
      <c r="F3715" s="1115"/>
      <c r="G3715" s="1115"/>
      <c r="H3715" s="1115"/>
      <c r="I3715" s="1115"/>
      <c r="J3715" s="1115"/>
      <c r="K3715" s="1115"/>
      <c r="L3715" s="1115"/>
      <c r="M3715" s="1115"/>
    </row>
    <row r="3716" spans="1:13" x14ac:dyDescent="0.2">
      <c r="A3716" s="1115"/>
      <c r="B3716" s="1115"/>
      <c r="C3716" s="1115"/>
      <c r="D3716" s="1115"/>
      <c r="E3716" s="1115"/>
      <c r="F3716" s="1115"/>
      <c r="G3716" s="1115"/>
      <c r="H3716" s="1115"/>
      <c r="I3716" s="1115"/>
      <c r="J3716" s="1115"/>
      <c r="K3716" s="1115"/>
      <c r="L3716" s="1115"/>
      <c r="M3716" s="1115"/>
    </row>
    <row r="3717" spans="1:13" x14ac:dyDescent="0.2">
      <c r="A3717" s="1115"/>
      <c r="B3717" s="1115"/>
      <c r="C3717" s="1115"/>
      <c r="D3717" s="1115"/>
      <c r="E3717" s="1115"/>
      <c r="F3717" s="1115"/>
      <c r="G3717" s="1115"/>
      <c r="H3717" s="1115"/>
      <c r="I3717" s="1115"/>
      <c r="J3717" s="1115"/>
      <c r="K3717" s="1115"/>
      <c r="L3717" s="1115"/>
      <c r="M3717" s="1115"/>
    </row>
    <row r="3718" spans="1:13" x14ac:dyDescent="0.2">
      <c r="A3718" s="1115"/>
      <c r="B3718" s="1115"/>
      <c r="C3718" s="1115"/>
      <c r="D3718" s="1115"/>
      <c r="E3718" s="1115"/>
      <c r="F3718" s="1115"/>
      <c r="G3718" s="1115"/>
      <c r="H3718" s="1115"/>
      <c r="I3718" s="1115"/>
      <c r="J3718" s="1115"/>
      <c r="K3718" s="1115"/>
      <c r="L3718" s="1115"/>
      <c r="M3718" s="1115"/>
    </row>
    <row r="3719" spans="1:13" x14ac:dyDescent="0.2">
      <c r="A3719" s="1115"/>
      <c r="B3719" s="1115"/>
      <c r="C3719" s="1115"/>
      <c r="D3719" s="1115"/>
      <c r="E3719" s="1115"/>
      <c r="F3719" s="1115"/>
      <c r="G3719" s="1115"/>
      <c r="H3719" s="1115"/>
      <c r="I3719" s="1115"/>
      <c r="J3719" s="1115"/>
      <c r="K3719" s="1115"/>
      <c r="L3719" s="1115"/>
      <c r="M3719" s="1115"/>
    </row>
    <row r="3720" spans="1:13" x14ac:dyDescent="0.2">
      <c r="A3720" s="1115"/>
      <c r="B3720" s="1115"/>
      <c r="C3720" s="1115"/>
      <c r="D3720" s="1115"/>
      <c r="E3720" s="1115"/>
      <c r="F3720" s="1115"/>
      <c r="G3720" s="1115"/>
      <c r="H3720" s="1115"/>
      <c r="I3720" s="1115"/>
      <c r="J3720" s="1115"/>
      <c r="K3720" s="1115"/>
      <c r="L3720" s="1115"/>
      <c r="M3720" s="1115"/>
    </row>
    <row r="3721" spans="1:13" x14ac:dyDescent="0.2">
      <c r="A3721" s="1115"/>
      <c r="B3721" s="1115"/>
      <c r="C3721" s="1115"/>
      <c r="D3721" s="1115"/>
      <c r="E3721" s="1115"/>
      <c r="F3721" s="1115"/>
      <c r="G3721" s="1115"/>
      <c r="H3721" s="1115"/>
      <c r="I3721" s="1115"/>
      <c r="J3721" s="1115"/>
      <c r="K3721" s="1115"/>
      <c r="L3721" s="1115"/>
      <c r="M3721" s="1115"/>
    </row>
    <row r="3722" spans="1:13" x14ac:dyDescent="0.2">
      <c r="A3722" s="1115"/>
      <c r="B3722" s="1115"/>
      <c r="C3722" s="1115"/>
      <c r="D3722" s="1115"/>
      <c r="E3722" s="1115"/>
      <c r="F3722" s="1115"/>
      <c r="G3722" s="1115"/>
      <c r="H3722" s="1115"/>
      <c r="I3722" s="1115"/>
      <c r="J3722" s="1115"/>
      <c r="K3722" s="1115"/>
      <c r="L3722" s="1115"/>
      <c r="M3722" s="1115"/>
    </row>
    <row r="3723" spans="1:13" x14ac:dyDescent="0.2">
      <c r="A3723" s="1115"/>
      <c r="B3723" s="1115"/>
      <c r="C3723" s="1115"/>
      <c r="D3723" s="1115"/>
      <c r="E3723" s="1115"/>
      <c r="F3723" s="1115"/>
      <c r="G3723" s="1115"/>
      <c r="H3723" s="1115"/>
      <c r="I3723" s="1115"/>
      <c r="J3723" s="1115"/>
      <c r="K3723" s="1115"/>
      <c r="L3723" s="1115"/>
      <c r="M3723" s="1115"/>
    </row>
    <row r="3724" spans="1:13" x14ac:dyDescent="0.2">
      <c r="A3724" s="1115"/>
      <c r="B3724" s="1115"/>
      <c r="C3724" s="1115"/>
      <c r="D3724" s="1115"/>
      <c r="E3724" s="1115"/>
      <c r="F3724" s="1115"/>
      <c r="G3724" s="1115"/>
      <c r="H3724" s="1115"/>
      <c r="I3724" s="1115"/>
      <c r="J3724" s="1115"/>
      <c r="K3724" s="1115"/>
      <c r="L3724" s="1115"/>
      <c r="M3724" s="1115"/>
    </row>
    <row r="3725" spans="1:13" x14ac:dyDescent="0.2">
      <c r="A3725" s="1115"/>
      <c r="B3725" s="1115"/>
      <c r="C3725" s="1115"/>
      <c r="D3725" s="1115"/>
      <c r="E3725" s="1115"/>
      <c r="F3725" s="1115"/>
      <c r="G3725" s="1115"/>
      <c r="H3725" s="1115"/>
      <c r="I3725" s="1115"/>
      <c r="J3725" s="1115"/>
      <c r="K3725" s="1115"/>
      <c r="L3725" s="1115"/>
      <c r="M3725" s="1115"/>
    </row>
    <row r="3726" spans="1:13" x14ac:dyDescent="0.2">
      <c r="A3726" s="1115"/>
      <c r="B3726" s="1115"/>
      <c r="C3726" s="1115"/>
      <c r="D3726" s="1115"/>
      <c r="E3726" s="1115"/>
      <c r="F3726" s="1115"/>
      <c r="G3726" s="1115"/>
      <c r="H3726" s="1115"/>
      <c r="I3726" s="1115"/>
      <c r="J3726" s="1115"/>
      <c r="K3726" s="1115"/>
      <c r="L3726" s="1115"/>
      <c r="M3726" s="1115"/>
    </row>
    <row r="3727" spans="1:13" x14ac:dyDescent="0.2">
      <c r="A3727" s="1115"/>
      <c r="B3727" s="1115"/>
      <c r="C3727" s="1115"/>
      <c r="D3727" s="1115"/>
      <c r="E3727" s="1115"/>
      <c r="F3727" s="1115"/>
      <c r="G3727" s="1115"/>
      <c r="H3727" s="1115"/>
      <c r="I3727" s="1115"/>
      <c r="J3727" s="1115"/>
      <c r="K3727" s="1115"/>
      <c r="L3727" s="1115"/>
      <c r="M3727" s="1115"/>
    </row>
    <row r="3728" spans="1:13" x14ac:dyDescent="0.2">
      <c r="A3728" s="1115"/>
      <c r="B3728" s="1115"/>
      <c r="C3728" s="1115"/>
      <c r="D3728" s="1115"/>
      <c r="E3728" s="1115"/>
      <c r="F3728" s="1115"/>
      <c r="G3728" s="1115"/>
      <c r="H3728" s="1115"/>
      <c r="I3728" s="1115"/>
      <c r="J3728" s="1115"/>
      <c r="K3728" s="1115"/>
      <c r="L3728" s="1115"/>
      <c r="M3728" s="1115"/>
    </row>
    <row r="3729" spans="1:13" x14ac:dyDescent="0.2">
      <c r="A3729" s="1115"/>
      <c r="B3729" s="1115"/>
      <c r="C3729" s="1115"/>
      <c r="D3729" s="1115"/>
      <c r="E3729" s="1115"/>
      <c r="F3729" s="1115"/>
      <c r="G3729" s="1115"/>
      <c r="H3729" s="1115"/>
      <c r="I3729" s="1115"/>
      <c r="J3729" s="1115"/>
      <c r="K3729" s="1115"/>
      <c r="L3729" s="1115"/>
      <c r="M3729" s="1115"/>
    </row>
    <row r="3730" spans="1:13" x14ac:dyDescent="0.2">
      <c r="A3730" s="1115"/>
      <c r="B3730" s="1115"/>
      <c r="C3730" s="1115"/>
      <c r="D3730" s="1115"/>
      <c r="E3730" s="1115"/>
      <c r="F3730" s="1115"/>
      <c r="G3730" s="1115"/>
      <c r="H3730" s="1115"/>
      <c r="I3730" s="1115"/>
      <c r="J3730" s="1115"/>
      <c r="K3730" s="1115"/>
      <c r="L3730" s="1115"/>
      <c r="M3730" s="1115"/>
    </row>
    <row r="3731" spans="1:13" x14ac:dyDescent="0.2">
      <c r="A3731" s="1115"/>
      <c r="B3731" s="1115"/>
      <c r="C3731" s="1115"/>
      <c r="D3731" s="1115"/>
      <c r="E3731" s="1115"/>
      <c r="F3731" s="1115"/>
      <c r="G3731" s="1115"/>
      <c r="H3731" s="1115"/>
      <c r="I3731" s="1115"/>
      <c r="J3731" s="1115"/>
      <c r="K3731" s="1115"/>
      <c r="L3731" s="1115"/>
      <c r="M3731" s="1115"/>
    </row>
    <row r="3732" spans="1:13" x14ac:dyDescent="0.2">
      <c r="A3732" s="1115"/>
      <c r="B3732" s="1115"/>
      <c r="C3732" s="1115"/>
      <c r="D3732" s="1115"/>
      <c r="E3732" s="1115"/>
      <c r="F3732" s="1115"/>
      <c r="G3732" s="1115"/>
      <c r="H3732" s="1115"/>
      <c r="I3732" s="1115"/>
      <c r="J3732" s="1115"/>
      <c r="K3732" s="1115"/>
      <c r="L3732" s="1115"/>
      <c r="M3732" s="1115"/>
    </row>
    <row r="3733" spans="1:13" x14ac:dyDescent="0.2">
      <c r="A3733" s="1115"/>
      <c r="B3733" s="1115"/>
      <c r="C3733" s="1115"/>
      <c r="D3733" s="1115"/>
      <c r="E3733" s="1115"/>
      <c r="F3733" s="1115"/>
      <c r="G3733" s="1115"/>
      <c r="H3733" s="1115"/>
      <c r="I3733" s="1115"/>
      <c r="J3733" s="1115"/>
      <c r="K3733" s="1115"/>
      <c r="L3733" s="1115"/>
      <c r="M3733" s="1115"/>
    </row>
    <row r="3734" spans="1:13" x14ac:dyDescent="0.2">
      <c r="A3734" s="1115"/>
      <c r="B3734" s="1115"/>
      <c r="C3734" s="1115"/>
      <c r="D3734" s="1115"/>
      <c r="E3734" s="1115"/>
      <c r="F3734" s="1115"/>
      <c r="G3734" s="1115"/>
      <c r="H3734" s="1115"/>
      <c r="I3734" s="1115"/>
      <c r="J3734" s="1115"/>
      <c r="K3734" s="1115"/>
      <c r="L3734" s="1115"/>
      <c r="M3734" s="1115"/>
    </row>
    <row r="3735" spans="1:13" x14ac:dyDescent="0.2">
      <c r="A3735" s="1115"/>
      <c r="B3735" s="1115"/>
      <c r="C3735" s="1115"/>
      <c r="D3735" s="1115"/>
      <c r="E3735" s="1115"/>
      <c r="F3735" s="1115"/>
      <c r="G3735" s="1115"/>
      <c r="H3735" s="1115"/>
      <c r="I3735" s="1115"/>
      <c r="J3735" s="1115"/>
      <c r="K3735" s="1115"/>
      <c r="L3735" s="1115"/>
      <c r="M3735" s="1115"/>
    </row>
    <row r="3736" spans="1:13" x14ac:dyDescent="0.2">
      <c r="A3736" s="1115"/>
      <c r="B3736" s="1115"/>
      <c r="C3736" s="1115"/>
      <c r="D3736" s="1115"/>
      <c r="E3736" s="1115"/>
      <c r="F3736" s="1115"/>
      <c r="G3736" s="1115"/>
      <c r="H3736" s="1115"/>
      <c r="I3736" s="1115"/>
      <c r="J3736" s="1115"/>
      <c r="K3736" s="1115"/>
      <c r="L3736" s="1115"/>
      <c r="M3736" s="1115"/>
    </row>
    <row r="3737" spans="1:13" x14ac:dyDescent="0.2">
      <c r="A3737" s="1115"/>
      <c r="B3737" s="1115"/>
      <c r="C3737" s="1115"/>
      <c r="D3737" s="1115"/>
      <c r="E3737" s="1115"/>
      <c r="F3737" s="1115"/>
      <c r="G3737" s="1115"/>
      <c r="H3737" s="1115"/>
      <c r="I3737" s="1115"/>
      <c r="J3737" s="1115"/>
      <c r="K3737" s="1115"/>
      <c r="L3737" s="1115"/>
      <c r="M3737" s="1115"/>
    </row>
    <row r="3738" spans="1:13" x14ac:dyDescent="0.2">
      <c r="A3738" s="1115"/>
      <c r="B3738" s="1115"/>
      <c r="C3738" s="1115"/>
      <c r="D3738" s="1115"/>
      <c r="E3738" s="1115"/>
      <c r="F3738" s="1115"/>
      <c r="G3738" s="1115"/>
      <c r="H3738" s="1115"/>
      <c r="I3738" s="1115"/>
      <c r="J3738" s="1115"/>
      <c r="K3738" s="1115"/>
      <c r="L3738" s="1115"/>
      <c r="M3738" s="1115"/>
    </row>
    <row r="3739" spans="1:13" x14ac:dyDescent="0.2">
      <c r="A3739" s="1115"/>
      <c r="B3739" s="1115"/>
      <c r="C3739" s="1115"/>
      <c r="D3739" s="1115"/>
      <c r="E3739" s="1115"/>
      <c r="F3739" s="1115"/>
      <c r="G3739" s="1115"/>
      <c r="H3739" s="1115"/>
      <c r="I3739" s="1115"/>
      <c r="J3739" s="1115"/>
      <c r="K3739" s="1115"/>
      <c r="L3739" s="1115"/>
      <c r="M3739" s="1115"/>
    </row>
    <row r="3740" spans="1:13" x14ac:dyDescent="0.2">
      <c r="A3740" s="1115"/>
      <c r="B3740" s="1115"/>
      <c r="C3740" s="1115"/>
      <c r="D3740" s="1115"/>
      <c r="E3740" s="1115"/>
      <c r="F3740" s="1115"/>
      <c r="G3740" s="1115"/>
      <c r="H3740" s="1115"/>
      <c r="I3740" s="1115"/>
      <c r="J3740" s="1115"/>
      <c r="K3740" s="1115"/>
      <c r="L3740" s="1115"/>
      <c r="M3740" s="1115"/>
    </row>
    <row r="3741" spans="1:13" x14ac:dyDescent="0.2">
      <c r="A3741" s="1115"/>
      <c r="B3741" s="1115"/>
      <c r="C3741" s="1115"/>
      <c r="D3741" s="1115"/>
      <c r="E3741" s="1115"/>
      <c r="F3741" s="1115"/>
      <c r="G3741" s="1115"/>
      <c r="H3741" s="1115"/>
      <c r="I3741" s="1115"/>
      <c r="J3741" s="1115"/>
      <c r="K3741" s="1115"/>
      <c r="L3741" s="1115"/>
      <c r="M3741" s="1115"/>
    </row>
    <row r="3742" spans="1:13" x14ac:dyDescent="0.2">
      <c r="A3742" s="1115"/>
      <c r="B3742" s="1115"/>
      <c r="C3742" s="1115"/>
      <c r="D3742" s="1115"/>
      <c r="E3742" s="1115"/>
      <c r="F3742" s="1115"/>
      <c r="G3742" s="1115"/>
      <c r="H3742" s="1115"/>
      <c r="I3742" s="1115"/>
      <c r="J3742" s="1115"/>
      <c r="K3742" s="1115"/>
      <c r="L3742" s="1115"/>
      <c r="M3742" s="1115"/>
    </row>
    <row r="3743" spans="1:13" x14ac:dyDescent="0.2">
      <c r="A3743" s="1115"/>
      <c r="B3743" s="1115"/>
      <c r="C3743" s="1115"/>
      <c r="D3743" s="1115"/>
      <c r="E3743" s="1115"/>
      <c r="F3743" s="1115"/>
      <c r="G3743" s="1115"/>
      <c r="H3743" s="1115"/>
      <c r="I3743" s="1115"/>
      <c r="J3743" s="1115"/>
      <c r="K3743" s="1115"/>
      <c r="L3743" s="1115"/>
      <c r="M3743" s="1115"/>
    </row>
    <row r="3744" spans="1:13" x14ac:dyDescent="0.2">
      <c r="A3744" s="1115"/>
      <c r="B3744" s="1115"/>
      <c r="C3744" s="1115"/>
      <c r="D3744" s="1115"/>
      <c r="E3744" s="1115"/>
      <c r="F3744" s="1115"/>
      <c r="G3744" s="1115"/>
      <c r="H3744" s="1115"/>
      <c r="I3744" s="1115"/>
      <c r="J3744" s="1115"/>
      <c r="K3744" s="1115"/>
      <c r="L3744" s="1115"/>
      <c r="M3744" s="1115"/>
    </row>
    <row r="3745" spans="1:13" x14ac:dyDescent="0.2">
      <c r="A3745" s="1115"/>
      <c r="B3745" s="1115"/>
      <c r="C3745" s="1115"/>
      <c r="D3745" s="1115"/>
      <c r="E3745" s="1115"/>
      <c r="F3745" s="1115"/>
      <c r="G3745" s="1115"/>
      <c r="H3745" s="1115"/>
      <c r="I3745" s="1115"/>
      <c r="J3745" s="1115"/>
      <c r="K3745" s="1115"/>
      <c r="L3745" s="1115"/>
      <c r="M3745" s="1115"/>
    </row>
    <row r="3746" spans="1:13" x14ac:dyDescent="0.2">
      <c r="A3746" s="1115"/>
      <c r="B3746" s="1115"/>
      <c r="C3746" s="1115"/>
      <c r="D3746" s="1115"/>
      <c r="E3746" s="1115"/>
      <c r="F3746" s="1115"/>
      <c r="G3746" s="1115"/>
      <c r="H3746" s="1115"/>
      <c r="I3746" s="1115"/>
      <c r="J3746" s="1115"/>
      <c r="K3746" s="1115"/>
      <c r="L3746" s="1115"/>
      <c r="M3746" s="1115"/>
    </row>
    <row r="3747" spans="1:13" x14ac:dyDescent="0.2">
      <c r="A3747" s="1115"/>
      <c r="B3747" s="1115"/>
      <c r="C3747" s="1115"/>
      <c r="D3747" s="1115"/>
      <c r="E3747" s="1115"/>
      <c r="F3747" s="1115"/>
      <c r="G3747" s="1115"/>
      <c r="H3747" s="1115"/>
      <c r="I3747" s="1115"/>
      <c r="J3747" s="1115"/>
      <c r="K3747" s="1115"/>
      <c r="L3747" s="1115"/>
      <c r="M3747" s="1115"/>
    </row>
    <row r="3748" spans="1:13" x14ac:dyDescent="0.2">
      <c r="A3748" s="1115"/>
      <c r="B3748" s="1115"/>
      <c r="C3748" s="1115"/>
      <c r="D3748" s="1115"/>
      <c r="E3748" s="1115"/>
      <c r="F3748" s="1115"/>
      <c r="G3748" s="1115"/>
      <c r="H3748" s="1115"/>
      <c r="I3748" s="1115"/>
      <c r="J3748" s="1115"/>
      <c r="K3748" s="1115"/>
      <c r="L3748" s="1115"/>
      <c r="M3748" s="1115"/>
    </row>
    <row r="3749" spans="1:13" x14ac:dyDescent="0.2">
      <c r="A3749" s="1115"/>
      <c r="B3749" s="1115"/>
      <c r="C3749" s="1115"/>
      <c r="D3749" s="1115"/>
      <c r="E3749" s="1115"/>
      <c r="F3749" s="1115"/>
      <c r="G3749" s="1115"/>
      <c r="H3749" s="1115"/>
      <c r="I3749" s="1115"/>
      <c r="J3749" s="1115"/>
      <c r="K3749" s="1115"/>
      <c r="L3749" s="1115"/>
      <c r="M3749" s="1115"/>
    </row>
    <row r="3750" spans="1:13" x14ac:dyDescent="0.2">
      <c r="A3750" s="1115"/>
      <c r="B3750" s="1115"/>
      <c r="C3750" s="1115"/>
      <c r="D3750" s="1115"/>
      <c r="E3750" s="1115"/>
      <c r="F3750" s="1115"/>
      <c r="G3750" s="1115"/>
      <c r="H3750" s="1115"/>
      <c r="I3750" s="1115"/>
      <c r="J3750" s="1115"/>
      <c r="K3750" s="1115"/>
      <c r="L3750" s="1115"/>
      <c r="M3750" s="1115"/>
    </row>
    <row r="3751" spans="1:13" x14ac:dyDescent="0.2">
      <c r="A3751" s="1115"/>
      <c r="B3751" s="1115"/>
      <c r="C3751" s="1115"/>
      <c r="D3751" s="1115"/>
      <c r="E3751" s="1115"/>
      <c r="F3751" s="1115"/>
      <c r="G3751" s="1115"/>
      <c r="H3751" s="1115"/>
      <c r="I3751" s="1115"/>
      <c r="J3751" s="1115"/>
      <c r="K3751" s="1115"/>
      <c r="L3751" s="1115"/>
      <c r="M3751" s="1115"/>
    </row>
    <row r="3752" spans="1:13" x14ac:dyDescent="0.2">
      <c r="A3752" s="1115"/>
      <c r="B3752" s="1115"/>
      <c r="C3752" s="1115"/>
      <c r="D3752" s="1115"/>
      <c r="E3752" s="1115"/>
      <c r="F3752" s="1115"/>
      <c r="G3752" s="1115"/>
      <c r="H3752" s="1115"/>
      <c r="I3752" s="1115"/>
      <c r="J3752" s="1115"/>
      <c r="K3752" s="1115"/>
      <c r="L3752" s="1115"/>
      <c r="M3752" s="1115"/>
    </row>
    <row r="3753" spans="1:13" x14ac:dyDescent="0.2">
      <c r="A3753" s="1115"/>
      <c r="B3753" s="1115"/>
      <c r="C3753" s="1115"/>
      <c r="D3753" s="1115"/>
      <c r="E3753" s="1115"/>
      <c r="F3753" s="1115"/>
      <c r="G3753" s="1115"/>
      <c r="H3753" s="1115"/>
      <c r="I3753" s="1115"/>
      <c r="J3753" s="1115"/>
      <c r="K3753" s="1115"/>
      <c r="L3753" s="1115"/>
      <c r="M3753" s="1115"/>
    </row>
    <row r="3754" spans="1:13" x14ac:dyDescent="0.2">
      <c r="A3754" s="1115"/>
      <c r="B3754" s="1115"/>
      <c r="C3754" s="1115"/>
      <c r="D3754" s="1115"/>
      <c r="E3754" s="1115"/>
      <c r="F3754" s="1115"/>
      <c r="G3754" s="1115"/>
      <c r="H3754" s="1115"/>
      <c r="I3754" s="1115"/>
      <c r="J3754" s="1115"/>
      <c r="K3754" s="1115"/>
      <c r="L3754" s="1115"/>
      <c r="M3754" s="1115"/>
    </row>
    <row r="3755" spans="1:13" x14ac:dyDescent="0.2">
      <c r="A3755" s="1115"/>
      <c r="B3755" s="1115"/>
      <c r="C3755" s="1115"/>
      <c r="D3755" s="1115"/>
      <c r="E3755" s="1115"/>
      <c r="F3755" s="1115"/>
      <c r="G3755" s="1115"/>
      <c r="H3755" s="1115"/>
      <c r="I3755" s="1115"/>
      <c r="J3755" s="1115"/>
      <c r="K3755" s="1115"/>
      <c r="L3755" s="1115"/>
      <c r="M3755" s="1115"/>
    </row>
    <row r="3756" spans="1:13" x14ac:dyDescent="0.2">
      <c r="A3756" s="1115"/>
      <c r="B3756" s="1115"/>
      <c r="C3756" s="1115"/>
      <c r="D3756" s="1115"/>
      <c r="E3756" s="1115"/>
      <c r="F3756" s="1115"/>
      <c r="G3756" s="1115"/>
      <c r="H3756" s="1115"/>
      <c r="I3756" s="1115"/>
      <c r="J3756" s="1115"/>
      <c r="K3756" s="1115"/>
      <c r="L3756" s="1115"/>
      <c r="M3756" s="1115"/>
    </row>
    <row r="3757" spans="1:13" x14ac:dyDescent="0.2">
      <c r="A3757" s="1115"/>
      <c r="B3757" s="1115"/>
      <c r="C3757" s="1115"/>
      <c r="D3757" s="1115"/>
      <c r="E3757" s="1115"/>
      <c r="F3757" s="1115"/>
      <c r="G3757" s="1115"/>
      <c r="H3757" s="1115"/>
      <c r="I3757" s="1115"/>
      <c r="J3757" s="1115"/>
      <c r="K3757" s="1115"/>
      <c r="L3757" s="1115"/>
      <c r="M3757" s="1115"/>
    </row>
    <row r="3758" spans="1:13" x14ac:dyDescent="0.2">
      <c r="A3758" s="1115"/>
      <c r="B3758" s="1115"/>
      <c r="C3758" s="1115"/>
      <c r="D3758" s="1115"/>
      <c r="E3758" s="1115"/>
      <c r="F3758" s="1115"/>
      <c r="G3758" s="1115"/>
      <c r="H3758" s="1115"/>
      <c r="I3758" s="1115"/>
      <c r="J3758" s="1115"/>
      <c r="K3758" s="1115"/>
      <c r="L3758" s="1115"/>
      <c r="M3758" s="1115"/>
    </row>
    <row r="3759" spans="1:13" x14ac:dyDescent="0.2">
      <c r="A3759" s="1115"/>
      <c r="B3759" s="1115"/>
      <c r="C3759" s="1115"/>
      <c r="D3759" s="1115"/>
      <c r="E3759" s="1115"/>
      <c r="F3759" s="1115"/>
      <c r="G3759" s="1115"/>
      <c r="H3759" s="1115"/>
      <c r="I3759" s="1115"/>
      <c r="J3759" s="1115"/>
      <c r="K3759" s="1115"/>
      <c r="L3759" s="1115"/>
      <c r="M3759" s="1115"/>
    </row>
    <row r="3760" spans="1:13" x14ac:dyDescent="0.2">
      <c r="A3760" s="1115"/>
      <c r="B3760" s="1115"/>
      <c r="C3760" s="1115"/>
      <c r="D3760" s="1115"/>
      <c r="E3760" s="1115"/>
      <c r="F3760" s="1115"/>
      <c r="G3760" s="1115"/>
      <c r="H3760" s="1115"/>
      <c r="I3760" s="1115"/>
      <c r="J3760" s="1115"/>
      <c r="K3760" s="1115"/>
      <c r="L3760" s="1115"/>
      <c r="M3760" s="1115"/>
    </row>
    <row r="3761" spans="1:13" x14ac:dyDescent="0.2">
      <c r="A3761" s="1115"/>
      <c r="B3761" s="1115"/>
      <c r="C3761" s="1115"/>
      <c r="D3761" s="1115"/>
      <c r="E3761" s="1115"/>
      <c r="F3761" s="1115"/>
      <c r="G3761" s="1115"/>
      <c r="H3761" s="1115"/>
      <c r="I3761" s="1115"/>
      <c r="J3761" s="1115"/>
      <c r="K3761" s="1115"/>
      <c r="L3761" s="1115"/>
      <c r="M3761" s="1115"/>
    </row>
    <row r="3762" spans="1:13" x14ac:dyDescent="0.2">
      <c r="A3762" s="1115"/>
      <c r="B3762" s="1115"/>
      <c r="C3762" s="1115"/>
      <c r="D3762" s="1115"/>
      <c r="E3762" s="1115"/>
      <c r="F3762" s="1115"/>
      <c r="G3762" s="1115"/>
      <c r="H3762" s="1115"/>
      <c r="I3762" s="1115"/>
      <c r="J3762" s="1115"/>
      <c r="K3762" s="1115"/>
      <c r="L3762" s="1115"/>
      <c r="M3762" s="1115"/>
    </row>
    <row r="3763" spans="1:13" x14ac:dyDescent="0.2">
      <c r="A3763" s="1115"/>
      <c r="B3763" s="1115"/>
      <c r="C3763" s="1115"/>
      <c r="D3763" s="1115"/>
      <c r="E3763" s="1115"/>
      <c r="F3763" s="1115"/>
      <c r="G3763" s="1115"/>
      <c r="H3763" s="1115"/>
      <c r="I3763" s="1115"/>
      <c r="J3763" s="1115"/>
      <c r="K3763" s="1115"/>
      <c r="L3763" s="1115"/>
      <c r="M3763" s="1115"/>
    </row>
    <row r="3764" spans="1:13" x14ac:dyDescent="0.2">
      <c r="A3764" s="1115"/>
      <c r="B3764" s="1115"/>
      <c r="C3764" s="1115"/>
      <c r="D3764" s="1115"/>
      <c r="E3764" s="1115"/>
      <c r="F3764" s="1115"/>
      <c r="G3764" s="1115"/>
      <c r="H3764" s="1115"/>
      <c r="I3764" s="1115"/>
      <c r="J3764" s="1115"/>
      <c r="K3764" s="1115"/>
      <c r="L3764" s="1115"/>
      <c r="M3764" s="1115"/>
    </row>
    <row r="3765" spans="1:13" x14ac:dyDescent="0.2">
      <c r="A3765" s="1115"/>
      <c r="B3765" s="1115"/>
      <c r="C3765" s="1115"/>
      <c r="D3765" s="1115"/>
      <c r="E3765" s="1115"/>
      <c r="F3765" s="1115"/>
      <c r="G3765" s="1115"/>
      <c r="H3765" s="1115"/>
      <c r="I3765" s="1115"/>
      <c r="J3765" s="1115"/>
      <c r="K3765" s="1115"/>
      <c r="L3765" s="1115"/>
      <c r="M3765" s="1115"/>
    </row>
    <row r="3766" spans="1:13" x14ac:dyDescent="0.2">
      <c r="A3766" s="1115"/>
      <c r="B3766" s="1115"/>
      <c r="C3766" s="1115"/>
      <c r="D3766" s="1115"/>
      <c r="E3766" s="1115"/>
      <c r="F3766" s="1115"/>
      <c r="G3766" s="1115"/>
      <c r="H3766" s="1115"/>
      <c r="I3766" s="1115"/>
      <c r="J3766" s="1115"/>
      <c r="K3766" s="1115"/>
      <c r="L3766" s="1115"/>
      <c r="M3766" s="1115"/>
    </row>
    <row r="3767" spans="1:13" x14ac:dyDescent="0.2">
      <c r="A3767" s="1115"/>
      <c r="B3767" s="1115"/>
      <c r="C3767" s="1115"/>
      <c r="D3767" s="1115"/>
      <c r="E3767" s="1115"/>
      <c r="F3767" s="1115"/>
      <c r="G3767" s="1115"/>
      <c r="H3767" s="1115"/>
      <c r="I3767" s="1115"/>
      <c r="J3767" s="1115"/>
      <c r="K3767" s="1115"/>
      <c r="L3767" s="1115"/>
      <c r="M3767" s="1115"/>
    </row>
    <row r="3768" spans="1:13" x14ac:dyDescent="0.2">
      <c r="A3768" s="1115"/>
      <c r="B3768" s="1115"/>
      <c r="C3768" s="1115"/>
      <c r="D3768" s="1115"/>
      <c r="E3768" s="1115"/>
      <c r="F3768" s="1115"/>
      <c r="G3768" s="1115"/>
      <c r="H3768" s="1115"/>
      <c r="I3768" s="1115"/>
      <c r="J3768" s="1115"/>
      <c r="K3768" s="1115"/>
      <c r="L3768" s="1115"/>
      <c r="M3768" s="1115"/>
    </row>
    <row r="3769" spans="1:13" x14ac:dyDescent="0.2">
      <c r="A3769" s="1115"/>
      <c r="B3769" s="1115"/>
      <c r="C3769" s="1115"/>
      <c r="D3769" s="1115"/>
      <c r="E3769" s="1115"/>
      <c r="F3769" s="1115"/>
      <c r="G3769" s="1115"/>
      <c r="H3769" s="1115"/>
      <c r="I3769" s="1115"/>
      <c r="J3769" s="1115"/>
      <c r="K3769" s="1115"/>
      <c r="L3769" s="1115"/>
      <c r="M3769" s="1115"/>
    </row>
    <row r="3770" spans="1:13" x14ac:dyDescent="0.2">
      <c r="A3770" s="1115"/>
      <c r="B3770" s="1115"/>
      <c r="C3770" s="1115"/>
      <c r="D3770" s="1115"/>
      <c r="E3770" s="1115"/>
      <c r="F3770" s="1115"/>
      <c r="G3770" s="1115"/>
      <c r="H3770" s="1115"/>
      <c r="I3770" s="1115"/>
      <c r="J3770" s="1115"/>
      <c r="K3770" s="1115"/>
      <c r="L3770" s="1115"/>
      <c r="M3770" s="1115"/>
    </row>
    <row r="3771" spans="1:13" x14ac:dyDescent="0.2">
      <c r="A3771" s="1115"/>
      <c r="B3771" s="1115"/>
      <c r="C3771" s="1115"/>
      <c r="D3771" s="1115"/>
      <c r="E3771" s="1115"/>
      <c r="F3771" s="1115"/>
      <c r="G3771" s="1115"/>
      <c r="H3771" s="1115"/>
      <c r="I3771" s="1115"/>
      <c r="J3771" s="1115"/>
      <c r="K3771" s="1115"/>
      <c r="L3771" s="1115"/>
      <c r="M3771" s="1115"/>
    </row>
    <row r="3772" spans="1:13" x14ac:dyDescent="0.2">
      <c r="A3772" s="1115"/>
      <c r="B3772" s="1115"/>
      <c r="C3772" s="1115"/>
      <c r="D3772" s="1115"/>
      <c r="E3772" s="1115"/>
      <c r="F3772" s="1115"/>
      <c r="G3772" s="1115"/>
      <c r="H3772" s="1115"/>
      <c r="I3772" s="1115"/>
      <c r="J3772" s="1115"/>
      <c r="K3772" s="1115"/>
      <c r="L3772" s="1115"/>
      <c r="M3772" s="1115"/>
    </row>
    <row r="3773" spans="1:13" x14ac:dyDescent="0.2">
      <c r="A3773" s="1115"/>
      <c r="B3773" s="1115"/>
      <c r="C3773" s="1115"/>
      <c r="D3773" s="1115"/>
      <c r="E3773" s="1115"/>
      <c r="F3773" s="1115"/>
      <c r="G3773" s="1115"/>
      <c r="H3773" s="1115"/>
      <c r="I3773" s="1115"/>
      <c r="J3773" s="1115"/>
      <c r="K3773" s="1115"/>
      <c r="L3773" s="1115"/>
      <c r="M3773" s="1115"/>
    </row>
    <row r="3774" spans="1:13" x14ac:dyDescent="0.2">
      <c r="A3774" s="1115"/>
      <c r="B3774" s="1115"/>
      <c r="C3774" s="1115"/>
      <c r="D3774" s="1115"/>
      <c r="E3774" s="1115"/>
      <c r="F3774" s="1115"/>
      <c r="G3774" s="1115"/>
      <c r="H3774" s="1115"/>
      <c r="I3774" s="1115"/>
      <c r="J3774" s="1115"/>
      <c r="K3774" s="1115"/>
      <c r="L3774" s="1115"/>
      <c r="M3774" s="1115"/>
    </row>
    <row r="3775" spans="1:13" x14ac:dyDescent="0.2">
      <c r="A3775" s="1115"/>
      <c r="B3775" s="1115"/>
      <c r="C3775" s="1115"/>
      <c r="D3775" s="1115"/>
      <c r="E3775" s="1115"/>
      <c r="F3775" s="1115"/>
      <c r="G3775" s="1115"/>
      <c r="H3775" s="1115"/>
      <c r="I3775" s="1115"/>
      <c r="J3775" s="1115"/>
      <c r="K3775" s="1115"/>
      <c r="L3775" s="1115"/>
      <c r="M3775" s="1115"/>
    </row>
    <row r="3776" spans="1:13" x14ac:dyDescent="0.2">
      <c r="A3776" s="1115"/>
      <c r="B3776" s="1115"/>
      <c r="C3776" s="1115"/>
      <c r="D3776" s="1115"/>
      <c r="E3776" s="1115"/>
      <c r="F3776" s="1115"/>
      <c r="G3776" s="1115"/>
      <c r="H3776" s="1115"/>
      <c r="I3776" s="1115"/>
      <c r="J3776" s="1115"/>
      <c r="K3776" s="1115"/>
      <c r="L3776" s="1115"/>
      <c r="M3776" s="1115"/>
    </row>
    <row r="3777" spans="1:13" x14ac:dyDescent="0.2">
      <c r="A3777" s="1115"/>
      <c r="B3777" s="1115"/>
      <c r="C3777" s="1115"/>
      <c r="D3777" s="1115"/>
      <c r="E3777" s="1115"/>
      <c r="F3777" s="1115"/>
      <c r="G3777" s="1115"/>
      <c r="H3777" s="1115"/>
      <c r="I3777" s="1115"/>
      <c r="J3777" s="1115"/>
      <c r="K3777" s="1115"/>
      <c r="L3777" s="1115"/>
      <c r="M3777" s="1115"/>
    </row>
    <row r="3778" spans="1:13" x14ac:dyDescent="0.2">
      <c r="A3778" s="1115"/>
      <c r="B3778" s="1115"/>
      <c r="C3778" s="1115"/>
      <c r="D3778" s="1115"/>
      <c r="E3778" s="1115"/>
      <c r="F3778" s="1115"/>
      <c r="G3778" s="1115"/>
      <c r="H3778" s="1115"/>
      <c r="I3778" s="1115"/>
      <c r="J3778" s="1115"/>
      <c r="K3778" s="1115"/>
      <c r="L3778" s="1115"/>
      <c r="M3778" s="1115"/>
    </row>
    <row r="3779" spans="1:13" x14ac:dyDescent="0.2">
      <c r="A3779" s="1115"/>
      <c r="B3779" s="1115"/>
      <c r="C3779" s="1115"/>
      <c r="D3779" s="1115"/>
      <c r="E3779" s="1115"/>
      <c r="F3779" s="1115"/>
      <c r="G3779" s="1115"/>
      <c r="H3779" s="1115"/>
      <c r="I3779" s="1115"/>
      <c r="J3779" s="1115"/>
      <c r="K3779" s="1115"/>
      <c r="L3779" s="1115"/>
      <c r="M3779" s="1115"/>
    </row>
    <row r="3780" spans="1:13" x14ac:dyDescent="0.2">
      <c r="A3780" s="1115"/>
      <c r="B3780" s="1115"/>
      <c r="C3780" s="1115"/>
      <c r="D3780" s="1115"/>
      <c r="E3780" s="1115"/>
      <c r="F3780" s="1115"/>
      <c r="G3780" s="1115"/>
      <c r="H3780" s="1115"/>
      <c r="I3780" s="1115"/>
      <c r="J3780" s="1115"/>
      <c r="K3780" s="1115"/>
      <c r="L3780" s="1115"/>
      <c r="M3780" s="1115"/>
    </row>
    <row r="3781" spans="1:13" x14ac:dyDescent="0.2">
      <c r="A3781" s="1115"/>
      <c r="B3781" s="1115"/>
      <c r="C3781" s="1115"/>
      <c r="D3781" s="1115"/>
      <c r="E3781" s="1115"/>
      <c r="F3781" s="1115"/>
      <c r="G3781" s="1115"/>
      <c r="H3781" s="1115"/>
      <c r="I3781" s="1115"/>
      <c r="J3781" s="1115"/>
      <c r="K3781" s="1115"/>
      <c r="L3781" s="1115"/>
      <c r="M3781" s="1115"/>
    </row>
    <row r="3782" spans="1:13" x14ac:dyDescent="0.2">
      <c r="A3782" s="1115"/>
      <c r="B3782" s="1115"/>
      <c r="C3782" s="1115"/>
      <c r="D3782" s="1115"/>
      <c r="E3782" s="1115"/>
      <c r="F3782" s="1115"/>
      <c r="G3782" s="1115"/>
      <c r="H3782" s="1115"/>
      <c r="I3782" s="1115"/>
      <c r="J3782" s="1115"/>
      <c r="K3782" s="1115"/>
      <c r="L3782" s="1115"/>
      <c r="M3782" s="1115"/>
    </row>
    <row r="3783" spans="1:13" x14ac:dyDescent="0.2">
      <c r="A3783" s="1115"/>
      <c r="B3783" s="1115"/>
      <c r="C3783" s="1115"/>
      <c r="D3783" s="1115"/>
      <c r="E3783" s="1115"/>
      <c r="F3783" s="1115"/>
      <c r="G3783" s="1115"/>
      <c r="H3783" s="1115"/>
      <c r="I3783" s="1115"/>
      <c r="J3783" s="1115"/>
      <c r="K3783" s="1115"/>
      <c r="L3783" s="1115"/>
      <c r="M3783" s="1115"/>
    </row>
    <row r="3784" spans="1:13" x14ac:dyDescent="0.2">
      <c r="A3784" s="1115"/>
      <c r="B3784" s="1115"/>
      <c r="C3784" s="1115"/>
      <c r="D3784" s="1115"/>
      <c r="E3784" s="1115"/>
      <c r="F3784" s="1115"/>
      <c r="G3784" s="1115"/>
      <c r="H3784" s="1115"/>
      <c r="I3784" s="1115"/>
      <c r="J3784" s="1115"/>
      <c r="K3784" s="1115"/>
      <c r="L3784" s="1115"/>
      <c r="M3784" s="1115"/>
    </row>
    <row r="3785" spans="1:13" x14ac:dyDescent="0.2">
      <c r="A3785" s="1115"/>
      <c r="B3785" s="1115"/>
      <c r="C3785" s="1115"/>
      <c r="D3785" s="1115"/>
      <c r="E3785" s="1115"/>
      <c r="F3785" s="1115"/>
      <c r="G3785" s="1115"/>
      <c r="H3785" s="1115"/>
      <c r="I3785" s="1115"/>
      <c r="J3785" s="1115"/>
      <c r="K3785" s="1115"/>
      <c r="L3785" s="1115"/>
      <c r="M3785" s="1115"/>
    </row>
    <row r="3786" spans="1:13" x14ac:dyDescent="0.2">
      <c r="A3786" s="1115"/>
      <c r="B3786" s="1115"/>
      <c r="C3786" s="1115"/>
      <c r="D3786" s="1115"/>
      <c r="E3786" s="1115"/>
      <c r="F3786" s="1115"/>
      <c r="G3786" s="1115"/>
      <c r="H3786" s="1115"/>
      <c r="I3786" s="1115"/>
      <c r="J3786" s="1115"/>
      <c r="K3786" s="1115"/>
      <c r="L3786" s="1115"/>
      <c r="M3786" s="1115"/>
    </row>
    <row r="3787" spans="1:13" x14ac:dyDescent="0.2">
      <c r="A3787" s="1115"/>
      <c r="B3787" s="1115"/>
      <c r="C3787" s="1115"/>
      <c r="D3787" s="1115"/>
      <c r="E3787" s="1115"/>
      <c r="F3787" s="1115"/>
      <c r="G3787" s="1115"/>
      <c r="H3787" s="1115"/>
      <c r="I3787" s="1115"/>
      <c r="J3787" s="1115"/>
      <c r="K3787" s="1115"/>
      <c r="L3787" s="1115"/>
      <c r="M3787" s="1115"/>
    </row>
    <row r="3788" spans="1:13" x14ac:dyDescent="0.2">
      <c r="A3788" s="1115"/>
      <c r="B3788" s="1115"/>
      <c r="C3788" s="1115"/>
      <c r="D3788" s="1115"/>
      <c r="E3788" s="1115"/>
      <c r="F3788" s="1115"/>
      <c r="G3788" s="1115"/>
      <c r="H3788" s="1115"/>
      <c r="I3788" s="1115"/>
      <c r="J3788" s="1115"/>
      <c r="K3788" s="1115"/>
      <c r="L3788" s="1115"/>
      <c r="M3788" s="1115"/>
    </row>
    <row r="3789" spans="1:13" x14ac:dyDescent="0.2">
      <c r="A3789" s="1115"/>
      <c r="B3789" s="1115"/>
      <c r="C3789" s="1115"/>
      <c r="D3789" s="1115"/>
      <c r="E3789" s="1115"/>
      <c r="F3789" s="1115"/>
      <c r="G3789" s="1115"/>
      <c r="H3789" s="1115"/>
      <c r="I3789" s="1115"/>
      <c r="J3789" s="1115"/>
      <c r="K3789" s="1115"/>
      <c r="L3789" s="1115"/>
      <c r="M3789" s="1115"/>
    </row>
    <row r="3790" spans="1:13" x14ac:dyDescent="0.2">
      <c r="A3790" s="1115"/>
      <c r="B3790" s="1115"/>
      <c r="C3790" s="1115"/>
      <c r="D3790" s="1115"/>
      <c r="E3790" s="1115"/>
      <c r="F3790" s="1115"/>
      <c r="G3790" s="1115"/>
      <c r="H3790" s="1115"/>
      <c r="I3790" s="1115"/>
      <c r="J3790" s="1115"/>
      <c r="K3790" s="1115"/>
      <c r="L3790" s="1115"/>
      <c r="M3790" s="1115"/>
    </row>
    <row r="3791" spans="1:13" x14ac:dyDescent="0.2">
      <c r="A3791" s="1115"/>
      <c r="B3791" s="1115"/>
      <c r="C3791" s="1115"/>
      <c r="D3791" s="1115"/>
      <c r="E3791" s="1115"/>
      <c r="F3791" s="1115"/>
      <c r="G3791" s="1115"/>
      <c r="H3791" s="1115"/>
      <c r="I3791" s="1115"/>
      <c r="J3791" s="1115"/>
      <c r="K3791" s="1115"/>
      <c r="L3791" s="1115"/>
      <c r="M3791" s="1115"/>
    </row>
    <row r="3792" spans="1:13" x14ac:dyDescent="0.2">
      <c r="A3792" s="1115"/>
      <c r="B3792" s="1115"/>
      <c r="C3792" s="1115"/>
      <c r="D3792" s="1115"/>
      <c r="E3792" s="1115"/>
      <c r="F3792" s="1115"/>
      <c r="G3792" s="1115"/>
      <c r="H3792" s="1115"/>
      <c r="I3792" s="1115"/>
      <c r="J3792" s="1115"/>
      <c r="K3792" s="1115"/>
      <c r="L3792" s="1115"/>
      <c r="M3792" s="1115"/>
    </row>
    <row r="3793" spans="1:13" x14ac:dyDescent="0.2">
      <c r="A3793" s="1115"/>
      <c r="B3793" s="1115"/>
      <c r="C3793" s="1115"/>
      <c r="D3793" s="1115"/>
      <c r="E3793" s="1115"/>
      <c r="F3793" s="1115"/>
      <c r="G3793" s="1115"/>
      <c r="H3793" s="1115"/>
      <c r="I3793" s="1115"/>
      <c r="J3793" s="1115"/>
      <c r="K3793" s="1115"/>
      <c r="L3793" s="1115"/>
      <c r="M3793" s="1115"/>
    </row>
    <row r="3794" spans="1:13" x14ac:dyDescent="0.2">
      <c r="A3794" s="1115"/>
      <c r="B3794" s="1115"/>
      <c r="C3794" s="1115"/>
      <c r="D3794" s="1115"/>
      <c r="E3794" s="1115"/>
      <c r="F3794" s="1115"/>
      <c r="G3794" s="1115"/>
      <c r="H3794" s="1115"/>
      <c r="I3794" s="1115"/>
      <c r="J3794" s="1115"/>
      <c r="K3794" s="1115"/>
      <c r="L3794" s="1115"/>
      <c r="M3794" s="1115"/>
    </row>
    <row r="3795" spans="1:13" x14ac:dyDescent="0.2">
      <c r="A3795" s="1115"/>
      <c r="B3795" s="1115"/>
      <c r="C3795" s="1115"/>
      <c r="D3795" s="1115"/>
      <c r="E3795" s="1115"/>
      <c r="F3795" s="1115"/>
      <c r="G3795" s="1115"/>
      <c r="H3795" s="1115"/>
      <c r="I3795" s="1115"/>
      <c r="J3795" s="1115"/>
      <c r="K3795" s="1115"/>
      <c r="L3795" s="1115"/>
      <c r="M3795" s="1115"/>
    </row>
    <row r="3796" spans="1:13" x14ac:dyDescent="0.2">
      <c r="A3796" s="1115"/>
      <c r="B3796" s="1115"/>
      <c r="C3796" s="1115"/>
      <c r="D3796" s="1115"/>
      <c r="E3796" s="1115"/>
      <c r="F3796" s="1115"/>
      <c r="G3796" s="1115"/>
      <c r="H3796" s="1115"/>
      <c r="I3796" s="1115"/>
      <c r="J3796" s="1115"/>
      <c r="K3796" s="1115"/>
      <c r="L3796" s="1115"/>
      <c r="M3796" s="1115"/>
    </row>
    <row r="3797" spans="1:13" x14ac:dyDescent="0.2">
      <c r="A3797" s="1115"/>
      <c r="B3797" s="1115"/>
      <c r="C3797" s="1115"/>
      <c r="D3797" s="1115"/>
      <c r="E3797" s="1115"/>
      <c r="F3797" s="1115"/>
      <c r="G3797" s="1115"/>
      <c r="H3797" s="1115"/>
      <c r="I3797" s="1115"/>
      <c r="J3797" s="1115"/>
      <c r="K3797" s="1115"/>
      <c r="L3797" s="1115"/>
      <c r="M3797" s="1115"/>
    </row>
    <row r="3798" spans="1:13" x14ac:dyDescent="0.2">
      <c r="A3798" s="1115"/>
      <c r="B3798" s="1115"/>
      <c r="C3798" s="1115"/>
      <c r="D3798" s="1115"/>
      <c r="E3798" s="1115"/>
      <c r="F3798" s="1115"/>
      <c r="G3798" s="1115"/>
      <c r="H3798" s="1115"/>
      <c r="I3798" s="1115"/>
      <c r="J3798" s="1115"/>
      <c r="K3798" s="1115"/>
      <c r="L3798" s="1115"/>
      <c r="M3798" s="1115"/>
    </row>
    <row r="3799" spans="1:13" x14ac:dyDescent="0.2">
      <c r="A3799" s="1115"/>
      <c r="B3799" s="1115"/>
      <c r="C3799" s="1115"/>
      <c r="D3799" s="1115"/>
      <c r="E3799" s="1115"/>
      <c r="F3799" s="1115"/>
      <c r="G3799" s="1115"/>
      <c r="H3799" s="1115"/>
      <c r="I3799" s="1115"/>
      <c r="J3799" s="1115"/>
      <c r="K3799" s="1115"/>
      <c r="L3799" s="1115"/>
      <c r="M3799" s="1115"/>
    </row>
    <row r="3800" spans="1:13" x14ac:dyDescent="0.2">
      <c r="A3800" s="1115"/>
      <c r="B3800" s="1115"/>
      <c r="C3800" s="1115"/>
      <c r="D3800" s="1115"/>
      <c r="E3800" s="1115"/>
      <c r="F3800" s="1115"/>
      <c r="G3800" s="1115"/>
      <c r="H3800" s="1115"/>
      <c r="I3800" s="1115"/>
      <c r="J3800" s="1115"/>
      <c r="K3800" s="1115"/>
      <c r="L3800" s="1115"/>
      <c r="M3800" s="1115"/>
    </row>
    <row r="3801" spans="1:13" x14ac:dyDescent="0.2">
      <c r="A3801" s="1115"/>
      <c r="B3801" s="1115"/>
      <c r="C3801" s="1115"/>
      <c r="D3801" s="1115"/>
      <c r="E3801" s="1115"/>
      <c r="F3801" s="1115"/>
      <c r="G3801" s="1115"/>
      <c r="H3801" s="1115"/>
      <c r="I3801" s="1115"/>
      <c r="J3801" s="1115"/>
      <c r="K3801" s="1115"/>
      <c r="L3801" s="1115"/>
      <c r="M3801" s="1115"/>
    </row>
    <row r="3802" spans="1:13" x14ac:dyDescent="0.2">
      <c r="A3802" s="1115"/>
      <c r="B3802" s="1115"/>
      <c r="C3802" s="1115"/>
      <c r="D3802" s="1115"/>
      <c r="E3802" s="1115"/>
      <c r="F3802" s="1115"/>
      <c r="G3802" s="1115"/>
      <c r="H3802" s="1115"/>
      <c r="I3802" s="1115"/>
      <c r="J3802" s="1115"/>
      <c r="K3802" s="1115"/>
      <c r="L3802" s="1115"/>
      <c r="M3802" s="1115"/>
    </row>
    <row r="3803" spans="1:13" x14ac:dyDescent="0.2">
      <c r="A3803" s="1115"/>
      <c r="B3803" s="1115"/>
      <c r="C3803" s="1115"/>
      <c r="D3803" s="1115"/>
      <c r="E3803" s="1115"/>
      <c r="F3803" s="1115"/>
      <c r="G3803" s="1115"/>
      <c r="H3803" s="1115"/>
      <c r="I3803" s="1115"/>
      <c r="J3803" s="1115"/>
      <c r="K3803" s="1115"/>
      <c r="L3803" s="1115"/>
      <c r="M3803" s="1115"/>
    </row>
    <row r="3804" spans="1:13" x14ac:dyDescent="0.2">
      <c r="A3804" s="1115"/>
      <c r="B3804" s="1115"/>
      <c r="C3804" s="1115"/>
      <c r="D3804" s="1115"/>
      <c r="E3804" s="1115"/>
      <c r="F3804" s="1115"/>
      <c r="G3804" s="1115"/>
      <c r="H3804" s="1115"/>
      <c r="I3804" s="1115"/>
      <c r="J3804" s="1115"/>
      <c r="K3804" s="1115"/>
      <c r="L3804" s="1115"/>
      <c r="M3804" s="1115"/>
    </row>
    <row r="3805" spans="1:13" x14ac:dyDescent="0.2">
      <c r="A3805" s="1115"/>
      <c r="B3805" s="1115"/>
      <c r="C3805" s="1115"/>
      <c r="D3805" s="1115"/>
      <c r="E3805" s="1115"/>
      <c r="F3805" s="1115"/>
      <c r="G3805" s="1115"/>
      <c r="H3805" s="1115"/>
      <c r="I3805" s="1115"/>
      <c r="J3805" s="1115"/>
      <c r="K3805" s="1115"/>
      <c r="L3805" s="1115"/>
      <c r="M3805" s="1115"/>
    </row>
    <row r="3806" spans="1:13" x14ac:dyDescent="0.2">
      <c r="A3806" s="1115"/>
      <c r="B3806" s="1115"/>
      <c r="C3806" s="1115"/>
      <c r="D3806" s="1115"/>
      <c r="E3806" s="1115"/>
      <c r="F3806" s="1115"/>
      <c r="G3806" s="1115"/>
      <c r="H3806" s="1115"/>
      <c r="I3806" s="1115"/>
      <c r="J3806" s="1115"/>
      <c r="K3806" s="1115"/>
      <c r="L3806" s="1115"/>
      <c r="M3806" s="1115"/>
    </row>
    <row r="3807" spans="1:13" x14ac:dyDescent="0.2">
      <c r="A3807" s="1115"/>
      <c r="B3807" s="1115"/>
      <c r="C3807" s="1115"/>
      <c r="D3807" s="1115"/>
      <c r="E3807" s="1115"/>
      <c r="F3807" s="1115"/>
      <c r="G3807" s="1115"/>
      <c r="H3807" s="1115"/>
      <c r="I3807" s="1115"/>
      <c r="J3807" s="1115"/>
      <c r="K3807" s="1115"/>
      <c r="L3807" s="1115"/>
      <c r="M3807" s="1115"/>
    </row>
    <row r="3808" spans="1:13" x14ac:dyDescent="0.2">
      <c r="A3808" s="1115"/>
      <c r="B3808" s="1115"/>
      <c r="C3808" s="1115"/>
      <c r="D3808" s="1115"/>
      <c r="E3808" s="1115"/>
      <c r="F3808" s="1115"/>
      <c r="G3808" s="1115"/>
      <c r="H3808" s="1115"/>
      <c r="I3808" s="1115"/>
      <c r="J3808" s="1115"/>
      <c r="K3808" s="1115"/>
      <c r="L3808" s="1115"/>
      <c r="M3808" s="1115"/>
    </row>
    <row r="3809" spans="1:13" x14ac:dyDescent="0.2">
      <c r="A3809" s="1115"/>
      <c r="B3809" s="1115"/>
      <c r="C3809" s="1115"/>
      <c r="D3809" s="1115"/>
      <c r="E3809" s="1115"/>
      <c r="F3809" s="1115"/>
      <c r="G3809" s="1115"/>
      <c r="H3809" s="1115"/>
      <c r="I3809" s="1115"/>
      <c r="J3809" s="1115"/>
      <c r="K3809" s="1115"/>
      <c r="L3809" s="1115"/>
      <c r="M3809" s="1115"/>
    </row>
    <row r="3810" spans="1:13" x14ac:dyDescent="0.2">
      <c r="A3810" s="1115"/>
      <c r="B3810" s="1115"/>
      <c r="C3810" s="1115"/>
      <c r="D3810" s="1115"/>
      <c r="E3810" s="1115"/>
      <c r="F3810" s="1115"/>
      <c r="G3810" s="1115"/>
      <c r="H3810" s="1115"/>
      <c r="I3810" s="1115"/>
      <c r="J3810" s="1115"/>
      <c r="K3810" s="1115"/>
      <c r="L3810" s="1115"/>
      <c r="M3810" s="1115"/>
    </row>
    <row r="3811" spans="1:13" x14ac:dyDescent="0.2">
      <c r="A3811" s="1115"/>
      <c r="B3811" s="1115"/>
      <c r="C3811" s="1115"/>
      <c r="D3811" s="1115"/>
      <c r="E3811" s="1115"/>
      <c r="F3811" s="1115"/>
      <c r="G3811" s="1115"/>
      <c r="H3811" s="1115"/>
      <c r="I3811" s="1115"/>
      <c r="J3811" s="1115"/>
      <c r="K3811" s="1115"/>
      <c r="L3811" s="1115"/>
      <c r="M3811" s="1115"/>
    </row>
    <row r="3812" spans="1:13" x14ac:dyDescent="0.2">
      <c r="A3812" s="1115"/>
      <c r="B3812" s="1115"/>
      <c r="C3812" s="1115"/>
      <c r="D3812" s="1115"/>
      <c r="E3812" s="1115"/>
      <c r="F3812" s="1115"/>
      <c r="G3812" s="1115"/>
      <c r="H3812" s="1115"/>
      <c r="I3812" s="1115"/>
      <c r="J3812" s="1115"/>
      <c r="K3812" s="1115"/>
      <c r="L3812" s="1115"/>
      <c r="M3812" s="1115"/>
    </row>
    <row r="3813" spans="1:13" x14ac:dyDescent="0.2">
      <c r="A3813" s="1115"/>
      <c r="B3813" s="1115"/>
      <c r="C3813" s="1115"/>
      <c r="D3813" s="1115"/>
      <c r="E3813" s="1115"/>
      <c r="F3813" s="1115"/>
      <c r="G3813" s="1115"/>
      <c r="H3813" s="1115"/>
      <c r="I3813" s="1115"/>
      <c r="J3813" s="1115"/>
      <c r="K3813" s="1115"/>
      <c r="L3813" s="1115"/>
      <c r="M3813" s="1115"/>
    </row>
    <row r="3814" spans="1:13" x14ac:dyDescent="0.2">
      <c r="A3814" s="1115"/>
      <c r="B3814" s="1115"/>
      <c r="C3814" s="1115"/>
      <c r="D3814" s="1115"/>
      <c r="E3814" s="1115"/>
      <c r="F3814" s="1115"/>
      <c r="G3814" s="1115"/>
      <c r="H3814" s="1115"/>
      <c r="I3814" s="1115"/>
      <c r="J3814" s="1115"/>
      <c r="K3814" s="1115"/>
      <c r="L3814" s="1115"/>
      <c r="M3814" s="1115"/>
    </row>
    <row r="3815" spans="1:13" x14ac:dyDescent="0.2">
      <c r="A3815" s="1115"/>
      <c r="B3815" s="1115"/>
      <c r="C3815" s="1115"/>
      <c r="D3815" s="1115"/>
      <c r="E3815" s="1115"/>
      <c r="F3815" s="1115"/>
      <c r="G3815" s="1115"/>
      <c r="H3815" s="1115"/>
      <c r="I3815" s="1115"/>
      <c r="J3815" s="1115"/>
      <c r="K3815" s="1115"/>
      <c r="L3815" s="1115"/>
      <c r="M3815" s="1115"/>
    </row>
    <row r="3816" spans="1:13" x14ac:dyDescent="0.2">
      <c r="A3816" s="1115"/>
      <c r="B3816" s="1115"/>
      <c r="C3816" s="1115"/>
      <c r="D3816" s="1115"/>
      <c r="E3816" s="1115"/>
      <c r="F3816" s="1115"/>
      <c r="G3816" s="1115"/>
      <c r="H3816" s="1115"/>
      <c r="I3816" s="1115"/>
      <c r="J3816" s="1115"/>
      <c r="K3816" s="1115"/>
      <c r="L3816" s="1115"/>
      <c r="M3816" s="1115"/>
    </row>
    <row r="3817" spans="1:13" x14ac:dyDescent="0.2">
      <c r="A3817" s="1115"/>
      <c r="B3817" s="1115"/>
      <c r="C3817" s="1115"/>
      <c r="D3817" s="1115"/>
      <c r="E3817" s="1115"/>
      <c r="F3817" s="1115"/>
      <c r="G3817" s="1115"/>
      <c r="H3817" s="1115"/>
      <c r="I3817" s="1115"/>
      <c r="J3817" s="1115"/>
      <c r="K3817" s="1115"/>
      <c r="L3817" s="1115"/>
      <c r="M3817" s="1115"/>
    </row>
    <row r="3818" spans="1:13" x14ac:dyDescent="0.2">
      <c r="A3818" s="1115"/>
      <c r="B3818" s="1115"/>
      <c r="C3818" s="1115"/>
      <c r="D3818" s="1115"/>
      <c r="E3818" s="1115"/>
      <c r="F3818" s="1115"/>
      <c r="G3818" s="1115"/>
      <c r="H3818" s="1115"/>
      <c r="I3818" s="1115"/>
      <c r="J3818" s="1115"/>
      <c r="K3818" s="1115"/>
      <c r="L3818" s="1115"/>
      <c r="M3818" s="1115"/>
    </row>
    <row r="3819" spans="1:13" x14ac:dyDescent="0.2">
      <c r="A3819" s="1115"/>
      <c r="B3819" s="1115"/>
      <c r="C3819" s="1115"/>
      <c r="D3819" s="1115"/>
      <c r="E3819" s="1115"/>
      <c r="F3819" s="1115"/>
      <c r="G3819" s="1115"/>
      <c r="H3819" s="1115"/>
      <c r="I3819" s="1115"/>
      <c r="J3819" s="1115"/>
      <c r="K3819" s="1115"/>
      <c r="L3819" s="1115"/>
      <c r="M3819" s="1115"/>
    </row>
    <row r="3820" spans="1:13" x14ac:dyDescent="0.2">
      <c r="A3820" s="1115"/>
      <c r="B3820" s="1115"/>
      <c r="C3820" s="1115"/>
      <c r="D3820" s="1115"/>
      <c r="E3820" s="1115"/>
      <c r="F3820" s="1115"/>
      <c r="G3820" s="1115"/>
      <c r="H3820" s="1115"/>
      <c r="I3820" s="1115"/>
      <c r="J3820" s="1115"/>
      <c r="K3820" s="1115"/>
      <c r="L3820" s="1115"/>
      <c r="M3820" s="1115"/>
    </row>
    <row r="3821" spans="1:13" x14ac:dyDescent="0.2">
      <c r="A3821" s="1115"/>
      <c r="B3821" s="1115"/>
      <c r="C3821" s="1115"/>
      <c r="D3821" s="1115"/>
      <c r="E3821" s="1115"/>
      <c r="F3821" s="1115"/>
      <c r="G3821" s="1115"/>
      <c r="H3821" s="1115"/>
      <c r="I3821" s="1115"/>
      <c r="J3821" s="1115"/>
      <c r="K3821" s="1115"/>
      <c r="L3821" s="1115"/>
      <c r="M3821" s="1115"/>
    </row>
    <row r="3822" spans="1:13" x14ac:dyDescent="0.2">
      <c r="A3822" s="1115"/>
      <c r="B3822" s="1115"/>
      <c r="C3822" s="1115"/>
      <c r="D3822" s="1115"/>
      <c r="E3822" s="1115"/>
      <c r="F3822" s="1115"/>
      <c r="G3822" s="1115"/>
      <c r="H3822" s="1115"/>
      <c r="I3822" s="1115"/>
      <c r="J3822" s="1115"/>
      <c r="K3822" s="1115"/>
      <c r="L3822" s="1115"/>
      <c r="M3822" s="1115"/>
    </row>
    <row r="3823" spans="1:13" x14ac:dyDescent="0.2">
      <c r="A3823" s="1115"/>
      <c r="B3823" s="1115"/>
      <c r="C3823" s="1115"/>
      <c r="D3823" s="1115"/>
      <c r="E3823" s="1115"/>
      <c r="F3823" s="1115"/>
      <c r="G3823" s="1115"/>
      <c r="H3823" s="1115"/>
      <c r="I3823" s="1115"/>
      <c r="J3823" s="1115"/>
      <c r="K3823" s="1115"/>
      <c r="L3823" s="1115"/>
      <c r="M3823" s="1115"/>
    </row>
    <row r="3824" spans="1:13" x14ac:dyDescent="0.2">
      <c r="A3824" s="1115"/>
      <c r="B3824" s="1115"/>
      <c r="C3824" s="1115"/>
      <c r="D3824" s="1115"/>
      <c r="E3824" s="1115"/>
      <c r="F3824" s="1115"/>
      <c r="G3824" s="1115"/>
      <c r="H3824" s="1115"/>
      <c r="I3824" s="1115"/>
      <c r="J3824" s="1115"/>
      <c r="K3824" s="1115"/>
      <c r="L3824" s="1115"/>
      <c r="M3824" s="1115"/>
    </row>
    <row r="3825" spans="1:13" x14ac:dyDescent="0.2">
      <c r="A3825" s="1115"/>
      <c r="B3825" s="1115"/>
      <c r="C3825" s="1115"/>
      <c r="D3825" s="1115"/>
      <c r="E3825" s="1115"/>
      <c r="F3825" s="1115"/>
      <c r="G3825" s="1115"/>
      <c r="H3825" s="1115"/>
      <c r="I3825" s="1115"/>
      <c r="J3825" s="1115"/>
      <c r="K3825" s="1115"/>
      <c r="L3825" s="1115"/>
      <c r="M3825" s="1115"/>
    </row>
    <row r="3826" spans="1:13" x14ac:dyDescent="0.2">
      <c r="A3826" s="1115"/>
      <c r="B3826" s="1115"/>
      <c r="C3826" s="1115"/>
      <c r="D3826" s="1115"/>
      <c r="E3826" s="1115"/>
      <c r="F3826" s="1115"/>
      <c r="G3826" s="1115"/>
      <c r="H3826" s="1115"/>
      <c r="I3826" s="1115"/>
      <c r="J3826" s="1115"/>
      <c r="K3826" s="1115"/>
      <c r="L3826" s="1115"/>
      <c r="M3826" s="1115"/>
    </row>
    <row r="3827" spans="1:13" x14ac:dyDescent="0.2">
      <c r="A3827" s="1115"/>
      <c r="B3827" s="1115"/>
      <c r="C3827" s="1115"/>
      <c r="D3827" s="1115"/>
      <c r="E3827" s="1115"/>
      <c r="F3827" s="1115"/>
      <c r="G3827" s="1115"/>
      <c r="H3827" s="1115"/>
      <c r="I3827" s="1115"/>
      <c r="J3827" s="1115"/>
      <c r="K3827" s="1115"/>
      <c r="L3827" s="1115"/>
      <c r="M3827" s="1115"/>
    </row>
    <row r="3828" spans="1:13" x14ac:dyDescent="0.2">
      <c r="A3828" s="1115"/>
      <c r="B3828" s="1115"/>
      <c r="C3828" s="1115"/>
      <c r="D3828" s="1115"/>
      <c r="E3828" s="1115"/>
      <c r="F3828" s="1115"/>
      <c r="G3828" s="1115"/>
      <c r="H3828" s="1115"/>
      <c r="I3828" s="1115"/>
      <c r="J3828" s="1115"/>
      <c r="K3828" s="1115"/>
      <c r="L3828" s="1115"/>
      <c r="M3828" s="1115"/>
    </row>
    <row r="3829" spans="1:13" x14ac:dyDescent="0.2">
      <c r="A3829" s="1115"/>
      <c r="B3829" s="1115"/>
      <c r="C3829" s="1115"/>
      <c r="D3829" s="1115"/>
      <c r="E3829" s="1115"/>
      <c r="F3829" s="1115"/>
      <c r="G3829" s="1115"/>
      <c r="H3829" s="1115"/>
      <c r="I3829" s="1115"/>
      <c r="J3829" s="1115"/>
      <c r="K3829" s="1115"/>
      <c r="L3829" s="1115"/>
      <c r="M3829" s="1115"/>
    </row>
    <row r="3830" spans="1:13" x14ac:dyDescent="0.2">
      <c r="A3830" s="1115"/>
      <c r="B3830" s="1115"/>
      <c r="C3830" s="1115"/>
      <c r="D3830" s="1115"/>
      <c r="E3830" s="1115"/>
      <c r="F3830" s="1115"/>
      <c r="G3830" s="1115"/>
      <c r="H3830" s="1115"/>
      <c r="I3830" s="1115"/>
      <c r="J3830" s="1115"/>
      <c r="K3830" s="1115"/>
      <c r="L3830" s="1115"/>
      <c r="M3830" s="1115"/>
    </row>
    <row r="3831" spans="1:13" x14ac:dyDescent="0.2">
      <c r="A3831" s="1115"/>
      <c r="B3831" s="1115"/>
      <c r="C3831" s="1115"/>
      <c r="D3831" s="1115"/>
      <c r="E3831" s="1115"/>
      <c r="F3831" s="1115"/>
      <c r="G3831" s="1115"/>
      <c r="H3831" s="1115"/>
      <c r="I3831" s="1115"/>
      <c r="J3831" s="1115"/>
      <c r="K3831" s="1115"/>
      <c r="L3831" s="1115"/>
      <c r="M3831" s="1115"/>
    </row>
    <row r="3832" spans="1:13" x14ac:dyDescent="0.2">
      <c r="A3832" s="1115"/>
      <c r="B3832" s="1115"/>
      <c r="C3832" s="1115"/>
      <c r="D3832" s="1115"/>
      <c r="E3832" s="1115"/>
      <c r="F3832" s="1115"/>
      <c r="G3832" s="1115"/>
      <c r="H3832" s="1115"/>
      <c r="I3832" s="1115"/>
      <c r="J3832" s="1115"/>
      <c r="K3832" s="1115"/>
      <c r="L3832" s="1115"/>
      <c r="M3832" s="1115"/>
    </row>
    <row r="3833" spans="1:13" x14ac:dyDescent="0.2">
      <c r="A3833" s="1115"/>
      <c r="B3833" s="1115"/>
      <c r="C3833" s="1115"/>
      <c r="D3833" s="1115"/>
      <c r="E3833" s="1115"/>
      <c r="F3833" s="1115"/>
      <c r="G3833" s="1115"/>
      <c r="H3833" s="1115"/>
      <c r="I3833" s="1115"/>
      <c r="J3833" s="1115"/>
      <c r="K3833" s="1115"/>
      <c r="L3833" s="1115"/>
      <c r="M3833" s="1115"/>
    </row>
    <row r="3834" spans="1:13" x14ac:dyDescent="0.2">
      <c r="A3834" s="1115"/>
      <c r="B3834" s="1115"/>
      <c r="C3834" s="1115"/>
      <c r="D3834" s="1115"/>
      <c r="E3834" s="1115"/>
      <c r="F3834" s="1115"/>
      <c r="G3834" s="1115"/>
      <c r="H3834" s="1115"/>
      <c r="I3834" s="1115"/>
      <c r="J3834" s="1115"/>
      <c r="K3834" s="1115"/>
      <c r="L3834" s="1115"/>
      <c r="M3834" s="1115"/>
    </row>
    <row r="3835" spans="1:13" x14ac:dyDescent="0.2">
      <c r="A3835" s="1115"/>
      <c r="B3835" s="1115"/>
      <c r="C3835" s="1115"/>
      <c r="D3835" s="1115"/>
      <c r="E3835" s="1115"/>
      <c r="F3835" s="1115"/>
      <c r="G3835" s="1115"/>
      <c r="H3835" s="1115"/>
      <c r="I3835" s="1115"/>
      <c r="J3835" s="1115"/>
      <c r="K3835" s="1115"/>
      <c r="L3835" s="1115"/>
      <c r="M3835" s="1115"/>
    </row>
    <row r="3836" spans="1:13" x14ac:dyDescent="0.2">
      <c r="A3836" s="1115"/>
      <c r="B3836" s="1115"/>
      <c r="C3836" s="1115"/>
      <c r="D3836" s="1115"/>
      <c r="E3836" s="1115"/>
      <c r="F3836" s="1115"/>
      <c r="G3836" s="1115"/>
      <c r="H3836" s="1115"/>
      <c r="I3836" s="1115"/>
      <c r="J3836" s="1115"/>
      <c r="K3836" s="1115"/>
      <c r="L3836" s="1115"/>
      <c r="M3836" s="1115"/>
    </row>
    <row r="3837" spans="1:13" x14ac:dyDescent="0.2">
      <c r="A3837" s="1115"/>
      <c r="B3837" s="1115"/>
      <c r="C3837" s="1115"/>
      <c r="D3837" s="1115"/>
      <c r="E3837" s="1115"/>
      <c r="F3837" s="1115"/>
      <c r="G3837" s="1115"/>
      <c r="H3837" s="1115"/>
      <c r="I3837" s="1115"/>
      <c r="J3837" s="1115"/>
      <c r="K3837" s="1115"/>
      <c r="L3837" s="1115"/>
      <c r="M3837" s="1115"/>
    </row>
    <row r="3838" spans="1:13" x14ac:dyDescent="0.2">
      <c r="A3838" s="1115"/>
      <c r="B3838" s="1115"/>
      <c r="C3838" s="1115"/>
      <c r="D3838" s="1115"/>
      <c r="E3838" s="1115"/>
      <c r="F3838" s="1115"/>
      <c r="G3838" s="1115"/>
      <c r="H3838" s="1115"/>
      <c r="I3838" s="1115"/>
      <c r="J3838" s="1115"/>
      <c r="K3838" s="1115"/>
      <c r="L3838" s="1115"/>
      <c r="M3838" s="1115"/>
    </row>
    <row r="3839" spans="1:13" x14ac:dyDescent="0.2">
      <c r="A3839" s="1115"/>
      <c r="B3839" s="1115"/>
      <c r="C3839" s="1115"/>
      <c r="D3839" s="1115"/>
      <c r="E3839" s="1115"/>
      <c r="F3839" s="1115"/>
      <c r="G3839" s="1115"/>
      <c r="H3839" s="1115"/>
      <c r="I3839" s="1115"/>
      <c r="J3839" s="1115"/>
      <c r="K3839" s="1115"/>
      <c r="L3839" s="1115"/>
      <c r="M3839" s="1115"/>
    </row>
    <row r="3840" spans="1:13" x14ac:dyDescent="0.2">
      <c r="A3840" s="1115"/>
      <c r="B3840" s="1115"/>
      <c r="C3840" s="1115"/>
      <c r="D3840" s="1115"/>
      <c r="E3840" s="1115"/>
      <c r="F3840" s="1115"/>
      <c r="G3840" s="1115"/>
      <c r="H3840" s="1115"/>
      <c r="I3840" s="1115"/>
      <c r="J3840" s="1115"/>
      <c r="K3840" s="1115"/>
      <c r="L3840" s="1115"/>
      <c r="M3840" s="1115"/>
    </row>
    <row r="3841" spans="1:13" x14ac:dyDescent="0.2">
      <c r="A3841" s="1115"/>
      <c r="B3841" s="1115"/>
      <c r="C3841" s="1115"/>
      <c r="D3841" s="1115"/>
      <c r="E3841" s="1115"/>
      <c r="F3841" s="1115"/>
      <c r="G3841" s="1115"/>
      <c r="H3841" s="1115"/>
      <c r="I3841" s="1115"/>
      <c r="J3841" s="1115"/>
      <c r="K3841" s="1115"/>
      <c r="L3841" s="1115"/>
      <c r="M3841" s="1115"/>
    </row>
    <row r="3842" spans="1:13" x14ac:dyDescent="0.2">
      <c r="A3842" s="1115"/>
      <c r="B3842" s="1115"/>
      <c r="C3842" s="1115"/>
      <c r="D3842" s="1115"/>
      <c r="E3842" s="1115"/>
      <c r="F3842" s="1115"/>
      <c r="G3842" s="1115"/>
      <c r="H3842" s="1115"/>
      <c r="I3842" s="1115"/>
      <c r="J3842" s="1115"/>
      <c r="K3842" s="1115"/>
      <c r="L3842" s="1115"/>
      <c r="M3842" s="1115"/>
    </row>
    <row r="3843" spans="1:13" x14ac:dyDescent="0.2">
      <c r="A3843" s="1115"/>
      <c r="B3843" s="1115"/>
      <c r="C3843" s="1115"/>
      <c r="D3843" s="1115"/>
      <c r="E3843" s="1115"/>
      <c r="F3843" s="1115"/>
      <c r="G3843" s="1115"/>
      <c r="H3843" s="1115"/>
      <c r="I3843" s="1115"/>
      <c r="J3843" s="1115"/>
      <c r="K3843" s="1115"/>
      <c r="L3843" s="1115"/>
      <c r="M3843" s="1115"/>
    </row>
    <row r="3844" spans="1:13" x14ac:dyDescent="0.2">
      <c r="A3844" s="1115"/>
      <c r="B3844" s="1115"/>
      <c r="C3844" s="1115"/>
      <c r="D3844" s="1115"/>
      <c r="E3844" s="1115"/>
      <c r="F3844" s="1115"/>
      <c r="G3844" s="1115"/>
      <c r="H3844" s="1115"/>
      <c r="I3844" s="1115"/>
      <c r="J3844" s="1115"/>
      <c r="K3844" s="1115"/>
      <c r="L3844" s="1115"/>
      <c r="M3844" s="1115"/>
    </row>
    <row r="3845" spans="1:13" x14ac:dyDescent="0.2">
      <c r="A3845" s="1115"/>
      <c r="B3845" s="1115"/>
      <c r="C3845" s="1115"/>
      <c r="D3845" s="1115"/>
      <c r="E3845" s="1115"/>
      <c r="F3845" s="1115"/>
      <c r="G3845" s="1115"/>
      <c r="H3845" s="1115"/>
      <c r="I3845" s="1115"/>
      <c r="J3845" s="1115"/>
      <c r="K3845" s="1115"/>
      <c r="L3845" s="1115"/>
      <c r="M3845" s="1115"/>
    </row>
    <row r="3846" spans="1:13" x14ac:dyDescent="0.2">
      <c r="A3846" s="1115"/>
      <c r="B3846" s="1115"/>
      <c r="C3846" s="1115"/>
      <c r="D3846" s="1115"/>
      <c r="E3846" s="1115"/>
      <c r="F3846" s="1115"/>
      <c r="G3846" s="1115"/>
      <c r="H3846" s="1115"/>
      <c r="I3846" s="1115"/>
      <c r="J3846" s="1115"/>
      <c r="K3846" s="1115"/>
      <c r="L3846" s="1115"/>
      <c r="M3846" s="1115"/>
    </row>
    <row r="3847" spans="1:13" x14ac:dyDescent="0.2">
      <c r="A3847" s="1115"/>
      <c r="B3847" s="1115"/>
      <c r="C3847" s="1115"/>
      <c r="D3847" s="1115"/>
      <c r="E3847" s="1115"/>
      <c r="F3847" s="1115"/>
      <c r="G3847" s="1115"/>
      <c r="H3847" s="1115"/>
      <c r="I3847" s="1115"/>
      <c r="J3847" s="1115"/>
      <c r="K3847" s="1115"/>
      <c r="L3847" s="1115"/>
      <c r="M3847" s="1115"/>
    </row>
    <row r="3848" spans="1:13" x14ac:dyDescent="0.2">
      <c r="A3848" s="1115"/>
      <c r="B3848" s="1115"/>
      <c r="C3848" s="1115"/>
      <c r="D3848" s="1115"/>
      <c r="E3848" s="1115"/>
      <c r="F3848" s="1115"/>
      <c r="G3848" s="1115"/>
      <c r="H3848" s="1115"/>
      <c r="I3848" s="1115"/>
      <c r="J3848" s="1115"/>
      <c r="K3848" s="1115"/>
      <c r="L3848" s="1115"/>
      <c r="M3848" s="1115"/>
    </row>
    <row r="3849" spans="1:13" x14ac:dyDescent="0.2">
      <c r="A3849" s="1115"/>
      <c r="B3849" s="1115"/>
      <c r="C3849" s="1115"/>
      <c r="D3849" s="1115"/>
      <c r="E3849" s="1115"/>
      <c r="F3849" s="1115"/>
      <c r="G3849" s="1115"/>
      <c r="H3849" s="1115"/>
      <c r="I3849" s="1115"/>
      <c r="J3849" s="1115"/>
      <c r="K3849" s="1115"/>
      <c r="L3849" s="1115"/>
      <c r="M3849" s="1115"/>
    </row>
    <row r="3850" spans="1:13" x14ac:dyDescent="0.2">
      <c r="A3850" s="1115"/>
      <c r="B3850" s="1115"/>
      <c r="C3850" s="1115"/>
      <c r="D3850" s="1115"/>
      <c r="E3850" s="1115"/>
      <c r="F3850" s="1115"/>
      <c r="G3850" s="1115"/>
      <c r="H3850" s="1115"/>
      <c r="I3850" s="1115"/>
      <c r="J3850" s="1115"/>
      <c r="K3850" s="1115"/>
      <c r="L3850" s="1115"/>
      <c r="M3850" s="1115"/>
    </row>
    <row r="3851" spans="1:13" x14ac:dyDescent="0.2">
      <c r="A3851" s="1115"/>
      <c r="B3851" s="1115"/>
      <c r="C3851" s="1115"/>
      <c r="D3851" s="1115"/>
      <c r="E3851" s="1115"/>
      <c r="F3851" s="1115"/>
      <c r="G3851" s="1115"/>
      <c r="H3851" s="1115"/>
      <c r="I3851" s="1115"/>
      <c r="J3851" s="1115"/>
      <c r="K3851" s="1115"/>
      <c r="L3851" s="1115"/>
      <c r="M3851" s="1115"/>
    </row>
    <row r="3852" spans="1:13" x14ac:dyDescent="0.2">
      <c r="A3852" s="1115"/>
      <c r="B3852" s="1115"/>
      <c r="C3852" s="1115"/>
      <c r="D3852" s="1115"/>
      <c r="E3852" s="1115"/>
      <c r="F3852" s="1115"/>
      <c r="G3852" s="1115"/>
      <c r="H3852" s="1115"/>
      <c r="I3852" s="1115"/>
      <c r="J3852" s="1115"/>
      <c r="K3852" s="1115"/>
      <c r="L3852" s="1115"/>
      <c r="M3852" s="1115"/>
    </row>
    <row r="3853" spans="1:13" x14ac:dyDescent="0.2">
      <c r="A3853" s="1115"/>
      <c r="B3853" s="1115"/>
      <c r="C3853" s="1115"/>
      <c r="D3853" s="1115"/>
      <c r="E3853" s="1115"/>
      <c r="F3853" s="1115"/>
      <c r="G3853" s="1115"/>
      <c r="H3853" s="1115"/>
      <c r="I3853" s="1115"/>
      <c r="J3853" s="1115"/>
      <c r="K3853" s="1115"/>
      <c r="L3853" s="1115"/>
      <c r="M3853" s="1115"/>
    </row>
    <row r="3854" spans="1:13" x14ac:dyDescent="0.2">
      <c r="A3854" s="1115"/>
      <c r="B3854" s="1115"/>
      <c r="C3854" s="1115"/>
      <c r="D3854" s="1115"/>
      <c r="E3854" s="1115"/>
      <c r="F3854" s="1115"/>
      <c r="G3854" s="1115"/>
      <c r="H3854" s="1115"/>
      <c r="I3854" s="1115"/>
      <c r="J3854" s="1115"/>
      <c r="K3854" s="1115"/>
      <c r="L3854" s="1115"/>
      <c r="M3854" s="1115"/>
    </row>
    <row r="3855" spans="1:13" x14ac:dyDescent="0.2">
      <c r="A3855" s="1115"/>
      <c r="B3855" s="1115"/>
      <c r="C3855" s="1115"/>
      <c r="D3855" s="1115"/>
      <c r="E3855" s="1115"/>
      <c r="F3855" s="1115"/>
      <c r="G3855" s="1115"/>
      <c r="H3855" s="1115"/>
      <c r="I3855" s="1115"/>
      <c r="J3855" s="1115"/>
      <c r="K3855" s="1115"/>
      <c r="L3855" s="1115"/>
      <c r="M3855" s="1115"/>
    </row>
  </sheetData>
  <mergeCells count="8">
    <mergeCell ref="C1:D1"/>
    <mergeCell ref="B3:E3"/>
    <mergeCell ref="K21:M21"/>
    <mergeCell ref="C54:D54"/>
    <mergeCell ref="K14:M14"/>
    <mergeCell ref="K15:M15"/>
    <mergeCell ref="K7:N11"/>
    <mergeCell ref="C5:G5"/>
  </mergeCells>
  <conditionalFormatting sqref="C31:C48">
    <cfRule type="cellIs" dxfId="331" priority="38" stopIfTrue="1" operator="equal">
      <formula>"N.C."</formula>
    </cfRule>
  </conditionalFormatting>
  <conditionalFormatting sqref="E31:E48">
    <cfRule type="cellIs" dxfId="330" priority="36" stopIfTrue="1" operator="lessThan">
      <formula>0</formula>
    </cfRule>
    <cfRule type="cellIs" dxfId="329" priority="37" stopIfTrue="1" operator="equal">
      <formula>"N.C."</formula>
    </cfRule>
  </conditionalFormatting>
  <conditionalFormatting sqref="F25:I25 K24:N24 G6:H6 K6:P6 J25:N26">
    <cfRule type="cellIs" dxfId="328" priority="35" operator="equal">
      <formula>0</formula>
    </cfRule>
  </conditionalFormatting>
  <conditionalFormatting sqref="J12:N13 J11">
    <cfRule type="cellIs" dxfId="327" priority="34" operator="equal">
      <formula>0</formula>
    </cfRule>
  </conditionalFormatting>
  <conditionalFormatting sqref="H5">
    <cfRule type="cellIs" dxfId="326" priority="33" operator="equal">
      <formula>0</formula>
    </cfRule>
  </conditionalFormatting>
  <conditionalFormatting sqref="K21:M21 O21:P22">
    <cfRule type="cellIs" dxfId="325" priority="32" operator="equal">
      <formula>0</formula>
    </cfRule>
  </conditionalFormatting>
  <conditionalFormatting sqref="E26:I26">
    <cfRule type="cellIs" dxfId="324" priority="27" operator="equal">
      <formula>0</formula>
    </cfRule>
  </conditionalFormatting>
  <conditionalFormatting sqref="O18:P18">
    <cfRule type="expression" dxfId="323" priority="24">
      <formula>IF($M$18&lt;=0,TRUE,FALSE)</formula>
    </cfRule>
  </conditionalFormatting>
  <conditionalFormatting sqref="O19:P19">
    <cfRule type="expression" dxfId="322" priority="23">
      <formula>IF($M$18&lt;=0,TRUE,FALSE)</formula>
    </cfRule>
  </conditionalFormatting>
  <conditionalFormatting sqref="K7">
    <cfRule type="cellIs" dxfId="321" priority="22" operator="equal">
      <formula>0</formula>
    </cfRule>
  </conditionalFormatting>
  <hyperlinks>
    <hyperlink ref="C1:D1" location="notice!A1" display="Cliques → ICI ←"/>
    <hyperlink ref="C54:D54" location="'bâtiments d''élevage'!A1" display="Cliques → ICI ←"/>
  </hyperlink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39" stopIfTrue="1" id="{76CCCA71-7D00-4D8A-BFE0-A9A87538B13E}">
            <xm:f>IF($N$14=BDD!$M$3,TRUE,FALSE)</xm:f>
            <x14:dxf>
              <fill>
                <patternFill>
                  <bgColor indexed="15"/>
                </patternFill>
              </fill>
              <border>
                <left style="thin">
                  <color indexed="64"/>
                </left>
                <right style="thin">
                  <color indexed="64"/>
                </right>
                <top style="thin">
                  <color indexed="64"/>
                </top>
                <bottom style="thin">
                  <color indexed="64"/>
                </bottom>
              </border>
            </x14:dxf>
          </x14:cfRule>
          <xm:sqref>M16</xm:sqref>
        </x14:conditionalFormatting>
        <x14:conditionalFormatting xmlns:xm="http://schemas.microsoft.com/office/excel/2006/main">
          <x14:cfRule type="expression" priority="40" stopIfTrue="1" id="{AACE4B3E-AF0F-40B4-9616-E055756D9276}">
            <xm:f>IF($N$14=BDD!$M$3,TRUE,FALSE)</xm:f>
            <x14:dxf>
              <fill>
                <patternFill>
                  <bgColor theme="0"/>
                </patternFill>
              </fill>
              <border>
                <left style="thin">
                  <color indexed="64"/>
                </left>
                <right style="thin">
                  <color indexed="64"/>
                </right>
                <top style="thin">
                  <color indexed="64"/>
                </top>
                <bottom style="thin">
                  <color indexed="64"/>
                </bottom>
              </border>
            </x14:dxf>
          </x14:cfRule>
          <xm:sqref>M18</xm:sqref>
        </x14:conditionalFormatting>
        <x14:conditionalFormatting xmlns:xm="http://schemas.microsoft.com/office/excel/2006/main">
          <x14:cfRule type="expression" priority="41" stopIfTrue="1" id="{F1D34451-46DE-4458-BEEA-040836FE4107}">
            <xm:f>IF($N$15=BDD!$M$3,TRUE,FALSE)</xm:f>
            <x14:dxf>
              <fill>
                <patternFill>
                  <bgColor indexed="15"/>
                </patternFill>
              </fill>
              <border>
                <left style="thin">
                  <color indexed="64"/>
                </left>
                <right style="thin">
                  <color indexed="64"/>
                </right>
                <top style="thin">
                  <color indexed="64"/>
                </top>
                <bottom style="thin">
                  <color indexed="64"/>
                </bottom>
              </border>
            </x14:dxf>
          </x14:cfRule>
          <xm:sqref>M17</xm:sqref>
        </x14:conditionalFormatting>
        <x14:conditionalFormatting xmlns:xm="http://schemas.microsoft.com/office/excel/2006/main">
          <x14:cfRule type="expression" priority="42" stopIfTrue="1" id="{0990FC54-F849-464F-8112-46D6939B0D97}">
            <xm:f>IF($N$15=BDD!$M$3,TRUE,FALSE)</xm:f>
            <x14:dxf>
              <fill>
                <patternFill>
                  <bgColor theme="0"/>
                </patternFill>
              </fill>
              <border>
                <left style="thin">
                  <color indexed="64"/>
                </left>
                <right style="thin">
                  <color indexed="64"/>
                </right>
                <top style="thin">
                  <color indexed="64"/>
                </top>
                <bottom style="thin">
                  <color indexed="64"/>
                </bottom>
              </border>
            </x14:dxf>
          </x14:cfRule>
          <xm:sqref>M19</xm:sqref>
        </x14:conditionalFormatting>
        <x14:conditionalFormatting xmlns:xm="http://schemas.microsoft.com/office/excel/2006/main">
          <x14:cfRule type="expression" priority="17" id="{44F7F5F5-383C-4893-BB89-A1A12F13A86A}">
            <xm:f>IF($N$14=BDD!M3,TRUE,FALSE)</xm:f>
            <x14:dxf>
              <font>
                <color auto="1"/>
              </font>
              <fill>
                <patternFill>
                  <bgColor theme="0"/>
                </patternFill>
              </fill>
              <border>
                <left style="thin">
                  <color auto="1"/>
                </left>
                <right style="thin">
                  <color auto="1"/>
                </right>
                <top style="thin">
                  <color auto="1"/>
                </top>
                <bottom style="thin">
                  <color auto="1"/>
                </bottom>
              </border>
            </x14:dxf>
          </x14:cfRule>
          <xm:sqref>K16</xm:sqref>
        </x14:conditionalFormatting>
        <x14:conditionalFormatting xmlns:xm="http://schemas.microsoft.com/office/excel/2006/main">
          <x14:cfRule type="expression" priority="16" id="{10B86BAB-03AC-4A28-8280-5500905D57FD}">
            <xm:f>IF($N$14=BDD!M3,TRUE,FALSE)</xm:f>
            <x14:dxf>
              <fill>
                <patternFill>
                  <bgColor theme="0"/>
                </patternFill>
              </fill>
              <border>
                <right style="thin">
                  <color auto="1"/>
                </right>
                <top style="thin">
                  <color auto="1"/>
                </top>
                <bottom style="thin">
                  <color auto="1"/>
                </bottom>
                <vertical/>
                <horizontal/>
              </border>
            </x14:dxf>
          </x14:cfRule>
          <xm:sqref>L16</xm:sqref>
        </x14:conditionalFormatting>
        <x14:conditionalFormatting xmlns:xm="http://schemas.microsoft.com/office/excel/2006/main">
          <x14:cfRule type="expression" priority="15" id="{18155924-6B8B-49EB-92F8-F378F1A301A6}">
            <xm:f>IF($N$15=BDD!M3,TRUE,FALSE)</xm:f>
            <x14:dxf>
              <font>
                <color auto="1"/>
              </font>
              <fill>
                <patternFill>
                  <bgColor theme="0"/>
                </patternFill>
              </fill>
              <border>
                <left style="thin">
                  <color auto="1"/>
                </left>
                <right/>
                <top style="thin">
                  <color auto="1"/>
                </top>
                <bottom style="thin">
                  <color auto="1"/>
                </bottom>
              </border>
            </x14:dxf>
          </x14:cfRule>
          <xm:sqref>K17</xm:sqref>
        </x14:conditionalFormatting>
        <x14:conditionalFormatting xmlns:xm="http://schemas.microsoft.com/office/excel/2006/main">
          <x14:cfRule type="expression" priority="14" id="{B290CFC6-3D7C-4A69-A330-9DB8642FA7F5}">
            <xm:f>IF($N$15=BDD!M3,TRUE,FALSE)</xm:f>
            <x14:dxf>
              <font>
                <color auto="1"/>
              </font>
              <fill>
                <patternFill>
                  <bgColor theme="0"/>
                </patternFill>
              </fill>
              <border>
                <left/>
                <right style="thin">
                  <color auto="1"/>
                </right>
                <top style="thin">
                  <color auto="1"/>
                </top>
                <bottom style="thin">
                  <color auto="1"/>
                </bottom>
              </border>
            </x14:dxf>
          </x14:cfRule>
          <xm:sqref>L17</xm:sqref>
        </x14:conditionalFormatting>
        <x14:conditionalFormatting xmlns:xm="http://schemas.microsoft.com/office/excel/2006/main">
          <x14:cfRule type="expression" priority="13" id="{D75ACF36-2FE1-47D7-899A-E34FD146F5D1}">
            <xm:f>IF($N$14=BDD!M3,TRUE,FALSE)</xm:f>
            <x14:dxf>
              <fill>
                <patternFill>
                  <bgColor theme="0"/>
                </patternFill>
              </fill>
              <border>
                <left style="thin">
                  <color auto="1"/>
                </left>
                <top style="thin">
                  <color auto="1"/>
                </top>
                <bottom style="thin">
                  <color auto="1"/>
                </bottom>
                <vertical/>
                <horizontal/>
              </border>
            </x14:dxf>
          </x14:cfRule>
          <xm:sqref>K18</xm:sqref>
        </x14:conditionalFormatting>
        <x14:conditionalFormatting xmlns:xm="http://schemas.microsoft.com/office/excel/2006/main">
          <x14:cfRule type="expression" priority="12" id="{30EFD7C0-F3FD-4CF6-BD7D-F41E2A9AA578}">
            <xm:f>IF($N$14=BDD!M3,TRUE,FALSE)</xm:f>
            <x14:dxf>
              <fill>
                <patternFill>
                  <bgColor theme="0"/>
                </patternFill>
              </fill>
              <border>
                <right style="thin">
                  <color auto="1"/>
                </right>
                <top style="thin">
                  <color auto="1"/>
                </top>
                <bottom style="thin">
                  <color auto="1"/>
                </bottom>
                <vertical/>
                <horizontal/>
              </border>
            </x14:dxf>
          </x14:cfRule>
          <xm:sqref>L18</xm:sqref>
        </x14:conditionalFormatting>
        <x14:conditionalFormatting xmlns:xm="http://schemas.microsoft.com/office/excel/2006/main">
          <x14:cfRule type="expression" priority="11" id="{25063B7E-B097-4B41-AE87-D2437284B5F4}">
            <xm:f>IF($N$15=BDD!M3,TRUE,FALSE)</xm:f>
            <x14:dxf>
              <fill>
                <patternFill>
                  <bgColor theme="0"/>
                </patternFill>
              </fill>
              <border>
                <left style="thin">
                  <color auto="1"/>
                </left>
                <top style="thin">
                  <color auto="1"/>
                </top>
                <bottom style="thin">
                  <color auto="1"/>
                </bottom>
                <vertical/>
                <horizontal/>
              </border>
            </x14:dxf>
          </x14:cfRule>
          <xm:sqref>K19</xm:sqref>
        </x14:conditionalFormatting>
        <x14:conditionalFormatting xmlns:xm="http://schemas.microsoft.com/office/excel/2006/main">
          <x14:cfRule type="expression" priority="10" id="{0E43B5D8-13C3-4F7A-BCD2-ED62CF72702E}">
            <xm:f>IF($N$15=BDD!M3,TRUE,FALSE)</xm:f>
            <x14:dxf>
              <fill>
                <patternFill>
                  <bgColor theme="0"/>
                </patternFill>
              </fill>
              <border>
                <right style="thin">
                  <color auto="1"/>
                </right>
                <top style="thin">
                  <color auto="1"/>
                </top>
                <bottom style="thin">
                  <color auto="1"/>
                </bottom>
                <vertical/>
                <horizontal/>
              </border>
            </x14:dxf>
          </x14:cfRule>
          <xm:sqref>L19</xm:sqref>
        </x14:conditionalFormatting>
        <x14:conditionalFormatting xmlns:xm="http://schemas.microsoft.com/office/excel/2006/main">
          <x14:cfRule type="expression" priority="8" id="{74AFD234-B4CE-4CC7-AEFF-30E0B21A77B4}">
            <xm:f>IF($N$21=BDD!M3,TRUE,FALSE)</xm:f>
            <x14:dxf>
              <fill>
                <patternFill>
                  <bgColor theme="0"/>
                </patternFill>
              </fill>
              <border>
                <left style="thin">
                  <color auto="1"/>
                </left>
                <top style="thin">
                  <color auto="1"/>
                </top>
                <bottom style="thin">
                  <color auto="1"/>
                </bottom>
                <vertical/>
                <horizontal/>
              </border>
            </x14:dxf>
          </x14:cfRule>
          <xm:sqref>K22</xm:sqref>
        </x14:conditionalFormatting>
        <x14:conditionalFormatting xmlns:xm="http://schemas.microsoft.com/office/excel/2006/main">
          <x14:cfRule type="expression" priority="7" id="{BA67F76D-6D13-4BEB-8698-5CAEE7534390}">
            <xm:f>IF($N$21=BDD!M3,TRUE,FALSE)</xm:f>
            <x14:dxf>
              <fill>
                <patternFill>
                  <bgColor theme="0"/>
                </patternFill>
              </fill>
              <border>
                <left style="thin">
                  <color auto="1"/>
                </left>
                <top style="thin">
                  <color auto="1"/>
                </top>
                <bottom style="thin">
                  <color auto="1"/>
                </bottom>
                <vertical/>
                <horizontal/>
              </border>
            </x14:dxf>
          </x14:cfRule>
          <xm:sqref>K23</xm:sqref>
        </x14:conditionalFormatting>
        <x14:conditionalFormatting xmlns:xm="http://schemas.microsoft.com/office/excel/2006/main">
          <x14:cfRule type="expression" priority="6" id="{9335814B-1B04-49AE-8738-0338420E7EB6}">
            <xm:f>IF($N$21=BDD!M3,TRUE,FALSE)</xm:f>
            <x14:dxf>
              <fill>
                <patternFill>
                  <bgColor theme="0"/>
                </patternFill>
              </fill>
              <border>
                <right style="thin">
                  <color auto="1"/>
                </right>
                <top style="thin">
                  <color auto="1"/>
                </top>
                <bottom style="thin">
                  <color auto="1"/>
                </bottom>
                <vertical/>
                <horizontal/>
              </border>
            </x14:dxf>
          </x14:cfRule>
          <xm:sqref>L22</xm:sqref>
        </x14:conditionalFormatting>
        <x14:conditionalFormatting xmlns:xm="http://schemas.microsoft.com/office/excel/2006/main">
          <x14:cfRule type="expression" priority="5" id="{852E1F2D-56EB-4DA7-81F5-39C88CEA3C97}">
            <xm:f>IF($N$21=BDD!M3,TRUE,FALSE)</xm:f>
            <x14:dxf>
              <fill>
                <patternFill>
                  <bgColor theme="0"/>
                </patternFill>
              </fill>
              <border>
                <right style="thin">
                  <color auto="1"/>
                </right>
                <top style="thin">
                  <color auto="1"/>
                </top>
                <bottom style="thin">
                  <color auto="1"/>
                </bottom>
                <vertical/>
                <horizontal/>
              </border>
            </x14:dxf>
          </x14:cfRule>
          <xm:sqref>L23</xm:sqref>
        </x14:conditionalFormatting>
        <x14:conditionalFormatting xmlns:xm="http://schemas.microsoft.com/office/excel/2006/main">
          <x14:cfRule type="expression" priority="4" stopIfTrue="1" id="{649A4CE2-74A0-4F5E-8D08-2F63F849814E}">
            <xm:f>IF($N$21=BDD!$M$3,TRUE,FALSE)</xm:f>
            <x14:dxf>
              <fill>
                <patternFill>
                  <bgColor indexed="15"/>
                </patternFill>
              </fill>
              <border>
                <left style="thin">
                  <color indexed="64"/>
                </left>
                <right style="thin">
                  <color indexed="64"/>
                </right>
                <top style="thin">
                  <color indexed="64"/>
                </top>
                <bottom style="thin">
                  <color indexed="64"/>
                </bottom>
              </border>
            </x14:dxf>
          </x14:cfRule>
          <xm:sqref>M22</xm:sqref>
        </x14:conditionalFormatting>
        <x14:conditionalFormatting xmlns:xm="http://schemas.microsoft.com/office/excel/2006/main">
          <x14:cfRule type="expression" priority="3" stopIfTrue="1" id="{B3659E27-83BC-43AE-9316-B891DDEFE4B2}">
            <xm:f>IF($N$21=BDD!$M$3,TRUE,FALSE)</xm:f>
            <x14:dxf>
              <fill>
                <patternFill>
                  <bgColor theme="0"/>
                </patternFill>
              </fill>
              <border>
                <left style="thin">
                  <color indexed="64"/>
                </left>
                <right style="thin">
                  <color indexed="64"/>
                </right>
                <top style="thin">
                  <color indexed="64"/>
                </top>
                <bottom style="thin">
                  <color indexed="64"/>
                </bottom>
              </border>
            </x14:dxf>
          </x14:cfRule>
          <xm:sqref>M23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BDD!$M$2:$M$3</xm:f>
          </x14:formula1>
          <xm:sqref>N21 N14:N15</xm:sqref>
        </x14:dataValidation>
        <x14:dataValidation type="list" allowBlank="1" showInputMessage="1" showErrorMessage="1">
          <x14:formula1>
            <xm:f>BDD!$A$55:$A$59</xm:f>
          </x14:formula1>
          <xm:sqref>G31:G33 G35:G36 G38:G41 G46:G48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218"/>
  <sheetViews>
    <sheetView zoomScaleNormal="100" workbookViewId="0">
      <pane xSplit="2" topLeftCell="C1" activePane="topRight" state="frozenSplit"/>
      <selection activeCell="D8" sqref="D8"/>
      <selection pane="topRight"/>
    </sheetView>
  </sheetViews>
  <sheetFormatPr baseColWidth="10" defaultColWidth="9.140625" defaultRowHeight="12.75" x14ac:dyDescent="0.2"/>
  <cols>
    <col min="1" max="1" width="9.140625" style="323"/>
    <col min="2" max="2" width="28.42578125" style="323" customWidth="1"/>
    <col min="3" max="3" width="8.85546875" style="323" customWidth="1"/>
    <col min="4" max="53" width="9.85546875" style="323" customWidth="1"/>
    <col min="54" max="16384" width="9.140625" style="323"/>
  </cols>
  <sheetData>
    <row r="1" spans="1:100" x14ac:dyDescent="0.2">
      <c r="A1" s="1120"/>
      <c r="B1" s="1502" t="s">
        <v>745</v>
      </c>
      <c r="C1" s="1503"/>
      <c r="D1" s="1477" t="s">
        <v>162</v>
      </c>
      <c r="E1" s="1478"/>
      <c r="F1" s="446"/>
      <c r="G1" s="446"/>
      <c r="H1" s="447"/>
      <c r="I1" s="447"/>
      <c r="J1" s="447"/>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32"/>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row>
    <row r="2" spans="1:100" x14ac:dyDescent="0.2">
      <c r="A2" s="436"/>
      <c r="B2" s="437"/>
      <c r="C2" s="437"/>
      <c r="D2" s="437"/>
      <c r="E2" s="437"/>
      <c r="F2" s="437"/>
      <c r="G2" s="437"/>
      <c r="H2" s="437"/>
      <c r="I2" s="437"/>
      <c r="J2" s="437"/>
      <c r="K2" s="437"/>
      <c r="L2" s="437"/>
      <c r="M2" s="437"/>
      <c r="N2" s="437"/>
      <c r="O2" s="437"/>
      <c r="P2" s="437"/>
      <c r="Q2" s="437"/>
      <c r="R2" s="437"/>
      <c r="S2" s="452"/>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3"/>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row>
    <row r="3" spans="1:100" x14ac:dyDescent="0.2">
      <c r="A3" s="436"/>
      <c r="B3" s="1504" t="s">
        <v>1381</v>
      </c>
      <c r="C3" s="1505"/>
      <c r="D3" s="445"/>
      <c r="E3" s="445"/>
      <c r="F3" s="445"/>
      <c r="G3" s="445"/>
      <c r="H3" s="445"/>
      <c r="I3" s="437"/>
      <c r="J3" s="437"/>
      <c r="K3" s="437"/>
      <c r="L3" s="437"/>
      <c r="M3" s="437"/>
      <c r="N3" s="437"/>
      <c r="O3" s="437"/>
      <c r="P3" s="437"/>
      <c r="Q3" s="437"/>
      <c r="R3" s="437"/>
      <c r="S3" s="452"/>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37"/>
      <c r="BA3" s="437"/>
      <c r="BB3" s="433"/>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row>
    <row r="4" spans="1:100" x14ac:dyDescent="0.2">
      <c r="A4" s="436"/>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3"/>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row>
    <row r="5" spans="1:100" ht="27.75" customHeight="1" x14ac:dyDescent="0.2">
      <c r="A5" s="436"/>
      <c r="B5" s="1506" t="s">
        <v>1382</v>
      </c>
      <c r="C5" s="1507"/>
      <c r="D5" s="1507"/>
      <c r="E5" s="1507"/>
      <c r="F5" s="1507"/>
      <c r="G5" s="1507"/>
      <c r="H5" s="1508"/>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3"/>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row>
    <row r="6" spans="1:100" ht="27.75" customHeight="1" thickBot="1" x14ac:dyDescent="0.25">
      <c r="A6" s="436"/>
      <c r="B6" s="1509"/>
      <c r="C6" s="1510"/>
      <c r="D6" s="1510"/>
      <c r="E6" s="1510"/>
      <c r="F6" s="1510"/>
      <c r="G6" s="1510"/>
      <c r="H6" s="1511"/>
      <c r="I6" s="437"/>
      <c r="J6" s="437"/>
      <c r="K6" s="453"/>
      <c r="L6" s="453"/>
      <c r="M6" s="453"/>
      <c r="N6" s="453"/>
      <c r="O6" s="453"/>
      <c r="P6" s="453"/>
      <c r="Q6" s="453"/>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3"/>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267"/>
      <c r="CK6" s="267"/>
      <c r="CL6" s="267"/>
      <c r="CM6" s="267"/>
      <c r="CN6" s="267"/>
      <c r="CO6" s="267"/>
      <c r="CP6" s="267"/>
      <c r="CQ6" s="267"/>
      <c r="CR6" s="267"/>
      <c r="CS6" s="267"/>
      <c r="CT6" s="267"/>
    </row>
    <row r="7" spans="1:100" ht="27.75" customHeight="1" thickBot="1" x14ac:dyDescent="0.25">
      <c r="A7" s="436"/>
      <c r="B7" s="1509"/>
      <c r="C7" s="1510"/>
      <c r="D7" s="1510"/>
      <c r="E7" s="1510"/>
      <c r="F7" s="1510"/>
      <c r="G7" s="1510"/>
      <c r="H7" s="1511"/>
      <c r="I7" s="437"/>
      <c r="J7" s="437"/>
      <c r="K7" s="1499" t="s">
        <v>1659</v>
      </c>
      <c r="L7" s="1500"/>
      <c r="M7" s="1500"/>
      <c r="N7" s="1500"/>
      <c r="O7" s="1500"/>
      <c r="P7" s="1500"/>
      <c r="Q7" s="1500"/>
      <c r="R7" s="1500"/>
      <c r="S7" s="1501"/>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3"/>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row>
    <row r="8" spans="1:100" ht="27.75" customHeight="1" x14ac:dyDescent="0.2">
      <c r="A8" s="436"/>
      <c r="B8" s="1509"/>
      <c r="C8" s="1510"/>
      <c r="D8" s="1510"/>
      <c r="E8" s="1510"/>
      <c r="F8" s="1510"/>
      <c r="G8" s="1510"/>
      <c r="H8" s="1511"/>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3"/>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row>
    <row r="9" spans="1:100" ht="27.75" customHeight="1" x14ac:dyDescent="0.2">
      <c r="A9" s="436"/>
      <c r="B9" s="1512"/>
      <c r="C9" s="1513"/>
      <c r="D9" s="1513"/>
      <c r="E9" s="1513"/>
      <c r="F9" s="1513"/>
      <c r="G9" s="1513"/>
      <c r="H9" s="1514"/>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3"/>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267"/>
      <c r="CK9" s="267"/>
      <c r="CL9" s="267"/>
      <c r="CM9" s="267"/>
      <c r="CN9" s="267"/>
      <c r="CO9" s="267"/>
      <c r="CP9" s="267"/>
      <c r="CQ9" s="267"/>
      <c r="CR9" s="267"/>
      <c r="CS9" s="267"/>
      <c r="CT9" s="267"/>
    </row>
    <row r="10" spans="1:100" ht="18" customHeight="1" x14ac:dyDescent="0.2">
      <c r="A10" s="436"/>
      <c r="B10" s="448"/>
      <c r="C10" s="448"/>
      <c r="D10" s="448"/>
      <c r="E10" s="448"/>
      <c r="F10" s="449"/>
      <c r="G10" s="449"/>
      <c r="H10" s="449"/>
      <c r="I10" s="437"/>
      <c r="J10" s="437"/>
      <c r="K10" s="437"/>
      <c r="L10" s="437"/>
      <c r="M10" s="437"/>
      <c r="N10" s="437"/>
      <c r="O10" s="437"/>
      <c r="P10" s="437"/>
      <c r="Q10" s="437"/>
      <c r="R10" s="437"/>
      <c r="S10" s="437"/>
      <c r="T10" s="437"/>
      <c r="U10" s="437"/>
      <c r="V10" s="437"/>
      <c r="W10" s="437"/>
      <c r="X10" s="437"/>
      <c r="Y10" s="437"/>
      <c r="Z10" s="437"/>
      <c r="AA10" s="437"/>
      <c r="AB10" s="437"/>
      <c r="AC10" s="437"/>
      <c r="AD10" s="437"/>
      <c r="AE10" s="437"/>
      <c r="AF10" s="437"/>
      <c r="AG10" s="437"/>
      <c r="AH10" s="437"/>
      <c r="AI10" s="437"/>
      <c r="AJ10" s="437"/>
      <c r="AK10" s="437"/>
      <c r="AL10" s="437"/>
      <c r="AM10" s="437"/>
      <c r="AN10" s="437"/>
      <c r="AO10" s="437"/>
      <c r="AP10" s="437"/>
      <c r="AQ10" s="437"/>
      <c r="AR10" s="437"/>
      <c r="AS10" s="437"/>
      <c r="AT10" s="437"/>
      <c r="AU10" s="437"/>
      <c r="AV10" s="437"/>
      <c r="AW10" s="437"/>
      <c r="AX10" s="437"/>
      <c r="AY10" s="437"/>
      <c r="AZ10" s="437"/>
      <c r="BA10" s="437"/>
      <c r="BB10" s="433"/>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row>
    <row r="11" spans="1:100" ht="25.5" customHeight="1" x14ac:dyDescent="0.2">
      <c r="A11" s="436"/>
      <c r="B11" s="437"/>
      <c r="C11" s="350" t="s">
        <v>1383</v>
      </c>
      <c r="D11" s="350" t="s">
        <v>1383</v>
      </c>
      <c r="E11" s="350" t="s">
        <v>1383</v>
      </c>
      <c r="F11" s="350" t="s">
        <v>1383</v>
      </c>
      <c r="G11" s="350" t="s">
        <v>1384</v>
      </c>
      <c r="H11" s="350" t="s">
        <v>1385</v>
      </c>
      <c r="I11" s="449"/>
      <c r="J11" s="437"/>
      <c r="K11" s="437"/>
      <c r="L11" s="437"/>
      <c r="M11" s="437"/>
      <c r="N11" s="437"/>
      <c r="O11" s="437"/>
      <c r="P11" s="437"/>
      <c r="Q11" s="437"/>
      <c r="R11" s="437"/>
      <c r="S11" s="437"/>
      <c r="T11" s="437"/>
      <c r="U11" s="437"/>
      <c r="V11" s="437"/>
      <c r="W11" s="437"/>
      <c r="X11" s="437"/>
      <c r="Y11" s="437"/>
      <c r="Z11" s="437"/>
      <c r="AA11" s="437"/>
      <c r="AB11" s="437"/>
      <c r="AC11" s="437"/>
      <c r="AD11" s="437"/>
      <c r="AE11" s="437"/>
      <c r="AF11" s="437"/>
      <c r="AG11" s="437"/>
      <c r="AH11" s="437"/>
      <c r="AI11" s="437"/>
      <c r="AJ11" s="437"/>
      <c r="AK11" s="437"/>
      <c r="AL11" s="437"/>
      <c r="AM11" s="437"/>
      <c r="AN11" s="437"/>
      <c r="AO11" s="437"/>
      <c r="AP11" s="437"/>
      <c r="AQ11" s="437"/>
      <c r="AR11" s="437"/>
      <c r="AS11" s="437"/>
      <c r="AT11" s="437"/>
      <c r="AU11" s="437"/>
      <c r="AV11" s="437"/>
      <c r="AW11" s="437"/>
      <c r="AX11" s="437"/>
      <c r="AY11" s="437"/>
      <c r="AZ11" s="437"/>
      <c r="BA11" s="437"/>
      <c r="BB11" s="437"/>
      <c r="BC11" s="433"/>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row>
    <row r="12" spans="1:100" s="267" customFormat="1" x14ac:dyDescent="0.2">
      <c r="A12" s="436"/>
      <c r="B12" s="351" t="s">
        <v>114</v>
      </c>
      <c r="C12" s="352" t="str">
        <f>IF(SUM(TotalBovins)=0,"N.C.",ROUNDUP(((SUM(TotalVeaux)*HerbeMangéeParVeauParJour/10000+(TotalBovinsMâles_12_18mois+TotalBovinsMâles_18_24mois+TotalBovinsMâles_24_36mois)*HerbeMangéeParTaurillonParJour/10000+(TotalBovinsFemelles_12_18mois+TotalBovinsFemelles_18_24mois+TotalBovinsFemelles_24_36mois)*HerbeMangéeParGenisseParJour/10000+TotalTaureaux*HerbeMangéeParTaureauParJour/10000+TotalVaches*HerbeMangéeParVacheParJour/10000)*H12)/(H12*4/100+1),0))</f>
        <v>N.C.</v>
      </c>
      <c r="D12" s="352" t="str">
        <f>IF(SUM(TotalBovins)=0,"N.C.",ROUNDUP(((SUM(TotalVeaux)*HerbeMangéeParVeauParJour/10000+(TotalBovinsMâles_12_18mois+TotalBovinsMâles_18_24mois+TotalBovinsMâles_24_36mois)*HerbeMangéeParTaurillonParJour/10000+(TotalBovinsFemelles_12_18mois+TotalBovinsFemelles_18_24mois+TotalBovinsFemelles_24_36mois)*HerbeMangéeParGenisseParJour/10000+TotalTaureaux*HerbeMangéeParTaureauParJour/10000+TotalVaches*HerbeMangéeParVacheParJour/10000)*H12)/(H12*4.5/100+1),0))</f>
        <v>N.C.</v>
      </c>
      <c r="E12" s="352" t="str">
        <f>IF(SUM(TotalBovins)=0,"N.C.",ROUNDUP(((SUM(TotalVeaux)*HerbeMangéeParVeauParJour/10000+(TotalBovinsMâles_12_18mois+TotalBovinsMâles_18_24mois+TotalBovinsMâles_24_36mois)*HerbeMangéeParTaurillonParJour/10000+(TotalBovinsFemelles_12_18mois+TotalBovinsFemelles_18_24mois+TotalBovinsFemelles_24_36mois)*HerbeMangéeParGenisseParJour/10000+TotalTaureaux*HerbeMangéeParTaureauParJour/10000+TotalVaches*HerbeMangéeParVacheParJour/10000)*H12)/((H12*5/100)+1),0))</f>
        <v>N.C.</v>
      </c>
      <c r="F12" s="352" t="str">
        <f>IF(SUM(TotalBovins)=0,"N.C.",ROUNDUP(((SUM(TotalVeaux)*HerbeMangéeParVeauParJour/10000+(TotalBovinsMâles_12_18mois+TotalBovinsMâles_18_24mois+TotalBovinsMâles_24_36mois)*HerbeMangéeParTaurillonParJour/10000+(TotalBovinsFemelles_12_18mois+TotalBovinsFemelles_18_24mois+TotalBovinsFemelles_24_36mois)*HerbeMangéeParGenisseParJour/10000+TotalTaureaux*HerbeMangéeParTaureauParJour/10000+TotalVaches*HerbeMangéeParVacheParJour/10000)*H12)/((H12*5.5/100)+1),0))</f>
        <v>N.C.</v>
      </c>
      <c r="G12" s="352" t="str">
        <f t="shared" ref="G12:G19" si="0">IF(C12="N.C.","N.C.",SUMIF($D$24:$BA$24,B12,$D$133:$BA$133))</f>
        <v>N.C.</v>
      </c>
      <c r="H12" s="353"/>
      <c r="I12" s="1496" t="s">
        <v>1388</v>
      </c>
      <c r="J12" s="1496"/>
      <c r="K12" s="1496"/>
      <c r="L12" s="454" t="str">
        <f>IF(SUM(TotalBovins)=0,"N.C.",SUM(AnimauxAuPré[bovins]))</f>
        <v>N.C.</v>
      </c>
      <c r="M12" s="437"/>
      <c r="N12" s="437"/>
      <c r="O12" s="437"/>
      <c r="P12" s="437"/>
      <c r="Q12" s="437"/>
      <c r="R12" s="437"/>
      <c r="S12" s="437"/>
      <c r="T12" s="437"/>
      <c r="U12" s="437"/>
      <c r="V12" s="437"/>
      <c r="W12" s="437"/>
      <c r="X12" s="437"/>
      <c r="Y12" s="437"/>
      <c r="Z12" s="437"/>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3"/>
    </row>
    <row r="13" spans="1:100" x14ac:dyDescent="0.2">
      <c r="A13" s="436"/>
      <c r="B13" s="351" t="s">
        <v>116</v>
      </c>
      <c r="C13" s="352" t="str">
        <f>IF(SUM(TotalOvins)=0,"N.C.",ROUNDUP(((SUM(TotalAgneaux)*HerbeMangéeParAgneauParJour/10000+SUM(TotalJeunesOvins)*HerbeMangéeParJeuneBélierEtJeuneBrebisParJour/10000+TotalBéliers*HerbeMangéeParBélierParJour/10000+TotalBrebis*HerbeMangéeParBrebisParJour/10000)*H13)/((H13*4/100)+1),0))</f>
        <v>N.C.</v>
      </c>
      <c r="D13" s="352" t="str">
        <f>IF(SUM(TotalOvins)=0,"N.C.",ROUNDUP(((SUM(TotalAgneaux)*HerbeMangéeParAgneauParJour/10000+SUM(TotalJeunesOvins)*HerbeMangéeParJeuneBélierEtJeuneBrebisParJour/10000+TotalBéliers*HerbeMangéeParBélierParJour/10000+TotalBrebis*HerbeMangéeParBrebisParJour/10000)*H13)/((H13*4.5/100)+1),0))</f>
        <v>N.C.</v>
      </c>
      <c r="E13" s="352" t="str">
        <f>IF(SUM(TotalOvins)=0,"N.C.",ROUNDUP(((SUM(TotalAgneaux)*HerbeMangéeParAgneauParJour/10000+SUM(TotalJeunesOvins)*HerbeMangéeParJeuneBélierEtJeuneBrebisParJour/10000+TotalBéliers*HerbeMangéeParBélierParJour/10000+TotalBrebis*HerbeMangéeParBrebisParJour/10000)*H13)/((H13*5/100)+1),0))</f>
        <v>N.C.</v>
      </c>
      <c r="F13" s="352" t="str">
        <f>IF(SUM(TotalOvins)=0,"N.C.",ROUNDUP(((SUM(TotalAgneaux)*HerbeMangéeParAgneauParJour/10000+SUM(TotalJeunesOvins)*HerbeMangéeParJeuneBélierEtJeuneBrebisParJour/10000+TotalBéliers*HerbeMangéeParBélierParJour/10000+TotalBrebis*HerbeMangéeParBrebisParJour/10000)*H13)/((H13*5.5/100)+1),0))</f>
        <v>N.C.</v>
      </c>
      <c r="G13" s="352" t="str">
        <f t="shared" si="0"/>
        <v>N.C.</v>
      </c>
      <c r="H13" s="354"/>
      <c r="I13" s="1496" t="s">
        <v>1389</v>
      </c>
      <c r="J13" s="1496"/>
      <c r="K13" s="1496"/>
      <c r="L13" s="454" t="str">
        <f>IF(SUM(TotalOvins)=0,"N.C.",SUM(AnimauxAuPré[ovins]))</f>
        <v>N.C.</v>
      </c>
      <c r="M13" s="437"/>
      <c r="N13" s="437"/>
      <c r="O13" s="437"/>
      <c r="P13" s="437"/>
      <c r="Q13" s="437"/>
      <c r="R13" s="437"/>
      <c r="S13" s="437"/>
      <c r="T13" s="437"/>
      <c r="U13" s="437"/>
      <c r="V13" s="437"/>
      <c r="W13" s="437"/>
      <c r="X13" s="437"/>
      <c r="Y13" s="437"/>
      <c r="Z13" s="437"/>
      <c r="AA13" s="437"/>
      <c r="AB13" s="437"/>
      <c r="AC13" s="437"/>
      <c r="AD13" s="437"/>
      <c r="AE13" s="437"/>
      <c r="AF13" s="437"/>
      <c r="AG13" s="437"/>
      <c r="AH13" s="437"/>
      <c r="AI13" s="437"/>
      <c r="AJ13" s="437"/>
      <c r="AK13" s="437"/>
      <c r="AL13" s="437"/>
      <c r="AM13" s="437"/>
      <c r="AN13" s="437"/>
      <c r="AO13" s="437"/>
      <c r="AP13" s="437"/>
      <c r="AQ13" s="437"/>
      <c r="AR13" s="437"/>
      <c r="AS13" s="437"/>
      <c r="AT13" s="437"/>
      <c r="AU13" s="437"/>
      <c r="AV13" s="437"/>
      <c r="AW13" s="437"/>
      <c r="AX13" s="437"/>
      <c r="AY13" s="437"/>
      <c r="AZ13" s="437"/>
      <c r="BA13" s="437"/>
      <c r="BB13" s="437"/>
      <c r="BC13" s="433"/>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row>
    <row r="14" spans="1:100" ht="12.75" customHeight="1" x14ac:dyDescent="0.2">
      <c r="A14" s="436"/>
      <c r="B14" s="351" t="s">
        <v>115</v>
      </c>
      <c r="C14" s="352" t="str">
        <f>IF(SUM(TotalCaprins)=0,"N.C.",ROUNDUP(((SUM(TotalChevreaux)*HerbeMangéeParChevreauParJour/10000+SUM(TotalJeunesCaprins)*HerbeMangéeParJeuneBoucEtJeuneChèvreParJour/10000+TotalBoucs*HerbeMangéeParBoucParJour/10000+TotalChèvres*HerbeMangéeParChèvreParJour/10000)*H14)/((H14*4/100)+1),0))</f>
        <v>N.C.</v>
      </c>
      <c r="D14" s="352" t="str">
        <f>IF(SUM(TotalCaprins)=0,"N.C.",ROUNDUP(((SUM(TotalChevreaux)*HerbeMangéeParChevreauParJour/10000+SUM(TotalJeunesCaprins)*HerbeMangéeParJeuneBoucEtJeuneChèvreParJour/10000+TotalBoucs*HerbeMangéeParBoucParJour/10000+TotalChèvres*HerbeMangéeParChèvreParJour/10000)*H14)/((H14*4.5/100)+1),0))</f>
        <v>N.C.</v>
      </c>
      <c r="E14" s="352" t="str">
        <f>IF(SUM(TotalCaprins)=0,"N.C.",ROUNDUP(((SUM(TotalChevreaux)*HerbeMangéeParChevreauParJour/10000+SUM(TotalJeunesCaprins)*HerbeMangéeParJeuneBoucEtJeuneChèvreParJour/10000+TotalBoucs*HerbeMangéeParBoucParJour/10000+TotalChèvres*HerbeMangéeParChèvreParJour/10000)*H14)/((H14*5/100)+1),0))</f>
        <v>N.C.</v>
      </c>
      <c r="F14" s="352" t="str">
        <f>IF(SUM(TotalCaprins)=0,"N.C.",ROUNDUP(((SUM(TotalChevreaux)*HerbeMangéeParChevreauParJour/10000+SUM(TotalJeunesCaprins)*HerbeMangéeParJeuneBoucEtJeuneChèvreParJour/10000+TotalBoucs*HerbeMangéeParBoucParJour/10000+TotalChèvres*HerbeMangéeParChèvreParJour/10000)*H14)/((H14*5.5/100)+1),0))</f>
        <v>N.C.</v>
      </c>
      <c r="G14" s="352" t="str">
        <f t="shared" si="0"/>
        <v>N.C.</v>
      </c>
      <c r="H14" s="354"/>
      <c r="I14" s="1496" t="s">
        <v>1390</v>
      </c>
      <c r="J14" s="1496"/>
      <c r="K14" s="1496"/>
      <c r="L14" s="454" t="str">
        <f>IF(SUM(TotalCaprins)=0,"N.C.",SUM(AnimauxAuPré[caprins]))</f>
        <v>N.C.</v>
      </c>
      <c r="M14" s="437"/>
      <c r="N14" s="437"/>
      <c r="O14" s="437"/>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3"/>
      <c r="BD14" s="267"/>
      <c r="BE14" s="267"/>
      <c r="BF14" s="267"/>
      <c r="BG14" s="267"/>
      <c r="BH14" s="267"/>
      <c r="BI14" s="267"/>
      <c r="BJ14" s="267"/>
      <c r="BK14" s="267"/>
      <c r="BL14" s="267"/>
      <c r="BM14" s="267"/>
      <c r="BN14" s="267"/>
      <c r="BO14" s="267"/>
      <c r="BP14" s="267"/>
      <c r="BQ14" s="267"/>
      <c r="BR14" s="267"/>
      <c r="BS14" s="267"/>
      <c r="BT14" s="267"/>
      <c r="BU14" s="267"/>
      <c r="BV14" s="267"/>
      <c r="BW14" s="267"/>
      <c r="BX14" s="267"/>
      <c r="BY14" s="267"/>
      <c r="BZ14" s="267"/>
      <c r="CA14" s="267"/>
      <c r="CB14" s="267"/>
      <c r="CC14" s="267"/>
      <c r="CD14" s="267"/>
      <c r="CE14" s="267"/>
      <c r="CF14" s="267"/>
      <c r="CG14" s="267"/>
      <c r="CH14" s="267"/>
      <c r="CI14" s="267"/>
      <c r="CJ14" s="267"/>
      <c r="CK14" s="267"/>
      <c r="CL14" s="267"/>
      <c r="CM14" s="267"/>
      <c r="CN14" s="267"/>
      <c r="CO14" s="267"/>
      <c r="CP14" s="267"/>
      <c r="CQ14" s="267"/>
      <c r="CR14" s="267"/>
      <c r="CS14" s="267"/>
      <c r="CT14" s="267"/>
      <c r="CU14" s="267"/>
      <c r="CV14" s="267"/>
    </row>
    <row r="15" spans="1:100" x14ac:dyDescent="0.2">
      <c r="A15" s="436"/>
      <c r="B15" s="351" t="s">
        <v>580</v>
      </c>
      <c r="C15" s="352" t="str">
        <f>IF(SUM(TotalBisons)=0,"N.C.",SUM(TotalBisons))</f>
        <v>N.C.</v>
      </c>
      <c r="D15" s="352" t="str">
        <f>IF(SUM(TotalBisons)=0,"N.C.",SUM(TotalBisons))</f>
        <v>N.C.</v>
      </c>
      <c r="E15" s="352" t="str">
        <f>IF(SUM(TotalBisons)=0,"N.C.",SUM(TotalBisons))</f>
        <v>N.C.</v>
      </c>
      <c r="F15" s="352" t="str">
        <f>IF(SUM(TotalBisons)=0,"N.C.",SUM(TotalBisons))</f>
        <v>N.C.</v>
      </c>
      <c r="G15" s="352" t="str">
        <f t="shared" si="0"/>
        <v>N.C.</v>
      </c>
      <c r="H15" s="355">
        <v>84</v>
      </c>
      <c r="I15" s="1496" t="s">
        <v>1387</v>
      </c>
      <c r="J15" s="1496"/>
      <c r="K15" s="1496"/>
      <c r="L15" s="454" t="str">
        <f>IF(SUM(TotalBisons)=0,"N.C.",SUM(AnimauxAuPré[bisons]))</f>
        <v>N.C.</v>
      </c>
      <c r="M15" s="437"/>
      <c r="N15" s="437"/>
      <c r="O15" s="437"/>
      <c r="P15" s="437"/>
      <c r="Q15" s="437"/>
      <c r="R15" s="437"/>
      <c r="S15" s="437"/>
      <c r="T15" s="437"/>
      <c r="U15" s="437"/>
      <c r="V15" s="437"/>
      <c r="W15" s="437"/>
      <c r="X15" s="437"/>
      <c r="Y15" s="437"/>
      <c r="Z15" s="437"/>
      <c r="AA15" s="437"/>
      <c r="AB15" s="437"/>
      <c r="AC15" s="437"/>
      <c r="AD15" s="437"/>
      <c r="AE15" s="437"/>
      <c r="AF15" s="437"/>
      <c r="AG15" s="437"/>
      <c r="AH15" s="437"/>
      <c r="AI15" s="437"/>
      <c r="AJ15" s="437"/>
      <c r="AK15" s="437"/>
      <c r="AL15" s="437"/>
      <c r="AM15" s="437"/>
      <c r="AN15" s="437"/>
      <c r="AO15" s="437"/>
      <c r="AP15" s="437"/>
      <c r="AQ15" s="437"/>
      <c r="AR15" s="437"/>
      <c r="AS15" s="437"/>
      <c r="AT15" s="437"/>
      <c r="AU15" s="437"/>
      <c r="AV15" s="437"/>
      <c r="AW15" s="437"/>
      <c r="AX15" s="437"/>
      <c r="AY15" s="437"/>
      <c r="AZ15" s="437"/>
      <c r="BA15" s="437"/>
      <c r="BB15" s="437"/>
      <c r="BC15" s="433"/>
      <c r="BD15" s="267"/>
      <c r="BE15" s="267"/>
      <c r="BF15" s="267"/>
      <c r="BG15" s="267"/>
      <c r="BH15" s="267"/>
      <c r="BI15" s="267"/>
      <c r="BJ15" s="267"/>
      <c r="BK15" s="267"/>
      <c r="BL15" s="267"/>
      <c r="BM15" s="267"/>
      <c r="BN15" s="267"/>
      <c r="BO15" s="267"/>
      <c r="BP15" s="267"/>
      <c r="BQ15" s="267"/>
      <c r="BR15" s="267"/>
      <c r="BS15" s="267"/>
      <c r="BT15" s="267"/>
      <c r="BU15" s="267"/>
      <c r="BV15" s="267"/>
      <c r="BW15" s="267"/>
      <c r="BX15" s="267"/>
      <c r="BY15" s="267"/>
      <c r="BZ15" s="267"/>
      <c r="CA15" s="267"/>
      <c r="CB15" s="267"/>
      <c r="CC15" s="267"/>
      <c r="CD15" s="267"/>
      <c r="CE15" s="267"/>
      <c r="CF15" s="267"/>
      <c r="CG15" s="267"/>
      <c r="CH15" s="267"/>
      <c r="CI15" s="267"/>
      <c r="CJ15" s="267"/>
      <c r="CK15" s="267"/>
      <c r="CL15" s="267"/>
      <c r="CM15" s="267"/>
      <c r="CN15" s="267"/>
      <c r="CO15" s="267"/>
      <c r="CP15" s="267"/>
      <c r="CQ15" s="267"/>
      <c r="CR15" s="267"/>
      <c r="CS15" s="267"/>
      <c r="CT15" s="267"/>
      <c r="CU15" s="267"/>
      <c r="CV15" s="267"/>
    </row>
    <row r="16" spans="1:100" x14ac:dyDescent="0.2">
      <c r="A16" s="436"/>
      <c r="B16" s="351" t="s">
        <v>656</v>
      </c>
      <c r="C16" s="352" t="str">
        <f>IF(SUM(TotalDaims)=0,"N.C.",SUM(TotalFaons)*HerbeMangéeParFaonParJour+SUM(TotalJeunesDaims)*HerbeMangéeParJeuneDaimParJour+SUM(TotalDaimsAdultes)*HerbeMangéeParDaimParJour)</f>
        <v>N.C.</v>
      </c>
      <c r="D16" s="352" t="str">
        <f>IF(SUM(TotalDaims)=0,"N.C.",SUM(TotalFaons)*HerbeMangéeParFaonParJour+SUM(TotalJeunesDaims)*HerbeMangéeParJeuneDaimParJour+SUM(TotalDaimsAdultes)*HerbeMangéeParDaimParJour)</f>
        <v>N.C.</v>
      </c>
      <c r="E16" s="352" t="str">
        <f>IF(SUM(TotalDaims)=0,"N.C.",SUM(TotalFaons)*HerbeMangéeParFaonParJour+SUM(TotalJeunesDaims)*HerbeMangéeParJeuneDaimParJour+SUM(TotalDaimsAdultes)*HerbeMangéeParDaimParJour)</f>
        <v>N.C.</v>
      </c>
      <c r="F16" s="352" t="str">
        <f>IF(SUM(TotalDaims)=0,"N.C.",SUM(TotalFaons)*HerbeMangéeParFaonParJour+SUM(TotalJeunesDaims)*HerbeMangéeParJeuneDaimParJour+SUM(TotalDaimsAdultes)*HerbeMangéeParDaimParJour)</f>
        <v>N.C.</v>
      </c>
      <c r="G16" s="352" t="str">
        <f t="shared" si="0"/>
        <v>N.C.</v>
      </c>
      <c r="H16" s="355">
        <v>84</v>
      </c>
      <c r="I16" s="1496" t="s">
        <v>1386</v>
      </c>
      <c r="J16" s="1496"/>
      <c r="K16" s="1496"/>
      <c r="L16" s="454" t="str">
        <f>IF(SUM(TotalDaims)=0,"N.C.",SUM(AnimauxAuPré[daims]))</f>
        <v>N.C.</v>
      </c>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3"/>
      <c r="BD16" s="267"/>
      <c r="BE16" s="267"/>
      <c r="BF16" s="267"/>
      <c r="BG16" s="267"/>
      <c r="BH16" s="267"/>
      <c r="BI16" s="267"/>
      <c r="BJ16" s="267"/>
      <c r="BK16" s="267"/>
      <c r="BL16" s="267"/>
      <c r="BM16" s="267"/>
      <c r="BN16" s="267"/>
      <c r="BO16" s="267"/>
      <c r="BP16" s="267"/>
      <c r="BQ16" s="267"/>
      <c r="BR16" s="267"/>
      <c r="BS16" s="267"/>
      <c r="BT16" s="267"/>
      <c r="BU16" s="267"/>
      <c r="BV16" s="267"/>
      <c r="BW16" s="267"/>
      <c r="BX16" s="267"/>
      <c r="BY16" s="267"/>
      <c r="BZ16" s="267"/>
      <c r="CA16" s="267"/>
      <c r="CB16" s="267"/>
      <c r="CC16" s="267"/>
      <c r="CD16" s="267"/>
      <c r="CE16" s="267"/>
      <c r="CF16" s="267"/>
      <c r="CG16" s="267"/>
      <c r="CH16" s="267"/>
      <c r="CI16" s="267"/>
      <c r="CJ16" s="267"/>
      <c r="CK16" s="267"/>
      <c r="CL16" s="267"/>
      <c r="CM16" s="267"/>
      <c r="CN16" s="267"/>
      <c r="CO16" s="267"/>
      <c r="CP16" s="267"/>
      <c r="CQ16" s="267"/>
      <c r="CR16" s="267"/>
      <c r="CS16" s="267"/>
      <c r="CT16" s="267"/>
      <c r="CU16" s="267"/>
      <c r="CV16" s="267"/>
    </row>
    <row r="17" spans="1:100" x14ac:dyDescent="0.2">
      <c r="A17" s="436"/>
      <c r="B17" s="356" t="s">
        <v>1391</v>
      </c>
      <c r="C17" s="352" t="str">
        <f>IF(SUM(TotalChevauxSelle)=0,"N.C.",ROUNDUP(((SUM(TotalPoulainsSelle)*HerbeMangéeParPoulainSelleParJour/10000+SUM(TotalJeunesChevauxSelle)*HerbeMangéeParJeunesChevauxSelleParJour/10000+SUM(TotalChevauxSelleAdultes)*HerbeMangéeParChevauxSelleAdultesParJour/10000)*H17)/((H17*4/100)+1),0))</f>
        <v>N.C.</v>
      </c>
      <c r="D17" s="352" t="str">
        <f>IF(SUM(TotalChevauxSelle)=0,"N.C.",ROUNDUP(((SUM(TotalPoulainsSelle)*HerbeMangéeParPoulainSelleParJour/10000+SUM(TotalJeunesChevauxSelle)*HerbeMangéeParJeunesChevauxSelleParJour/10000+SUM(TotalChevauxSelleAdultes)*HerbeMangéeParChevauxSelleAdultesParJour/10000)*H17)/((H17*4.5/100)+1),0))</f>
        <v>N.C.</v>
      </c>
      <c r="E17" s="352" t="str">
        <f>IF(SUM(TotalChevauxSelle)=0,"N.C.",ROUNDUP(((SUM(TotalPoulainsSelle)*HerbeMangéeParPoulainSelleParJour/10000+SUM(TotalJeunesChevauxSelle)*HerbeMangéeParJeunesChevauxSelleParJour/10000+SUM(TotalChevauxSelleAdultes)*HerbeMangéeParChevauxSelleAdultesParJour/10000)*H17)/((H17*5/100)+1),0))</f>
        <v>N.C.</v>
      </c>
      <c r="F17" s="352" t="str">
        <f>IF(SUM(TotalChevauxSelle)=0,"N.C.",ROUNDUP(((SUM(TotalPoulainsSelle)*HerbeMangéeParPoulainSelleParJour/10000+SUM(TotalJeunesChevauxSelle)*HerbeMangéeParJeunesChevauxSelleParJour/10000+SUM(TotalChevauxSelleAdultes)*HerbeMangéeParChevauxSelleAdultesParJour/10000)*H17)/((H17*5.5/100)+1),0))</f>
        <v>N.C.</v>
      </c>
      <c r="G17" s="352" t="str">
        <f t="shared" si="0"/>
        <v>N.C.</v>
      </c>
      <c r="H17" s="354"/>
      <c r="I17" s="1496" t="s">
        <v>1392</v>
      </c>
      <c r="J17" s="1496"/>
      <c r="K17" s="1496"/>
      <c r="L17" s="454" t="str">
        <f>IF(SUM(TotalChevauxSelle)=0,"N.C.",SUM(AnimauxAuPré[chevaux de selle]))</f>
        <v>N.C.</v>
      </c>
      <c r="M17" s="437"/>
      <c r="N17" s="437"/>
      <c r="O17" s="437"/>
      <c r="P17" s="437"/>
      <c r="Q17" s="437"/>
      <c r="R17" s="437"/>
      <c r="S17" s="437"/>
      <c r="T17" s="437"/>
      <c r="U17" s="437"/>
      <c r="V17" s="437"/>
      <c r="W17" s="437"/>
      <c r="X17" s="437"/>
      <c r="Y17" s="437"/>
      <c r="Z17" s="437"/>
      <c r="AA17" s="437"/>
      <c r="AB17" s="437"/>
      <c r="AC17" s="437"/>
      <c r="AD17" s="437"/>
      <c r="AE17" s="437"/>
      <c r="AF17" s="437"/>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3"/>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row>
    <row r="18" spans="1:100" x14ac:dyDescent="0.2">
      <c r="A18" s="436"/>
      <c r="B18" s="356" t="s">
        <v>1393</v>
      </c>
      <c r="C18" s="352" t="str">
        <f>IF(SUM(TotalChevauxTrait)=0,"N.C.",ROUNDUP(((SUM(TotalPoulainsTrait)*HerbeMangéeParPoulainTraitParJour/10000+SUM(TotalJeunesChevauxTrait)*HerbeMangéeParJeuneChevauxTraitParJour/10000+SUM(TotalChevauxTraitAdultes)*HerbeMangéeParChevauxTraitAdultesParJour/10000)*H18)/((H18*4/100)+1),0))</f>
        <v>N.C.</v>
      </c>
      <c r="D18" s="352" t="str">
        <f>IF(SUM(TotalChevauxTrait)=0,"N.C.",ROUNDUP(((SUM(TotalPoulainsTrait)*HerbeMangéeParPoulainTraitParJour/10000+SUM(TotalJeunesChevauxTrait)*HerbeMangéeParJeuneChevauxTraitParJour/10000+SUM(TotalChevauxTraitAdultes)*HerbeMangéeParChevauxTraitAdultesParJour/10000)*H18)/((H18*4.5/100)+1),0))</f>
        <v>N.C.</v>
      </c>
      <c r="E18" s="352" t="str">
        <f>IF(SUM(TotalChevauxTrait)=0,"N.C.",ROUNDUP(((SUM(TotalPoulainsTrait)*HerbeMangéeParPoulainTraitParJour/10000+SUM(TotalJeunesChevauxTrait)*HerbeMangéeParJeuneChevauxTraitParJour/10000+SUM(TotalChevauxTraitAdultes)*HerbeMangéeParChevauxTraitAdultesParJour/10000)*H18)/((H18*5/100)+1),0))</f>
        <v>N.C.</v>
      </c>
      <c r="F18" s="352" t="str">
        <f>IF(SUM(TotalChevauxTrait)=0,"N.C.",ROUNDUP(((SUM(TotalPoulainsTrait)*HerbeMangéeParPoulainTraitParJour/10000+SUM(TotalJeunesChevauxTrait)*HerbeMangéeParJeuneChevauxTraitParJour/10000+SUM(TotalChevauxTraitAdultes)*HerbeMangéeParChevauxTraitAdultesParJour/10000)*H18)/((H18*5.5/100)+1),0))</f>
        <v>N.C.</v>
      </c>
      <c r="G18" s="352" t="str">
        <f t="shared" si="0"/>
        <v>N.C.</v>
      </c>
      <c r="H18" s="354"/>
      <c r="I18" s="1496" t="s">
        <v>1394</v>
      </c>
      <c r="J18" s="1496"/>
      <c r="K18" s="1496"/>
      <c r="L18" s="454" t="str">
        <f>IF(SUM(TotalChevauxTrait)=0,"N.C.",SUM(AnimauxAuPré[chevaux de trait]))</f>
        <v>N.C.</v>
      </c>
      <c r="M18" s="437"/>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3"/>
      <c r="BD18" s="267"/>
      <c r="BE18" s="267"/>
      <c r="BF18" s="267"/>
      <c r="BG18" s="267"/>
      <c r="BH18" s="267"/>
      <c r="BI18" s="267"/>
      <c r="BJ18" s="267"/>
      <c r="BK18" s="267"/>
      <c r="BL18" s="267"/>
      <c r="BM18" s="267"/>
      <c r="BN18" s="267"/>
      <c r="BO18" s="267"/>
      <c r="BP18" s="267"/>
      <c r="BQ18" s="267"/>
      <c r="BR18" s="267"/>
      <c r="BS18" s="267"/>
      <c r="BT18" s="267"/>
      <c r="BU18" s="267"/>
      <c r="BV18" s="267"/>
      <c r="BW18" s="267"/>
      <c r="BX18" s="267"/>
      <c r="BY18" s="267"/>
      <c r="BZ18" s="267"/>
      <c r="CA18" s="267"/>
      <c r="CB18" s="267"/>
      <c r="CC18" s="267"/>
      <c r="CD18" s="267"/>
      <c r="CE18" s="267"/>
      <c r="CF18" s="267"/>
      <c r="CG18" s="267"/>
      <c r="CH18" s="267"/>
      <c r="CI18" s="267"/>
      <c r="CJ18" s="267"/>
      <c r="CK18" s="267"/>
      <c r="CL18" s="267"/>
      <c r="CM18" s="267"/>
      <c r="CN18" s="267"/>
      <c r="CO18" s="267"/>
      <c r="CP18" s="267"/>
      <c r="CQ18" s="267"/>
      <c r="CR18" s="267"/>
      <c r="CS18" s="267"/>
      <c r="CT18" s="267"/>
      <c r="CU18" s="267"/>
      <c r="CV18" s="267"/>
    </row>
    <row r="19" spans="1:100" x14ac:dyDescent="0.2">
      <c r="A19" s="436"/>
      <c r="B19" s="356" t="s">
        <v>21</v>
      </c>
      <c r="C19" s="352" t="str">
        <f>IF(SUM(TotalPoneys)=0,"N.C.",ROUNDUP(((SUM(TotalPoulainsPoneys)*HerbeMangéeParPoulainPoneyParJour/10000+SUM(TotalJeunesPoneys)*HerbeMangéeParJeunePoneyParJour/10000+SUM(TotalPoneysAdultes)*HerbeMangéeParPoneyAdulteParJour/10000)*H19)/((H19*4/100)+1),0))</f>
        <v>N.C.</v>
      </c>
      <c r="D19" s="352" t="str">
        <f>IF(SUM(TotalPoneys)=0,"N.C.",ROUNDUP(((SUM(TotalPoulainsPoneys)*HerbeMangéeParPoulainPoneyParJour/10000+SUM(TotalJeunesPoneys)*HerbeMangéeParJeunePoneyParJour/10000+SUM(TotalPoneysAdultes)*HerbeMangéeParPoneyAdulteParJour/10000)*H19)/((H19*4.5/100)+1),0))</f>
        <v>N.C.</v>
      </c>
      <c r="E19" s="352" t="str">
        <f>IF(SUM(TotalPoneys)=0,"N.C.",ROUNDUP(((SUM(TotalPoulainsPoneys)*HerbeMangéeParPoulainPoneyParJour/10000+SUM(TotalJeunesPoneys)*HerbeMangéeParJeunePoneyParJour/10000+SUM(TotalPoneysAdultes)*HerbeMangéeParPoneyAdulteParJour/10000)*H19)/((H19*5/100)+1),0))</f>
        <v>N.C.</v>
      </c>
      <c r="F19" s="352" t="str">
        <f>IF(SUM(TotalPoneys)=0,"N.C.",ROUNDUP(((SUM(TotalPoulainsPoneys)*HerbeMangéeParPoulainPoneyParJour/10000+SUM(TotalJeunesPoneys)*HerbeMangéeParJeunePoneyParJour/10000+SUM(TotalPoneysAdultes)*HerbeMangéeParPoneyAdulteParJour/10000)*H19)/((H19*5.5/100)+1),0))</f>
        <v>N.C.</v>
      </c>
      <c r="G19" s="352" t="str">
        <f t="shared" si="0"/>
        <v>N.C.</v>
      </c>
      <c r="H19" s="354"/>
      <c r="I19" s="1496" t="s">
        <v>1395</v>
      </c>
      <c r="J19" s="1496"/>
      <c r="K19" s="1496"/>
      <c r="L19" s="454" t="str">
        <f>IF(SUM(TotalPoneys)=0,"N.C.",SUM(AnimauxAuPré[poneys]))</f>
        <v>N.C.</v>
      </c>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3"/>
      <c r="BD19" s="267"/>
      <c r="BE19" s="267"/>
      <c r="BF19" s="267"/>
      <c r="BG19" s="267"/>
      <c r="BH19" s="267"/>
      <c r="BI19" s="267"/>
      <c r="BJ19" s="267"/>
      <c r="BK19" s="267"/>
      <c r="BL19" s="267"/>
      <c r="BM19" s="267"/>
      <c r="BN19" s="267"/>
      <c r="BO19" s="267"/>
      <c r="BP19" s="267"/>
      <c r="BQ19" s="267"/>
      <c r="BR19" s="267"/>
      <c r="BS19" s="267"/>
      <c r="BT19" s="267"/>
      <c r="BU19" s="267"/>
      <c r="BV19" s="267"/>
      <c r="BW19" s="267"/>
      <c r="BX19" s="267"/>
      <c r="BY19" s="267"/>
      <c r="BZ19" s="267"/>
      <c r="CA19" s="267"/>
      <c r="CB19" s="267"/>
      <c r="CC19" s="267"/>
      <c r="CD19" s="267"/>
      <c r="CE19" s="267"/>
      <c r="CF19" s="267"/>
      <c r="CG19" s="267"/>
      <c r="CH19" s="267"/>
      <c r="CI19" s="267"/>
      <c r="CJ19" s="267"/>
      <c r="CK19" s="267"/>
      <c r="CL19" s="267"/>
      <c r="CM19" s="267"/>
      <c r="CN19" s="267"/>
      <c r="CO19" s="267"/>
      <c r="CP19" s="267"/>
      <c r="CQ19" s="267"/>
      <c r="CR19" s="267"/>
      <c r="CS19" s="267"/>
      <c r="CT19" s="267"/>
      <c r="CU19" s="267"/>
      <c r="CV19" s="267"/>
    </row>
    <row r="20" spans="1:100" x14ac:dyDescent="0.2">
      <c r="A20" s="436"/>
      <c r="B20" s="357" t="s">
        <v>1396</v>
      </c>
      <c r="C20" s="358">
        <f>SUM(C12:C19)</f>
        <v>0</v>
      </c>
      <c r="D20" s="358">
        <f>SUM(D12:D19)</f>
        <v>0</v>
      </c>
      <c r="E20" s="358">
        <f>SUM(E12:E19)</f>
        <v>0</v>
      </c>
      <c r="F20" s="358">
        <f>SUM(F12:F19)</f>
        <v>0</v>
      </c>
      <c r="G20" s="358">
        <f>SUM(G12:G19)</f>
        <v>0</v>
      </c>
      <c r="H20" s="451"/>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3"/>
      <c r="BD20" s="267"/>
      <c r="BE20" s="267"/>
      <c r="BF20" s="267"/>
      <c r="BG20" s="267"/>
      <c r="BH20" s="267"/>
      <c r="BI20" s="267"/>
      <c r="BJ20" s="267"/>
      <c r="BK20" s="267"/>
      <c r="BL20" s="267"/>
      <c r="BM20" s="267"/>
      <c r="BN20" s="267"/>
      <c r="BO20" s="267"/>
      <c r="BP20" s="267"/>
      <c r="BQ20" s="267"/>
      <c r="BR20" s="267"/>
      <c r="BS20" s="267"/>
      <c r="BT20" s="267"/>
      <c r="BU20" s="267"/>
      <c r="BV20" s="267"/>
      <c r="BW20" s="267"/>
      <c r="BX20" s="267"/>
      <c r="BY20" s="267"/>
      <c r="BZ20" s="267"/>
      <c r="CA20" s="267"/>
      <c r="CB20" s="267"/>
      <c r="CC20" s="267"/>
      <c r="CD20" s="267"/>
      <c r="CE20" s="267"/>
      <c r="CF20" s="267"/>
      <c r="CG20" s="267"/>
      <c r="CH20" s="267"/>
      <c r="CI20" s="267"/>
      <c r="CJ20" s="267"/>
      <c r="CK20" s="267"/>
      <c r="CL20" s="267"/>
      <c r="CM20" s="267"/>
      <c r="CN20" s="267"/>
      <c r="CO20" s="267"/>
      <c r="CP20" s="267"/>
      <c r="CQ20" s="267"/>
      <c r="CR20" s="267"/>
      <c r="CS20" s="267"/>
      <c r="CT20" s="267"/>
      <c r="CU20" s="267"/>
      <c r="CV20" s="267"/>
    </row>
    <row r="21" spans="1:100" x14ac:dyDescent="0.2">
      <c r="A21" s="436"/>
      <c r="B21" s="437"/>
      <c r="C21" s="450"/>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34"/>
      <c r="BC21" s="267"/>
      <c r="BD21" s="267"/>
      <c r="BE21" s="267"/>
      <c r="BF21" s="267"/>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267"/>
      <c r="CJ21" s="267"/>
      <c r="CK21" s="267"/>
      <c r="CL21" s="267"/>
      <c r="CM21" s="267"/>
      <c r="CN21" s="267"/>
      <c r="CO21" s="267"/>
      <c r="CP21" s="267"/>
      <c r="CQ21" s="267"/>
      <c r="CR21" s="267"/>
      <c r="CS21" s="267"/>
      <c r="CT21" s="267"/>
    </row>
    <row r="22" spans="1:100" x14ac:dyDescent="0.2">
      <c r="A22" s="436"/>
      <c r="B22" s="437"/>
      <c r="C22" s="356" t="s">
        <v>1397</v>
      </c>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34"/>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7"/>
      <c r="CI22" s="267"/>
      <c r="CJ22" s="267"/>
      <c r="CK22" s="267"/>
      <c r="CL22" s="267"/>
      <c r="CM22" s="267"/>
      <c r="CN22" s="267"/>
      <c r="CO22" s="267"/>
      <c r="CP22" s="267"/>
      <c r="CQ22" s="267"/>
      <c r="CR22" s="267"/>
      <c r="CS22" s="267"/>
      <c r="CT22" s="267"/>
    </row>
    <row r="23" spans="1:100" ht="15.75" x14ac:dyDescent="0.2">
      <c r="A23" s="436"/>
      <c r="B23" s="356" t="s">
        <v>1398</v>
      </c>
      <c r="C23" s="360"/>
      <c r="D23" s="361"/>
      <c r="E23" s="361"/>
      <c r="F23" s="361"/>
      <c r="G23" s="361"/>
      <c r="H23" s="361"/>
      <c r="I23" s="361"/>
      <c r="J23" s="361"/>
      <c r="K23" s="361"/>
      <c r="L23" s="361"/>
      <c r="M23" s="361"/>
      <c r="N23" s="361"/>
      <c r="O23" s="361"/>
      <c r="P23" s="361"/>
      <c r="Q23" s="361"/>
      <c r="R23" s="361"/>
      <c r="S23" s="361"/>
      <c r="T23" s="361"/>
      <c r="U23" s="361"/>
      <c r="V23" s="361"/>
      <c r="W23" s="361"/>
      <c r="X23" s="361"/>
      <c r="Y23" s="361"/>
      <c r="Z23" s="361"/>
      <c r="AA23" s="361"/>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433"/>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7"/>
      <c r="CA23" s="267"/>
      <c r="CB23" s="267"/>
      <c r="CC23" s="267"/>
      <c r="CD23" s="267"/>
      <c r="CE23" s="267"/>
      <c r="CF23" s="267"/>
      <c r="CG23" s="267"/>
      <c r="CH23" s="267"/>
      <c r="CI23" s="267"/>
      <c r="CJ23" s="267"/>
      <c r="CK23" s="267"/>
      <c r="CL23" s="267"/>
      <c r="CM23" s="267"/>
      <c r="CN23" s="267"/>
      <c r="CO23" s="267"/>
      <c r="CP23" s="267"/>
      <c r="CQ23" s="267"/>
      <c r="CR23" s="267"/>
      <c r="CS23" s="267"/>
      <c r="CT23" s="267"/>
    </row>
    <row r="24" spans="1:100" ht="31.5" customHeight="1" x14ac:dyDescent="0.2">
      <c r="A24" s="436"/>
      <c r="B24" s="363" t="s">
        <v>1399</v>
      </c>
      <c r="C24" s="36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433"/>
      <c r="BC24" s="267"/>
      <c r="BD24" s="267"/>
      <c r="BE24" s="267"/>
      <c r="BF24" s="267"/>
      <c r="BG24" s="267"/>
      <c r="BH24" s="267"/>
      <c r="BI24" s="267"/>
      <c r="BJ24" s="267"/>
      <c r="BK24" s="267"/>
      <c r="BL24" s="267"/>
      <c r="BM24" s="267"/>
      <c r="BN24" s="267"/>
      <c r="BO24" s="267"/>
      <c r="BP24" s="267"/>
      <c r="BQ24" s="267"/>
      <c r="BR24" s="267"/>
      <c r="BS24" s="267"/>
      <c r="BT24" s="267"/>
      <c r="BU24" s="267"/>
      <c r="BV24" s="267"/>
      <c r="BW24" s="267"/>
      <c r="BX24" s="267"/>
      <c r="BY24" s="267"/>
      <c r="BZ24" s="267"/>
      <c r="CA24" s="267"/>
      <c r="CB24" s="267"/>
      <c r="CC24" s="267"/>
      <c r="CD24" s="267"/>
      <c r="CE24" s="267"/>
      <c r="CF24" s="267"/>
      <c r="CG24" s="267"/>
      <c r="CH24" s="267"/>
      <c r="CI24" s="267"/>
      <c r="CJ24" s="267"/>
      <c r="CK24" s="267"/>
      <c r="CL24" s="267"/>
      <c r="CM24" s="267"/>
      <c r="CN24" s="267"/>
      <c r="CO24" s="267"/>
      <c r="CP24" s="267"/>
      <c r="CQ24" s="267"/>
      <c r="CR24" s="267"/>
      <c r="CS24" s="267"/>
      <c r="CT24" s="267"/>
    </row>
    <row r="25" spans="1:100" ht="15.75" x14ac:dyDescent="0.2">
      <c r="A25" s="436"/>
      <c r="B25" s="115" t="s">
        <v>1400</v>
      </c>
      <c r="C25" s="364"/>
      <c r="D25" s="365"/>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5"/>
      <c r="AL25" s="365"/>
      <c r="AM25" s="365"/>
      <c r="AN25" s="365"/>
      <c r="AO25" s="365"/>
      <c r="AP25" s="365"/>
      <c r="AQ25" s="365"/>
      <c r="AR25" s="365"/>
      <c r="AS25" s="365"/>
      <c r="AT25" s="365"/>
      <c r="AU25" s="365"/>
      <c r="AV25" s="365"/>
      <c r="AW25" s="365"/>
      <c r="AX25" s="365"/>
      <c r="AY25" s="365"/>
      <c r="AZ25" s="365"/>
      <c r="BA25" s="365"/>
      <c r="BB25" s="433"/>
      <c r="BC25" s="267"/>
      <c r="BD25" s="267"/>
      <c r="BE25" s="267"/>
      <c r="BF25" s="267"/>
      <c r="BG25" s="267"/>
      <c r="BH25" s="267"/>
      <c r="BI25" s="267"/>
      <c r="BJ25" s="267"/>
      <c r="BK25" s="267"/>
      <c r="BL25" s="267"/>
      <c r="BM25" s="267"/>
      <c r="BN25" s="267"/>
      <c r="BO25" s="267"/>
      <c r="BP25" s="267"/>
      <c r="BQ25" s="267"/>
      <c r="BR25" s="267"/>
      <c r="BS25" s="267"/>
      <c r="BT25" s="267"/>
      <c r="BU25" s="267"/>
      <c r="BV25" s="267"/>
      <c r="BW25" s="267"/>
      <c r="BX25" s="267"/>
      <c r="BY25" s="267"/>
      <c r="BZ25" s="267"/>
      <c r="CA25" s="267"/>
      <c r="CB25" s="267"/>
      <c r="CC25" s="267"/>
      <c r="CD25" s="267"/>
      <c r="CE25" s="267"/>
      <c r="CF25" s="267"/>
      <c r="CG25" s="267"/>
      <c r="CH25" s="267"/>
      <c r="CI25" s="267"/>
      <c r="CJ25" s="267"/>
      <c r="CK25" s="267"/>
      <c r="CL25" s="267"/>
      <c r="CM25" s="267"/>
      <c r="CN25" s="267"/>
      <c r="CO25" s="267"/>
      <c r="CP25" s="267"/>
      <c r="CQ25" s="267"/>
      <c r="CR25" s="267"/>
      <c r="CS25" s="267"/>
      <c r="CT25" s="267"/>
    </row>
    <row r="26" spans="1:100" ht="31.5" customHeight="1" x14ac:dyDescent="0.2">
      <c r="A26" s="436"/>
      <c r="B26" s="115" t="s">
        <v>1401</v>
      </c>
      <c r="C26" s="366"/>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1"/>
      <c r="AD26" s="361"/>
      <c r="AE26" s="361"/>
      <c r="AF26" s="361"/>
      <c r="AG26" s="361"/>
      <c r="AH26" s="361"/>
      <c r="AI26" s="361"/>
      <c r="AJ26" s="361"/>
      <c r="AK26" s="361"/>
      <c r="AL26" s="361"/>
      <c r="AM26" s="361"/>
      <c r="AN26" s="361"/>
      <c r="AO26" s="361"/>
      <c r="AP26" s="361"/>
      <c r="AQ26" s="361"/>
      <c r="AR26" s="361"/>
      <c r="AS26" s="361"/>
      <c r="AT26" s="361"/>
      <c r="AU26" s="361"/>
      <c r="AV26" s="361"/>
      <c r="AW26" s="361"/>
      <c r="AX26" s="361"/>
      <c r="AY26" s="361"/>
      <c r="AZ26" s="361"/>
      <c r="BA26" s="361"/>
      <c r="BB26" s="433"/>
      <c r="BC26" s="267"/>
      <c r="BD26" s="267"/>
      <c r="BE26" s="267"/>
      <c r="BF26" s="267"/>
      <c r="BG26" s="267"/>
      <c r="BH26" s="267"/>
      <c r="BI26" s="267"/>
      <c r="BJ26" s="267"/>
      <c r="BK26" s="267"/>
      <c r="BL26" s="267"/>
      <c r="BM26" s="267"/>
      <c r="BN26" s="267"/>
      <c r="BO26" s="267"/>
      <c r="BP26" s="267"/>
      <c r="BQ26" s="267"/>
      <c r="BR26" s="267"/>
      <c r="BS26" s="267"/>
      <c r="BT26" s="267"/>
      <c r="BU26" s="267"/>
      <c r="BV26" s="267"/>
      <c r="BW26" s="267"/>
      <c r="BX26" s="267"/>
      <c r="BY26" s="267"/>
      <c r="BZ26" s="267"/>
      <c r="CA26" s="267"/>
      <c r="CB26" s="267"/>
      <c r="CC26" s="267"/>
      <c r="CD26" s="267"/>
      <c r="CE26" s="267"/>
      <c r="CF26" s="267"/>
      <c r="CG26" s="267"/>
      <c r="CH26" s="267"/>
      <c r="CI26" s="267"/>
      <c r="CJ26" s="267"/>
      <c r="CK26" s="267"/>
      <c r="CL26" s="267"/>
      <c r="CM26" s="267"/>
      <c r="CN26" s="267"/>
      <c r="CO26" s="267"/>
      <c r="CP26" s="267"/>
      <c r="CQ26" s="267"/>
      <c r="CR26" s="267"/>
      <c r="CS26" s="267"/>
      <c r="CT26" s="267"/>
    </row>
    <row r="27" spans="1:100" ht="15.75" x14ac:dyDescent="0.2">
      <c r="A27" s="436"/>
      <c r="B27" s="363" t="s">
        <v>382</v>
      </c>
      <c r="C27" s="363" t="s">
        <v>1402</v>
      </c>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433"/>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c r="CA27" s="267"/>
      <c r="CB27" s="267"/>
      <c r="CC27" s="267"/>
      <c r="CD27" s="267"/>
      <c r="CE27" s="267"/>
      <c r="CF27" s="267"/>
      <c r="CG27" s="267"/>
      <c r="CH27" s="267"/>
      <c r="CI27" s="267"/>
      <c r="CJ27" s="267"/>
      <c r="CK27" s="267"/>
      <c r="CL27" s="267"/>
      <c r="CM27" s="267"/>
      <c r="CN27" s="267"/>
      <c r="CO27" s="267"/>
      <c r="CP27" s="267"/>
      <c r="CQ27" s="267"/>
      <c r="CR27" s="267"/>
      <c r="CS27" s="267"/>
      <c r="CT27" s="267"/>
    </row>
    <row r="28" spans="1:100" ht="15.75" x14ac:dyDescent="0.2">
      <c r="A28" s="436"/>
      <c r="B28" s="363" t="s">
        <v>1403</v>
      </c>
      <c r="C28" s="363" t="s">
        <v>1404</v>
      </c>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c r="BA28" s="365"/>
      <c r="BB28" s="433"/>
      <c r="BC28" s="267"/>
      <c r="BD28" s="267"/>
      <c r="BE28" s="267"/>
      <c r="BF28" s="267"/>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row>
    <row r="29" spans="1:100" ht="15.75" x14ac:dyDescent="0.2">
      <c r="A29" s="436"/>
      <c r="B29" s="363" t="s">
        <v>1405</v>
      </c>
      <c r="C29" s="368" t="str">
        <f>IF(C28="","",C28)</f>
        <v>litres</v>
      </c>
      <c r="D29" s="365"/>
      <c r="E29" s="365"/>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433"/>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row>
    <row r="30" spans="1:100" ht="15.75" x14ac:dyDescent="0.2">
      <c r="A30" s="436"/>
      <c r="B30" s="115" t="s">
        <v>1406</v>
      </c>
      <c r="C30" s="364"/>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c r="BA30" s="365"/>
      <c r="BB30" s="433"/>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row>
    <row r="31" spans="1:100" ht="16.5" thickBot="1" x14ac:dyDescent="0.25">
      <c r="A31" s="436"/>
      <c r="B31" s="369" t="s">
        <v>1407</v>
      </c>
      <c r="C31" s="370"/>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433"/>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row>
    <row r="32" spans="1:100" ht="20.25" customHeight="1" x14ac:dyDescent="0.2">
      <c r="A32" s="436"/>
      <c r="B32" s="372" t="s">
        <v>1408</v>
      </c>
      <c r="C32" s="1493" t="s">
        <v>1409</v>
      </c>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4"/>
      <c r="BB32" s="433"/>
      <c r="BC32" s="267"/>
      <c r="BD32" s="267"/>
      <c r="BE32" s="267"/>
      <c r="BF32" s="267"/>
      <c r="BG32" s="108"/>
      <c r="BH32" s="108"/>
      <c r="BI32" s="108"/>
      <c r="BJ32" s="108"/>
      <c r="BK32" s="108"/>
      <c r="BL32" s="108"/>
      <c r="BM32" s="108"/>
      <c r="BN32" s="108"/>
      <c r="BO32" s="108"/>
      <c r="BP32" s="108"/>
      <c r="BQ32" s="108"/>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row>
    <row r="33" spans="1:98" ht="20.25" customHeight="1" thickBot="1" x14ac:dyDescent="0.25">
      <c r="A33" s="436"/>
      <c r="B33" s="375" t="s">
        <v>1410</v>
      </c>
      <c r="C33" s="1494"/>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7"/>
      <c r="BB33" s="433"/>
      <c r="BC33" s="267"/>
      <c r="BD33" s="267"/>
      <c r="BE33" s="267"/>
      <c r="BF33" s="267"/>
      <c r="BG33" s="108"/>
      <c r="BH33" s="108"/>
      <c r="BI33" s="108"/>
      <c r="BJ33" s="108"/>
      <c r="BK33" s="108"/>
      <c r="BL33" s="108"/>
      <c r="BM33" s="108"/>
      <c r="BN33" s="108"/>
      <c r="BO33" s="108"/>
      <c r="BP33" s="108"/>
      <c r="BQ33" s="108"/>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row>
    <row r="34" spans="1:98" ht="20.25" customHeight="1" x14ac:dyDescent="0.2">
      <c r="A34" s="436"/>
      <c r="B34" s="378" t="str">
        <f>IF(B32="","",B32)</f>
        <v>animaux mâles</v>
      </c>
      <c r="C34" s="1493" t="s">
        <v>1411</v>
      </c>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4"/>
      <c r="BB34" s="433"/>
      <c r="BC34" s="267"/>
      <c r="BD34" s="267"/>
      <c r="BE34" s="267"/>
      <c r="BF34" s="267"/>
      <c r="BG34" s="108"/>
      <c r="BH34" s="108"/>
      <c r="BI34" s="108"/>
      <c r="BJ34" s="108"/>
      <c r="BK34" s="108"/>
      <c r="BL34" s="108"/>
      <c r="BM34" s="108"/>
      <c r="BN34" s="108"/>
      <c r="BO34" s="108"/>
      <c r="BP34" s="108"/>
      <c r="BQ34" s="108"/>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row>
    <row r="35" spans="1:98" ht="20.25" customHeight="1" thickBot="1" x14ac:dyDescent="0.25">
      <c r="A35" s="436"/>
      <c r="B35" s="379" t="str">
        <f>IF(B33="","",B33)</f>
        <v>animaux femelles</v>
      </c>
      <c r="C35" s="1494"/>
      <c r="D35" s="376"/>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7"/>
      <c r="BB35" s="433"/>
      <c r="BC35" s="267"/>
      <c r="BD35" s="267"/>
      <c r="BE35" s="267"/>
      <c r="BF35" s="267"/>
      <c r="BG35" s="108"/>
      <c r="BH35" s="108"/>
      <c r="BI35" s="108"/>
      <c r="BJ35" s="108"/>
      <c r="BK35" s="108"/>
      <c r="BL35" s="108"/>
      <c r="BM35" s="108"/>
      <c r="BN35" s="108"/>
      <c r="BO35" s="108"/>
      <c r="BP35" s="108"/>
      <c r="BQ35" s="108"/>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row>
    <row r="36" spans="1:98" ht="20.25" customHeight="1" x14ac:dyDescent="0.2">
      <c r="A36" s="436"/>
      <c r="B36" s="378" t="str">
        <f t="shared" ref="B36:B45" si="1">B34</f>
        <v>animaux mâles</v>
      </c>
      <c r="C36" s="1493" t="s">
        <v>1412</v>
      </c>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4"/>
      <c r="BB36" s="433"/>
      <c r="BC36" s="267"/>
      <c r="BD36" s="267"/>
      <c r="BE36" s="267"/>
      <c r="BF36" s="267"/>
      <c r="BG36" s="108"/>
      <c r="BH36" s="108"/>
      <c r="BI36" s="108"/>
      <c r="BJ36" s="108"/>
      <c r="BK36" s="108"/>
      <c r="BL36" s="108"/>
      <c r="BM36" s="108"/>
      <c r="BN36" s="108"/>
      <c r="BO36" s="108"/>
      <c r="BP36" s="108"/>
      <c r="BQ36" s="108"/>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row>
    <row r="37" spans="1:98" ht="20.25" customHeight="1" thickBot="1" x14ac:dyDescent="0.25">
      <c r="A37" s="436"/>
      <c r="B37" s="379" t="str">
        <f t="shared" si="1"/>
        <v>animaux femelles</v>
      </c>
      <c r="C37" s="1494"/>
      <c r="D37" s="376"/>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7"/>
      <c r="BB37" s="433"/>
      <c r="BC37" s="267"/>
      <c r="BD37" s="267"/>
      <c r="BE37" s="267"/>
      <c r="BF37" s="267"/>
      <c r="BG37" s="108"/>
      <c r="BH37" s="108"/>
      <c r="BI37" s="380"/>
      <c r="BJ37" s="380"/>
      <c r="BK37" s="380"/>
      <c r="BL37" s="380"/>
      <c r="BM37" s="380"/>
      <c r="BN37" s="380"/>
      <c r="BO37" s="380"/>
      <c r="BP37" s="108"/>
      <c r="BQ37" s="108"/>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row>
    <row r="38" spans="1:98" ht="20.25" customHeight="1" x14ac:dyDescent="0.2">
      <c r="A38" s="436"/>
      <c r="B38" s="378" t="str">
        <f t="shared" si="1"/>
        <v>animaux mâles</v>
      </c>
      <c r="C38" s="1497" t="s">
        <v>1413</v>
      </c>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4"/>
      <c r="BB38" s="433"/>
      <c r="BC38" s="267"/>
      <c r="BD38" s="267"/>
      <c r="BE38" s="267"/>
      <c r="BF38" s="267"/>
      <c r="BG38" s="108"/>
      <c r="BH38" s="108"/>
      <c r="BI38" s="380"/>
      <c r="BJ38" s="380"/>
      <c r="BK38" s="380"/>
      <c r="BL38" s="380"/>
      <c r="BM38" s="380"/>
      <c r="BN38" s="380"/>
      <c r="BO38" s="380"/>
      <c r="BP38" s="108"/>
      <c r="BQ38" s="108"/>
      <c r="BR38" s="267"/>
      <c r="BS38" s="267"/>
      <c r="BT38" s="267"/>
      <c r="BU38" s="267"/>
      <c r="BV38" s="267"/>
      <c r="BW38" s="267"/>
      <c r="BX38" s="267"/>
      <c r="BY38" s="267"/>
      <c r="BZ38" s="267"/>
      <c r="CA38" s="267"/>
      <c r="CB38" s="267"/>
      <c r="CC38" s="267"/>
      <c r="CD38" s="267"/>
      <c r="CE38" s="267"/>
      <c r="CF38" s="267"/>
      <c r="CG38" s="267"/>
      <c r="CH38" s="267"/>
      <c r="CI38" s="267"/>
      <c r="CJ38" s="267"/>
      <c r="CK38" s="267"/>
      <c r="CL38" s="267"/>
      <c r="CM38" s="267"/>
      <c r="CN38" s="267"/>
      <c r="CO38" s="267"/>
      <c r="CP38" s="267"/>
      <c r="CQ38" s="267"/>
      <c r="CR38" s="267"/>
      <c r="CS38" s="267"/>
      <c r="CT38" s="267"/>
    </row>
    <row r="39" spans="1:98" ht="20.25" customHeight="1" thickBot="1" x14ac:dyDescent="0.25">
      <c r="A39" s="436"/>
      <c r="B39" s="375" t="str">
        <f t="shared" si="1"/>
        <v>animaux femelles</v>
      </c>
      <c r="C39" s="1498"/>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7"/>
      <c r="BB39" s="433"/>
      <c r="BC39" s="267"/>
      <c r="BD39" s="267"/>
      <c r="BE39" s="267"/>
      <c r="BF39" s="267"/>
      <c r="BG39" s="108"/>
      <c r="BH39" s="108"/>
      <c r="BI39" s="380"/>
      <c r="BJ39" s="380"/>
      <c r="BK39" s="380"/>
      <c r="BL39" s="380"/>
      <c r="BM39" s="380"/>
      <c r="BN39" s="380"/>
      <c r="BO39" s="380"/>
      <c r="BP39" s="108"/>
      <c r="BQ39" s="108"/>
      <c r="BR39" s="267"/>
      <c r="BS39" s="267"/>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row>
    <row r="40" spans="1:98" ht="20.25" customHeight="1" x14ac:dyDescent="0.2">
      <c r="A40" s="436"/>
      <c r="B40" s="378" t="str">
        <f t="shared" si="1"/>
        <v>animaux mâles</v>
      </c>
      <c r="C40" s="1493" t="s">
        <v>1414</v>
      </c>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1"/>
      <c r="AN40" s="381"/>
      <c r="AO40" s="381"/>
      <c r="AP40" s="381"/>
      <c r="AQ40" s="381"/>
      <c r="AR40" s="381"/>
      <c r="AS40" s="381"/>
      <c r="AT40" s="381"/>
      <c r="AU40" s="381"/>
      <c r="AV40" s="381"/>
      <c r="AW40" s="381"/>
      <c r="AX40" s="381"/>
      <c r="AY40" s="381"/>
      <c r="AZ40" s="381"/>
      <c r="BA40" s="382"/>
      <c r="BB40" s="433"/>
      <c r="BC40" s="267"/>
      <c r="BD40" s="267"/>
      <c r="BE40" s="267"/>
      <c r="BF40" s="267"/>
      <c r="BG40" s="108"/>
      <c r="BH40" s="108"/>
      <c r="BI40" s="380"/>
      <c r="BJ40" s="380"/>
      <c r="BK40" s="380"/>
      <c r="BL40" s="380"/>
      <c r="BM40" s="380"/>
      <c r="BN40" s="380"/>
      <c r="BO40" s="380"/>
      <c r="BP40" s="108"/>
      <c r="BQ40" s="108"/>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row>
    <row r="41" spans="1:98" ht="20.25" customHeight="1" thickBot="1" x14ac:dyDescent="0.25">
      <c r="A41" s="436"/>
      <c r="B41" s="379" t="str">
        <f t="shared" si="1"/>
        <v>animaux femelles</v>
      </c>
      <c r="C41" s="1494"/>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7"/>
      <c r="BB41" s="433"/>
      <c r="BC41" s="267"/>
      <c r="BD41" s="267"/>
      <c r="BE41" s="267"/>
      <c r="BF41" s="267"/>
      <c r="BG41" s="108"/>
      <c r="BH41" s="108"/>
      <c r="BI41" s="380"/>
      <c r="BJ41" s="380"/>
      <c r="BK41" s="380"/>
      <c r="BL41" s="380"/>
      <c r="BM41" s="380"/>
      <c r="BN41" s="380"/>
      <c r="BO41" s="380"/>
      <c r="BP41" s="108"/>
      <c r="BQ41" s="108"/>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row>
    <row r="42" spans="1:98" ht="20.25" customHeight="1" x14ac:dyDescent="0.2">
      <c r="A42" s="436"/>
      <c r="B42" s="378" t="str">
        <f t="shared" si="1"/>
        <v>animaux mâles</v>
      </c>
      <c r="C42" s="1493" t="s">
        <v>1415</v>
      </c>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1"/>
      <c r="AU42" s="381"/>
      <c r="AV42" s="381"/>
      <c r="AW42" s="381"/>
      <c r="AX42" s="381"/>
      <c r="AY42" s="381"/>
      <c r="AZ42" s="381"/>
      <c r="BA42" s="382"/>
      <c r="BB42" s="433"/>
      <c r="BC42" s="267"/>
      <c r="BD42" s="267"/>
      <c r="BE42" s="267"/>
      <c r="BF42" s="267"/>
      <c r="BG42" s="108"/>
      <c r="BH42" s="108"/>
      <c r="BI42" s="380"/>
      <c r="BJ42" s="380"/>
      <c r="BK42" s="380"/>
      <c r="BL42" s="380"/>
      <c r="BM42" s="380"/>
      <c r="BN42" s="380"/>
      <c r="BO42" s="380"/>
      <c r="BP42" s="108"/>
      <c r="BQ42" s="108"/>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row>
    <row r="43" spans="1:98" ht="20.25" customHeight="1" thickBot="1" x14ac:dyDescent="0.25">
      <c r="A43" s="436"/>
      <c r="B43" s="379" t="str">
        <f t="shared" si="1"/>
        <v>animaux femelles</v>
      </c>
      <c r="C43" s="1494"/>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7"/>
      <c r="BB43" s="433"/>
      <c r="BC43" s="267"/>
      <c r="BD43" s="267"/>
      <c r="BE43" s="267"/>
      <c r="BF43" s="267"/>
      <c r="BG43" s="108"/>
      <c r="BH43" s="108"/>
      <c r="BI43" s="108"/>
      <c r="BJ43" s="108"/>
      <c r="BK43" s="108"/>
      <c r="BL43" s="108"/>
      <c r="BM43" s="108"/>
      <c r="BN43" s="108"/>
      <c r="BO43" s="108"/>
      <c r="BP43" s="108"/>
      <c r="BQ43" s="108"/>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row>
    <row r="44" spans="1:98" ht="20.25" customHeight="1" x14ac:dyDescent="0.2">
      <c r="A44" s="436"/>
      <c r="B44" s="378" t="str">
        <f t="shared" si="1"/>
        <v>animaux mâles</v>
      </c>
      <c r="C44" s="1493" t="s">
        <v>1416</v>
      </c>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4"/>
      <c r="BB44" s="433"/>
      <c r="BC44" s="267"/>
      <c r="BD44" s="267"/>
      <c r="BE44" s="267"/>
      <c r="BF44" s="267"/>
      <c r="BG44" s="108"/>
      <c r="BH44" s="108"/>
      <c r="BI44" s="108"/>
      <c r="BJ44" s="108"/>
      <c r="BK44" s="108"/>
      <c r="BL44" s="108"/>
      <c r="BM44" s="108"/>
      <c r="BN44" s="108"/>
      <c r="BO44" s="108"/>
      <c r="BP44" s="108"/>
      <c r="BQ44" s="108"/>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row>
    <row r="45" spans="1:98" ht="20.25" customHeight="1" thickBot="1" x14ac:dyDescent="0.25">
      <c r="A45" s="436"/>
      <c r="B45" s="383" t="str">
        <f t="shared" si="1"/>
        <v>animaux femelles</v>
      </c>
      <c r="C45" s="1495"/>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5"/>
      <c r="BB45" s="433"/>
      <c r="BC45" s="267"/>
      <c r="BD45" s="267"/>
      <c r="BE45" s="267"/>
      <c r="BF45" s="267"/>
      <c r="BG45" s="108"/>
      <c r="BH45" s="108"/>
      <c r="BI45" s="108"/>
      <c r="BJ45" s="108"/>
      <c r="BK45" s="108"/>
      <c r="BL45" s="108"/>
      <c r="BM45" s="108"/>
      <c r="BN45" s="108"/>
      <c r="BO45" s="108"/>
      <c r="BP45" s="108"/>
      <c r="BQ45" s="108"/>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row>
    <row r="46" spans="1:98" ht="20.25" customHeight="1" thickTop="1" thickBot="1" x14ac:dyDescent="0.25">
      <c r="A46" s="436"/>
      <c r="B46" s="386" t="s">
        <v>1417</v>
      </c>
      <c r="C46" s="387"/>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c r="AE46" s="388"/>
      <c r="AF46" s="388"/>
      <c r="AG46" s="388"/>
      <c r="AH46" s="388"/>
      <c r="AI46" s="388"/>
      <c r="AJ46" s="388"/>
      <c r="AK46" s="388"/>
      <c r="AL46" s="388"/>
      <c r="AM46" s="388"/>
      <c r="AN46" s="388"/>
      <c r="AO46" s="388"/>
      <c r="AP46" s="388"/>
      <c r="AQ46" s="388"/>
      <c r="AR46" s="388"/>
      <c r="AS46" s="388"/>
      <c r="AT46" s="388"/>
      <c r="AU46" s="388"/>
      <c r="AV46" s="388"/>
      <c r="AW46" s="388"/>
      <c r="AX46" s="388"/>
      <c r="AY46" s="388"/>
      <c r="AZ46" s="388"/>
      <c r="BA46" s="389"/>
      <c r="BB46" s="433"/>
      <c r="BC46" s="267"/>
      <c r="BD46" s="267"/>
      <c r="BE46" s="267"/>
      <c r="BF46" s="267"/>
      <c r="BG46" s="108"/>
      <c r="BH46" s="108"/>
      <c r="BI46" s="108"/>
      <c r="BJ46" s="108"/>
      <c r="BK46" s="108"/>
      <c r="BL46" s="108"/>
      <c r="BM46" s="108"/>
      <c r="BN46" s="108"/>
      <c r="BO46" s="108"/>
      <c r="BP46" s="108"/>
      <c r="BQ46" s="108"/>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row>
    <row r="47" spans="1:98" ht="13.5" thickTop="1" x14ac:dyDescent="0.2">
      <c r="A47" s="436"/>
      <c r="B47" s="116" t="s">
        <v>1418</v>
      </c>
      <c r="C47" s="117"/>
      <c r="D47" s="118" t="str">
        <f t="shared" ref="D47:AI47" si="2">IF(OR($C$47="",SUM($H$12:$H$19)=""),"",IF(D24=$B$15,"N.C.",IF(AND($C$47=$C$133,D134&gt;D27),D27,IF($C$47=$C$134,D135,D134))))</f>
        <v/>
      </c>
      <c r="E47" s="118" t="str">
        <f t="shared" si="2"/>
        <v/>
      </c>
      <c r="F47" s="118" t="str">
        <f t="shared" si="2"/>
        <v/>
      </c>
      <c r="G47" s="118" t="str">
        <f t="shared" si="2"/>
        <v/>
      </c>
      <c r="H47" s="118" t="str">
        <f t="shared" si="2"/>
        <v/>
      </c>
      <c r="I47" s="118" t="str">
        <f t="shared" si="2"/>
        <v/>
      </c>
      <c r="J47" s="118" t="str">
        <f t="shared" si="2"/>
        <v/>
      </c>
      <c r="K47" s="118" t="str">
        <f t="shared" si="2"/>
        <v/>
      </c>
      <c r="L47" s="118" t="str">
        <f t="shared" si="2"/>
        <v/>
      </c>
      <c r="M47" s="118" t="str">
        <f t="shared" si="2"/>
        <v/>
      </c>
      <c r="N47" s="118" t="str">
        <f t="shared" si="2"/>
        <v/>
      </c>
      <c r="O47" s="118" t="str">
        <f t="shared" si="2"/>
        <v/>
      </c>
      <c r="P47" s="118" t="str">
        <f t="shared" si="2"/>
        <v/>
      </c>
      <c r="Q47" s="118" t="str">
        <f t="shared" si="2"/>
        <v/>
      </c>
      <c r="R47" s="118" t="str">
        <f t="shared" si="2"/>
        <v/>
      </c>
      <c r="S47" s="118" t="str">
        <f t="shared" si="2"/>
        <v/>
      </c>
      <c r="T47" s="118" t="str">
        <f t="shared" si="2"/>
        <v/>
      </c>
      <c r="U47" s="118" t="str">
        <f t="shared" si="2"/>
        <v/>
      </c>
      <c r="V47" s="118" t="str">
        <f t="shared" si="2"/>
        <v/>
      </c>
      <c r="W47" s="118" t="str">
        <f t="shared" si="2"/>
        <v/>
      </c>
      <c r="X47" s="118" t="str">
        <f t="shared" si="2"/>
        <v/>
      </c>
      <c r="Y47" s="118" t="str">
        <f t="shared" si="2"/>
        <v/>
      </c>
      <c r="Z47" s="118" t="str">
        <f t="shared" si="2"/>
        <v/>
      </c>
      <c r="AA47" s="118" t="str">
        <f t="shared" si="2"/>
        <v/>
      </c>
      <c r="AB47" s="118" t="str">
        <f t="shared" si="2"/>
        <v/>
      </c>
      <c r="AC47" s="118" t="str">
        <f t="shared" si="2"/>
        <v/>
      </c>
      <c r="AD47" s="118" t="str">
        <f t="shared" si="2"/>
        <v/>
      </c>
      <c r="AE47" s="118" t="str">
        <f t="shared" si="2"/>
        <v/>
      </c>
      <c r="AF47" s="118" t="str">
        <f t="shared" si="2"/>
        <v/>
      </c>
      <c r="AG47" s="118" t="str">
        <f t="shared" si="2"/>
        <v/>
      </c>
      <c r="AH47" s="118" t="str">
        <f t="shared" si="2"/>
        <v/>
      </c>
      <c r="AI47" s="118" t="str">
        <f t="shared" si="2"/>
        <v/>
      </c>
      <c r="AJ47" s="118" t="str">
        <f t="shared" ref="AJ47:BA47" si="3">IF(OR($C$47="",SUM($H$12:$H$19)=""),"",IF(AJ24=$B$15,"N.C.",IF(AND($C$47=$C$133,AJ134&gt;AJ27),AJ27,IF($C$47=$C$134,AJ135,AJ134))))</f>
        <v/>
      </c>
      <c r="AK47" s="118" t="str">
        <f t="shared" si="3"/>
        <v/>
      </c>
      <c r="AL47" s="118" t="str">
        <f t="shared" si="3"/>
        <v/>
      </c>
      <c r="AM47" s="118" t="str">
        <f t="shared" si="3"/>
        <v/>
      </c>
      <c r="AN47" s="118" t="str">
        <f t="shared" si="3"/>
        <v/>
      </c>
      <c r="AO47" s="118" t="str">
        <f t="shared" si="3"/>
        <v/>
      </c>
      <c r="AP47" s="118" t="str">
        <f t="shared" si="3"/>
        <v/>
      </c>
      <c r="AQ47" s="118" t="str">
        <f t="shared" si="3"/>
        <v/>
      </c>
      <c r="AR47" s="118" t="str">
        <f t="shared" si="3"/>
        <v/>
      </c>
      <c r="AS47" s="118" t="str">
        <f t="shared" si="3"/>
        <v/>
      </c>
      <c r="AT47" s="118" t="str">
        <f t="shared" si="3"/>
        <v/>
      </c>
      <c r="AU47" s="118" t="str">
        <f t="shared" si="3"/>
        <v/>
      </c>
      <c r="AV47" s="118" t="str">
        <f t="shared" si="3"/>
        <v/>
      </c>
      <c r="AW47" s="118" t="str">
        <f t="shared" si="3"/>
        <v/>
      </c>
      <c r="AX47" s="118" t="str">
        <f t="shared" si="3"/>
        <v/>
      </c>
      <c r="AY47" s="118" t="str">
        <f t="shared" si="3"/>
        <v/>
      </c>
      <c r="AZ47" s="118" t="str">
        <f t="shared" si="3"/>
        <v/>
      </c>
      <c r="BA47" s="118" t="str">
        <f t="shared" si="3"/>
        <v/>
      </c>
      <c r="BB47" s="433"/>
      <c r="BC47" s="267"/>
      <c r="BD47" s="267"/>
      <c r="BE47" s="267"/>
      <c r="BF47" s="267"/>
      <c r="BG47" s="108"/>
      <c r="BH47" s="108"/>
      <c r="BI47" s="108"/>
      <c r="BJ47" s="108"/>
      <c r="BK47" s="108"/>
      <c r="BL47" s="108"/>
      <c r="BM47" s="108"/>
      <c r="BN47" s="108"/>
      <c r="BO47" s="108"/>
      <c r="BP47" s="108"/>
      <c r="BQ47" s="108"/>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row>
    <row r="48" spans="1:98" x14ac:dyDescent="0.2">
      <c r="A48" s="436"/>
      <c r="B48" s="115" t="s">
        <v>1419</v>
      </c>
      <c r="C48" s="368" t="str">
        <f>C29</f>
        <v>litres</v>
      </c>
      <c r="D48" s="390" t="str">
        <f>IF(D28="","",D28-SUM(D138:D144))</f>
        <v/>
      </c>
      <c r="E48" s="390" t="str">
        <f t="shared" ref="E48:BA48" si="4">IF(E28="","",E28-SUM(E138:E144))</f>
        <v/>
      </c>
      <c r="F48" s="390" t="str">
        <f t="shared" si="4"/>
        <v/>
      </c>
      <c r="G48" s="390" t="str">
        <f t="shared" si="4"/>
        <v/>
      </c>
      <c r="H48" s="390" t="str">
        <f t="shared" si="4"/>
        <v/>
      </c>
      <c r="I48" s="390" t="str">
        <f t="shared" si="4"/>
        <v/>
      </c>
      <c r="J48" s="390" t="str">
        <f t="shared" si="4"/>
        <v/>
      </c>
      <c r="K48" s="390" t="str">
        <f t="shared" si="4"/>
        <v/>
      </c>
      <c r="L48" s="390" t="str">
        <f t="shared" si="4"/>
        <v/>
      </c>
      <c r="M48" s="390" t="str">
        <f t="shared" si="4"/>
        <v/>
      </c>
      <c r="N48" s="390" t="str">
        <f t="shared" si="4"/>
        <v/>
      </c>
      <c r="O48" s="390" t="str">
        <f t="shared" si="4"/>
        <v/>
      </c>
      <c r="P48" s="390" t="str">
        <f t="shared" si="4"/>
        <v/>
      </c>
      <c r="Q48" s="390" t="str">
        <f t="shared" si="4"/>
        <v/>
      </c>
      <c r="R48" s="390" t="str">
        <f t="shared" si="4"/>
        <v/>
      </c>
      <c r="S48" s="390" t="str">
        <f t="shared" si="4"/>
        <v/>
      </c>
      <c r="T48" s="390" t="str">
        <f t="shared" si="4"/>
        <v/>
      </c>
      <c r="U48" s="390" t="str">
        <f t="shared" si="4"/>
        <v/>
      </c>
      <c r="V48" s="390" t="str">
        <f t="shared" si="4"/>
        <v/>
      </c>
      <c r="W48" s="390" t="str">
        <f t="shared" si="4"/>
        <v/>
      </c>
      <c r="X48" s="390" t="str">
        <f t="shared" si="4"/>
        <v/>
      </c>
      <c r="Y48" s="390" t="str">
        <f t="shared" si="4"/>
        <v/>
      </c>
      <c r="Z48" s="390" t="str">
        <f t="shared" si="4"/>
        <v/>
      </c>
      <c r="AA48" s="390" t="str">
        <f t="shared" si="4"/>
        <v/>
      </c>
      <c r="AB48" s="390" t="str">
        <f t="shared" si="4"/>
        <v/>
      </c>
      <c r="AC48" s="390" t="str">
        <f t="shared" si="4"/>
        <v/>
      </c>
      <c r="AD48" s="390" t="str">
        <f t="shared" si="4"/>
        <v/>
      </c>
      <c r="AE48" s="390" t="str">
        <f t="shared" si="4"/>
        <v/>
      </c>
      <c r="AF48" s="390" t="str">
        <f t="shared" si="4"/>
        <v/>
      </c>
      <c r="AG48" s="390" t="str">
        <f t="shared" si="4"/>
        <v/>
      </c>
      <c r="AH48" s="390" t="str">
        <f t="shared" si="4"/>
        <v/>
      </c>
      <c r="AI48" s="390" t="str">
        <f t="shared" si="4"/>
        <v/>
      </c>
      <c r="AJ48" s="390" t="str">
        <f t="shared" si="4"/>
        <v/>
      </c>
      <c r="AK48" s="390" t="str">
        <f t="shared" si="4"/>
        <v/>
      </c>
      <c r="AL48" s="390" t="str">
        <f t="shared" si="4"/>
        <v/>
      </c>
      <c r="AM48" s="390" t="str">
        <f t="shared" si="4"/>
        <v/>
      </c>
      <c r="AN48" s="390" t="str">
        <f t="shared" si="4"/>
        <v/>
      </c>
      <c r="AO48" s="390" t="str">
        <f t="shared" si="4"/>
        <v/>
      </c>
      <c r="AP48" s="390" t="str">
        <f t="shared" si="4"/>
        <v/>
      </c>
      <c r="AQ48" s="390" t="str">
        <f t="shared" si="4"/>
        <v/>
      </c>
      <c r="AR48" s="390" t="str">
        <f t="shared" si="4"/>
        <v/>
      </c>
      <c r="AS48" s="390" t="str">
        <f t="shared" si="4"/>
        <v/>
      </c>
      <c r="AT48" s="390" t="str">
        <f t="shared" si="4"/>
        <v/>
      </c>
      <c r="AU48" s="390" t="str">
        <f t="shared" si="4"/>
        <v/>
      </c>
      <c r="AV48" s="390" t="str">
        <f t="shared" si="4"/>
        <v/>
      </c>
      <c r="AW48" s="390" t="str">
        <f t="shared" si="4"/>
        <v/>
      </c>
      <c r="AX48" s="390" t="str">
        <f t="shared" si="4"/>
        <v/>
      </c>
      <c r="AY48" s="390" t="str">
        <f t="shared" si="4"/>
        <v/>
      </c>
      <c r="AZ48" s="390" t="str">
        <f t="shared" si="4"/>
        <v/>
      </c>
      <c r="BA48" s="390" t="str">
        <f t="shared" si="4"/>
        <v/>
      </c>
      <c r="BB48" s="433"/>
      <c r="BC48" s="267"/>
      <c r="BD48" s="267"/>
      <c r="BE48" s="267"/>
      <c r="BF48" s="267"/>
      <c r="BG48" s="108"/>
      <c r="BH48" s="108"/>
      <c r="BI48" s="108"/>
      <c r="BJ48" s="108"/>
      <c r="BK48" s="108"/>
      <c r="BL48" s="108"/>
      <c r="BM48" s="108"/>
      <c r="BN48" s="108"/>
      <c r="BO48" s="108"/>
      <c r="BP48" s="108"/>
      <c r="BQ48" s="108"/>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row>
    <row r="49" spans="1:98" x14ac:dyDescent="0.2">
      <c r="A49" s="436"/>
      <c r="B49" s="351" t="s">
        <v>1420</v>
      </c>
      <c r="C49" s="351" t="s">
        <v>1421</v>
      </c>
      <c r="D49" s="391" t="str">
        <f>IF(D28="","",IF(D48="","",IF(D48&gt;0,0,(ABS(D48)))))</f>
        <v/>
      </c>
      <c r="E49" s="391" t="str">
        <f t="shared" ref="E49:BA49" si="5">IF(E28="","",IF(E48="","",IF(E48&gt;0,0,(ABS(E48)))))</f>
        <v/>
      </c>
      <c r="F49" s="391" t="str">
        <f t="shared" si="5"/>
        <v/>
      </c>
      <c r="G49" s="391" t="str">
        <f t="shared" si="5"/>
        <v/>
      </c>
      <c r="H49" s="391" t="str">
        <f t="shared" si="5"/>
        <v/>
      </c>
      <c r="I49" s="391" t="str">
        <f t="shared" si="5"/>
        <v/>
      </c>
      <c r="J49" s="391" t="str">
        <f t="shared" si="5"/>
        <v/>
      </c>
      <c r="K49" s="391" t="str">
        <f t="shared" si="5"/>
        <v/>
      </c>
      <c r="L49" s="391" t="str">
        <f t="shared" si="5"/>
        <v/>
      </c>
      <c r="M49" s="391" t="str">
        <f t="shared" si="5"/>
        <v/>
      </c>
      <c r="N49" s="391" t="str">
        <f t="shared" si="5"/>
        <v/>
      </c>
      <c r="O49" s="391" t="str">
        <f t="shared" si="5"/>
        <v/>
      </c>
      <c r="P49" s="391" t="str">
        <f t="shared" si="5"/>
        <v/>
      </c>
      <c r="Q49" s="391" t="str">
        <f t="shared" si="5"/>
        <v/>
      </c>
      <c r="R49" s="391" t="str">
        <f t="shared" si="5"/>
        <v/>
      </c>
      <c r="S49" s="391" t="str">
        <f t="shared" si="5"/>
        <v/>
      </c>
      <c r="T49" s="391" t="str">
        <f t="shared" si="5"/>
        <v/>
      </c>
      <c r="U49" s="391" t="str">
        <f t="shared" si="5"/>
        <v/>
      </c>
      <c r="V49" s="391" t="str">
        <f t="shared" si="5"/>
        <v/>
      </c>
      <c r="W49" s="391" t="str">
        <f t="shared" si="5"/>
        <v/>
      </c>
      <c r="X49" s="391" t="str">
        <f t="shared" si="5"/>
        <v/>
      </c>
      <c r="Y49" s="391" t="str">
        <f t="shared" si="5"/>
        <v/>
      </c>
      <c r="Z49" s="391" t="str">
        <f t="shared" si="5"/>
        <v/>
      </c>
      <c r="AA49" s="391" t="str">
        <f t="shared" si="5"/>
        <v/>
      </c>
      <c r="AB49" s="391" t="str">
        <f t="shared" si="5"/>
        <v/>
      </c>
      <c r="AC49" s="391" t="str">
        <f t="shared" si="5"/>
        <v/>
      </c>
      <c r="AD49" s="391" t="str">
        <f t="shared" si="5"/>
        <v/>
      </c>
      <c r="AE49" s="391" t="str">
        <f t="shared" si="5"/>
        <v/>
      </c>
      <c r="AF49" s="391" t="str">
        <f t="shared" si="5"/>
        <v/>
      </c>
      <c r="AG49" s="391" t="str">
        <f t="shared" si="5"/>
        <v/>
      </c>
      <c r="AH49" s="391" t="str">
        <f t="shared" si="5"/>
        <v/>
      </c>
      <c r="AI49" s="391" t="str">
        <f t="shared" si="5"/>
        <v/>
      </c>
      <c r="AJ49" s="391" t="str">
        <f t="shared" si="5"/>
        <v/>
      </c>
      <c r="AK49" s="391" t="str">
        <f t="shared" si="5"/>
        <v/>
      </c>
      <c r="AL49" s="391" t="str">
        <f t="shared" si="5"/>
        <v/>
      </c>
      <c r="AM49" s="391" t="str">
        <f t="shared" si="5"/>
        <v/>
      </c>
      <c r="AN49" s="391" t="str">
        <f t="shared" si="5"/>
        <v/>
      </c>
      <c r="AO49" s="391" t="str">
        <f t="shared" si="5"/>
        <v/>
      </c>
      <c r="AP49" s="391" t="str">
        <f t="shared" si="5"/>
        <v/>
      </c>
      <c r="AQ49" s="391" t="str">
        <f t="shared" si="5"/>
        <v/>
      </c>
      <c r="AR49" s="391" t="str">
        <f t="shared" si="5"/>
        <v/>
      </c>
      <c r="AS49" s="391" t="str">
        <f t="shared" si="5"/>
        <v/>
      </c>
      <c r="AT49" s="391" t="str">
        <f t="shared" si="5"/>
        <v/>
      </c>
      <c r="AU49" s="391" t="str">
        <f t="shared" si="5"/>
        <v/>
      </c>
      <c r="AV49" s="391" t="str">
        <f t="shared" si="5"/>
        <v/>
      </c>
      <c r="AW49" s="391" t="str">
        <f t="shared" si="5"/>
        <v/>
      </c>
      <c r="AX49" s="391" t="str">
        <f t="shared" si="5"/>
        <v/>
      </c>
      <c r="AY49" s="391" t="str">
        <f t="shared" si="5"/>
        <v/>
      </c>
      <c r="AZ49" s="391" t="str">
        <f t="shared" si="5"/>
        <v/>
      </c>
      <c r="BA49" s="391" t="str">
        <f t="shared" si="5"/>
        <v/>
      </c>
      <c r="BB49" s="433"/>
      <c r="BC49" s="267"/>
      <c r="BD49" s="267"/>
      <c r="BE49" s="267"/>
      <c r="BF49" s="267"/>
      <c r="BG49" s="108"/>
      <c r="BH49" s="108"/>
      <c r="BI49" s="108"/>
      <c r="BJ49" s="108"/>
      <c r="BK49" s="108"/>
      <c r="BL49" s="108"/>
      <c r="BM49" s="108"/>
      <c r="BN49" s="108"/>
      <c r="BO49" s="108"/>
      <c r="BP49" s="108"/>
      <c r="BQ49" s="108"/>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row>
    <row r="50" spans="1:98" x14ac:dyDescent="0.2">
      <c r="A50" s="436"/>
      <c r="B50" s="351" t="s">
        <v>1422</v>
      </c>
      <c r="C50" s="351" t="s">
        <v>1421</v>
      </c>
      <c r="D50" s="391" t="str">
        <f>IF(D28="","",ABS(SUM(D138:D144)))</f>
        <v/>
      </c>
      <c r="E50" s="391" t="str">
        <f t="shared" ref="E50:BA50" si="6">IF(E28="","",ABS(SUM(E138:E144)))</f>
        <v/>
      </c>
      <c r="F50" s="391" t="str">
        <f t="shared" si="6"/>
        <v/>
      </c>
      <c r="G50" s="391" t="str">
        <f t="shared" si="6"/>
        <v/>
      </c>
      <c r="H50" s="391" t="str">
        <f t="shared" si="6"/>
        <v/>
      </c>
      <c r="I50" s="391" t="str">
        <f t="shared" si="6"/>
        <v/>
      </c>
      <c r="J50" s="391" t="str">
        <f t="shared" si="6"/>
        <v/>
      </c>
      <c r="K50" s="391" t="str">
        <f t="shared" si="6"/>
        <v/>
      </c>
      <c r="L50" s="391" t="str">
        <f t="shared" si="6"/>
        <v/>
      </c>
      <c r="M50" s="391" t="str">
        <f t="shared" si="6"/>
        <v/>
      </c>
      <c r="N50" s="391" t="str">
        <f t="shared" si="6"/>
        <v/>
      </c>
      <c r="O50" s="391" t="str">
        <f t="shared" si="6"/>
        <v/>
      </c>
      <c r="P50" s="391" t="str">
        <f t="shared" si="6"/>
        <v/>
      </c>
      <c r="Q50" s="391" t="str">
        <f t="shared" si="6"/>
        <v/>
      </c>
      <c r="R50" s="391" t="str">
        <f t="shared" si="6"/>
        <v/>
      </c>
      <c r="S50" s="391" t="str">
        <f t="shared" si="6"/>
        <v/>
      </c>
      <c r="T50" s="391" t="str">
        <f t="shared" si="6"/>
        <v/>
      </c>
      <c r="U50" s="391" t="str">
        <f t="shared" si="6"/>
        <v/>
      </c>
      <c r="V50" s="391" t="str">
        <f t="shared" si="6"/>
        <v/>
      </c>
      <c r="W50" s="391" t="str">
        <f t="shared" si="6"/>
        <v/>
      </c>
      <c r="X50" s="391" t="str">
        <f t="shared" si="6"/>
        <v/>
      </c>
      <c r="Y50" s="391" t="str">
        <f t="shared" si="6"/>
        <v/>
      </c>
      <c r="Z50" s="391" t="str">
        <f t="shared" si="6"/>
        <v/>
      </c>
      <c r="AA50" s="391" t="str">
        <f t="shared" si="6"/>
        <v/>
      </c>
      <c r="AB50" s="391" t="str">
        <f t="shared" si="6"/>
        <v/>
      </c>
      <c r="AC50" s="391" t="str">
        <f t="shared" si="6"/>
        <v/>
      </c>
      <c r="AD50" s="391" t="str">
        <f t="shared" si="6"/>
        <v/>
      </c>
      <c r="AE50" s="391" t="str">
        <f t="shared" si="6"/>
        <v/>
      </c>
      <c r="AF50" s="391" t="str">
        <f t="shared" si="6"/>
        <v/>
      </c>
      <c r="AG50" s="391" t="str">
        <f t="shared" si="6"/>
        <v/>
      </c>
      <c r="AH50" s="391" t="str">
        <f t="shared" si="6"/>
        <v/>
      </c>
      <c r="AI50" s="391" t="str">
        <f t="shared" si="6"/>
        <v/>
      </c>
      <c r="AJ50" s="391" t="str">
        <f t="shared" si="6"/>
        <v/>
      </c>
      <c r="AK50" s="391" t="str">
        <f t="shared" si="6"/>
        <v/>
      </c>
      <c r="AL50" s="391" t="str">
        <f t="shared" si="6"/>
        <v/>
      </c>
      <c r="AM50" s="391" t="str">
        <f t="shared" si="6"/>
        <v/>
      </c>
      <c r="AN50" s="391" t="str">
        <f t="shared" si="6"/>
        <v/>
      </c>
      <c r="AO50" s="391" t="str">
        <f t="shared" si="6"/>
        <v/>
      </c>
      <c r="AP50" s="391" t="str">
        <f t="shared" si="6"/>
        <v/>
      </c>
      <c r="AQ50" s="391" t="str">
        <f t="shared" si="6"/>
        <v/>
      </c>
      <c r="AR50" s="391" t="str">
        <f t="shared" si="6"/>
        <v/>
      </c>
      <c r="AS50" s="391" t="str">
        <f t="shared" si="6"/>
        <v/>
      </c>
      <c r="AT50" s="391" t="str">
        <f t="shared" si="6"/>
        <v/>
      </c>
      <c r="AU50" s="391" t="str">
        <f t="shared" si="6"/>
        <v/>
      </c>
      <c r="AV50" s="391" t="str">
        <f t="shared" si="6"/>
        <v/>
      </c>
      <c r="AW50" s="391" t="str">
        <f t="shared" si="6"/>
        <v/>
      </c>
      <c r="AX50" s="391" t="str">
        <f t="shared" si="6"/>
        <v/>
      </c>
      <c r="AY50" s="391" t="str">
        <f t="shared" si="6"/>
        <v/>
      </c>
      <c r="AZ50" s="391" t="str">
        <f t="shared" si="6"/>
        <v/>
      </c>
      <c r="BA50" s="391" t="str">
        <f t="shared" si="6"/>
        <v/>
      </c>
      <c r="BB50" s="433"/>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row>
    <row r="51" spans="1:98" x14ac:dyDescent="0.2">
      <c r="A51" s="436"/>
      <c r="B51" s="115" t="s">
        <v>1423</v>
      </c>
      <c r="C51" s="356" t="s">
        <v>1424</v>
      </c>
      <c r="D51" s="392" t="str">
        <f>IF($B$3="","",IF(D24=$B$15,"N.C.",IF(D24=$B$12,(-D27*(D30/100)/((D27*D31/100)-D148)),IF(D24=$B$13,(-D27*(D30/100)/((D27*D31/100)-D149)),IF(D24=$B$14,(-D27*(D30/100)/((D27*D31/100)-D150)),IF(D24=$B$16,(-D27*(D30/100)/((D27*D31/100)-D154)),IF(D24=$B$17,(-D27*(D30/100)/((D27*D31/100)-D151)),IF(D24=$B$18,(-D27*(D30/100)/((D27*D31/100)-D152)),IF(D24=$B$19,(-D27*(D30/100)/((D27*D31/100)-D153)),"")))))))))</f>
        <v/>
      </c>
      <c r="E51" s="392" t="str">
        <f t="shared" ref="E51:BA51" si="7">IF($B$3="","",IF(E24=$B$15,"N.C.",IF(E24=$B$12,(-E27*(E30/100)/((E27*E31/100)-E148)),IF(E24=$B$13,(-E27*(E30/100)/((E27*E31/100)-E149)),IF(E24=$B$14,(-E27*(E30/100)/((E27*E31/100)-E150)),IF(E24=$B$16,(-E27*(E30/100)/((E27*E31/100)-E154)),IF(E24=$B$17,(-E27*(E30/100)/((E27*E31/100)-E151)),IF(E24=$B$18,(-E27*(E30/100)/((E27*E31/100)-E152)),IF(E24=$B$19,(-E27*(E30/100)/((E27*E31/100)-E153)),"")))))))))</f>
        <v/>
      </c>
      <c r="F51" s="392" t="str">
        <f t="shared" si="7"/>
        <v/>
      </c>
      <c r="G51" s="392" t="str">
        <f t="shared" si="7"/>
        <v/>
      </c>
      <c r="H51" s="392" t="str">
        <f t="shared" si="7"/>
        <v/>
      </c>
      <c r="I51" s="392" t="str">
        <f t="shared" si="7"/>
        <v/>
      </c>
      <c r="J51" s="392" t="str">
        <f t="shared" si="7"/>
        <v/>
      </c>
      <c r="K51" s="392" t="str">
        <f t="shared" si="7"/>
        <v/>
      </c>
      <c r="L51" s="392" t="str">
        <f t="shared" si="7"/>
        <v/>
      </c>
      <c r="M51" s="392" t="str">
        <f t="shared" si="7"/>
        <v/>
      </c>
      <c r="N51" s="392" t="str">
        <f t="shared" si="7"/>
        <v/>
      </c>
      <c r="O51" s="392" t="str">
        <f t="shared" si="7"/>
        <v/>
      </c>
      <c r="P51" s="392" t="str">
        <f t="shared" si="7"/>
        <v/>
      </c>
      <c r="Q51" s="392" t="str">
        <f t="shared" si="7"/>
        <v/>
      </c>
      <c r="R51" s="392" t="str">
        <f t="shared" si="7"/>
        <v/>
      </c>
      <c r="S51" s="392" t="str">
        <f t="shared" si="7"/>
        <v/>
      </c>
      <c r="T51" s="392" t="str">
        <f t="shared" si="7"/>
        <v/>
      </c>
      <c r="U51" s="392" t="str">
        <f t="shared" si="7"/>
        <v/>
      </c>
      <c r="V51" s="392" t="str">
        <f t="shared" si="7"/>
        <v/>
      </c>
      <c r="W51" s="392" t="str">
        <f t="shared" si="7"/>
        <v/>
      </c>
      <c r="X51" s="392" t="str">
        <f t="shared" si="7"/>
        <v/>
      </c>
      <c r="Y51" s="392" t="str">
        <f t="shared" si="7"/>
        <v/>
      </c>
      <c r="Z51" s="392" t="str">
        <f t="shared" si="7"/>
        <v/>
      </c>
      <c r="AA51" s="392" t="str">
        <f t="shared" si="7"/>
        <v/>
      </c>
      <c r="AB51" s="392" t="str">
        <f t="shared" si="7"/>
        <v/>
      </c>
      <c r="AC51" s="392" t="str">
        <f t="shared" si="7"/>
        <v/>
      </c>
      <c r="AD51" s="392" t="str">
        <f t="shared" si="7"/>
        <v/>
      </c>
      <c r="AE51" s="392" t="str">
        <f t="shared" si="7"/>
        <v/>
      </c>
      <c r="AF51" s="392" t="str">
        <f t="shared" si="7"/>
        <v/>
      </c>
      <c r="AG51" s="392" t="str">
        <f t="shared" si="7"/>
        <v/>
      </c>
      <c r="AH51" s="392" t="str">
        <f t="shared" si="7"/>
        <v/>
      </c>
      <c r="AI51" s="392" t="str">
        <f t="shared" si="7"/>
        <v/>
      </c>
      <c r="AJ51" s="392" t="str">
        <f t="shared" si="7"/>
        <v/>
      </c>
      <c r="AK51" s="392" t="str">
        <f t="shared" si="7"/>
        <v/>
      </c>
      <c r="AL51" s="392" t="str">
        <f t="shared" si="7"/>
        <v/>
      </c>
      <c r="AM51" s="392" t="str">
        <f t="shared" si="7"/>
        <v/>
      </c>
      <c r="AN51" s="392" t="str">
        <f t="shared" si="7"/>
        <v/>
      </c>
      <c r="AO51" s="392" t="str">
        <f t="shared" si="7"/>
        <v/>
      </c>
      <c r="AP51" s="392" t="str">
        <f t="shared" si="7"/>
        <v/>
      </c>
      <c r="AQ51" s="392" t="str">
        <f t="shared" si="7"/>
        <v/>
      </c>
      <c r="AR51" s="392" t="str">
        <f t="shared" si="7"/>
        <v/>
      </c>
      <c r="AS51" s="392" t="str">
        <f t="shared" si="7"/>
        <v/>
      </c>
      <c r="AT51" s="392" t="str">
        <f t="shared" si="7"/>
        <v/>
      </c>
      <c r="AU51" s="392" t="str">
        <f t="shared" si="7"/>
        <v/>
      </c>
      <c r="AV51" s="392" t="str">
        <f t="shared" si="7"/>
        <v/>
      </c>
      <c r="AW51" s="392" t="str">
        <f t="shared" si="7"/>
        <v/>
      </c>
      <c r="AX51" s="392" t="str">
        <f t="shared" si="7"/>
        <v/>
      </c>
      <c r="AY51" s="392" t="str">
        <f t="shared" si="7"/>
        <v/>
      </c>
      <c r="AZ51" s="392" t="str">
        <f t="shared" si="7"/>
        <v/>
      </c>
      <c r="BA51" s="392" t="str">
        <f t="shared" si="7"/>
        <v/>
      </c>
      <c r="BB51" s="433"/>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row>
    <row r="52" spans="1:98" x14ac:dyDescent="0.2">
      <c r="A52" s="436"/>
      <c r="B52" s="356" t="s">
        <v>1425</v>
      </c>
      <c r="C52" s="356" t="s">
        <v>1426</v>
      </c>
      <c r="D52" s="393" t="str">
        <f>IF(D24="","",IF(D24=$B$12,D31-(D148*10000*D31/(D31/100*D27*10000)),IF(D24=$B$13,D31-(D149*10000*D31/(D31/100*D27*10000)),IF(D24=$B$14,D31-(D150*10000*D31/(D31/100*D27*10000)),"N.C."))))</f>
        <v/>
      </c>
      <c r="E52" s="393" t="str">
        <f t="shared" ref="E52:BA52" si="8">IF(E24="","",IF(E24=$B$12,E31-(E148*10000*E31/(E31/100*E27*10000)),IF(E24=$B$13,E31-(E149*10000*E31/(E31/100*E27*10000)),IF(E24=$B$14,E31-(E150*10000*E31/(E31/100*E27*10000)),"N.C."))))</f>
        <v/>
      </c>
      <c r="F52" s="393" t="str">
        <f t="shared" si="8"/>
        <v/>
      </c>
      <c r="G52" s="393" t="str">
        <f t="shared" si="8"/>
        <v/>
      </c>
      <c r="H52" s="393" t="str">
        <f t="shared" si="8"/>
        <v/>
      </c>
      <c r="I52" s="393" t="str">
        <f t="shared" si="8"/>
        <v/>
      </c>
      <c r="J52" s="393" t="str">
        <f t="shared" si="8"/>
        <v/>
      </c>
      <c r="K52" s="393" t="str">
        <f t="shared" si="8"/>
        <v/>
      </c>
      <c r="L52" s="393" t="str">
        <f t="shared" si="8"/>
        <v/>
      </c>
      <c r="M52" s="393" t="str">
        <f t="shared" si="8"/>
        <v/>
      </c>
      <c r="N52" s="393" t="str">
        <f t="shared" si="8"/>
        <v/>
      </c>
      <c r="O52" s="393" t="str">
        <f t="shared" si="8"/>
        <v/>
      </c>
      <c r="P52" s="393" t="str">
        <f t="shared" si="8"/>
        <v/>
      </c>
      <c r="Q52" s="393" t="str">
        <f t="shared" si="8"/>
        <v/>
      </c>
      <c r="R52" s="393" t="str">
        <f t="shared" si="8"/>
        <v/>
      </c>
      <c r="S52" s="393" t="str">
        <f t="shared" si="8"/>
        <v/>
      </c>
      <c r="T52" s="393" t="str">
        <f t="shared" si="8"/>
        <v/>
      </c>
      <c r="U52" s="393" t="str">
        <f t="shared" si="8"/>
        <v/>
      </c>
      <c r="V52" s="393" t="str">
        <f t="shared" si="8"/>
        <v/>
      </c>
      <c r="W52" s="393" t="str">
        <f t="shared" si="8"/>
        <v/>
      </c>
      <c r="X52" s="393" t="str">
        <f t="shared" si="8"/>
        <v/>
      </c>
      <c r="Y52" s="393" t="str">
        <f t="shared" si="8"/>
        <v/>
      </c>
      <c r="Z52" s="393" t="str">
        <f t="shared" si="8"/>
        <v/>
      </c>
      <c r="AA52" s="393" t="str">
        <f t="shared" si="8"/>
        <v/>
      </c>
      <c r="AB52" s="393" t="str">
        <f t="shared" si="8"/>
        <v/>
      </c>
      <c r="AC52" s="393" t="str">
        <f t="shared" si="8"/>
        <v/>
      </c>
      <c r="AD52" s="393" t="str">
        <f t="shared" si="8"/>
        <v/>
      </c>
      <c r="AE52" s="393" t="str">
        <f t="shared" si="8"/>
        <v/>
      </c>
      <c r="AF52" s="393" t="str">
        <f t="shared" si="8"/>
        <v/>
      </c>
      <c r="AG52" s="393" t="str">
        <f t="shared" si="8"/>
        <v/>
      </c>
      <c r="AH52" s="393" t="str">
        <f t="shared" si="8"/>
        <v/>
      </c>
      <c r="AI52" s="393" t="str">
        <f t="shared" si="8"/>
        <v/>
      </c>
      <c r="AJ52" s="393" t="str">
        <f t="shared" si="8"/>
        <v/>
      </c>
      <c r="AK52" s="393" t="str">
        <f t="shared" si="8"/>
        <v/>
      </c>
      <c r="AL52" s="393" t="str">
        <f t="shared" si="8"/>
        <v/>
      </c>
      <c r="AM52" s="393" t="str">
        <f t="shared" si="8"/>
        <v/>
      </c>
      <c r="AN52" s="393" t="str">
        <f t="shared" si="8"/>
        <v/>
      </c>
      <c r="AO52" s="393" t="str">
        <f t="shared" si="8"/>
        <v/>
      </c>
      <c r="AP52" s="393" t="str">
        <f t="shared" si="8"/>
        <v/>
      </c>
      <c r="AQ52" s="393" t="str">
        <f t="shared" si="8"/>
        <v/>
      </c>
      <c r="AR52" s="393" t="str">
        <f t="shared" si="8"/>
        <v/>
      </c>
      <c r="AS52" s="393" t="str">
        <f t="shared" si="8"/>
        <v/>
      </c>
      <c r="AT52" s="393" t="str">
        <f t="shared" si="8"/>
        <v/>
      </c>
      <c r="AU52" s="393" t="str">
        <f t="shared" si="8"/>
        <v/>
      </c>
      <c r="AV52" s="393" t="str">
        <f t="shared" si="8"/>
        <v/>
      </c>
      <c r="AW52" s="393" t="str">
        <f t="shared" si="8"/>
        <v/>
      </c>
      <c r="AX52" s="393" t="str">
        <f t="shared" si="8"/>
        <v/>
      </c>
      <c r="AY52" s="393" t="str">
        <f t="shared" si="8"/>
        <v/>
      </c>
      <c r="AZ52" s="393" t="str">
        <f t="shared" si="8"/>
        <v/>
      </c>
      <c r="BA52" s="393" t="str">
        <f t="shared" si="8"/>
        <v/>
      </c>
      <c r="BB52" s="433"/>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row>
    <row r="53" spans="1:98" x14ac:dyDescent="0.2">
      <c r="A53" s="436"/>
      <c r="B53" s="394" t="s">
        <v>1427</v>
      </c>
      <c r="C53" s="356" t="s">
        <v>1428</v>
      </c>
      <c r="D53" s="395" t="str">
        <f>IF(D24="","",IF(D24=Bovins,(D32+D33)*QtéRationComplèteHivernaleBovin_0_3Mois+(D34+D35)*QtéRationComplèteHivernaleBovin_3_6Mois+(D36+D37)*QtéRationComplèteHivernaleBovin_6_12Mois+(D38+D39)*QtéRationComplèteHivernaleBovin_12_18Mois+(D40+D41)*QtéRationComplèteHivernaleBovin_18_24Mois+(D42+D43)*QtéRationComplèteHivernaleBovin_24_36Mois+(D44+D45)*QtéRationComplèteHivernaleBovin_3AnsEtPlus,IF(D24=Ovins,(D32+D33)*QtéRationComplèteHivernaleOvin_0_3Mois+(D34+D35)*QtéRationComplèteHivernaleOvin_3_6Mois+(D36+D37)*QtéRationComplèteHivernaleOvin_6_12Mois+(D38+D39+D40+D41+D42+D43+D44+D45)*QtéRationComplèteHivernaleOvin_1AnEtPlus,IF(D24=Bisons,(SUM(D32:D33)*QtéRationComplèteHivernaleBison_0_3Mois+SUM(D34:D35)*QtéRationComplèteHivernaleBison_3_6Mois+SUM(D36:D37)*QtéRationComplèteHivernaleBison_6_12Mois+SUM(D38:D39)*QtéRationComplèteHivernaleBison_12_18Mois+SUM(D40:D41)*QtéRationComplèteHivernaleBison_18_24Mois+SUM(D42:D43)*QtéRationComplèteHivernaleBison_24_36Mois+SUM(D44:D45)*QtéRationComplèteHivernaleBison_3AnsEtPlus)/42,IF(D24=Daims,(SUM(D32:D33)*QtéRationComplèteHivernaleDaim_0_3Mois+SUM(D34:D35)*QtéRationComplèteHivernaleDaim_3_6Mois+SUM(D36:D37)*QtéRationComplèteHivernaleDaim_6_12Mois+SUM(D38:D39)*QtéRationComplèteHivernaleDaim_12_18Mois+SUM(D40:D41)*QtéRationComplèteHivernaleDaim_18_24Mois+SUM(D42:D43)*QtéRationComplèteHivernaleDaim_24_36Mois+SUM(D44:D45)*QtéRationComplèteHivernaleDaim_3AnsEtPlus)/42,IF(D24=ChevauxSelle,((D32+D33+D34+D35+D36+D37)*QtéRationComplèteHivernaleChevauxSelle0_12Mois+(D38+D39+D40+D41)*QtéRationComplèteHivernaleChevauxSelle12_24Mois+(D42+D43)*QtéRationComplèteHivernaleChevauxSelle24_36Mois+SUM(D44+D45)*QtéRationComplèteHivernaleChevauxSelle3AnsEtPlus)*21,IF(D24=ChevauxTrait,((D32+D33+D34+D35+D36+D37)*QtéRationComplèteHivernaleChevauxTrait_0_12Mois+(D38+D39+D40+D41)*QtéRationComplèteHivernaleChevauxTrait_12_24Mois+(D42+D43)*QtéRationComplèteHivernaleChevauxTrait_24_36Mois+SUM(D44+D45)*QtéRationComplèteHivernaleChevauxTrait_3AnsEtPlus)*21,IF(D24=Poneys,((D32+D33+D34+D35+D36+D37)*QtéRationComplèteHivernalePoneys_0_12Mois+(D38+D39+D40+D41)*QtéRationComplèteHivernalePoneys_12_24Mois+(D42+D43)*QtéRationComplèteHivernalePoneys_24_36Mois+SUM(D44+D45)*QtéRationComplèteHivernalePoneys_3AnsEtPlus)*21,0))))))))</f>
        <v/>
      </c>
      <c r="E53" s="395" t="str">
        <f>IF(E24="","",IF(E24=Bovins,(E32+E33)*QtéRationComplèteHivernaleBovin_0_3Mois+(E34+E35)*QtéRationComplèteHivernaleBovin_3_6Mois+(E36+E37)*QtéRationComplèteHivernaleBovin_6_12Mois+(E38+E39)*QtéRationComplèteHivernaleBovin_12_18Mois+(E40+E41)*QtéRationComplèteHivernaleBovin_18_24Mois+(E42+E43)*QtéRationComplèteHivernaleBovin_24_36Mois+(E44+E45)*QtéRationComplèteHivernaleBovin_3AnsEtPlus,IF(E24=Ovins,(E32+E33)*QtéRationComplèteHivernaleOvin_0_3Mois+(E34+E35)*QtéRationComplèteHivernaleOvin_3_6Mois+(E36+E37)*QtéRationComplèteHivernaleOvin_6_12Mois+(E38+E39+E40+E41+E42+E43+E44+E45)*QtéRationComplèteHivernaleOvin_1AnEtPlus,IF(E24=Bisons,(SUM(E32:E33)*QtéRationComplèteHivernaleBison_0_3Mois+SUM(E34:E35)*QtéRationComplèteHivernaleBison_3_6Mois+SUM(E36:E37)*QtéRationComplèteHivernaleBison_6_12Mois+SUM(E38:E39)*QtéRationComplèteHivernaleBison_12_18Mois+SUM(E40:E41)*QtéRationComplèteHivernaleBison_18_24Mois+SUM(E42:E43)*QtéRationComplèteHivernaleBison_24_36Mois+SUM(E44:E45)*QtéRationComplèteHivernaleBison_3AnsEtPlus)/42,IF(E24=Daims,(SUM(E32:E33)*QtéRationComplèteHivernaleDaim_0_3Mois+SUM(E34:E35)*QtéRationComplèteHivernaleDaim_3_6Mois+SUM(E36:E37)*QtéRationComplèteHivernaleDaim_6_12Mois+SUM(E38:E39)*QtéRationComplèteHivernaleDaim_12_18Mois+SUM(E40:E41)*QtéRationComplèteHivernaleDaim_18_24Mois+SUM(E42:E43)*QtéRationComplèteHivernaleDaim_24_36Mois+SUM(E44:E45)*QtéRationComplèteHivernaleDaim_3AnsEtPlus)/42,IF(E24=ChevauxSelle,((E32+E33+E34+E35+E36+E37)*QtéRationComplèteHivernaleChevauxSelle0_12Mois+(E38+E39+E40+E41)*QtéRationComplèteHivernaleChevauxSelle12_24Mois+(E42+E43)*QtéRationComplèteHivernaleChevauxSelle24_36Mois+SUM(E44+E45)*QtéRationComplèteHivernaleChevauxSelle3AnsEtPlus)*21,IF(E24=ChevauxTrait,((E32+E33+E34+E35+E36+E37)*QtéRationComplèteHivernaleChevauxTrait_0_12Mois+(E38+E39+E40+E41)*QtéRationComplèteHivernaleChevauxTrait_12_24Mois+(E42+E43)*QtéRationComplèteHivernaleChevauxTrait_24_36Mois+SUM(E44+E45)*QtéRationComplèteHivernaleChevauxTrait_3AnsEtPlus)*21,IF(E24=Poneys,((E32+E33+E34+E35+E36+E37)*QtéRationComplèteHivernalePoneys_0_12Mois+(E38+E39+E40+E41)*QtéRationComplèteHivernalePoneys_12_24Mois+(E42+E43)*QtéRationComplèteHivernalePoneys_24_36Mois+SUM(E44+E45)*QtéRationComplèteHivernalePoneys_3AnsEtPlus)*21,0))))))))</f>
        <v/>
      </c>
      <c r="F53" s="395" t="str">
        <f>IF(F24="","",IF(F24=Bovins,(F32+F33)*QtéRationComplèteHivernaleBovin_0_3Mois+(F34+F35)*QtéRationComplèteHivernaleBovin_3_6Mois+(F36+F37)*QtéRationComplèteHivernaleBovin_6_12Mois+(F38+F39)*QtéRationComplèteHivernaleBovin_12_18Mois+(F40+F41)*QtéRationComplèteHivernaleBovin_18_24Mois+(F42+F43)*QtéRationComplèteHivernaleBovin_24_36Mois+(F44+F45)*QtéRationComplèteHivernaleBovin_3AnsEtPlus,IF(F24=Ovins,(F32+F33)*QtéRationComplèteHivernaleOvin_0_3Mois+(F34+F35)*QtéRationComplèteHivernaleOvin_3_6Mois+(F36+F37)*QtéRationComplèteHivernaleOvin_6_12Mois+(F38+F39+F40+F41+F42+F43+F44+F45)*QtéRationComplèteHivernaleOvin_1AnEtPlus,IF(F24=Bisons,(SUM(F32:F33)*QtéRationComplèteHivernaleBison_0_3Mois+SUM(F34:F35)*QtéRationComplèteHivernaleBison_3_6Mois+SUM(F36:F37)*QtéRationComplèteHivernaleBison_6_12Mois+SUM(F38:F39)*QtéRationComplèteHivernaleBison_12_18Mois+SUM(F40:F41)*QtéRationComplèteHivernaleBison_18_24Mois+SUM(F42:F43)*QtéRationComplèteHivernaleBison_24_36Mois+SUM(F44:F45)*QtéRationComplèteHivernaleBison_3AnsEtPlus)/42,IF(F24=Daims,(SUM(F32:F33)*QtéRationComplèteHivernaleDaim_0_3Mois+SUM(F34:F35)*QtéRationComplèteHivernaleDaim_3_6Mois+SUM(F36:F37)*QtéRationComplèteHivernaleDaim_6_12Mois+SUM(F38:F39)*QtéRationComplèteHivernaleDaim_12_18Mois+SUM(F40:F41)*QtéRationComplèteHivernaleDaim_18_24Mois+SUM(F42:F43)*QtéRationComplèteHivernaleDaim_24_36Mois+SUM(F44:F45)*QtéRationComplèteHivernaleDaim_3AnsEtPlus)/42,IF(F24=ChevauxSelle,((F32+F33+F34+F35+F36+F37)*QtéRationComplèteHivernaleChevauxSelle0_12Mois+(F38+F39+F40+F41)*QtéRationComplèteHivernaleChevauxSelle12_24Mois+(F42+F43)*QtéRationComplèteHivernaleChevauxSelle24_36Mois+SUM(F44+F45)*QtéRationComplèteHivernaleChevauxSelle3AnsEtPlus)*21,IF(F24=ChevauxTrait,((F32+F33+F34+F35+F36+F37)*QtéRationComplèteHivernaleChevauxTrait_0_12Mois+(F38+F39+F40+F41)*QtéRationComplèteHivernaleChevauxTrait_12_24Mois+(F42+F43)*QtéRationComplèteHivernaleChevauxTrait_24_36Mois+SUM(F44+F45)*QtéRationComplèteHivernaleChevauxTrait_3AnsEtPlus)*21,IF(F24=Poneys,((F32+F33+F34+F35+F36+F37)*QtéRationComplèteHivernalePoneys_0_12Mois+(F38+F39+F40+F41)*QtéRationComplèteHivernalePoneys_12_24Mois+(F42+F43)*QtéRationComplèteHivernalePoneys_24_36Mois+SUM(F44+F45)*QtéRationComplèteHivernalePoneys_3AnsEtPlus)*21,0))))))))</f>
        <v/>
      </c>
      <c r="G53" s="395" t="str">
        <f>IF(G24="","",IF(G24=Bovins,(G32+G33)*QtéRationComplèteHivernaleBovin_0_3Mois+(G34+G35)*QtéRationComplèteHivernaleBovin_3_6Mois+(G36+G37)*QtéRationComplèteHivernaleBovin_6_12Mois+(G38+G39)*QtéRationComplèteHivernaleBovin_12_18Mois+(G40+G41)*QtéRationComplèteHivernaleBovin_18_24Mois+(G42+G43)*QtéRationComplèteHivernaleBovin_24_36Mois+(G44+G45)*QtéRationComplèteHivernaleBovin_3AnsEtPlus,IF(G24=Ovins,(G32+G33)*QtéRationComplèteHivernaleOvin_0_3Mois+(G34+G35)*QtéRationComplèteHivernaleOvin_3_6Mois+(G36+G37)*QtéRationComplèteHivernaleOvin_6_12Mois+(G38+G39+G40+G41+G42+G43+G44+G45)*QtéRationComplèteHivernaleOvin_1AnEtPlus,IF(G24=Bisons,(SUM(G32:G33)*QtéRationComplèteHivernaleBison_0_3Mois+SUM(G34:G35)*QtéRationComplèteHivernaleBison_3_6Mois+SUM(G36:G37)*QtéRationComplèteHivernaleBison_6_12Mois+SUM(G38:G39)*QtéRationComplèteHivernaleBison_12_18Mois+SUM(G40:G41)*QtéRationComplèteHivernaleBison_18_24Mois+SUM(G42:G43)*QtéRationComplèteHivernaleBison_24_36Mois+SUM(G44:G45)*QtéRationComplèteHivernaleBison_3AnsEtPlus)/42,IF(G24=Daims,(SUM(G32:G33)*QtéRationComplèteHivernaleDaim_0_3Mois+SUM(G34:G35)*QtéRationComplèteHivernaleDaim_3_6Mois+SUM(G36:G37)*QtéRationComplèteHivernaleDaim_6_12Mois+SUM(G38:G39)*QtéRationComplèteHivernaleDaim_12_18Mois+SUM(G40:G41)*QtéRationComplèteHivernaleDaim_18_24Mois+SUM(G42:G43)*QtéRationComplèteHivernaleDaim_24_36Mois+SUM(G44:G45)*QtéRationComplèteHivernaleDaim_3AnsEtPlus)/42,IF(G24=ChevauxSelle,((G32+G33+G34+G35+G36+G37)*QtéRationComplèteHivernaleChevauxSelle0_12Mois+(G38+G39+G40+G41)*QtéRationComplèteHivernaleChevauxSelle12_24Mois+(G42+G43)*QtéRationComplèteHivernaleChevauxSelle24_36Mois+SUM(G44+G45)*QtéRationComplèteHivernaleChevauxSelle3AnsEtPlus)*21,IF(G24=ChevauxTrait,((G32+G33+G34+G35+G36+G37)*QtéRationComplèteHivernaleChevauxTrait_0_12Mois+(G38+G39+G40+G41)*QtéRationComplèteHivernaleChevauxTrait_12_24Mois+(G42+G43)*QtéRationComplèteHivernaleChevauxTrait_24_36Mois+SUM(G44+G45)*QtéRationComplèteHivernaleChevauxTrait_3AnsEtPlus)*21,IF(G24=Poneys,((G32+G33+G34+G35+G36+G37)*QtéRationComplèteHivernalePoneys_0_12Mois+(G38+G39+G40+G41)*QtéRationComplèteHivernalePoneys_12_24Mois+(G42+G43)*QtéRationComplèteHivernalePoneys_24_36Mois+SUM(G44+G45)*QtéRationComplèteHivernalePoneys_3AnsEtPlus)*21,0))))))))</f>
        <v/>
      </c>
      <c r="H53" s="395" t="str">
        <f>IF(H24="","",IF(H24=Bovins,(H32+H33)*QtéRationComplèteHivernaleBovin_0_3Mois+(H34+H35)*QtéRationComplèteHivernaleBovin_3_6Mois+(H36+H37)*QtéRationComplèteHivernaleBovin_6_12Mois+(H38+H39)*QtéRationComplèteHivernaleBovin_12_18Mois+(H40+H41)*QtéRationComplèteHivernaleBovin_18_24Mois+(H42+H43)*QtéRationComplèteHivernaleBovin_24_36Mois+(H44+H45)*QtéRationComplèteHivernaleBovin_3AnsEtPlus,IF(H24=Ovins,(H32+H33)*QtéRationComplèteHivernaleOvin_0_3Mois+(H34+H35)*QtéRationComplèteHivernaleOvin_3_6Mois+(H36+H37)*QtéRationComplèteHivernaleOvin_6_12Mois+(H38+H39+H40+H41+H42+H43+H44+H45)*QtéRationComplèteHivernaleOvin_1AnEtPlus,IF(H24=Bisons,(SUM(H32:H33)*QtéRationComplèteHivernaleBison_0_3Mois+SUM(H34:H35)*QtéRationComplèteHivernaleBison_3_6Mois+SUM(H36:H37)*QtéRationComplèteHivernaleBison_6_12Mois+SUM(H38:H39)*QtéRationComplèteHivernaleBison_12_18Mois+SUM(H40:H41)*QtéRationComplèteHivernaleBison_18_24Mois+SUM(H42:H43)*QtéRationComplèteHivernaleBison_24_36Mois+SUM(H44:H45)*QtéRationComplèteHivernaleBison_3AnsEtPlus)/42,IF(H24=Daims,(SUM(H32:H33)*QtéRationComplèteHivernaleDaim_0_3Mois+SUM(H34:H35)*QtéRationComplèteHivernaleDaim_3_6Mois+SUM(H36:H37)*QtéRationComplèteHivernaleDaim_6_12Mois+SUM(H38:H39)*QtéRationComplèteHivernaleDaim_12_18Mois+SUM(H40:H41)*QtéRationComplèteHivernaleDaim_18_24Mois+SUM(H42:H43)*QtéRationComplèteHivernaleDaim_24_36Mois+SUM(H44:H45)*QtéRationComplèteHivernaleDaim_3AnsEtPlus)/42,IF(H24=ChevauxSelle,((H32+H33+H34+H35+H36+H37)*QtéRationComplèteHivernaleChevauxSelle0_12Mois+(H38+H39+H40+H41)*QtéRationComplèteHivernaleChevauxSelle12_24Mois+(H42+H43)*QtéRationComplèteHivernaleChevauxSelle24_36Mois+SUM(H44+H45)*QtéRationComplèteHivernaleChevauxSelle3AnsEtPlus)*21,IF(H24=ChevauxTrait,((H32+H33+H34+H35+H36+H37)*QtéRationComplèteHivernaleChevauxTrait_0_12Mois+(H38+H39+H40+H41)*QtéRationComplèteHivernaleChevauxTrait_12_24Mois+(H42+H43)*QtéRationComplèteHivernaleChevauxTrait_24_36Mois+SUM(H44+H45)*QtéRationComplèteHivernaleChevauxTrait_3AnsEtPlus)*21,IF(H24=Poneys,((H32+H33+H34+H35+H36+H37)*QtéRationComplèteHivernalePoneys_0_12Mois+(H38+H39+H40+H41)*QtéRationComplèteHivernalePoneys_12_24Mois+(H42+H43)*QtéRationComplèteHivernalePoneys_24_36Mois+SUM(H44+H45)*QtéRationComplèteHivernalePoneys_3AnsEtPlus)*21,0))))))))</f>
        <v/>
      </c>
      <c r="I53" s="395" t="str">
        <f>IF(I24="","",IF(I24=Bovins,(I32+I33)*QtéRationComplèteHivernaleBovin_0_3Mois+(I34+I35)*QtéRationComplèteHivernaleBovin_3_6Mois+(I36+I37)*QtéRationComplèteHivernaleBovin_6_12Mois+(I38+I39)*QtéRationComplèteHivernaleBovin_12_18Mois+(I40+I41)*QtéRationComplèteHivernaleBovin_18_24Mois+(I42+I43)*QtéRationComplèteHivernaleBovin_24_36Mois+(I44+I45)*QtéRationComplèteHivernaleBovin_3AnsEtPlus,IF(I24=Ovins,(I32+I33)*QtéRationComplèteHivernaleOvin_0_3Mois+(I34+I35)*QtéRationComplèteHivernaleOvin_3_6Mois+(I36+I37)*QtéRationComplèteHivernaleOvin_6_12Mois+(I38+I39+I40+I41+I42+I43+I44+I45)*QtéRationComplèteHivernaleOvin_1AnEtPlus,IF(I24=Bisons,(SUM(I32:I33)*QtéRationComplèteHivernaleBison_0_3Mois+SUM(I34:I35)*QtéRationComplèteHivernaleBison_3_6Mois+SUM(I36:I37)*QtéRationComplèteHivernaleBison_6_12Mois+SUM(I38:I39)*QtéRationComplèteHivernaleBison_12_18Mois+SUM(I40:I41)*QtéRationComplèteHivernaleBison_18_24Mois+SUM(I42:I43)*QtéRationComplèteHivernaleBison_24_36Mois+SUM(I44:I45)*QtéRationComplèteHivernaleBison_3AnsEtPlus)/42,IF(I24=Daims,(SUM(I32:I33)*QtéRationComplèteHivernaleDaim_0_3Mois+SUM(I34:I35)*QtéRationComplèteHivernaleDaim_3_6Mois+SUM(I36:I37)*QtéRationComplèteHivernaleDaim_6_12Mois+SUM(I38:I39)*QtéRationComplèteHivernaleDaim_12_18Mois+SUM(I40:I41)*QtéRationComplèteHivernaleDaim_18_24Mois+SUM(I42:I43)*QtéRationComplèteHivernaleDaim_24_36Mois+SUM(I44:I45)*QtéRationComplèteHivernaleDaim_3AnsEtPlus)/42,IF(I24=ChevauxSelle,((I32+I33+I34+I35+I36+I37)*QtéRationComplèteHivernaleChevauxSelle0_12Mois+(I38+I39+I40+I41)*QtéRationComplèteHivernaleChevauxSelle12_24Mois+(I42+I43)*QtéRationComplèteHivernaleChevauxSelle24_36Mois+SUM(I44+I45)*QtéRationComplèteHivernaleChevauxSelle3AnsEtPlus)*21,IF(I24=ChevauxTrait,((I32+I33+I34+I35+I36+I37)*QtéRationComplèteHivernaleChevauxTrait_0_12Mois+(I38+I39+I40+I41)*QtéRationComplèteHivernaleChevauxTrait_12_24Mois+(I42+I43)*QtéRationComplèteHivernaleChevauxTrait_24_36Mois+SUM(I44+I45)*QtéRationComplèteHivernaleChevauxTrait_3AnsEtPlus)*21,IF(I24=Poneys,((I32+I33+I34+I35+I36+I37)*QtéRationComplèteHivernalePoneys_0_12Mois+(I38+I39+I40+I41)*QtéRationComplèteHivernalePoneys_12_24Mois+(I42+I43)*QtéRationComplèteHivernalePoneys_24_36Mois+SUM(I44+I45)*QtéRationComplèteHivernalePoneys_3AnsEtPlus)*21,0))))))))</f>
        <v/>
      </c>
      <c r="J53" s="395" t="str">
        <f>IF(J24="","",IF(J24=Bovins,(J32+J33)*QtéRationComplèteHivernaleBovin_0_3Mois+(J34+J35)*QtéRationComplèteHivernaleBovin_3_6Mois+(J36+J37)*QtéRationComplèteHivernaleBovin_6_12Mois+(J38+J39)*QtéRationComplèteHivernaleBovin_12_18Mois+(J40+J41)*QtéRationComplèteHivernaleBovin_18_24Mois+(J42+J43)*QtéRationComplèteHivernaleBovin_24_36Mois+(J44+J45)*QtéRationComplèteHivernaleBovin_3AnsEtPlus,IF(J24=Ovins,(J32+J33)*QtéRationComplèteHivernaleOvin_0_3Mois+(J34+J35)*QtéRationComplèteHivernaleOvin_3_6Mois+(J36+J37)*QtéRationComplèteHivernaleOvin_6_12Mois+(J38+J39+J40+J41+J42+J43+J44+J45)*QtéRationComplèteHivernaleOvin_1AnEtPlus,IF(J24=Bisons,(SUM(J32:J33)*QtéRationComplèteHivernaleBison_0_3Mois+SUM(J34:J35)*QtéRationComplèteHivernaleBison_3_6Mois+SUM(J36:J37)*QtéRationComplèteHivernaleBison_6_12Mois+SUM(J38:J39)*QtéRationComplèteHivernaleBison_12_18Mois+SUM(J40:J41)*QtéRationComplèteHivernaleBison_18_24Mois+SUM(J42:J43)*QtéRationComplèteHivernaleBison_24_36Mois+SUM(J44:J45)*QtéRationComplèteHivernaleBison_3AnsEtPlus)/42,IF(J24=Daims,(SUM(J32:J33)*QtéRationComplèteHivernaleDaim_0_3Mois+SUM(J34:J35)*QtéRationComplèteHivernaleDaim_3_6Mois+SUM(J36:J37)*QtéRationComplèteHivernaleDaim_6_12Mois+SUM(J38:J39)*QtéRationComplèteHivernaleDaim_12_18Mois+SUM(J40:J41)*QtéRationComplèteHivernaleDaim_18_24Mois+SUM(J42:J43)*QtéRationComplèteHivernaleDaim_24_36Mois+SUM(J44:J45)*QtéRationComplèteHivernaleDaim_3AnsEtPlus)/42,IF(J24=ChevauxSelle,((J32+J33+J34+J35+J36+J37)*QtéRationComplèteHivernaleChevauxSelle0_12Mois+(J38+J39+J40+J41)*QtéRationComplèteHivernaleChevauxSelle12_24Mois+(J42+J43)*QtéRationComplèteHivernaleChevauxSelle24_36Mois+SUM(J44+J45)*QtéRationComplèteHivernaleChevauxSelle3AnsEtPlus)*21,IF(J24=ChevauxTrait,((J32+J33+J34+J35+J36+J37)*QtéRationComplèteHivernaleChevauxTrait_0_12Mois+(J38+J39+J40+J41)*QtéRationComplèteHivernaleChevauxTrait_12_24Mois+(J42+J43)*QtéRationComplèteHivernaleChevauxTrait_24_36Mois+SUM(J44+J45)*QtéRationComplèteHivernaleChevauxTrait_3AnsEtPlus)*21,IF(J24=Poneys,((J32+J33+J34+J35+J36+J37)*QtéRationComplèteHivernalePoneys_0_12Mois+(J38+J39+J40+J41)*QtéRationComplèteHivernalePoneys_12_24Mois+(J42+J43)*QtéRationComplèteHivernalePoneys_24_36Mois+SUM(J44+J45)*QtéRationComplèteHivernalePoneys_3AnsEtPlus)*21,0))))))))</f>
        <v/>
      </c>
      <c r="K53" s="395" t="str">
        <f>IF(K24="","",IF(K24=Bovins,(K32+K33)*QtéRationComplèteHivernaleBovin_0_3Mois+(K34+K35)*QtéRationComplèteHivernaleBovin_3_6Mois+(K36+K37)*QtéRationComplèteHivernaleBovin_6_12Mois+(K38+K39)*QtéRationComplèteHivernaleBovin_12_18Mois+(K40+K41)*QtéRationComplèteHivernaleBovin_18_24Mois+(K42+K43)*QtéRationComplèteHivernaleBovin_24_36Mois+(K44+K45)*QtéRationComplèteHivernaleBovin_3AnsEtPlus,IF(K24=Ovins,(K32+K33)*QtéRationComplèteHivernaleOvin_0_3Mois+(K34+K35)*QtéRationComplèteHivernaleOvin_3_6Mois+(K36+K37)*QtéRationComplèteHivernaleOvin_6_12Mois+(K38+K39+K40+K41+K42+K43+K44+K45)*QtéRationComplèteHivernaleOvin_1AnEtPlus,IF(K24=Bisons,(SUM(K32:K33)*QtéRationComplèteHivernaleBison_0_3Mois+SUM(K34:K35)*QtéRationComplèteHivernaleBison_3_6Mois+SUM(K36:K37)*QtéRationComplèteHivernaleBison_6_12Mois+SUM(K38:K39)*QtéRationComplèteHivernaleBison_12_18Mois+SUM(K40:K41)*QtéRationComplèteHivernaleBison_18_24Mois+SUM(K42:K43)*QtéRationComplèteHivernaleBison_24_36Mois+SUM(K44:K45)*QtéRationComplèteHivernaleBison_3AnsEtPlus)/42,IF(K24=Daims,(SUM(K32:K33)*QtéRationComplèteHivernaleDaim_0_3Mois+SUM(K34:K35)*QtéRationComplèteHivernaleDaim_3_6Mois+SUM(K36:K37)*QtéRationComplèteHivernaleDaim_6_12Mois+SUM(K38:K39)*QtéRationComplèteHivernaleDaim_12_18Mois+SUM(K40:K41)*QtéRationComplèteHivernaleDaim_18_24Mois+SUM(K42:K43)*QtéRationComplèteHivernaleDaim_24_36Mois+SUM(K44:K45)*QtéRationComplèteHivernaleDaim_3AnsEtPlus)/42,IF(K24=ChevauxSelle,((K32+K33+K34+K35+K36+K37)*QtéRationComplèteHivernaleChevauxSelle0_12Mois+(K38+K39+K40+K41)*QtéRationComplèteHivernaleChevauxSelle12_24Mois+(K42+K43)*QtéRationComplèteHivernaleChevauxSelle24_36Mois+SUM(K44+K45)*QtéRationComplèteHivernaleChevauxSelle3AnsEtPlus)*21,IF(K24=ChevauxTrait,((K32+K33+K34+K35+K36+K37)*QtéRationComplèteHivernaleChevauxTrait_0_12Mois+(K38+K39+K40+K41)*QtéRationComplèteHivernaleChevauxTrait_12_24Mois+(K42+K43)*QtéRationComplèteHivernaleChevauxTrait_24_36Mois+SUM(K44+K45)*QtéRationComplèteHivernaleChevauxTrait_3AnsEtPlus)*21,IF(K24=Poneys,((K32+K33+K34+K35+K36+K37)*QtéRationComplèteHivernalePoneys_0_12Mois+(K38+K39+K40+K41)*QtéRationComplèteHivernalePoneys_12_24Mois+(K42+K43)*QtéRationComplèteHivernalePoneys_24_36Mois+SUM(K44+K45)*QtéRationComplèteHivernalePoneys_3AnsEtPlus)*21,0))))))))</f>
        <v/>
      </c>
      <c r="L53" s="395" t="str">
        <f>IF(L24="","",IF(L24=Bovins,(L32+L33)*QtéRationComplèteHivernaleBovin_0_3Mois+(L34+L35)*QtéRationComplèteHivernaleBovin_3_6Mois+(L36+L37)*QtéRationComplèteHivernaleBovin_6_12Mois+(L38+L39)*QtéRationComplèteHivernaleBovin_12_18Mois+(L40+L41)*QtéRationComplèteHivernaleBovin_18_24Mois+(L42+L43)*QtéRationComplèteHivernaleBovin_24_36Mois+(L44+L45)*QtéRationComplèteHivernaleBovin_3AnsEtPlus,IF(L24=Ovins,(L32+L33)*QtéRationComplèteHivernaleOvin_0_3Mois+(L34+L35)*QtéRationComplèteHivernaleOvin_3_6Mois+(L36+L37)*QtéRationComplèteHivernaleOvin_6_12Mois+(L38+L39+L40+L41+L42+L43+L44+L45)*QtéRationComplèteHivernaleOvin_1AnEtPlus,IF(L24=Bisons,(SUM(L32:L33)*QtéRationComplèteHivernaleBison_0_3Mois+SUM(L34:L35)*QtéRationComplèteHivernaleBison_3_6Mois+SUM(L36:L37)*QtéRationComplèteHivernaleBison_6_12Mois+SUM(L38:L39)*QtéRationComplèteHivernaleBison_12_18Mois+SUM(L40:L41)*QtéRationComplèteHivernaleBison_18_24Mois+SUM(L42:L43)*QtéRationComplèteHivernaleBison_24_36Mois+SUM(L44:L45)*QtéRationComplèteHivernaleBison_3AnsEtPlus)/42,IF(L24=Daims,(SUM(L32:L33)*QtéRationComplèteHivernaleDaim_0_3Mois+SUM(L34:L35)*QtéRationComplèteHivernaleDaim_3_6Mois+SUM(L36:L37)*QtéRationComplèteHivernaleDaim_6_12Mois+SUM(L38:L39)*QtéRationComplèteHivernaleDaim_12_18Mois+SUM(L40:L41)*QtéRationComplèteHivernaleDaim_18_24Mois+SUM(L42:L43)*QtéRationComplèteHivernaleDaim_24_36Mois+SUM(L44:L45)*QtéRationComplèteHivernaleDaim_3AnsEtPlus)/42,IF(L24=ChevauxSelle,((L32+L33+L34+L35+L36+L37)*QtéRationComplèteHivernaleChevauxSelle0_12Mois+(L38+L39+L40+L41)*QtéRationComplèteHivernaleChevauxSelle12_24Mois+(L42+L43)*QtéRationComplèteHivernaleChevauxSelle24_36Mois+SUM(L44+L45)*QtéRationComplèteHivernaleChevauxSelle3AnsEtPlus)*21,IF(L24=ChevauxTrait,((L32+L33+L34+L35+L36+L37)*QtéRationComplèteHivernaleChevauxTrait_0_12Mois+(L38+L39+L40+L41)*QtéRationComplèteHivernaleChevauxTrait_12_24Mois+(L42+L43)*QtéRationComplèteHivernaleChevauxTrait_24_36Mois+SUM(L44+L45)*QtéRationComplèteHivernaleChevauxTrait_3AnsEtPlus)*21,IF(L24=Poneys,((L32+L33+L34+L35+L36+L37)*QtéRationComplèteHivernalePoneys_0_12Mois+(L38+L39+L40+L41)*QtéRationComplèteHivernalePoneys_12_24Mois+(L42+L43)*QtéRationComplèteHivernalePoneys_24_36Mois+SUM(L44+L45)*QtéRationComplèteHivernalePoneys_3AnsEtPlus)*21,0))))))))</f>
        <v/>
      </c>
      <c r="M53" s="395" t="str">
        <f>IF(M24="","",IF(M24=Bovins,(M32+M33)*QtéRationComplèteHivernaleBovin_0_3Mois+(M34+M35)*QtéRationComplèteHivernaleBovin_3_6Mois+(M36+M37)*QtéRationComplèteHivernaleBovin_6_12Mois+(M38+M39)*QtéRationComplèteHivernaleBovin_12_18Mois+(M40+M41)*QtéRationComplèteHivernaleBovin_18_24Mois+(M42+M43)*QtéRationComplèteHivernaleBovin_24_36Mois+(M44+M45)*QtéRationComplèteHivernaleBovin_3AnsEtPlus,IF(M24=Ovins,(M32+M33)*QtéRationComplèteHivernaleOvin_0_3Mois+(M34+M35)*QtéRationComplèteHivernaleOvin_3_6Mois+(M36+M37)*QtéRationComplèteHivernaleOvin_6_12Mois+(M38+M39+M40+M41+M42+M43+M44+M45)*QtéRationComplèteHivernaleOvin_1AnEtPlus,IF(M24=Bisons,(SUM(M32:M33)*QtéRationComplèteHivernaleBison_0_3Mois+SUM(M34:M35)*QtéRationComplèteHivernaleBison_3_6Mois+SUM(M36:M37)*QtéRationComplèteHivernaleBison_6_12Mois+SUM(M38:M39)*QtéRationComplèteHivernaleBison_12_18Mois+SUM(M40:M41)*QtéRationComplèteHivernaleBison_18_24Mois+SUM(M42:M43)*QtéRationComplèteHivernaleBison_24_36Mois+SUM(M44:M45)*QtéRationComplèteHivernaleBison_3AnsEtPlus)/42,IF(M24=Daims,(SUM(M32:M33)*QtéRationComplèteHivernaleDaim_0_3Mois+SUM(M34:M35)*QtéRationComplèteHivernaleDaim_3_6Mois+SUM(M36:M37)*QtéRationComplèteHivernaleDaim_6_12Mois+SUM(M38:M39)*QtéRationComplèteHivernaleDaim_12_18Mois+SUM(M40:M41)*QtéRationComplèteHivernaleDaim_18_24Mois+SUM(M42:M43)*QtéRationComplèteHivernaleDaim_24_36Mois+SUM(M44:M45)*QtéRationComplèteHivernaleDaim_3AnsEtPlus)/42,IF(M24=ChevauxSelle,((M32+M33+M34+M35+M36+M37)*QtéRationComplèteHivernaleChevauxSelle0_12Mois+(M38+M39+M40+M41)*QtéRationComplèteHivernaleChevauxSelle12_24Mois+(M42+M43)*QtéRationComplèteHivernaleChevauxSelle24_36Mois+SUM(M44+M45)*QtéRationComplèteHivernaleChevauxSelle3AnsEtPlus)*21,IF(M24=ChevauxTrait,((M32+M33+M34+M35+M36+M37)*QtéRationComplèteHivernaleChevauxTrait_0_12Mois+(M38+M39+M40+M41)*QtéRationComplèteHivernaleChevauxTrait_12_24Mois+(M42+M43)*QtéRationComplèteHivernaleChevauxTrait_24_36Mois+SUM(M44+M45)*QtéRationComplèteHivernaleChevauxTrait_3AnsEtPlus)*21,IF(M24=Poneys,((M32+M33+M34+M35+M36+M37)*QtéRationComplèteHivernalePoneys_0_12Mois+(M38+M39+M40+M41)*QtéRationComplèteHivernalePoneys_12_24Mois+(M42+M43)*QtéRationComplèteHivernalePoneys_24_36Mois+SUM(M44+M45)*QtéRationComplèteHivernalePoneys_3AnsEtPlus)*21,0))))))))</f>
        <v/>
      </c>
      <c r="N53" s="395" t="str">
        <f>IF(N24="","",IF(N24=Bovins,(N32+N33)*QtéRationComplèteHivernaleBovin_0_3Mois+(N34+N35)*QtéRationComplèteHivernaleBovin_3_6Mois+(N36+N37)*QtéRationComplèteHivernaleBovin_6_12Mois+(N38+N39)*QtéRationComplèteHivernaleBovin_12_18Mois+(N40+N41)*QtéRationComplèteHivernaleBovin_18_24Mois+(N42+N43)*QtéRationComplèteHivernaleBovin_24_36Mois+(N44+N45)*QtéRationComplèteHivernaleBovin_3AnsEtPlus,IF(N24=Ovins,(N32+N33)*QtéRationComplèteHivernaleOvin_0_3Mois+(N34+N35)*QtéRationComplèteHivernaleOvin_3_6Mois+(N36+N37)*QtéRationComplèteHivernaleOvin_6_12Mois+(N38+N39+N40+N41+N42+N43+N44+N45)*QtéRationComplèteHivernaleOvin_1AnEtPlus,IF(N24=Bisons,(SUM(N32:N33)*QtéRationComplèteHivernaleBison_0_3Mois+SUM(N34:N35)*QtéRationComplèteHivernaleBison_3_6Mois+SUM(N36:N37)*QtéRationComplèteHivernaleBison_6_12Mois+SUM(N38:N39)*QtéRationComplèteHivernaleBison_12_18Mois+SUM(N40:N41)*QtéRationComplèteHivernaleBison_18_24Mois+SUM(N42:N43)*QtéRationComplèteHivernaleBison_24_36Mois+SUM(N44:N45)*QtéRationComplèteHivernaleBison_3AnsEtPlus)/42,IF(N24=Daims,(SUM(N32:N33)*QtéRationComplèteHivernaleDaim_0_3Mois+SUM(N34:N35)*QtéRationComplèteHivernaleDaim_3_6Mois+SUM(N36:N37)*QtéRationComplèteHivernaleDaim_6_12Mois+SUM(N38:N39)*QtéRationComplèteHivernaleDaim_12_18Mois+SUM(N40:N41)*QtéRationComplèteHivernaleDaim_18_24Mois+SUM(N42:N43)*QtéRationComplèteHivernaleDaim_24_36Mois+SUM(N44:N45)*QtéRationComplèteHivernaleDaim_3AnsEtPlus)/42,IF(N24=ChevauxSelle,((N32+N33+N34+N35+N36+N37)*QtéRationComplèteHivernaleChevauxSelle0_12Mois+(N38+N39+N40+N41)*QtéRationComplèteHivernaleChevauxSelle12_24Mois+(N42+N43)*QtéRationComplèteHivernaleChevauxSelle24_36Mois+SUM(N44+N45)*QtéRationComplèteHivernaleChevauxSelle3AnsEtPlus)*21,IF(N24=ChevauxTrait,((N32+N33+N34+N35+N36+N37)*QtéRationComplèteHivernaleChevauxTrait_0_12Mois+(N38+N39+N40+N41)*QtéRationComplèteHivernaleChevauxTrait_12_24Mois+(N42+N43)*QtéRationComplèteHivernaleChevauxTrait_24_36Mois+SUM(N44+N45)*QtéRationComplèteHivernaleChevauxTrait_3AnsEtPlus)*21,IF(N24=Poneys,((N32+N33+N34+N35+N36+N37)*QtéRationComplèteHivernalePoneys_0_12Mois+(N38+N39+N40+N41)*QtéRationComplèteHivernalePoneys_12_24Mois+(N42+N43)*QtéRationComplèteHivernalePoneys_24_36Mois+SUM(N44+N45)*QtéRationComplèteHivernalePoneys_3AnsEtPlus)*21,0))))))))</f>
        <v/>
      </c>
      <c r="O53" s="395" t="str">
        <f>IF(O24="","",IF(O24=Bovins,(O32+O33)*QtéRationComplèteHivernaleBovin_0_3Mois+(O34+O35)*QtéRationComplèteHivernaleBovin_3_6Mois+(O36+O37)*QtéRationComplèteHivernaleBovin_6_12Mois+(O38+O39)*QtéRationComplèteHivernaleBovin_12_18Mois+(O40+O41)*QtéRationComplèteHivernaleBovin_18_24Mois+(O42+O43)*QtéRationComplèteHivernaleBovin_24_36Mois+(O44+O45)*QtéRationComplèteHivernaleBovin_3AnsEtPlus,IF(O24=Ovins,(O32+O33)*QtéRationComplèteHivernaleOvin_0_3Mois+(O34+O35)*QtéRationComplèteHivernaleOvin_3_6Mois+(O36+O37)*QtéRationComplèteHivernaleOvin_6_12Mois+(O38+O39+O40+O41+O42+O43+O44+O45)*QtéRationComplèteHivernaleOvin_1AnEtPlus,IF(O24=Bisons,(SUM(O32:O33)*QtéRationComplèteHivernaleBison_0_3Mois+SUM(O34:O35)*QtéRationComplèteHivernaleBison_3_6Mois+SUM(O36:O37)*QtéRationComplèteHivernaleBison_6_12Mois+SUM(O38:O39)*QtéRationComplèteHivernaleBison_12_18Mois+SUM(O40:O41)*QtéRationComplèteHivernaleBison_18_24Mois+SUM(O42:O43)*QtéRationComplèteHivernaleBison_24_36Mois+SUM(O44:O45)*QtéRationComplèteHivernaleBison_3AnsEtPlus)/42,IF(O24=Daims,(SUM(O32:O33)*QtéRationComplèteHivernaleDaim_0_3Mois+SUM(O34:O35)*QtéRationComplèteHivernaleDaim_3_6Mois+SUM(O36:O37)*QtéRationComplèteHivernaleDaim_6_12Mois+SUM(O38:O39)*QtéRationComplèteHivernaleDaim_12_18Mois+SUM(O40:O41)*QtéRationComplèteHivernaleDaim_18_24Mois+SUM(O42:O43)*QtéRationComplèteHivernaleDaim_24_36Mois+SUM(O44:O45)*QtéRationComplèteHivernaleDaim_3AnsEtPlus)/42,IF(O24=ChevauxSelle,((O32+O33+O34+O35+O36+O37)*QtéRationComplèteHivernaleChevauxSelle0_12Mois+(O38+O39+O40+O41)*QtéRationComplèteHivernaleChevauxSelle12_24Mois+(O42+O43)*QtéRationComplèteHivernaleChevauxSelle24_36Mois+SUM(O44+O45)*QtéRationComplèteHivernaleChevauxSelle3AnsEtPlus)*21,IF(O24=ChevauxTrait,((O32+O33+O34+O35+O36+O37)*QtéRationComplèteHivernaleChevauxTrait_0_12Mois+(O38+O39+O40+O41)*QtéRationComplèteHivernaleChevauxTrait_12_24Mois+(O42+O43)*QtéRationComplèteHivernaleChevauxTrait_24_36Mois+SUM(O44+O45)*QtéRationComplèteHivernaleChevauxTrait_3AnsEtPlus)*21,IF(O24=Poneys,((O32+O33+O34+O35+O36+O37)*QtéRationComplèteHivernalePoneys_0_12Mois+(O38+O39+O40+O41)*QtéRationComplèteHivernalePoneys_12_24Mois+(O42+O43)*QtéRationComplèteHivernalePoneys_24_36Mois+SUM(O44+O45)*QtéRationComplèteHivernalePoneys_3AnsEtPlus)*21,0))))))))</f>
        <v/>
      </c>
      <c r="P53" s="395" t="str">
        <f>IF(P24="","",IF(P24=Bovins,(P32+P33)*QtéRationComplèteHivernaleBovin_0_3Mois+(P34+P35)*QtéRationComplèteHivernaleBovin_3_6Mois+(P36+P37)*QtéRationComplèteHivernaleBovin_6_12Mois+(P38+P39)*QtéRationComplèteHivernaleBovin_12_18Mois+(P40+P41)*QtéRationComplèteHivernaleBovin_18_24Mois+(P42+P43)*QtéRationComplèteHivernaleBovin_24_36Mois+(P44+P45)*QtéRationComplèteHivernaleBovin_3AnsEtPlus,IF(P24=Ovins,(P32+P33)*QtéRationComplèteHivernaleOvin_0_3Mois+(P34+P35)*QtéRationComplèteHivernaleOvin_3_6Mois+(P36+P37)*QtéRationComplèteHivernaleOvin_6_12Mois+(P38+P39+P40+P41+P42+P43+P44+P45)*QtéRationComplèteHivernaleOvin_1AnEtPlus,IF(P24=Bisons,(SUM(P32:P33)*QtéRationComplèteHivernaleBison_0_3Mois+SUM(P34:P35)*QtéRationComplèteHivernaleBison_3_6Mois+SUM(P36:P37)*QtéRationComplèteHivernaleBison_6_12Mois+SUM(P38:P39)*QtéRationComplèteHivernaleBison_12_18Mois+SUM(P40:P41)*QtéRationComplèteHivernaleBison_18_24Mois+SUM(P42:P43)*QtéRationComplèteHivernaleBison_24_36Mois+SUM(P44:P45)*QtéRationComplèteHivernaleBison_3AnsEtPlus)/42,IF(P24=Daims,(SUM(P32:P33)*QtéRationComplèteHivernaleDaim_0_3Mois+SUM(P34:P35)*QtéRationComplèteHivernaleDaim_3_6Mois+SUM(P36:P37)*QtéRationComplèteHivernaleDaim_6_12Mois+SUM(P38:P39)*QtéRationComplèteHivernaleDaim_12_18Mois+SUM(P40:P41)*QtéRationComplèteHivernaleDaim_18_24Mois+SUM(P42:P43)*QtéRationComplèteHivernaleDaim_24_36Mois+SUM(P44:P45)*QtéRationComplèteHivernaleDaim_3AnsEtPlus)/42,IF(P24=ChevauxSelle,((P32+P33+P34+P35+P36+P37)*QtéRationComplèteHivernaleChevauxSelle0_12Mois+(P38+P39+P40+P41)*QtéRationComplèteHivernaleChevauxSelle12_24Mois+(P42+P43)*QtéRationComplèteHivernaleChevauxSelle24_36Mois+SUM(P44+P45)*QtéRationComplèteHivernaleChevauxSelle3AnsEtPlus)*21,IF(P24=ChevauxTrait,((P32+P33+P34+P35+P36+P37)*QtéRationComplèteHivernaleChevauxTrait_0_12Mois+(P38+P39+P40+P41)*QtéRationComplèteHivernaleChevauxTrait_12_24Mois+(P42+P43)*QtéRationComplèteHivernaleChevauxTrait_24_36Mois+SUM(P44+P45)*QtéRationComplèteHivernaleChevauxTrait_3AnsEtPlus)*21,IF(P24=Poneys,((P32+P33+P34+P35+P36+P37)*QtéRationComplèteHivernalePoneys_0_12Mois+(P38+P39+P40+P41)*QtéRationComplèteHivernalePoneys_12_24Mois+(P42+P43)*QtéRationComplèteHivernalePoneys_24_36Mois+SUM(P44+P45)*QtéRationComplèteHivernalePoneys_3AnsEtPlus)*21,0))))))))</f>
        <v/>
      </c>
      <c r="Q53" s="395" t="str">
        <f>IF(Q24="","",IF(Q24=Bovins,(Q32+Q33)*QtéRationComplèteHivernaleBovin_0_3Mois+(Q34+Q35)*QtéRationComplèteHivernaleBovin_3_6Mois+(Q36+Q37)*QtéRationComplèteHivernaleBovin_6_12Mois+(Q38+Q39)*QtéRationComplèteHivernaleBovin_12_18Mois+(Q40+Q41)*QtéRationComplèteHivernaleBovin_18_24Mois+(Q42+Q43)*QtéRationComplèteHivernaleBovin_24_36Mois+(Q44+Q45)*QtéRationComplèteHivernaleBovin_3AnsEtPlus,IF(Q24=Ovins,(Q32+Q33)*QtéRationComplèteHivernaleOvin_0_3Mois+(Q34+Q35)*QtéRationComplèteHivernaleOvin_3_6Mois+(Q36+Q37)*QtéRationComplèteHivernaleOvin_6_12Mois+(Q38+Q39+Q40+Q41+Q42+Q43+Q44+Q45)*QtéRationComplèteHivernaleOvin_1AnEtPlus,IF(Q24=Bisons,(SUM(Q32:Q33)*QtéRationComplèteHivernaleBison_0_3Mois+SUM(Q34:Q35)*QtéRationComplèteHivernaleBison_3_6Mois+SUM(Q36:Q37)*QtéRationComplèteHivernaleBison_6_12Mois+SUM(Q38:Q39)*QtéRationComplèteHivernaleBison_12_18Mois+SUM(Q40:Q41)*QtéRationComplèteHivernaleBison_18_24Mois+SUM(Q42:Q43)*QtéRationComplèteHivernaleBison_24_36Mois+SUM(Q44:Q45)*QtéRationComplèteHivernaleBison_3AnsEtPlus)/42,IF(Q24=Daims,(SUM(Q32:Q33)*QtéRationComplèteHivernaleDaim_0_3Mois+SUM(Q34:Q35)*QtéRationComplèteHivernaleDaim_3_6Mois+SUM(Q36:Q37)*QtéRationComplèteHivernaleDaim_6_12Mois+SUM(Q38:Q39)*QtéRationComplèteHivernaleDaim_12_18Mois+SUM(Q40:Q41)*QtéRationComplèteHivernaleDaim_18_24Mois+SUM(Q42:Q43)*QtéRationComplèteHivernaleDaim_24_36Mois+SUM(Q44:Q45)*QtéRationComplèteHivernaleDaim_3AnsEtPlus)/42,IF(Q24=ChevauxSelle,((Q32+Q33+Q34+Q35+Q36+Q37)*QtéRationComplèteHivernaleChevauxSelle0_12Mois+(Q38+Q39+Q40+Q41)*QtéRationComplèteHivernaleChevauxSelle12_24Mois+(Q42+Q43)*QtéRationComplèteHivernaleChevauxSelle24_36Mois+SUM(Q44+Q45)*QtéRationComplèteHivernaleChevauxSelle3AnsEtPlus)*21,IF(Q24=ChevauxTrait,((Q32+Q33+Q34+Q35+Q36+Q37)*QtéRationComplèteHivernaleChevauxTrait_0_12Mois+(Q38+Q39+Q40+Q41)*QtéRationComplèteHivernaleChevauxTrait_12_24Mois+(Q42+Q43)*QtéRationComplèteHivernaleChevauxTrait_24_36Mois+SUM(Q44+Q45)*QtéRationComplèteHivernaleChevauxTrait_3AnsEtPlus)*21,IF(Q24=Poneys,((Q32+Q33+Q34+Q35+Q36+Q37)*QtéRationComplèteHivernalePoneys_0_12Mois+(Q38+Q39+Q40+Q41)*QtéRationComplèteHivernalePoneys_12_24Mois+(Q42+Q43)*QtéRationComplèteHivernalePoneys_24_36Mois+SUM(Q44+Q45)*QtéRationComplèteHivernalePoneys_3AnsEtPlus)*21,0))))))))</f>
        <v/>
      </c>
      <c r="R53" s="395" t="str">
        <f>IF(R24="","",IF(R24=Bovins,(R32+R33)*QtéRationComplèteHivernaleBovin_0_3Mois+(R34+R35)*QtéRationComplèteHivernaleBovin_3_6Mois+(R36+R37)*QtéRationComplèteHivernaleBovin_6_12Mois+(R38+R39)*QtéRationComplèteHivernaleBovin_12_18Mois+(R40+R41)*QtéRationComplèteHivernaleBovin_18_24Mois+(R42+R43)*QtéRationComplèteHivernaleBovin_24_36Mois+(R44+R45)*QtéRationComplèteHivernaleBovin_3AnsEtPlus,IF(R24=Ovins,(R32+R33)*QtéRationComplèteHivernaleOvin_0_3Mois+(R34+R35)*QtéRationComplèteHivernaleOvin_3_6Mois+(R36+R37)*QtéRationComplèteHivernaleOvin_6_12Mois+(R38+R39+R40+R41+R42+R43+R44+R45)*QtéRationComplèteHivernaleOvin_1AnEtPlus,IF(R24=Bisons,(SUM(R32:R33)*QtéRationComplèteHivernaleBison_0_3Mois+SUM(R34:R35)*QtéRationComplèteHivernaleBison_3_6Mois+SUM(R36:R37)*QtéRationComplèteHivernaleBison_6_12Mois+SUM(R38:R39)*QtéRationComplèteHivernaleBison_12_18Mois+SUM(R40:R41)*QtéRationComplèteHivernaleBison_18_24Mois+SUM(R42:R43)*QtéRationComplèteHivernaleBison_24_36Mois+SUM(R44:R45)*QtéRationComplèteHivernaleBison_3AnsEtPlus)/42,IF(R24=Daims,(SUM(R32:R33)*QtéRationComplèteHivernaleDaim_0_3Mois+SUM(R34:R35)*QtéRationComplèteHivernaleDaim_3_6Mois+SUM(R36:R37)*QtéRationComplèteHivernaleDaim_6_12Mois+SUM(R38:R39)*QtéRationComplèteHivernaleDaim_12_18Mois+SUM(R40:R41)*QtéRationComplèteHivernaleDaim_18_24Mois+SUM(R42:R43)*QtéRationComplèteHivernaleDaim_24_36Mois+SUM(R44:R45)*QtéRationComplèteHivernaleDaim_3AnsEtPlus)/42,IF(R24=ChevauxSelle,((R32+R33+R34+R35+R36+R37)*QtéRationComplèteHivernaleChevauxSelle0_12Mois+(R38+R39+R40+R41)*QtéRationComplèteHivernaleChevauxSelle12_24Mois+(R42+R43)*QtéRationComplèteHivernaleChevauxSelle24_36Mois+SUM(R44+R45)*QtéRationComplèteHivernaleChevauxSelle3AnsEtPlus)*21,IF(R24=ChevauxTrait,((R32+R33+R34+R35+R36+R37)*QtéRationComplèteHivernaleChevauxTrait_0_12Mois+(R38+R39+R40+R41)*QtéRationComplèteHivernaleChevauxTrait_12_24Mois+(R42+R43)*QtéRationComplèteHivernaleChevauxTrait_24_36Mois+SUM(R44+R45)*QtéRationComplèteHivernaleChevauxTrait_3AnsEtPlus)*21,IF(R24=Poneys,((R32+R33+R34+R35+R36+R37)*QtéRationComplèteHivernalePoneys_0_12Mois+(R38+R39+R40+R41)*QtéRationComplèteHivernalePoneys_12_24Mois+(R42+R43)*QtéRationComplèteHivernalePoneys_24_36Mois+SUM(R44+R45)*QtéRationComplèteHivernalePoneys_3AnsEtPlus)*21,0))))))))</f>
        <v/>
      </c>
      <c r="S53" s="395" t="str">
        <f>IF(S24="","",IF(S24=Bovins,(S32+S33)*QtéRationComplèteHivernaleBovin_0_3Mois+(S34+S35)*QtéRationComplèteHivernaleBovin_3_6Mois+(S36+S37)*QtéRationComplèteHivernaleBovin_6_12Mois+(S38+S39)*QtéRationComplèteHivernaleBovin_12_18Mois+(S40+S41)*QtéRationComplèteHivernaleBovin_18_24Mois+(S42+S43)*QtéRationComplèteHivernaleBovin_24_36Mois+(S44+S45)*QtéRationComplèteHivernaleBovin_3AnsEtPlus,IF(S24=Ovins,(S32+S33)*QtéRationComplèteHivernaleOvin_0_3Mois+(S34+S35)*QtéRationComplèteHivernaleOvin_3_6Mois+(S36+S37)*QtéRationComplèteHivernaleOvin_6_12Mois+(S38+S39+S40+S41+S42+S43+S44+S45)*QtéRationComplèteHivernaleOvin_1AnEtPlus,IF(S24=Bisons,(SUM(S32:S33)*QtéRationComplèteHivernaleBison_0_3Mois+SUM(S34:S35)*QtéRationComplèteHivernaleBison_3_6Mois+SUM(S36:S37)*QtéRationComplèteHivernaleBison_6_12Mois+SUM(S38:S39)*QtéRationComplèteHivernaleBison_12_18Mois+SUM(S40:S41)*QtéRationComplèteHivernaleBison_18_24Mois+SUM(S42:S43)*QtéRationComplèteHivernaleBison_24_36Mois+SUM(S44:S45)*QtéRationComplèteHivernaleBison_3AnsEtPlus)/42,IF(S24=Daims,(SUM(S32:S33)*QtéRationComplèteHivernaleDaim_0_3Mois+SUM(S34:S35)*QtéRationComplèteHivernaleDaim_3_6Mois+SUM(S36:S37)*QtéRationComplèteHivernaleDaim_6_12Mois+SUM(S38:S39)*QtéRationComplèteHivernaleDaim_12_18Mois+SUM(S40:S41)*QtéRationComplèteHivernaleDaim_18_24Mois+SUM(S42:S43)*QtéRationComplèteHivernaleDaim_24_36Mois+SUM(S44:S45)*QtéRationComplèteHivernaleDaim_3AnsEtPlus)/42,IF(S24=ChevauxSelle,((S32+S33+S34+S35+S36+S37)*QtéRationComplèteHivernaleChevauxSelle0_12Mois+(S38+S39+S40+S41)*QtéRationComplèteHivernaleChevauxSelle12_24Mois+(S42+S43)*QtéRationComplèteHivernaleChevauxSelle24_36Mois+SUM(S44+S45)*QtéRationComplèteHivernaleChevauxSelle3AnsEtPlus)*21,IF(S24=ChevauxTrait,((S32+S33+S34+S35+S36+S37)*QtéRationComplèteHivernaleChevauxTrait_0_12Mois+(S38+S39+S40+S41)*QtéRationComplèteHivernaleChevauxTrait_12_24Mois+(S42+S43)*QtéRationComplèteHivernaleChevauxTrait_24_36Mois+SUM(S44+S45)*QtéRationComplèteHivernaleChevauxTrait_3AnsEtPlus)*21,IF(S24=Poneys,((S32+S33+S34+S35+S36+S37)*QtéRationComplèteHivernalePoneys_0_12Mois+(S38+S39+S40+S41)*QtéRationComplèteHivernalePoneys_12_24Mois+(S42+S43)*QtéRationComplèteHivernalePoneys_24_36Mois+SUM(S44+S45)*QtéRationComplèteHivernalePoneys_3AnsEtPlus)*21,0))))))))</f>
        <v/>
      </c>
      <c r="T53" s="395" t="str">
        <f>IF(T24="","",IF(T24=Bovins,(T32+T33)*QtéRationComplèteHivernaleBovin_0_3Mois+(T34+T35)*QtéRationComplèteHivernaleBovin_3_6Mois+(T36+T37)*QtéRationComplèteHivernaleBovin_6_12Mois+(T38+T39)*QtéRationComplèteHivernaleBovin_12_18Mois+(T40+T41)*QtéRationComplèteHivernaleBovin_18_24Mois+(T42+T43)*QtéRationComplèteHivernaleBovin_24_36Mois+(T44+T45)*QtéRationComplèteHivernaleBovin_3AnsEtPlus,IF(T24=Ovins,(T32+T33)*QtéRationComplèteHivernaleOvin_0_3Mois+(T34+T35)*QtéRationComplèteHivernaleOvin_3_6Mois+(T36+T37)*QtéRationComplèteHivernaleOvin_6_12Mois+(T38+T39+T40+T41+T42+T43+T44+T45)*QtéRationComplèteHivernaleOvin_1AnEtPlus,IF(T24=Bisons,(SUM(T32:T33)*QtéRationComplèteHivernaleBison_0_3Mois+SUM(T34:T35)*QtéRationComplèteHivernaleBison_3_6Mois+SUM(T36:T37)*QtéRationComplèteHivernaleBison_6_12Mois+SUM(T38:T39)*QtéRationComplèteHivernaleBison_12_18Mois+SUM(T40:T41)*QtéRationComplèteHivernaleBison_18_24Mois+SUM(T42:T43)*QtéRationComplèteHivernaleBison_24_36Mois+SUM(T44:T45)*QtéRationComplèteHivernaleBison_3AnsEtPlus)/42,IF(T24=Daims,(SUM(T32:T33)*QtéRationComplèteHivernaleDaim_0_3Mois+SUM(T34:T35)*QtéRationComplèteHivernaleDaim_3_6Mois+SUM(T36:T37)*QtéRationComplèteHivernaleDaim_6_12Mois+SUM(T38:T39)*QtéRationComplèteHivernaleDaim_12_18Mois+SUM(T40:T41)*QtéRationComplèteHivernaleDaim_18_24Mois+SUM(T42:T43)*QtéRationComplèteHivernaleDaim_24_36Mois+SUM(T44:T45)*QtéRationComplèteHivernaleDaim_3AnsEtPlus)/42,IF(T24=ChevauxSelle,((T32+T33+T34+T35+T36+T37)*QtéRationComplèteHivernaleChevauxSelle0_12Mois+(T38+T39+T40+T41)*QtéRationComplèteHivernaleChevauxSelle12_24Mois+(T42+T43)*QtéRationComplèteHivernaleChevauxSelle24_36Mois+SUM(T44+T45)*QtéRationComplèteHivernaleChevauxSelle3AnsEtPlus)*21,IF(T24=ChevauxTrait,((T32+T33+T34+T35+T36+T37)*QtéRationComplèteHivernaleChevauxTrait_0_12Mois+(T38+T39+T40+T41)*QtéRationComplèteHivernaleChevauxTrait_12_24Mois+(T42+T43)*QtéRationComplèteHivernaleChevauxTrait_24_36Mois+SUM(T44+T45)*QtéRationComplèteHivernaleChevauxTrait_3AnsEtPlus)*21,IF(T24=Poneys,((T32+T33+T34+T35+T36+T37)*QtéRationComplèteHivernalePoneys_0_12Mois+(T38+T39+T40+T41)*QtéRationComplèteHivernalePoneys_12_24Mois+(T42+T43)*QtéRationComplèteHivernalePoneys_24_36Mois+SUM(T44+T45)*QtéRationComplèteHivernalePoneys_3AnsEtPlus)*21,0))))))))</f>
        <v/>
      </c>
      <c r="U53" s="395" t="str">
        <f>IF(U24="","",IF(U24=Bovins,(U32+U33)*QtéRationComplèteHivernaleBovin_0_3Mois+(U34+U35)*QtéRationComplèteHivernaleBovin_3_6Mois+(U36+U37)*QtéRationComplèteHivernaleBovin_6_12Mois+(U38+U39)*QtéRationComplèteHivernaleBovin_12_18Mois+(U40+U41)*QtéRationComplèteHivernaleBovin_18_24Mois+(U42+U43)*QtéRationComplèteHivernaleBovin_24_36Mois+(U44+U45)*QtéRationComplèteHivernaleBovin_3AnsEtPlus,IF(U24=Ovins,(U32+U33)*QtéRationComplèteHivernaleOvin_0_3Mois+(U34+U35)*QtéRationComplèteHivernaleOvin_3_6Mois+(U36+U37)*QtéRationComplèteHivernaleOvin_6_12Mois+(U38+U39+U40+U41+U42+U43+U44+U45)*QtéRationComplèteHivernaleOvin_1AnEtPlus,IF(U24=Bisons,(SUM(U32:U33)*QtéRationComplèteHivernaleBison_0_3Mois+SUM(U34:U35)*QtéRationComplèteHivernaleBison_3_6Mois+SUM(U36:U37)*QtéRationComplèteHivernaleBison_6_12Mois+SUM(U38:U39)*QtéRationComplèteHivernaleBison_12_18Mois+SUM(U40:U41)*QtéRationComplèteHivernaleBison_18_24Mois+SUM(U42:U43)*QtéRationComplèteHivernaleBison_24_36Mois+SUM(U44:U45)*QtéRationComplèteHivernaleBison_3AnsEtPlus)/42,IF(U24=Daims,(SUM(U32:U33)*QtéRationComplèteHivernaleDaim_0_3Mois+SUM(U34:U35)*QtéRationComplèteHivernaleDaim_3_6Mois+SUM(U36:U37)*QtéRationComplèteHivernaleDaim_6_12Mois+SUM(U38:U39)*QtéRationComplèteHivernaleDaim_12_18Mois+SUM(U40:U41)*QtéRationComplèteHivernaleDaim_18_24Mois+SUM(U42:U43)*QtéRationComplèteHivernaleDaim_24_36Mois+SUM(U44:U45)*QtéRationComplèteHivernaleDaim_3AnsEtPlus)/42,IF(U24=ChevauxSelle,((U32+U33+U34+U35+U36+U37)*QtéRationComplèteHivernaleChevauxSelle0_12Mois+(U38+U39+U40+U41)*QtéRationComplèteHivernaleChevauxSelle12_24Mois+(U42+U43)*QtéRationComplèteHivernaleChevauxSelle24_36Mois+SUM(U44+U45)*QtéRationComplèteHivernaleChevauxSelle3AnsEtPlus)*21,IF(U24=ChevauxTrait,((U32+U33+U34+U35+U36+U37)*QtéRationComplèteHivernaleChevauxTrait_0_12Mois+(U38+U39+U40+U41)*QtéRationComplèteHivernaleChevauxTrait_12_24Mois+(U42+U43)*QtéRationComplèteHivernaleChevauxTrait_24_36Mois+SUM(U44+U45)*QtéRationComplèteHivernaleChevauxTrait_3AnsEtPlus)*21,IF(U24=Poneys,((U32+U33+U34+U35+U36+U37)*QtéRationComplèteHivernalePoneys_0_12Mois+(U38+U39+U40+U41)*QtéRationComplèteHivernalePoneys_12_24Mois+(U42+U43)*QtéRationComplèteHivernalePoneys_24_36Mois+SUM(U44+U45)*QtéRationComplèteHivernalePoneys_3AnsEtPlus)*21,0))))))))</f>
        <v/>
      </c>
      <c r="V53" s="395" t="str">
        <f>IF(V24="","",IF(V24=Bovins,(V32+V33)*QtéRationComplèteHivernaleBovin_0_3Mois+(V34+V35)*QtéRationComplèteHivernaleBovin_3_6Mois+(V36+V37)*QtéRationComplèteHivernaleBovin_6_12Mois+(V38+V39)*QtéRationComplèteHivernaleBovin_12_18Mois+(V40+V41)*QtéRationComplèteHivernaleBovin_18_24Mois+(V42+V43)*QtéRationComplèteHivernaleBovin_24_36Mois+(V44+V45)*QtéRationComplèteHivernaleBovin_3AnsEtPlus,IF(V24=Ovins,(V32+V33)*QtéRationComplèteHivernaleOvin_0_3Mois+(V34+V35)*QtéRationComplèteHivernaleOvin_3_6Mois+(V36+V37)*QtéRationComplèteHivernaleOvin_6_12Mois+(V38+V39+V40+V41+V42+V43+V44+V45)*QtéRationComplèteHivernaleOvin_1AnEtPlus,IF(V24=Bisons,(SUM(V32:V33)*QtéRationComplèteHivernaleBison_0_3Mois+SUM(V34:V35)*QtéRationComplèteHivernaleBison_3_6Mois+SUM(V36:V37)*QtéRationComplèteHivernaleBison_6_12Mois+SUM(V38:V39)*QtéRationComplèteHivernaleBison_12_18Mois+SUM(V40:V41)*QtéRationComplèteHivernaleBison_18_24Mois+SUM(V42:V43)*QtéRationComplèteHivernaleBison_24_36Mois+SUM(V44:V45)*QtéRationComplèteHivernaleBison_3AnsEtPlus)/42,IF(V24=Daims,(SUM(V32:V33)*QtéRationComplèteHivernaleDaim_0_3Mois+SUM(V34:V35)*QtéRationComplèteHivernaleDaim_3_6Mois+SUM(V36:V37)*QtéRationComplèteHivernaleDaim_6_12Mois+SUM(V38:V39)*QtéRationComplèteHivernaleDaim_12_18Mois+SUM(V40:V41)*QtéRationComplèteHivernaleDaim_18_24Mois+SUM(V42:V43)*QtéRationComplèteHivernaleDaim_24_36Mois+SUM(V44:V45)*QtéRationComplèteHivernaleDaim_3AnsEtPlus)/42,IF(V24=ChevauxSelle,((V32+V33+V34+V35+V36+V37)*QtéRationComplèteHivernaleChevauxSelle0_12Mois+(V38+V39+V40+V41)*QtéRationComplèteHivernaleChevauxSelle12_24Mois+(V42+V43)*QtéRationComplèteHivernaleChevauxSelle24_36Mois+SUM(V44+V45)*QtéRationComplèteHivernaleChevauxSelle3AnsEtPlus)*21,IF(V24=ChevauxTrait,((V32+V33+V34+V35+V36+V37)*QtéRationComplèteHivernaleChevauxTrait_0_12Mois+(V38+V39+V40+V41)*QtéRationComplèteHivernaleChevauxTrait_12_24Mois+(V42+V43)*QtéRationComplèteHivernaleChevauxTrait_24_36Mois+SUM(V44+V45)*QtéRationComplèteHivernaleChevauxTrait_3AnsEtPlus)*21,IF(V24=Poneys,((V32+V33+V34+V35+V36+V37)*QtéRationComplèteHivernalePoneys_0_12Mois+(V38+V39+V40+V41)*QtéRationComplèteHivernalePoneys_12_24Mois+(V42+V43)*QtéRationComplèteHivernalePoneys_24_36Mois+SUM(V44+V45)*QtéRationComplèteHivernalePoneys_3AnsEtPlus)*21,0))))))))</f>
        <v/>
      </c>
      <c r="W53" s="395" t="str">
        <f>IF(W24="","",IF(W24=Bovins,(W32+W33)*QtéRationComplèteHivernaleBovin_0_3Mois+(W34+W35)*QtéRationComplèteHivernaleBovin_3_6Mois+(W36+W37)*QtéRationComplèteHivernaleBovin_6_12Mois+(W38+W39)*QtéRationComplèteHivernaleBovin_12_18Mois+(W40+W41)*QtéRationComplèteHivernaleBovin_18_24Mois+(W42+W43)*QtéRationComplèteHivernaleBovin_24_36Mois+(W44+W45)*QtéRationComplèteHivernaleBovin_3AnsEtPlus,IF(W24=Ovins,(W32+W33)*QtéRationComplèteHivernaleOvin_0_3Mois+(W34+W35)*QtéRationComplèteHivernaleOvin_3_6Mois+(W36+W37)*QtéRationComplèteHivernaleOvin_6_12Mois+(W38+W39+W40+W41+W42+W43+W44+W45)*QtéRationComplèteHivernaleOvin_1AnEtPlus,IF(W24=Bisons,(SUM(W32:W33)*QtéRationComplèteHivernaleBison_0_3Mois+SUM(W34:W35)*QtéRationComplèteHivernaleBison_3_6Mois+SUM(W36:W37)*QtéRationComplèteHivernaleBison_6_12Mois+SUM(W38:W39)*QtéRationComplèteHivernaleBison_12_18Mois+SUM(W40:W41)*QtéRationComplèteHivernaleBison_18_24Mois+SUM(W42:W43)*QtéRationComplèteHivernaleBison_24_36Mois+SUM(W44:W45)*QtéRationComplèteHivernaleBison_3AnsEtPlus)/42,IF(W24=Daims,(SUM(W32:W33)*QtéRationComplèteHivernaleDaim_0_3Mois+SUM(W34:W35)*QtéRationComplèteHivernaleDaim_3_6Mois+SUM(W36:W37)*QtéRationComplèteHivernaleDaim_6_12Mois+SUM(W38:W39)*QtéRationComplèteHivernaleDaim_12_18Mois+SUM(W40:W41)*QtéRationComplèteHivernaleDaim_18_24Mois+SUM(W42:W43)*QtéRationComplèteHivernaleDaim_24_36Mois+SUM(W44:W45)*QtéRationComplèteHivernaleDaim_3AnsEtPlus)/42,IF(W24=ChevauxSelle,((W32+W33+W34+W35+W36+W37)*QtéRationComplèteHivernaleChevauxSelle0_12Mois+(W38+W39+W40+W41)*QtéRationComplèteHivernaleChevauxSelle12_24Mois+(W42+W43)*QtéRationComplèteHivernaleChevauxSelle24_36Mois+SUM(W44+W45)*QtéRationComplèteHivernaleChevauxSelle3AnsEtPlus)*21,IF(W24=ChevauxTrait,((W32+W33+W34+W35+W36+W37)*QtéRationComplèteHivernaleChevauxTrait_0_12Mois+(W38+W39+W40+W41)*QtéRationComplèteHivernaleChevauxTrait_12_24Mois+(W42+W43)*QtéRationComplèteHivernaleChevauxTrait_24_36Mois+SUM(W44+W45)*QtéRationComplèteHivernaleChevauxTrait_3AnsEtPlus)*21,IF(W24=Poneys,((W32+W33+W34+W35+W36+W37)*QtéRationComplèteHivernalePoneys_0_12Mois+(W38+W39+W40+W41)*QtéRationComplèteHivernalePoneys_12_24Mois+(W42+W43)*QtéRationComplèteHivernalePoneys_24_36Mois+SUM(W44+W45)*QtéRationComplèteHivernalePoneys_3AnsEtPlus)*21,0))))))))</f>
        <v/>
      </c>
      <c r="X53" s="395" t="str">
        <f>IF(X24="","",IF(X24=Bovins,(X32+X33)*QtéRationComplèteHivernaleBovin_0_3Mois+(X34+X35)*QtéRationComplèteHivernaleBovin_3_6Mois+(X36+X37)*QtéRationComplèteHivernaleBovin_6_12Mois+(X38+X39)*QtéRationComplèteHivernaleBovin_12_18Mois+(X40+X41)*QtéRationComplèteHivernaleBovin_18_24Mois+(X42+X43)*QtéRationComplèteHivernaleBovin_24_36Mois+(X44+X45)*QtéRationComplèteHivernaleBovin_3AnsEtPlus,IF(X24=Ovins,(X32+X33)*QtéRationComplèteHivernaleOvin_0_3Mois+(X34+X35)*QtéRationComplèteHivernaleOvin_3_6Mois+(X36+X37)*QtéRationComplèteHivernaleOvin_6_12Mois+(X38+X39+X40+X41+X42+X43+X44+X45)*QtéRationComplèteHivernaleOvin_1AnEtPlus,IF(X24=Bisons,(SUM(X32:X33)*QtéRationComplèteHivernaleBison_0_3Mois+SUM(X34:X35)*QtéRationComplèteHivernaleBison_3_6Mois+SUM(X36:X37)*QtéRationComplèteHivernaleBison_6_12Mois+SUM(X38:X39)*QtéRationComplèteHivernaleBison_12_18Mois+SUM(X40:X41)*QtéRationComplèteHivernaleBison_18_24Mois+SUM(X42:X43)*QtéRationComplèteHivernaleBison_24_36Mois+SUM(X44:X45)*QtéRationComplèteHivernaleBison_3AnsEtPlus)/42,IF(X24=Daims,(SUM(X32:X33)*QtéRationComplèteHivernaleDaim_0_3Mois+SUM(X34:X35)*QtéRationComplèteHivernaleDaim_3_6Mois+SUM(X36:X37)*QtéRationComplèteHivernaleDaim_6_12Mois+SUM(X38:X39)*QtéRationComplèteHivernaleDaim_12_18Mois+SUM(X40:X41)*QtéRationComplèteHivernaleDaim_18_24Mois+SUM(X42:X43)*QtéRationComplèteHivernaleDaim_24_36Mois+SUM(X44:X45)*QtéRationComplèteHivernaleDaim_3AnsEtPlus)/42,IF(X24=ChevauxSelle,((X32+X33+X34+X35+X36+X37)*QtéRationComplèteHivernaleChevauxSelle0_12Mois+(X38+X39+X40+X41)*QtéRationComplèteHivernaleChevauxSelle12_24Mois+(X42+X43)*QtéRationComplèteHivernaleChevauxSelle24_36Mois+SUM(X44+X45)*QtéRationComplèteHivernaleChevauxSelle3AnsEtPlus)*21,IF(X24=ChevauxTrait,((X32+X33+X34+X35+X36+X37)*QtéRationComplèteHivernaleChevauxTrait_0_12Mois+(X38+X39+X40+X41)*QtéRationComplèteHivernaleChevauxTrait_12_24Mois+(X42+X43)*QtéRationComplèteHivernaleChevauxTrait_24_36Mois+SUM(X44+X45)*QtéRationComplèteHivernaleChevauxTrait_3AnsEtPlus)*21,IF(X24=Poneys,((X32+X33+X34+X35+X36+X37)*QtéRationComplèteHivernalePoneys_0_12Mois+(X38+X39+X40+X41)*QtéRationComplèteHivernalePoneys_12_24Mois+(X42+X43)*QtéRationComplèteHivernalePoneys_24_36Mois+SUM(X44+X45)*QtéRationComplèteHivernalePoneys_3AnsEtPlus)*21,0))))))))</f>
        <v/>
      </c>
      <c r="Y53" s="395" t="str">
        <f>IF(Y24="","",IF(Y24=Bovins,(Y32+Y33)*QtéRationComplèteHivernaleBovin_0_3Mois+(Y34+Y35)*QtéRationComplèteHivernaleBovin_3_6Mois+(Y36+Y37)*QtéRationComplèteHivernaleBovin_6_12Mois+(Y38+Y39)*QtéRationComplèteHivernaleBovin_12_18Mois+(Y40+Y41)*QtéRationComplèteHivernaleBovin_18_24Mois+(Y42+Y43)*QtéRationComplèteHivernaleBovin_24_36Mois+(Y44+Y45)*QtéRationComplèteHivernaleBovin_3AnsEtPlus,IF(Y24=Ovins,(Y32+Y33)*QtéRationComplèteHivernaleOvin_0_3Mois+(Y34+Y35)*QtéRationComplèteHivernaleOvin_3_6Mois+(Y36+Y37)*QtéRationComplèteHivernaleOvin_6_12Mois+(Y38+Y39+Y40+Y41+Y42+Y43+Y44+Y45)*QtéRationComplèteHivernaleOvin_1AnEtPlus,IF(Y24=Bisons,(SUM(Y32:Y33)*QtéRationComplèteHivernaleBison_0_3Mois+SUM(Y34:Y35)*QtéRationComplèteHivernaleBison_3_6Mois+SUM(Y36:Y37)*QtéRationComplèteHivernaleBison_6_12Mois+SUM(Y38:Y39)*QtéRationComplèteHivernaleBison_12_18Mois+SUM(Y40:Y41)*QtéRationComplèteHivernaleBison_18_24Mois+SUM(Y42:Y43)*QtéRationComplèteHivernaleBison_24_36Mois+SUM(Y44:Y45)*QtéRationComplèteHivernaleBison_3AnsEtPlus)/42,IF(Y24=Daims,(SUM(Y32:Y33)*QtéRationComplèteHivernaleDaim_0_3Mois+SUM(Y34:Y35)*QtéRationComplèteHivernaleDaim_3_6Mois+SUM(Y36:Y37)*QtéRationComplèteHivernaleDaim_6_12Mois+SUM(Y38:Y39)*QtéRationComplèteHivernaleDaim_12_18Mois+SUM(Y40:Y41)*QtéRationComplèteHivernaleDaim_18_24Mois+SUM(Y42:Y43)*QtéRationComplèteHivernaleDaim_24_36Mois+SUM(Y44:Y45)*QtéRationComplèteHivernaleDaim_3AnsEtPlus)/42,IF(Y24=ChevauxSelle,((Y32+Y33+Y34+Y35+Y36+Y37)*QtéRationComplèteHivernaleChevauxSelle0_12Mois+(Y38+Y39+Y40+Y41)*QtéRationComplèteHivernaleChevauxSelle12_24Mois+(Y42+Y43)*QtéRationComplèteHivernaleChevauxSelle24_36Mois+SUM(Y44+Y45)*QtéRationComplèteHivernaleChevauxSelle3AnsEtPlus)*21,IF(Y24=ChevauxTrait,((Y32+Y33+Y34+Y35+Y36+Y37)*QtéRationComplèteHivernaleChevauxTrait_0_12Mois+(Y38+Y39+Y40+Y41)*QtéRationComplèteHivernaleChevauxTrait_12_24Mois+(Y42+Y43)*QtéRationComplèteHivernaleChevauxTrait_24_36Mois+SUM(Y44+Y45)*QtéRationComplèteHivernaleChevauxTrait_3AnsEtPlus)*21,IF(Y24=Poneys,((Y32+Y33+Y34+Y35+Y36+Y37)*QtéRationComplèteHivernalePoneys_0_12Mois+(Y38+Y39+Y40+Y41)*QtéRationComplèteHivernalePoneys_12_24Mois+(Y42+Y43)*QtéRationComplèteHivernalePoneys_24_36Mois+SUM(Y44+Y45)*QtéRationComplèteHivernalePoneys_3AnsEtPlus)*21,0))))))))</f>
        <v/>
      </c>
      <c r="Z53" s="395" t="str">
        <f>IF(Z24="","",IF(Z24=Bovins,(Z32+Z33)*QtéRationComplèteHivernaleBovin_0_3Mois+(Z34+Z35)*QtéRationComplèteHivernaleBovin_3_6Mois+(Z36+Z37)*QtéRationComplèteHivernaleBovin_6_12Mois+(Z38+Z39)*QtéRationComplèteHivernaleBovin_12_18Mois+(Z40+Z41)*QtéRationComplèteHivernaleBovin_18_24Mois+(Z42+Z43)*QtéRationComplèteHivernaleBovin_24_36Mois+(Z44+Z45)*QtéRationComplèteHivernaleBovin_3AnsEtPlus,IF(Z24=Ovins,(Z32+Z33)*QtéRationComplèteHivernaleOvin_0_3Mois+(Z34+Z35)*QtéRationComplèteHivernaleOvin_3_6Mois+(Z36+Z37)*QtéRationComplèteHivernaleOvin_6_12Mois+(Z38+Z39+Z40+Z41+Z42+Z43+Z44+Z45)*QtéRationComplèteHivernaleOvin_1AnEtPlus,IF(Z24=Bisons,(SUM(Z32:Z33)*QtéRationComplèteHivernaleBison_0_3Mois+SUM(Z34:Z35)*QtéRationComplèteHivernaleBison_3_6Mois+SUM(Z36:Z37)*QtéRationComplèteHivernaleBison_6_12Mois+SUM(Z38:Z39)*QtéRationComplèteHivernaleBison_12_18Mois+SUM(Z40:Z41)*QtéRationComplèteHivernaleBison_18_24Mois+SUM(Z42:Z43)*QtéRationComplèteHivernaleBison_24_36Mois+SUM(Z44:Z45)*QtéRationComplèteHivernaleBison_3AnsEtPlus)/42,IF(Z24=Daims,(SUM(Z32:Z33)*QtéRationComplèteHivernaleDaim_0_3Mois+SUM(Z34:Z35)*QtéRationComplèteHivernaleDaim_3_6Mois+SUM(Z36:Z37)*QtéRationComplèteHivernaleDaim_6_12Mois+SUM(Z38:Z39)*QtéRationComplèteHivernaleDaim_12_18Mois+SUM(Z40:Z41)*QtéRationComplèteHivernaleDaim_18_24Mois+SUM(Z42:Z43)*QtéRationComplèteHivernaleDaim_24_36Mois+SUM(Z44:Z45)*QtéRationComplèteHivernaleDaim_3AnsEtPlus)/42,IF(Z24=ChevauxSelle,((Z32+Z33+Z34+Z35+Z36+Z37)*QtéRationComplèteHivernaleChevauxSelle0_12Mois+(Z38+Z39+Z40+Z41)*QtéRationComplèteHivernaleChevauxSelle12_24Mois+(Z42+Z43)*QtéRationComplèteHivernaleChevauxSelle24_36Mois+SUM(Z44+Z45)*QtéRationComplèteHivernaleChevauxSelle3AnsEtPlus)*21,IF(Z24=ChevauxTrait,((Z32+Z33+Z34+Z35+Z36+Z37)*QtéRationComplèteHivernaleChevauxTrait_0_12Mois+(Z38+Z39+Z40+Z41)*QtéRationComplèteHivernaleChevauxTrait_12_24Mois+(Z42+Z43)*QtéRationComplèteHivernaleChevauxTrait_24_36Mois+SUM(Z44+Z45)*QtéRationComplèteHivernaleChevauxTrait_3AnsEtPlus)*21,IF(Z24=Poneys,((Z32+Z33+Z34+Z35+Z36+Z37)*QtéRationComplèteHivernalePoneys_0_12Mois+(Z38+Z39+Z40+Z41)*QtéRationComplèteHivernalePoneys_12_24Mois+(Z42+Z43)*QtéRationComplèteHivernalePoneys_24_36Mois+SUM(Z44+Z45)*QtéRationComplèteHivernalePoneys_3AnsEtPlus)*21,0))))))))</f>
        <v/>
      </c>
      <c r="AA53" s="395" t="str">
        <f>IF(AA24="","",IF(AA24=Bovins,(AA32+AA33)*QtéRationComplèteHivernaleBovin_0_3Mois+(AA34+AA35)*QtéRationComplèteHivernaleBovin_3_6Mois+(AA36+AA37)*QtéRationComplèteHivernaleBovin_6_12Mois+(AA38+AA39)*QtéRationComplèteHivernaleBovin_12_18Mois+(AA40+AA41)*QtéRationComplèteHivernaleBovin_18_24Mois+(AA42+AA43)*QtéRationComplèteHivernaleBovin_24_36Mois+(AA44+AA45)*QtéRationComplèteHivernaleBovin_3AnsEtPlus,IF(AA24=Ovins,(AA32+AA33)*QtéRationComplèteHivernaleOvin_0_3Mois+(AA34+AA35)*QtéRationComplèteHivernaleOvin_3_6Mois+(AA36+AA37)*QtéRationComplèteHivernaleOvin_6_12Mois+(AA38+AA39+AA40+AA41+AA42+AA43+AA44+AA45)*QtéRationComplèteHivernaleOvin_1AnEtPlus,IF(AA24=Bisons,(SUM(AA32:AA33)*QtéRationComplèteHivernaleBison_0_3Mois+SUM(AA34:AA35)*QtéRationComplèteHivernaleBison_3_6Mois+SUM(AA36:AA37)*QtéRationComplèteHivernaleBison_6_12Mois+SUM(AA38:AA39)*QtéRationComplèteHivernaleBison_12_18Mois+SUM(AA40:AA41)*QtéRationComplèteHivernaleBison_18_24Mois+SUM(AA42:AA43)*QtéRationComplèteHivernaleBison_24_36Mois+SUM(AA44:AA45)*QtéRationComplèteHivernaleBison_3AnsEtPlus)/42,IF(AA24=Daims,(SUM(AA32:AA33)*QtéRationComplèteHivernaleDaim_0_3Mois+SUM(AA34:AA35)*QtéRationComplèteHivernaleDaim_3_6Mois+SUM(AA36:AA37)*QtéRationComplèteHivernaleDaim_6_12Mois+SUM(AA38:AA39)*QtéRationComplèteHivernaleDaim_12_18Mois+SUM(AA40:AA41)*QtéRationComplèteHivernaleDaim_18_24Mois+SUM(AA42:AA43)*QtéRationComplèteHivernaleDaim_24_36Mois+SUM(AA44:AA45)*QtéRationComplèteHivernaleDaim_3AnsEtPlus)/42,IF(AA24=ChevauxSelle,((AA32+AA33+AA34+AA35+AA36+AA37)*QtéRationComplèteHivernaleChevauxSelle0_12Mois+(AA38+AA39+AA40+AA41)*QtéRationComplèteHivernaleChevauxSelle12_24Mois+(AA42+AA43)*QtéRationComplèteHivernaleChevauxSelle24_36Mois+SUM(AA44+AA45)*QtéRationComplèteHivernaleChevauxSelle3AnsEtPlus)*21,IF(AA24=ChevauxTrait,((AA32+AA33+AA34+AA35+AA36+AA37)*QtéRationComplèteHivernaleChevauxTrait_0_12Mois+(AA38+AA39+AA40+AA41)*QtéRationComplèteHivernaleChevauxTrait_12_24Mois+(AA42+AA43)*QtéRationComplèteHivernaleChevauxTrait_24_36Mois+SUM(AA44+AA45)*QtéRationComplèteHivernaleChevauxTrait_3AnsEtPlus)*21,IF(AA24=Poneys,((AA32+AA33+AA34+AA35+AA36+AA37)*QtéRationComplèteHivernalePoneys_0_12Mois+(AA38+AA39+AA40+AA41)*QtéRationComplèteHivernalePoneys_12_24Mois+(AA42+AA43)*QtéRationComplèteHivernalePoneys_24_36Mois+SUM(AA44+AA45)*QtéRationComplèteHivernalePoneys_3AnsEtPlus)*21,0))))))))</f>
        <v/>
      </c>
      <c r="AB53" s="395" t="str">
        <f>IF(AB24="","",IF(AB24=Bovins,(AB32+AB33)*QtéRationComplèteHivernaleBovin_0_3Mois+(AB34+AB35)*QtéRationComplèteHivernaleBovin_3_6Mois+(AB36+AB37)*QtéRationComplèteHivernaleBovin_6_12Mois+(AB38+AB39)*QtéRationComplèteHivernaleBovin_12_18Mois+(AB40+AB41)*QtéRationComplèteHivernaleBovin_18_24Mois+(AB42+AB43)*QtéRationComplèteHivernaleBovin_24_36Mois+(AB44+AB45)*QtéRationComplèteHivernaleBovin_3AnsEtPlus,IF(AB24=Ovins,(AB32+AB33)*QtéRationComplèteHivernaleOvin_0_3Mois+(AB34+AB35)*QtéRationComplèteHivernaleOvin_3_6Mois+(AB36+AB37)*QtéRationComplèteHivernaleOvin_6_12Mois+(AB38+AB39+AB40+AB41+AB42+AB43+AB44+AB45)*QtéRationComplèteHivernaleOvin_1AnEtPlus,IF(AB24=Bisons,(SUM(AB32:AB33)*QtéRationComplèteHivernaleBison_0_3Mois+SUM(AB34:AB35)*QtéRationComplèteHivernaleBison_3_6Mois+SUM(AB36:AB37)*QtéRationComplèteHivernaleBison_6_12Mois+SUM(AB38:AB39)*QtéRationComplèteHivernaleBison_12_18Mois+SUM(AB40:AB41)*QtéRationComplèteHivernaleBison_18_24Mois+SUM(AB42:AB43)*QtéRationComplèteHivernaleBison_24_36Mois+SUM(AB44:AB45)*QtéRationComplèteHivernaleBison_3AnsEtPlus)/42,IF(AB24=Daims,(SUM(AB32:AB33)*QtéRationComplèteHivernaleDaim_0_3Mois+SUM(AB34:AB35)*QtéRationComplèteHivernaleDaim_3_6Mois+SUM(AB36:AB37)*QtéRationComplèteHivernaleDaim_6_12Mois+SUM(AB38:AB39)*QtéRationComplèteHivernaleDaim_12_18Mois+SUM(AB40:AB41)*QtéRationComplèteHivernaleDaim_18_24Mois+SUM(AB42:AB43)*QtéRationComplèteHivernaleDaim_24_36Mois+SUM(AB44:AB45)*QtéRationComplèteHivernaleDaim_3AnsEtPlus)/42,IF(AB24=ChevauxSelle,((AB32+AB33+AB34+AB35+AB36+AB37)*QtéRationComplèteHivernaleChevauxSelle0_12Mois+(AB38+AB39+AB40+AB41)*QtéRationComplèteHivernaleChevauxSelle12_24Mois+(AB42+AB43)*QtéRationComplèteHivernaleChevauxSelle24_36Mois+SUM(AB44+AB45)*QtéRationComplèteHivernaleChevauxSelle3AnsEtPlus)*21,IF(AB24=ChevauxTrait,((AB32+AB33+AB34+AB35+AB36+AB37)*QtéRationComplèteHivernaleChevauxTrait_0_12Mois+(AB38+AB39+AB40+AB41)*QtéRationComplèteHivernaleChevauxTrait_12_24Mois+(AB42+AB43)*QtéRationComplèteHivernaleChevauxTrait_24_36Mois+SUM(AB44+AB45)*QtéRationComplèteHivernaleChevauxTrait_3AnsEtPlus)*21,IF(AB24=Poneys,((AB32+AB33+AB34+AB35+AB36+AB37)*QtéRationComplèteHivernalePoneys_0_12Mois+(AB38+AB39+AB40+AB41)*QtéRationComplèteHivernalePoneys_12_24Mois+(AB42+AB43)*QtéRationComplèteHivernalePoneys_24_36Mois+SUM(AB44+AB45)*QtéRationComplèteHivernalePoneys_3AnsEtPlus)*21,0))))))))</f>
        <v/>
      </c>
      <c r="AC53" s="395" t="str">
        <f>IF(AC24="","",IF(AC24=Bovins,(AC32+AC33)*QtéRationComplèteHivernaleBovin_0_3Mois+(AC34+AC35)*QtéRationComplèteHivernaleBovin_3_6Mois+(AC36+AC37)*QtéRationComplèteHivernaleBovin_6_12Mois+(AC38+AC39)*QtéRationComplèteHivernaleBovin_12_18Mois+(AC40+AC41)*QtéRationComplèteHivernaleBovin_18_24Mois+(AC42+AC43)*QtéRationComplèteHivernaleBovin_24_36Mois+(AC44+AC45)*QtéRationComplèteHivernaleBovin_3AnsEtPlus,IF(AC24=Ovins,(AC32+AC33)*QtéRationComplèteHivernaleOvin_0_3Mois+(AC34+AC35)*QtéRationComplèteHivernaleOvin_3_6Mois+(AC36+AC37)*QtéRationComplèteHivernaleOvin_6_12Mois+(AC38+AC39+AC40+AC41+AC42+AC43+AC44+AC45)*QtéRationComplèteHivernaleOvin_1AnEtPlus,IF(AC24=Bisons,(SUM(AC32:AC33)*QtéRationComplèteHivernaleBison_0_3Mois+SUM(AC34:AC35)*QtéRationComplèteHivernaleBison_3_6Mois+SUM(AC36:AC37)*QtéRationComplèteHivernaleBison_6_12Mois+SUM(AC38:AC39)*QtéRationComplèteHivernaleBison_12_18Mois+SUM(AC40:AC41)*QtéRationComplèteHivernaleBison_18_24Mois+SUM(AC42:AC43)*QtéRationComplèteHivernaleBison_24_36Mois+SUM(AC44:AC45)*QtéRationComplèteHivernaleBison_3AnsEtPlus)/42,IF(AC24=Daims,(SUM(AC32:AC33)*QtéRationComplèteHivernaleDaim_0_3Mois+SUM(AC34:AC35)*QtéRationComplèteHivernaleDaim_3_6Mois+SUM(AC36:AC37)*QtéRationComplèteHivernaleDaim_6_12Mois+SUM(AC38:AC39)*QtéRationComplèteHivernaleDaim_12_18Mois+SUM(AC40:AC41)*QtéRationComplèteHivernaleDaim_18_24Mois+SUM(AC42:AC43)*QtéRationComplèteHivernaleDaim_24_36Mois+SUM(AC44:AC45)*QtéRationComplèteHivernaleDaim_3AnsEtPlus)/42,IF(AC24=ChevauxSelle,((AC32+AC33+AC34+AC35+AC36+AC37)*QtéRationComplèteHivernaleChevauxSelle0_12Mois+(AC38+AC39+AC40+AC41)*QtéRationComplèteHivernaleChevauxSelle12_24Mois+(AC42+AC43)*QtéRationComplèteHivernaleChevauxSelle24_36Mois+SUM(AC44+AC45)*QtéRationComplèteHivernaleChevauxSelle3AnsEtPlus)*21,IF(AC24=ChevauxTrait,((AC32+AC33+AC34+AC35+AC36+AC37)*QtéRationComplèteHivernaleChevauxTrait_0_12Mois+(AC38+AC39+AC40+AC41)*QtéRationComplèteHivernaleChevauxTrait_12_24Mois+(AC42+AC43)*QtéRationComplèteHivernaleChevauxTrait_24_36Mois+SUM(AC44+AC45)*QtéRationComplèteHivernaleChevauxTrait_3AnsEtPlus)*21,IF(AC24=Poneys,((AC32+AC33+AC34+AC35+AC36+AC37)*QtéRationComplèteHivernalePoneys_0_12Mois+(AC38+AC39+AC40+AC41)*QtéRationComplèteHivernalePoneys_12_24Mois+(AC42+AC43)*QtéRationComplèteHivernalePoneys_24_36Mois+SUM(AC44+AC45)*QtéRationComplèteHivernalePoneys_3AnsEtPlus)*21,0))))))))</f>
        <v/>
      </c>
      <c r="AD53" s="395" t="str">
        <f>IF(AD24="","",IF(AD24=Bovins,(AD32+AD33)*QtéRationComplèteHivernaleBovin_0_3Mois+(AD34+AD35)*QtéRationComplèteHivernaleBovin_3_6Mois+(AD36+AD37)*QtéRationComplèteHivernaleBovin_6_12Mois+(AD38+AD39)*QtéRationComplèteHivernaleBovin_12_18Mois+(AD40+AD41)*QtéRationComplèteHivernaleBovin_18_24Mois+(AD42+AD43)*QtéRationComplèteHivernaleBovin_24_36Mois+(AD44+AD45)*QtéRationComplèteHivernaleBovin_3AnsEtPlus,IF(AD24=Ovins,(AD32+AD33)*QtéRationComplèteHivernaleOvin_0_3Mois+(AD34+AD35)*QtéRationComplèteHivernaleOvin_3_6Mois+(AD36+AD37)*QtéRationComplèteHivernaleOvin_6_12Mois+(AD38+AD39+AD40+AD41+AD42+AD43+AD44+AD45)*QtéRationComplèteHivernaleOvin_1AnEtPlus,IF(AD24=Bisons,(SUM(AD32:AD33)*QtéRationComplèteHivernaleBison_0_3Mois+SUM(AD34:AD35)*QtéRationComplèteHivernaleBison_3_6Mois+SUM(AD36:AD37)*QtéRationComplèteHivernaleBison_6_12Mois+SUM(AD38:AD39)*QtéRationComplèteHivernaleBison_12_18Mois+SUM(AD40:AD41)*QtéRationComplèteHivernaleBison_18_24Mois+SUM(AD42:AD43)*QtéRationComplèteHivernaleBison_24_36Mois+SUM(AD44:AD45)*QtéRationComplèteHivernaleBison_3AnsEtPlus)/42,IF(AD24=Daims,(SUM(AD32:AD33)*QtéRationComplèteHivernaleDaim_0_3Mois+SUM(AD34:AD35)*QtéRationComplèteHivernaleDaim_3_6Mois+SUM(AD36:AD37)*QtéRationComplèteHivernaleDaim_6_12Mois+SUM(AD38:AD39)*QtéRationComplèteHivernaleDaim_12_18Mois+SUM(AD40:AD41)*QtéRationComplèteHivernaleDaim_18_24Mois+SUM(AD42:AD43)*QtéRationComplèteHivernaleDaim_24_36Mois+SUM(AD44:AD45)*QtéRationComplèteHivernaleDaim_3AnsEtPlus)/42,IF(AD24=ChevauxSelle,((AD32+AD33+AD34+AD35+AD36+AD37)*QtéRationComplèteHivernaleChevauxSelle0_12Mois+(AD38+AD39+AD40+AD41)*QtéRationComplèteHivernaleChevauxSelle12_24Mois+(AD42+AD43)*QtéRationComplèteHivernaleChevauxSelle24_36Mois+SUM(AD44+AD45)*QtéRationComplèteHivernaleChevauxSelle3AnsEtPlus)*21,IF(AD24=ChevauxTrait,((AD32+AD33+AD34+AD35+AD36+AD37)*QtéRationComplèteHivernaleChevauxTrait_0_12Mois+(AD38+AD39+AD40+AD41)*QtéRationComplèteHivernaleChevauxTrait_12_24Mois+(AD42+AD43)*QtéRationComplèteHivernaleChevauxTrait_24_36Mois+SUM(AD44+AD45)*QtéRationComplèteHivernaleChevauxTrait_3AnsEtPlus)*21,IF(AD24=Poneys,((AD32+AD33+AD34+AD35+AD36+AD37)*QtéRationComplèteHivernalePoneys_0_12Mois+(AD38+AD39+AD40+AD41)*QtéRationComplèteHivernalePoneys_12_24Mois+(AD42+AD43)*QtéRationComplèteHivernalePoneys_24_36Mois+SUM(AD44+AD45)*QtéRationComplèteHivernalePoneys_3AnsEtPlus)*21,0))))))))</f>
        <v/>
      </c>
      <c r="AE53" s="395" t="str">
        <f>IF(AE24="","",IF(AE24=Bovins,(AE32+AE33)*QtéRationComplèteHivernaleBovin_0_3Mois+(AE34+AE35)*QtéRationComplèteHivernaleBovin_3_6Mois+(AE36+AE37)*QtéRationComplèteHivernaleBovin_6_12Mois+(AE38+AE39)*QtéRationComplèteHivernaleBovin_12_18Mois+(AE40+AE41)*QtéRationComplèteHivernaleBovin_18_24Mois+(AE42+AE43)*QtéRationComplèteHivernaleBovin_24_36Mois+(AE44+AE45)*QtéRationComplèteHivernaleBovin_3AnsEtPlus,IF(AE24=Ovins,(AE32+AE33)*QtéRationComplèteHivernaleOvin_0_3Mois+(AE34+AE35)*QtéRationComplèteHivernaleOvin_3_6Mois+(AE36+AE37)*QtéRationComplèteHivernaleOvin_6_12Mois+(AE38+AE39+AE40+AE41+AE42+AE43+AE44+AE45)*QtéRationComplèteHivernaleOvin_1AnEtPlus,IF(AE24=Bisons,(SUM(AE32:AE33)*QtéRationComplèteHivernaleBison_0_3Mois+SUM(AE34:AE35)*QtéRationComplèteHivernaleBison_3_6Mois+SUM(AE36:AE37)*QtéRationComplèteHivernaleBison_6_12Mois+SUM(AE38:AE39)*QtéRationComplèteHivernaleBison_12_18Mois+SUM(AE40:AE41)*QtéRationComplèteHivernaleBison_18_24Mois+SUM(AE42:AE43)*QtéRationComplèteHivernaleBison_24_36Mois+SUM(AE44:AE45)*QtéRationComplèteHivernaleBison_3AnsEtPlus)/42,IF(AE24=Daims,(SUM(AE32:AE33)*QtéRationComplèteHivernaleDaim_0_3Mois+SUM(AE34:AE35)*QtéRationComplèteHivernaleDaim_3_6Mois+SUM(AE36:AE37)*QtéRationComplèteHivernaleDaim_6_12Mois+SUM(AE38:AE39)*QtéRationComplèteHivernaleDaim_12_18Mois+SUM(AE40:AE41)*QtéRationComplèteHivernaleDaim_18_24Mois+SUM(AE42:AE43)*QtéRationComplèteHivernaleDaim_24_36Mois+SUM(AE44:AE45)*QtéRationComplèteHivernaleDaim_3AnsEtPlus)/42,IF(AE24=ChevauxSelle,((AE32+AE33+AE34+AE35+AE36+AE37)*QtéRationComplèteHivernaleChevauxSelle0_12Mois+(AE38+AE39+AE40+AE41)*QtéRationComplèteHivernaleChevauxSelle12_24Mois+(AE42+AE43)*QtéRationComplèteHivernaleChevauxSelle24_36Mois+SUM(AE44+AE45)*QtéRationComplèteHivernaleChevauxSelle3AnsEtPlus)*21,IF(AE24=ChevauxTrait,((AE32+AE33+AE34+AE35+AE36+AE37)*QtéRationComplèteHivernaleChevauxTrait_0_12Mois+(AE38+AE39+AE40+AE41)*QtéRationComplèteHivernaleChevauxTrait_12_24Mois+(AE42+AE43)*QtéRationComplèteHivernaleChevauxTrait_24_36Mois+SUM(AE44+AE45)*QtéRationComplèteHivernaleChevauxTrait_3AnsEtPlus)*21,IF(AE24=Poneys,((AE32+AE33+AE34+AE35+AE36+AE37)*QtéRationComplèteHivernalePoneys_0_12Mois+(AE38+AE39+AE40+AE41)*QtéRationComplèteHivernalePoneys_12_24Mois+(AE42+AE43)*QtéRationComplèteHivernalePoneys_24_36Mois+SUM(AE44+AE45)*QtéRationComplèteHivernalePoneys_3AnsEtPlus)*21,0))))))))</f>
        <v/>
      </c>
      <c r="AF53" s="395" t="str">
        <f>IF(AF24="","",IF(AF24=Bovins,(AF32+AF33)*QtéRationComplèteHivernaleBovin_0_3Mois+(AF34+AF35)*QtéRationComplèteHivernaleBovin_3_6Mois+(AF36+AF37)*QtéRationComplèteHivernaleBovin_6_12Mois+(AF38+AF39)*QtéRationComplèteHivernaleBovin_12_18Mois+(AF40+AF41)*QtéRationComplèteHivernaleBovin_18_24Mois+(AF42+AF43)*QtéRationComplèteHivernaleBovin_24_36Mois+(AF44+AF45)*QtéRationComplèteHivernaleBovin_3AnsEtPlus,IF(AF24=Ovins,(AF32+AF33)*QtéRationComplèteHivernaleOvin_0_3Mois+(AF34+AF35)*QtéRationComplèteHivernaleOvin_3_6Mois+(AF36+AF37)*QtéRationComplèteHivernaleOvin_6_12Mois+(AF38+AF39+AF40+AF41+AF42+AF43+AF44+AF45)*QtéRationComplèteHivernaleOvin_1AnEtPlus,IF(AF24=Bisons,(SUM(AF32:AF33)*QtéRationComplèteHivernaleBison_0_3Mois+SUM(AF34:AF35)*QtéRationComplèteHivernaleBison_3_6Mois+SUM(AF36:AF37)*QtéRationComplèteHivernaleBison_6_12Mois+SUM(AF38:AF39)*QtéRationComplèteHivernaleBison_12_18Mois+SUM(AF40:AF41)*QtéRationComplèteHivernaleBison_18_24Mois+SUM(AF42:AF43)*QtéRationComplèteHivernaleBison_24_36Mois+SUM(AF44:AF45)*QtéRationComplèteHivernaleBison_3AnsEtPlus)/42,IF(AF24=Daims,(SUM(AF32:AF33)*QtéRationComplèteHivernaleDaim_0_3Mois+SUM(AF34:AF35)*QtéRationComplèteHivernaleDaim_3_6Mois+SUM(AF36:AF37)*QtéRationComplèteHivernaleDaim_6_12Mois+SUM(AF38:AF39)*QtéRationComplèteHivernaleDaim_12_18Mois+SUM(AF40:AF41)*QtéRationComplèteHivernaleDaim_18_24Mois+SUM(AF42:AF43)*QtéRationComplèteHivernaleDaim_24_36Mois+SUM(AF44:AF45)*QtéRationComplèteHivernaleDaim_3AnsEtPlus)/42,IF(AF24=ChevauxSelle,((AF32+AF33+AF34+AF35+AF36+AF37)*QtéRationComplèteHivernaleChevauxSelle0_12Mois+(AF38+AF39+AF40+AF41)*QtéRationComplèteHivernaleChevauxSelle12_24Mois+(AF42+AF43)*QtéRationComplèteHivernaleChevauxSelle24_36Mois+SUM(AF44+AF45)*QtéRationComplèteHivernaleChevauxSelle3AnsEtPlus)*21,IF(AF24=ChevauxTrait,((AF32+AF33+AF34+AF35+AF36+AF37)*QtéRationComplèteHivernaleChevauxTrait_0_12Mois+(AF38+AF39+AF40+AF41)*QtéRationComplèteHivernaleChevauxTrait_12_24Mois+(AF42+AF43)*QtéRationComplèteHivernaleChevauxTrait_24_36Mois+SUM(AF44+AF45)*QtéRationComplèteHivernaleChevauxTrait_3AnsEtPlus)*21,IF(AF24=Poneys,((AF32+AF33+AF34+AF35+AF36+AF37)*QtéRationComplèteHivernalePoneys_0_12Mois+(AF38+AF39+AF40+AF41)*QtéRationComplèteHivernalePoneys_12_24Mois+(AF42+AF43)*QtéRationComplèteHivernalePoneys_24_36Mois+SUM(AF44+AF45)*QtéRationComplèteHivernalePoneys_3AnsEtPlus)*21,0))))))))</f>
        <v/>
      </c>
      <c r="AG53" s="395" t="str">
        <f>IF(AG24="","",IF(AG24=Bovins,(AG32+AG33)*QtéRationComplèteHivernaleBovin_0_3Mois+(AG34+AG35)*QtéRationComplèteHivernaleBovin_3_6Mois+(AG36+AG37)*QtéRationComplèteHivernaleBovin_6_12Mois+(AG38+AG39)*QtéRationComplèteHivernaleBovin_12_18Mois+(AG40+AG41)*QtéRationComplèteHivernaleBovin_18_24Mois+(AG42+AG43)*QtéRationComplèteHivernaleBovin_24_36Mois+(AG44+AG45)*QtéRationComplèteHivernaleBovin_3AnsEtPlus,IF(AG24=Ovins,(AG32+AG33)*QtéRationComplèteHivernaleOvin_0_3Mois+(AG34+AG35)*QtéRationComplèteHivernaleOvin_3_6Mois+(AG36+AG37)*QtéRationComplèteHivernaleOvin_6_12Mois+(AG38+AG39+AG40+AG41+AG42+AG43+AG44+AG45)*QtéRationComplèteHivernaleOvin_1AnEtPlus,IF(AG24=Bisons,(SUM(AG32:AG33)*QtéRationComplèteHivernaleBison_0_3Mois+SUM(AG34:AG35)*QtéRationComplèteHivernaleBison_3_6Mois+SUM(AG36:AG37)*QtéRationComplèteHivernaleBison_6_12Mois+SUM(AG38:AG39)*QtéRationComplèteHivernaleBison_12_18Mois+SUM(AG40:AG41)*QtéRationComplèteHivernaleBison_18_24Mois+SUM(AG42:AG43)*QtéRationComplèteHivernaleBison_24_36Mois+SUM(AG44:AG45)*QtéRationComplèteHivernaleBison_3AnsEtPlus)/42,IF(AG24=Daims,(SUM(AG32:AG33)*QtéRationComplèteHivernaleDaim_0_3Mois+SUM(AG34:AG35)*QtéRationComplèteHivernaleDaim_3_6Mois+SUM(AG36:AG37)*QtéRationComplèteHivernaleDaim_6_12Mois+SUM(AG38:AG39)*QtéRationComplèteHivernaleDaim_12_18Mois+SUM(AG40:AG41)*QtéRationComplèteHivernaleDaim_18_24Mois+SUM(AG42:AG43)*QtéRationComplèteHivernaleDaim_24_36Mois+SUM(AG44:AG45)*QtéRationComplèteHivernaleDaim_3AnsEtPlus)/42,IF(AG24=ChevauxSelle,((AG32+AG33+AG34+AG35+AG36+AG37)*QtéRationComplèteHivernaleChevauxSelle0_12Mois+(AG38+AG39+AG40+AG41)*QtéRationComplèteHivernaleChevauxSelle12_24Mois+(AG42+AG43)*QtéRationComplèteHivernaleChevauxSelle24_36Mois+SUM(AG44+AG45)*QtéRationComplèteHivernaleChevauxSelle3AnsEtPlus)*21,IF(AG24=ChevauxTrait,((AG32+AG33+AG34+AG35+AG36+AG37)*QtéRationComplèteHivernaleChevauxTrait_0_12Mois+(AG38+AG39+AG40+AG41)*QtéRationComplèteHivernaleChevauxTrait_12_24Mois+(AG42+AG43)*QtéRationComplèteHivernaleChevauxTrait_24_36Mois+SUM(AG44+AG45)*QtéRationComplèteHivernaleChevauxTrait_3AnsEtPlus)*21,IF(AG24=Poneys,((AG32+AG33+AG34+AG35+AG36+AG37)*QtéRationComplèteHivernalePoneys_0_12Mois+(AG38+AG39+AG40+AG41)*QtéRationComplèteHivernalePoneys_12_24Mois+(AG42+AG43)*QtéRationComplèteHivernalePoneys_24_36Mois+SUM(AG44+AG45)*QtéRationComplèteHivernalePoneys_3AnsEtPlus)*21,0))))))))</f>
        <v/>
      </c>
      <c r="AH53" s="395" t="str">
        <f>IF(AH24="","",IF(AH24=Bovins,(AH32+AH33)*QtéRationComplèteHivernaleBovin_0_3Mois+(AH34+AH35)*QtéRationComplèteHivernaleBovin_3_6Mois+(AH36+AH37)*QtéRationComplèteHivernaleBovin_6_12Mois+(AH38+AH39)*QtéRationComplèteHivernaleBovin_12_18Mois+(AH40+AH41)*QtéRationComplèteHivernaleBovin_18_24Mois+(AH42+AH43)*QtéRationComplèteHivernaleBovin_24_36Mois+(AH44+AH45)*QtéRationComplèteHivernaleBovin_3AnsEtPlus,IF(AH24=Ovins,(AH32+AH33)*QtéRationComplèteHivernaleOvin_0_3Mois+(AH34+AH35)*QtéRationComplèteHivernaleOvin_3_6Mois+(AH36+AH37)*QtéRationComplèteHivernaleOvin_6_12Mois+(AH38+AH39+AH40+AH41+AH42+AH43+AH44+AH45)*QtéRationComplèteHivernaleOvin_1AnEtPlus,IF(AH24=Bisons,(SUM(AH32:AH33)*QtéRationComplèteHivernaleBison_0_3Mois+SUM(AH34:AH35)*QtéRationComplèteHivernaleBison_3_6Mois+SUM(AH36:AH37)*QtéRationComplèteHivernaleBison_6_12Mois+SUM(AH38:AH39)*QtéRationComplèteHivernaleBison_12_18Mois+SUM(AH40:AH41)*QtéRationComplèteHivernaleBison_18_24Mois+SUM(AH42:AH43)*QtéRationComplèteHivernaleBison_24_36Mois+SUM(AH44:AH45)*QtéRationComplèteHivernaleBison_3AnsEtPlus)/42,IF(AH24=Daims,(SUM(AH32:AH33)*QtéRationComplèteHivernaleDaim_0_3Mois+SUM(AH34:AH35)*QtéRationComplèteHivernaleDaim_3_6Mois+SUM(AH36:AH37)*QtéRationComplèteHivernaleDaim_6_12Mois+SUM(AH38:AH39)*QtéRationComplèteHivernaleDaim_12_18Mois+SUM(AH40:AH41)*QtéRationComplèteHivernaleDaim_18_24Mois+SUM(AH42:AH43)*QtéRationComplèteHivernaleDaim_24_36Mois+SUM(AH44:AH45)*QtéRationComplèteHivernaleDaim_3AnsEtPlus)/42,IF(AH24=ChevauxSelle,((AH32+AH33+AH34+AH35+AH36+AH37)*QtéRationComplèteHivernaleChevauxSelle0_12Mois+(AH38+AH39+AH40+AH41)*QtéRationComplèteHivernaleChevauxSelle12_24Mois+(AH42+AH43)*QtéRationComplèteHivernaleChevauxSelle24_36Mois+SUM(AH44+AH45)*QtéRationComplèteHivernaleChevauxSelle3AnsEtPlus)*21,IF(AH24=ChevauxTrait,((AH32+AH33+AH34+AH35+AH36+AH37)*QtéRationComplèteHivernaleChevauxTrait_0_12Mois+(AH38+AH39+AH40+AH41)*QtéRationComplèteHivernaleChevauxTrait_12_24Mois+(AH42+AH43)*QtéRationComplèteHivernaleChevauxTrait_24_36Mois+SUM(AH44+AH45)*QtéRationComplèteHivernaleChevauxTrait_3AnsEtPlus)*21,IF(AH24=Poneys,((AH32+AH33+AH34+AH35+AH36+AH37)*QtéRationComplèteHivernalePoneys_0_12Mois+(AH38+AH39+AH40+AH41)*QtéRationComplèteHivernalePoneys_12_24Mois+(AH42+AH43)*QtéRationComplèteHivernalePoneys_24_36Mois+SUM(AH44+AH45)*QtéRationComplèteHivernalePoneys_3AnsEtPlus)*21,0))))))))</f>
        <v/>
      </c>
      <c r="AI53" s="395" t="str">
        <f>IF(AI24="","",IF(AI24=Bovins,(AI32+AI33)*QtéRationComplèteHivernaleBovin_0_3Mois+(AI34+AI35)*QtéRationComplèteHivernaleBovin_3_6Mois+(AI36+AI37)*QtéRationComplèteHivernaleBovin_6_12Mois+(AI38+AI39)*QtéRationComplèteHivernaleBovin_12_18Mois+(AI40+AI41)*QtéRationComplèteHivernaleBovin_18_24Mois+(AI42+AI43)*QtéRationComplèteHivernaleBovin_24_36Mois+(AI44+AI45)*QtéRationComplèteHivernaleBovin_3AnsEtPlus,IF(AI24=Ovins,(AI32+AI33)*QtéRationComplèteHivernaleOvin_0_3Mois+(AI34+AI35)*QtéRationComplèteHivernaleOvin_3_6Mois+(AI36+AI37)*QtéRationComplèteHivernaleOvin_6_12Mois+(AI38+AI39+AI40+AI41+AI42+AI43+AI44+AI45)*QtéRationComplèteHivernaleOvin_1AnEtPlus,IF(AI24=Bisons,(SUM(AI32:AI33)*QtéRationComplèteHivernaleBison_0_3Mois+SUM(AI34:AI35)*QtéRationComplèteHivernaleBison_3_6Mois+SUM(AI36:AI37)*QtéRationComplèteHivernaleBison_6_12Mois+SUM(AI38:AI39)*QtéRationComplèteHivernaleBison_12_18Mois+SUM(AI40:AI41)*QtéRationComplèteHivernaleBison_18_24Mois+SUM(AI42:AI43)*QtéRationComplèteHivernaleBison_24_36Mois+SUM(AI44:AI45)*QtéRationComplèteHivernaleBison_3AnsEtPlus)/42,IF(AI24=Daims,(SUM(AI32:AI33)*QtéRationComplèteHivernaleDaim_0_3Mois+SUM(AI34:AI35)*QtéRationComplèteHivernaleDaim_3_6Mois+SUM(AI36:AI37)*QtéRationComplèteHivernaleDaim_6_12Mois+SUM(AI38:AI39)*QtéRationComplèteHivernaleDaim_12_18Mois+SUM(AI40:AI41)*QtéRationComplèteHivernaleDaim_18_24Mois+SUM(AI42:AI43)*QtéRationComplèteHivernaleDaim_24_36Mois+SUM(AI44:AI45)*QtéRationComplèteHivernaleDaim_3AnsEtPlus)/42,IF(AI24=ChevauxSelle,((AI32+AI33+AI34+AI35+AI36+AI37)*QtéRationComplèteHivernaleChevauxSelle0_12Mois+(AI38+AI39+AI40+AI41)*QtéRationComplèteHivernaleChevauxSelle12_24Mois+(AI42+AI43)*QtéRationComplèteHivernaleChevauxSelle24_36Mois+SUM(AI44+AI45)*QtéRationComplèteHivernaleChevauxSelle3AnsEtPlus)*21,IF(AI24=ChevauxTrait,((AI32+AI33+AI34+AI35+AI36+AI37)*QtéRationComplèteHivernaleChevauxTrait_0_12Mois+(AI38+AI39+AI40+AI41)*QtéRationComplèteHivernaleChevauxTrait_12_24Mois+(AI42+AI43)*QtéRationComplèteHivernaleChevauxTrait_24_36Mois+SUM(AI44+AI45)*QtéRationComplèteHivernaleChevauxTrait_3AnsEtPlus)*21,IF(AI24=Poneys,((AI32+AI33+AI34+AI35+AI36+AI37)*QtéRationComplèteHivernalePoneys_0_12Mois+(AI38+AI39+AI40+AI41)*QtéRationComplèteHivernalePoneys_12_24Mois+(AI42+AI43)*QtéRationComplèteHivernalePoneys_24_36Mois+SUM(AI44+AI45)*QtéRationComplèteHivernalePoneys_3AnsEtPlus)*21,0))))))))</f>
        <v/>
      </c>
      <c r="AJ53" s="395" t="str">
        <f>IF(AJ24="","",IF(AJ24=Bovins,(AJ32+AJ33)*QtéRationComplèteHivernaleBovin_0_3Mois+(AJ34+AJ35)*QtéRationComplèteHivernaleBovin_3_6Mois+(AJ36+AJ37)*QtéRationComplèteHivernaleBovin_6_12Mois+(AJ38+AJ39)*QtéRationComplèteHivernaleBovin_12_18Mois+(AJ40+AJ41)*QtéRationComplèteHivernaleBovin_18_24Mois+(AJ42+AJ43)*QtéRationComplèteHivernaleBovin_24_36Mois+(AJ44+AJ45)*QtéRationComplèteHivernaleBovin_3AnsEtPlus,IF(AJ24=Ovins,(AJ32+AJ33)*QtéRationComplèteHivernaleOvin_0_3Mois+(AJ34+AJ35)*QtéRationComplèteHivernaleOvin_3_6Mois+(AJ36+AJ37)*QtéRationComplèteHivernaleOvin_6_12Mois+(AJ38+AJ39+AJ40+AJ41+AJ42+AJ43+AJ44+AJ45)*QtéRationComplèteHivernaleOvin_1AnEtPlus,IF(AJ24=Bisons,(SUM(AJ32:AJ33)*QtéRationComplèteHivernaleBison_0_3Mois+SUM(AJ34:AJ35)*QtéRationComplèteHivernaleBison_3_6Mois+SUM(AJ36:AJ37)*QtéRationComplèteHivernaleBison_6_12Mois+SUM(AJ38:AJ39)*QtéRationComplèteHivernaleBison_12_18Mois+SUM(AJ40:AJ41)*QtéRationComplèteHivernaleBison_18_24Mois+SUM(AJ42:AJ43)*QtéRationComplèteHivernaleBison_24_36Mois+SUM(AJ44:AJ45)*QtéRationComplèteHivernaleBison_3AnsEtPlus)/42,IF(AJ24=Daims,(SUM(AJ32:AJ33)*QtéRationComplèteHivernaleDaim_0_3Mois+SUM(AJ34:AJ35)*QtéRationComplèteHivernaleDaim_3_6Mois+SUM(AJ36:AJ37)*QtéRationComplèteHivernaleDaim_6_12Mois+SUM(AJ38:AJ39)*QtéRationComplèteHivernaleDaim_12_18Mois+SUM(AJ40:AJ41)*QtéRationComplèteHivernaleDaim_18_24Mois+SUM(AJ42:AJ43)*QtéRationComplèteHivernaleDaim_24_36Mois+SUM(AJ44:AJ45)*QtéRationComplèteHivernaleDaim_3AnsEtPlus)/42,IF(AJ24=ChevauxSelle,((AJ32+AJ33+AJ34+AJ35+AJ36+AJ37)*QtéRationComplèteHivernaleChevauxSelle0_12Mois+(AJ38+AJ39+AJ40+AJ41)*QtéRationComplèteHivernaleChevauxSelle12_24Mois+(AJ42+AJ43)*QtéRationComplèteHivernaleChevauxSelle24_36Mois+SUM(AJ44+AJ45)*QtéRationComplèteHivernaleChevauxSelle3AnsEtPlus)*21,IF(AJ24=ChevauxTrait,((AJ32+AJ33+AJ34+AJ35+AJ36+AJ37)*QtéRationComplèteHivernaleChevauxTrait_0_12Mois+(AJ38+AJ39+AJ40+AJ41)*QtéRationComplèteHivernaleChevauxTrait_12_24Mois+(AJ42+AJ43)*QtéRationComplèteHivernaleChevauxTrait_24_36Mois+SUM(AJ44+AJ45)*QtéRationComplèteHivernaleChevauxTrait_3AnsEtPlus)*21,IF(AJ24=Poneys,((AJ32+AJ33+AJ34+AJ35+AJ36+AJ37)*QtéRationComplèteHivernalePoneys_0_12Mois+(AJ38+AJ39+AJ40+AJ41)*QtéRationComplèteHivernalePoneys_12_24Mois+(AJ42+AJ43)*QtéRationComplèteHivernalePoneys_24_36Mois+SUM(AJ44+AJ45)*QtéRationComplèteHivernalePoneys_3AnsEtPlus)*21,0))))))))</f>
        <v/>
      </c>
      <c r="AK53" s="395" t="str">
        <f>IF(AK24="","",IF(AK24=Bovins,(AK32+AK33)*QtéRationComplèteHivernaleBovin_0_3Mois+(AK34+AK35)*QtéRationComplèteHivernaleBovin_3_6Mois+(AK36+AK37)*QtéRationComplèteHivernaleBovin_6_12Mois+(AK38+AK39)*QtéRationComplèteHivernaleBovin_12_18Mois+(AK40+AK41)*QtéRationComplèteHivernaleBovin_18_24Mois+(AK42+AK43)*QtéRationComplèteHivernaleBovin_24_36Mois+(AK44+AK45)*QtéRationComplèteHivernaleBovin_3AnsEtPlus,IF(AK24=Ovins,(AK32+AK33)*QtéRationComplèteHivernaleOvin_0_3Mois+(AK34+AK35)*QtéRationComplèteHivernaleOvin_3_6Mois+(AK36+AK37)*QtéRationComplèteHivernaleOvin_6_12Mois+(AK38+AK39+AK40+AK41+AK42+AK43+AK44+AK45)*QtéRationComplèteHivernaleOvin_1AnEtPlus,IF(AK24=Bisons,(SUM(AK32:AK33)*QtéRationComplèteHivernaleBison_0_3Mois+SUM(AK34:AK35)*QtéRationComplèteHivernaleBison_3_6Mois+SUM(AK36:AK37)*QtéRationComplèteHivernaleBison_6_12Mois+SUM(AK38:AK39)*QtéRationComplèteHivernaleBison_12_18Mois+SUM(AK40:AK41)*QtéRationComplèteHivernaleBison_18_24Mois+SUM(AK42:AK43)*QtéRationComplèteHivernaleBison_24_36Mois+SUM(AK44:AK45)*QtéRationComplèteHivernaleBison_3AnsEtPlus)/42,IF(AK24=Daims,(SUM(AK32:AK33)*QtéRationComplèteHivernaleDaim_0_3Mois+SUM(AK34:AK35)*QtéRationComplèteHivernaleDaim_3_6Mois+SUM(AK36:AK37)*QtéRationComplèteHivernaleDaim_6_12Mois+SUM(AK38:AK39)*QtéRationComplèteHivernaleDaim_12_18Mois+SUM(AK40:AK41)*QtéRationComplèteHivernaleDaim_18_24Mois+SUM(AK42:AK43)*QtéRationComplèteHivernaleDaim_24_36Mois+SUM(AK44:AK45)*QtéRationComplèteHivernaleDaim_3AnsEtPlus)/42,IF(AK24=ChevauxSelle,((AK32+AK33+AK34+AK35+AK36+AK37)*QtéRationComplèteHivernaleChevauxSelle0_12Mois+(AK38+AK39+AK40+AK41)*QtéRationComplèteHivernaleChevauxSelle12_24Mois+(AK42+AK43)*QtéRationComplèteHivernaleChevauxSelle24_36Mois+SUM(AK44+AK45)*QtéRationComplèteHivernaleChevauxSelle3AnsEtPlus)*21,IF(AK24=ChevauxTrait,((AK32+AK33+AK34+AK35+AK36+AK37)*QtéRationComplèteHivernaleChevauxTrait_0_12Mois+(AK38+AK39+AK40+AK41)*QtéRationComplèteHivernaleChevauxTrait_12_24Mois+(AK42+AK43)*QtéRationComplèteHivernaleChevauxTrait_24_36Mois+SUM(AK44+AK45)*QtéRationComplèteHivernaleChevauxTrait_3AnsEtPlus)*21,IF(AK24=Poneys,((AK32+AK33+AK34+AK35+AK36+AK37)*QtéRationComplèteHivernalePoneys_0_12Mois+(AK38+AK39+AK40+AK41)*QtéRationComplèteHivernalePoneys_12_24Mois+(AK42+AK43)*QtéRationComplèteHivernalePoneys_24_36Mois+SUM(AK44+AK45)*QtéRationComplèteHivernalePoneys_3AnsEtPlus)*21,0))))))))</f>
        <v/>
      </c>
      <c r="AL53" s="395" t="str">
        <f>IF(AL24="","",IF(AL24=Bovins,(AL32+AL33)*QtéRationComplèteHivernaleBovin_0_3Mois+(AL34+AL35)*QtéRationComplèteHivernaleBovin_3_6Mois+(AL36+AL37)*QtéRationComplèteHivernaleBovin_6_12Mois+(AL38+AL39)*QtéRationComplèteHivernaleBovin_12_18Mois+(AL40+AL41)*QtéRationComplèteHivernaleBovin_18_24Mois+(AL42+AL43)*QtéRationComplèteHivernaleBovin_24_36Mois+(AL44+AL45)*QtéRationComplèteHivernaleBovin_3AnsEtPlus,IF(AL24=Ovins,(AL32+AL33)*QtéRationComplèteHivernaleOvin_0_3Mois+(AL34+AL35)*QtéRationComplèteHivernaleOvin_3_6Mois+(AL36+AL37)*QtéRationComplèteHivernaleOvin_6_12Mois+(AL38+AL39+AL40+AL41+AL42+AL43+AL44+AL45)*QtéRationComplèteHivernaleOvin_1AnEtPlus,IF(AL24=Bisons,(SUM(AL32:AL33)*QtéRationComplèteHivernaleBison_0_3Mois+SUM(AL34:AL35)*QtéRationComplèteHivernaleBison_3_6Mois+SUM(AL36:AL37)*QtéRationComplèteHivernaleBison_6_12Mois+SUM(AL38:AL39)*QtéRationComplèteHivernaleBison_12_18Mois+SUM(AL40:AL41)*QtéRationComplèteHivernaleBison_18_24Mois+SUM(AL42:AL43)*QtéRationComplèteHivernaleBison_24_36Mois+SUM(AL44:AL45)*QtéRationComplèteHivernaleBison_3AnsEtPlus)/42,IF(AL24=Daims,(SUM(AL32:AL33)*QtéRationComplèteHivernaleDaim_0_3Mois+SUM(AL34:AL35)*QtéRationComplèteHivernaleDaim_3_6Mois+SUM(AL36:AL37)*QtéRationComplèteHivernaleDaim_6_12Mois+SUM(AL38:AL39)*QtéRationComplèteHivernaleDaim_12_18Mois+SUM(AL40:AL41)*QtéRationComplèteHivernaleDaim_18_24Mois+SUM(AL42:AL43)*QtéRationComplèteHivernaleDaim_24_36Mois+SUM(AL44:AL45)*QtéRationComplèteHivernaleDaim_3AnsEtPlus)/42,IF(AL24=ChevauxSelle,((AL32+AL33+AL34+AL35+AL36+AL37)*QtéRationComplèteHivernaleChevauxSelle0_12Mois+(AL38+AL39+AL40+AL41)*QtéRationComplèteHivernaleChevauxSelle12_24Mois+(AL42+AL43)*QtéRationComplèteHivernaleChevauxSelle24_36Mois+SUM(AL44+AL45)*QtéRationComplèteHivernaleChevauxSelle3AnsEtPlus)*21,IF(AL24=ChevauxTrait,((AL32+AL33+AL34+AL35+AL36+AL37)*QtéRationComplèteHivernaleChevauxTrait_0_12Mois+(AL38+AL39+AL40+AL41)*QtéRationComplèteHivernaleChevauxTrait_12_24Mois+(AL42+AL43)*QtéRationComplèteHivernaleChevauxTrait_24_36Mois+SUM(AL44+AL45)*QtéRationComplèteHivernaleChevauxTrait_3AnsEtPlus)*21,IF(AL24=Poneys,((AL32+AL33+AL34+AL35+AL36+AL37)*QtéRationComplèteHivernalePoneys_0_12Mois+(AL38+AL39+AL40+AL41)*QtéRationComplèteHivernalePoneys_12_24Mois+(AL42+AL43)*QtéRationComplèteHivernalePoneys_24_36Mois+SUM(AL44+AL45)*QtéRationComplèteHivernalePoneys_3AnsEtPlus)*21,0))))))))</f>
        <v/>
      </c>
      <c r="AM53" s="395" t="str">
        <f>IF(AM24="","",IF(AM24=Bovins,(AM32+AM33)*QtéRationComplèteHivernaleBovin_0_3Mois+(AM34+AM35)*QtéRationComplèteHivernaleBovin_3_6Mois+(AM36+AM37)*QtéRationComplèteHivernaleBovin_6_12Mois+(AM38+AM39)*QtéRationComplèteHivernaleBovin_12_18Mois+(AM40+AM41)*QtéRationComplèteHivernaleBovin_18_24Mois+(AM42+AM43)*QtéRationComplèteHivernaleBovin_24_36Mois+(AM44+AM45)*QtéRationComplèteHivernaleBovin_3AnsEtPlus,IF(AM24=Ovins,(AM32+AM33)*QtéRationComplèteHivernaleOvin_0_3Mois+(AM34+AM35)*QtéRationComplèteHivernaleOvin_3_6Mois+(AM36+AM37)*QtéRationComplèteHivernaleOvin_6_12Mois+(AM38+AM39+AM40+AM41+AM42+AM43+AM44+AM45)*QtéRationComplèteHivernaleOvin_1AnEtPlus,IF(AM24=Bisons,(SUM(AM32:AM33)*QtéRationComplèteHivernaleBison_0_3Mois+SUM(AM34:AM35)*QtéRationComplèteHivernaleBison_3_6Mois+SUM(AM36:AM37)*QtéRationComplèteHivernaleBison_6_12Mois+SUM(AM38:AM39)*QtéRationComplèteHivernaleBison_12_18Mois+SUM(AM40:AM41)*QtéRationComplèteHivernaleBison_18_24Mois+SUM(AM42:AM43)*QtéRationComplèteHivernaleBison_24_36Mois+SUM(AM44:AM45)*QtéRationComplèteHivernaleBison_3AnsEtPlus)/42,IF(AM24=Daims,(SUM(AM32:AM33)*QtéRationComplèteHivernaleDaim_0_3Mois+SUM(AM34:AM35)*QtéRationComplèteHivernaleDaim_3_6Mois+SUM(AM36:AM37)*QtéRationComplèteHivernaleDaim_6_12Mois+SUM(AM38:AM39)*QtéRationComplèteHivernaleDaim_12_18Mois+SUM(AM40:AM41)*QtéRationComplèteHivernaleDaim_18_24Mois+SUM(AM42:AM43)*QtéRationComplèteHivernaleDaim_24_36Mois+SUM(AM44:AM45)*QtéRationComplèteHivernaleDaim_3AnsEtPlus)/42,IF(AM24=ChevauxSelle,((AM32+AM33+AM34+AM35+AM36+AM37)*QtéRationComplèteHivernaleChevauxSelle0_12Mois+(AM38+AM39+AM40+AM41)*QtéRationComplèteHivernaleChevauxSelle12_24Mois+(AM42+AM43)*QtéRationComplèteHivernaleChevauxSelle24_36Mois+SUM(AM44+AM45)*QtéRationComplèteHivernaleChevauxSelle3AnsEtPlus)*21,IF(AM24=ChevauxTrait,((AM32+AM33+AM34+AM35+AM36+AM37)*QtéRationComplèteHivernaleChevauxTrait_0_12Mois+(AM38+AM39+AM40+AM41)*QtéRationComplèteHivernaleChevauxTrait_12_24Mois+(AM42+AM43)*QtéRationComplèteHivernaleChevauxTrait_24_36Mois+SUM(AM44+AM45)*QtéRationComplèteHivernaleChevauxTrait_3AnsEtPlus)*21,IF(AM24=Poneys,((AM32+AM33+AM34+AM35+AM36+AM37)*QtéRationComplèteHivernalePoneys_0_12Mois+(AM38+AM39+AM40+AM41)*QtéRationComplèteHivernalePoneys_12_24Mois+(AM42+AM43)*QtéRationComplèteHivernalePoneys_24_36Mois+SUM(AM44+AM45)*QtéRationComplèteHivernalePoneys_3AnsEtPlus)*21,0))))))))</f>
        <v/>
      </c>
      <c r="AN53" s="395" t="str">
        <f>IF(AN24="","",IF(AN24=Bovins,(AN32+AN33)*QtéRationComplèteHivernaleBovin_0_3Mois+(AN34+AN35)*QtéRationComplèteHivernaleBovin_3_6Mois+(AN36+AN37)*QtéRationComplèteHivernaleBovin_6_12Mois+(AN38+AN39)*QtéRationComplèteHivernaleBovin_12_18Mois+(AN40+AN41)*QtéRationComplèteHivernaleBovin_18_24Mois+(AN42+AN43)*QtéRationComplèteHivernaleBovin_24_36Mois+(AN44+AN45)*QtéRationComplèteHivernaleBovin_3AnsEtPlus,IF(AN24=Ovins,(AN32+AN33)*QtéRationComplèteHivernaleOvin_0_3Mois+(AN34+AN35)*QtéRationComplèteHivernaleOvin_3_6Mois+(AN36+AN37)*QtéRationComplèteHivernaleOvin_6_12Mois+(AN38+AN39+AN40+AN41+AN42+AN43+AN44+AN45)*QtéRationComplèteHivernaleOvin_1AnEtPlus,IF(AN24=Bisons,(SUM(AN32:AN33)*QtéRationComplèteHivernaleBison_0_3Mois+SUM(AN34:AN35)*QtéRationComplèteHivernaleBison_3_6Mois+SUM(AN36:AN37)*QtéRationComplèteHivernaleBison_6_12Mois+SUM(AN38:AN39)*QtéRationComplèteHivernaleBison_12_18Mois+SUM(AN40:AN41)*QtéRationComplèteHivernaleBison_18_24Mois+SUM(AN42:AN43)*QtéRationComplèteHivernaleBison_24_36Mois+SUM(AN44:AN45)*QtéRationComplèteHivernaleBison_3AnsEtPlus)/42,IF(AN24=Daims,(SUM(AN32:AN33)*QtéRationComplèteHivernaleDaim_0_3Mois+SUM(AN34:AN35)*QtéRationComplèteHivernaleDaim_3_6Mois+SUM(AN36:AN37)*QtéRationComplèteHivernaleDaim_6_12Mois+SUM(AN38:AN39)*QtéRationComplèteHivernaleDaim_12_18Mois+SUM(AN40:AN41)*QtéRationComplèteHivernaleDaim_18_24Mois+SUM(AN42:AN43)*QtéRationComplèteHivernaleDaim_24_36Mois+SUM(AN44:AN45)*QtéRationComplèteHivernaleDaim_3AnsEtPlus)/42,IF(AN24=ChevauxSelle,((AN32+AN33+AN34+AN35+AN36+AN37)*QtéRationComplèteHivernaleChevauxSelle0_12Mois+(AN38+AN39+AN40+AN41)*QtéRationComplèteHivernaleChevauxSelle12_24Mois+(AN42+AN43)*QtéRationComplèteHivernaleChevauxSelle24_36Mois+SUM(AN44+AN45)*QtéRationComplèteHivernaleChevauxSelle3AnsEtPlus)*21,IF(AN24=ChevauxTrait,((AN32+AN33+AN34+AN35+AN36+AN37)*QtéRationComplèteHivernaleChevauxTrait_0_12Mois+(AN38+AN39+AN40+AN41)*QtéRationComplèteHivernaleChevauxTrait_12_24Mois+(AN42+AN43)*QtéRationComplèteHivernaleChevauxTrait_24_36Mois+SUM(AN44+AN45)*QtéRationComplèteHivernaleChevauxTrait_3AnsEtPlus)*21,IF(AN24=Poneys,((AN32+AN33+AN34+AN35+AN36+AN37)*QtéRationComplèteHivernalePoneys_0_12Mois+(AN38+AN39+AN40+AN41)*QtéRationComplèteHivernalePoneys_12_24Mois+(AN42+AN43)*QtéRationComplèteHivernalePoneys_24_36Mois+SUM(AN44+AN45)*QtéRationComplèteHivernalePoneys_3AnsEtPlus)*21,0))))))))</f>
        <v/>
      </c>
      <c r="AO53" s="395" t="str">
        <f>IF(AO24="","",IF(AO24=Bovins,(AO32+AO33)*QtéRationComplèteHivernaleBovin_0_3Mois+(AO34+AO35)*QtéRationComplèteHivernaleBovin_3_6Mois+(AO36+AO37)*QtéRationComplèteHivernaleBovin_6_12Mois+(AO38+AO39)*QtéRationComplèteHivernaleBovin_12_18Mois+(AO40+AO41)*QtéRationComplèteHivernaleBovin_18_24Mois+(AO42+AO43)*QtéRationComplèteHivernaleBovin_24_36Mois+(AO44+AO45)*QtéRationComplèteHivernaleBovin_3AnsEtPlus,IF(AO24=Ovins,(AO32+AO33)*QtéRationComplèteHivernaleOvin_0_3Mois+(AO34+AO35)*QtéRationComplèteHivernaleOvin_3_6Mois+(AO36+AO37)*QtéRationComplèteHivernaleOvin_6_12Mois+(AO38+AO39+AO40+AO41+AO42+AO43+AO44+AO45)*QtéRationComplèteHivernaleOvin_1AnEtPlus,IF(AO24=Bisons,(SUM(AO32:AO33)*QtéRationComplèteHivernaleBison_0_3Mois+SUM(AO34:AO35)*QtéRationComplèteHivernaleBison_3_6Mois+SUM(AO36:AO37)*QtéRationComplèteHivernaleBison_6_12Mois+SUM(AO38:AO39)*QtéRationComplèteHivernaleBison_12_18Mois+SUM(AO40:AO41)*QtéRationComplèteHivernaleBison_18_24Mois+SUM(AO42:AO43)*QtéRationComplèteHivernaleBison_24_36Mois+SUM(AO44:AO45)*QtéRationComplèteHivernaleBison_3AnsEtPlus)/42,IF(AO24=Daims,(SUM(AO32:AO33)*QtéRationComplèteHivernaleDaim_0_3Mois+SUM(AO34:AO35)*QtéRationComplèteHivernaleDaim_3_6Mois+SUM(AO36:AO37)*QtéRationComplèteHivernaleDaim_6_12Mois+SUM(AO38:AO39)*QtéRationComplèteHivernaleDaim_12_18Mois+SUM(AO40:AO41)*QtéRationComplèteHivernaleDaim_18_24Mois+SUM(AO42:AO43)*QtéRationComplèteHivernaleDaim_24_36Mois+SUM(AO44:AO45)*QtéRationComplèteHivernaleDaim_3AnsEtPlus)/42,IF(AO24=ChevauxSelle,((AO32+AO33+AO34+AO35+AO36+AO37)*QtéRationComplèteHivernaleChevauxSelle0_12Mois+(AO38+AO39+AO40+AO41)*QtéRationComplèteHivernaleChevauxSelle12_24Mois+(AO42+AO43)*QtéRationComplèteHivernaleChevauxSelle24_36Mois+SUM(AO44+AO45)*QtéRationComplèteHivernaleChevauxSelle3AnsEtPlus)*21,IF(AO24=ChevauxTrait,((AO32+AO33+AO34+AO35+AO36+AO37)*QtéRationComplèteHivernaleChevauxTrait_0_12Mois+(AO38+AO39+AO40+AO41)*QtéRationComplèteHivernaleChevauxTrait_12_24Mois+(AO42+AO43)*QtéRationComplèteHivernaleChevauxTrait_24_36Mois+SUM(AO44+AO45)*QtéRationComplèteHivernaleChevauxTrait_3AnsEtPlus)*21,IF(AO24=Poneys,((AO32+AO33+AO34+AO35+AO36+AO37)*QtéRationComplèteHivernalePoneys_0_12Mois+(AO38+AO39+AO40+AO41)*QtéRationComplèteHivernalePoneys_12_24Mois+(AO42+AO43)*QtéRationComplèteHivernalePoneys_24_36Mois+SUM(AO44+AO45)*QtéRationComplèteHivernalePoneys_3AnsEtPlus)*21,0))))))))</f>
        <v/>
      </c>
      <c r="AP53" s="395" t="str">
        <f>IF(AP24="","",IF(AP24=Bovins,(AP32+AP33)*QtéRationComplèteHivernaleBovin_0_3Mois+(AP34+AP35)*QtéRationComplèteHivernaleBovin_3_6Mois+(AP36+AP37)*QtéRationComplèteHivernaleBovin_6_12Mois+(AP38+AP39)*QtéRationComplèteHivernaleBovin_12_18Mois+(AP40+AP41)*QtéRationComplèteHivernaleBovin_18_24Mois+(AP42+AP43)*QtéRationComplèteHivernaleBovin_24_36Mois+(AP44+AP45)*QtéRationComplèteHivernaleBovin_3AnsEtPlus,IF(AP24=Ovins,(AP32+AP33)*QtéRationComplèteHivernaleOvin_0_3Mois+(AP34+AP35)*QtéRationComplèteHivernaleOvin_3_6Mois+(AP36+AP37)*QtéRationComplèteHivernaleOvin_6_12Mois+(AP38+AP39+AP40+AP41+AP42+AP43+AP44+AP45)*QtéRationComplèteHivernaleOvin_1AnEtPlus,IF(AP24=Bisons,(SUM(AP32:AP33)*QtéRationComplèteHivernaleBison_0_3Mois+SUM(AP34:AP35)*QtéRationComplèteHivernaleBison_3_6Mois+SUM(AP36:AP37)*QtéRationComplèteHivernaleBison_6_12Mois+SUM(AP38:AP39)*QtéRationComplèteHivernaleBison_12_18Mois+SUM(AP40:AP41)*QtéRationComplèteHivernaleBison_18_24Mois+SUM(AP42:AP43)*QtéRationComplèteHivernaleBison_24_36Mois+SUM(AP44:AP45)*QtéRationComplèteHivernaleBison_3AnsEtPlus)/42,IF(AP24=Daims,(SUM(AP32:AP33)*QtéRationComplèteHivernaleDaim_0_3Mois+SUM(AP34:AP35)*QtéRationComplèteHivernaleDaim_3_6Mois+SUM(AP36:AP37)*QtéRationComplèteHivernaleDaim_6_12Mois+SUM(AP38:AP39)*QtéRationComplèteHivernaleDaim_12_18Mois+SUM(AP40:AP41)*QtéRationComplèteHivernaleDaim_18_24Mois+SUM(AP42:AP43)*QtéRationComplèteHivernaleDaim_24_36Mois+SUM(AP44:AP45)*QtéRationComplèteHivernaleDaim_3AnsEtPlus)/42,IF(AP24=ChevauxSelle,((AP32+AP33+AP34+AP35+AP36+AP37)*QtéRationComplèteHivernaleChevauxSelle0_12Mois+(AP38+AP39+AP40+AP41)*QtéRationComplèteHivernaleChevauxSelle12_24Mois+(AP42+AP43)*QtéRationComplèteHivernaleChevauxSelle24_36Mois+SUM(AP44+AP45)*QtéRationComplèteHivernaleChevauxSelle3AnsEtPlus)*21,IF(AP24=ChevauxTrait,((AP32+AP33+AP34+AP35+AP36+AP37)*QtéRationComplèteHivernaleChevauxTrait_0_12Mois+(AP38+AP39+AP40+AP41)*QtéRationComplèteHivernaleChevauxTrait_12_24Mois+(AP42+AP43)*QtéRationComplèteHivernaleChevauxTrait_24_36Mois+SUM(AP44+AP45)*QtéRationComplèteHivernaleChevauxTrait_3AnsEtPlus)*21,IF(AP24=Poneys,((AP32+AP33+AP34+AP35+AP36+AP37)*QtéRationComplèteHivernalePoneys_0_12Mois+(AP38+AP39+AP40+AP41)*QtéRationComplèteHivernalePoneys_12_24Mois+(AP42+AP43)*QtéRationComplèteHivernalePoneys_24_36Mois+SUM(AP44+AP45)*QtéRationComplèteHivernalePoneys_3AnsEtPlus)*21,0))))))))</f>
        <v/>
      </c>
      <c r="AQ53" s="395" t="str">
        <f>IF(AQ24="","",IF(AQ24=Bovins,(AQ32+AQ33)*QtéRationComplèteHivernaleBovin_0_3Mois+(AQ34+AQ35)*QtéRationComplèteHivernaleBovin_3_6Mois+(AQ36+AQ37)*QtéRationComplèteHivernaleBovin_6_12Mois+(AQ38+AQ39)*QtéRationComplèteHivernaleBovin_12_18Mois+(AQ40+AQ41)*QtéRationComplèteHivernaleBovin_18_24Mois+(AQ42+AQ43)*QtéRationComplèteHivernaleBovin_24_36Mois+(AQ44+AQ45)*QtéRationComplèteHivernaleBovin_3AnsEtPlus,IF(AQ24=Ovins,(AQ32+AQ33)*QtéRationComplèteHivernaleOvin_0_3Mois+(AQ34+AQ35)*QtéRationComplèteHivernaleOvin_3_6Mois+(AQ36+AQ37)*QtéRationComplèteHivernaleOvin_6_12Mois+(AQ38+AQ39+AQ40+AQ41+AQ42+AQ43+AQ44+AQ45)*QtéRationComplèteHivernaleOvin_1AnEtPlus,IF(AQ24=Bisons,(SUM(AQ32:AQ33)*QtéRationComplèteHivernaleBison_0_3Mois+SUM(AQ34:AQ35)*QtéRationComplèteHivernaleBison_3_6Mois+SUM(AQ36:AQ37)*QtéRationComplèteHivernaleBison_6_12Mois+SUM(AQ38:AQ39)*QtéRationComplèteHivernaleBison_12_18Mois+SUM(AQ40:AQ41)*QtéRationComplèteHivernaleBison_18_24Mois+SUM(AQ42:AQ43)*QtéRationComplèteHivernaleBison_24_36Mois+SUM(AQ44:AQ45)*QtéRationComplèteHivernaleBison_3AnsEtPlus)/42,IF(AQ24=Daims,(SUM(AQ32:AQ33)*QtéRationComplèteHivernaleDaim_0_3Mois+SUM(AQ34:AQ35)*QtéRationComplèteHivernaleDaim_3_6Mois+SUM(AQ36:AQ37)*QtéRationComplèteHivernaleDaim_6_12Mois+SUM(AQ38:AQ39)*QtéRationComplèteHivernaleDaim_12_18Mois+SUM(AQ40:AQ41)*QtéRationComplèteHivernaleDaim_18_24Mois+SUM(AQ42:AQ43)*QtéRationComplèteHivernaleDaim_24_36Mois+SUM(AQ44:AQ45)*QtéRationComplèteHivernaleDaim_3AnsEtPlus)/42,IF(AQ24=ChevauxSelle,((AQ32+AQ33+AQ34+AQ35+AQ36+AQ37)*QtéRationComplèteHivernaleChevauxSelle0_12Mois+(AQ38+AQ39+AQ40+AQ41)*QtéRationComplèteHivernaleChevauxSelle12_24Mois+(AQ42+AQ43)*QtéRationComplèteHivernaleChevauxSelle24_36Mois+SUM(AQ44+AQ45)*QtéRationComplèteHivernaleChevauxSelle3AnsEtPlus)*21,IF(AQ24=ChevauxTrait,((AQ32+AQ33+AQ34+AQ35+AQ36+AQ37)*QtéRationComplèteHivernaleChevauxTrait_0_12Mois+(AQ38+AQ39+AQ40+AQ41)*QtéRationComplèteHivernaleChevauxTrait_12_24Mois+(AQ42+AQ43)*QtéRationComplèteHivernaleChevauxTrait_24_36Mois+SUM(AQ44+AQ45)*QtéRationComplèteHivernaleChevauxTrait_3AnsEtPlus)*21,IF(AQ24=Poneys,((AQ32+AQ33+AQ34+AQ35+AQ36+AQ37)*QtéRationComplèteHivernalePoneys_0_12Mois+(AQ38+AQ39+AQ40+AQ41)*QtéRationComplèteHivernalePoneys_12_24Mois+(AQ42+AQ43)*QtéRationComplèteHivernalePoneys_24_36Mois+SUM(AQ44+AQ45)*QtéRationComplèteHivernalePoneys_3AnsEtPlus)*21,0))))))))</f>
        <v/>
      </c>
      <c r="AR53" s="395" t="str">
        <f>IF(AR24="","",IF(AR24=Bovins,(AR32+AR33)*QtéRationComplèteHivernaleBovin_0_3Mois+(AR34+AR35)*QtéRationComplèteHivernaleBovin_3_6Mois+(AR36+AR37)*QtéRationComplèteHivernaleBovin_6_12Mois+(AR38+AR39)*QtéRationComplèteHivernaleBovin_12_18Mois+(AR40+AR41)*QtéRationComplèteHivernaleBovin_18_24Mois+(AR42+AR43)*QtéRationComplèteHivernaleBovin_24_36Mois+(AR44+AR45)*QtéRationComplèteHivernaleBovin_3AnsEtPlus,IF(AR24=Ovins,(AR32+AR33)*QtéRationComplèteHivernaleOvin_0_3Mois+(AR34+AR35)*QtéRationComplèteHivernaleOvin_3_6Mois+(AR36+AR37)*QtéRationComplèteHivernaleOvin_6_12Mois+(AR38+AR39+AR40+AR41+AR42+AR43+AR44+AR45)*QtéRationComplèteHivernaleOvin_1AnEtPlus,IF(AR24=Bisons,(SUM(AR32:AR33)*QtéRationComplèteHivernaleBison_0_3Mois+SUM(AR34:AR35)*QtéRationComplèteHivernaleBison_3_6Mois+SUM(AR36:AR37)*QtéRationComplèteHivernaleBison_6_12Mois+SUM(AR38:AR39)*QtéRationComplèteHivernaleBison_12_18Mois+SUM(AR40:AR41)*QtéRationComplèteHivernaleBison_18_24Mois+SUM(AR42:AR43)*QtéRationComplèteHivernaleBison_24_36Mois+SUM(AR44:AR45)*QtéRationComplèteHivernaleBison_3AnsEtPlus)/42,IF(AR24=Daims,(SUM(AR32:AR33)*QtéRationComplèteHivernaleDaim_0_3Mois+SUM(AR34:AR35)*QtéRationComplèteHivernaleDaim_3_6Mois+SUM(AR36:AR37)*QtéRationComplèteHivernaleDaim_6_12Mois+SUM(AR38:AR39)*QtéRationComplèteHivernaleDaim_12_18Mois+SUM(AR40:AR41)*QtéRationComplèteHivernaleDaim_18_24Mois+SUM(AR42:AR43)*QtéRationComplèteHivernaleDaim_24_36Mois+SUM(AR44:AR45)*QtéRationComplèteHivernaleDaim_3AnsEtPlus)/42,IF(AR24=ChevauxSelle,((AR32+AR33+AR34+AR35+AR36+AR37)*QtéRationComplèteHivernaleChevauxSelle0_12Mois+(AR38+AR39+AR40+AR41)*QtéRationComplèteHivernaleChevauxSelle12_24Mois+(AR42+AR43)*QtéRationComplèteHivernaleChevauxSelle24_36Mois+SUM(AR44+AR45)*QtéRationComplèteHivernaleChevauxSelle3AnsEtPlus)*21,IF(AR24=ChevauxTrait,((AR32+AR33+AR34+AR35+AR36+AR37)*QtéRationComplèteHivernaleChevauxTrait_0_12Mois+(AR38+AR39+AR40+AR41)*QtéRationComplèteHivernaleChevauxTrait_12_24Mois+(AR42+AR43)*QtéRationComplèteHivernaleChevauxTrait_24_36Mois+SUM(AR44+AR45)*QtéRationComplèteHivernaleChevauxTrait_3AnsEtPlus)*21,IF(AR24=Poneys,((AR32+AR33+AR34+AR35+AR36+AR37)*QtéRationComplèteHivernalePoneys_0_12Mois+(AR38+AR39+AR40+AR41)*QtéRationComplèteHivernalePoneys_12_24Mois+(AR42+AR43)*QtéRationComplèteHivernalePoneys_24_36Mois+SUM(AR44+AR45)*QtéRationComplèteHivernalePoneys_3AnsEtPlus)*21,0))))))))</f>
        <v/>
      </c>
      <c r="AS53" s="395" t="str">
        <f>IF(AS24="","",IF(AS24=Bovins,(AS32+AS33)*QtéRationComplèteHivernaleBovin_0_3Mois+(AS34+AS35)*QtéRationComplèteHivernaleBovin_3_6Mois+(AS36+AS37)*QtéRationComplèteHivernaleBovin_6_12Mois+(AS38+AS39)*QtéRationComplèteHivernaleBovin_12_18Mois+(AS40+AS41)*QtéRationComplèteHivernaleBovin_18_24Mois+(AS42+AS43)*QtéRationComplèteHivernaleBovin_24_36Mois+(AS44+AS45)*QtéRationComplèteHivernaleBovin_3AnsEtPlus,IF(AS24=Ovins,(AS32+AS33)*QtéRationComplèteHivernaleOvin_0_3Mois+(AS34+AS35)*QtéRationComplèteHivernaleOvin_3_6Mois+(AS36+AS37)*QtéRationComplèteHivernaleOvin_6_12Mois+(AS38+AS39+AS40+AS41+AS42+AS43+AS44+AS45)*QtéRationComplèteHivernaleOvin_1AnEtPlus,IF(AS24=Bisons,(SUM(AS32:AS33)*QtéRationComplèteHivernaleBison_0_3Mois+SUM(AS34:AS35)*QtéRationComplèteHivernaleBison_3_6Mois+SUM(AS36:AS37)*QtéRationComplèteHivernaleBison_6_12Mois+SUM(AS38:AS39)*QtéRationComplèteHivernaleBison_12_18Mois+SUM(AS40:AS41)*QtéRationComplèteHivernaleBison_18_24Mois+SUM(AS42:AS43)*QtéRationComplèteHivernaleBison_24_36Mois+SUM(AS44:AS45)*QtéRationComplèteHivernaleBison_3AnsEtPlus)/42,IF(AS24=Daims,(SUM(AS32:AS33)*QtéRationComplèteHivernaleDaim_0_3Mois+SUM(AS34:AS35)*QtéRationComplèteHivernaleDaim_3_6Mois+SUM(AS36:AS37)*QtéRationComplèteHivernaleDaim_6_12Mois+SUM(AS38:AS39)*QtéRationComplèteHivernaleDaim_12_18Mois+SUM(AS40:AS41)*QtéRationComplèteHivernaleDaim_18_24Mois+SUM(AS42:AS43)*QtéRationComplèteHivernaleDaim_24_36Mois+SUM(AS44:AS45)*QtéRationComplèteHivernaleDaim_3AnsEtPlus)/42,IF(AS24=ChevauxSelle,((AS32+AS33+AS34+AS35+AS36+AS37)*QtéRationComplèteHivernaleChevauxSelle0_12Mois+(AS38+AS39+AS40+AS41)*QtéRationComplèteHivernaleChevauxSelle12_24Mois+(AS42+AS43)*QtéRationComplèteHivernaleChevauxSelle24_36Mois+SUM(AS44+AS45)*QtéRationComplèteHivernaleChevauxSelle3AnsEtPlus)*21,IF(AS24=ChevauxTrait,((AS32+AS33+AS34+AS35+AS36+AS37)*QtéRationComplèteHivernaleChevauxTrait_0_12Mois+(AS38+AS39+AS40+AS41)*QtéRationComplèteHivernaleChevauxTrait_12_24Mois+(AS42+AS43)*QtéRationComplèteHivernaleChevauxTrait_24_36Mois+SUM(AS44+AS45)*QtéRationComplèteHivernaleChevauxTrait_3AnsEtPlus)*21,IF(AS24=Poneys,((AS32+AS33+AS34+AS35+AS36+AS37)*QtéRationComplèteHivernalePoneys_0_12Mois+(AS38+AS39+AS40+AS41)*QtéRationComplèteHivernalePoneys_12_24Mois+(AS42+AS43)*QtéRationComplèteHivernalePoneys_24_36Mois+SUM(AS44+AS45)*QtéRationComplèteHivernalePoneys_3AnsEtPlus)*21,0))))))))</f>
        <v/>
      </c>
      <c r="AT53" s="395" t="str">
        <f>IF(AT24="","",IF(AT24=Bovins,(AT32+AT33)*QtéRationComplèteHivernaleBovin_0_3Mois+(AT34+AT35)*QtéRationComplèteHivernaleBovin_3_6Mois+(AT36+AT37)*QtéRationComplèteHivernaleBovin_6_12Mois+(AT38+AT39)*QtéRationComplèteHivernaleBovin_12_18Mois+(AT40+AT41)*QtéRationComplèteHivernaleBovin_18_24Mois+(AT42+AT43)*QtéRationComplèteHivernaleBovin_24_36Mois+(AT44+AT45)*QtéRationComplèteHivernaleBovin_3AnsEtPlus,IF(AT24=Ovins,(AT32+AT33)*QtéRationComplèteHivernaleOvin_0_3Mois+(AT34+AT35)*QtéRationComplèteHivernaleOvin_3_6Mois+(AT36+AT37)*QtéRationComplèteHivernaleOvin_6_12Mois+(AT38+AT39+AT40+AT41+AT42+AT43+AT44+AT45)*QtéRationComplèteHivernaleOvin_1AnEtPlus,IF(AT24=Bisons,(SUM(AT32:AT33)*QtéRationComplèteHivernaleBison_0_3Mois+SUM(AT34:AT35)*QtéRationComplèteHivernaleBison_3_6Mois+SUM(AT36:AT37)*QtéRationComplèteHivernaleBison_6_12Mois+SUM(AT38:AT39)*QtéRationComplèteHivernaleBison_12_18Mois+SUM(AT40:AT41)*QtéRationComplèteHivernaleBison_18_24Mois+SUM(AT42:AT43)*QtéRationComplèteHivernaleBison_24_36Mois+SUM(AT44:AT45)*QtéRationComplèteHivernaleBison_3AnsEtPlus)/42,IF(AT24=Daims,(SUM(AT32:AT33)*QtéRationComplèteHivernaleDaim_0_3Mois+SUM(AT34:AT35)*QtéRationComplèteHivernaleDaim_3_6Mois+SUM(AT36:AT37)*QtéRationComplèteHivernaleDaim_6_12Mois+SUM(AT38:AT39)*QtéRationComplèteHivernaleDaim_12_18Mois+SUM(AT40:AT41)*QtéRationComplèteHivernaleDaim_18_24Mois+SUM(AT42:AT43)*QtéRationComplèteHivernaleDaim_24_36Mois+SUM(AT44:AT45)*QtéRationComplèteHivernaleDaim_3AnsEtPlus)/42,IF(AT24=ChevauxSelle,((AT32+AT33+AT34+AT35+AT36+AT37)*QtéRationComplèteHivernaleChevauxSelle0_12Mois+(AT38+AT39+AT40+AT41)*QtéRationComplèteHivernaleChevauxSelle12_24Mois+(AT42+AT43)*QtéRationComplèteHivernaleChevauxSelle24_36Mois+SUM(AT44+AT45)*QtéRationComplèteHivernaleChevauxSelle3AnsEtPlus)*21,IF(AT24=ChevauxTrait,((AT32+AT33+AT34+AT35+AT36+AT37)*QtéRationComplèteHivernaleChevauxTrait_0_12Mois+(AT38+AT39+AT40+AT41)*QtéRationComplèteHivernaleChevauxTrait_12_24Mois+(AT42+AT43)*QtéRationComplèteHivernaleChevauxTrait_24_36Mois+SUM(AT44+AT45)*QtéRationComplèteHivernaleChevauxTrait_3AnsEtPlus)*21,IF(AT24=Poneys,((AT32+AT33+AT34+AT35+AT36+AT37)*QtéRationComplèteHivernalePoneys_0_12Mois+(AT38+AT39+AT40+AT41)*QtéRationComplèteHivernalePoneys_12_24Mois+(AT42+AT43)*QtéRationComplèteHivernalePoneys_24_36Mois+SUM(AT44+AT45)*QtéRationComplèteHivernalePoneys_3AnsEtPlus)*21,0))))))))</f>
        <v/>
      </c>
      <c r="AU53" s="395" t="str">
        <f>IF(AU24="","",IF(AU24=Bovins,(AU32+AU33)*QtéRationComplèteHivernaleBovin_0_3Mois+(AU34+AU35)*QtéRationComplèteHivernaleBovin_3_6Mois+(AU36+AU37)*QtéRationComplèteHivernaleBovin_6_12Mois+(AU38+AU39)*QtéRationComplèteHivernaleBovin_12_18Mois+(AU40+AU41)*QtéRationComplèteHivernaleBovin_18_24Mois+(AU42+AU43)*QtéRationComplèteHivernaleBovin_24_36Mois+(AU44+AU45)*QtéRationComplèteHivernaleBovin_3AnsEtPlus,IF(AU24=Ovins,(AU32+AU33)*QtéRationComplèteHivernaleOvin_0_3Mois+(AU34+AU35)*QtéRationComplèteHivernaleOvin_3_6Mois+(AU36+AU37)*QtéRationComplèteHivernaleOvin_6_12Mois+(AU38+AU39+AU40+AU41+AU42+AU43+AU44+AU45)*QtéRationComplèteHivernaleOvin_1AnEtPlus,IF(AU24=Bisons,(SUM(AU32:AU33)*QtéRationComplèteHivernaleBison_0_3Mois+SUM(AU34:AU35)*QtéRationComplèteHivernaleBison_3_6Mois+SUM(AU36:AU37)*QtéRationComplèteHivernaleBison_6_12Mois+SUM(AU38:AU39)*QtéRationComplèteHivernaleBison_12_18Mois+SUM(AU40:AU41)*QtéRationComplèteHivernaleBison_18_24Mois+SUM(AU42:AU43)*QtéRationComplèteHivernaleBison_24_36Mois+SUM(AU44:AU45)*QtéRationComplèteHivernaleBison_3AnsEtPlus)/42,IF(AU24=Daims,(SUM(AU32:AU33)*QtéRationComplèteHivernaleDaim_0_3Mois+SUM(AU34:AU35)*QtéRationComplèteHivernaleDaim_3_6Mois+SUM(AU36:AU37)*QtéRationComplèteHivernaleDaim_6_12Mois+SUM(AU38:AU39)*QtéRationComplèteHivernaleDaim_12_18Mois+SUM(AU40:AU41)*QtéRationComplèteHivernaleDaim_18_24Mois+SUM(AU42:AU43)*QtéRationComplèteHivernaleDaim_24_36Mois+SUM(AU44:AU45)*QtéRationComplèteHivernaleDaim_3AnsEtPlus)/42,IF(AU24=ChevauxSelle,((AU32+AU33+AU34+AU35+AU36+AU37)*QtéRationComplèteHivernaleChevauxSelle0_12Mois+(AU38+AU39+AU40+AU41)*QtéRationComplèteHivernaleChevauxSelle12_24Mois+(AU42+AU43)*QtéRationComplèteHivernaleChevauxSelle24_36Mois+SUM(AU44+AU45)*QtéRationComplèteHivernaleChevauxSelle3AnsEtPlus)*21,IF(AU24=ChevauxTrait,((AU32+AU33+AU34+AU35+AU36+AU37)*QtéRationComplèteHivernaleChevauxTrait_0_12Mois+(AU38+AU39+AU40+AU41)*QtéRationComplèteHivernaleChevauxTrait_12_24Mois+(AU42+AU43)*QtéRationComplèteHivernaleChevauxTrait_24_36Mois+SUM(AU44+AU45)*QtéRationComplèteHivernaleChevauxTrait_3AnsEtPlus)*21,IF(AU24=Poneys,((AU32+AU33+AU34+AU35+AU36+AU37)*QtéRationComplèteHivernalePoneys_0_12Mois+(AU38+AU39+AU40+AU41)*QtéRationComplèteHivernalePoneys_12_24Mois+(AU42+AU43)*QtéRationComplèteHivernalePoneys_24_36Mois+SUM(AU44+AU45)*QtéRationComplèteHivernalePoneys_3AnsEtPlus)*21,0))))))))</f>
        <v/>
      </c>
      <c r="AV53" s="395" t="str">
        <f>IF(AV24="","",IF(AV24=Bovins,(AV32+AV33)*QtéRationComplèteHivernaleBovin_0_3Mois+(AV34+AV35)*QtéRationComplèteHivernaleBovin_3_6Mois+(AV36+AV37)*QtéRationComplèteHivernaleBovin_6_12Mois+(AV38+AV39)*QtéRationComplèteHivernaleBovin_12_18Mois+(AV40+AV41)*QtéRationComplèteHivernaleBovin_18_24Mois+(AV42+AV43)*QtéRationComplèteHivernaleBovin_24_36Mois+(AV44+AV45)*QtéRationComplèteHivernaleBovin_3AnsEtPlus,IF(AV24=Ovins,(AV32+AV33)*QtéRationComplèteHivernaleOvin_0_3Mois+(AV34+AV35)*QtéRationComplèteHivernaleOvin_3_6Mois+(AV36+AV37)*QtéRationComplèteHivernaleOvin_6_12Mois+(AV38+AV39+AV40+AV41+AV42+AV43+AV44+AV45)*QtéRationComplèteHivernaleOvin_1AnEtPlus,IF(AV24=Bisons,(SUM(AV32:AV33)*QtéRationComplèteHivernaleBison_0_3Mois+SUM(AV34:AV35)*QtéRationComplèteHivernaleBison_3_6Mois+SUM(AV36:AV37)*QtéRationComplèteHivernaleBison_6_12Mois+SUM(AV38:AV39)*QtéRationComplèteHivernaleBison_12_18Mois+SUM(AV40:AV41)*QtéRationComplèteHivernaleBison_18_24Mois+SUM(AV42:AV43)*QtéRationComplèteHivernaleBison_24_36Mois+SUM(AV44:AV45)*QtéRationComplèteHivernaleBison_3AnsEtPlus)/42,IF(AV24=Daims,(SUM(AV32:AV33)*QtéRationComplèteHivernaleDaim_0_3Mois+SUM(AV34:AV35)*QtéRationComplèteHivernaleDaim_3_6Mois+SUM(AV36:AV37)*QtéRationComplèteHivernaleDaim_6_12Mois+SUM(AV38:AV39)*QtéRationComplèteHivernaleDaim_12_18Mois+SUM(AV40:AV41)*QtéRationComplèteHivernaleDaim_18_24Mois+SUM(AV42:AV43)*QtéRationComplèteHivernaleDaim_24_36Mois+SUM(AV44:AV45)*QtéRationComplèteHivernaleDaim_3AnsEtPlus)/42,IF(AV24=ChevauxSelle,((AV32+AV33+AV34+AV35+AV36+AV37)*QtéRationComplèteHivernaleChevauxSelle0_12Mois+(AV38+AV39+AV40+AV41)*QtéRationComplèteHivernaleChevauxSelle12_24Mois+(AV42+AV43)*QtéRationComplèteHivernaleChevauxSelle24_36Mois+SUM(AV44+AV45)*QtéRationComplèteHivernaleChevauxSelle3AnsEtPlus)*21,IF(AV24=ChevauxTrait,((AV32+AV33+AV34+AV35+AV36+AV37)*QtéRationComplèteHivernaleChevauxTrait_0_12Mois+(AV38+AV39+AV40+AV41)*QtéRationComplèteHivernaleChevauxTrait_12_24Mois+(AV42+AV43)*QtéRationComplèteHivernaleChevauxTrait_24_36Mois+SUM(AV44+AV45)*QtéRationComplèteHivernaleChevauxTrait_3AnsEtPlus)*21,IF(AV24=Poneys,((AV32+AV33+AV34+AV35+AV36+AV37)*QtéRationComplèteHivernalePoneys_0_12Mois+(AV38+AV39+AV40+AV41)*QtéRationComplèteHivernalePoneys_12_24Mois+(AV42+AV43)*QtéRationComplèteHivernalePoneys_24_36Mois+SUM(AV44+AV45)*QtéRationComplèteHivernalePoneys_3AnsEtPlus)*21,0))))))))</f>
        <v/>
      </c>
      <c r="AW53" s="395" t="str">
        <f>IF(AW24="","",IF(AW24=Bovins,(AW32+AW33)*QtéRationComplèteHivernaleBovin_0_3Mois+(AW34+AW35)*QtéRationComplèteHivernaleBovin_3_6Mois+(AW36+AW37)*QtéRationComplèteHivernaleBovin_6_12Mois+(AW38+AW39)*QtéRationComplèteHivernaleBovin_12_18Mois+(AW40+AW41)*QtéRationComplèteHivernaleBovin_18_24Mois+(AW42+AW43)*QtéRationComplèteHivernaleBovin_24_36Mois+(AW44+AW45)*QtéRationComplèteHivernaleBovin_3AnsEtPlus,IF(AW24=Ovins,(AW32+AW33)*QtéRationComplèteHivernaleOvin_0_3Mois+(AW34+AW35)*QtéRationComplèteHivernaleOvin_3_6Mois+(AW36+AW37)*QtéRationComplèteHivernaleOvin_6_12Mois+(AW38+AW39+AW40+AW41+AW42+AW43+AW44+AW45)*QtéRationComplèteHivernaleOvin_1AnEtPlus,IF(AW24=Bisons,(SUM(AW32:AW33)*QtéRationComplèteHivernaleBison_0_3Mois+SUM(AW34:AW35)*QtéRationComplèteHivernaleBison_3_6Mois+SUM(AW36:AW37)*QtéRationComplèteHivernaleBison_6_12Mois+SUM(AW38:AW39)*QtéRationComplèteHivernaleBison_12_18Mois+SUM(AW40:AW41)*QtéRationComplèteHivernaleBison_18_24Mois+SUM(AW42:AW43)*QtéRationComplèteHivernaleBison_24_36Mois+SUM(AW44:AW45)*QtéRationComplèteHivernaleBison_3AnsEtPlus)/42,IF(AW24=Daims,(SUM(AW32:AW33)*QtéRationComplèteHivernaleDaim_0_3Mois+SUM(AW34:AW35)*QtéRationComplèteHivernaleDaim_3_6Mois+SUM(AW36:AW37)*QtéRationComplèteHivernaleDaim_6_12Mois+SUM(AW38:AW39)*QtéRationComplèteHivernaleDaim_12_18Mois+SUM(AW40:AW41)*QtéRationComplèteHivernaleDaim_18_24Mois+SUM(AW42:AW43)*QtéRationComplèteHivernaleDaim_24_36Mois+SUM(AW44:AW45)*QtéRationComplèteHivernaleDaim_3AnsEtPlus)/42,IF(AW24=ChevauxSelle,((AW32+AW33+AW34+AW35+AW36+AW37)*QtéRationComplèteHivernaleChevauxSelle0_12Mois+(AW38+AW39+AW40+AW41)*QtéRationComplèteHivernaleChevauxSelle12_24Mois+(AW42+AW43)*QtéRationComplèteHivernaleChevauxSelle24_36Mois+SUM(AW44+AW45)*QtéRationComplèteHivernaleChevauxSelle3AnsEtPlus)*21,IF(AW24=ChevauxTrait,((AW32+AW33+AW34+AW35+AW36+AW37)*QtéRationComplèteHivernaleChevauxTrait_0_12Mois+(AW38+AW39+AW40+AW41)*QtéRationComplèteHivernaleChevauxTrait_12_24Mois+(AW42+AW43)*QtéRationComplèteHivernaleChevauxTrait_24_36Mois+SUM(AW44+AW45)*QtéRationComplèteHivernaleChevauxTrait_3AnsEtPlus)*21,IF(AW24=Poneys,((AW32+AW33+AW34+AW35+AW36+AW37)*QtéRationComplèteHivernalePoneys_0_12Mois+(AW38+AW39+AW40+AW41)*QtéRationComplèteHivernalePoneys_12_24Mois+(AW42+AW43)*QtéRationComplèteHivernalePoneys_24_36Mois+SUM(AW44+AW45)*QtéRationComplèteHivernalePoneys_3AnsEtPlus)*21,0))))))))</f>
        <v/>
      </c>
      <c r="AX53" s="395" t="str">
        <f>IF(AX24="","",IF(AX24=Bovins,(AX32+AX33)*QtéRationComplèteHivernaleBovin_0_3Mois+(AX34+AX35)*QtéRationComplèteHivernaleBovin_3_6Mois+(AX36+AX37)*QtéRationComplèteHivernaleBovin_6_12Mois+(AX38+AX39)*QtéRationComplèteHivernaleBovin_12_18Mois+(AX40+AX41)*QtéRationComplèteHivernaleBovin_18_24Mois+(AX42+AX43)*QtéRationComplèteHivernaleBovin_24_36Mois+(AX44+AX45)*QtéRationComplèteHivernaleBovin_3AnsEtPlus,IF(AX24=Ovins,(AX32+AX33)*QtéRationComplèteHivernaleOvin_0_3Mois+(AX34+AX35)*QtéRationComplèteHivernaleOvin_3_6Mois+(AX36+AX37)*QtéRationComplèteHivernaleOvin_6_12Mois+(AX38+AX39+AX40+AX41+AX42+AX43+AX44+AX45)*QtéRationComplèteHivernaleOvin_1AnEtPlus,IF(AX24=Bisons,(SUM(AX32:AX33)*QtéRationComplèteHivernaleBison_0_3Mois+SUM(AX34:AX35)*QtéRationComplèteHivernaleBison_3_6Mois+SUM(AX36:AX37)*QtéRationComplèteHivernaleBison_6_12Mois+SUM(AX38:AX39)*QtéRationComplèteHivernaleBison_12_18Mois+SUM(AX40:AX41)*QtéRationComplèteHivernaleBison_18_24Mois+SUM(AX42:AX43)*QtéRationComplèteHivernaleBison_24_36Mois+SUM(AX44:AX45)*QtéRationComplèteHivernaleBison_3AnsEtPlus)/42,IF(AX24=Daims,(SUM(AX32:AX33)*QtéRationComplèteHivernaleDaim_0_3Mois+SUM(AX34:AX35)*QtéRationComplèteHivernaleDaim_3_6Mois+SUM(AX36:AX37)*QtéRationComplèteHivernaleDaim_6_12Mois+SUM(AX38:AX39)*QtéRationComplèteHivernaleDaim_12_18Mois+SUM(AX40:AX41)*QtéRationComplèteHivernaleDaim_18_24Mois+SUM(AX42:AX43)*QtéRationComplèteHivernaleDaim_24_36Mois+SUM(AX44:AX45)*QtéRationComplèteHivernaleDaim_3AnsEtPlus)/42,IF(AX24=ChevauxSelle,((AX32+AX33+AX34+AX35+AX36+AX37)*QtéRationComplèteHivernaleChevauxSelle0_12Mois+(AX38+AX39+AX40+AX41)*QtéRationComplèteHivernaleChevauxSelle12_24Mois+(AX42+AX43)*QtéRationComplèteHivernaleChevauxSelle24_36Mois+SUM(AX44+AX45)*QtéRationComplèteHivernaleChevauxSelle3AnsEtPlus)*21,IF(AX24=ChevauxTrait,((AX32+AX33+AX34+AX35+AX36+AX37)*QtéRationComplèteHivernaleChevauxTrait_0_12Mois+(AX38+AX39+AX40+AX41)*QtéRationComplèteHivernaleChevauxTrait_12_24Mois+(AX42+AX43)*QtéRationComplèteHivernaleChevauxTrait_24_36Mois+SUM(AX44+AX45)*QtéRationComplèteHivernaleChevauxTrait_3AnsEtPlus)*21,IF(AX24=Poneys,((AX32+AX33+AX34+AX35+AX36+AX37)*QtéRationComplèteHivernalePoneys_0_12Mois+(AX38+AX39+AX40+AX41)*QtéRationComplèteHivernalePoneys_12_24Mois+(AX42+AX43)*QtéRationComplèteHivernalePoneys_24_36Mois+SUM(AX44+AX45)*QtéRationComplèteHivernalePoneys_3AnsEtPlus)*21,0))))))))</f>
        <v/>
      </c>
      <c r="AY53" s="395" t="str">
        <f>IF(AY24="","",IF(AY24=Bovins,(AY32+AY33)*QtéRationComplèteHivernaleBovin_0_3Mois+(AY34+AY35)*QtéRationComplèteHivernaleBovin_3_6Mois+(AY36+AY37)*QtéRationComplèteHivernaleBovin_6_12Mois+(AY38+AY39)*QtéRationComplèteHivernaleBovin_12_18Mois+(AY40+AY41)*QtéRationComplèteHivernaleBovin_18_24Mois+(AY42+AY43)*QtéRationComplèteHivernaleBovin_24_36Mois+(AY44+AY45)*QtéRationComplèteHivernaleBovin_3AnsEtPlus,IF(AY24=Ovins,(AY32+AY33)*QtéRationComplèteHivernaleOvin_0_3Mois+(AY34+AY35)*QtéRationComplèteHivernaleOvin_3_6Mois+(AY36+AY37)*QtéRationComplèteHivernaleOvin_6_12Mois+(AY38+AY39+AY40+AY41+AY42+AY43+AY44+AY45)*QtéRationComplèteHivernaleOvin_1AnEtPlus,IF(AY24=Bisons,(SUM(AY32:AY33)*QtéRationComplèteHivernaleBison_0_3Mois+SUM(AY34:AY35)*QtéRationComplèteHivernaleBison_3_6Mois+SUM(AY36:AY37)*QtéRationComplèteHivernaleBison_6_12Mois+SUM(AY38:AY39)*QtéRationComplèteHivernaleBison_12_18Mois+SUM(AY40:AY41)*QtéRationComplèteHivernaleBison_18_24Mois+SUM(AY42:AY43)*QtéRationComplèteHivernaleBison_24_36Mois+SUM(AY44:AY45)*QtéRationComplèteHivernaleBison_3AnsEtPlus)/42,IF(AY24=Daims,(SUM(AY32:AY33)*QtéRationComplèteHivernaleDaim_0_3Mois+SUM(AY34:AY35)*QtéRationComplèteHivernaleDaim_3_6Mois+SUM(AY36:AY37)*QtéRationComplèteHivernaleDaim_6_12Mois+SUM(AY38:AY39)*QtéRationComplèteHivernaleDaim_12_18Mois+SUM(AY40:AY41)*QtéRationComplèteHivernaleDaim_18_24Mois+SUM(AY42:AY43)*QtéRationComplèteHivernaleDaim_24_36Mois+SUM(AY44:AY45)*QtéRationComplèteHivernaleDaim_3AnsEtPlus)/42,IF(AY24=ChevauxSelle,((AY32+AY33+AY34+AY35+AY36+AY37)*QtéRationComplèteHivernaleChevauxSelle0_12Mois+(AY38+AY39+AY40+AY41)*QtéRationComplèteHivernaleChevauxSelle12_24Mois+(AY42+AY43)*QtéRationComplèteHivernaleChevauxSelle24_36Mois+SUM(AY44+AY45)*QtéRationComplèteHivernaleChevauxSelle3AnsEtPlus)*21,IF(AY24=ChevauxTrait,((AY32+AY33+AY34+AY35+AY36+AY37)*QtéRationComplèteHivernaleChevauxTrait_0_12Mois+(AY38+AY39+AY40+AY41)*QtéRationComplèteHivernaleChevauxTrait_12_24Mois+(AY42+AY43)*QtéRationComplèteHivernaleChevauxTrait_24_36Mois+SUM(AY44+AY45)*QtéRationComplèteHivernaleChevauxTrait_3AnsEtPlus)*21,IF(AY24=Poneys,((AY32+AY33+AY34+AY35+AY36+AY37)*QtéRationComplèteHivernalePoneys_0_12Mois+(AY38+AY39+AY40+AY41)*QtéRationComplèteHivernalePoneys_12_24Mois+(AY42+AY43)*QtéRationComplèteHivernalePoneys_24_36Mois+SUM(AY44+AY45)*QtéRationComplèteHivernalePoneys_3AnsEtPlus)*21,0))))))))</f>
        <v/>
      </c>
      <c r="AZ53" s="395" t="str">
        <f>IF(AZ24="","",IF(AZ24=Bovins,(AZ32+AZ33)*QtéRationComplèteHivernaleBovin_0_3Mois+(AZ34+AZ35)*QtéRationComplèteHivernaleBovin_3_6Mois+(AZ36+AZ37)*QtéRationComplèteHivernaleBovin_6_12Mois+(AZ38+AZ39)*QtéRationComplèteHivernaleBovin_12_18Mois+(AZ40+AZ41)*QtéRationComplèteHivernaleBovin_18_24Mois+(AZ42+AZ43)*QtéRationComplèteHivernaleBovin_24_36Mois+(AZ44+AZ45)*QtéRationComplèteHivernaleBovin_3AnsEtPlus,IF(AZ24=Ovins,(AZ32+AZ33)*QtéRationComplèteHivernaleOvin_0_3Mois+(AZ34+AZ35)*QtéRationComplèteHivernaleOvin_3_6Mois+(AZ36+AZ37)*QtéRationComplèteHivernaleOvin_6_12Mois+(AZ38+AZ39+AZ40+AZ41+AZ42+AZ43+AZ44+AZ45)*QtéRationComplèteHivernaleOvin_1AnEtPlus,IF(AZ24=Bisons,(SUM(AZ32:AZ33)*QtéRationComplèteHivernaleBison_0_3Mois+SUM(AZ34:AZ35)*QtéRationComplèteHivernaleBison_3_6Mois+SUM(AZ36:AZ37)*QtéRationComplèteHivernaleBison_6_12Mois+SUM(AZ38:AZ39)*QtéRationComplèteHivernaleBison_12_18Mois+SUM(AZ40:AZ41)*QtéRationComplèteHivernaleBison_18_24Mois+SUM(AZ42:AZ43)*QtéRationComplèteHivernaleBison_24_36Mois+SUM(AZ44:AZ45)*QtéRationComplèteHivernaleBison_3AnsEtPlus)/42,IF(AZ24=Daims,(SUM(AZ32:AZ33)*QtéRationComplèteHivernaleDaim_0_3Mois+SUM(AZ34:AZ35)*QtéRationComplèteHivernaleDaim_3_6Mois+SUM(AZ36:AZ37)*QtéRationComplèteHivernaleDaim_6_12Mois+SUM(AZ38:AZ39)*QtéRationComplèteHivernaleDaim_12_18Mois+SUM(AZ40:AZ41)*QtéRationComplèteHivernaleDaim_18_24Mois+SUM(AZ42:AZ43)*QtéRationComplèteHivernaleDaim_24_36Mois+SUM(AZ44:AZ45)*QtéRationComplèteHivernaleDaim_3AnsEtPlus)/42,IF(AZ24=ChevauxSelle,((AZ32+AZ33+AZ34+AZ35+AZ36+AZ37)*QtéRationComplèteHivernaleChevauxSelle0_12Mois+(AZ38+AZ39+AZ40+AZ41)*QtéRationComplèteHivernaleChevauxSelle12_24Mois+(AZ42+AZ43)*QtéRationComplèteHivernaleChevauxSelle24_36Mois+SUM(AZ44+AZ45)*QtéRationComplèteHivernaleChevauxSelle3AnsEtPlus)*21,IF(AZ24=ChevauxTrait,((AZ32+AZ33+AZ34+AZ35+AZ36+AZ37)*QtéRationComplèteHivernaleChevauxTrait_0_12Mois+(AZ38+AZ39+AZ40+AZ41)*QtéRationComplèteHivernaleChevauxTrait_12_24Mois+(AZ42+AZ43)*QtéRationComplèteHivernaleChevauxTrait_24_36Mois+SUM(AZ44+AZ45)*QtéRationComplèteHivernaleChevauxTrait_3AnsEtPlus)*21,IF(AZ24=Poneys,((AZ32+AZ33+AZ34+AZ35+AZ36+AZ37)*QtéRationComplèteHivernalePoneys_0_12Mois+(AZ38+AZ39+AZ40+AZ41)*QtéRationComplèteHivernalePoneys_12_24Mois+(AZ42+AZ43)*QtéRationComplèteHivernalePoneys_24_36Mois+SUM(AZ44+AZ45)*QtéRationComplèteHivernalePoneys_3AnsEtPlus)*21,0))))))))</f>
        <v/>
      </c>
      <c r="BA53" s="395" t="str">
        <f>IF(BA24="","",IF(BA24=Bovins,(BA32+BA33)*QtéRationComplèteHivernaleBovin_0_3Mois+(BA34+BA35)*QtéRationComplèteHivernaleBovin_3_6Mois+(BA36+BA37)*QtéRationComplèteHivernaleBovin_6_12Mois+(BA38+BA39)*QtéRationComplèteHivernaleBovin_12_18Mois+(BA40+BA41)*QtéRationComplèteHivernaleBovin_18_24Mois+(BA42+BA43)*QtéRationComplèteHivernaleBovin_24_36Mois+(BA44+BA45)*QtéRationComplèteHivernaleBovin_3AnsEtPlus,IF(BA24=Ovins,(BA32+BA33)*QtéRationComplèteHivernaleOvin_0_3Mois+(BA34+BA35)*QtéRationComplèteHivernaleOvin_3_6Mois+(BA36+BA37)*QtéRationComplèteHivernaleOvin_6_12Mois+(BA38+BA39+BA40+BA41+BA42+BA43+BA44+BA45)*QtéRationComplèteHivernaleOvin_1AnEtPlus,IF(BA24=Bisons,(SUM(BA32:BA33)*QtéRationComplèteHivernaleBison_0_3Mois+SUM(BA34:BA35)*QtéRationComplèteHivernaleBison_3_6Mois+SUM(BA36:BA37)*QtéRationComplèteHivernaleBison_6_12Mois+SUM(BA38:BA39)*QtéRationComplèteHivernaleBison_12_18Mois+SUM(BA40:BA41)*QtéRationComplèteHivernaleBison_18_24Mois+SUM(BA42:BA43)*QtéRationComplèteHivernaleBison_24_36Mois+SUM(BA44:BA45)*QtéRationComplèteHivernaleBison_3AnsEtPlus)/42,IF(BA24=Daims,(SUM(BA32:BA33)*QtéRationComplèteHivernaleDaim_0_3Mois+SUM(BA34:BA35)*QtéRationComplèteHivernaleDaim_3_6Mois+SUM(BA36:BA37)*QtéRationComplèteHivernaleDaim_6_12Mois+SUM(BA38:BA39)*QtéRationComplèteHivernaleDaim_12_18Mois+SUM(BA40:BA41)*QtéRationComplèteHivernaleDaim_18_24Mois+SUM(BA42:BA43)*QtéRationComplèteHivernaleDaim_24_36Mois+SUM(BA44:BA45)*QtéRationComplèteHivernaleDaim_3AnsEtPlus)/42,IF(BA24=ChevauxSelle,((BA32+BA33+BA34+BA35+BA36+BA37)*QtéRationComplèteHivernaleChevauxSelle0_12Mois+(BA38+BA39+BA40+BA41)*QtéRationComplèteHivernaleChevauxSelle12_24Mois+(BA42+BA43)*QtéRationComplèteHivernaleChevauxSelle24_36Mois+SUM(BA44+BA45)*QtéRationComplèteHivernaleChevauxSelle3AnsEtPlus)*21,IF(BA24=ChevauxTrait,((BA32+BA33+BA34+BA35+BA36+BA37)*QtéRationComplèteHivernaleChevauxTrait_0_12Mois+(BA38+BA39+BA40+BA41)*QtéRationComplèteHivernaleChevauxTrait_12_24Mois+(BA42+BA43)*QtéRationComplèteHivernaleChevauxTrait_24_36Mois+SUM(BA44+BA45)*QtéRationComplèteHivernaleChevauxTrait_3AnsEtPlus)*21,IF(BA24=Poneys,((BA32+BA33+BA34+BA35+BA36+BA37)*QtéRationComplèteHivernalePoneys_0_12Mois+(BA38+BA39+BA40+BA41)*QtéRationComplèteHivernalePoneys_12_24Mois+(BA42+BA43)*QtéRationComplèteHivernalePoneys_24_36Mois+SUM(BA44+BA45)*QtéRationComplèteHivernalePoneys_3AnsEtPlus)*21,0))))))))</f>
        <v/>
      </c>
      <c r="BB53" s="433"/>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row>
    <row r="54" spans="1:98" s="267" customFormat="1" ht="12.75" customHeight="1" x14ac:dyDescent="0.2">
      <c r="A54" s="436"/>
      <c r="B54" s="437"/>
      <c r="C54" s="437"/>
      <c r="D54" s="1124"/>
      <c r="E54" s="1124"/>
      <c r="F54" s="1124"/>
      <c r="G54" s="1124"/>
      <c r="H54" s="1124"/>
      <c r="I54" s="1124"/>
      <c r="J54" s="1124"/>
      <c r="K54" s="1124"/>
      <c r="L54" s="1124"/>
      <c r="M54" s="1124"/>
      <c r="N54" s="1124"/>
      <c r="O54" s="1124"/>
      <c r="P54" s="1124"/>
      <c r="Q54" s="1124"/>
      <c r="R54" s="1124"/>
      <c r="S54" s="1124"/>
      <c r="T54" s="1124"/>
      <c r="U54" s="1124"/>
      <c r="V54" s="1124"/>
      <c r="W54" s="1124"/>
      <c r="X54" s="1124"/>
      <c r="Y54" s="1124"/>
      <c r="Z54" s="1124"/>
      <c r="AA54" s="1124"/>
      <c r="AB54" s="1124"/>
      <c r="AC54" s="1124"/>
      <c r="AD54" s="1124"/>
      <c r="AE54" s="1124"/>
      <c r="AF54" s="1124"/>
      <c r="AG54" s="1124"/>
      <c r="AH54" s="1124"/>
      <c r="AI54" s="1124"/>
      <c r="AJ54" s="1124"/>
      <c r="AK54" s="1124"/>
      <c r="AL54" s="1124"/>
      <c r="AM54" s="1124"/>
      <c r="AN54" s="1124"/>
      <c r="AO54" s="1124"/>
      <c r="AP54" s="1124"/>
      <c r="AQ54" s="1124"/>
      <c r="AR54" s="1124"/>
      <c r="AS54" s="1124"/>
      <c r="AT54" s="1124"/>
      <c r="AU54" s="1124"/>
      <c r="AV54" s="1124"/>
      <c r="AW54" s="1124"/>
      <c r="AX54" s="1124"/>
      <c r="AY54" s="1124"/>
      <c r="AZ54" s="1124"/>
      <c r="BA54" s="1124"/>
      <c r="BB54" s="433"/>
    </row>
    <row r="55" spans="1:98" s="359" customFormat="1" x14ac:dyDescent="0.2">
      <c r="A55" s="438"/>
      <c r="B55" s="439"/>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9"/>
      <c r="AO55" s="439"/>
      <c r="AP55" s="439"/>
      <c r="AQ55" s="439"/>
      <c r="AR55" s="439"/>
      <c r="AS55" s="439"/>
      <c r="AT55" s="439"/>
      <c r="AU55" s="439"/>
      <c r="AV55" s="439"/>
      <c r="AW55" s="439"/>
      <c r="AX55" s="439"/>
      <c r="AY55" s="439"/>
      <c r="AZ55" s="439"/>
      <c r="BA55" s="439"/>
      <c r="BB55" s="434"/>
    </row>
    <row r="56" spans="1:98" x14ac:dyDescent="0.2">
      <c r="A56" s="438"/>
      <c r="B56" s="31" t="s">
        <v>575</v>
      </c>
      <c r="C56" s="1372" t="s">
        <v>162</v>
      </c>
      <c r="D56" s="1373"/>
      <c r="E56" s="440"/>
      <c r="F56" s="440"/>
      <c r="G56" s="440"/>
      <c r="H56" s="440"/>
      <c r="I56" s="439"/>
      <c r="J56" s="440"/>
      <c r="K56" s="439"/>
      <c r="L56" s="439"/>
      <c r="M56" s="439"/>
      <c r="N56" s="439"/>
      <c r="O56" s="439"/>
      <c r="P56" s="439"/>
      <c r="Q56" s="439"/>
      <c r="R56" s="439"/>
      <c r="S56" s="439"/>
      <c r="T56" s="439"/>
      <c r="U56" s="439"/>
      <c r="V56" s="439"/>
      <c r="W56" s="437"/>
      <c r="X56" s="437"/>
      <c r="Y56" s="437"/>
      <c r="Z56" s="437"/>
      <c r="AA56" s="437"/>
      <c r="AB56" s="437"/>
      <c r="AC56" s="437"/>
      <c r="AD56" s="437"/>
      <c r="AE56" s="437"/>
      <c r="AF56" s="437"/>
      <c r="AG56" s="437"/>
      <c r="AH56" s="437"/>
      <c r="AI56" s="437"/>
      <c r="AJ56" s="437"/>
      <c r="AK56" s="437"/>
      <c r="AL56" s="437"/>
      <c r="AM56" s="437"/>
      <c r="AN56" s="437"/>
      <c r="AO56" s="437"/>
      <c r="AP56" s="437"/>
      <c r="AQ56" s="437"/>
      <c r="AR56" s="437"/>
      <c r="AS56" s="437"/>
      <c r="AT56" s="437"/>
      <c r="AU56" s="437"/>
      <c r="AV56" s="437"/>
      <c r="AW56" s="437"/>
      <c r="AX56" s="437"/>
      <c r="AY56" s="437"/>
      <c r="AZ56" s="437"/>
      <c r="BA56" s="437"/>
      <c r="BB56" s="433"/>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row>
    <row r="57" spans="1:98" x14ac:dyDescent="0.2">
      <c r="A57" s="438"/>
      <c r="B57" s="439"/>
      <c r="C57" s="1003"/>
      <c r="D57" s="1003"/>
      <c r="E57" s="440"/>
      <c r="F57" s="440"/>
      <c r="G57" s="440"/>
      <c r="H57" s="440"/>
      <c r="I57" s="439"/>
      <c r="J57" s="440"/>
      <c r="K57" s="439"/>
      <c r="L57" s="439"/>
      <c r="M57" s="439"/>
      <c r="N57" s="439"/>
      <c r="O57" s="439"/>
      <c r="P57" s="439"/>
      <c r="Q57" s="439"/>
      <c r="R57" s="439"/>
      <c r="S57" s="439"/>
      <c r="T57" s="439"/>
      <c r="U57" s="439"/>
      <c r="V57" s="439"/>
      <c r="W57" s="437"/>
      <c r="X57" s="437"/>
      <c r="Y57" s="437"/>
      <c r="Z57" s="437"/>
      <c r="AA57" s="437"/>
      <c r="AB57" s="437"/>
      <c r="AC57" s="437"/>
      <c r="AD57" s="437"/>
      <c r="AE57" s="437"/>
      <c r="AF57" s="437"/>
      <c r="AG57" s="437"/>
      <c r="AH57" s="437"/>
      <c r="AI57" s="437"/>
      <c r="AJ57" s="437"/>
      <c r="AK57" s="437"/>
      <c r="AL57" s="437"/>
      <c r="AM57" s="437"/>
      <c r="AN57" s="437"/>
      <c r="AO57" s="437"/>
      <c r="AP57" s="437"/>
      <c r="AQ57" s="437"/>
      <c r="AR57" s="437"/>
      <c r="AS57" s="437"/>
      <c r="AT57" s="437"/>
      <c r="AU57" s="437"/>
      <c r="AV57" s="437"/>
      <c r="AW57" s="437"/>
      <c r="AX57" s="437"/>
      <c r="AY57" s="437"/>
      <c r="AZ57" s="437"/>
      <c r="BA57" s="437"/>
      <c r="BB57" s="433"/>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row>
    <row r="58" spans="1:98" x14ac:dyDescent="0.2">
      <c r="A58" s="438"/>
      <c r="B58" s="439"/>
      <c r="C58" s="1003"/>
      <c r="D58" s="1003"/>
      <c r="E58" s="440"/>
      <c r="F58" s="440"/>
      <c r="G58" s="440"/>
      <c r="H58" s="440"/>
      <c r="I58" s="439"/>
      <c r="J58" s="440"/>
      <c r="K58" s="439"/>
      <c r="L58" s="439"/>
      <c r="M58" s="439"/>
      <c r="N58" s="439"/>
      <c r="O58" s="439"/>
      <c r="P58" s="439"/>
      <c r="Q58" s="439"/>
      <c r="R58" s="439"/>
      <c r="S58" s="439"/>
      <c r="T58" s="439"/>
      <c r="U58" s="439"/>
      <c r="V58" s="439"/>
      <c r="W58" s="437"/>
      <c r="X58" s="437"/>
      <c r="Y58" s="437"/>
      <c r="Z58" s="437"/>
      <c r="AA58" s="437"/>
      <c r="AB58" s="437"/>
      <c r="AC58" s="437"/>
      <c r="AD58" s="437"/>
      <c r="AE58" s="437"/>
      <c r="AF58" s="437"/>
      <c r="AG58" s="437"/>
      <c r="AH58" s="437"/>
      <c r="AI58" s="437"/>
      <c r="AJ58" s="437"/>
      <c r="AK58" s="437"/>
      <c r="AL58" s="437"/>
      <c r="AM58" s="437"/>
      <c r="AN58" s="437"/>
      <c r="AO58" s="437"/>
      <c r="AP58" s="437"/>
      <c r="AQ58" s="437"/>
      <c r="AR58" s="437"/>
      <c r="AS58" s="437"/>
      <c r="AT58" s="437"/>
      <c r="AU58" s="437"/>
      <c r="AV58" s="437"/>
      <c r="AW58" s="437"/>
      <c r="AX58" s="437"/>
      <c r="AY58" s="437"/>
      <c r="AZ58" s="437"/>
      <c r="BA58" s="437"/>
      <c r="BB58" s="433"/>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row>
    <row r="59" spans="1:98" ht="13.5" thickBot="1" x14ac:dyDescent="0.25">
      <c r="A59" s="441"/>
      <c r="B59" s="442"/>
      <c r="C59" s="1121"/>
      <c r="D59" s="1121"/>
      <c r="E59" s="443"/>
      <c r="F59" s="443"/>
      <c r="G59" s="443"/>
      <c r="H59" s="443"/>
      <c r="I59" s="442"/>
      <c r="J59" s="443"/>
      <c r="K59" s="442"/>
      <c r="L59" s="442"/>
      <c r="M59" s="442"/>
      <c r="N59" s="442"/>
      <c r="O59" s="442"/>
      <c r="P59" s="442"/>
      <c r="Q59" s="442"/>
      <c r="R59" s="442"/>
      <c r="S59" s="442"/>
      <c r="T59" s="442"/>
      <c r="U59" s="442"/>
      <c r="V59" s="442"/>
      <c r="W59" s="444"/>
      <c r="X59" s="444"/>
      <c r="Y59" s="444"/>
      <c r="Z59" s="444"/>
      <c r="AA59" s="444"/>
      <c r="AB59" s="444"/>
      <c r="AC59" s="444"/>
      <c r="AD59" s="444"/>
      <c r="AE59" s="444"/>
      <c r="AF59" s="444"/>
      <c r="AG59" s="444"/>
      <c r="AH59" s="444"/>
      <c r="AI59" s="444"/>
      <c r="AJ59" s="444"/>
      <c r="AK59" s="444"/>
      <c r="AL59" s="444"/>
      <c r="AM59" s="444"/>
      <c r="AN59" s="444"/>
      <c r="AO59" s="444"/>
      <c r="AP59" s="444"/>
      <c r="AQ59" s="444"/>
      <c r="AR59" s="444"/>
      <c r="AS59" s="444"/>
      <c r="AT59" s="444"/>
      <c r="AU59" s="444"/>
      <c r="AV59" s="444"/>
      <c r="AW59" s="444"/>
      <c r="AX59" s="444"/>
      <c r="AY59" s="444"/>
      <c r="AZ59" s="444"/>
      <c r="BA59" s="444"/>
      <c r="BB59" s="435"/>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row>
    <row r="60" spans="1:98" s="461" customFormat="1" x14ac:dyDescent="0.2">
      <c r="A60" s="459"/>
      <c r="B60" s="459"/>
      <c r="C60" s="1122"/>
      <c r="D60" s="1122"/>
      <c r="E60" s="460"/>
      <c r="F60" s="460"/>
      <c r="G60" s="460"/>
      <c r="H60" s="460"/>
      <c r="I60" s="459"/>
      <c r="J60" s="460"/>
      <c r="K60" s="459"/>
      <c r="L60" s="459"/>
      <c r="M60" s="459"/>
      <c r="N60" s="459"/>
      <c r="O60" s="459"/>
      <c r="P60" s="459"/>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59"/>
      <c r="AW60" s="459"/>
      <c r="AX60" s="459"/>
      <c r="AY60" s="459"/>
      <c r="AZ60" s="459"/>
      <c r="BA60" s="459"/>
      <c r="BB60" s="459"/>
    </row>
    <row r="61" spans="1:98" s="461" customFormat="1" x14ac:dyDescent="0.2">
      <c r="A61" s="459"/>
      <c r="B61" s="459"/>
      <c r="C61" s="1122"/>
      <c r="D61" s="1122"/>
      <c r="E61" s="460"/>
      <c r="F61" s="460"/>
      <c r="G61" s="460"/>
      <c r="H61" s="460"/>
      <c r="I61" s="459"/>
      <c r="J61" s="460"/>
      <c r="K61" s="459"/>
      <c r="L61" s="459"/>
      <c r="M61" s="459"/>
      <c r="N61" s="459"/>
      <c r="O61" s="459"/>
      <c r="P61" s="459"/>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row>
    <row r="62" spans="1:98" s="461" customFormat="1" x14ac:dyDescent="0.2">
      <c r="A62" s="459"/>
      <c r="B62" s="459"/>
      <c r="C62" s="1122"/>
      <c r="D62" s="1122"/>
      <c r="E62" s="460"/>
      <c r="F62" s="460"/>
      <c r="G62" s="460"/>
      <c r="H62" s="460"/>
      <c r="I62" s="459"/>
      <c r="J62" s="460"/>
      <c r="K62" s="459"/>
      <c r="L62" s="459"/>
      <c r="M62" s="459"/>
      <c r="N62" s="459"/>
      <c r="O62" s="459"/>
      <c r="P62" s="459"/>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row>
    <row r="63" spans="1:98" s="461" customFormat="1" x14ac:dyDescent="0.2">
      <c r="A63" s="459"/>
      <c r="B63" s="459"/>
      <c r="C63" s="1122"/>
      <c r="D63" s="1122"/>
      <c r="E63" s="460"/>
      <c r="F63" s="460"/>
      <c r="G63" s="460"/>
      <c r="H63" s="460"/>
      <c r="I63" s="459"/>
      <c r="J63" s="460"/>
      <c r="K63" s="459"/>
      <c r="L63" s="459"/>
      <c r="M63" s="459"/>
      <c r="N63" s="459"/>
      <c r="O63" s="459"/>
      <c r="P63" s="459"/>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row>
    <row r="64" spans="1:98" s="461" customFormat="1" x14ac:dyDescent="0.2">
      <c r="A64" s="459"/>
      <c r="B64" s="459"/>
      <c r="C64" s="1122"/>
      <c r="D64" s="1122"/>
      <c r="E64" s="460"/>
      <c r="F64" s="460"/>
      <c r="G64" s="460"/>
      <c r="H64" s="460"/>
      <c r="I64" s="459"/>
      <c r="J64" s="460"/>
      <c r="K64" s="459"/>
      <c r="L64" s="459"/>
      <c r="M64" s="459"/>
      <c r="N64" s="459"/>
      <c r="O64" s="459"/>
      <c r="P64" s="459"/>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row>
    <row r="65" spans="1:54" s="461" customFormat="1" x14ac:dyDescent="0.2">
      <c r="A65" s="459"/>
      <c r="B65" s="459"/>
      <c r="C65" s="1122"/>
      <c r="D65" s="1122"/>
      <c r="E65" s="460"/>
      <c r="F65" s="460"/>
      <c r="G65" s="460"/>
      <c r="H65" s="460"/>
      <c r="I65" s="459"/>
      <c r="J65" s="460"/>
      <c r="K65" s="459"/>
      <c r="L65" s="459"/>
      <c r="M65" s="459"/>
      <c r="N65" s="459"/>
      <c r="O65" s="459"/>
      <c r="P65" s="459"/>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459"/>
      <c r="AZ65" s="459"/>
      <c r="BA65" s="459"/>
      <c r="BB65" s="459"/>
    </row>
    <row r="66" spans="1:54" s="461" customFormat="1" x14ac:dyDescent="0.2">
      <c r="A66" s="459"/>
      <c r="B66" s="459"/>
      <c r="C66" s="1122"/>
      <c r="D66" s="1122"/>
      <c r="E66" s="460"/>
      <c r="F66" s="460"/>
      <c r="G66" s="460"/>
      <c r="H66" s="460"/>
      <c r="I66" s="459"/>
      <c r="J66" s="460"/>
      <c r="K66" s="459"/>
      <c r="L66" s="459"/>
      <c r="M66" s="459"/>
      <c r="N66" s="459"/>
      <c r="O66" s="459"/>
      <c r="P66" s="459"/>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row>
    <row r="67" spans="1:54" s="461" customFormat="1" x14ac:dyDescent="0.2">
      <c r="A67" s="459"/>
      <c r="B67" s="459"/>
      <c r="C67" s="1122"/>
      <c r="D67" s="1122"/>
      <c r="E67" s="460"/>
      <c r="F67" s="460"/>
      <c r="G67" s="460"/>
      <c r="H67" s="460"/>
      <c r="I67" s="459"/>
      <c r="J67" s="460"/>
      <c r="K67" s="459"/>
      <c r="L67" s="459"/>
      <c r="M67" s="459"/>
      <c r="N67" s="459"/>
      <c r="O67" s="459"/>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row>
    <row r="68" spans="1:54" s="461" customFormat="1" x14ac:dyDescent="0.2">
      <c r="A68" s="459"/>
      <c r="B68" s="459"/>
      <c r="C68" s="1122"/>
      <c r="D68" s="1122"/>
      <c r="E68" s="460"/>
      <c r="F68" s="460"/>
      <c r="G68" s="460"/>
      <c r="H68" s="460"/>
      <c r="I68" s="459"/>
      <c r="J68" s="460"/>
      <c r="K68" s="459"/>
      <c r="L68" s="459"/>
      <c r="M68" s="459"/>
      <c r="N68" s="459"/>
      <c r="O68" s="459"/>
      <c r="P68" s="459"/>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row>
    <row r="69" spans="1:54" s="461" customFormat="1" x14ac:dyDescent="0.2">
      <c r="A69" s="459"/>
      <c r="B69" s="459"/>
      <c r="C69" s="1122"/>
      <c r="D69" s="1122"/>
      <c r="E69" s="460"/>
      <c r="F69" s="460"/>
      <c r="G69" s="460"/>
      <c r="H69" s="460"/>
      <c r="I69" s="459"/>
      <c r="J69" s="460"/>
      <c r="K69" s="459"/>
      <c r="L69" s="459"/>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row>
    <row r="70" spans="1:54" s="461" customFormat="1" x14ac:dyDescent="0.2">
      <c r="A70" s="459"/>
      <c r="B70" s="459"/>
      <c r="C70" s="1122"/>
      <c r="D70" s="1122"/>
      <c r="E70" s="460"/>
      <c r="F70" s="460"/>
      <c r="G70" s="460"/>
      <c r="H70" s="460"/>
      <c r="I70" s="459"/>
      <c r="J70" s="460"/>
      <c r="K70" s="459"/>
      <c r="L70" s="459"/>
      <c r="M70" s="459"/>
      <c r="N70" s="459"/>
      <c r="O70" s="459"/>
      <c r="P70" s="459"/>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row>
    <row r="71" spans="1:54" s="461" customFormat="1" x14ac:dyDescent="0.2">
      <c r="A71" s="459"/>
      <c r="B71" s="459"/>
      <c r="C71" s="1122"/>
      <c r="D71" s="1122"/>
      <c r="E71" s="460"/>
      <c r="F71" s="460"/>
      <c r="G71" s="460"/>
      <c r="H71" s="460"/>
      <c r="I71" s="459"/>
      <c r="J71" s="460"/>
      <c r="K71" s="459"/>
      <c r="L71" s="459"/>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row>
    <row r="72" spans="1:54" s="461" customFormat="1" x14ac:dyDescent="0.2">
      <c r="A72" s="459"/>
      <c r="B72" s="459"/>
      <c r="C72" s="1122"/>
      <c r="D72" s="1122"/>
      <c r="E72" s="460"/>
      <c r="F72" s="460"/>
      <c r="G72" s="460"/>
      <c r="H72" s="460"/>
      <c r="I72" s="459"/>
      <c r="J72" s="460"/>
      <c r="K72" s="459"/>
      <c r="L72" s="459"/>
      <c r="M72" s="459"/>
      <c r="N72" s="459"/>
      <c r="O72" s="459"/>
      <c r="P72" s="459"/>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row>
    <row r="73" spans="1:54" s="461" customFormat="1" x14ac:dyDescent="0.2">
      <c r="A73" s="459"/>
      <c r="B73" s="459"/>
      <c r="C73" s="1122"/>
      <c r="D73" s="1122"/>
      <c r="E73" s="460"/>
      <c r="F73" s="460"/>
      <c r="G73" s="460"/>
      <c r="H73" s="460"/>
      <c r="I73" s="459"/>
      <c r="J73" s="460"/>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row>
    <row r="74" spans="1:54" s="461" customFormat="1" x14ac:dyDescent="0.2">
      <c r="A74" s="459"/>
      <c r="B74" s="459"/>
      <c r="C74" s="1122"/>
      <c r="D74" s="1122"/>
      <c r="E74" s="460"/>
      <c r="F74" s="460"/>
      <c r="G74" s="460"/>
      <c r="H74" s="460"/>
      <c r="I74" s="459"/>
      <c r="J74" s="460"/>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row>
    <row r="75" spans="1:54" s="461" customFormat="1" x14ac:dyDescent="0.2">
      <c r="A75" s="459"/>
      <c r="B75" s="459"/>
      <c r="C75" s="1122"/>
      <c r="D75" s="1122"/>
      <c r="E75" s="460"/>
      <c r="F75" s="460"/>
      <c r="G75" s="460"/>
      <c r="H75" s="460"/>
      <c r="I75" s="459"/>
      <c r="J75" s="460"/>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row>
    <row r="76" spans="1:54" s="461" customFormat="1" x14ac:dyDescent="0.2">
      <c r="A76" s="459"/>
      <c r="B76" s="459"/>
      <c r="C76" s="1122"/>
      <c r="D76" s="1122"/>
      <c r="E76" s="460"/>
      <c r="F76" s="460"/>
      <c r="G76" s="460"/>
      <c r="H76" s="460"/>
      <c r="I76" s="459"/>
      <c r="J76" s="460"/>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row>
    <row r="77" spans="1:54" s="461" customFormat="1" x14ac:dyDescent="0.2">
      <c r="A77" s="459"/>
      <c r="B77" s="459"/>
      <c r="C77" s="1122"/>
      <c r="D77" s="1122"/>
      <c r="E77" s="460"/>
      <c r="F77" s="460"/>
      <c r="G77" s="460"/>
      <c r="H77" s="460"/>
      <c r="I77" s="459"/>
      <c r="J77" s="460"/>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row>
    <row r="78" spans="1:54" s="461" customFormat="1" x14ac:dyDescent="0.2">
      <c r="A78" s="459"/>
      <c r="B78" s="459"/>
      <c r="C78" s="1122"/>
      <c r="D78" s="1122"/>
      <c r="E78" s="460"/>
      <c r="F78" s="460"/>
      <c r="G78" s="460"/>
      <c r="H78" s="460"/>
      <c r="I78" s="459"/>
      <c r="J78" s="460"/>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row>
    <row r="79" spans="1:54" s="461" customFormat="1" x14ac:dyDescent="0.2">
      <c r="A79" s="459"/>
      <c r="B79" s="459"/>
      <c r="C79" s="1122"/>
      <c r="D79" s="1122"/>
      <c r="E79" s="460"/>
      <c r="F79" s="460"/>
      <c r="G79" s="460"/>
      <c r="H79" s="460"/>
      <c r="I79" s="459"/>
      <c r="J79" s="460"/>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row>
    <row r="80" spans="1:54" s="461" customFormat="1" x14ac:dyDescent="0.2">
      <c r="A80" s="459"/>
      <c r="B80" s="459"/>
      <c r="C80" s="1122"/>
      <c r="D80" s="1122"/>
      <c r="E80" s="460"/>
      <c r="F80" s="460"/>
      <c r="G80" s="460"/>
      <c r="H80" s="460"/>
      <c r="I80" s="459"/>
      <c r="J80" s="460"/>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row>
    <row r="81" spans="1:54" s="461" customFormat="1" x14ac:dyDescent="0.2">
      <c r="A81" s="459"/>
      <c r="B81" s="459"/>
      <c r="C81" s="1122"/>
      <c r="D81" s="1122"/>
      <c r="E81" s="460"/>
      <c r="F81" s="460"/>
      <c r="G81" s="460"/>
      <c r="H81" s="460"/>
      <c r="I81" s="459"/>
      <c r="J81" s="460"/>
      <c r="K81" s="459"/>
      <c r="L81" s="459"/>
      <c r="M81" s="459"/>
      <c r="N81" s="459"/>
      <c r="O81" s="459"/>
      <c r="P81" s="459"/>
      <c r="Q81" s="459"/>
      <c r="R81" s="459"/>
      <c r="S81" s="459"/>
      <c r="T81" s="459"/>
      <c r="U81" s="459"/>
      <c r="V81" s="459"/>
      <c r="W81" s="459"/>
      <c r="X81" s="459"/>
      <c r="Y81" s="459"/>
      <c r="Z81" s="459"/>
      <c r="AA81" s="459"/>
      <c r="AB81" s="459"/>
      <c r="AC81" s="459"/>
      <c r="AD81" s="459"/>
      <c r="AE81" s="459"/>
      <c r="AF81" s="459"/>
      <c r="AG81" s="459"/>
      <c r="AH81" s="459"/>
      <c r="AI81" s="459"/>
      <c r="AJ81" s="459"/>
      <c r="AK81" s="459"/>
      <c r="AL81" s="459"/>
      <c r="AM81" s="459"/>
      <c r="AN81" s="459"/>
      <c r="AO81" s="459"/>
      <c r="AP81" s="459"/>
      <c r="AQ81" s="459"/>
      <c r="AR81" s="459"/>
      <c r="AS81" s="459"/>
      <c r="AT81" s="459"/>
      <c r="AU81" s="459"/>
      <c r="AV81" s="459"/>
      <c r="AW81" s="459"/>
      <c r="AX81" s="459"/>
      <c r="AY81" s="459"/>
      <c r="AZ81" s="459"/>
      <c r="BA81" s="459"/>
      <c r="BB81" s="459"/>
    </row>
    <row r="82" spans="1:54" s="461" customFormat="1" x14ac:dyDescent="0.2">
      <c r="A82" s="459"/>
      <c r="B82" s="459"/>
      <c r="C82" s="1122"/>
      <c r="D82" s="1122"/>
      <c r="E82" s="460"/>
      <c r="F82" s="460"/>
      <c r="G82" s="460"/>
      <c r="H82" s="460"/>
      <c r="I82" s="459"/>
      <c r="J82" s="460"/>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row>
    <row r="83" spans="1:54" s="461" customFormat="1" x14ac:dyDescent="0.2">
      <c r="A83" s="459"/>
      <c r="B83" s="459"/>
      <c r="C83" s="1122"/>
      <c r="D83" s="1122"/>
      <c r="E83" s="460"/>
      <c r="F83" s="460"/>
      <c r="G83" s="460"/>
      <c r="H83" s="460"/>
      <c r="I83" s="459"/>
      <c r="J83" s="460"/>
      <c r="K83" s="459"/>
      <c r="L83" s="459"/>
      <c r="M83" s="459"/>
      <c r="N83" s="459"/>
      <c r="O83" s="459"/>
      <c r="P83" s="459"/>
      <c r="Q83" s="459"/>
      <c r="R83" s="459"/>
      <c r="S83" s="459"/>
      <c r="T83" s="459"/>
      <c r="U83" s="459"/>
      <c r="V83" s="459"/>
      <c r="W83" s="459"/>
      <c r="X83" s="459"/>
      <c r="Y83" s="459"/>
      <c r="Z83" s="459"/>
      <c r="AA83" s="459"/>
      <c r="AB83" s="459"/>
      <c r="AC83" s="459"/>
      <c r="AD83" s="459"/>
      <c r="AE83" s="459"/>
      <c r="AF83" s="459"/>
      <c r="AG83" s="459"/>
      <c r="AH83" s="459"/>
      <c r="AI83" s="459"/>
      <c r="AJ83" s="459"/>
      <c r="AK83" s="459"/>
      <c r="AL83" s="459"/>
      <c r="AM83" s="459"/>
      <c r="AN83" s="459"/>
      <c r="AO83" s="459"/>
      <c r="AP83" s="459"/>
      <c r="AQ83" s="459"/>
      <c r="AR83" s="459"/>
      <c r="AS83" s="459"/>
      <c r="AT83" s="459"/>
      <c r="AU83" s="459"/>
      <c r="AV83" s="459"/>
      <c r="AW83" s="459"/>
      <c r="AX83" s="459"/>
      <c r="AY83" s="459"/>
      <c r="AZ83" s="459"/>
      <c r="BA83" s="459"/>
      <c r="BB83" s="459"/>
    </row>
    <row r="84" spans="1:54" s="461" customFormat="1" x14ac:dyDescent="0.2">
      <c r="A84" s="459"/>
      <c r="B84" s="459"/>
      <c r="C84" s="1122"/>
      <c r="D84" s="1122"/>
      <c r="E84" s="460"/>
      <c r="F84" s="460"/>
      <c r="G84" s="460"/>
      <c r="H84" s="460"/>
      <c r="I84" s="459"/>
      <c r="J84" s="460"/>
      <c r="K84" s="459"/>
      <c r="L84" s="459"/>
      <c r="M84" s="459"/>
      <c r="N84" s="459"/>
      <c r="O84" s="459"/>
      <c r="P84" s="459"/>
      <c r="Q84" s="459"/>
      <c r="R84" s="459"/>
      <c r="S84" s="459"/>
      <c r="T84" s="459"/>
      <c r="U84" s="459"/>
      <c r="V84" s="459"/>
      <c r="W84" s="459"/>
      <c r="X84" s="459"/>
      <c r="Y84" s="459"/>
      <c r="Z84" s="459"/>
      <c r="AA84" s="459"/>
      <c r="AB84" s="459"/>
      <c r="AC84" s="459"/>
      <c r="AD84" s="459"/>
      <c r="AE84" s="459"/>
      <c r="AF84" s="459"/>
      <c r="AG84" s="459"/>
      <c r="AH84" s="459"/>
      <c r="AI84" s="459"/>
      <c r="AJ84" s="459"/>
      <c r="AK84" s="459"/>
      <c r="AL84" s="459"/>
      <c r="AM84" s="459"/>
      <c r="AN84" s="459"/>
      <c r="AO84" s="459"/>
      <c r="AP84" s="459"/>
      <c r="AQ84" s="459"/>
      <c r="AR84" s="459"/>
      <c r="AS84" s="459"/>
      <c r="AT84" s="459"/>
      <c r="AU84" s="459"/>
      <c r="AV84" s="459"/>
      <c r="AW84" s="459"/>
      <c r="AX84" s="459"/>
      <c r="AY84" s="459"/>
      <c r="AZ84" s="459"/>
      <c r="BA84" s="459"/>
      <c r="BB84" s="459"/>
    </row>
    <row r="85" spans="1:54" s="461" customFormat="1" x14ac:dyDescent="0.2">
      <c r="A85" s="459"/>
      <c r="B85" s="459"/>
      <c r="C85" s="1122"/>
      <c r="D85" s="1122"/>
      <c r="E85" s="460"/>
      <c r="F85" s="460"/>
      <c r="G85" s="460"/>
      <c r="H85" s="460"/>
      <c r="I85" s="459"/>
      <c r="J85" s="460"/>
      <c r="K85" s="459"/>
      <c r="L85" s="459"/>
      <c r="M85" s="459"/>
      <c r="N85" s="459"/>
      <c r="O85" s="459"/>
      <c r="P85" s="459"/>
      <c r="Q85" s="459"/>
      <c r="R85" s="459"/>
      <c r="S85" s="459"/>
      <c r="T85" s="459"/>
      <c r="U85" s="459"/>
      <c r="V85" s="459"/>
      <c r="W85" s="459"/>
      <c r="X85" s="459"/>
      <c r="Y85" s="459"/>
      <c r="Z85" s="459"/>
      <c r="AA85" s="459"/>
      <c r="AB85" s="459"/>
      <c r="AC85" s="459"/>
      <c r="AD85" s="459"/>
      <c r="AE85" s="459"/>
      <c r="AF85" s="459"/>
      <c r="AG85" s="459"/>
      <c r="AH85" s="459"/>
      <c r="AI85" s="459"/>
      <c r="AJ85" s="459"/>
      <c r="AK85" s="459"/>
      <c r="AL85" s="459"/>
      <c r="AM85" s="459"/>
      <c r="AN85" s="459"/>
      <c r="AO85" s="459"/>
      <c r="AP85" s="459"/>
      <c r="AQ85" s="459"/>
      <c r="AR85" s="459"/>
      <c r="AS85" s="459"/>
      <c r="AT85" s="459"/>
      <c r="AU85" s="459"/>
      <c r="AV85" s="459"/>
      <c r="AW85" s="459"/>
      <c r="AX85" s="459"/>
      <c r="AY85" s="459"/>
      <c r="AZ85" s="459"/>
      <c r="BA85" s="459"/>
      <c r="BB85" s="459"/>
    </row>
    <row r="86" spans="1:54" s="461" customFormat="1" x14ac:dyDescent="0.2">
      <c r="A86" s="459"/>
      <c r="B86" s="459"/>
      <c r="C86" s="1122"/>
      <c r="D86" s="1122"/>
      <c r="E86" s="460"/>
      <c r="F86" s="460"/>
      <c r="G86" s="460"/>
      <c r="H86" s="460"/>
      <c r="I86" s="459"/>
      <c r="J86" s="460"/>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c r="BB86" s="459"/>
    </row>
    <row r="87" spans="1:54" s="461" customFormat="1" x14ac:dyDescent="0.2">
      <c r="A87" s="459"/>
      <c r="B87" s="459"/>
      <c r="C87" s="1122"/>
      <c r="D87" s="1122"/>
      <c r="E87" s="460"/>
      <c r="F87" s="460"/>
      <c r="G87" s="460"/>
      <c r="H87" s="460"/>
      <c r="I87" s="459"/>
      <c r="J87" s="460"/>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59"/>
      <c r="AN87" s="459"/>
      <c r="AO87" s="459"/>
      <c r="AP87" s="459"/>
      <c r="AQ87" s="459"/>
      <c r="AR87" s="459"/>
      <c r="AS87" s="459"/>
      <c r="AT87" s="459"/>
      <c r="AU87" s="459"/>
      <c r="AV87" s="459"/>
      <c r="AW87" s="459"/>
      <c r="AX87" s="459"/>
      <c r="AY87" s="459"/>
      <c r="AZ87" s="459"/>
      <c r="BA87" s="459"/>
      <c r="BB87" s="459"/>
    </row>
    <row r="88" spans="1:54" s="461" customFormat="1" x14ac:dyDescent="0.2">
      <c r="A88" s="459"/>
      <c r="B88" s="459"/>
      <c r="C88" s="1122"/>
      <c r="D88" s="1122"/>
      <c r="E88" s="460"/>
      <c r="F88" s="460"/>
      <c r="G88" s="460"/>
      <c r="H88" s="460"/>
      <c r="I88" s="459"/>
      <c r="J88" s="460"/>
      <c r="K88" s="459"/>
      <c r="L88" s="459"/>
      <c r="M88" s="459"/>
      <c r="N88" s="459"/>
      <c r="O88" s="459"/>
      <c r="P88" s="459"/>
      <c r="Q88" s="459"/>
      <c r="R88" s="459"/>
      <c r="S88" s="459"/>
      <c r="T88" s="459"/>
      <c r="U88" s="459"/>
      <c r="V88" s="459"/>
      <c r="W88" s="459"/>
      <c r="X88" s="459"/>
      <c r="Y88" s="459"/>
      <c r="Z88" s="459"/>
      <c r="AA88" s="459"/>
      <c r="AB88" s="459"/>
      <c r="AC88" s="459"/>
      <c r="AD88" s="459"/>
      <c r="AE88" s="459"/>
      <c r="AF88" s="459"/>
      <c r="AG88" s="459"/>
      <c r="AH88" s="459"/>
      <c r="AI88" s="459"/>
      <c r="AJ88" s="459"/>
      <c r="AK88" s="459"/>
      <c r="AL88" s="459"/>
      <c r="AM88" s="459"/>
      <c r="AN88" s="459"/>
      <c r="AO88" s="459"/>
      <c r="AP88" s="459"/>
      <c r="AQ88" s="459"/>
      <c r="AR88" s="459"/>
      <c r="AS88" s="459"/>
      <c r="AT88" s="459"/>
      <c r="AU88" s="459"/>
      <c r="AV88" s="459"/>
      <c r="AW88" s="459"/>
      <c r="AX88" s="459"/>
      <c r="AY88" s="459"/>
      <c r="AZ88" s="459"/>
      <c r="BA88" s="459"/>
      <c r="BB88" s="459"/>
    </row>
    <row r="89" spans="1:54" s="461" customFormat="1" x14ac:dyDescent="0.2">
      <c r="A89" s="459"/>
      <c r="B89" s="459"/>
      <c r="C89" s="1122"/>
      <c r="D89" s="1122"/>
      <c r="E89" s="460"/>
      <c r="F89" s="460"/>
      <c r="G89" s="460"/>
      <c r="H89" s="460"/>
      <c r="I89" s="459"/>
      <c r="J89" s="460"/>
      <c r="K89" s="459"/>
      <c r="L89" s="459"/>
      <c r="M89" s="459"/>
      <c r="N89" s="459"/>
      <c r="O89" s="459"/>
      <c r="P89" s="459"/>
      <c r="Q89" s="459"/>
      <c r="R89" s="459"/>
      <c r="S89" s="459"/>
      <c r="T89" s="459"/>
      <c r="U89" s="459"/>
      <c r="V89" s="459"/>
      <c r="W89" s="459"/>
      <c r="X89" s="459"/>
      <c r="Y89" s="459"/>
      <c r="Z89" s="459"/>
      <c r="AA89" s="459"/>
      <c r="AB89" s="459"/>
      <c r="AC89" s="459"/>
      <c r="AD89" s="459"/>
      <c r="AE89" s="459"/>
      <c r="AF89" s="459"/>
      <c r="AG89" s="459"/>
      <c r="AH89" s="459"/>
      <c r="AI89" s="459"/>
      <c r="AJ89" s="459"/>
      <c r="AK89" s="459"/>
      <c r="AL89" s="459"/>
      <c r="AM89" s="459"/>
      <c r="AN89" s="459"/>
      <c r="AO89" s="459"/>
      <c r="AP89" s="459"/>
      <c r="AQ89" s="459"/>
      <c r="AR89" s="459"/>
      <c r="AS89" s="459"/>
      <c r="AT89" s="459"/>
      <c r="AU89" s="459"/>
      <c r="AV89" s="459"/>
      <c r="AW89" s="459"/>
      <c r="AX89" s="459"/>
      <c r="AY89" s="459"/>
      <c r="AZ89" s="459"/>
      <c r="BA89" s="459"/>
      <c r="BB89" s="459"/>
    </row>
    <row r="90" spans="1:54" s="461" customFormat="1" x14ac:dyDescent="0.2">
      <c r="A90" s="459"/>
      <c r="B90" s="459"/>
      <c r="C90" s="1122"/>
      <c r="D90" s="1122"/>
      <c r="E90" s="460"/>
      <c r="F90" s="460"/>
      <c r="G90" s="460"/>
      <c r="H90" s="460"/>
      <c r="I90" s="459"/>
      <c r="J90" s="460"/>
      <c r="K90" s="459"/>
      <c r="L90" s="459"/>
      <c r="M90" s="459"/>
      <c r="N90" s="459"/>
      <c r="O90" s="459"/>
      <c r="P90" s="459"/>
      <c r="Q90" s="459"/>
      <c r="R90" s="459"/>
      <c r="S90" s="459"/>
      <c r="T90" s="459"/>
      <c r="U90" s="459"/>
      <c r="V90" s="459"/>
      <c r="W90" s="459"/>
      <c r="X90" s="459"/>
      <c r="Y90" s="459"/>
      <c r="Z90" s="459"/>
      <c r="AA90" s="459"/>
      <c r="AB90" s="459"/>
      <c r="AC90" s="459"/>
      <c r="AD90" s="459"/>
      <c r="AE90" s="459"/>
      <c r="AF90" s="459"/>
      <c r="AG90" s="459"/>
      <c r="AH90" s="459"/>
      <c r="AI90" s="459"/>
      <c r="AJ90" s="459"/>
      <c r="AK90" s="459"/>
      <c r="AL90" s="459"/>
      <c r="AM90" s="459"/>
      <c r="AN90" s="459"/>
      <c r="AO90" s="459"/>
      <c r="AP90" s="459"/>
      <c r="AQ90" s="459"/>
      <c r="AR90" s="459"/>
      <c r="AS90" s="459"/>
      <c r="AT90" s="459"/>
      <c r="AU90" s="459"/>
      <c r="AV90" s="459"/>
      <c r="AW90" s="459"/>
      <c r="AX90" s="459"/>
      <c r="AY90" s="459"/>
      <c r="AZ90" s="459"/>
      <c r="BA90" s="459"/>
      <c r="BB90" s="459"/>
    </row>
    <row r="91" spans="1:54" s="461" customFormat="1" x14ac:dyDescent="0.2">
      <c r="A91" s="459"/>
      <c r="B91" s="459"/>
      <c r="C91" s="1122"/>
      <c r="D91" s="1122"/>
      <c r="E91" s="460"/>
      <c r="F91" s="460"/>
      <c r="G91" s="460"/>
      <c r="H91" s="460"/>
      <c r="I91" s="459"/>
      <c r="J91" s="460"/>
      <c r="K91" s="459"/>
      <c r="L91" s="459"/>
      <c r="M91" s="459"/>
      <c r="N91" s="459"/>
      <c r="O91" s="459"/>
      <c r="P91" s="459"/>
      <c r="Q91" s="459"/>
      <c r="R91" s="459"/>
      <c r="S91" s="459"/>
      <c r="T91" s="459"/>
      <c r="U91" s="459"/>
      <c r="V91" s="459"/>
      <c r="W91" s="459"/>
      <c r="X91" s="459"/>
      <c r="Y91" s="459"/>
      <c r="Z91" s="459"/>
      <c r="AA91" s="459"/>
      <c r="AB91" s="459"/>
      <c r="AC91" s="459"/>
      <c r="AD91" s="459"/>
      <c r="AE91" s="459"/>
      <c r="AF91" s="459"/>
      <c r="AG91" s="459"/>
      <c r="AH91" s="459"/>
      <c r="AI91" s="459"/>
      <c r="AJ91" s="459"/>
      <c r="AK91" s="459"/>
      <c r="AL91" s="459"/>
      <c r="AM91" s="459"/>
      <c r="AN91" s="459"/>
      <c r="AO91" s="459"/>
      <c r="AP91" s="459"/>
      <c r="AQ91" s="459"/>
      <c r="AR91" s="459"/>
      <c r="AS91" s="459"/>
      <c r="AT91" s="459"/>
      <c r="AU91" s="459"/>
      <c r="AV91" s="459"/>
      <c r="AW91" s="459"/>
      <c r="AX91" s="459"/>
      <c r="AY91" s="459"/>
      <c r="AZ91" s="459"/>
      <c r="BA91" s="459"/>
      <c r="BB91" s="459"/>
    </row>
    <row r="92" spans="1:54" s="461" customFormat="1" x14ac:dyDescent="0.2">
      <c r="A92" s="459"/>
      <c r="B92" s="459"/>
      <c r="C92" s="1122"/>
      <c r="D92" s="1122"/>
      <c r="E92" s="460"/>
      <c r="F92" s="460"/>
      <c r="G92" s="460"/>
      <c r="H92" s="460"/>
      <c r="I92" s="459"/>
      <c r="J92" s="460"/>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59"/>
      <c r="AN92" s="459"/>
      <c r="AO92" s="459"/>
      <c r="AP92" s="459"/>
      <c r="AQ92" s="459"/>
      <c r="AR92" s="459"/>
      <c r="AS92" s="459"/>
      <c r="AT92" s="459"/>
      <c r="AU92" s="459"/>
      <c r="AV92" s="459"/>
      <c r="AW92" s="459"/>
      <c r="AX92" s="459"/>
      <c r="AY92" s="459"/>
      <c r="AZ92" s="459"/>
      <c r="BA92" s="459"/>
      <c r="BB92" s="459"/>
    </row>
    <row r="93" spans="1:54" s="461" customFormat="1" x14ac:dyDescent="0.2">
      <c r="A93" s="459"/>
      <c r="B93" s="459"/>
      <c r="C93" s="1122"/>
      <c r="D93" s="1122"/>
      <c r="E93" s="460"/>
      <c r="F93" s="460"/>
      <c r="G93" s="460"/>
      <c r="H93" s="460"/>
      <c r="I93" s="459"/>
      <c r="J93" s="460"/>
      <c r="K93" s="459"/>
      <c r="L93" s="459"/>
      <c r="M93" s="459"/>
      <c r="N93" s="459"/>
      <c r="O93" s="459"/>
      <c r="P93" s="459"/>
      <c r="Q93" s="459"/>
      <c r="R93" s="459"/>
      <c r="S93" s="459"/>
      <c r="T93" s="459"/>
      <c r="U93" s="459"/>
      <c r="V93" s="459"/>
      <c r="W93" s="459"/>
      <c r="X93" s="459"/>
      <c r="Y93" s="459"/>
      <c r="Z93" s="459"/>
      <c r="AA93" s="459"/>
      <c r="AB93" s="459"/>
      <c r="AC93" s="459"/>
      <c r="AD93" s="459"/>
      <c r="AE93" s="459"/>
      <c r="AF93" s="459"/>
      <c r="AG93" s="459"/>
      <c r="AH93" s="459"/>
      <c r="AI93" s="459"/>
      <c r="AJ93" s="459"/>
      <c r="AK93" s="459"/>
      <c r="AL93" s="459"/>
      <c r="AM93" s="459"/>
      <c r="AN93" s="459"/>
      <c r="AO93" s="459"/>
      <c r="AP93" s="459"/>
      <c r="AQ93" s="459"/>
      <c r="AR93" s="459"/>
      <c r="AS93" s="459"/>
      <c r="AT93" s="459"/>
      <c r="AU93" s="459"/>
      <c r="AV93" s="459"/>
      <c r="AW93" s="459"/>
      <c r="AX93" s="459"/>
      <c r="AY93" s="459"/>
      <c r="AZ93" s="459"/>
      <c r="BA93" s="459"/>
      <c r="BB93" s="459"/>
    </row>
    <row r="94" spans="1:54" s="461" customFormat="1" x14ac:dyDescent="0.2">
      <c r="A94" s="459"/>
      <c r="B94" s="459"/>
      <c r="C94" s="1122"/>
      <c r="D94" s="1122"/>
      <c r="E94" s="460"/>
      <c r="F94" s="460"/>
      <c r="G94" s="460"/>
      <c r="H94" s="460"/>
      <c r="I94" s="459"/>
      <c r="J94" s="460"/>
      <c r="K94" s="459"/>
      <c r="L94" s="459"/>
      <c r="M94" s="459"/>
      <c r="N94" s="459"/>
      <c r="O94" s="459"/>
      <c r="P94" s="459"/>
      <c r="Q94" s="459"/>
      <c r="R94" s="459"/>
      <c r="S94" s="459"/>
      <c r="T94" s="459"/>
      <c r="U94" s="459"/>
      <c r="V94" s="459"/>
      <c r="W94" s="459"/>
      <c r="X94" s="459"/>
      <c r="Y94" s="459"/>
      <c r="Z94" s="459"/>
      <c r="AA94" s="459"/>
      <c r="AB94" s="459"/>
      <c r="AC94" s="459"/>
      <c r="AD94" s="459"/>
      <c r="AE94" s="459"/>
      <c r="AF94" s="459"/>
      <c r="AG94" s="459"/>
      <c r="AH94" s="459"/>
      <c r="AI94" s="459"/>
      <c r="AJ94" s="459"/>
      <c r="AK94" s="459"/>
      <c r="AL94" s="459"/>
      <c r="AM94" s="459"/>
      <c r="AN94" s="459"/>
      <c r="AO94" s="459"/>
      <c r="AP94" s="459"/>
      <c r="AQ94" s="459"/>
      <c r="AR94" s="459"/>
      <c r="AS94" s="459"/>
      <c r="AT94" s="459"/>
      <c r="AU94" s="459"/>
      <c r="AV94" s="459"/>
      <c r="AW94" s="459"/>
      <c r="AX94" s="459"/>
      <c r="AY94" s="459"/>
      <c r="AZ94" s="459"/>
      <c r="BA94" s="459"/>
      <c r="BB94" s="459"/>
    </row>
    <row r="95" spans="1:54" s="461" customFormat="1" x14ac:dyDescent="0.2">
      <c r="A95" s="459"/>
      <c r="B95" s="459"/>
      <c r="C95" s="1122"/>
      <c r="D95" s="1122"/>
      <c r="E95" s="460"/>
      <c r="F95" s="460"/>
      <c r="G95" s="460"/>
      <c r="H95" s="460"/>
      <c r="I95" s="459"/>
      <c r="J95" s="460"/>
      <c r="K95" s="459"/>
      <c r="L95" s="459"/>
      <c r="M95" s="459"/>
      <c r="N95" s="459"/>
      <c r="O95" s="459"/>
      <c r="P95" s="459"/>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c r="AO95" s="459"/>
      <c r="AP95" s="459"/>
      <c r="AQ95" s="459"/>
      <c r="AR95" s="459"/>
      <c r="AS95" s="459"/>
      <c r="AT95" s="459"/>
      <c r="AU95" s="459"/>
      <c r="AV95" s="459"/>
      <c r="AW95" s="459"/>
      <c r="AX95" s="459"/>
      <c r="AY95" s="459"/>
      <c r="AZ95" s="459"/>
      <c r="BA95" s="459"/>
      <c r="BB95" s="459"/>
    </row>
    <row r="96" spans="1:54" s="461" customFormat="1" x14ac:dyDescent="0.2">
      <c r="A96" s="459"/>
      <c r="B96" s="459"/>
      <c r="C96" s="1122"/>
      <c r="D96" s="1122"/>
      <c r="E96" s="460"/>
      <c r="F96" s="460"/>
      <c r="G96" s="460"/>
      <c r="H96" s="460"/>
      <c r="I96" s="459"/>
      <c r="J96" s="460"/>
      <c r="K96" s="459"/>
      <c r="L96" s="459"/>
      <c r="M96" s="459"/>
      <c r="N96" s="459"/>
      <c r="O96" s="459"/>
      <c r="P96" s="459"/>
      <c r="Q96" s="459"/>
      <c r="R96" s="459"/>
      <c r="S96" s="459"/>
      <c r="T96" s="459"/>
      <c r="U96" s="459"/>
      <c r="V96" s="459"/>
      <c r="W96" s="459"/>
      <c r="X96" s="459"/>
      <c r="Y96" s="459"/>
      <c r="Z96" s="459"/>
      <c r="AA96" s="459"/>
      <c r="AB96" s="459"/>
      <c r="AC96" s="459"/>
      <c r="AD96" s="459"/>
      <c r="AE96" s="459"/>
      <c r="AF96" s="459"/>
      <c r="AG96" s="459"/>
      <c r="AH96" s="459"/>
      <c r="AI96" s="459"/>
      <c r="AJ96" s="459"/>
      <c r="AK96" s="459"/>
      <c r="AL96" s="459"/>
      <c r="AM96" s="459"/>
      <c r="AN96" s="459"/>
      <c r="AO96" s="459"/>
      <c r="AP96" s="459"/>
      <c r="AQ96" s="459"/>
      <c r="AR96" s="459"/>
      <c r="AS96" s="459"/>
      <c r="AT96" s="459"/>
      <c r="AU96" s="459"/>
      <c r="AV96" s="459"/>
      <c r="AW96" s="459"/>
      <c r="AX96" s="459"/>
      <c r="AY96" s="459"/>
      <c r="AZ96" s="459"/>
      <c r="BA96" s="459"/>
      <c r="BB96" s="459"/>
    </row>
    <row r="97" spans="1:54" s="461" customFormat="1" x14ac:dyDescent="0.2">
      <c r="A97" s="459"/>
      <c r="B97" s="459"/>
      <c r="C97" s="1122"/>
      <c r="D97" s="1122"/>
      <c r="E97" s="460"/>
      <c r="F97" s="460"/>
      <c r="G97" s="460"/>
      <c r="H97" s="460"/>
      <c r="I97" s="459"/>
      <c r="J97" s="460"/>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59"/>
      <c r="AN97" s="459"/>
      <c r="AO97" s="459"/>
      <c r="AP97" s="459"/>
      <c r="AQ97" s="459"/>
      <c r="AR97" s="459"/>
      <c r="AS97" s="459"/>
      <c r="AT97" s="459"/>
      <c r="AU97" s="459"/>
      <c r="AV97" s="459"/>
      <c r="AW97" s="459"/>
      <c r="AX97" s="459"/>
      <c r="AY97" s="459"/>
      <c r="AZ97" s="459"/>
      <c r="BA97" s="459"/>
      <c r="BB97" s="459"/>
    </row>
    <row r="98" spans="1:54" s="461" customFormat="1" x14ac:dyDescent="0.2">
      <c r="A98" s="459"/>
      <c r="B98" s="459"/>
      <c r="C98" s="1122"/>
      <c r="D98" s="1122"/>
      <c r="E98" s="460"/>
      <c r="F98" s="460"/>
      <c r="G98" s="460"/>
      <c r="H98" s="460"/>
      <c r="I98" s="459"/>
      <c r="J98" s="460"/>
      <c r="K98" s="459"/>
      <c r="L98" s="459"/>
      <c r="M98" s="459"/>
      <c r="N98" s="459"/>
      <c r="O98" s="459"/>
      <c r="P98" s="459"/>
      <c r="Q98" s="459"/>
      <c r="R98" s="459"/>
      <c r="S98" s="459"/>
      <c r="T98" s="459"/>
      <c r="U98" s="459"/>
      <c r="V98" s="459"/>
      <c r="W98" s="459"/>
      <c r="X98" s="459"/>
      <c r="Y98" s="459"/>
      <c r="Z98" s="459"/>
      <c r="AA98" s="459"/>
      <c r="AB98" s="459"/>
      <c r="AC98" s="459"/>
      <c r="AD98" s="459"/>
      <c r="AE98" s="459"/>
      <c r="AF98" s="459"/>
      <c r="AG98" s="459"/>
      <c r="AH98" s="459"/>
      <c r="AI98" s="459"/>
      <c r="AJ98" s="459"/>
      <c r="AK98" s="459"/>
      <c r="AL98" s="459"/>
      <c r="AM98" s="459"/>
      <c r="AN98" s="459"/>
      <c r="AO98" s="459"/>
      <c r="AP98" s="459"/>
      <c r="AQ98" s="459"/>
      <c r="AR98" s="459"/>
      <c r="AS98" s="459"/>
      <c r="AT98" s="459"/>
      <c r="AU98" s="459"/>
      <c r="AV98" s="459"/>
      <c r="AW98" s="459"/>
      <c r="AX98" s="459"/>
      <c r="AY98" s="459"/>
      <c r="AZ98" s="459"/>
      <c r="BA98" s="459"/>
      <c r="BB98" s="459"/>
    </row>
    <row r="99" spans="1:54" s="461" customFormat="1" x14ac:dyDescent="0.2">
      <c r="A99" s="459"/>
      <c r="B99" s="459"/>
      <c r="C99" s="1122"/>
      <c r="D99" s="1122"/>
      <c r="E99" s="460"/>
      <c r="F99" s="460"/>
      <c r="G99" s="460"/>
      <c r="H99" s="460"/>
      <c r="I99" s="459"/>
      <c r="J99" s="460"/>
      <c r="K99" s="459"/>
      <c r="L99" s="459"/>
      <c r="M99" s="459"/>
      <c r="N99" s="459"/>
      <c r="O99" s="459"/>
      <c r="P99" s="459"/>
      <c r="Q99" s="459"/>
      <c r="R99" s="459"/>
      <c r="S99" s="459"/>
      <c r="T99" s="459"/>
      <c r="U99" s="459"/>
      <c r="V99" s="459"/>
      <c r="W99" s="459"/>
      <c r="X99" s="459"/>
      <c r="Y99" s="459"/>
      <c r="Z99" s="459"/>
      <c r="AA99" s="459"/>
      <c r="AB99" s="459"/>
      <c r="AC99" s="459"/>
      <c r="AD99" s="459"/>
      <c r="AE99" s="459"/>
      <c r="AF99" s="459"/>
      <c r="AG99" s="459"/>
      <c r="AH99" s="459"/>
      <c r="AI99" s="459"/>
      <c r="AJ99" s="459"/>
      <c r="AK99" s="459"/>
      <c r="AL99" s="459"/>
      <c r="AM99" s="459"/>
      <c r="AN99" s="459"/>
      <c r="AO99" s="459"/>
      <c r="AP99" s="459"/>
      <c r="AQ99" s="459"/>
      <c r="AR99" s="459"/>
      <c r="AS99" s="459"/>
      <c r="AT99" s="459"/>
      <c r="AU99" s="459"/>
      <c r="AV99" s="459"/>
      <c r="AW99" s="459"/>
      <c r="AX99" s="459"/>
      <c r="AY99" s="459"/>
      <c r="AZ99" s="459"/>
      <c r="BA99" s="459"/>
      <c r="BB99" s="459"/>
    </row>
    <row r="100" spans="1:54" s="461" customFormat="1" x14ac:dyDescent="0.2">
      <c r="A100" s="459"/>
      <c r="B100" s="459"/>
      <c r="C100" s="1122"/>
      <c r="D100" s="1122"/>
      <c r="E100" s="460"/>
      <c r="F100" s="460"/>
      <c r="G100" s="460"/>
      <c r="H100" s="460"/>
      <c r="I100" s="459"/>
      <c r="J100" s="460"/>
      <c r="K100" s="459"/>
      <c r="L100" s="459"/>
      <c r="M100" s="459"/>
      <c r="N100" s="459"/>
      <c r="O100" s="459"/>
      <c r="P100" s="459"/>
      <c r="Q100" s="459"/>
      <c r="R100" s="459"/>
      <c r="S100" s="459"/>
      <c r="T100" s="459"/>
      <c r="U100" s="459"/>
      <c r="V100" s="459"/>
      <c r="W100" s="459"/>
      <c r="X100" s="459"/>
      <c r="Y100" s="459"/>
      <c r="Z100" s="459"/>
      <c r="AA100" s="459"/>
      <c r="AB100" s="459"/>
      <c r="AC100" s="459"/>
      <c r="AD100" s="459"/>
      <c r="AE100" s="459"/>
      <c r="AF100" s="459"/>
      <c r="AG100" s="459"/>
      <c r="AH100" s="459"/>
      <c r="AI100" s="459"/>
      <c r="AJ100" s="459"/>
      <c r="AK100" s="459"/>
      <c r="AL100" s="459"/>
      <c r="AM100" s="459"/>
      <c r="AN100" s="459"/>
      <c r="AO100" s="459"/>
      <c r="AP100" s="459"/>
      <c r="AQ100" s="459"/>
      <c r="AR100" s="459"/>
      <c r="AS100" s="459"/>
      <c r="AT100" s="459"/>
      <c r="AU100" s="459"/>
      <c r="AV100" s="459"/>
      <c r="AW100" s="459"/>
      <c r="AX100" s="459"/>
      <c r="AY100" s="459"/>
      <c r="AZ100" s="459"/>
      <c r="BA100" s="459"/>
      <c r="BB100" s="459"/>
    </row>
    <row r="101" spans="1:54" s="461" customFormat="1" x14ac:dyDescent="0.2">
      <c r="A101" s="459"/>
      <c r="B101" s="459"/>
      <c r="C101" s="1122"/>
      <c r="D101" s="1122"/>
      <c r="E101" s="460"/>
      <c r="F101" s="460"/>
      <c r="G101" s="460"/>
      <c r="H101" s="460"/>
      <c r="I101" s="459"/>
      <c r="J101" s="460"/>
      <c r="K101" s="459"/>
      <c r="L101" s="459"/>
      <c r="M101" s="459"/>
      <c r="N101" s="459"/>
      <c r="O101" s="459"/>
      <c r="P101" s="459"/>
      <c r="Q101" s="459"/>
      <c r="R101" s="459"/>
      <c r="S101" s="459"/>
      <c r="T101" s="459"/>
      <c r="U101" s="459"/>
      <c r="V101" s="459"/>
      <c r="W101" s="459"/>
      <c r="X101" s="459"/>
      <c r="Y101" s="459"/>
      <c r="Z101" s="459"/>
      <c r="AA101" s="459"/>
      <c r="AB101" s="459"/>
      <c r="AC101" s="459"/>
      <c r="AD101" s="459"/>
      <c r="AE101" s="459"/>
      <c r="AF101" s="459"/>
      <c r="AG101" s="459"/>
      <c r="AH101" s="459"/>
      <c r="AI101" s="459"/>
      <c r="AJ101" s="459"/>
      <c r="AK101" s="459"/>
      <c r="AL101" s="459"/>
      <c r="AM101" s="459"/>
      <c r="AN101" s="459"/>
      <c r="AO101" s="459"/>
      <c r="AP101" s="459"/>
      <c r="AQ101" s="459"/>
      <c r="AR101" s="459"/>
      <c r="AS101" s="459"/>
      <c r="AT101" s="459"/>
      <c r="AU101" s="459"/>
      <c r="AV101" s="459"/>
      <c r="AW101" s="459"/>
      <c r="AX101" s="459"/>
      <c r="AY101" s="459"/>
      <c r="AZ101" s="459"/>
      <c r="BA101" s="459"/>
      <c r="BB101" s="459"/>
    </row>
    <row r="102" spans="1:54" s="461" customFormat="1" x14ac:dyDescent="0.2">
      <c r="A102" s="459"/>
      <c r="B102" s="459"/>
      <c r="C102" s="1122"/>
      <c r="D102" s="1122"/>
      <c r="E102" s="460"/>
      <c r="F102" s="460"/>
      <c r="G102" s="460"/>
      <c r="H102" s="460"/>
      <c r="I102" s="459"/>
      <c r="J102" s="460"/>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59"/>
      <c r="AN102" s="459"/>
      <c r="AO102" s="459"/>
      <c r="AP102" s="459"/>
      <c r="AQ102" s="459"/>
      <c r="AR102" s="459"/>
      <c r="AS102" s="459"/>
      <c r="AT102" s="459"/>
      <c r="AU102" s="459"/>
      <c r="AV102" s="459"/>
      <c r="AW102" s="459"/>
      <c r="AX102" s="459"/>
      <c r="AY102" s="459"/>
      <c r="AZ102" s="459"/>
      <c r="BA102" s="459"/>
      <c r="BB102" s="459"/>
    </row>
    <row r="103" spans="1:54" s="461" customFormat="1" x14ac:dyDescent="0.2">
      <c r="A103" s="459"/>
      <c r="B103" s="459"/>
      <c r="C103" s="1122"/>
      <c r="D103" s="1122"/>
      <c r="E103" s="460"/>
      <c r="F103" s="460"/>
      <c r="G103" s="460"/>
      <c r="H103" s="460"/>
      <c r="I103" s="459"/>
      <c r="J103" s="460"/>
      <c r="K103" s="459"/>
      <c r="L103" s="459"/>
      <c r="M103" s="459"/>
      <c r="N103" s="459"/>
      <c r="O103" s="459"/>
      <c r="P103" s="459"/>
      <c r="Q103" s="459"/>
      <c r="R103" s="459"/>
      <c r="S103" s="459"/>
      <c r="T103" s="459"/>
      <c r="U103" s="459"/>
      <c r="V103" s="459"/>
      <c r="W103" s="459"/>
      <c r="X103" s="459"/>
      <c r="Y103" s="459"/>
      <c r="Z103" s="459"/>
      <c r="AA103" s="459"/>
      <c r="AB103" s="459"/>
      <c r="AC103" s="459"/>
      <c r="AD103" s="459"/>
      <c r="AE103" s="459"/>
      <c r="AF103" s="459"/>
      <c r="AG103" s="459"/>
      <c r="AH103" s="459"/>
      <c r="AI103" s="459"/>
      <c r="AJ103" s="459"/>
      <c r="AK103" s="459"/>
      <c r="AL103" s="459"/>
      <c r="AM103" s="459"/>
      <c r="AN103" s="459"/>
      <c r="AO103" s="459"/>
      <c r="AP103" s="459"/>
      <c r="AQ103" s="459"/>
      <c r="AR103" s="459"/>
      <c r="AS103" s="459"/>
      <c r="AT103" s="459"/>
      <c r="AU103" s="459"/>
      <c r="AV103" s="459"/>
      <c r="AW103" s="459"/>
      <c r="AX103" s="459"/>
      <c r="AY103" s="459"/>
      <c r="AZ103" s="459"/>
      <c r="BA103" s="459"/>
      <c r="BB103" s="459"/>
    </row>
    <row r="104" spans="1:54" s="461" customFormat="1" x14ac:dyDescent="0.2">
      <c r="A104" s="459"/>
      <c r="B104" s="459"/>
      <c r="C104" s="1122"/>
      <c r="D104" s="1122"/>
      <c r="E104" s="460"/>
      <c r="F104" s="460"/>
      <c r="G104" s="460"/>
      <c r="H104" s="460"/>
      <c r="I104" s="459"/>
      <c r="J104" s="460"/>
      <c r="K104" s="459"/>
      <c r="L104" s="459"/>
      <c r="M104" s="459"/>
      <c r="N104" s="459"/>
      <c r="O104" s="459"/>
      <c r="P104" s="459"/>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c r="AM104" s="459"/>
      <c r="AN104" s="459"/>
      <c r="AO104" s="459"/>
      <c r="AP104" s="459"/>
      <c r="AQ104" s="459"/>
      <c r="AR104" s="459"/>
      <c r="AS104" s="459"/>
      <c r="AT104" s="459"/>
      <c r="AU104" s="459"/>
      <c r="AV104" s="459"/>
      <c r="AW104" s="459"/>
      <c r="AX104" s="459"/>
      <c r="AY104" s="459"/>
      <c r="AZ104" s="459"/>
      <c r="BA104" s="459"/>
      <c r="BB104" s="459"/>
    </row>
    <row r="105" spans="1:54" s="461" customFormat="1" x14ac:dyDescent="0.2">
      <c r="A105" s="459"/>
      <c r="B105" s="459"/>
      <c r="C105" s="1122"/>
      <c r="D105" s="1122"/>
      <c r="E105" s="460"/>
      <c r="F105" s="460"/>
      <c r="G105" s="460"/>
      <c r="H105" s="460"/>
      <c r="I105" s="459"/>
      <c r="J105" s="460"/>
      <c r="K105" s="459"/>
      <c r="L105" s="459"/>
      <c r="M105" s="459"/>
      <c r="N105" s="459"/>
      <c r="O105" s="459"/>
      <c r="P105" s="459"/>
      <c r="Q105" s="459"/>
      <c r="R105" s="459"/>
      <c r="S105" s="459"/>
      <c r="T105" s="459"/>
      <c r="U105" s="459"/>
      <c r="V105" s="459"/>
      <c r="W105" s="459"/>
      <c r="X105" s="459"/>
      <c r="Y105" s="459"/>
      <c r="Z105" s="459"/>
      <c r="AA105" s="459"/>
      <c r="AB105" s="459"/>
      <c r="AC105" s="459"/>
      <c r="AD105" s="459"/>
      <c r="AE105" s="459"/>
      <c r="AF105" s="459"/>
      <c r="AG105" s="459"/>
      <c r="AH105" s="459"/>
      <c r="AI105" s="459"/>
      <c r="AJ105" s="459"/>
      <c r="AK105" s="459"/>
      <c r="AL105" s="459"/>
      <c r="AM105" s="459"/>
      <c r="AN105" s="459"/>
      <c r="AO105" s="459"/>
      <c r="AP105" s="459"/>
      <c r="AQ105" s="459"/>
      <c r="AR105" s="459"/>
      <c r="AS105" s="459"/>
      <c r="AT105" s="459"/>
      <c r="AU105" s="459"/>
      <c r="AV105" s="459"/>
      <c r="AW105" s="459"/>
      <c r="AX105" s="459"/>
      <c r="AY105" s="459"/>
      <c r="AZ105" s="459"/>
      <c r="BA105" s="459"/>
      <c r="BB105" s="459"/>
    </row>
    <row r="106" spans="1:54" s="461" customFormat="1" x14ac:dyDescent="0.2">
      <c r="A106" s="459"/>
      <c r="B106" s="459"/>
      <c r="C106" s="1122"/>
      <c r="D106" s="1122"/>
      <c r="E106" s="460"/>
      <c r="F106" s="460"/>
      <c r="G106" s="460"/>
      <c r="H106" s="460"/>
      <c r="I106" s="459"/>
      <c r="J106" s="460"/>
      <c r="K106" s="459"/>
      <c r="L106" s="459"/>
      <c r="M106" s="459"/>
      <c r="N106" s="459"/>
      <c r="O106" s="459"/>
      <c r="P106" s="459"/>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c r="AM106" s="459"/>
      <c r="AN106" s="459"/>
      <c r="AO106" s="459"/>
      <c r="AP106" s="459"/>
      <c r="AQ106" s="459"/>
      <c r="AR106" s="459"/>
      <c r="AS106" s="459"/>
      <c r="AT106" s="459"/>
      <c r="AU106" s="459"/>
      <c r="AV106" s="459"/>
      <c r="AW106" s="459"/>
      <c r="AX106" s="459"/>
      <c r="AY106" s="459"/>
      <c r="AZ106" s="459"/>
      <c r="BA106" s="459"/>
      <c r="BB106" s="459"/>
    </row>
    <row r="107" spans="1:54" s="461" customFormat="1" x14ac:dyDescent="0.2">
      <c r="A107" s="459"/>
      <c r="B107" s="459"/>
      <c r="C107" s="1122"/>
      <c r="D107" s="1122"/>
      <c r="E107" s="460"/>
      <c r="F107" s="460"/>
      <c r="G107" s="460"/>
      <c r="H107" s="460"/>
      <c r="I107" s="459"/>
      <c r="J107" s="460"/>
      <c r="K107" s="459"/>
      <c r="L107" s="459"/>
      <c r="M107" s="459"/>
      <c r="N107" s="459"/>
      <c r="O107" s="459"/>
      <c r="P107" s="459"/>
      <c r="Q107" s="459"/>
      <c r="R107" s="459"/>
      <c r="S107" s="459"/>
      <c r="T107" s="459"/>
      <c r="U107" s="459"/>
      <c r="V107" s="459"/>
      <c r="W107" s="459"/>
      <c r="X107" s="459"/>
      <c r="Y107" s="459"/>
      <c r="Z107" s="459"/>
      <c r="AA107" s="459"/>
      <c r="AB107" s="459"/>
      <c r="AC107" s="459"/>
      <c r="AD107" s="459"/>
      <c r="AE107" s="459"/>
      <c r="AF107" s="459"/>
      <c r="AG107" s="459"/>
      <c r="AH107" s="459"/>
      <c r="AI107" s="459"/>
      <c r="AJ107" s="459"/>
      <c r="AK107" s="459"/>
      <c r="AL107" s="459"/>
      <c r="AM107" s="459"/>
      <c r="AN107" s="459"/>
      <c r="AO107" s="459"/>
      <c r="AP107" s="459"/>
      <c r="AQ107" s="459"/>
      <c r="AR107" s="459"/>
      <c r="AS107" s="459"/>
      <c r="AT107" s="459"/>
      <c r="AU107" s="459"/>
      <c r="AV107" s="459"/>
      <c r="AW107" s="459"/>
      <c r="AX107" s="459"/>
      <c r="AY107" s="459"/>
      <c r="AZ107" s="459"/>
      <c r="BA107" s="459"/>
      <c r="BB107" s="459"/>
    </row>
    <row r="108" spans="1:54" s="461" customFormat="1" x14ac:dyDescent="0.2">
      <c r="A108" s="459"/>
      <c r="B108" s="459"/>
      <c r="C108" s="1122"/>
      <c r="D108" s="1122"/>
      <c r="E108" s="460"/>
      <c r="F108" s="460"/>
      <c r="G108" s="460"/>
      <c r="H108" s="460"/>
      <c r="I108" s="459"/>
      <c r="J108" s="460"/>
      <c r="K108" s="459"/>
      <c r="L108" s="459"/>
      <c r="M108" s="459"/>
      <c r="N108" s="459"/>
      <c r="O108" s="459"/>
      <c r="P108" s="459"/>
      <c r="Q108" s="459"/>
      <c r="R108" s="459"/>
      <c r="S108" s="459"/>
      <c r="T108" s="459"/>
      <c r="U108" s="459"/>
      <c r="V108" s="459"/>
      <c r="W108" s="459"/>
      <c r="X108" s="459"/>
      <c r="Y108" s="459"/>
      <c r="Z108" s="459"/>
      <c r="AA108" s="459"/>
      <c r="AB108" s="459"/>
      <c r="AC108" s="459"/>
      <c r="AD108" s="459"/>
      <c r="AE108" s="459"/>
      <c r="AF108" s="459"/>
      <c r="AG108" s="459"/>
      <c r="AH108" s="459"/>
      <c r="AI108" s="459"/>
      <c r="AJ108" s="459"/>
      <c r="AK108" s="459"/>
      <c r="AL108" s="459"/>
      <c r="AM108" s="459"/>
      <c r="AN108" s="459"/>
      <c r="AO108" s="459"/>
      <c r="AP108" s="459"/>
      <c r="AQ108" s="459"/>
      <c r="AR108" s="459"/>
      <c r="AS108" s="459"/>
      <c r="AT108" s="459"/>
      <c r="AU108" s="459"/>
      <c r="AV108" s="459"/>
      <c r="AW108" s="459"/>
      <c r="AX108" s="459"/>
      <c r="AY108" s="459"/>
      <c r="AZ108" s="459"/>
      <c r="BA108" s="459"/>
      <c r="BB108" s="459"/>
    </row>
    <row r="109" spans="1:54" s="461" customFormat="1" x14ac:dyDescent="0.2">
      <c r="A109" s="459"/>
      <c r="B109" s="459"/>
      <c r="C109" s="1122"/>
      <c r="D109" s="1122"/>
      <c r="E109" s="460"/>
      <c r="F109" s="460"/>
      <c r="G109" s="460"/>
      <c r="H109" s="460"/>
      <c r="I109" s="459"/>
      <c r="J109" s="460"/>
      <c r="K109" s="459"/>
      <c r="L109" s="459"/>
      <c r="M109" s="459"/>
      <c r="N109" s="459"/>
      <c r="O109" s="459"/>
      <c r="P109" s="459"/>
      <c r="Q109" s="459"/>
      <c r="R109" s="459"/>
      <c r="S109" s="459"/>
      <c r="T109" s="459"/>
      <c r="U109" s="459"/>
      <c r="V109" s="459"/>
      <c r="W109" s="459"/>
      <c r="X109" s="459"/>
      <c r="Y109" s="459"/>
      <c r="Z109" s="459"/>
      <c r="AA109" s="459"/>
      <c r="AB109" s="459"/>
      <c r="AC109" s="459"/>
      <c r="AD109" s="459"/>
      <c r="AE109" s="459"/>
      <c r="AF109" s="459"/>
      <c r="AG109" s="459"/>
      <c r="AH109" s="459"/>
      <c r="AI109" s="459"/>
      <c r="AJ109" s="459"/>
      <c r="AK109" s="459"/>
      <c r="AL109" s="459"/>
      <c r="AM109" s="459"/>
      <c r="AN109" s="459"/>
      <c r="AO109" s="459"/>
      <c r="AP109" s="459"/>
      <c r="AQ109" s="459"/>
      <c r="AR109" s="459"/>
      <c r="AS109" s="459"/>
      <c r="AT109" s="459"/>
      <c r="AU109" s="459"/>
      <c r="AV109" s="459"/>
      <c r="AW109" s="459"/>
      <c r="AX109" s="459"/>
      <c r="AY109" s="459"/>
      <c r="AZ109" s="459"/>
      <c r="BA109" s="459"/>
      <c r="BB109" s="459"/>
    </row>
    <row r="110" spans="1:54" s="461" customFormat="1" x14ac:dyDescent="0.2">
      <c r="A110" s="459"/>
      <c r="B110" s="459"/>
      <c r="C110" s="1122"/>
      <c r="D110" s="1122"/>
      <c r="E110" s="460"/>
      <c r="F110" s="460"/>
      <c r="G110" s="460"/>
      <c r="H110" s="460"/>
      <c r="I110" s="459"/>
      <c r="J110" s="460"/>
      <c r="K110" s="459"/>
      <c r="L110" s="459"/>
      <c r="M110" s="459"/>
      <c r="N110" s="459"/>
      <c r="O110" s="459"/>
      <c r="P110" s="459"/>
      <c r="Q110" s="459"/>
      <c r="R110" s="459"/>
      <c r="S110" s="459"/>
      <c r="T110" s="459"/>
      <c r="U110" s="459"/>
      <c r="V110" s="459"/>
      <c r="W110" s="459"/>
      <c r="X110" s="459"/>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59"/>
      <c r="AY110" s="459"/>
      <c r="AZ110" s="459"/>
      <c r="BA110" s="459"/>
      <c r="BB110" s="459"/>
    </row>
    <row r="111" spans="1:54" s="461" customFormat="1" x14ac:dyDescent="0.2">
      <c r="A111" s="459"/>
      <c r="B111" s="459"/>
      <c r="C111" s="1122"/>
      <c r="D111" s="1122"/>
      <c r="E111" s="460"/>
      <c r="F111" s="460"/>
      <c r="G111" s="460"/>
      <c r="H111" s="460"/>
      <c r="I111" s="459"/>
      <c r="J111" s="460"/>
      <c r="K111" s="459"/>
      <c r="L111" s="459"/>
      <c r="M111" s="459"/>
      <c r="N111" s="459"/>
      <c r="O111" s="459"/>
      <c r="P111" s="459"/>
      <c r="Q111" s="459"/>
      <c r="R111" s="459"/>
      <c r="S111" s="459"/>
      <c r="T111" s="459"/>
      <c r="U111" s="459"/>
      <c r="V111" s="459"/>
      <c r="W111" s="459"/>
      <c r="X111" s="459"/>
      <c r="Y111" s="459"/>
      <c r="Z111" s="459"/>
      <c r="AA111" s="459"/>
      <c r="AB111" s="459"/>
      <c r="AC111" s="459"/>
      <c r="AD111" s="459"/>
      <c r="AE111" s="459"/>
      <c r="AF111" s="459"/>
      <c r="AG111" s="459"/>
      <c r="AH111" s="459"/>
      <c r="AI111" s="459"/>
      <c r="AJ111" s="459"/>
      <c r="AK111" s="459"/>
      <c r="AL111" s="459"/>
      <c r="AM111" s="459"/>
      <c r="AN111" s="459"/>
      <c r="AO111" s="459"/>
      <c r="AP111" s="459"/>
      <c r="AQ111" s="459"/>
      <c r="AR111" s="459"/>
      <c r="AS111" s="459"/>
      <c r="AT111" s="459"/>
      <c r="AU111" s="459"/>
      <c r="AV111" s="459"/>
      <c r="AW111" s="459"/>
      <c r="AX111" s="459"/>
      <c r="AY111" s="459"/>
      <c r="AZ111" s="459"/>
      <c r="BA111" s="459"/>
      <c r="BB111" s="459"/>
    </row>
    <row r="112" spans="1:54" s="461" customFormat="1" x14ac:dyDescent="0.2">
      <c r="A112" s="459"/>
      <c r="B112" s="459"/>
      <c r="C112" s="1122"/>
      <c r="D112" s="1122"/>
      <c r="E112" s="460"/>
      <c r="F112" s="460"/>
      <c r="G112" s="460"/>
      <c r="H112" s="460"/>
      <c r="I112" s="459"/>
      <c r="J112" s="460"/>
      <c r="K112" s="459"/>
      <c r="L112" s="459"/>
      <c r="M112" s="459"/>
      <c r="N112" s="459"/>
      <c r="O112" s="459"/>
      <c r="P112" s="459"/>
      <c r="Q112" s="459"/>
      <c r="R112" s="459"/>
      <c r="S112" s="459"/>
      <c r="T112" s="459"/>
      <c r="U112" s="459"/>
      <c r="V112" s="459"/>
      <c r="W112" s="459"/>
      <c r="X112" s="459"/>
      <c r="Y112" s="459"/>
      <c r="Z112" s="459"/>
      <c r="AA112" s="459"/>
      <c r="AB112" s="459"/>
      <c r="AC112" s="459"/>
      <c r="AD112" s="459"/>
      <c r="AE112" s="459"/>
      <c r="AF112" s="459"/>
      <c r="AG112" s="459"/>
      <c r="AH112" s="459"/>
      <c r="AI112" s="459"/>
      <c r="AJ112" s="459"/>
      <c r="AK112" s="459"/>
      <c r="AL112" s="459"/>
      <c r="AM112" s="459"/>
      <c r="AN112" s="459"/>
      <c r="AO112" s="459"/>
      <c r="AP112" s="459"/>
      <c r="AQ112" s="459"/>
      <c r="AR112" s="459"/>
      <c r="AS112" s="459"/>
      <c r="AT112" s="459"/>
      <c r="AU112" s="459"/>
      <c r="AV112" s="459"/>
      <c r="AW112" s="459"/>
      <c r="AX112" s="459"/>
      <c r="AY112" s="459"/>
      <c r="AZ112" s="459"/>
      <c r="BA112" s="459"/>
      <c r="BB112" s="459"/>
    </row>
    <row r="113" spans="1:54" s="461" customFormat="1" x14ac:dyDescent="0.2">
      <c r="A113" s="459"/>
      <c r="B113" s="459"/>
      <c r="C113" s="1122"/>
      <c r="D113" s="1122"/>
      <c r="E113" s="460"/>
      <c r="F113" s="460"/>
      <c r="G113" s="460"/>
      <c r="H113" s="460"/>
      <c r="I113" s="459"/>
      <c r="J113" s="460"/>
      <c r="K113" s="459"/>
      <c r="L113" s="459"/>
      <c r="M113" s="459"/>
      <c r="N113" s="459"/>
      <c r="O113" s="459"/>
      <c r="P113" s="459"/>
      <c r="Q113" s="459"/>
      <c r="R113" s="459"/>
      <c r="S113" s="459"/>
      <c r="T113" s="459"/>
      <c r="U113" s="459"/>
      <c r="V113" s="459"/>
      <c r="W113" s="459"/>
      <c r="X113" s="459"/>
      <c r="Y113" s="459"/>
      <c r="Z113" s="459"/>
      <c r="AA113" s="459"/>
      <c r="AB113" s="459"/>
      <c r="AC113" s="459"/>
      <c r="AD113" s="459"/>
      <c r="AE113" s="459"/>
      <c r="AF113" s="459"/>
      <c r="AG113" s="459"/>
      <c r="AH113" s="459"/>
      <c r="AI113" s="459"/>
      <c r="AJ113" s="459"/>
      <c r="AK113" s="459"/>
      <c r="AL113" s="459"/>
      <c r="AM113" s="459"/>
      <c r="AN113" s="459"/>
      <c r="AO113" s="459"/>
      <c r="AP113" s="459"/>
      <c r="AQ113" s="459"/>
      <c r="AR113" s="459"/>
      <c r="AS113" s="459"/>
      <c r="AT113" s="459"/>
      <c r="AU113" s="459"/>
      <c r="AV113" s="459"/>
      <c r="AW113" s="459"/>
      <c r="AX113" s="459"/>
      <c r="AY113" s="459"/>
      <c r="AZ113" s="459"/>
      <c r="BA113" s="459"/>
      <c r="BB113" s="459"/>
    </row>
    <row r="114" spans="1:54" s="461" customFormat="1" x14ac:dyDescent="0.2">
      <c r="A114" s="459"/>
      <c r="B114" s="459"/>
      <c r="C114" s="1122"/>
      <c r="D114" s="1122"/>
      <c r="E114" s="460"/>
      <c r="F114" s="460"/>
      <c r="G114" s="460"/>
      <c r="H114" s="460"/>
      <c r="I114" s="459"/>
      <c r="J114" s="460"/>
      <c r="K114" s="459"/>
      <c r="L114" s="459"/>
      <c r="M114" s="459"/>
      <c r="N114" s="459"/>
      <c r="O114" s="459"/>
      <c r="P114" s="459"/>
      <c r="Q114" s="459"/>
      <c r="R114" s="459"/>
      <c r="S114" s="459"/>
      <c r="T114" s="459"/>
      <c r="U114" s="459"/>
      <c r="V114" s="459"/>
      <c r="W114" s="459"/>
      <c r="X114" s="459"/>
      <c r="Y114" s="459"/>
      <c r="Z114" s="459"/>
      <c r="AA114" s="459"/>
      <c r="AB114" s="459"/>
      <c r="AC114" s="459"/>
      <c r="AD114" s="459"/>
      <c r="AE114" s="459"/>
      <c r="AF114" s="459"/>
      <c r="AG114" s="459"/>
      <c r="AH114" s="459"/>
      <c r="AI114" s="459"/>
      <c r="AJ114" s="459"/>
      <c r="AK114" s="459"/>
      <c r="AL114" s="459"/>
      <c r="AM114" s="459"/>
      <c r="AN114" s="459"/>
      <c r="AO114" s="459"/>
      <c r="AP114" s="459"/>
      <c r="AQ114" s="459"/>
      <c r="AR114" s="459"/>
      <c r="AS114" s="459"/>
      <c r="AT114" s="459"/>
      <c r="AU114" s="459"/>
      <c r="AV114" s="459"/>
      <c r="AW114" s="459"/>
      <c r="AX114" s="459"/>
      <c r="AY114" s="459"/>
      <c r="AZ114" s="459"/>
      <c r="BA114" s="459"/>
      <c r="BB114" s="459"/>
    </row>
    <row r="115" spans="1:54" s="461" customFormat="1" x14ac:dyDescent="0.2">
      <c r="A115" s="459"/>
      <c r="B115" s="459"/>
      <c r="C115" s="1122"/>
      <c r="D115" s="1122"/>
      <c r="E115" s="460"/>
      <c r="F115" s="460"/>
      <c r="G115" s="460"/>
      <c r="H115" s="460"/>
      <c r="I115" s="459"/>
      <c r="J115" s="460"/>
      <c r="K115" s="459"/>
      <c r="L115" s="459"/>
      <c r="M115" s="459"/>
      <c r="N115" s="459"/>
      <c r="O115" s="459"/>
      <c r="P115" s="459"/>
      <c r="Q115" s="459"/>
      <c r="R115" s="459"/>
      <c r="S115" s="459"/>
      <c r="T115" s="459"/>
      <c r="U115" s="459"/>
      <c r="V115" s="459"/>
      <c r="W115" s="459"/>
      <c r="X115" s="459"/>
      <c r="Y115" s="459"/>
      <c r="Z115" s="459"/>
      <c r="AA115" s="459"/>
      <c r="AB115" s="459"/>
      <c r="AC115" s="459"/>
      <c r="AD115" s="459"/>
      <c r="AE115" s="459"/>
      <c r="AF115" s="459"/>
      <c r="AG115" s="459"/>
      <c r="AH115" s="459"/>
      <c r="AI115" s="459"/>
      <c r="AJ115" s="459"/>
      <c r="AK115" s="459"/>
      <c r="AL115" s="459"/>
      <c r="AM115" s="459"/>
      <c r="AN115" s="459"/>
      <c r="AO115" s="459"/>
      <c r="AP115" s="459"/>
      <c r="AQ115" s="459"/>
      <c r="AR115" s="459"/>
      <c r="AS115" s="459"/>
      <c r="AT115" s="459"/>
      <c r="AU115" s="459"/>
      <c r="AV115" s="459"/>
      <c r="AW115" s="459"/>
      <c r="AX115" s="459"/>
      <c r="AY115" s="459"/>
      <c r="AZ115" s="459"/>
      <c r="BA115" s="459"/>
      <c r="BB115" s="459"/>
    </row>
    <row r="116" spans="1:54" s="461" customFormat="1" x14ac:dyDescent="0.2">
      <c r="A116" s="459"/>
      <c r="B116" s="459"/>
      <c r="C116" s="1122"/>
      <c r="D116" s="1122"/>
      <c r="E116" s="460"/>
      <c r="F116" s="460"/>
      <c r="G116" s="460"/>
      <c r="H116" s="460"/>
      <c r="I116" s="459"/>
      <c r="J116" s="460"/>
      <c r="K116" s="459"/>
      <c r="L116" s="459"/>
      <c r="M116" s="459"/>
      <c r="N116" s="459"/>
      <c r="O116" s="459"/>
      <c r="P116" s="459"/>
      <c r="Q116" s="459"/>
      <c r="R116" s="459"/>
      <c r="S116" s="459"/>
      <c r="T116" s="459"/>
      <c r="U116" s="459"/>
      <c r="V116" s="459"/>
      <c r="W116" s="459"/>
      <c r="X116" s="459"/>
      <c r="Y116" s="459"/>
      <c r="Z116" s="459"/>
      <c r="AA116" s="459"/>
      <c r="AB116" s="459"/>
      <c r="AC116" s="459"/>
      <c r="AD116" s="459"/>
      <c r="AE116" s="459"/>
      <c r="AF116" s="459"/>
      <c r="AG116" s="459"/>
      <c r="AH116" s="459"/>
      <c r="AI116" s="459"/>
      <c r="AJ116" s="459"/>
      <c r="AK116" s="459"/>
      <c r="AL116" s="459"/>
      <c r="AM116" s="459"/>
      <c r="AN116" s="459"/>
      <c r="AO116" s="459"/>
      <c r="AP116" s="459"/>
      <c r="AQ116" s="459"/>
      <c r="AR116" s="459"/>
      <c r="AS116" s="459"/>
      <c r="AT116" s="459"/>
      <c r="AU116" s="459"/>
      <c r="AV116" s="459"/>
      <c r="AW116" s="459"/>
      <c r="AX116" s="459"/>
      <c r="AY116" s="459"/>
      <c r="AZ116" s="459"/>
      <c r="BA116" s="459"/>
      <c r="BB116" s="459"/>
    </row>
    <row r="117" spans="1:54" s="461" customFormat="1" x14ac:dyDescent="0.2">
      <c r="A117" s="459"/>
      <c r="B117" s="459"/>
      <c r="C117" s="1122"/>
      <c r="D117" s="1122"/>
      <c r="E117" s="460"/>
      <c r="F117" s="460"/>
      <c r="G117" s="460"/>
      <c r="H117" s="460"/>
      <c r="I117" s="459"/>
      <c r="J117" s="460"/>
      <c r="K117" s="459"/>
      <c r="L117" s="459"/>
      <c r="M117" s="459"/>
      <c r="N117" s="459"/>
      <c r="O117" s="459"/>
      <c r="P117" s="459"/>
      <c r="Q117" s="459"/>
      <c r="R117" s="459"/>
      <c r="S117" s="459"/>
      <c r="T117" s="459"/>
      <c r="U117" s="459"/>
      <c r="V117" s="459"/>
      <c r="W117" s="459"/>
      <c r="X117" s="459"/>
      <c r="Y117" s="459"/>
      <c r="Z117" s="459"/>
      <c r="AA117" s="459"/>
      <c r="AB117" s="459"/>
      <c r="AC117" s="459"/>
      <c r="AD117" s="459"/>
      <c r="AE117" s="459"/>
      <c r="AF117" s="459"/>
      <c r="AG117" s="459"/>
      <c r="AH117" s="459"/>
      <c r="AI117" s="459"/>
      <c r="AJ117" s="459"/>
      <c r="AK117" s="459"/>
      <c r="AL117" s="459"/>
      <c r="AM117" s="459"/>
      <c r="AN117" s="459"/>
      <c r="AO117" s="459"/>
      <c r="AP117" s="459"/>
      <c r="AQ117" s="459"/>
      <c r="AR117" s="459"/>
      <c r="AS117" s="459"/>
      <c r="AT117" s="459"/>
      <c r="AU117" s="459"/>
      <c r="AV117" s="459"/>
      <c r="AW117" s="459"/>
      <c r="AX117" s="459"/>
      <c r="AY117" s="459"/>
      <c r="AZ117" s="459"/>
      <c r="BA117" s="459"/>
      <c r="BB117" s="459"/>
    </row>
    <row r="118" spans="1:54" s="461" customFormat="1" x14ac:dyDescent="0.2">
      <c r="A118" s="459"/>
      <c r="B118" s="459"/>
      <c r="C118" s="1122"/>
      <c r="D118" s="1122"/>
      <c r="E118" s="460"/>
      <c r="F118" s="460"/>
      <c r="G118" s="460"/>
      <c r="H118" s="460"/>
      <c r="I118" s="459"/>
      <c r="J118" s="460"/>
      <c r="K118" s="459"/>
      <c r="L118" s="459"/>
      <c r="M118" s="459"/>
      <c r="N118" s="459"/>
      <c r="O118" s="459"/>
      <c r="P118" s="459"/>
      <c r="Q118" s="459"/>
      <c r="R118" s="459"/>
      <c r="S118" s="459"/>
      <c r="T118" s="459"/>
      <c r="U118" s="459"/>
      <c r="V118" s="459"/>
      <c r="W118" s="459"/>
      <c r="X118" s="459"/>
      <c r="Y118" s="459"/>
      <c r="Z118" s="459"/>
      <c r="AA118" s="459"/>
      <c r="AB118" s="459"/>
      <c r="AC118" s="459"/>
      <c r="AD118" s="459"/>
      <c r="AE118" s="459"/>
      <c r="AF118" s="459"/>
      <c r="AG118" s="459"/>
      <c r="AH118" s="459"/>
      <c r="AI118" s="459"/>
      <c r="AJ118" s="459"/>
      <c r="AK118" s="459"/>
      <c r="AL118" s="459"/>
      <c r="AM118" s="459"/>
      <c r="AN118" s="459"/>
      <c r="AO118" s="459"/>
      <c r="AP118" s="459"/>
      <c r="AQ118" s="459"/>
      <c r="AR118" s="459"/>
      <c r="AS118" s="459"/>
      <c r="AT118" s="459"/>
      <c r="AU118" s="459"/>
      <c r="AV118" s="459"/>
      <c r="AW118" s="459"/>
      <c r="AX118" s="459"/>
      <c r="AY118" s="459"/>
      <c r="AZ118" s="459"/>
      <c r="BA118" s="459"/>
      <c r="BB118" s="459"/>
    </row>
    <row r="119" spans="1:54" s="461" customFormat="1" x14ac:dyDescent="0.2">
      <c r="A119" s="459"/>
      <c r="B119" s="459"/>
      <c r="C119" s="1122"/>
      <c r="D119" s="1122"/>
      <c r="E119" s="460"/>
      <c r="F119" s="460"/>
      <c r="G119" s="460"/>
      <c r="H119" s="460"/>
      <c r="I119" s="459"/>
      <c r="J119" s="460"/>
      <c r="K119" s="459"/>
      <c r="L119" s="459"/>
      <c r="M119" s="459"/>
      <c r="N119" s="459"/>
      <c r="O119" s="459"/>
      <c r="P119" s="459"/>
      <c r="Q119" s="459"/>
      <c r="R119" s="459"/>
      <c r="S119" s="459"/>
      <c r="T119" s="459"/>
      <c r="U119" s="459"/>
      <c r="V119" s="459"/>
      <c r="W119" s="459"/>
      <c r="X119" s="459"/>
      <c r="Y119" s="459"/>
      <c r="Z119" s="459"/>
      <c r="AA119" s="459"/>
      <c r="AB119" s="459"/>
      <c r="AC119" s="459"/>
      <c r="AD119" s="459"/>
      <c r="AE119" s="459"/>
      <c r="AF119" s="459"/>
      <c r="AG119" s="459"/>
      <c r="AH119" s="459"/>
      <c r="AI119" s="459"/>
      <c r="AJ119" s="459"/>
      <c r="AK119" s="459"/>
      <c r="AL119" s="459"/>
      <c r="AM119" s="459"/>
      <c r="AN119" s="459"/>
      <c r="AO119" s="459"/>
      <c r="AP119" s="459"/>
      <c r="AQ119" s="459"/>
      <c r="AR119" s="459"/>
      <c r="AS119" s="459"/>
      <c r="AT119" s="459"/>
      <c r="AU119" s="459"/>
      <c r="AV119" s="459"/>
      <c r="AW119" s="459"/>
      <c r="AX119" s="459"/>
      <c r="AY119" s="459"/>
      <c r="AZ119" s="459"/>
      <c r="BA119" s="459"/>
      <c r="BB119" s="459"/>
    </row>
    <row r="120" spans="1:54" s="461" customFormat="1" x14ac:dyDescent="0.2">
      <c r="A120" s="459"/>
      <c r="B120" s="459"/>
      <c r="C120" s="1122"/>
      <c r="D120" s="1122"/>
      <c r="E120" s="460"/>
      <c r="F120" s="460"/>
      <c r="G120" s="460"/>
      <c r="H120" s="460"/>
      <c r="I120" s="459"/>
      <c r="J120" s="460"/>
      <c r="K120" s="459"/>
      <c r="L120" s="459"/>
      <c r="M120" s="459"/>
      <c r="N120" s="459"/>
      <c r="O120" s="459"/>
      <c r="P120" s="459"/>
      <c r="Q120" s="459"/>
      <c r="R120" s="459"/>
      <c r="S120" s="459"/>
      <c r="T120" s="459"/>
      <c r="U120" s="459"/>
      <c r="V120" s="459"/>
      <c r="W120" s="459"/>
      <c r="X120" s="459"/>
      <c r="Y120" s="459"/>
      <c r="Z120" s="459"/>
      <c r="AA120" s="459"/>
      <c r="AB120" s="459"/>
      <c r="AC120" s="459"/>
      <c r="AD120" s="459"/>
      <c r="AE120" s="459"/>
      <c r="AF120" s="459"/>
      <c r="AG120" s="459"/>
      <c r="AH120" s="459"/>
      <c r="AI120" s="459"/>
      <c r="AJ120" s="459"/>
      <c r="AK120" s="459"/>
      <c r="AL120" s="459"/>
      <c r="AM120" s="459"/>
      <c r="AN120" s="459"/>
      <c r="AO120" s="459"/>
      <c r="AP120" s="459"/>
      <c r="AQ120" s="459"/>
      <c r="AR120" s="459"/>
      <c r="AS120" s="459"/>
      <c r="AT120" s="459"/>
      <c r="AU120" s="459"/>
      <c r="AV120" s="459"/>
      <c r="AW120" s="459"/>
      <c r="AX120" s="459"/>
      <c r="AY120" s="459"/>
      <c r="AZ120" s="459"/>
      <c r="BA120" s="459"/>
      <c r="BB120" s="459"/>
    </row>
    <row r="121" spans="1:54" s="461" customFormat="1" x14ac:dyDescent="0.2">
      <c r="A121" s="459"/>
      <c r="B121" s="459"/>
      <c r="C121" s="1122"/>
      <c r="D121" s="1122"/>
      <c r="E121" s="460"/>
      <c r="F121" s="460"/>
      <c r="G121" s="460"/>
      <c r="H121" s="460"/>
      <c r="I121" s="459"/>
      <c r="J121" s="460"/>
      <c r="K121" s="459"/>
      <c r="L121" s="459"/>
      <c r="M121" s="459"/>
      <c r="N121" s="459"/>
      <c r="O121" s="459"/>
      <c r="P121" s="459"/>
      <c r="Q121" s="459"/>
      <c r="R121" s="459"/>
      <c r="S121" s="459"/>
      <c r="T121" s="459"/>
      <c r="U121" s="459"/>
      <c r="V121" s="459"/>
      <c r="W121" s="459"/>
      <c r="X121" s="459"/>
      <c r="Y121" s="459"/>
      <c r="Z121" s="459"/>
      <c r="AA121" s="459"/>
      <c r="AB121" s="459"/>
      <c r="AC121" s="459"/>
      <c r="AD121" s="459"/>
      <c r="AE121" s="459"/>
      <c r="AF121" s="459"/>
      <c r="AG121" s="459"/>
      <c r="AH121" s="459"/>
      <c r="AI121" s="459"/>
      <c r="AJ121" s="459"/>
      <c r="AK121" s="459"/>
      <c r="AL121" s="459"/>
      <c r="AM121" s="459"/>
      <c r="AN121" s="459"/>
      <c r="AO121" s="459"/>
      <c r="AP121" s="459"/>
      <c r="AQ121" s="459"/>
      <c r="AR121" s="459"/>
      <c r="AS121" s="459"/>
      <c r="AT121" s="459"/>
      <c r="AU121" s="459"/>
      <c r="AV121" s="459"/>
      <c r="AW121" s="459"/>
      <c r="AX121" s="459"/>
      <c r="AY121" s="459"/>
      <c r="AZ121" s="459"/>
      <c r="BA121" s="459"/>
      <c r="BB121" s="459"/>
    </row>
    <row r="122" spans="1:54" s="461" customFormat="1" x14ac:dyDescent="0.2">
      <c r="A122" s="459"/>
      <c r="B122" s="459"/>
      <c r="C122" s="1122"/>
      <c r="D122" s="1122"/>
      <c r="E122" s="460"/>
      <c r="F122" s="460"/>
      <c r="G122" s="460"/>
      <c r="H122" s="460"/>
      <c r="I122" s="459"/>
      <c r="J122" s="460"/>
      <c r="K122" s="459"/>
      <c r="L122" s="459"/>
      <c r="M122" s="459"/>
      <c r="N122" s="459"/>
      <c r="O122" s="459"/>
      <c r="P122" s="459"/>
      <c r="Q122" s="459"/>
      <c r="R122" s="459"/>
      <c r="S122" s="459"/>
      <c r="T122" s="459"/>
      <c r="U122" s="459"/>
      <c r="V122" s="459"/>
      <c r="W122" s="459"/>
      <c r="X122" s="459"/>
      <c r="Y122" s="459"/>
      <c r="Z122" s="459"/>
      <c r="AA122" s="459"/>
      <c r="AB122" s="459"/>
      <c r="AC122" s="459"/>
      <c r="AD122" s="459"/>
      <c r="AE122" s="459"/>
      <c r="AF122" s="459"/>
      <c r="AG122" s="459"/>
      <c r="AH122" s="459"/>
      <c r="AI122" s="459"/>
      <c r="AJ122" s="459"/>
      <c r="AK122" s="459"/>
      <c r="AL122" s="459"/>
      <c r="AM122" s="459"/>
      <c r="AN122" s="459"/>
      <c r="AO122" s="459"/>
      <c r="AP122" s="459"/>
      <c r="AQ122" s="459"/>
      <c r="AR122" s="459"/>
      <c r="AS122" s="459"/>
      <c r="AT122" s="459"/>
      <c r="AU122" s="459"/>
      <c r="AV122" s="459"/>
      <c r="AW122" s="459"/>
      <c r="AX122" s="459"/>
      <c r="AY122" s="459"/>
      <c r="AZ122" s="459"/>
      <c r="BA122" s="459"/>
      <c r="BB122" s="459"/>
    </row>
    <row r="123" spans="1:54" s="461" customFormat="1" x14ac:dyDescent="0.2">
      <c r="A123" s="459"/>
      <c r="B123" s="459"/>
      <c r="C123" s="1122"/>
      <c r="D123" s="1122"/>
      <c r="E123" s="460"/>
      <c r="F123" s="460"/>
      <c r="G123" s="460"/>
      <c r="H123" s="460"/>
      <c r="I123" s="459"/>
      <c r="J123" s="460"/>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F123" s="459"/>
      <c r="AG123" s="459"/>
      <c r="AH123" s="459"/>
      <c r="AI123" s="459"/>
      <c r="AJ123" s="459"/>
      <c r="AK123" s="459"/>
      <c r="AL123" s="459"/>
      <c r="AM123" s="459"/>
      <c r="AN123" s="459"/>
      <c r="AO123" s="459"/>
      <c r="AP123" s="459"/>
      <c r="AQ123" s="459"/>
      <c r="AR123" s="459"/>
      <c r="AS123" s="459"/>
      <c r="AT123" s="459"/>
      <c r="AU123" s="459"/>
      <c r="AV123" s="459"/>
      <c r="AW123" s="459"/>
      <c r="AX123" s="459"/>
      <c r="AY123" s="459"/>
      <c r="AZ123" s="459"/>
      <c r="BA123" s="459"/>
      <c r="BB123" s="459"/>
    </row>
    <row r="124" spans="1:54" s="461" customFormat="1" x14ac:dyDescent="0.2">
      <c r="A124" s="459"/>
      <c r="B124" s="459"/>
      <c r="C124" s="1122"/>
      <c r="D124" s="1122"/>
      <c r="E124" s="460"/>
      <c r="F124" s="460"/>
      <c r="G124" s="460"/>
      <c r="H124" s="460"/>
      <c r="I124" s="459"/>
      <c r="J124" s="460"/>
      <c r="K124" s="459"/>
      <c r="L124" s="459"/>
      <c r="M124" s="459"/>
      <c r="N124" s="459"/>
      <c r="O124" s="459"/>
      <c r="P124" s="459"/>
      <c r="Q124" s="459"/>
      <c r="R124" s="459"/>
      <c r="S124" s="459"/>
      <c r="T124" s="459"/>
      <c r="U124" s="459"/>
      <c r="V124" s="459"/>
      <c r="W124" s="459"/>
      <c r="X124" s="459"/>
      <c r="Y124" s="459"/>
      <c r="Z124" s="459"/>
      <c r="AA124" s="459"/>
      <c r="AB124" s="459"/>
      <c r="AC124" s="459"/>
      <c r="AD124" s="459"/>
      <c r="AE124" s="459"/>
      <c r="AF124" s="459"/>
      <c r="AG124" s="459"/>
      <c r="AH124" s="459"/>
      <c r="AI124" s="459"/>
      <c r="AJ124" s="459"/>
      <c r="AK124" s="459"/>
      <c r="AL124" s="459"/>
      <c r="AM124" s="459"/>
      <c r="AN124" s="459"/>
      <c r="AO124" s="459"/>
      <c r="AP124" s="459"/>
      <c r="AQ124" s="459"/>
      <c r="AR124" s="459"/>
      <c r="AS124" s="459"/>
      <c r="AT124" s="459"/>
      <c r="AU124" s="459"/>
      <c r="AV124" s="459"/>
      <c r="AW124" s="459"/>
      <c r="AX124" s="459"/>
      <c r="AY124" s="459"/>
      <c r="AZ124" s="459"/>
      <c r="BA124" s="459"/>
      <c r="BB124" s="459"/>
    </row>
    <row r="125" spans="1:54" s="461" customFormat="1" x14ac:dyDescent="0.2">
      <c r="A125" s="459"/>
      <c r="B125" s="459"/>
      <c r="C125" s="1122"/>
      <c r="D125" s="1122"/>
      <c r="E125" s="460"/>
      <c r="F125" s="460"/>
      <c r="G125" s="460"/>
      <c r="H125" s="460"/>
      <c r="I125" s="459"/>
      <c r="J125" s="460"/>
      <c r="K125" s="459"/>
      <c r="L125" s="459"/>
      <c r="M125" s="459"/>
      <c r="N125" s="459"/>
      <c r="O125" s="459"/>
      <c r="P125" s="459"/>
      <c r="Q125" s="459"/>
      <c r="R125" s="459"/>
      <c r="S125" s="459"/>
      <c r="T125" s="459"/>
      <c r="U125" s="459"/>
      <c r="V125" s="459"/>
      <c r="W125" s="459"/>
      <c r="X125" s="459"/>
      <c r="Y125" s="459"/>
      <c r="Z125" s="459"/>
      <c r="AA125" s="459"/>
      <c r="AB125" s="459"/>
      <c r="AC125" s="459"/>
      <c r="AD125" s="459"/>
      <c r="AE125" s="459"/>
      <c r="AF125" s="459"/>
      <c r="AG125" s="459"/>
      <c r="AH125" s="459"/>
      <c r="AI125" s="459"/>
      <c r="AJ125" s="459"/>
      <c r="AK125" s="459"/>
      <c r="AL125" s="459"/>
      <c r="AM125" s="459"/>
      <c r="AN125" s="459"/>
      <c r="AO125" s="459"/>
      <c r="AP125" s="459"/>
      <c r="AQ125" s="459"/>
      <c r="AR125" s="459"/>
      <c r="AS125" s="459"/>
      <c r="AT125" s="459"/>
      <c r="AU125" s="459"/>
      <c r="AV125" s="459"/>
      <c r="AW125" s="459"/>
      <c r="AX125" s="459"/>
      <c r="AY125" s="459"/>
      <c r="AZ125" s="459"/>
      <c r="BA125" s="459"/>
      <c r="BB125" s="459"/>
    </row>
    <row r="126" spans="1:54" s="461" customFormat="1" x14ac:dyDescent="0.2">
      <c r="A126" s="459"/>
      <c r="B126" s="459"/>
      <c r="C126" s="1122"/>
      <c r="D126" s="1122"/>
      <c r="E126" s="460"/>
      <c r="F126" s="460"/>
      <c r="G126" s="460"/>
      <c r="H126" s="460"/>
      <c r="I126" s="459"/>
      <c r="J126" s="460"/>
      <c r="K126" s="459"/>
      <c r="L126" s="459"/>
      <c r="M126" s="459"/>
      <c r="N126" s="459"/>
      <c r="O126" s="459"/>
      <c r="P126" s="459"/>
      <c r="Q126" s="459"/>
      <c r="R126" s="459"/>
      <c r="S126" s="459"/>
      <c r="T126" s="459"/>
      <c r="U126" s="459"/>
      <c r="V126" s="459"/>
      <c r="W126" s="459"/>
      <c r="X126" s="459"/>
      <c r="Y126" s="459"/>
      <c r="Z126" s="459"/>
      <c r="AA126" s="459"/>
      <c r="AB126" s="459"/>
      <c r="AC126" s="459"/>
      <c r="AD126" s="459"/>
      <c r="AE126" s="459"/>
      <c r="AF126" s="459"/>
      <c r="AG126" s="459"/>
      <c r="AH126" s="459"/>
      <c r="AI126" s="459"/>
      <c r="AJ126" s="459"/>
      <c r="AK126" s="459"/>
      <c r="AL126" s="459"/>
      <c r="AM126" s="459"/>
      <c r="AN126" s="459"/>
      <c r="AO126" s="459"/>
      <c r="AP126" s="459"/>
      <c r="AQ126" s="459"/>
      <c r="AR126" s="459"/>
      <c r="AS126" s="459"/>
      <c r="AT126" s="459"/>
      <c r="AU126" s="459"/>
      <c r="AV126" s="459"/>
      <c r="AW126" s="459"/>
      <c r="AX126" s="459"/>
      <c r="AY126" s="459"/>
      <c r="AZ126" s="459"/>
      <c r="BA126" s="459"/>
      <c r="BB126" s="459"/>
    </row>
    <row r="127" spans="1:54" s="461" customFormat="1" x14ac:dyDescent="0.2">
      <c r="A127" s="459"/>
      <c r="B127" s="459"/>
      <c r="C127" s="1122"/>
      <c r="D127" s="1122"/>
      <c r="E127" s="460"/>
      <c r="F127" s="460"/>
      <c r="G127" s="460"/>
      <c r="H127" s="460"/>
      <c r="I127" s="459"/>
      <c r="J127" s="460"/>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c r="AO127" s="459"/>
      <c r="AP127" s="459"/>
      <c r="AQ127" s="459"/>
      <c r="AR127" s="459"/>
      <c r="AS127" s="459"/>
      <c r="AT127" s="459"/>
      <c r="AU127" s="459"/>
      <c r="AV127" s="459"/>
      <c r="AW127" s="459"/>
      <c r="AX127" s="459"/>
      <c r="AY127" s="459"/>
      <c r="AZ127" s="459"/>
      <c r="BA127" s="459"/>
      <c r="BB127" s="459"/>
    </row>
    <row r="128" spans="1:54" s="461" customFormat="1" x14ac:dyDescent="0.2">
      <c r="A128" s="459"/>
      <c r="B128" s="459"/>
      <c r="C128" s="1122"/>
      <c r="D128" s="1122"/>
      <c r="E128" s="460"/>
      <c r="F128" s="460"/>
      <c r="G128" s="460"/>
      <c r="H128" s="460"/>
      <c r="I128" s="459"/>
      <c r="J128" s="460"/>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c r="AO128" s="459"/>
      <c r="AP128" s="459"/>
      <c r="AQ128" s="459"/>
      <c r="AR128" s="459"/>
      <c r="AS128" s="459"/>
      <c r="AT128" s="459"/>
      <c r="AU128" s="459"/>
      <c r="AV128" s="459"/>
      <c r="AW128" s="459"/>
      <c r="AX128" s="459"/>
      <c r="AY128" s="459"/>
      <c r="AZ128" s="459"/>
      <c r="BA128" s="459"/>
      <c r="BB128" s="459"/>
    </row>
    <row r="129" spans="1:98" s="461" customFormat="1" x14ac:dyDescent="0.2">
      <c r="A129" s="459"/>
      <c r="B129" s="459"/>
      <c r="C129" s="1122"/>
      <c r="D129" s="1122"/>
      <c r="E129" s="460"/>
      <c r="F129" s="460"/>
      <c r="G129" s="460"/>
      <c r="H129" s="460"/>
      <c r="I129" s="459"/>
      <c r="J129" s="460"/>
      <c r="K129" s="459"/>
      <c r="L129" s="459"/>
      <c r="M129" s="459"/>
      <c r="N129" s="459"/>
      <c r="O129" s="459"/>
      <c r="P129" s="459"/>
      <c r="Q129" s="459"/>
      <c r="R129" s="459"/>
      <c r="S129" s="459"/>
      <c r="T129" s="459"/>
      <c r="U129" s="459"/>
      <c r="V129" s="459"/>
      <c r="W129" s="459"/>
      <c r="X129" s="459"/>
      <c r="Y129" s="459"/>
      <c r="Z129" s="459"/>
      <c r="AA129" s="459"/>
      <c r="AB129" s="459"/>
      <c r="AC129" s="459"/>
      <c r="AD129" s="459"/>
      <c r="AE129" s="459"/>
      <c r="AF129" s="459"/>
      <c r="AG129" s="459"/>
      <c r="AH129" s="459"/>
      <c r="AI129" s="459"/>
      <c r="AJ129" s="459"/>
      <c r="AK129" s="459"/>
      <c r="AL129" s="459"/>
      <c r="AM129" s="459"/>
      <c r="AN129" s="459"/>
      <c r="AO129" s="459"/>
      <c r="AP129" s="459"/>
      <c r="AQ129" s="459"/>
      <c r="AR129" s="459"/>
      <c r="AS129" s="459"/>
      <c r="AT129" s="459"/>
      <c r="AU129" s="459"/>
      <c r="AV129" s="459"/>
      <c r="AW129" s="459"/>
      <c r="AX129" s="459"/>
      <c r="AY129" s="459"/>
      <c r="AZ129" s="459"/>
      <c r="BA129" s="459"/>
      <c r="BB129" s="459"/>
    </row>
    <row r="130" spans="1:98" s="461" customFormat="1" x14ac:dyDescent="0.2">
      <c r="A130" s="459"/>
      <c r="B130" s="459"/>
      <c r="C130" s="1122"/>
      <c r="D130" s="1122"/>
      <c r="E130" s="460"/>
      <c r="F130" s="460"/>
      <c r="G130" s="460"/>
      <c r="H130" s="460"/>
      <c r="I130" s="459"/>
      <c r="J130" s="460"/>
      <c r="K130" s="459"/>
      <c r="L130" s="459"/>
      <c r="M130" s="459"/>
      <c r="N130" s="459"/>
      <c r="O130" s="459"/>
      <c r="P130" s="459"/>
      <c r="Q130" s="459"/>
      <c r="R130" s="459"/>
      <c r="S130" s="459"/>
      <c r="T130" s="459"/>
      <c r="U130" s="459"/>
      <c r="V130" s="459"/>
      <c r="W130" s="459"/>
      <c r="X130" s="459"/>
      <c r="Y130" s="459"/>
      <c r="Z130" s="459"/>
      <c r="AA130" s="459"/>
      <c r="AB130" s="459"/>
      <c r="AC130" s="459"/>
      <c r="AD130" s="459"/>
      <c r="AE130" s="459"/>
      <c r="AF130" s="459"/>
      <c r="AG130" s="459"/>
      <c r="AH130" s="459"/>
      <c r="AI130" s="459"/>
      <c r="AJ130" s="459"/>
      <c r="AK130" s="459"/>
      <c r="AL130" s="459"/>
      <c r="AM130" s="459"/>
      <c r="AN130" s="459"/>
      <c r="AO130" s="459"/>
      <c r="AP130" s="459"/>
      <c r="AQ130" s="459"/>
      <c r="AR130" s="459"/>
      <c r="AS130" s="459"/>
      <c r="AT130" s="459"/>
      <c r="AU130" s="459"/>
      <c r="AV130" s="459"/>
      <c r="AW130" s="459"/>
      <c r="AX130" s="459"/>
      <c r="AY130" s="459"/>
      <c r="AZ130" s="459"/>
      <c r="BA130" s="459"/>
      <c r="BB130" s="459"/>
    </row>
    <row r="131" spans="1:98" s="614" customFormat="1" x14ac:dyDescent="0.2">
      <c r="A131" s="612"/>
      <c r="B131" s="612"/>
      <c r="C131" s="1123"/>
      <c r="D131" s="1123"/>
      <c r="E131" s="613"/>
      <c r="F131" s="613"/>
      <c r="G131" s="613"/>
      <c r="H131" s="613"/>
      <c r="I131" s="612"/>
      <c r="J131" s="613"/>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2"/>
      <c r="AK131" s="612"/>
      <c r="AL131" s="612"/>
      <c r="AM131" s="612"/>
      <c r="AN131" s="612"/>
      <c r="AO131" s="612"/>
      <c r="AP131" s="612"/>
      <c r="AQ131" s="612"/>
      <c r="AR131" s="612"/>
      <c r="AS131" s="612"/>
      <c r="AT131" s="612"/>
      <c r="AU131" s="612"/>
      <c r="AV131" s="612"/>
      <c r="AW131" s="612"/>
      <c r="AX131" s="612"/>
      <c r="AY131" s="612"/>
      <c r="AZ131" s="612"/>
      <c r="BA131" s="612"/>
      <c r="BB131" s="612"/>
    </row>
    <row r="132" spans="1:98" s="614" customFormat="1" x14ac:dyDescent="0.2">
      <c r="A132" s="612"/>
      <c r="B132" s="612"/>
      <c r="C132" s="1123"/>
      <c r="D132" s="1123"/>
      <c r="E132" s="613"/>
      <c r="F132" s="613"/>
      <c r="G132" s="613"/>
      <c r="H132" s="613"/>
      <c r="I132" s="612"/>
      <c r="J132" s="613"/>
      <c r="K132" s="612"/>
      <c r="L132" s="612"/>
      <c r="M132" s="612"/>
      <c r="N132" s="612"/>
      <c r="O132" s="612"/>
      <c r="P132" s="612"/>
      <c r="Q132" s="612"/>
      <c r="R132" s="612"/>
      <c r="S132" s="612"/>
      <c r="T132" s="612"/>
      <c r="U132" s="612"/>
      <c r="V132" s="612"/>
      <c r="W132" s="612"/>
      <c r="X132" s="612"/>
      <c r="Y132" s="612"/>
      <c r="Z132" s="612"/>
      <c r="AA132" s="612"/>
      <c r="AB132" s="612"/>
      <c r="AC132" s="612"/>
      <c r="AD132" s="612"/>
      <c r="AE132" s="612"/>
      <c r="AF132" s="612"/>
      <c r="AG132" s="612"/>
      <c r="AH132" s="612"/>
      <c r="AI132" s="612"/>
      <c r="AJ132" s="612"/>
      <c r="AK132" s="612"/>
      <c r="AL132" s="612"/>
      <c r="AM132" s="612"/>
      <c r="AN132" s="612"/>
      <c r="AO132" s="612"/>
      <c r="AP132" s="612"/>
      <c r="AQ132" s="612"/>
      <c r="AR132" s="612"/>
      <c r="AS132" s="612"/>
      <c r="AT132" s="612"/>
      <c r="AU132" s="612"/>
      <c r="AV132" s="612"/>
      <c r="AW132" s="612"/>
      <c r="AX132" s="612"/>
      <c r="AY132" s="612"/>
      <c r="AZ132" s="612"/>
      <c r="BA132" s="612"/>
      <c r="BB132" s="612"/>
    </row>
    <row r="133" spans="1:98" s="455" customFormat="1" x14ac:dyDescent="0.2">
      <c r="A133" s="270"/>
      <c r="B133" s="270" t="s">
        <v>1469</v>
      </c>
      <c r="C133" s="270" t="s">
        <v>1402</v>
      </c>
      <c r="D133" s="270">
        <f t="shared" ref="D133:AI133" si="9">IF(D24=$B$15,D27,D27*D30/100)</f>
        <v>0</v>
      </c>
      <c r="E133" s="270">
        <f t="shared" si="9"/>
        <v>0</v>
      </c>
      <c r="F133" s="270">
        <f t="shared" si="9"/>
        <v>0</v>
      </c>
      <c r="G133" s="270">
        <f t="shared" si="9"/>
        <v>0</v>
      </c>
      <c r="H133" s="270">
        <f t="shared" si="9"/>
        <v>0</v>
      </c>
      <c r="I133" s="270">
        <f t="shared" si="9"/>
        <v>0</v>
      </c>
      <c r="J133" s="270">
        <f t="shared" si="9"/>
        <v>0</v>
      </c>
      <c r="K133" s="270">
        <f t="shared" si="9"/>
        <v>0</v>
      </c>
      <c r="L133" s="270">
        <f t="shared" si="9"/>
        <v>0</v>
      </c>
      <c r="M133" s="270">
        <f t="shared" si="9"/>
        <v>0</v>
      </c>
      <c r="N133" s="270">
        <f t="shared" si="9"/>
        <v>0</v>
      </c>
      <c r="O133" s="270">
        <f t="shared" si="9"/>
        <v>0</v>
      </c>
      <c r="P133" s="270">
        <f t="shared" si="9"/>
        <v>0</v>
      </c>
      <c r="Q133" s="270">
        <f t="shared" si="9"/>
        <v>0</v>
      </c>
      <c r="R133" s="270">
        <f t="shared" si="9"/>
        <v>0</v>
      </c>
      <c r="S133" s="270">
        <f t="shared" si="9"/>
        <v>0</v>
      </c>
      <c r="T133" s="270">
        <f t="shared" si="9"/>
        <v>0</v>
      </c>
      <c r="U133" s="270">
        <f t="shared" si="9"/>
        <v>0</v>
      </c>
      <c r="V133" s="270">
        <f t="shared" si="9"/>
        <v>0</v>
      </c>
      <c r="W133" s="270">
        <f t="shared" si="9"/>
        <v>0</v>
      </c>
      <c r="X133" s="270">
        <f t="shared" si="9"/>
        <v>0</v>
      </c>
      <c r="Y133" s="270">
        <f t="shared" si="9"/>
        <v>0</v>
      </c>
      <c r="Z133" s="270">
        <f t="shared" si="9"/>
        <v>0</v>
      </c>
      <c r="AA133" s="270">
        <f t="shared" si="9"/>
        <v>0</v>
      </c>
      <c r="AB133" s="270">
        <f t="shared" si="9"/>
        <v>0</v>
      </c>
      <c r="AC133" s="270">
        <f t="shared" si="9"/>
        <v>0</v>
      </c>
      <c r="AD133" s="270">
        <f t="shared" si="9"/>
        <v>0</v>
      </c>
      <c r="AE133" s="270">
        <f t="shared" si="9"/>
        <v>0</v>
      </c>
      <c r="AF133" s="270">
        <f t="shared" si="9"/>
        <v>0</v>
      </c>
      <c r="AG133" s="270">
        <f t="shared" si="9"/>
        <v>0</v>
      </c>
      <c r="AH133" s="270">
        <f t="shared" si="9"/>
        <v>0</v>
      </c>
      <c r="AI133" s="270">
        <f t="shared" si="9"/>
        <v>0</v>
      </c>
      <c r="AJ133" s="270">
        <f t="shared" ref="AJ133:BA133" si="10">IF(AJ24=$B$15,AJ27,AJ27*AJ30/100)</f>
        <v>0</v>
      </c>
      <c r="AK133" s="270">
        <f t="shared" si="10"/>
        <v>0</v>
      </c>
      <c r="AL133" s="270">
        <f t="shared" si="10"/>
        <v>0</v>
      </c>
      <c r="AM133" s="270">
        <f t="shared" si="10"/>
        <v>0</v>
      </c>
      <c r="AN133" s="270">
        <f t="shared" si="10"/>
        <v>0</v>
      </c>
      <c r="AO133" s="270">
        <f t="shared" si="10"/>
        <v>0</v>
      </c>
      <c r="AP133" s="270">
        <f t="shared" si="10"/>
        <v>0</v>
      </c>
      <c r="AQ133" s="270">
        <f t="shared" si="10"/>
        <v>0</v>
      </c>
      <c r="AR133" s="270">
        <f t="shared" si="10"/>
        <v>0</v>
      </c>
      <c r="AS133" s="270">
        <f t="shared" si="10"/>
        <v>0</v>
      </c>
      <c r="AT133" s="270">
        <f t="shared" si="10"/>
        <v>0</v>
      </c>
      <c r="AU133" s="270">
        <f t="shared" si="10"/>
        <v>0</v>
      </c>
      <c r="AV133" s="270">
        <f t="shared" si="10"/>
        <v>0</v>
      </c>
      <c r="AW133" s="270">
        <f t="shared" si="10"/>
        <v>0</v>
      </c>
      <c r="AX133" s="270">
        <f t="shared" si="10"/>
        <v>0</v>
      </c>
      <c r="AY133" s="270">
        <f t="shared" si="10"/>
        <v>0</v>
      </c>
      <c r="AZ133" s="270">
        <f t="shared" si="10"/>
        <v>0</v>
      </c>
      <c r="BA133" s="270">
        <f t="shared" si="10"/>
        <v>0</v>
      </c>
      <c r="BB133" s="270"/>
      <c r="BC133" s="270"/>
      <c r="BD133" s="270"/>
      <c r="BE133" s="270"/>
      <c r="BF133" s="270"/>
      <c r="BG133" s="270"/>
      <c r="BH133" s="270"/>
      <c r="BI133" s="270"/>
      <c r="BJ133" s="270"/>
      <c r="BK133" s="270"/>
      <c r="BL133" s="270"/>
      <c r="BM133" s="270"/>
      <c r="BN133" s="270"/>
      <c r="BO133" s="270"/>
      <c r="BP133" s="270"/>
      <c r="BQ133" s="270"/>
      <c r="BR133" s="270"/>
      <c r="BS133" s="270"/>
      <c r="BT133" s="270"/>
      <c r="BU133" s="270"/>
      <c r="BV133" s="270"/>
      <c r="BW133" s="270"/>
      <c r="BX133" s="270"/>
      <c r="BY133" s="270"/>
      <c r="BZ133" s="270"/>
      <c r="CA133" s="270"/>
      <c r="CB133" s="270"/>
      <c r="CC133" s="270"/>
      <c r="CD133" s="270"/>
      <c r="CE133" s="270"/>
      <c r="CF133" s="270"/>
      <c r="CG133" s="270"/>
      <c r="CH133" s="270"/>
      <c r="CI133" s="270"/>
      <c r="CJ133" s="270"/>
      <c r="CK133" s="270"/>
      <c r="CL133" s="270"/>
      <c r="CM133" s="270"/>
      <c r="CN133" s="270"/>
      <c r="CO133" s="270"/>
      <c r="CP133" s="270"/>
      <c r="CQ133" s="270"/>
      <c r="CR133" s="270"/>
      <c r="CS133" s="270"/>
      <c r="CT133" s="270"/>
    </row>
    <row r="134" spans="1:98" s="455" customFormat="1" x14ac:dyDescent="0.2">
      <c r="A134" s="270"/>
      <c r="B134" s="270" t="s">
        <v>1429</v>
      </c>
      <c r="C134" s="270" t="s">
        <v>1430</v>
      </c>
      <c r="D134" s="615" t="str">
        <f>IF(D24=$B$15,"N.C. : il faut 1ha/animal",IF(D24=$B$12,(D27*(D30/100)+((D27*D31/100)-D148)*$H$12),IF(D24=$B$13,(D27*(D30/100)+((D27*D31/100)-D149)*$H$13),IF(D24=$B$14,(D27*(D30/100)+((D27*D31/100)-D150)*$H$14),IF(D24=$B$16,(D27*(D30/100)+((D27*D31/100)-D154)*$H$16),IF(D24=$B$17,(D27*(D30/100)+((D27*D31/100)-D151)*$H$17),IF(D24=$B$18,(D27*(D30/100)+((D27*D31/100)-D152)*$H$18),IF(D24=$B$19,(D27*(D30/100)+((D27*D31/100)-D153)*$H$19),""))))))))</f>
        <v/>
      </c>
      <c r="E134" s="615" t="str">
        <f t="shared" ref="E134:AJ134" si="11">IF(OR(E24=$B$15,E24=$B$16),"N.C. : il faut 1ha/animal",IF(E24=$B$12,(E27*(E30/100)+((E27*E31/100)-E148)*$H$12),IF(E24=$B$13,(E27*(E30/100)+((E27*E31/100)-E149)*$H$13),IF(E24=$B$14,(E27*(E30/100)+((E27*E31/100)-E150)*$H$14),IF(E24=$B$17,(E27*(E30/100)+((E27*E31/100)-E151)*$H$17),IF(E24=$B$18,(E27*(E30/100)+((E27*E31/100)-E152)*$H$18),IF(E24=$B$19,(E27*(E30/100)+((E27*E31/100)-E153)*$H$19),"")))))))</f>
        <v/>
      </c>
      <c r="F134" s="615" t="str">
        <f t="shared" si="11"/>
        <v/>
      </c>
      <c r="G134" s="615" t="str">
        <f t="shared" si="11"/>
        <v/>
      </c>
      <c r="H134" s="615" t="str">
        <f t="shared" si="11"/>
        <v/>
      </c>
      <c r="I134" s="615" t="str">
        <f t="shared" si="11"/>
        <v/>
      </c>
      <c r="J134" s="615" t="str">
        <f t="shared" si="11"/>
        <v/>
      </c>
      <c r="K134" s="615" t="str">
        <f t="shared" si="11"/>
        <v/>
      </c>
      <c r="L134" s="615" t="str">
        <f t="shared" si="11"/>
        <v/>
      </c>
      <c r="M134" s="615" t="str">
        <f t="shared" si="11"/>
        <v/>
      </c>
      <c r="N134" s="615" t="str">
        <f t="shared" si="11"/>
        <v/>
      </c>
      <c r="O134" s="615" t="str">
        <f t="shared" si="11"/>
        <v/>
      </c>
      <c r="P134" s="615" t="str">
        <f t="shared" si="11"/>
        <v/>
      </c>
      <c r="Q134" s="615" t="str">
        <f t="shared" si="11"/>
        <v/>
      </c>
      <c r="R134" s="615" t="str">
        <f t="shared" si="11"/>
        <v/>
      </c>
      <c r="S134" s="615" t="str">
        <f t="shared" si="11"/>
        <v/>
      </c>
      <c r="T134" s="615" t="str">
        <f t="shared" si="11"/>
        <v/>
      </c>
      <c r="U134" s="615" t="str">
        <f t="shared" si="11"/>
        <v/>
      </c>
      <c r="V134" s="615" t="str">
        <f t="shared" si="11"/>
        <v/>
      </c>
      <c r="W134" s="615" t="str">
        <f t="shared" si="11"/>
        <v/>
      </c>
      <c r="X134" s="615" t="str">
        <f t="shared" si="11"/>
        <v/>
      </c>
      <c r="Y134" s="615" t="str">
        <f t="shared" si="11"/>
        <v/>
      </c>
      <c r="Z134" s="615" t="str">
        <f t="shared" si="11"/>
        <v/>
      </c>
      <c r="AA134" s="615" t="str">
        <f t="shared" si="11"/>
        <v/>
      </c>
      <c r="AB134" s="615" t="str">
        <f t="shared" si="11"/>
        <v/>
      </c>
      <c r="AC134" s="615" t="str">
        <f t="shared" si="11"/>
        <v/>
      </c>
      <c r="AD134" s="615" t="str">
        <f t="shared" si="11"/>
        <v/>
      </c>
      <c r="AE134" s="615" t="str">
        <f t="shared" si="11"/>
        <v/>
      </c>
      <c r="AF134" s="615" t="str">
        <f t="shared" si="11"/>
        <v/>
      </c>
      <c r="AG134" s="615" t="str">
        <f t="shared" si="11"/>
        <v/>
      </c>
      <c r="AH134" s="615" t="str">
        <f t="shared" si="11"/>
        <v/>
      </c>
      <c r="AI134" s="615" t="str">
        <f t="shared" si="11"/>
        <v/>
      </c>
      <c r="AJ134" s="615" t="str">
        <f t="shared" si="11"/>
        <v/>
      </c>
      <c r="AK134" s="615" t="str">
        <f t="shared" ref="AK134:BA134" si="12">IF(OR(AK24=$B$15,AK24=$B$16),"N.C. : il faut 1ha/animal",IF(AK24=$B$12,(AK27*(AK30/100)+((AK27*AK31/100)-AK148)*$H$12),IF(AK24=$B$13,(AK27*(AK30/100)+((AK27*AK31/100)-AK149)*$H$13),IF(AK24=$B$14,(AK27*(AK30/100)+((AK27*AK31/100)-AK150)*$H$14),IF(AK24=$B$17,(AK27*(AK30/100)+((AK27*AK31/100)-AK151)*$H$17),IF(AK24=$B$18,(AK27*(AK30/100)+((AK27*AK31/100)-AK152)*$H$18),IF(AK24=$B$19,(AK27*(AK30/100)+((AK27*AK31/100)-AK153)*$H$19),"")))))))</f>
        <v/>
      </c>
      <c r="AL134" s="615" t="str">
        <f t="shared" si="12"/>
        <v/>
      </c>
      <c r="AM134" s="615" t="str">
        <f t="shared" si="12"/>
        <v/>
      </c>
      <c r="AN134" s="615" t="str">
        <f t="shared" si="12"/>
        <v/>
      </c>
      <c r="AO134" s="615" t="str">
        <f t="shared" si="12"/>
        <v/>
      </c>
      <c r="AP134" s="615" t="str">
        <f t="shared" si="12"/>
        <v/>
      </c>
      <c r="AQ134" s="615" t="str">
        <f t="shared" si="12"/>
        <v/>
      </c>
      <c r="AR134" s="615" t="str">
        <f t="shared" si="12"/>
        <v/>
      </c>
      <c r="AS134" s="615" t="str">
        <f t="shared" si="12"/>
        <v/>
      </c>
      <c r="AT134" s="615" t="str">
        <f t="shared" si="12"/>
        <v/>
      </c>
      <c r="AU134" s="615" t="str">
        <f t="shared" si="12"/>
        <v/>
      </c>
      <c r="AV134" s="615" t="str">
        <f t="shared" si="12"/>
        <v/>
      </c>
      <c r="AW134" s="615" t="str">
        <f t="shared" si="12"/>
        <v/>
      </c>
      <c r="AX134" s="615" t="str">
        <f t="shared" si="12"/>
        <v/>
      </c>
      <c r="AY134" s="615" t="str">
        <f t="shared" si="12"/>
        <v/>
      </c>
      <c r="AZ134" s="615" t="str">
        <f t="shared" si="12"/>
        <v/>
      </c>
      <c r="BA134" s="615" t="str">
        <f t="shared" si="12"/>
        <v/>
      </c>
      <c r="BB134" s="270"/>
      <c r="BC134" s="270"/>
      <c r="BD134" s="270"/>
      <c r="BE134" s="270"/>
      <c r="BF134" s="270"/>
      <c r="BG134" s="270"/>
      <c r="BH134" s="270"/>
      <c r="BI134" s="270"/>
      <c r="BJ134" s="270"/>
      <c r="BK134" s="270"/>
      <c r="BL134" s="270"/>
      <c r="BM134" s="270"/>
      <c r="BN134" s="270"/>
      <c r="BO134" s="270"/>
      <c r="BP134" s="270"/>
      <c r="BQ134" s="270"/>
      <c r="BR134" s="270"/>
      <c r="BS134" s="270"/>
      <c r="BT134" s="270"/>
      <c r="BU134" s="270"/>
      <c r="BV134" s="270"/>
      <c r="BW134" s="270"/>
      <c r="BX134" s="270"/>
      <c r="BY134" s="270"/>
      <c r="BZ134" s="270"/>
      <c r="CA134" s="270"/>
      <c r="CB134" s="270"/>
      <c r="CC134" s="270"/>
      <c r="CD134" s="270"/>
      <c r="CE134" s="270"/>
      <c r="CF134" s="270"/>
      <c r="CG134" s="270"/>
      <c r="CH134" s="270"/>
      <c r="CI134" s="270"/>
      <c r="CJ134" s="270"/>
      <c r="CK134" s="270"/>
      <c r="CL134" s="270"/>
      <c r="CM134" s="270"/>
      <c r="CN134" s="270"/>
      <c r="CO134" s="270"/>
      <c r="CP134" s="270"/>
      <c r="CQ134" s="270"/>
      <c r="CR134" s="270"/>
      <c r="CS134" s="270"/>
      <c r="CT134" s="270"/>
    </row>
    <row r="135" spans="1:98" s="270" customFormat="1" x14ac:dyDescent="0.2">
      <c r="C135" s="616" t="s">
        <v>1431</v>
      </c>
      <c r="D135" s="617" t="str">
        <f t="shared" ref="D135:AI135" si="13">IF(D134="","",IF(D134&gt;D27,100,D134*100/D27))</f>
        <v/>
      </c>
      <c r="E135" s="617" t="str">
        <f t="shared" si="13"/>
        <v/>
      </c>
      <c r="F135" s="617" t="str">
        <f t="shared" si="13"/>
        <v/>
      </c>
      <c r="G135" s="617" t="str">
        <f t="shared" si="13"/>
        <v/>
      </c>
      <c r="H135" s="617" t="str">
        <f t="shared" si="13"/>
        <v/>
      </c>
      <c r="I135" s="617" t="str">
        <f t="shared" si="13"/>
        <v/>
      </c>
      <c r="J135" s="617" t="str">
        <f t="shared" si="13"/>
        <v/>
      </c>
      <c r="K135" s="617" t="str">
        <f t="shared" si="13"/>
        <v/>
      </c>
      <c r="L135" s="617" t="str">
        <f t="shared" si="13"/>
        <v/>
      </c>
      <c r="M135" s="617" t="str">
        <f t="shared" si="13"/>
        <v/>
      </c>
      <c r="N135" s="617" t="str">
        <f t="shared" si="13"/>
        <v/>
      </c>
      <c r="O135" s="617" t="str">
        <f t="shared" si="13"/>
        <v/>
      </c>
      <c r="P135" s="617" t="str">
        <f t="shared" si="13"/>
        <v/>
      </c>
      <c r="Q135" s="617" t="str">
        <f t="shared" si="13"/>
        <v/>
      </c>
      <c r="R135" s="617" t="str">
        <f t="shared" si="13"/>
        <v/>
      </c>
      <c r="S135" s="617" t="str">
        <f t="shared" si="13"/>
        <v/>
      </c>
      <c r="T135" s="617" t="str">
        <f t="shared" si="13"/>
        <v/>
      </c>
      <c r="U135" s="617" t="str">
        <f t="shared" si="13"/>
        <v/>
      </c>
      <c r="V135" s="617" t="str">
        <f t="shared" si="13"/>
        <v/>
      </c>
      <c r="W135" s="617" t="str">
        <f t="shared" si="13"/>
        <v/>
      </c>
      <c r="X135" s="617" t="str">
        <f t="shared" si="13"/>
        <v/>
      </c>
      <c r="Y135" s="617" t="str">
        <f t="shared" si="13"/>
        <v/>
      </c>
      <c r="Z135" s="617" t="str">
        <f t="shared" si="13"/>
        <v/>
      </c>
      <c r="AA135" s="617" t="str">
        <f t="shared" si="13"/>
        <v/>
      </c>
      <c r="AB135" s="617" t="str">
        <f t="shared" si="13"/>
        <v/>
      </c>
      <c r="AC135" s="617" t="str">
        <f t="shared" si="13"/>
        <v/>
      </c>
      <c r="AD135" s="617" t="str">
        <f t="shared" si="13"/>
        <v/>
      </c>
      <c r="AE135" s="617" t="str">
        <f t="shared" si="13"/>
        <v/>
      </c>
      <c r="AF135" s="617" t="str">
        <f t="shared" si="13"/>
        <v/>
      </c>
      <c r="AG135" s="617" t="str">
        <f t="shared" si="13"/>
        <v/>
      </c>
      <c r="AH135" s="617" t="str">
        <f t="shared" si="13"/>
        <v/>
      </c>
      <c r="AI135" s="617" t="str">
        <f t="shared" si="13"/>
        <v/>
      </c>
      <c r="AJ135" s="617" t="str">
        <f t="shared" ref="AJ135:BA135" si="14">IF(AJ134="","",IF(AJ134&gt;AJ27,100,AJ134*100/AJ27))</f>
        <v/>
      </c>
      <c r="AK135" s="617" t="str">
        <f t="shared" si="14"/>
        <v/>
      </c>
      <c r="AL135" s="617" t="str">
        <f t="shared" si="14"/>
        <v/>
      </c>
      <c r="AM135" s="617" t="str">
        <f t="shared" si="14"/>
        <v/>
      </c>
      <c r="AN135" s="617" t="str">
        <f t="shared" si="14"/>
        <v/>
      </c>
      <c r="AO135" s="617" t="str">
        <f t="shared" si="14"/>
        <v/>
      </c>
      <c r="AP135" s="617" t="str">
        <f t="shared" si="14"/>
        <v/>
      </c>
      <c r="AQ135" s="617" t="str">
        <f t="shared" si="14"/>
        <v/>
      </c>
      <c r="AR135" s="617" t="str">
        <f t="shared" si="14"/>
        <v/>
      </c>
      <c r="AS135" s="617" t="str">
        <f t="shared" si="14"/>
        <v/>
      </c>
      <c r="AT135" s="617" t="str">
        <f t="shared" si="14"/>
        <v/>
      </c>
      <c r="AU135" s="617" t="str">
        <f t="shared" si="14"/>
        <v/>
      </c>
      <c r="AV135" s="617" t="str">
        <f t="shared" si="14"/>
        <v/>
      </c>
      <c r="AW135" s="617" t="str">
        <f t="shared" si="14"/>
        <v/>
      </c>
      <c r="AX135" s="617" t="str">
        <f t="shared" si="14"/>
        <v/>
      </c>
      <c r="AY135" s="617" t="str">
        <f t="shared" si="14"/>
        <v/>
      </c>
      <c r="AZ135" s="617" t="str">
        <f t="shared" si="14"/>
        <v/>
      </c>
      <c r="BA135" s="617" t="str">
        <f t="shared" si="14"/>
        <v/>
      </c>
    </row>
    <row r="136" spans="1:98" s="270" customFormat="1" x14ac:dyDescent="0.2">
      <c r="C136" s="616"/>
      <c r="D136" s="617"/>
      <c r="E136" s="617"/>
      <c r="F136" s="617"/>
      <c r="G136" s="617"/>
      <c r="H136" s="617"/>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7"/>
      <c r="AE136" s="617"/>
      <c r="AF136" s="617"/>
      <c r="AG136" s="617"/>
      <c r="AH136" s="617"/>
      <c r="AI136" s="617"/>
      <c r="AJ136" s="617"/>
      <c r="AK136" s="617"/>
      <c r="AL136" s="617"/>
      <c r="AM136" s="617"/>
      <c r="AN136" s="617"/>
      <c r="AO136" s="617"/>
      <c r="AP136" s="617"/>
      <c r="AQ136" s="617"/>
      <c r="AR136" s="617"/>
      <c r="AS136" s="617"/>
      <c r="AT136" s="617"/>
      <c r="AU136" s="617"/>
      <c r="AV136" s="617"/>
      <c r="AW136" s="617"/>
      <c r="AX136" s="617"/>
      <c r="AY136" s="617"/>
      <c r="AZ136" s="617"/>
      <c r="BA136" s="617"/>
    </row>
    <row r="137" spans="1:98" s="270" customFormat="1" x14ac:dyDescent="0.2">
      <c r="C137" s="617" t="s">
        <v>1470</v>
      </c>
      <c r="D137" s="617"/>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7"/>
      <c r="AD137" s="617"/>
      <c r="AE137" s="617"/>
      <c r="AF137" s="617"/>
      <c r="AG137" s="617"/>
      <c r="AH137" s="617"/>
      <c r="AI137" s="617"/>
      <c r="AJ137" s="617"/>
      <c r="AK137" s="617"/>
      <c r="AL137" s="617"/>
      <c r="AM137" s="617"/>
      <c r="AN137" s="617"/>
      <c r="AO137" s="617"/>
      <c r="AP137" s="617"/>
      <c r="AQ137" s="617"/>
      <c r="AR137" s="617"/>
      <c r="AS137" s="617"/>
      <c r="AT137" s="617"/>
      <c r="AU137" s="617"/>
      <c r="AV137" s="617"/>
      <c r="AW137" s="617"/>
      <c r="AX137" s="617"/>
      <c r="AY137" s="617"/>
      <c r="AZ137" s="617"/>
      <c r="BA137" s="617"/>
    </row>
    <row r="138" spans="1:98" s="270" customFormat="1" x14ac:dyDescent="0.2">
      <c r="C138" s="618" t="s">
        <v>1432</v>
      </c>
      <c r="D138" s="615">
        <f>IF(D24=$B$12,SUM(D44:D45)*200,IF(D24=$B$15,SUM(D44:D45)*100,IF(OR(D24=$B$13,D24=$B$14),SUM(D44:D45)*20,IF(D24=$B$16,SUM(D44:D45)*20,IF(D24=$B$17,SUM(D44:D45)*150,IF(D24=$B$18,SUM(D44:D45)*200,IF(D24=$B$19,SUM(D44:D45)*100,0)))))))</f>
        <v>0</v>
      </c>
      <c r="E138" s="615">
        <f t="shared" ref="E138:BA138" si="15">IF(E24=$B$12,SUM(E44:E45)*200,IF(E24=$B$15,SUM(E44:E45)*100,IF(OR(E24=$B$13,E24=$B$14),SUM(E44:E45)*20,IF(E24=$B$16,SUM(E44:E45)*20,IF(E24=$B$17,SUM(E44:E45)*150,IF(E24=$B$18,SUM(E44:E45)*200,IF(E24=$B$19,SUM(E44:E45)*100,0)))))))</f>
        <v>0</v>
      </c>
      <c r="F138" s="615">
        <f t="shared" si="15"/>
        <v>0</v>
      </c>
      <c r="G138" s="615">
        <f t="shared" si="15"/>
        <v>0</v>
      </c>
      <c r="H138" s="615">
        <f t="shared" si="15"/>
        <v>0</v>
      </c>
      <c r="I138" s="615">
        <f t="shared" si="15"/>
        <v>0</v>
      </c>
      <c r="J138" s="615">
        <f t="shared" si="15"/>
        <v>0</v>
      </c>
      <c r="K138" s="615">
        <f t="shared" si="15"/>
        <v>0</v>
      </c>
      <c r="L138" s="615">
        <f t="shared" si="15"/>
        <v>0</v>
      </c>
      <c r="M138" s="615">
        <f t="shared" si="15"/>
        <v>0</v>
      </c>
      <c r="N138" s="615">
        <f t="shared" si="15"/>
        <v>0</v>
      </c>
      <c r="O138" s="615">
        <f t="shared" si="15"/>
        <v>0</v>
      </c>
      <c r="P138" s="615">
        <f t="shared" si="15"/>
        <v>0</v>
      </c>
      <c r="Q138" s="615">
        <f t="shared" si="15"/>
        <v>0</v>
      </c>
      <c r="R138" s="615">
        <f t="shared" si="15"/>
        <v>0</v>
      </c>
      <c r="S138" s="615">
        <f t="shared" si="15"/>
        <v>0</v>
      </c>
      <c r="T138" s="615">
        <f t="shared" si="15"/>
        <v>0</v>
      </c>
      <c r="U138" s="615">
        <f t="shared" si="15"/>
        <v>0</v>
      </c>
      <c r="V138" s="615">
        <f t="shared" si="15"/>
        <v>0</v>
      </c>
      <c r="W138" s="615">
        <f t="shared" si="15"/>
        <v>0</v>
      </c>
      <c r="X138" s="615">
        <f t="shared" si="15"/>
        <v>0</v>
      </c>
      <c r="Y138" s="615">
        <f t="shared" si="15"/>
        <v>0</v>
      </c>
      <c r="Z138" s="615">
        <f t="shared" si="15"/>
        <v>0</v>
      </c>
      <c r="AA138" s="615">
        <f t="shared" si="15"/>
        <v>0</v>
      </c>
      <c r="AB138" s="615">
        <f t="shared" si="15"/>
        <v>0</v>
      </c>
      <c r="AC138" s="615">
        <f t="shared" si="15"/>
        <v>0</v>
      </c>
      <c r="AD138" s="615">
        <f t="shared" si="15"/>
        <v>0</v>
      </c>
      <c r="AE138" s="615">
        <f t="shared" si="15"/>
        <v>0</v>
      </c>
      <c r="AF138" s="615">
        <f t="shared" si="15"/>
        <v>0</v>
      </c>
      <c r="AG138" s="615">
        <f t="shared" si="15"/>
        <v>0</v>
      </c>
      <c r="AH138" s="615">
        <f t="shared" si="15"/>
        <v>0</v>
      </c>
      <c r="AI138" s="615">
        <f t="shared" si="15"/>
        <v>0</v>
      </c>
      <c r="AJ138" s="615">
        <f t="shared" si="15"/>
        <v>0</v>
      </c>
      <c r="AK138" s="615">
        <f t="shared" si="15"/>
        <v>0</v>
      </c>
      <c r="AL138" s="615">
        <f t="shared" si="15"/>
        <v>0</v>
      </c>
      <c r="AM138" s="615">
        <f t="shared" si="15"/>
        <v>0</v>
      </c>
      <c r="AN138" s="615">
        <f t="shared" si="15"/>
        <v>0</v>
      </c>
      <c r="AO138" s="615">
        <f t="shared" si="15"/>
        <v>0</v>
      </c>
      <c r="AP138" s="615">
        <f t="shared" si="15"/>
        <v>0</v>
      </c>
      <c r="AQ138" s="615">
        <f t="shared" si="15"/>
        <v>0</v>
      </c>
      <c r="AR138" s="615">
        <f t="shared" si="15"/>
        <v>0</v>
      </c>
      <c r="AS138" s="615">
        <f t="shared" si="15"/>
        <v>0</v>
      </c>
      <c r="AT138" s="615">
        <f t="shared" si="15"/>
        <v>0</v>
      </c>
      <c r="AU138" s="615">
        <f t="shared" si="15"/>
        <v>0</v>
      </c>
      <c r="AV138" s="615">
        <f t="shared" si="15"/>
        <v>0</v>
      </c>
      <c r="AW138" s="615">
        <f t="shared" si="15"/>
        <v>0</v>
      </c>
      <c r="AX138" s="615">
        <f t="shared" si="15"/>
        <v>0</v>
      </c>
      <c r="AY138" s="615">
        <f t="shared" si="15"/>
        <v>0</v>
      </c>
      <c r="AZ138" s="615">
        <f t="shared" si="15"/>
        <v>0</v>
      </c>
      <c r="BA138" s="615">
        <f t="shared" si="15"/>
        <v>0</v>
      </c>
    </row>
    <row r="139" spans="1:98" s="270" customFormat="1" x14ac:dyDescent="0.2">
      <c r="C139" s="618" t="s">
        <v>1433</v>
      </c>
      <c r="D139" s="615">
        <f>IF(D24=$B$12,SUM(D42:D43)*100,IF(D24=$B$15,SUM(D42:D43)*60,IF(OR(D24=$B$13,D24=$B$14),SUM(D42:D43)*20,IF(D24=$B$16,SUM(D42:D43)*18,IF(D24=$B$17,SUM(D42:D43)*100,IF(D24=$B$18,SUM(D42:D43)*150,IF(D24=$B$19,SUM(D42:D43)*75,0)))))))</f>
        <v>0</v>
      </c>
      <c r="E139" s="615">
        <f t="shared" ref="E139:BA139" si="16">IF(E24=$B$12,SUM(E42:E43)*100,IF(E24=$B$15,SUM(E42:E43)*60,IF(OR(E24=$B$13,E24=$B$14),SUM(E42:E43)*20,IF(E24=$B$16,SUM(E42:E43)*18,IF(E24=$B$17,SUM(E42:E43)*100,IF(E24=$B$18,SUM(E42:E43)*150,IF(E24=$B$19,SUM(E42:E43)*75,0)))))))</f>
        <v>0</v>
      </c>
      <c r="F139" s="615">
        <f t="shared" si="16"/>
        <v>0</v>
      </c>
      <c r="G139" s="615">
        <f t="shared" si="16"/>
        <v>0</v>
      </c>
      <c r="H139" s="615">
        <f t="shared" si="16"/>
        <v>0</v>
      </c>
      <c r="I139" s="615">
        <f t="shared" si="16"/>
        <v>0</v>
      </c>
      <c r="J139" s="615">
        <f t="shared" si="16"/>
        <v>0</v>
      </c>
      <c r="K139" s="615">
        <f t="shared" si="16"/>
        <v>0</v>
      </c>
      <c r="L139" s="615">
        <f t="shared" si="16"/>
        <v>0</v>
      </c>
      <c r="M139" s="615">
        <f t="shared" si="16"/>
        <v>0</v>
      </c>
      <c r="N139" s="615">
        <f t="shared" si="16"/>
        <v>0</v>
      </c>
      <c r="O139" s="615">
        <f t="shared" si="16"/>
        <v>0</v>
      </c>
      <c r="P139" s="615">
        <f t="shared" si="16"/>
        <v>0</v>
      </c>
      <c r="Q139" s="615">
        <f t="shared" si="16"/>
        <v>0</v>
      </c>
      <c r="R139" s="615">
        <f t="shared" si="16"/>
        <v>0</v>
      </c>
      <c r="S139" s="615">
        <f t="shared" si="16"/>
        <v>0</v>
      </c>
      <c r="T139" s="615">
        <f t="shared" si="16"/>
        <v>0</v>
      </c>
      <c r="U139" s="615">
        <f t="shared" si="16"/>
        <v>0</v>
      </c>
      <c r="V139" s="615">
        <f t="shared" si="16"/>
        <v>0</v>
      </c>
      <c r="W139" s="615">
        <f t="shared" si="16"/>
        <v>0</v>
      </c>
      <c r="X139" s="615">
        <f t="shared" si="16"/>
        <v>0</v>
      </c>
      <c r="Y139" s="615">
        <f t="shared" si="16"/>
        <v>0</v>
      </c>
      <c r="Z139" s="615">
        <f t="shared" si="16"/>
        <v>0</v>
      </c>
      <c r="AA139" s="615">
        <f t="shared" si="16"/>
        <v>0</v>
      </c>
      <c r="AB139" s="615">
        <f t="shared" si="16"/>
        <v>0</v>
      </c>
      <c r="AC139" s="615">
        <f t="shared" si="16"/>
        <v>0</v>
      </c>
      <c r="AD139" s="615">
        <f t="shared" si="16"/>
        <v>0</v>
      </c>
      <c r="AE139" s="615">
        <f t="shared" si="16"/>
        <v>0</v>
      </c>
      <c r="AF139" s="615">
        <f t="shared" si="16"/>
        <v>0</v>
      </c>
      <c r="AG139" s="615">
        <f t="shared" si="16"/>
        <v>0</v>
      </c>
      <c r="AH139" s="615">
        <f t="shared" si="16"/>
        <v>0</v>
      </c>
      <c r="AI139" s="615">
        <f t="shared" si="16"/>
        <v>0</v>
      </c>
      <c r="AJ139" s="615">
        <f t="shared" si="16"/>
        <v>0</v>
      </c>
      <c r="AK139" s="615">
        <f t="shared" si="16"/>
        <v>0</v>
      </c>
      <c r="AL139" s="615">
        <f t="shared" si="16"/>
        <v>0</v>
      </c>
      <c r="AM139" s="615">
        <f t="shared" si="16"/>
        <v>0</v>
      </c>
      <c r="AN139" s="615">
        <f t="shared" si="16"/>
        <v>0</v>
      </c>
      <c r="AO139" s="615">
        <f t="shared" si="16"/>
        <v>0</v>
      </c>
      <c r="AP139" s="615">
        <f t="shared" si="16"/>
        <v>0</v>
      </c>
      <c r="AQ139" s="615">
        <f t="shared" si="16"/>
        <v>0</v>
      </c>
      <c r="AR139" s="615">
        <f t="shared" si="16"/>
        <v>0</v>
      </c>
      <c r="AS139" s="615">
        <f t="shared" si="16"/>
        <v>0</v>
      </c>
      <c r="AT139" s="615">
        <f t="shared" si="16"/>
        <v>0</v>
      </c>
      <c r="AU139" s="615">
        <f t="shared" si="16"/>
        <v>0</v>
      </c>
      <c r="AV139" s="615">
        <f t="shared" si="16"/>
        <v>0</v>
      </c>
      <c r="AW139" s="615">
        <f t="shared" si="16"/>
        <v>0</v>
      </c>
      <c r="AX139" s="615">
        <f t="shared" si="16"/>
        <v>0</v>
      </c>
      <c r="AY139" s="615">
        <f t="shared" si="16"/>
        <v>0</v>
      </c>
      <c r="AZ139" s="615">
        <f t="shared" si="16"/>
        <v>0</v>
      </c>
      <c r="BA139" s="615">
        <f t="shared" si="16"/>
        <v>0</v>
      </c>
    </row>
    <row r="140" spans="1:98" s="270" customFormat="1" x14ac:dyDescent="0.2">
      <c r="C140" s="618" t="s">
        <v>1434</v>
      </c>
      <c r="D140" s="615">
        <f>IF(D24=$B$12,SUM(D40:D41)*80,IF(D24=$B$15,SUM(D40:D41)*48,IF(OR(D24=$B$13,D24=$B$13),SUM(D40:D41)*20,IF(D24=$B$16,SUM(D40:D41)*16,IF(D24=$B$17,SUM(D40:D41)*70,IF(D24=$B$18,SUM(D40:D41)*100,IF(D24=$B$19,SUM(D40:D41)*50,0)))))))</f>
        <v>0</v>
      </c>
      <c r="E140" s="615">
        <f t="shared" ref="E140:BA140" si="17">IF(E24=$B$12,SUM(E40:E41)*80,IF(E24=$B$15,SUM(E40:E41)*48,IF(OR(E24=$B$13,E24=$B$13),SUM(E40:E41)*20,IF(E24=$B$16,SUM(E40:E41)*16,IF(E24=$B$17,SUM(E40:E41)*70,IF(E24=$B$18,SUM(E40:E41)*100,IF(E24=$B$19,SUM(E40:E41)*50,0)))))))</f>
        <v>0</v>
      </c>
      <c r="F140" s="615">
        <f t="shared" si="17"/>
        <v>0</v>
      </c>
      <c r="G140" s="615">
        <f t="shared" si="17"/>
        <v>0</v>
      </c>
      <c r="H140" s="615">
        <f t="shared" si="17"/>
        <v>0</v>
      </c>
      <c r="I140" s="615">
        <f t="shared" si="17"/>
        <v>0</v>
      </c>
      <c r="J140" s="615">
        <f t="shared" si="17"/>
        <v>0</v>
      </c>
      <c r="K140" s="615">
        <f t="shared" si="17"/>
        <v>0</v>
      </c>
      <c r="L140" s="615">
        <f t="shared" si="17"/>
        <v>0</v>
      </c>
      <c r="M140" s="615">
        <f t="shared" si="17"/>
        <v>0</v>
      </c>
      <c r="N140" s="615">
        <f t="shared" si="17"/>
        <v>0</v>
      </c>
      <c r="O140" s="615">
        <f t="shared" si="17"/>
        <v>0</v>
      </c>
      <c r="P140" s="615">
        <f t="shared" si="17"/>
        <v>0</v>
      </c>
      <c r="Q140" s="615">
        <f t="shared" si="17"/>
        <v>0</v>
      </c>
      <c r="R140" s="615">
        <f t="shared" si="17"/>
        <v>0</v>
      </c>
      <c r="S140" s="615">
        <f t="shared" si="17"/>
        <v>0</v>
      </c>
      <c r="T140" s="615">
        <f t="shared" si="17"/>
        <v>0</v>
      </c>
      <c r="U140" s="615">
        <f t="shared" si="17"/>
        <v>0</v>
      </c>
      <c r="V140" s="615">
        <f t="shared" si="17"/>
        <v>0</v>
      </c>
      <c r="W140" s="615">
        <f t="shared" si="17"/>
        <v>0</v>
      </c>
      <c r="X140" s="615">
        <f t="shared" si="17"/>
        <v>0</v>
      </c>
      <c r="Y140" s="615">
        <f t="shared" si="17"/>
        <v>0</v>
      </c>
      <c r="Z140" s="615">
        <f t="shared" si="17"/>
        <v>0</v>
      </c>
      <c r="AA140" s="615">
        <f t="shared" si="17"/>
        <v>0</v>
      </c>
      <c r="AB140" s="615">
        <f t="shared" si="17"/>
        <v>0</v>
      </c>
      <c r="AC140" s="615">
        <f t="shared" si="17"/>
        <v>0</v>
      </c>
      <c r="AD140" s="615">
        <f t="shared" si="17"/>
        <v>0</v>
      </c>
      <c r="AE140" s="615">
        <f t="shared" si="17"/>
        <v>0</v>
      </c>
      <c r="AF140" s="615">
        <f t="shared" si="17"/>
        <v>0</v>
      </c>
      <c r="AG140" s="615">
        <f t="shared" si="17"/>
        <v>0</v>
      </c>
      <c r="AH140" s="615">
        <f t="shared" si="17"/>
        <v>0</v>
      </c>
      <c r="AI140" s="615">
        <f t="shared" si="17"/>
        <v>0</v>
      </c>
      <c r="AJ140" s="615">
        <f t="shared" si="17"/>
        <v>0</v>
      </c>
      <c r="AK140" s="615">
        <f t="shared" si="17"/>
        <v>0</v>
      </c>
      <c r="AL140" s="615">
        <f t="shared" si="17"/>
        <v>0</v>
      </c>
      <c r="AM140" s="615">
        <f t="shared" si="17"/>
        <v>0</v>
      </c>
      <c r="AN140" s="615">
        <f t="shared" si="17"/>
        <v>0</v>
      </c>
      <c r="AO140" s="615">
        <f t="shared" si="17"/>
        <v>0</v>
      </c>
      <c r="AP140" s="615">
        <f t="shared" si="17"/>
        <v>0</v>
      </c>
      <c r="AQ140" s="615">
        <f t="shared" si="17"/>
        <v>0</v>
      </c>
      <c r="AR140" s="615">
        <f t="shared" si="17"/>
        <v>0</v>
      </c>
      <c r="AS140" s="615">
        <f t="shared" si="17"/>
        <v>0</v>
      </c>
      <c r="AT140" s="615">
        <f t="shared" si="17"/>
        <v>0</v>
      </c>
      <c r="AU140" s="615">
        <f t="shared" si="17"/>
        <v>0</v>
      </c>
      <c r="AV140" s="615">
        <f t="shared" si="17"/>
        <v>0</v>
      </c>
      <c r="AW140" s="615">
        <f t="shared" si="17"/>
        <v>0</v>
      </c>
      <c r="AX140" s="615">
        <f t="shared" si="17"/>
        <v>0</v>
      </c>
      <c r="AY140" s="615">
        <f t="shared" si="17"/>
        <v>0</v>
      </c>
      <c r="AZ140" s="615">
        <f t="shared" si="17"/>
        <v>0</v>
      </c>
      <c r="BA140" s="615">
        <f t="shared" si="17"/>
        <v>0</v>
      </c>
    </row>
    <row r="141" spans="1:98" s="270" customFormat="1" x14ac:dyDescent="0.2">
      <c r="C141" s="619" t="s">
        <v>1435</v>
      </c>
      <c r="D141" s="615">
        <f>IF(D24=$B$12,SUM(D38:D39)*60,IF(D24=$B$15,SUM(D38:D39)*40,IF(OR(D24=$B$13,D24=$B$14),SUM(D38:D39)*20,IF(D24=$B$16,SUM(D38:D39)*14,IF(D24=$B$17,SUM(D38:D39)*70,IF(D24=$B$18,SUM(D38:D39)*100,IF(D24=$B$19,SUM(D38:D39)*50,0)))))))</f>
        <v>0</v>
      </c>
      <c r="E141" s="615">
        <f t="shared" ref="E141:BA141" si="18">IF(E24=$B$12,SUM(E38:E39)*60,IF(E24=$B$15,SUM(E38:E39)*40,IF(OR(E24=$B$13,E24=$B$14),SUM(E38:E39)*20,IF(E24=$B$16,SUM(E38:E39)*14,IF(E24=$B$17,SUM(E38:E39)*70,IF(E24=$B$18,SUM(E38:E39)*100,IF(E24=$B$19,SUM(E38:E39)*50,0)))))))</f>
        <v>0</v>
      </c>
      <c r="F141" s="615">
        <f t="shared" si="18"/>
        <v>0</v>
      </c>
      <c r="G141" s="615">
        <f t="shared" si="18"/>
        <v>0</v>
      </c>
      <c r="H141" s="615">
        <f t="shared" si="18"/>
        <v>0</v>
      </c>
      <c r="I141" s="615">
        <f t="shared" si="18"/>
        <v>0</v>
      </c>
      <c r="J141" s="615">
        <f t="shared" si="18"/>
        <v>0</v>
      </c>
      <c r="K141" s="615">
        <f t="shared" si="18"/>
        <v>0</v>
      </c>
      <c r="L141" s="615">
        <f t="shared" si="18"/>
        <v>0</v>
      </c>
      <c r="M141" s="615">
        <f t="shared" si="18"/>
        <v>0</v>
      </c>
      <c r="N141" s="615">
        <f t="shared" si="18"/>
        <v>0</v>
      </c>
      <c r="O141" s="615">
        <f t="shared" si="18"/>
        <v>0</v>
      </c>
      <c r="P141" s="615">
        <f t="shared" si="18"/>
        <v>0</v>
      </c>
      <c r="Q141" s="615">
        <f t="shared" si="18"/>
        <v>0</v>
      </c>
      <c r="R141" s="615">
        <f t="shared" si="18"/>
        <v>0</v>
      </c>
      <c r="S141" s="615">
        <f t="shared" si="18"/>
        <v>0</v>
      </c>
      <c r="T141" s="615">
        <f t="shared" si="18"/>
        <v>0</v>
      </c>
      <c r="U141" s="615">
        <f t="shared" si="18"/>
        <v>0</v>
      </c>
      <c r="V141" s="615">
        <f t="shared" si="18"/>
        <v>0</v>
      </c>
      <c r="W141" s="615">
        <f t="shared" si="18"/>
        <v>0</v>
      </c>
      <c r="X141" s="615">
        <f t="shared" si="18"/>
        <v>0</v>
      </c>
      <c r="Y141" s="615">
        <f t="shared" si="18"/>
        <v>0</v>
      </c>
      <c r="Z141" s="615">
        <f t="shared" si="18"/>
        <v>0</v>
      </c>
      <c r="AA141" s="615">
        <f t="shared" si="18"/>
        <v>0</v>
      </c>
      <c r="AB141" s="615">
        <f t="shared" si="18"/>
        <v>0</v>
      </c>
      <c r="AC141" s="615">
        <f t="shared" si="18"/>
        <v>0</v>
      </c>
      <c r="AD141" s="615">
        <f t="shared" si="18"/>
        <v>0</v>
      </c>
      <c r="AE141" s="615">
        <f t="shared" si="18"/>
        <v>0</v>
      </c>
      <c r="AF141" s="615">
        <f t="shared" si="18"/>
        <v>0</v>
      </c>
      <c r="AG141" s="615">
        <f t="shared" si="18"/>
        <v>0</v>
      </c>
      <c r="AH141" s="615">
        <f t="shared" si="18"/>
        <v>0</v>
      </c>
      <c r="AI141" s="615">
        <f t="shared" si="18"/>
        <v>0</v>
      </c>
      <c r="AJ141" s="615">
        <f t="shared" si="18"/>
        <v>0</v>
      </c>
      <c r="AK141" s="615">
        <f t="shared" si="18"/>
        <v>0</v>
      </c>
      <c r="AL141" s="615">
        <f t="shared" si="18"/>
        <v>0</v>
      </c>
      <c r="AM141" s="615">
        <f t="shared" si="18"/>
        <v>0</v>
      </c>
      <c r="AN141" s="615">
        <f t="shared" si="18"/>
        <v>0</v>
      </c>
      <c r="AO141" s="615">
        <f t="shared" si="18"/>
        <v>0</v>
      </c>
      <c r="AP141" s="615">
        <f t="shared" si="18"/>
        <v>0</v>
      </c>
      <c r="AQ141" s="615">
        <f t="shared" si="18"/>
        <v>0</v>
      </c>
      <c r="AR141" s="615">
        <f t="shared" si="18"/>
        <v>0</v>
      </c>
      <c r="AS141" s="615">
        <f t="shared" si="18"/>
        <v>0</v>
      </c>
      <c r="AT141" s="615">
        <f t="shared" si="18"/>
        <v>0</v>
      </c>
      <c r="AU141" s="615">
        <f t="shared" si="18"/>
        <v>0</v>
      </c>
      <c r="AV141" s="615">
        <f t="shared" si="18"/>
        <v>0</v>
      </c>
      <c r="AW141" s="615">
        <f t="shared" si="18"/>
        <v>0</v>
      </c>
      <c r="AX141" s="615">
        <f t="shared" si="18"/>
        <v>0</v>
      </c>
      <c r="AY141" s="615">
        <f t="shared" si="18"/>
        <v>0</v>
      </c>
      <c r="AZ141" s="615">
        <f t="shared" si="18"/>
        <v>0</v>
      </c>
      <c r="BA141" s="615">
        <f t="shared" si="18"/>
        <v>0</v>
      </c>
    </row>
    <row r="142" spans="1:98" s="270" customFormat="1" x14ac:dyDescent="0.2">
      <c r="C142" s="618" t="s">
        <v>1436</v>
      </c>
      <c r="D142" s="615">
        <f>IF(D24=$B$12,SUM(D36:D37)*40,IF(D24=$B$15,SUM(D36:D37)*32,IF(OR(D24=$B$13,D24=$B$14),SUM(D36:D37)*12,IF(D24=$B$16,SUM(D36:D37)*12,IF(D24=$B$17,SUM(D36:D37)*30,IF(D24=$B$18,SUM(D36:D37)*60,IF(D24=$B$19,SUM(D36:D37)*25,0)))))))</f>
        <v>0</v>
      </c>
      <c r="E142" s="615">
        <f t="shared" ref="E142:BA142" si="19">IF(E24=$B$12,SUM(E36:E37)*40,IF(E24=$B$15,SUM(E36:E37)*32,IF(OR(E24=$B$13,E24=$B$14),SUM(E36:E37)*12,IF(E24=$B$16,SUM(E36:E37)*12,IF(E24=$B$17,SUM(E36:E37)*30,IF(E24=$B$18,SUM(E36:E37)*60,IF(E24=$B$19,SUM(E36:E37)*25,0)))))))</f>
        <v>0</v>
      </c>
      <c r="F142" s="615">
        <f t="shared" si="19"/>
        <v>0</v>
      </c>
      <c r="G142" s="615">
        <f t="shared" si="19"/>
        <v>0</v>
      </c>
      <c r="H142" s="615">
        <f t="shared" si="19"/>
        <v>0</v>
      </c>
      <c r="I142" s="615">
        <f t="shared" si="19"/>
        <v>0</v>
      </c>
      <c r="J142" s="615">
        <f t="shared" si="19"/>
        <v>0</v>
      </c>
      <c r="K142" s="615">
        <f t="shared" si="19"/>
        <v>0</v>
      </c>
      <c r="L142" s="615">
        <f t="shared" si="19"/>
        <v>0</v>
      </c>
      <c r="M142" s="615">
        <f t="shared" si="19"/>
        <v>0</v>
      </c>
      <c r="N142" s="615">
        <f t="shared" si="19"/>
        <v>0</v>
      </c>
      <c r="O142" s="615">
        <f t="shared" si="19"/>
        <v>0</v>
      </c>
      <c r="P142" s="615">
        <f t="shared" si="19"/>
        <v>0</v>
      </c>
      <c r="Q142" s="615">
        <f t="shared" si="19"/>
        <v>0</v>
      </c>
      <c r="R142" s="615">
        <f t="shared" si="19"/>
        <v>0</v>
      </c>
      <c r="S142" s="615">
        <f t="shared" si="19"/>
        <v>0</v>
      </c>
      <c r="T142" s="615">
        <f t="shared" si="19"/>
        <v>0</v>
      </c>
      <c r="U142" s="615">
        <f t="shared" si="19"/>
        <v>0</v>
      </c>
      <c r="V142" s="615">
        <f t="shared" si="19"/>
        <v>0</v>
      </c>
      <c r="W142" s="615">
        <f t="shared" si="19"/>
        <v>0</v>
      </c>
      <c r="X142" s="615">
        <f t="shared" si="19"/>
        <v>0</v>
      </c>
      <c r="Y142" s="615">
        <f t="shared" si="19"/>
        <v>0</v>
      </c>
      <c r="Z142" s="615">
        <f t="shared" si="19"/>
        <v>0</v>
      </c>
      <c r="AA142" s="615">
        <f t="shared" si="19"/>
        <v>0</v>
      </c>
      <c r="AB142" s="615">
        <f t="shared" si="19"/>
        <v>0</v>
      </c>
      <c r="AC142" s="615">
        <f t="shared" si="19"/>
        <v>0</v>
      </c>
      <c r="AD142" s="615">
        <f t="shared" si="19"/>
        <v>0</v>
      </c>
      <c r="AE142" s="615">
        <f t="shared" si="19"/>
        <v>0</v>
      </c>
      <c r="AF142" s="615">
        <f t="shared" si="19"/>
        <v>0</v>
      </c>
      <c r="AG142" s="615">
        <f t="shared" si="19"/>
        <v>0</v>
      </c>
      <c r="AH142" s="615">
        <f t="shared" si="19"/>
        <v>0</v>
      </c>
      <c r="AI142" s="615">
        <f t="shared" si="19"/>
        <v>0</v>
      </c>
      <c r="AJ142" s="615">
        <f t="shared" si="19"/>
        <v>0</v>
      </c>
      <c r="AK142" s="615">
        <f t="shared" si="19"/>
        <v>0</v>
      </c>
      <c r="AL142" s="615">
        <f t="shared" si="19"/>
        <v>0</v>
      </c>
      <c r="AM142" s="615">
        <f t="shared" si="19"/>
        <v>0</v>
      </c>
      <c r="AN142" s="615">
        <f t="shared" si="19"/>
        <v>0</v>
      </c>
      <c r="AO142" s="615">
        <f t="shared" si="19"/>
        <v>0</v>
      </c>
      <c r="AP142" s="615">
        <f t="shared" si="19"/>
        <v>0</v>
      </c>
      <c r="AQ142" s="615">
        <f t="shared" si="19"/>
        <v>0</v>
      </c>
      <c r="AR142" s="615">
        <f t="shared" si="19"/>
        <v>0</v>
      </c>
      <c r="AS142" s="615">
        <f t="shared" si="19"/>
        <v>0</v>
      </c>
      <c r="AT142" s="615">
        <f t="shared" si="19"/>
        <v>0</v>
      </c>
      <c r="AU142" s="615">
        <f t="shared" si="19"/>
        <v>0</v>
      </c>
      <c r="AV142" s="615">
        <f t="shared" si="19"/>
        <v>0</v>
      </c>
      <c r="AW142" s="615">
        <f t="shared" si="19"/>
        <v>0</v>
      </c>
      <c r="AX142" s="615">
        <f t="shared" si="19"/>
        <v>0</v>
      </c>
      <c r="AY142" s="615">
        <f t="shared" si="19"/>
        <v>0</v>
      </c>
      <c r="AZ142" s="615">
        <f t="shared" si="19"/>
        <v>0</v>
      </c>
      <c r="BA142" s="615">
        <f t="shared" si="19"/>
        <v>0</v>
      </c>
    </row>
    <row r="143" spans="1:98" s="270" customFormat="1" x14ac:dyDescent="0.2">
      <c r="C143" s="618" t="s">
        <v>1437</v>
      </c>
      <c r="D143" s="615">
        <f>IF(D24=$B$12,SUM(D34:D35)*28,IF(D24=$B$15,SUM(D34:D35)*20,IF(OR(D24=$B$13,D24=$B$14),SUM(D34:D35)*8,IF(D24=$B$16,SUM(D34:D35)*10,IF(D24=$B$17,SUM(D34:D35)*30,IF(D24=$B$18,SUM(D34:D35)*60,IF(D24=$B$19,SUM(D34:D35)*25,0)))))))</f>
        <v>0</v>
      </c>
      <c r="E143" s="615">
        <f t="shared" ref="E143:BA143" si="20">IF(E24=$B$12,SUM(E34:E35)*28,IF(E24=$B$15,SUM(E34:E35)*20,IF(OR(E24=$B$13,E24=$B$14),SUM(E34:E35)*8,IF(E24=$B$16,SUM(E34:E35)*10,IF(E24=$B$17,SUM(E34:E35)*30,IF(E24=$B$18,SUM(E34:E35)*60,IF(E24=$B$19,SUM(E34:E35)*25,0)))))))</f>
        <v>0</v>
      </c>
      <c r="F143" s="615">
        <f t="shared" si="20"/>
        <v>0</v>
      </c>
      <c r="G143" s="615">
        <f t="shared" si="20"/>
        <v>0</v>
      </c>
      <c r="H143" s="615">
        <f t="shared" si="20"/>
        <v>0</v>
      </c>
      <c r="I143" s="615">
        <f t="shared" si="20"/>
        <v>0</v>
      </c>
      <c r="J143" s="615">
        <f t="shared" si="20"/>
        <v>0</v>
      </c>
      <c r="K143" s="615">
        <f t="shared" si="20"/>
        <v>0</v>
      </c>
      <c r="L143" s="615">
        <f t="shared" si="20"/>
        <v>0</v>
      </c>
      <c r="M143" s="615">
        <f t="shared" si="20"/>
        <v>0</v>
      </c>
      <c r="N143" s="615">
        <f t="shared" si="20"/>
        <v>0</v>
      </c>
      <c r="O143" s="615">
        <f t="shared" si="20"/>
        <v>0</v>
      </c>
      <c r="P143" s="615">
        <f t="shared" si="20"/>
        <v>0</v>
      </c>
      <c r="Q143" s="615">
        <f t="shared" si="20"/>
        <v>0</v>
      </c>
      <c r="R143" s="615">
        <f t="shared" si="20"/>
        <v>0</v>
      </c>
      <c r="S143" s="615">
        <f t="shared" si="20"/>
        <v>0</v>
      </c>
      <c r="T143" s="615">
        <f t="shared" si="20"/>
        <v>0</v>
      </c>
      <c r="U143" s="615">
        <f t="shared" si="20"/>
        <v>0</v>
      </c>
      <c r="V143" s="615">
        <f t="shared" si="20"/>
        <v>0</v>
      </c>
      <c r="W143" s="615">
        <f t="shared" si="20"/>
        <v>0</v>
      </c>
      <c r="X143" s="615">
        <f t="shared" si="20"/>
        <v>0</v>
      </c>
      <c r="Y143" s="615">
        <f t="shared" si="20"/>
        <v>0</v>
      </c>
      <c r="Z143" s="615">
        <f t="shared" si="20"/>
        <v>0</v>
      </c>
      <c r="AA143" s="615">
        <f t="shared" si="20"/>
        <v>0</v>
      </c>
      <c r="AB143" s="615">
        <f t="shared" si="20"/>
        <v>0</v>
      </c>
      <c r="AC143" s="615">
        <f t="shared" si="20"/>
        <v>0</v>
      </c>
      <c r="AD143" s="615">
        <f t="shared" si="20"/>
        <v>0</v>
      </c>
      <c r="AE143" s="615">
        <f t="shared" si="20"/>
        <v>0</v>
      </c>
      <c r="AF143" s="615">
        <f t="shared" si="20"/>
        <v>0</v>
      </c>
      <c r="AG143" s="615">
        <f t="shared" si="20"/>
        <v>0</v>
      </c>
      <c r="AH143" s="615">
        <f t="shared" si="20"/>
        <v>0</v>
      </c>
      <c r="AI143" s="615">
        <f t="shared" si="20"/>
        <v>0</v>
      </c>
      <c r="AJ143" s="615">
        <f t="shared" si="20"/>
        <v>0</v>
      </c>
      <c r="AK143" s="615">
        <f t="shared" si="20"/>
        <v>0</v>
      </c>
      <c r="AL143" s="615">
        <f t="shared" si="20"/>
        <v>0</v>
      </c>
      <c r="AM143" s="615">
        <f t="shared" si="20"/>
        <v>0</v>
      </c>
      <c r="AN143" s="615">
        <f t="shared" si="20"/>
        <v>0</v>
      </c>
      <c r="AO143" s="615">
        <f t="shared" si="20"/>
        <v>0</v>
      </c>
      <c r="AP143" s="615">
        <f t="shared" si="20"/>
        <v>0</v>
      </c>
      <c r="AQ143" s="615">
        <f t="shared" si="20"/>
        <v>0</v>
      </c>
      <c r="AR143" s="615">
        <f t="shared" si="20"/>
        <v>0</v>
      </c>
      <c r="AS143" s="615">
        <f t="shared" si="20"/>
        <v>0</v>
      </c>
      <c r="AT143" s="615">
        <f t="shared" si="20"/>
        <v>0</v>
      </c>
      <c r="AU143" s="615">
        <f t="shared" si="20"/>
        <v>0</v>
      </c>
      <c r="AV143" s="615">
        <f t="shared" si="20"/>
        <v>0</v>
      </c>
      <c r="AW143" s="615">
        <f t="shared" si="20"/>
        <v>0</v>
      </c>
      <c r="AX143" s="615">
        <f t="shared" si="20"/>
        <v>0</v>
      </c>
      <c r="AY143" s="615">
        <f t="shared" si="20"/>
        <v>0</v>
      </c>
      <c r="AZ143" s="615">
        <f t="shared" si="20"/>
        <v>0</v>
      </c>
      <c r="BA143" s="615">
        <f t="shared" si="20"/>
        <v>0</v>
      </c>
    </row>
    <row r="144" spans="1:98" s="270" customFormat="1" x14ac:dyDescent="0.2">
      <c r="C144" s="618" t="s">
        <v>1438</v>
      </c>
      <c r="D144" s="615">
        <f>IF(D24=$B$12,SUM(D32:D33)*12,IF(D24=$B$15,SUM(D32:D33)*8,IF(OR(D24=$B$13,D24=$B$14),SUM(D32:D33)*4,IF(D24=$B$16,SUM(D32:D33)*8,IF(D24=$B$17,SUM(D32:D33)*30,IF(D24=$B$18,SUM(D32:D33)*60,IF(D24=$B$19,SUM(D32:D33)*25,0)))))))</f>
        <v>0</v>
      </c>
      <c r="E144" s="615">
        <f t="shared" ref="E144:BA144" si="21">IF(E24=$B$12,SUM(E32:E33)*12,IF(E24=$B$15,SUM(E32:E33)*8,IF(OR(E24=$B$13,E24=$B$14),SUM(E32:E33)*4,IF(E24=$B$16,SUM(E32:E33)*8,IF(E24=$B$17,SUM(E32:E33)*30,IF(E24=$B$18,SUM(E32:E33)*60,IF(E24=$B$19,SUM(E32:E33)*25,0)))))))</f>
        <v>0</v>
      </c>
      <c r="F144" s="615">
        <f t="shared" si="21"/>
        <v>0</v>
      </c>
      <c r="G144" s="615">
        <f t="shared" si="21"/>
        <v>0</v>
      </c>
      <c r="H144" s="615">
        <f t="shared" si="21"/>
        <v>0</v>
      </c>
      <c r="I144" s="615">
        <f t="shared" si="21"/>
        <v>0</v>
      </c>
      <c r="J144" s="615">
        <f t="shared" si="21"/>
        <v>0</v>
      </c>
      <c r="K144" s="615">
        <f t="shared" si="21"/>
        <v>0</v>
      </c>
      <c r="L144" s="615">
        <f t="shared" si="21"/>
        <v>0</v>
      </c>
      <c r="M144" s="615">
        <f t="shared" si="21"/>
        <v>0</v>
      </c>
      <c r="N144" s="615">
        <f t="shared" si="21"/>
        <v>0</v>
      </c>
      <c r="O144" s="615">
        <f t="shared" si="21"/>
        <v>0</v>
      </c>
      <c r="P144" s="615">
        <f t="shared" si="21"/>
        <v>0</v>
      </c>
      <c r="Q144" s="615">
        <f t="shared" si="21"/>
        <v>0</v>
      </c>
      <c r="R144" s="615">
        <f t="shared" si="21"/>
        <v>0</v>
      </c>
      <c r="S144" s="615">
        <f t="shared" si="21"/>
        <v>0</v>
      </c>
      <c r="T144" s="615">
        <f t="shared" si="21"/>
        <v>0</v>
      </c>
      <c r="U144" s="615">
        <f t="shared" si="21"/>
        <v>0</v>
      </c>
      <c r="V144" s="615">
        <f t="shared" si="21"/>
        <v>0</v>
      </c>
      <c r="W144" s="615">
        <f t="shared" si="21"/>
        <v>0</v>
      </c>
      <c r="X144" s="615">
        <f t="shared" si="21"/>
        <v>0</v>
      </c>
      <c r="Y144" s="615">
        <f t="shared" si="21"/>
        <v>0</v>
      </c>
      <c r="Z144" s="615">
        <f t="shared" si="21"/>
        <v>0</v>
      </c>
      <c r="AA144" s="615">
        <f t="shared" si="21"/>
        <v>0</v>
      </c>
      <c r="AB144" s="615">
        <f t="shared" si="21"/>
        <v>0</v>
      </c>
      <c r="AC144" s="615">
        <f t="shared" si="21"/>
        <v>0</v>
      </c>
      <c r="AD144" s="615">
        <f t="shared" si="21"/>
        <v>0</v>
      </c>
      <c r="AE144" s="615">
        <f t="shared" si="21"/>
        <v>0</v>
      </c>
      <c r="AF144" s="615">
        <f t="shared" si="21"/>
        <v>0</v>
      </c>
      <c r="AG144" s="615">
        <f t="shared" si="21"/>
        <v>0</v>
      </c>
      <c r="AH144" s="615">
        <f t="shared" si="21"/>
        <v>0</v>
      </c>
      <c r="AI144" s="615">
        <f t="shared" si="21"/>
        <v>0</v>
      </c>
      <c r="AJ144" s="615">
        <f t="shared" si="21"/>
        <v>0</v>
      </c>
      <c r="AK144" s="615">
        <f t="shared" si="21"/>
        <v>0</v>
      </c>
      <c r="AL144" s="615">
        <f t="shared" si="21"/>
        <v>0</v>
      </c>
      <c r="AM144" s="615">
        <f t="shared" si="21"/>
        <v>0</v>
      </c>
      <c r="AN144" s="615">
        <f t="shared" si="21"/>
        <v>0</v>
      </c>
      <c r="AO144" s="615">
        <f t="shared" si="21"/>
        <v>0</v>
      </c>
      <c r="AP144" s="615">
        <f t="shared" si="21"/>
        <v>0</v>
      </c>
      <c r="AQ144" s="615">
        <f t="shared" si="21"/>
        <v>0</v>
      </c>
      <c r="AR144" s="615">
        <f t="shared" si="21"/>
        <v>0</v>
      </c>
      <c r="AS144" s="615">
        <f t="shared" si="21"/>
        <v>0</v>
      </c>
      <c r="AT144" s="615">
        <f t="shared" si="21"/>
        <v>0</v>
      </c>
      <c r="AU144" s="615">
        <f t="shared" si="21"/>
        <v>0</v>
      </c>
      <c r="AV144" s="615">
        <f t="shared" si="21"/>
        <v>0</v>
      </c>
      <c r="AW144" s="615">
        <f t="shared" si="21"/>
        <v>0</v>
      </c>
      <c r="AX144" s="615">
        <f t="shared" si="21"/>
        <v>0</v>
      </c>
      <c r="AY144" s="615">
        <f t="shared" si="21"/>
        <v>0</v>
      </c>
      <c r="AZ144" s="615">
        <f t="shared" si="21"/>
        <v>0</v>
      </c>
      <c r="BA144" s="615">
        <f t="shared" si="21"/>
        <v>0</v>
      </c>
    </row>
    <row r="145" spans="1:53" s="270" customFormat="1" x14ac:dyDescent="0.2"/>
    <row r="146" spans="1:53" s="270" customFormat="1" x14ac:dyDescent="0.2">
      <c r="A146" s="620"/>
    </row>
    <row r="147" spans="1:53" s="270" customFormat="1" x14ac:dyDescent="0.2">
      <c r="A147" s="620"/>
      <c r="C147" s="270" t="s">
        <v>1468</v>
      </c>
    </row>
    <row r="148" spans="1:53" s="270" customFormat="1" x14ac:dyDescent="0.2">
      <c r="A148" s="620"/>
      <c r="C148" s="270" t="s">
        <v>1444</v>
      </c>
      <c r="D148" s="270">
        <f t="shared" ref="D148:AI148" si="22">((SUM(D32:D37)-D46)*HerbeMangéeParVeauParJour/10000)+((D38+D40+D42)*HerbeMangéeParTaurillonParJour/10000)+((D39+D41+D43)*HerbeMangéeParGenisseParJour/10000)+(D44*HerbeMangéeParTaureauParJour/10000)+(D45*HerbeMangéeParVacheParJour/10000)</f>
        <v>0</v>
      </c>
      <c r="E148" s="270">
        <f t="shared" si="22"/>
        <v>0</v>
      </c>
      <c r="F148" s="270">
        <f t="shared" si="22"/>
        <v>0</v>
      </c>
      <c r="G148" s="270">
        <f t="shared" si="22"/>
        <v>0</v>
      </c>
      <c r="H148" s="270">
        <f t="shared" si="22"/>
        <v>0</v>
      </c>
      <c r="I148" s="270">
        <f t="shared" si="22"/>
        <v>0</v>
      </c>
      <c r="J148" s="270">
        <f t="shared" si="22"/>
        <v>0</v>
      </c>
      <c r="K148" s="270">
        <f t="shared" si="22"/>
        <v>0</v>
      </c>
      <c r="L148" s="270">
        <f t="shared" si="22"/>
        <v>0</v>
      </c>
      <c r="M148" s="270">
        <f t="shared" si="22"/>
        <v>0</v>
      </c>
      <c r="N148" s="270">
        <f t="shared" si="22"/>
        <v>0</v>
      </c>
      <c r="O148" s="270">
        <f t="shared" si="22"/>
        <v>0</v>
      </c>
      <c r="P148" s="270">
        <f t="shared" si="22"/>
        <v>0</v>
      </c>
      <c r="Q148" s="270">
        <f t="shared" si="22"/>
        <v>0</v>
      </c>
      <c r="R148" s="270">
        <f t="shared" si="22"/>
        <v>0</v>
      </c>
      <c r="S148" s="270">
        <f t="shared" si="22"/>
        <v>0</v>
      </c>
      <c r="T148" s="270">
        <f t="shared" si="22"/>
        <v>0</v>
      </c>
      <c r="U148" s="270">
        <f t="shared" si="22"/>
        <v>0</v>
      </c>
      <c r="V148" s="270">
        <f t="shared" si="22"/>
        <v>0</v>
      </c>
      <c r="W148" s="270">
        <f t="shared" si="22"/>
        <v>0</v>
      </c>
      <c r="X148" s="270">
        <f t="shared" si="22"/>
        <v>0</v>
      </c>
      <c r="Y148" s="270">
        <f t="shared" si="22"/>
        <v>0</v>
      </c>
      <c r="Z148" s="270">
        <f t="shared" si="22"/>
        <v>0</v>
      </c>
      <c r="AA148" s="270">
        <f t="shared" si="22"/>
        <v>0</v>
      </c>
      <c r="AB148" s="270">
        <f t="shared" si="22"/>
        <v>0</v>
      </c>
      <c r="AC148" s="270">
        <f t="shared" si="22"/>
        <v>0</v>
      </c>
      <c r="AD148" s="270">
        <f t="shared" si="22"/>
        <v>0</v>
      </c>
      <c r="AE148" s="270">
        <f t="shared" si="22"/>
        <v>0</v>
      </c>
      <c r="AF148" s="270">
        <f t="shared" si="22"/>
        <v>0</v>
      </c>
      <c r="AG148" s="270">
        <f t="shared" si="22"/>
        <v>0</v>
      </c>
      <c r="AH148" s="270">
        <f t="shared" si="22"/>
        <v>0</v>
      </c>
      <c r="AI148" s="270">
        <f t="shared" si="22"/>
        <v>0</v>
      </c>
      <c r="AJ148" s="270">
        <f t="shared" ref="AJ148:BA148" si="23">((SUM(AJ32:AJ37)-AJ46)*HerbeMangéeParVeauParJour/10000)+((AJ38+AJ40+AJ42)*HerbeMangéeParTaurillonParJour/10000)+((AJ39+AJ41+AJ43)*HerbeMangéeParGenisseParJour/10000)+(AJ44*HerbeMangéeParTaureauParJour/10000)+(AJ45*HerbeMangéeParVacheParJour/10000)</f>
        <v>0</v>
      </c>
      <c r="AK148" s="270">
        <f t="shared" si="23"/>
        <v>0</v>
      </c>
      <c r="AL148" s="270">
        <f t="shared" si="23"/>
        <v>0</v>
      </c>
      <c r="AM148" s="270">
        <f t="shared" si="23"/>
        <v>0</v>
      </c>
      <c r="AN148" s="270">
        <f t="shared" si="23"/>
        <v>0</v>
      </c>
      <c r="AO148" s="270">
        <f t="shared" si="23"/>
        <v>0</v>
      </c>
      <c r="AP148" s="270">
        <f t="shared" si="23"/>
        <v>0</v>
      </c>
      <c r="AQ148" s="270">
        <f t="shared" si="23"/>
        <v>0</v>
      </c>
      <c r="AR148" s="270">
        <f t="shared" si="23"/>
        <v>0</v>
      </c>
      <c r="AS148" s="270">
        <f t="shared" si="23"/>
        <v>0</v>
      </c>
      <c r="AT148" s="270">
        <f t="shared" si="23"/>
        <v>0</v>
      </c>
      <c r="AU148" s="270">
        <f t="shared" si="23"/>
        <v>0</v>
      </c>
      <c r="AV148" s="270">
        <f t="shared" si="23"/>
        <v>0</v>
      </c>
      <c r="AW148" s="270">
        <f t="shared" si="23"/>
        <v>0</v>
      </c>
      <c r="AX148" s="270">
        <f t="shared" si="23"/>
        <v>0</v>
      </c>
      <c r="AY148" s="270">
        <f t="shared" si="23"/>
        <v>0</v>
      </c>
      <c r="AZ148" s="270">
        <f t="shared" si="23"/>
        <v>0</v>
      </c>
      <c r="BA148" s="270">
        <f t="shared" si="23"/>
        <v>0</v>
      </c>
    </row>
    <row r="149" spans="1:53" s="270" customFormat="1" x14ac:dyDescent="0.2">
      <c r="A149" s="620"/>
      <c r="C149" s="270" t="s">
        <v>116</v>
      </c>
      <c r="D149" s="270">
        <f t="shared" ref="D149:AI149" si="24">((SUM(D32:D35)-D46)*HerbeMangéeParAgneauParJour/10000)+((D36+D37)*HerbeMangéeParJeuneBélierEtJeuneBrebisParJour/10000)+((D39+D41+D43+D45)*HerbeMangéeParBrebisParJour/10000)+((D38+D40+D42+D44)*HerbeMangéeParBélierParJour/10000)</f>
        <v>0</v>
      </c>
      <c r="E149" s="270">
        <f t="shared" si="24"/>
        <v>0</v>
      </c>
      <c r="F149" s="270">
        <f t="shared" si="24"/>
        <v>0</v>
      </c>
      <c r="G149" s="270">
        <f t="shared" si="24"/>
        <v>0</v>
      </c>
      <c r="H149" s="270">
        <f t="shared" si="24"/>
        <v>0</v>
      </c>
      <c r="I149" s="270">
        <f t="shared" si="24"/>
        <v>0</v>
      </c>
      <c r="J149" s="270">
        <f t="shared" si="24"/>
        <v>0</v>
      </c>
      <c r="K149" s="270">
        <f t="shared" si="24"/>
        <v>0</v>
      </c>
      <c r="L149" s="270">
        <f t="shared" si="24"/>
        <v>0</v>
      </c>
      <c r="M149" s="270">
        <f t="shared" si="24"/>
        <v>0</v>
      </c>
      <c r="N149" s="270">
        <f t="shared" si="24"/>
        <v>0</v>
      </c>
      <c r="O149" s="270">
        <f t="shared" si="24"/>
        <v>0</v>
      </c>
      <c r="P149" s="270">
        <f t="shared" si="24"/>
        <v>0</v>
      </c>
      <c r="Q149" s="270">
        <f t="shared" si="24"/>
        <v>0</v>
      </c>
      <c r="R149" s="270">
        <f t="shared" si="24"/>
        <v>0</v>
      </c>
      <c r="S149" s="270">
        <f t="shared" si="24"/>
        <v>0</v>
      </c>
      <c r="T149" s="270">
        <f t="shared" si="24"/>
        <v>0</v>
      </c>
      <c r="U149" s="270">
        <f t="shared" si="24"/>
        <v>0</v>
      </c>
      <c r="V149" s="270">
        <f t="shared" si="24"/>
        <v>0</v>
      </c>
      <c r="W149" s="270">
        <f t="shared" si="24"/>
        <v>0</v>
      </c>
      <c r="X149" s="270">
        <f t="shared" si="24"/>
        <v>0</v>
      </c>
      <c r="Y149" s="270">
        <f t="shared" si="24"/>
        <v>0</v>
      </c>
      <c r="Z149" s="270">
        <f t="shared" si="24"/>
        <v>0</v>
      </c>
      <c r="AA149" s="270">
        <f t="shared" si="24"/>
        <v>0</v>
      </c>
      <c r="AB149" s="270">
        <f t="shared" si="24"/>
        <v>0</v>
      </c>
      <c r="AC149" s="270">
        <f t="shared" si="24"/>
        <v>0</v>
      </c>
      <c r="AD149" s="270">
        <f t="shared" si="24"/>
        <v>0</v>
      </c>
      <c r="AE149" s="270">
        <f t="shared" si="24"/>
        <v>0</v>
      </c>
      <c r="AF149" s="270">
        <f t="shared" si="24"/>
        <v>0</v>
      </c>
      <c r="AG149" s="270">
        <f t="shared" si="24"/>
        <v>0</v>
      </c>
      <c r="AH149" s="270">
        <f t="shared" si="24"/>
        <v>0</v>
      </c>
      <c r="AI149" s="270">
        <f t="shared" si="24"/>
        <v>0</v>
      </c>
      <c r="AJ149" s="270">
        <f t="shared" ref="AJ149:BA149" si="25">((SUM(AJ32:AJ35)-AJ46)*HerbeMangéeParAgneauParJour/10000)+((AJ36+AJ37)*HerbeMangéeParJeuneBélierEtJeuneBrebisParJour/10000)+((AJ39+AJ41+AJ43+AJ45)*HerbeMangéeParBrebisParJour/10000)+((AJ38+AJ40+AJ42+AJ44)*HerbeMangéeParBélierParJour/10000)</f>
        <v>0</v>
      </c>
      <c r="AK149" s="270">
        <f t="shared" si="25"/>
        <v>0</v>
      </c>
      <c r="AL149" s="270">
        <f t="shared" si="25"/>
        <v>0</v>
      </c>
      <c r="AM149" s="270">
        <f t="shared" si="25"/>
        <v>0</v>
      </c>
      <c r="AN149" s="270">
        <f t="shared" si="25"/>
        <v>0</v>
      </c>
      <c r="AO149" s="270">
        <f t="shared" si="25"/>
        <v>0</v>
      </c>
      <c r="AP149" s="270">
        <f t="shared" si="25"/>
        <v>0</v>
      </c>
      <c r="AQ149" s="270">
        <f t="shared" si="25"/>
        <v>0</v>
      </c>
      <c r="AR149" s="270">
        <f t="shared" si="25"/>
        <v>0</v>
      </c>
      <c r="AS149" s="270">
        <f t="shared" si="25"/>
        <v>0</v>
      </c>
      <c r="AT149" s="270">
        <f t="shared" si="25"/>
        <v>0</v>
      </c>
      <c r="AU149" s="270">
        <f t="shared" si="25"/>
        <v>0</v>
      </c>
      <c r="AV149" s="270">
        <f t="shared" si="25"/>
        <v>0</v>
      </c>
      <c r="AW149" s="270">
        <f t="shared" si="25"/>
        <v>0</v>
      </c>
      <c r="AX149" s="270">
        <f t="shared" si="25"/>
        <v>0</v>
      </c>
      <c r="AY149" s="270">
        <f t="shared" si="25"/>
        <v>0</v>
      </c>
      <c r="AZ149" s="270">
        <f t="shared" si="25"/>
        <v>0</v>
      </c>
      <c r="BA149" s="270">
        <f t="shared" si="25"/>
        <v>0</v>
      </c>
    </row>
    <row r="150" spans="1:53" s="270" customFormat="1" x14ac:dyDescent="0.2">
      <c r="A150" s="620"/>
      <c r="C150" s="270" t="s">
        <v>115</v>
      </c>
      <c r="D150" s="270">
        <f t="shared" ref="D150:AI150" si="26">((SUM(D32:D35)-D46)*HerbeMangéeParChevreauParJour/10000)+((D36+D37)*HerbeMangéeParJeuneBoucEtJeuneChèvreParJour/10000)+((D39+D41+D43+D45)*HerbeMangéeParChèvreParJour/10000)+((D38+D40+D42+D44)*HerbeMangéeParBoucParJour/10000)</f>
        <v>0</v>
      </c>
      <c r="E150" s="270">
        <f t="shared" si="26"/>
        <v>0</v>
      </c>
      <c r="F150" s="270">
        <f t="shared" si="26"/>
        <v>0</v>
      </c>
      <c r="G150" s="270">
        <f t="shared" si="26"/>
        <v>0</v>
      </c>
      <c r="H150" s="270">
        <f t="shared" si="26"/>
        <v>0</v>
      </c>
      <c r="I150" s="270">
        <f t="shared" si="26"/>
        <v>0</v>
      </c>
      <c r="J150" s="270">
        <f t="shared" si="26"/>
        <v>0</v>
      </c>
      <c r="K150" s="270">
        <f t="shared" si="26"/>
        <v>0</v>
      </c>
      <c r="L150" s="270">
        <f t="shared" si="26"/>
        <v>0</v>
      </c>
      <c r="M150" s="270">
        <f t="shared" si="26"/>
        <v>0</v>
      </c>
      <c r="N150" s="270">
        <f t="shared" si="26"/>
        <v>0</v>
      </c>
      <c r="O150" s="270">
        <f t="shared" si="26"/>
        <v>0</v>
      </c>
      <c r="P150" s="270">
        <f t="shared" si="26"/>
        <v>0</v>
      </c>
      <c r="Q150" s="270">
        <f t="shared" si="26"/>
        <v>0</v>
      </c>
      <c r="R150" s="270">
        <f t="shared" si="26"/>
        <v>0</v>
      </c>
      <c r="S150" s="270">
        <f t="shared" si="26"/>
        <v>0</v>
      </c>
      <c r="T150" s="270">
        <f t="shared" si="26"/>
        <v>0</v>
      </c>
      <c r="U150" s="270">
        <f t="shared" si="26"/>
        <v>0</v>
      </c>
      <c r="V150" s="270">
        <f t="shared" si="26"/>
        <v>0</v>
      </c>
      <c r="W150" s="270">
        <f t="shared" si="26"/>
        <v>0</v>
      </c>
      <c r="X150" s="270">
        <f t="shared" si="26"/>
        <v>0</v>
      </c>
      <c r="Y150" s="270">
        <f t="shared" si="26"/>
        <v>0</v>
      </c>
      <c r="Z150" s="270">
        <f t="shared" si="26"/>
        <v>0</v>
      </c>
      <c r="AA150" s="270">
        <f t="shared" si="26"/>
        <v>0</v>
      </c>
      <c r="AB150" s="270">
        <f t="shared" si="26"/>
        <v>0</v>
      </c>
      <c r="AC150" s="270">
        <f t="shared" si="26"/>
        <v>0</v>
      </c>
      <c r="AD150" s="270">
        <f t="shared" si="26"/>
        <v>0</v>
      </c>
      <c r="AE150" s="270">
        <f t="shared" si="26"/>
        <v>0</v>
      </c>
      <c r="AF150" s="270">
        <f t="shared" si="26"/>
        <v>0</v>
      </c>
      <c r="AG150" s="270">
        <f t="shared" si="26"/>
        <v>0</v>
      </c>
      <c r="AH150" s="270">
        <f t="shared" si="26"/>
        <v>0</v>
      </c>
      <c r="AI150" s="270">
        <f t="shared" si="26"/>
        <v>0</v>
      </c>
      <c r="AJ150" s="270">
        <f t="shared" ref="AJ150:BA150" si="27">((SUM(AJ32:AJ35)-AJ46)*HerbeMangéeParChevreauParJour/10000)+((AJ36+AJ37)*HerbeMangéeParJeuneBoucEtJeuneChèvreParJour/10000)+((AJ39+AJ41+AJ43+AJ45)*HerbeMangéeParChèvreParJour/10000)+((AJ38+AJ40+AJ42+AJ44)*HerbeMangéeParBoucParJour/10000)</f>
        <v>0</v>
      </c>
      <c r="AK150" s="270">
        <f t="shared" si="27"/>
        <v>0</v>
      </c>
      <c r="AL150" s="270">
        <f t="shared" si="27"/>
        <v>0</v>
      </c>
      <c r="AM150" s="270">
        <f t="shared" si="27"/>
        <v>0</v>
      </c>
      <c r="AN150" s="270">
        <f t="shared" si="27"/>
        <v>0</v>
      </c>
      <c r="AO150" s="270">
        <f t="shared" si="27"/>
        <v>0</v>
      </c>
      <c r="AP150" s="270">
        <f t="shared" si="27"/>
        <v>0</v>
      </c>
      <c r="AQ150" s="270">
        <f t="shared" si="27"/>
        <v>0</v>
      </c>
      <c r="AR150" s="270">
        <f t="shared" si="27"/>
        <v>0</v>
      </c>
      <c r="AS150" s="270">
        <f t="shared" si="27"/>
        <v>0</v>
      </c>
      <c r="AT150" s="270">
        <f t="shared" si="27"/>
        <v>0</v>
      </c>
      <c r="AU150" s="270">
        <f t="shared" si="27"/>
        <v>0</v>
      </c>
      <c r="AV150" s="270">
        <f t="shared" si="27"/>
        <v>0</v>
      </c>
      <c r="AW150" s="270">
        <f t="shared" si="27"/>
        <v>0</v>
      </c>
      <c r="AX150" s="270">
        <f t="shared" si="27"/>
        <v>0</v>
      </c>
      <c r="AY150" s="270">
        <f t="shared" si="27"/>
        <v>0</v>
      </c>
      <c r="AZ150" s="270">
        <f t="shared" si="27"/>
        <v>0</v>
      </c>
      <c r="BA150" s="270">
        <f t="shared" si="27"/>
        <v>0</v>
      </c>
    </row>
    <row r="151" spans="1:53" s="270" customFormat="1" x14ac:dyDescent="0.2">
      <c r="A151" s="620"/>
      <c r="C151" s="270" t="s">
        <v>1448</v>
      </c>
      <c r="D151" s="270">
        <f t="shared" ref="D151:AI151" si="28">((SUM(D32:D37)-D46)*HerbeMangéeParPoulainSelleParJour/10000)+((D38+D40+D42+D39+D41+D43)*HerbeMangéeParJeunesChevauxSelleParJour/10000)+((D44+D45)*HerbeMangéeParChevauxSelleAdultesParJour/10000)</f>
        <v>0</v>
      </c>
      <c r="E151" s="270">
        <f t="shared" si="28"/>
        <v>0</v>
      </c>
      <c r="F151" s="270">
        <f t="shared" si="28"/>
        <v>0</v>
      </c>
      <c r="G151" s="270">
        <f t="shared" si="28"/>
        <v>0</v>
      </c>
      <c r="H151" s="270">
        <f t="shared" si="28"/>
        <v>0</v>
      </c>
      <c r="I151" s="270">
        <f t="shared" si="28"/>
        <v>0</v>
      </c>
      <c r="J151" s="270">
        <f t="shared" si="28"/>
        <v>0</v>
      </c>
      <c r="K151" s="270">
        <f t="shared" si="28"/>
        <v>0</v>
      </c>
      <c r="L151" s="270">
        <f t="shared" si="28"/>
        <v>0</v>
      </c>
      <c r="M151" s="270">
        <f t="shared" si="28"/>
        <v>0</v>
      </c>
      <c r="N151" s="270">
        <f t="shared" si="28"/>
        <v>0</v>
      </c>
      <c r="O151" s="270">
        <f t="shared" si="28"/>
        <v>0</v>
      </c>
      <c r="P151" s="270">
        <f t="shared" si="28"/>
        <v>0</v>
      </c>
      <c r="Q151" s="270">
        <f t="shared" si="28"/>
        <v>0</v>
      </c>
      <c r="R151" s="270">
        <f t="shared" si="28"/>
        <v>0</v>
      </c>
      <c r="S151" s="270">
        <f t="shared" si="28"/>
        <v>0</v>
      </c>
      <c r="T151" s="270">
        <f t="shared" si="28"/>
        <v>0</v>
      </c>
      <c r="U151" s="270">
        <f t="shared" si="28"/>
        <v>0</v>
      </c>
      <c r="V151" s="270">
        <f t="shared" si="28"/>
        <v>0</v>
      </c>
      <c r="W151" s="270">
        <f t="shared" si="28"/>
        <v>0</v>
      </c>
      <c r="X151" s="270">
        <f t="shared" si="28"/>
        <v>0</v>
      </c>
      <c r="Y151" s="270">
        <f t="shared" si="28"/>
        <v>0</v>
      </c>
      <c r="Z151" s="270">
        <f t="shared" si="28"/>
        <v>0</v>
      </c>
      <c r="AA151" s="270">
        <f t="shared" si="28"/>
        <v>0</v>
      </c>
      <c r="AB151" s="270">
        <f t="shared" si="28"/>
        <v>0</v>
      </c>
      <c r="AC151" s="270">
        <f t="shared" si="28"/>
        <v>0</v>
      </c>
      <c r="AD151" s="270">
        <f t="shared" si="28"/>
        <v>0</v>
      </c>
      <c r="AE151" s="270">
        <f t="shared" si="28"/>
        <v>0</v>
      </c>
      <c r="AF151" s="270">
        <f t="shared" si="28"/>
        <v>0</v>
      </c>
      <c r="AG151" s="270">
        <f t="shared" si="28"/>
        <v>0</v>
      </c>
      <c r="AH151" s="270">
        <f t="shared" si="28"/>
        <v>0</v>
      </c>
      <c r="AI151" s="270">
        <f t="shared" si="28"/>
        <v>0</v>
      </c>
      <c r="AJ151" s="270">
        <f t="shared" ref="AJ151:BA151" si="29">((SUM(AJ32:AJ37)-AJ46)*HerbeMangéeParPoulainSelleParJour/10000)+((AJ38+AJ40+AJ42+AJ39+AJ41+AJ43)*HerbeMangéeParJeunesChevauxSelleParJour/10000)+((AJ44+AJ45)*HerbeMangéeParChevauxSelleAdultesParJour/10000)</f>
        <v>0</v>
      </c>
      <c r="AK151" s="270">
        <f t="shared" si="29"/>
        <v>0</v>
      </c>
      <c r="AL151" s="270">
        <f t="shared" si="29"/>
        <v>0</v>
      </c>
      <c r="AM151" s="270">
        <f t="shared" si="29"/>
        <v>0</v>
      </c>
      <c r="AN151" s="270">
        <f t="shared" si="29"/>
        <v>0</v>
      </c>
      <c r="AO151" s="270">
        <f t="shared" si="29"/>
        <v>0</v>
      </c>
      <c r="AP151" s="270">
        <f t="shared" si="29"/>
        <v>0</v>
      </c>
      <c r="AQ151" s="270">
        <f t="shared" si="29"/>
        <v>0</v>
      </c>
      <c r="AR151" s="270">
        <f t="shared" si="29"/>
        <v>0</v>
      </c>
      <c r="AS151" s="270">
        <f t="shared" si="29"/>
        <v>0</v>
      </c>
      <c r="AT151" s="270">
        <f t="shared" si="29"/>
        <v>0</v>
      </c>
      <c r="AU151" s="270">
        <f t="shared" si="29"/>
        <v>0</v>
      </c>
      <c r="AV151" s="270">
        <f t="shared" si="29"/>
        <v>0</v>
      </c>
      <c r="AW151" s="270">
        <f t="shared" si="29"/>
        <v>0</v>
      </c>
      <c r="AX151" s="270">
        <f t="shared" si="29"/>
        <v>0</v>
      </c>
      <c r="AY151" s="270">
        <f t="shared" si="29"/>
        <v>0</v>
      </c>
      <c r="AZ151" s="270">
        <f t="shared" si="29"/>
        <v>0</v>
      </c>
      <c r="BA151" s="270">
        <f t="shared" si="29"/>
        <v>0</v>
      </c>
    </row>
    <row r="152" spans="1:53" s="270" customFormat="1" x14ac:dyDescent="0.2">
      <c r="C152" s="270" t="s">
        <v>22</v>
      </c>
      <c r="D152" s="270">
        <f t="shared" ref="D152:AI152" si="30">((SUM(D32:D37)-D46)*HerbeMangéeParPoulainTraitParJour/10000)+((D38+D40+D42+D39+D41+D43)*HerbeMangéeParJeuneChevauxTraitParJour/10000)+((D44+D45)*HerbeMangéeParChevauxTraitAdultesParJour/10000)</f>
        <v>0</v>
      </c>
      <c r="E152" s="270">
        <f t="shared" si="30"/>
        <v>0</v>
      </c>
      <c r="F152" s="270">
        <f t="shared" si="30"/>
        <v>0</v>
      </c>
      <c r="G152" s="270">
        <f t="shared" si="30"/>
        <v>0</v>
      </c>
      <c r="H152" s="270">
        <f t="shared" si="30"/>
        <v>0</v>
      </c>
      <c r="I152" s="270">
        <f t="shared" si="30"/>
        <v>0</v>
      </c>
      <c r="J152" s="270">
        <f t="shared" si="30"/>
        <v>0</v>
      </c>
      <c r="K152" s="270">
        <f t="shared" si="30"/>
        <v>0</v>
      </c>
      <c r="L152" s="270">
        <f t="shared" si="30"/>
        <v>0</v>
      </c>
      <c r="M152" s="270">
        <f t="shared" si="30"/>
        <v>0</v>
      </c>
      <c r="N152" s="270">
        <f t="shared" si="30"/>
        <v>0</v>
      </c>
      <c r="O152" s="270">
        <f t="shared" si="30"/>
        <v>0</v>
      </c>
      <c r="P152" s="270">
        <f t="shared" si="30"/>
        <v>0</v>
      </c>
      <c r="Q152" s="270">
        <f t="shared" si="30"/>
        <v>0</v>
      </c>
      <c r="R152" s="270">
        <f t="shared" si="30"/>
        <v>0</v>
      </c>
      <c r="S152" s="270">
        <f t="shared" si="30"/>
        <v>0</v>
      </c>
      <c r="T152" s="270">
        <f t="shared" si="30"/>
        <v>0</v>
      </c>
      <c r="U152" s="270">
        <f t="shared" si="30"/>
        <v>0</v>
      </c>
      <c r="V152" s="270">
        <f t="shared" si="30"/>
        <v>0</v>
      </c>
      <c r="W152" s="270">
        <f t="shared" si="30"/>
        <v>0</v>
      </c>
      <c r="X152" s="270">
        <f t="shared" si="30"/>
        <v>0</v>
      </c>
      <c r="Y152" s="270">
        <f t="shared" si="30"/>
        <v>0</v>
      </c>
      <c r="Z152" s="270">
        <f t="shared" si="30"/>
        <v>0</v>
      </c>
      <c r="AA152" s="270">
        <f t="shared" si="30"/>
        <v>0</v>
      </c>
      <c r="AB152" s="270">
        <f t="shared" si="30"/>
        <v>0</v>
      </c>
      <c r="AC152" s="270">
        <f t="shared" si="30"/>
        <v>0</v>
      </c>
      <c r="AD152" s="270">
        <f t="shared" si="30"/>
        <v>0</v>
      </c>
      <c r="AE152" s="270">
        <f t="shared" si="30"/>
        <v>0</v>
      </c>
      <c r="AF152" s="270">
        <f t="shared" si="30"/>
        <v>0</v>
      </c>
      <c r="AG152" s="270">
        <f t="shared" si="30"/>
        <v>0</v>
      </c>
      <c r="AH152" s="270">
        <f t="shared" si="30"/>
        <v>0</v>
      </c>
      <c r="AI152" s="270">
        <f t="shared" si="30"/>
        <v>0</v>
      </c>
      <c r="AJ152" s="270">
        <f t="shared" ref="AJ152:BA152" si="31">((SUM(AJ32:AJ37)-AJ46)*HerbeMangéeParPoulainTraitParJour/10000)+((AJ38+AJ40+AJ42+AJ39+AJ41+AJ43)*HerbeMangéeParJeuneChevauxTraitParJour/10000)+((AJ44+AJ45)*HerbeMangéeParChevauxTraitAdultesParJour/10000)</f>
        <v>0</v>
      </c>
      <c r="AK152" s="270">
        <f t="shared" si="31"/>
        <v>0</v>
      </c>
      <c r="AL152" s="270">
        <f t="shared" si="31"/>
        <v>0</v>
      </c>
      <c r="AM152" s="270">
        <f t="shared" si="31"/>
        <v>0</v>
      </c>
      <c r="AN152" s="270">
        <f t="shared" si="31"/>
        <v>0</v>
      </c>
      <c r="AO152" s="270">
        <f t="shared" si="31"/>
        <v>0</v>
      </c>
      <c r="AP152" s="270">
        <f t="shared" si="31"/>
        <v>0</v>
      </c>
      <c r="AQ152" s="270">
        <f t="shared" si="31"/>
        <v>0</v>
      </c>
      <c r="AR152" s="270">
        <f t="shared" si="31"/>
        <v>0</v>
      </c>
      <c r="AS152" s="270">
        <f t="shared" si="31"/>
        <v>0</v>
      </c>
      <c r="AT152" s="270">
        <f t="shared" si="31"/>
        <v>0</v>
      </c>
      <c r="AU152" s="270">
        <f t="shared" si="31"/>
        <v>0</v>
      </c>
      <c r="AV152" s="270">
        <f t="shared" si="31"/>
        <v>0</v>
      </c>
      <c r="AW152" s="270">
        <f t="shared" si="31"/>
        <v>0</v>
      </c>
      <c r="AX152" s="270">
        <f t="shared" si="31"/>
        <v>0</v>
      </c>
      <c r="AY152" s="270">
        <f t="shared" si="31"/>
        <v>0</v>
      </c>
      <c r="AZ152" s="270">
        <f t="shared" si="31"/>
        <v>0</v>
      </c>
      <c r="BA152" s="270">
        <f t="shared" si="31"/>
        <v>0</v>
      </c>
    </row>
    <row r="153" spans="1:53" s="270" customFormat="1" x14ac:dyDescent="0.2">
      <c r="C153" s="270" t="s">
        <v>1449</v>
      </c>
      <c r="D153" s="270">
        <f t="shared" ref="D153:AI153" si="32">((SUM(D32:D37)-D46)*HerbeMangéeParPoulainPoneyParJour/10000)+((D38+D40+D42+D39+D41+D43)*HerbeMangéeParJeunePoneyParJour/10000)+((D44+D45)*HerbeMangéeParPoneyAdulteParJour/10000)</f>
        <v>0</v>
      </c>
      <c r="E153" s="270">
        <f t="shared" si="32"/>
        <v>0</v>
      </c>
      <c r="F153" s="270">
        <f t="shared" si="32"/>
        <v>0</v>
      </c>
      <c r="G153" s="270">
        <f t="shared" si="32"/>
        <v>0</v>
      </c>
      <c r="H153" s="270">
        <f t="shared" si="32"/>
        <v>0</v>
      </c>
      <c r="I153" s="270">
        <f t="shared" si="32"/>
        <v>0</v>
      </c>
      <c r="J153" s="270">
        <f t="shared" si="32"/>
        <v>0</v>
      </c>
      <c r="K153" s="270">
        <f t="shared" si="32"/>
        <v>0</v>
      </c>
      <c r="L153" s="270">
        <f t="shared" si="32"/>
        <v>0</v>
      </c>
      <c r="M153" s="270">
        <f t="shared" si="32"/>
        <v>0</v>
      </c>
      <c r="N153" s="270">
        <f t="shared" si="32"/>
        <v>0</v>
      </c>
      <c r="O153" s="270">
        <f t="shared" si="32"/>
        <v>0</v>
      </c>
      <c r="P153" s="270">
        <f t="shared" si="32"/>
        <v>0</v>
      </c>
      <c r="Q153" s="270">
        <f t="shared" si="32"/>
        <v>0</v>
      </c>
      <c r="R153" s="270">
        <f t="shared" si="32"/>
        <v>0</v>
      </c>
      <c r="S153" s="270">
        <f t="shared" si="32"/>
        <v>0</v>
      </c>
      <c r="T153" s="270">
        <f t="shared" si="32"/>
        <v>0</v>
      </c>
      <c r="U153" s="270">
        <f t="shared" si="32"/>
        <v>0</v>
      </c>
      <c r="V153" s="270">
        <f t="shared" si="32"/>
        <v>0</v>
      </c>
      <c r="W153" s="270">
        <f t="shared" si="32"/>
        <v>0</v>
      </c>
      <c r="X153" s="270">
        <f t="shared" si="32"/>
        <v>0</v>
      </c>
      <c r="Y153" s="270">
        <f t="shared" si="32"/>
        <v>0</v>
      </c>
      <c r="Z153" s="270">
        <f t="shared" si="32"/>
        <v>0</v>
      </c>
      <c r="AA153" s="270">
        <f t="shared" si="32"/>
        <v>0</v>
      </c>
      <c r="AB153" s="270">
        <f t="shared" si="32"/>
        <v>0</v>
      </c>
      <c r="AC153" s="270">
        <f t="shared" si="32"/>
        <v>0</v>
      </c>
      <c r="AD153" s="270">
        <f t="shared" si="32"/>
        <v>0</v>
      </c>
      <c r="AE153" s="270">
        <f t="shared" si="32"/>
        <v>0</v>
      </c>
      <c r="AF153" s="270">
        <f t="shared" si="32"/>
        <v>0</v>
      </c>
      <c r="AG153" s="270">
        <f t="shared" si="32"/>
        <v>0</v>
      </c>
      <c r="AH153" s="270">
        <f t="shared" si="32"/>
        <v>0</v>
      </c>
      <c r="AI153" s="270">
        <f t="shared" si="32"/>
        <v>0</v>
      </c>
      <c r="AJ153" s="270">
        <f t="shared" ref="AJ153:BA153" si="33">((SUM(AJ32:AJ37)-AJ46)*HerbeMangéeParPoulainPoneyParJour/10000)+((AJ38+AJ40+AJ42+AJ39+AJ41+AJ43)*HerbeMangéeParJeunePoneyParJour/10000)+((AJ44+AJ45)*HerbeMangéeParPoneyAdulteParJour/10000)</f>
        <v>0</v>
      </c>
      <c r="AK153" s="270">
        <f t="shared" si="33"/>
        <v>0</v>
      </c>
      <c r="AL153" s="270">
        <f t="shared" si="33"/>
        <v>0</v>
      </c>
      <c r="AM153" s="270">
        <f t="shared" si="33"/>
        <v>0</v>
      </c>
      <c r="AN153" s="270">
        <f t="shared" si="33"/>
        <v>0</v>
      </c>
      <c r="AO153" s="270">
        <f t="shared" si="33"/>
        <v>0</v>
      </c>
      <c r="AP153" s="270">
        <f t="shared" si="33"/>
        <v>0</v>
      </c>
      <c r="AQ153" s="270">
        <f t="shared" si="33"/>
        <v>0</v>
      </c>
      <c r="AR153" s="270">
        <f t="shared" si="33"/>
        <v>0</v>
      </c>
      <c r="AS153" s="270">
        <f t="shared" si="33"/>
        <v>0</v>
      </c>
      <c r="AT153" s="270">
        <f t="shared" si="33"/>
        <v>0</v>
      </c>
      <c r="AU153" s="270">
        <f t="shared" si="33"/>
        <v>0</v>
      </c>
      <c r="AV153" s="270">
        <f t="shared" si="33"/>
        <v>0</v>
      </c>
      <c r="AW153" s="270">
        <f t="shared" si="33"/>
        <v>0</v>
      </c>
      <c r="AX153" s="270">
        <f t="shared" si="33"/>
        <v>0</v>
      </c>
      <c r="AY153" s="270">
        <f t="shared" si="33"/>
        <v>0</v>
      </c>
      <c r="AZ153" s="270">
        <f t="shared" si="33"/>
        <v>0</v>
      </c>
      <c r="BA153" s="270">
        <f t="shared" si="33"/>
        <v>0</v>
      </c>
    </row>
    <row r="154" spans="1:53" s="270" customFormat="1" x14ac:dyDescent="0.2">
      <c r="C154" s="270" t="s">
        <v>656</v>
      </c>
      <c r="D154" s="270">
        <f t="shared" ref="D154:AI154" si="34">((SUM(D32:D37)-D46)*HerbeMangéeParFaonParJour/10000)+((D38+D40+D42+D39+D41+D43)*HerbeMangéeParJeuneDaimParJour/10000)+((D44+D45)*HerbeMangéeParDaimParJour/10000)</f>
        <v>0</v>
      </c>
      <c r="E154" s="270">
        <f t="shared" si="34"/>
        <v>0</v>
      </c>
      <c r="F154" s="270">
        <f t="shared" si="34"/>
        <v>0</v>
      </c>
      <c r="G154" s="270">
        <f t="shared" si="34"/>
        <v>0</v>
      </c>
      <c r="H154" s="270">
        <f t="shared" si="34"/>
        <v>0</v>
      </c>
      <c r="I154" s="270">
        <f t="shared" si="34"/>
        <v>0</v>
      </c>
      <c r="J154" s="270">
        <f t="shared" si="34"/>
        <v>0</v>
      </c>
      <c r="K154" s="270">
        <f t="shared" si="34"/>
        <v>0</v>
      </c>
      <c r="L154" s="270">
        <f t="shared" si="34"/>
        <v>0</v>
      </c>
      <c r="M154" s="270">
        <f t="shared" si="34"/>
        <v>0</v>
      </c>
      <c r="N154" s="270">
        <f t="shared" si="34"/>
        <v>0</v>
      </c>
      <c r="O154" s="270">
        <f t="shared" si="34"/>
        <v>0</v>
      </c>
      <c r="P154" s="270">
        <f t="shared" si="34"/>
        <v>0</v>
      </c>
      <c r="Q154" s="270">
        <f t="shared" si="34"/>
        <v>0</v>
      </c>
      <c r="R154" s="270">
        <f t="shared" si="34"/>
        <v>0</v>
      </c>
      <c r="S154" s="270">
        <f t="shared" si="34"/>
        <v>0</v>
      </c>
      <c r="T154" s="270">
        <f t="shared" si="34"/>
        <v>0</v>
      </c>
      <c r="U154" s="270">
        <f t="shared" si="34"/>
        <v>0</v>
      </c>
      <c r="V154" s="270">
        <f t="shared" si="34"/>
        <v>0</v>
      </c>
      <c r="W154" s="270">
        <f t="shared" si="34"/>
        <v>0</v>
      </c>
      <c r="X154" s="270">
        <f t="shared" si="34"/>
        <v>0</v>
      </c>
      <c r="Y154" s="270">
        <f t="shared" si="34"/>
        <v>0</v>
      </c>
      <c r="Z154" s="270">
        <f t="shared" si="34"/>
        <v>0</v>
      </c>
      <c r="AA154" s="270">
        <f t="shared" si="34"/>
        <v>0</v>
      </c>
      <c r="AB154" s="270">
        <f t="shared" si="34"/>
        <v>0</v>
      </c>
      <c r="AC154" s="270">
        <f t="shared" si="34"/>
        <v>0</v>
      </c>
      <c r="AD154" s="270">
        <f t="shared" si="34"/>
        <v>0</v>
      </c>
      <c r="AE154" s="270">
        <f t="shared" si="34"/>
        <v>0</v>
      </c>
      <c r="AF154" s="270">
        <f t="shared" si="34"/>
        <v>0</v>
      </c>
      <c r="AG154" s="270">
        <f t="shared" si="34"/>
        <v>0</v>
      </c>
      <c r="AH154" s="270">
        <f t="shared" si="34"/>
        <v>0</v>
      </c>
      <c r="AI154" s="270">
        <f t="shared" si="34"/>
        <v>0</v>
      </c>
      <c r="AJ154" s="270">
        <f t="shared" ref="AJ154:BA154" si="35">((SUM(AJ32:AJ37)-AJ46)*HerbeMangéeParFaonParJour/10000)+((AJ38+AJ40+AJ42+AJ39+AJ41+AJ43)*HerbeMangéeParJeuneDaimParJour/10000)+((AJ44+AJ45)*HerbeMangéeParDaimParJour/10000)</f>
        <v>0</v>
      </c>
      <c r="AK154" s="270">
        <f t="shared" si="35"/>
        <v>0</v>
      </c>
      <c r="AL154" s="270">
        <f t="shared" si="35"/>
        <v>0</v>
      </c>
      <c r="AM154" s="270">
        <f t="shared" si="35"/>
        <v>0</v>
      </c>
      <c r="AN154" s="270">
        <f t="shared" si="35"/>
        <v>0</v>
      </c>
      <c r="AO154" s="270">
        <f t="shared" si="35"/>
        <v>0</v>
      </c>
      <c r="AP154" s="270">
        <f t="shared" si="35"/>
        <v>0</v>
      </c>
      <c r="AQ154" s="270">
        <f t="shared" si="35"/>
        <v>0</v>
      </c>
      <c r="AR154" s="270">
        <f t="shared" si="35"/>
        <v>0</v>
      </c>
      <c r="AS154" s="270">
        <f t="shared" si="35"/>
        <v>0</v>
      </c>
      <c r="AT154" s="270">
        <f t="shared" si="35"/>
        <v>0</v>
      </c>
      <c r="AU154" s="270">
        <f t="shared" si="35"/>
        <v>0</v>
      </c>
      <c r="AV154" s="270">
        <f t="shared" si="35"/>
        <v>0</v>
      </c>
      <c r="AW154" s="270">
        <f t="shared" si="35"/>
        <v>0</v>
      </c>
      <c r="AX154" s="270">
        <f t="shared" si="35"/>
        <v>0</v>
      </c>
      <c r="AY154" s="270">
        <f t="shared" si="35"/>
        <v>0</v>
      </c>
      <c r="AZ154" s="270">
        <f t="shared" si="35"/>
        <v>0</v>
      </c>
      <c r="BA154" s="270">
        <f t="shared" si="35"/>
        <v>0</v>
      </c>
    </row>
    <row r="155" spans="1:53" s="270" customFormat="1" x14ac:dyDescent="0.2"/>
    <row r="156" spans="1:53" s="270" customFormat="1" x14ac:dyDescent="0.2"/>
    <row r="157" spans="1:53" s="270" customFormat="1" x14ac:dyDescent="0.2"/>
    <row r="158" spans="1:53" s="270" customFormat="1" x14ac:dyDescent="0.2"/>
    <row r="159" spans="1:53" s="270" customFormat="1" x14ac:dyDescent="0.2"/>
    <row r="160" spans="1:53" s="270" customFormat="1" x14ac:dyDescent="0.2"/>
    <row r="161" spans="2:9" s="270" customFormat="1" x14ac:dyDescent="0.2"/>
    <row r="162" spans="2:9" s="270" customFormat="1" x14ac:dyDescent="0.2"/>
    <row r="163" spans="2:9" s="270" customFormat="1" x14ac:dyDescent="0.2"/>
    <row r="164" spans="2:9" s="270" customFormat="1" x14ac:dyDescent="0.2"/>
    <row r="165" spans="2:9" s="270" customFormat="1" x14ac:dyDescent="0.2"/>
    <row r="166" spans="2:9" s="270" customFormat="1" x14ac:dyDescent="0.2"/>
    <row r="167" spans="2:9" s="270" customFormat="1" x14ac:dyDescent="0.2"/>
    <row r="168" spans="2:9" s="270" customFormat="1" x14ac:dyDescent="0.2">
      <c r="B168" s="616"/>
    </row>
    <row r="169" spans="2:9" s="270" customFormat="1" x14ac:dyDescent="0.2"/>
    <row r="170" spans="2:9" s="270" customFormat="1" x14ac:dyDescent="0.2"/>
    <row r="171" spans="2:9" s="270" customFormat="1" x14ac:dyDescent="0.2">
      <c r="B171" s="616"/>
    </row>
    <row r="172" spans="2:9" s="270" customFormat="1" x14ac:dyDescent="0.2">
      <c r="B172" s="616"/>
    </row>
    <row r="173" spans="2:9" s="270" customFormat="1" x14ac:dyDescent="0.2">
      <c r="B173" s="616"/>
    </row>
    <row r="174" spans="2:9" s="270" customFormat="1" x14ac:dyDescent="0.2"/>
    <row r="175" spans="2:9" s="270" customFormat="1" x14ac:dyDescent="0.2">
      <c r="B175" s="621"/>
      <c r="C175" s="621"/>
      <c r="D175" s="621"/>
      <c r="E175" s="621"/>
      <c r="F175" s="621"/>
      <c r="G175" s="621"/>
      <c r="H175" s="621"/>
      <c r="I175" s="621"/>
    </row>
    <row r="176" spans="2:9" s="270" customFormat="1" x14ac:dyDescent="0.2">
      <c r="B176" s="621"/>
      <c r="C176" s="622"/>
      <c r="D176" s="622"/>
      <c r="E176" s="622"/>
      <c r="F176" s="622"/>
      <c r="G176" s="622"/>
      <c r="H176" s="622"/>
      <c r="I176" s="622"/>
    </row>
    <row r="177" spans="1:9" s="270" customFormat="1" x14ac:dyDescent="0.2">
      <c r="B177" s="621"/>
      <c r="C177" s="621"/>
      <c r="D177" s="621"/>
      <c r="E177" s="621"/>
      <c r="F177" s="621"/>
      <c r="G177" s="621"/>
      <c r="H177" s="621"/>
      <c r="I177" s="621"/>
    </row>
    <row r="178" spans="1:9" s="270" customFormat="1" x14ac:dyDescent="0.2">
      <c r="A178" s="623"/>
      <c r="B178" s="621"/>
      <c r="C178" s="621"/>
      <c r="D178" s="621"/>
      <c r="E178" s="621"/>
      <c r="F178" s="621"/>
      <c r="G178" s="621"/>
      <c r="H178" s="621"/>
      <c r="I178" s="621"/>
    </row>
    <row r="179" spans="1:9" s="270" customFormat="1" x14ac:dyDescent="0.2">
      <c r="A179" s="623"/>
      <c r="B179" s="621"/>
      <c r="C179" s="621"/>
      <c r="D179" s="621"/>
      <c r="E179" s="621"/>
      <c r="F179" s="621"/>
      <c r="G179" s="621"/>
      <c r="H179" s="621"/>
      <c r="I179" s="621"/>
    </row>
    <row r="180" spans="1:9" s="270" customFormat="1" x14ac:dyDescent="0.2">
      <c r="A180" s="623"/>
      <c r="B180" s="621"/>
      <c r="C180" s="621"/>
      <c r="D180" s="621"/>
      <c r="E180" s="621"/>
      <c r="F180" s="621"/>
      <c r="G180" s="621"/>
      <c r="H180" s="621"/>
      <c r="I180" s="621"/>
    </row>
    <row r="181" spans="1:9" s="270" customFormat="1" x14ac:dyDescent="0.2">
      <c r="A181" s="623"/>
      <c r="B181" s="621"/>
      <c r="C181" s="621"/>
      <c r="D181" s="621"/>
      <c r="E181" s="621"/>
      <c r="F181" s="621"/>
      <c r="G181" s="621"/>
      <c r="H181" s="621"/>
      <c r="I181" s="621"/>
    </row>
    <row r="182" spans="1:9" s="270" customFormat="1" x14ac:dyDescent="0.2">
      <c r="A182" s="623"/>
      <c r="B182" s="621"/>
      <c r="C182" s="621"/>
      <c r="D182" s="621"/>
      <c r="E182" s="621"/>
      <c r="F182" s="621"/>
      <c r="G182" s="621"/>
      <c r="H182" s="621"/>
      <c r="I182" s="621"/>
    </row>
    <row r="183" spans="1:9" s="270" customFormat="1" x14ac:dyDescent="0.2">
      <c r="A183" s="623"/>
      <c r="B183" s="621"/>
      <c r="C183" s="621"/>
      <c r="D183" s="621"/>
      <c r="E183" s="621"/>
      <c r="F183" s="621"/>
      <c r="G183" s="621"/>
      <c r="H183" s="621"/>
      <c r="I183" s="621"/>
    </row>
    <row r="184" spans="1:9" s="270" customFormat="1" x14ac:dyDescent="0.2">
      <c r="A184" s="623"/>
      <c r="B184" s="621"/>
      <c r="C184" s="621"/>
      <c r="D184" s="621"/>
      <c r="E184" s="621"/>
      <c r="F184" s="621"/>
      <c r="G184" s="621"/>
      <c r="H184" s="621"/>
      <c r="I184" s="621"/>
    </row>
    <row r="185" spans="1:9" s="270" customFormat="1" x14ac:dyDescent="0.2">
      <c r="A185" s="623"/>
      <c r="B185" s="621"/>
      <c r="C185" s="621"/>
      <c r="D185" s="621"/>
      <c r="E185" s="621"/>
      <c r="F185" s="621"/>
      <c r="G185" s="621"/>
      <c r="H185" s="621"/>
      <c r="I185" s="621"/>
    </row>
    <row r="186" spans="1:9" s="270" customFormat="1" x14ac:dyDescent="0.2">
      <c r="A186" s="623"/>
      <c r="B186" s="621"/>
      <c r="C186" s="621"/>
      <c r="D186" s="621"/>
      <c r="E186" s="621"/>
      <c r="F186" s="621"/>
      <c r="G186" s="621"/>
      <c r="H186" s="621"/>
      <c r="I186" s="621"/>
    </row>
    <row r="187" spans="1:9" s="270" customFormat="1" x14ac:dyDescent="0.2">
      <c r="A187" s="623"/>
      <c r="B187" s="621"/>
      <c r="C187" s="621"/>
      <c r="D187" s="621"/>
      <c r="E187" s="621"/>
      <c r="F187" s="621"/>
      <c r="G187" s="621"/>
      <c r="H187" s="621"/>
      <c r="I187" s="621"/>
    </row>
    <row r="188" spans="1:9" s="270" customFormat="1" x14ac:dyDescent="0.2">
      <c r="A188" s="623"/>
      <c r="B188" s="621"/>
      <c r="C188" s="621"/>
      <c r="D188" s="621"/>
      <c r="E188" s="621"/>
      <c r="F188" s="621"/>
      <c r="G188" s="621"/>
      <c r="H188" s="621"/>
      <c r="I188" s="621"/>
    </row>
    <row r="189" spans="1:9" s="456" customFormat="1" x14ac:dyDescent="0.2">
      <c r="A189" s="458"/>
      <c r="B189" s="457"/>
      <c r="C189" s="457"/>
      <c r="D189" s="457"/>
      <c r="E189" s="457"/>
      <c r="F189" s="457"/>
      <c r="G189" s="457"/>
      <c r="H189" s="457"/>
      <c r="I189" s="457"/>
    </row>
    <row r="190" spans="1:9" s="456" customFormat="1" x14ac:dyDescent="0.2">
      <c r="A190" s="458"/>
      <c r="B190" s="457"/>
      <c r="C190" s="457"/>
      <c r="D190" s="457"/>
      <c r="E190" s="457"/>
      <c r="F190" s="457"/>
      <c r="G190" s="457"/>
      <c r="H190" s="457"/>
      <c r="I190" s="457"/>
    </row>
    <row r="191" spans="1:9" s="456" customFormat="1" x14ac:dyDescent="0.2">
      <c r="A191" s="458"/>
      <c r="B191" s="457"/>
      <c r="C191" s="457"/>
      <c r="D191" s="457"/>
      <c r="E191" s="457"/>
      <c r="F191" s="457"/>
      <c r="G191" s="457"/>
      <c r="H191" s="457"/>
      <c r="I191" s="457"/>
    </row>
    <row r="192" spans="1:9" s="456" customFormat="1" x14ac:dyDescent="0.2"/>
    <row r="193" spans="4:22" s="456" customFormat="1" x14ac:dyDescent="0.2"/>
    <row r="194" spans="4:22" s="456" customFormat="1" x14ac:dyDescent="0.2"/>
    <row r="195" spans="4:22" s="456" customFormat="1" x14ac:dyDescent="0.2"/>
    <row r="196" spans="4:22" s="456" customFormat="1" x14ac:dyDescent="0.2"/>
    <row r="197" spans="4:22" s="455" customFormat="1" x14ac:dyDescent="0.2"/>
    <row r="198" spans="4:22" s="455" customFormat="1" x14ac:dyDescent="0.2"/>
    <row r="199" spans="4:22" s="455" customFormat="1" x14ac:dyDescent="0.2"/>
    <row r="200" spans="4:22" s="455" customFormat="1" x14ac:dyDescent="0.2"/>
    <row r="201" spans="4:22" s="455" customFormat="1" x14ac:dyDescent="0.2"/>
    <row r="202" spans="4:22" s="455" customFormat="1" x14ac:dyDescent="0.2"/>
    <row r="203" spans="4:22" s="455" customFormat="1" x14ac:dyDescent="0.2"/>
    <row r="204" spans="4:22" s="455" customFormat="1" x14ac:dyDescent="0.2"/>
    <row r="205" spans="4:22" s="455" customFormat="1" x14ac:dyDescent="0.2"/>
    <row r="206" spans="4:22" x14ac:dyDescent="0.2">
      <c r="D206" s="396"/>
      <c r="E206" s="396"/>
      <c r="F206" s="396"/>
      <c r="G206" s="396"/>
      <c r="H206" s="396"/>
      <c r="I206" s="396"/>
      <c r="J206" s="396"/>
      <c r="K206" s="396"/>
      <c r="L206" s="396"/>
      <c r="M206" s="396"/>
      <c r="N206" s="396"/>
      <c r="O206" s="396"/>
      <c r="P206" s="396"/>
      <c r="Q206" s="396"/>
      <c r="R206" s="396"/>
      <c r="S206" s="396"/>
      <c r="T206" s="396"/>
      <c r="U206" s="396"/>
      <c r="V206" s="396"/>
    </row>
    <row r="207" spans="4:22" x14ac:dyDescent="0.2">
      <c r="D207" s="396"/>
      <c r="E207" s="396"/>
      <c r="F207" s="396"/>
      <c r="G207" s="396"/>
      <c r="H207" s="396"/>
      <c r="I207" s="396"/>
      <c r="J207" s="396"/>
      <c r="K207" s="396"/>
      <c r="L207" s="396"/>
      <c r="M207" s="396"/>
      <c r="N207" s="396"/>
      <c r="O207" s="396"/>
      <c r="P207" s="396"/>
      <c r="Q207" s="396"/>
      <c r="R207" s="396"/>
      <c r="S207" s="396"/>
      <c r="T207" s="396"/>
      <c r="U207" s="396"/>
      <c r="V207" s="396"/>
    </row>
    <row r="208" spans="4:22" x14ac:dyDescent="0.2">
      <c r="D208" s="396"/>
      <c r="E208" s="396"/>
      <c r="F208" s="396"/>
      <c r="G208" s="396"/>
      <c r="H208" s="396"/>
      <c r="I208" s="396"/>
      <c r="J208" s="396"/>
      <c r="K208" s="396"/>
      <c r="L208" s="396"/>
      <c r="M208" s="396"/>
      <c r="N208" s="396"/>
      <c r="O208" s="396"/>
      <c r="P208" s="396"/>
      <c r="Q208" s="396"/>
      <c r="R208" s="396"/>
      <c r="S208" s="396"/>
      <c r="T208" s="396"/>
      <c r="U208" s="396"/>
      <c r="V208" s="396"/>
    </row>
    <row r="209" spans="4:22" x14ac:dyDescent="0.2">
      <c r="D209" s="396"/>
      <c r="E209" s="396"/>
      <c r="F209" s="396"/>
      <c r="G209" s="396"/>
      <c r="H209" s="396"/>
      <c r="I209" s="396"/>
      <c r="J209" s="396"/>
      <c r="K209" s="396"/>
      <c r="L209" s="396"/>
      <c r="M209" s="396"/>
      <c r="N209" s="396"/>
      <c r="O209" s="396"/>
      <c r="P209" s="396"/>
      <c r="Q209" s="396"/>
      <c r="R209" s="396"/>
      <c r="S209" s="396"/>
      <c r="T209" s="396"/>
      <c r="U209" s="396"/>
      <c r="V209" s="396"/>
    </row>
    <row r="210" spans="4:22" x14ac:dyDescent="0.2">
      <c r="D210" s="396"/>
      <c r="E210" s="396"/>
      <c r="F210" s="396"/>
      <c r="G210" s="396"/>
      <c r="H210" s="396"/>
      <c r="I210" s="396"/>
      <c r="J210" s="396"/>
      <c r="K210" s="396"/>
      <c r="L210" s="396"/>
      <c r="M210" s="396"/>
      <c r="N210" s="396"/>
      <c r="O210" s="396"/>
      <c r="P210" s="396"/>
      <c r="Q210" s="396"/>
      <c r="R210" s="396"/>
      <c r="S210" s="396"/>
      <c r="T210" s="396"/>
      <c r="U210" s="396"/>
      <c r="V210" s="396"/>
    </row>
    <row r="211" spans="4:22" x14ac:dyDescent="0.2">
      <c r="D211" s="396"/>
      <c r="E211" s="396"/>
      <c r="F211" s="396"/>
      <c r="G211" s="396"/>
      <c r="H211" s="396"/>
      <c r="I211" s="396"/>
      <c r="J211" s="396"/>
      <c r="K211" s="396"/>
      <c r="L211" s="396"/>
      <c r="M211" s="396"/>
      <c r="N211" s="396"/>
      <c r="O211" s="396"/>
      <c r="P211" s="396"/>
      <c r="Q211" s="396"/>
      <c r="R211" s="396"/>
      <c r="S211" s="396"/>
      <c r="T211" s="396"/>
      <c r="U211" s="396"/>
      <c r="V211" s="396"/>
    </row>
    <row r="212" spans="4:22" x14ac:dyDescent="0.2">
      <c r="D212" s="396"/>
      <c r="E212" s="396"/>
      <c r="F212" s="396"/>
      <c r="G212" s="396"/>
      <c r="H212" s="396"/>
      <c r="I212" s="396"/>
      <c r="J212" s="396"/>
      <c r="K212" s="396"/>
      <c r="L212" s="396"/>
      <c r="M212" s="396"/>
      <c r="N212" s="396"/>
      <c r="O212" s="396"/>
      <c r="P212" s="396"/>
      <c r="Q212" s="396"/>
      <c r="R212" s="396"/>
      <c r="S212" s="396"/>
      <c r="T212" s="396"/>
      <c r="U212" s="396"/>
      <c r="V212" s="396"/>
    </row>
    <row r="213" spans="4:22" x14ac:dyDescent="0.2">
      <c r="D213" s="396"/>
      <c r="E213" s="396"/>
      <c r="F213" s="396"/>
      <c r="G213" s="396"/>
      <c r="H213" s="396"/>
      <c r="I213" s="396"/>
      <c r="J213" s="396"/>
      <c r="K213" s="396"/>
      <c r="L213" s="396"/>
      <c r="M213" s="396"/>
      <c r="N213" s="396"/>
      <c r="O213" s="396"/>
      <c r="P213" s="396"/>
      <c r="Q213" s="396"/>
      <c r="R213" s="396"/>
      <c r="S213" s="396"/>
      <c r="T213" s="396"/>
      <c r="U213" s="396"/>
      <c r="V213" s="396"/>
    </row>
    <row r="214" spans="4:22" x14ac:dyDescent="0.2">
      <c r="D214" s="396"/>
      <c r="E214" s="396"/>
      <c r="F214" s="396"/>
      <c r="G214" s="396"/>
      <c r="H214" s="396"/>
      <c r="I214" s="396"/>
      <c r="J214" s="396"/>
      <c r="K214" s="396"/>
      <c r="L214" s="396"/>
      <c r="M214" s="396"/>
      <c r="N214" s="396"/>
      <c r="O214" s="396"/>
      <c r="P214" s="396"/>
      <c r="Q214" s="396"/>
      <c r="R214" s="396"/>
      <c r="S214" s="396"/>
      <c r="T214" s="396"/>
      <c r="U214" s="396"/>
      <c r="V214" s="396"/>
    </row>
    <row r="215" spans="4:22" x14ac:dyDescent="0.2">
      <c r="D215" s="396"/>
      <c r="E215" s="396"/>
      <c r="F215" s="396"/>
      <c r="G215" s="396"/>
      <c r="H215" s="396"/>
      <c r="I215" s="396"/>
      <c r="J215" s="396"/>
      <c r="K215" s="396"/>
      <c r="L215" s="396"/>
      <c r="M215" s="396"/>
      <c r="N215" s="396"/>
      <c r="O215" s="396"/>
      <c r="P215" s="396"/>
      <c r="Q215" s="396"/>
      <c r="R215" s="396"/>
      <c r="S215" s="396"/>
      <c r="T215" s="396"/>
      <c r="U215" s="396"/>
      <c r="V215" s="396"/>
    </row>
    <row r="216" spans="4:22" x14ac:dyDescent="0.2">
      <c r="D216" s="396"/>
      <c r="E216" s="396"/>
      <c r="F216" s="396"/>
      <c r="G216" s="396"/>
      <c r="H216" s="396"/>
      <c r="I216" s="396"/>
      <c r="J216" s="396"/>
      <c r="K216" s="396"/>
      <c r="L216" s="396"/>
      <c r="M216" s="396"/>
      <c r="N216" s="396"/>
      <c r="O216" s="396"/>
      <c r="P216" s="396"/>
      <c r="Q216" s="396"/>
      <c r="R216" s="396"/>
      <c r="S216" s="396"/>
      <c r="T216" s="396"/>
      <c r="U216" s="396"/>
      <c r="V216" s="396"/>
    </row>
    <row r="217" spans="4:22" x14ac:dyDescent="0.2">
      <c r="D217" s="396"/>
      <c r="E217" s="396"/>
      <c r="F217" s="396"/>
      <c r="G217" s="396"/>
      <c r="H217" s="396"/>
      <c r="I217" s="396"/>
      <c r="J217" s="396"/>
      <c r="K217" s="396"/>
      <c r="L217" s="396"/>
      <c r="M217" s="396"/>
      <c r="N217" s="396"/>
      <c r="O217" s="396"/>
      <c r="P217" s="396"/>
      <c r="Q217" s="396"/>
      <c r="R217" s="396"/>
      <c r="S217" s="396"/>
      <c r="T217" s="396"/>
      <c r="U217" s="396"/>
      <c r="V217" s="396"/>
    </row>
    <row r="218" spans="4:22" x14ac:dyDescent="0.2">
      <c r="D218" s="396"/>
      <c r="E218" s="396"/>
      <c r="F218" s="396"/>
      <c r="G218" s="396"/>
      <c r="H218" s="396"/>
      <c r="I218" s="396"/>
      <c r="J218" s="396"/>
      <c r="K218" s="396"/>
      <c r="L218" s="396"/>
      <c r="M218" s="396"/>
      <c r="N218" s="396"/>
      <c r="O218" s="396"/>
      <c r="P218" s="396"/>
      <c r="Q218" s="396"/>
      <c r="R218" s="396"/>
      <c r="S218" s="396"/>
      <c r="T218" s="396"/>
      <c r="U218" s="396"/>
      <c r="V218" s="396"/>
    </row>
  </sheetData>
  <sheetProtection pivotTables="0"/>
  <mergeCells count="21">
    <mergeCell ref="K7:S7"/>
    <mergeCell ref="I18:K18"/>
    <mergeCell ref="B1:C1"/>
    <mergeCell ref="D1:E1"/>
    <mergeCell ref="B3:C3"/>
    <mergeCell ref="B5:H9"/>
    <mergeCell ref="I12:K12"/>
    <mergeCell ref="I13:K13"/>
    <mergeCell ref="I14:K14"/>
    <mergeCell ref="I15:K15"/>
    <mergeCell ref="I16:K16"/>
    <mergeCell ref="I17:K17"/>
    <mergeCell ref="C42:C43"/>
    <mergeCell ref="C44:C45"/>
    <mergeCell ref="C56:D56"/>
    <mergeCell ref="I19:K19"/>
    <mergeCell ref="C32:C33"/>
    <mergeCell ref="C34:C35"/>
    <mergeCell ref="C36:C37"/>
    <mergeCell ref="C38:C39"/>
    <mergeCell ref="C40:C41"/>
  </mergeCells>
  <conditionalFormatting sqref="D50:BA50">
    <cfRule type="cellIs" dxfId="302" priority="13" stopIfTrue="1" operator="greaterThan">
      <formula>D29</formula>
    </cfRule>
  </conditionalFormatting>
  <conditionalFormatting sqref="C12:C19 E12:E19">
    <cfRule type="cellIs" dxfId="301" priority="16" stopIfTrue="1" operator="equal">
      <formula>"N.C."</formula>
    </cfRule>
    <cfRule type="cellIs" dxfId="300" priority="17" stopIfTrue="1" operator="greaterThan">
      <formula>0</formula>
    </cfRule>
  </conditionalFormatting>
  <conditionalFormatting sqref="D48:BA48">
    <cfRule type="cellIs" dxfId="299" priority="18" stopIfTrue="1" operator="lessThan">
      <formula>0</formula>
    </cfRule>
  </conditionalFormatting>
  <conditionalFormatting sqref="D49:BA49 D51:BA51">
    <cfRule type="cellIs" dxfId="298" priority="19" stopIfTrue="1" operator="greaterThan">
      <formula>0</formula>
    </cfRule>
  </conditionalFormatting>
  <conditionalFormatting sqref="L17:L19 L12:L15">
    <cfRule type="cellIs" dxfId="297" priority="20" stopIfTrue="1" operator="equal">
      <formula>"N.C."</formula>
    </cfRule>
  </conditionalFormatting>
  <conditionalFormatting sqref="G12:G19">
    <cfRule type="cellIs" dxfId="296" priority="21" stopIfTrue="1" operator="lessThan">
      <formula>$E$12</formula>
    </cfRule>
    <cfRule type="cellIs" dxfId="295" priority="22" stopIfTrue="1" operator="equal">
      <formula>"N.C."</formula>
    </cfRule>
    <cfRule type="cellIs" dxfId="294" priority="23" stopIfTrue="1" operator="greaterThanOrEqual">
      <formula>$E$12</formula>
    </cfRule>
  </conditionalFormatting>
  <conditionalFormatting sqref="G13">
    <cfRule type="cellIs" dxfId="293" priority="24" stopIfTrue="1" operator="lessThan">
      <formula>$E$13</formula>
    </cfRule>
    <cfRule type="cellIs" dxfId="292" priority="25" stopIfTrue="1" operator="equal">
      <formula>"N.C."</formula>
    </cfRule>
    <cfRule type="cellIs" dxfId="291" priority="26" stopIfTrue="1" operator="greaterThanOrEqual">
      <formula>$E$13</formula>
    </cfRule>
  </conditionalFormatting>
  <conditionalFormatting sqref="G14">
    <cfRule type="cellIs" dxfId="290" priority="27" stopIfTrue="1" operator="lessThan">
      <formula>$E$14</formula>
    </cfRule>
    <cfRule type="cellIs" dxfId="289" priority="28" stopIfTrue="1" operator="equal">
      <formula>"N.C."</formula>
    </cfRule>
    <cfRule type="cellIs" dxfId="288" priority="29" stopIfTrue="1" operator="greaterThanOrEqual">
      <formula>$E$14</formula>
    </cfRule>
  </conditionalFormatting>
  <conditionalFormatting sqref="G15:G19">
    <cfRule type="cellIs" dxfId="287" priority="30" stopIfTrue="1" operator="lessThan">
      <formula>$E$15</formula>
    </cfRule>
    <cfRule type="cellIs" dxfId="286" priority="31" stopIfTrue="1" operator="equal">
      <formula>"N.C."</formula>
    </cfRule>
    <cfRule type="cellIs" dxfId="285" priority="32" stopIfTrue="1" operator="greaterThanOrEqual">
      <formula>$E$15</formula>
    </cfRule>
  </conditionalFormatting>
  <conditionalFormatting sqref="D53:BA53">
    <cfRule type="cellIs" dxfId="284" priority="33" stopIfTrue="1" operator="lessThan">
      <formula>-2</formula>
    </cfRule>
    <cfRule type="cellIs" dxfId="283" priority="34" stopIfTrue="1" operator="between">
      <formula>0</formula>
      <formula>-1.99</formula>
    </cfRule>
  </conditionalFormatting>
  <conditionalFormatting sqref="D52:BA52">
    <cfRule type="cellIs" dxfId="282" priority="35" stopIfTrue="1" operator="lessThan">
      <formula>-2</formula>
    </cfRule>
    <cfRule type="cellIs" dxfId="281" priority="36" stopIfTrue="1" operator="equal">
      <formula>"N.C."</formula>
    </cfRule>
    <cfRule type="cellIs" dxfId="280" priority="37" stopIfTrue="1" operator="between">
      <formula>0</formula>
      <formula>-1.99</formula>
    </cfRule>
  </conditionalFormatting>
  <conditionalFormatting sqref="L16">
    <cfRule type="cellIs" dxfId="279" priority="12" stopIfTrue="1" operator="equal">
      <formula>"N.C."</formula>
    </cfRule>
  </conditionalFormatting>
  <conditionalFormatting sqref="E40:BA45">
    <cfRule type="expression" dxfId="278" priority="11" stopIfTrue="1">
      <formula>IF(OR(E$24=$C$149,E$24=$C$150),TRUE,FALSE)</formula>
    </cfRule>
  </conditionalFormatting>
  <conditionalFormatting sqref="D47:BA47">
    <cfRule type="expression" dxfId="277" priority="321" stopIfTrue="1">
      <formula>D134&lt;0</formula>
    </cfRule>
    <cfRule type="cellIs" dxfId="276" priority="322" stopIfTrue="1" operator="equal">
      <formula>"N.C. : il faut 1ha/animal"</formula>
    </cfRule>
  </conditionalFormatting>
  <conditionalFormatting sqref="D40:D45">
    <cfRule type="expression" dxfId="275" priority="5" stopIfTrue="1">
      <formula>IF(OR(D$24=$C$149,D$24=$C$150),TRUE,FALSE)</formula>
    </cfRule>
  </conditionalFormatting>
  <conditionalFormatting sqref="F12:F19">
    <cfRule type="cellIs" dxfId="274" priority="3" stopIfTrue="1" operator="equal">
      <formula>"N.C."</formula>
    </cfRule>
    <cfRule type="cellIs" dxfId="273" priority="4" stopIfTrue="1" operator="greaterThan">
      <formula>0</formula>
    </cfRule>
  </conditionalFormatting>
  <conditionalFormatting sqref="D12:D19">
    <cfRule type="cellIs" dxfId="272" priority="1" stopIfTrue="1" operator="equal">
      <formula>"N.C."</formula>
    </cfRule>
    <cfRule type="cellIs" dxfId="271" priority="2" stopIfTrue="1" operator="greaterThan">
      <formula>0</formula>
    </cfRule>
  </conditionalFormatting>
  <dataValidations count="2">
    <dataValidation type="list" allowBlank="1" showInputMessage="1" showErrorMessage="1" sqref="D24:BA24">
      <formula1>$B$12:$B$19</formula1>
    </dataValidation>
    <dataValidation type="list" allowBlank="1" showInputMessage="1" showErrorMessage="1" sqref="C47">
      <formula1>$C$133:$C$134</formula1>
    </dataValidation>
  </dataValidations>
  <hyperlinks>
    <hyperlink ref="D1:E1" location="notice!A1" display="Cliques → ICI ←"/>
    <hyperlink ref="C56:D56" location="'pâtures et foin'!A1" display="Cliques → ICI ←"/>
  </hyperlinks>
  <pageMargins left="0.78740157499999996" right="0.78740157499999996" top="0.984251969" bottom="0.984251969" header="0.5" footer="0.5"/>
  <pageSetup paperSize="9" orientation="portrait" r:id="rId1"/>
  <headerFooter alignWithMargins="0"/>
  <ignoredErrors>
    <ignoredError sqref="B133:BA140 B142:BA147 B141 D141:BA141 B154:E154 B148:E153 H53 H148:H154 G149:G150" formulaRange="1"/>
    <ignoredError sqref="C141" twoDigitTextYear="1" formulaRange="1"/>
  </ignoredError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BDD!$O$111:$O$121</xm:f>
          </x14:formula1>
          <xm:sqref>D28:BA28</xm:sqref>
        </x14:dataValidation>
        <x14:dataValidation type="list" allowBlank="1" showInputMessage="1" showErrorMessage="1">
          <x14:formula1>
            <xm:f>BDD!$O$83:$O$84</xm:f>
          </x14:formula1>
          <xm:sqref>D25:BA25</xm:sqref>
        </x14:dataValidation>
        <x14:dataValidation type="list" allowBlank="1" showInputMessage="1" showErrorMessage="1">
          <x14:formula1>
            <xm:f>BDD!$F$10:$F$17</xm:f>
          </x14:formula1>
          <xm:sqref>D26:BA26</xm:sqref>
        </x14:dataValidation>
        <x14:dataValidation type="list" allowBlank="1" showInputMessage="1" showErrorMessage="1">
          <x14:formula1>
            <xm:f>BDD!$Q$82:$Q$85</xm:f>
          </x14:formula1>
          <xm:sqref>D31:BA31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0"/>
  <sheetViews>
    <sheetView zoomScale="85" zoomScaleNormal="85" workbookViewId="0"/>
  </sheetViews>
  <sheetFormatPr baseColWidth="10" defaultColWidth="9.140625" defaultRowHeight="12.75" x14ac:dyDescent="0.2"/>
  <cols>
    <col min="1" max="1" width="6.28515625" style="125" customWidth="1"/>
    <col min="2" max="2" width="42" style="125" bestFit="1" customWidth="1"/>
    <col min="3" max="4" width="14.7109375" style="125" customWidth="1"/>
    <col min="5" max="5" width="15.7109375" style="125" customWidth="1"/>
    <col min="6" max="8" width="14.7109375" style="125" customWidth="1"/>
    <col min="9" max="9" width="16.5703125" style="125" customWidth="1"/>
    <col min="10" max="10" width="10.85546875" style="125" customWidth="1"/>
    <col min="11" max="11" width="15.85546875" style="125" customWidth="1"/>
    <col min="12" max="12" width="20.42578125" style="125" customWidth="1"/>
    <col min="13" max="13" width="16.42578125" style="125" customWidth="1"/>
    <col min="14" max="14" width="9" style="30" customWidth="1"/>
    <col min="15" max="15" width="9.140625" style="30"/>
    <col min="16" max="17" width="18.140625" style="30" customWidth="1"/>
    <col min="18" max="18" width="11.28515625" style="30" bestFit="1" customWidth="1"/>
    <col min="19" max="19" width="10.140625" style="30" customWidth="1"/>
    <col min="20" max="26" width="10.140625" style="125" bestFit="1" customWidth="1"/>
    <col min="27" max="48" width="9.140625" style="125"/>
    <col min="49" max="49" width="20.7109375" style="125" bestFit="1" customWidth="1"/>
    <col min="50" max="51" width="9.140625" style="125"/>
    <col min="52" max="52" width="11.5703125" style="125" bestFit="1" customWidth="1"/>
    <col min="53" max="53" width="13.85546875" style="125" bestFit="1" customWidth="1"/>
    <col min="54" max="55" width="9.140625" style="125"/>
    <col min="56" max="56" width="12.5703125" style="125" customWidth="1"/>
    <col min="57" max="57" width="12" style="125" customWidth="1"/>
    <col min="58" max="58" width="12.5703125" style="125" customWidth="1"/>
    <col min="59" max="59" width="16.7109375" style="125" bestFit="1" customWidth="1"/>
    <col min="60" max="60" width="9.28515625" style="125" bestFit="1" customWidth="1"/>
    <col min="61" max="16384" width="9.140625" style="125"/>
  </cols>
  <sheetData>
    <row r="1" spans="1:26" s="30" customFormat="1" x14ac:dyDescent="0.2">
      <c r="A1" s="1125"/>
      <c r="B1" s="104" t="s">
        <v>745</v>
      </c>
      <c r="C1" s="1477" t="s">
        <v>162</v>
      </c>
      <c r="D1" s="1478"/>
      <c r="E1" s="216"/>
      <c r="F1" s="217"/>
      <c r="G1" s="216"/>
      <c r="H1" s="216"/>
      <c r="I1" s="216"/>
      <c r="J1" s="218"/>
      <c r="K1" s="216"/>
      <c r="L1" s="216"/>
      <c r="M1" s="219"/>
      <c r="N1" s="219"/>
      <c r="O1" s="219"/>
      <c r="P1" s="219"/>
      <c r="Q1" s="219"/>
      <c r="R1" s="219"/>
      <c r="S1" s="219"/>
      <c r="T1" s="220"/>
      <c r="U1" s="221"/>
      <c r="V1" s="221"/>
      <c r="W1" s="221"/>
      <c r="X1" s="221"/>
      <c r="Y1" s="221"/>
      <c r="Z1" s="221"/>
    </row>
    <row r="2" spans="1:26" s="30" customFormat="1" x14ac:dyDescent="0.2">
      <c r="A2" s="222"/>
      <c r="B2" s="219"/>
      <c r="C2" s="219"/>
      <c r="D2" s="219"/>
      <c r="E2" s="219"/>
      <c r="F2" s="223"/>
      <c r="G2" s="219"/>
      <c r="H2" s="219"/>
      <c r="I2" s="219"/>
      <c r="J2" s="219"/>
      <c r="K2" s="219"/>
      <c r="L2" s="219"/>
      <c r="M2" s="219"/>
      <c r="N2" s="219"/>
      <c r="O2" s="219"/>
      <c r="P2" s="219"/>
      <c r="Q2" s="219"/>
      <c r="R2" s="219"/>
      <c r="S2" s="219"/>
      <c r="T2" s="224"/>
      <c r="U2" s="221"/>
      <c r="V2" s="221"/>
      <c r="W2" s="221"/>
      <c r="X2" s="221"/>
      <c r="Y2" s="221"/>
      <c r="Z2" s="221"/>
    </row>
    <row r="3" spans="1:26" s="30" customFormat="1" ht="12.75" customHeight="1" x14ac:dyDescent="0.2">
      <c r="A3" s="222"/>
      <c r="B3" s="1479" t="s">
        <v>487</v>
      </c>
      <c r="C3" s="1480"/>
      <c r="D3" s="1481"/>
      <c r="E3" s="219"/>
      <c r="F3" s="225"/>
      <c r="G3" s="219"/>
      <c r="H3" s="219"/>
      <c r="I3" s="219"/>
      <c r="J3" s="219"/>
      <c r="K3" s="219"/>
      <c r="L3" s="219"/>
      <c r="M3" s="219"/>
      <c r="N3" s="219"/>
      <c r="O3" s="219"/>
      <c r="P3" s="219"/>
      <c r="Q3" s="219"/>
      <c r="R3" s="219"/>
      <c r="S3" s="219"/>
      <c r="T3" s="224"/>
      <c r="U3" s="221"/>
      <c r="V3" s="221"/>
      <c r="W3" s="221"/>
      <c r="X3" s="221"/>
      <c r="Y3" s="221"/>
      <c r="Z3" s="221"/>
    </row>
    <row r="4" spans="1:26" s="30" customFormat="1" x14ac:dyDescent="0.2">
      <c r="A4" s="222"/>
      <c r="B4" s="219"/>
      <c r="C4" s="219"/>
      <c r="D4" s="219"/>
      <c r="E4" s="219"/>
      <c r="F4" s="225"/>
      <c r="G4" s="219"/>
      <c r="H4" s="219"/>
      <c r="I4" s="219"/>
      <c r="J4" s="219"/>
      <c r="K4" s="219"/>
      <c r="L4" s="219"/>
      <c r="M4" s="219"/>
      <c r="N4" s="219"/>
      <c r="O4" s="219"/>
      <c r="P4" s="219"/>
      <c r="Q4" s="219"/>
      <c r="R4" s="219"/>
      <c r="S4" s="219"/>
      <c r="T4" s="224"/>
      <c r="U4" s="221"/>
      <c r="V4" s="221"/>
      <c r="W4" s="221"/>
      <c r="X4" s="221"/>
      <c r="Y4" s="221"/>
      <c r="Z4" s="221"/>
    </row>
    <row r="5" spans="1:26" s="30" customFormat="1" x14ac:dyDescent="0.2">
      <c r="A5" s="222"/>
      <c r="B5" s="766" t="s">
        <v>1692</v>
      </c>
      <c r="C5" s="219"/>
      <c r="D5" s="219"/>
      <c r="E5" s="103"/>
      <c r="F5" s="219"/>
      <c r="G5" s="219"/>
      <c r="H5" s="219"/>
      <c r="I5" s="219"/>
      <c r="J5" s="219"/>
      <c r="K5" s="219"/>
      <c r="L5" s="219"/>
      <c r="M5" s="219"/>
      <c r="N5" s="219"/>
      <c r="O5" s="219"/>
      <c r="P5" s="219"/>
      <c r="Q5" s="219"/>
      <c r="R5" s="219"/>
      <c r="S5" s="219"/>
      <c r="T5" s="224"/>
      <c r="U5" s="221"/>
      <c r="V5" s="221"/>
      <c r="W5" s="221"/>
      <c r="X5" s="221"/>
      <c r="Y5" s="221"/>
      <c r="Z5" s="221"/>
    </row>
    <row r="6" spans="1:26" s="30" customFormat="1" ht="13.5" thickBot="1" x14ac:dyDescent="0.25">
      <c r="A6" s="222"/>
      <c r="B6" s="767"/>
      <c r="C6" s="219"/>
      <c r="D6" s="227"/>
      <c r="E6" s="227"/>
      <c r="F6" s="219"/>
      <c r="G6" s="219"/>
      <c r="H6" s="219"/>
      <c r="I6" s="219"/>
      <c r="J6" s="219"/>
      <c r="K6" s="219"/>
      <c r="L6" s="219"/>
      <c r="M6" s="219"/>
      <c r="N6" s="226"/>
      <c r="O6" s="219"/>
      <c r="P6" s="219"/>
      <c r="Q6" s="219"/>
      <c r="R6" s="219"/>
      <c r="S6" s="219"/>
      <c r="T6" s="224"/>
      <c r="U6" s="221"/>
      <c r="V6" s="221"/>
      <c r="W6" s="221"/>
      <c r="X6" s="221"/>
      <c r="Y6" s="221"/>
      <c r="Z6" s="221"/>
    </row>
    <row r="7" spans="1:26" s="30" customFormat="1" ht="13.5" thickBot="1" x14ac:dyDescent="0.25">
      <c r="A7" s="222"/>
      <c r="B7" s="227"/>
      <c r="C7" s="1515" t="s">
        <v>1237</v>
      </c>
      <c r="D7" s="1516"/>
      <c r="E7" s="1517"/>
      <c r="F7" s="1518" t="s">
        <v>1238</v>
      </c>
      <c r="G7" s="1519"/>
      <c r="H7" s="1520"/>
      <c r="I7" s="219"/>
      <c r="J7" s="219"/>
      <c r="K7" s="219"/>
      <c r="L7" s="219"/>
      <c r="M7" s="219"/>
      <c r="N7" s="226"/>
      <c r="O7" s="219"/>
      <c r="P7" s="219"/>
      <c r="Q7" s="219"/>
      <c r="R7" s="219"/>
      <c r="S7" s="219"/>
      <c r="T7" s="224"/>
      <c r="U7" s="221"/>
      <c r="V7" s="221"/>
      <c r="W7" s="221"/>
      <c r="X7" s="221"/>
      <c r="Y7" s="221"/>
      <c r="Z7" s="221"/>
    </row>
    <row r="8" spans="1:26" s="30" customFormat="1" ht="36" customHeight="1" thickBot="1" x14ac:dyDescent="0.25">
      <c r="A8" s="222"/>
      <c r="B8" s="228"/>
      <c r="C8" s="786" t="s">
        <v>1664</v>
      </c>
      <c r="D8" s="786" t="s">
        <v>1665</v>
      </c>
      <c r="E8" s="765" t="s">
        <v>1666</v>
      </c>
      <c r="F8" s="764" t="s">
        <v>1664</v>
      </c>
      <c r="G8" s="764" t="s">
        <v>1665</v>
      </c>
      <c r="H8" s="765" t="s">
        <v>1666</v>
      </c>
      <c r="I8" s="229"/>
      <c r="J8" s="20" t="s">
        <v>350</v>
      </c>
      <c r="K8" s="62" t="s">
        <v>351</v>
      </c>
      <c r="L8" s="103"/>
      <c r="M8" s="103"/>
      <c r="N8" s="219"/>
      <c r="O8" s="226"/>
      <c r="P8" s="226"/>
      <c r="Q8" s="226"/>
      <c r="R8" s="226"/>
      <c r="S8" s="226"/>
      <c r="T8" s="224"/>
      <c r="U8" s="221"/>
      <c r="V8" s="221"/>
      <c r="W8" s="221"/>
      <c r="X8" s="221"/>
      <c r="Y8" s="221"/>
      <c r="Z8" s="221"/>
    </row>
    <row r="9" spans="1:26" s="30" customFormat="1" x14ac:dyDescent="0.2">
      <c r="A9" s="222"/>
      <c r="B9" s="230" t="str">
        <f>IF(AND(AvoineNécessaireBQ=0,AvoineNécessaireMoQ=0,AvoineNécessaireMaQ=0),"","avoine (t)")</f>
        <v/>
      </c>
      <c r="C9" s="783">
        <f>(VLOOKUP("Avoine",AlimentsBovins,2,FALSE)+VLOOKUP("Avoine",AlimentsPorcins,2,FALSE)+VLOOKUP("Avoine",AlimentsCaprins,2,FALSE)+VLOOKUP("Avoine",AlimentsOvins,2,FALSE)+VLOOKUP("Avoine",AlimentsLapins,2,FALSE)+VLOOKUP("Avoine",AlimentsVolailles,2,FALSE)+VLOOKUP("Avoine",AlimentsPintades,2,FALSE)+VLOOKUP("Avoine",AlimentsOies,2,FALSE)+VLOOKUP("Avoine",AlimentsCanards,2,FALSE)+VLOOKUP("Avoine",AlimentsGavageOiesEtCanards,2,FALSE)+VLOOKUP("Avoine",AlimentsBisons,2,FALSE)+VLOOKUP("Avoine",AlimentsDaims,2,FALSE)+VLOOKUP("Avoine",AlimentsChevauxSelle,2,FALSE)+VLOOKUP("Avoine",AlimentsChevauxTrait,2,FALSE)+VLOOKUP("Avoine",AlimentsPoneys,2,FALSE))/1000</f>
        <v>0</v>
      </c>
      <c r="D9" s="784">
        <f>(VLOOKUP("Avoine",AlimentsBovins,3,FALSE)+VLOOKUP("Avoine",AlimentsPorcins,3,FALSE)+VLOOKUP("Avoine",AlimentsCaprins,3,FALSE)+VLOOKUP("Avoine",AlimentsOvins,3,FALSE)+VLOOKUP("Avoine",AlimentsLapins,3,FALSE)+VLOOKUP("Avoine",AlimentsVolailles,3,FALSE)+VLOOKUP("Avoine",AlimentsPintades,3,FALSE)+VLOOKUP("Avoine",AlimentsOies,3,FALSE)+VLOOKUP("Avoine",AlimentsCanards,3,FALSE)+VLOOKUP("Avoine",AlimentsGavageOiesEtCanards,3,FALSE)+VLOOKUP("Avoine",AlimentsBisons,3,FALSE)+VLOOKUP("Avoine",AlimentsDaims,3,FALSE)+VLOOKUP("Avoine",AlimentsChevauxSelle,3,FALSE)+VLOOKUP("Avoine",AlimentsChevauxTrait,3,FALSE)+VLOOKUP("Avoine",AlimentsPoneys,3,FALSE))/1000</f>
        <v>0</v>
      </c>
      <c r="E9" s="785">
        <f>(VLOOKUP("Avoine",AlimentsBovins,4,FALSE)+VLOOKUP("Avoine",AlimentsPorcins,4,FALSE)+VLOOKUP("Avoine",AlimentsCaprins,4,FALSE)+VLOOKUP("Avoine",AlimentsOvins,4,FALSE)+VLOOKUP("Avoine",AlimentsLapins,4,FALSE)+VLOOKUP("Avoine",AlimentsVolailles,4,FALSE)+VLOOKUP("Avoine",AlimentsPintades,4,FALSE)+VLOOKUP("Avoine",AlimentsOies,4,FALSE)+VLOOKUP("Avoine",AlimentsCanards,4,FALSE)+VLOOKUP("Avoine",AlimentsGavageOiesEtCanards,4,FALSE)+VLOOKUP("Avoine",AlimentsBisons,4,FALSE)+VLOOKUP("Avoine",AlimentsDaims,4,FALSE)+VLOOKUP("Avoine",AlimentsChevauxSelle,4,FALSE)+VLOOKUP("Avoine",AlimentsChevauxTrait,4,FALSE)+VLOOKUP("Avoine",AlimentsPoneys,4,FALSE))/1000</f>
        <v>0</v>
      </c>
      <c r="F9" s="755">
        <f>IF(AvoineNécessaireBQ=0,,IF(AvoineNécessaireBQ-VLOOKUP(Avoine,StockDansSilos,3,FALSE)&lt;=0,0,ROUND(AvoineNécessaireBQ-VLOOKUP(Avoine,StockDansSilos,3,FALSE),3)))</f>
        <v>0</v>
      </c>
      <c r="G9" s="756">
        <f>IF(AvoineNécessaireMoQ=0,,IF(AvoineNécessaireMoQ-VLOOKUP(Avoine,StockDansSilos,4,FALSE)&lt;=0,0,ROUND(AvoineNécessaireMoQ-VLOOKUP(Avoine,StockDansSilos,4,FALSE),3)))</f>
        <v>0</v>
      </c>
      <c r="H9" s="757">
        <f>IF(AvoineNécessaireMaQ=0,,IF(AvoineNécessaireMaQ-VLOOKUP(Avoine,StockDansSilos,5,FALSE)&lt;0,0,ROUND(AvoineNécessaireMaQ-VLOOKUP(Avoine,StockDansSilos,5,FALSE),3)))</f>
        <v>0</v>
      </c>
      <c r="I9" s="229"/>
      <c r="J9" s="231"/>
      <c r="K9" s="232" t="str">
        <f>IF(AND(CommandeAvoineBQ=0,CommandeAvoineMoQ=0,CommandeAvoineMaQ=0),"",((PrixAvoine*CommandeAvoineBQ)+(PrixAvoine*CommandeAvoineMoQ*0.9)+(PrixAvoine*CommandeAvoineMaQ*0.8)))</f>
        <v/>
      </c>
      <c r="L9" s="229"/>
      <c r="M9" s="229"/>
      <c r="N9" s="219"/>
      <c r="O9" s="226"/>
      <c r="P9" s="226"/>
      <c r="Q9" s="226"/>
      <c r="R9" s="226"/>
      <c r="S9" s="226"/>
      <c r="T9" s="224"/>
      <c r="U9" s="221"/>
      <c r="V9" s="221"/>
      <c r="W9" s="221"/>
      <c r="X9" s="221"/>
      <c r="Y9" s="221"/>
      <c r="Z9" s="221"/>
    </row>
    <row r="10" spans="1:26" s="30" customFormat="1" x14ac:dyDescent="0.2">
      <c r="A10" s="222"/>
      <c r="B10" s="233" t="str">
        <f>IF(AND(BetteraveNécessaireBQ=0,BetteraveNécessaireMoQ=0,BetteraveNécessaireMaQ=0),"","betterave (t)")</f>
        <v/>
      </c>
      <c r="C10" s="768">
        <f>(VLOOKUP("Betterave",AlimentsBovins,2,FALSE)+VLOOKUP("Betterave",AlimentsPorcins,2,FALSE)+VLOOKUP("Betterave",AlimentsCaprins,2,FALSE)+VLOOKUP("Betterave",AlimentsOvins,2,FALSE)+VLOOKUP("Betterave",AlimentsLapins,2,FALSE)+VLOOKUP("Betterave",AlimentsVolailles,2,FALSE)+VLOOKUP("Betterave",AlimentsPintades,2,FALSE)+VLOOKUP("Betterave",AlimentsOies,2,FALSE)+VLOOKUP("Betterave",AlimentsCanards,2,FALSE)+VLOOKUP("Betterave",AlimentsGavageOiesEtCanards,2,FALSE)+VLOOKUP("Betterave",AlimentsBisons,2,FALSE)+VLOOKUP("Betterave",AlimentsDaims,2,FALSE)+VLOOKUP("Betterave",AlimentsChevauxSelle,2,FALSE)+VLOOKUP("Betterave",AlimentsChevauxTrait,2,FALSE)+VLOOKUP("Betterave",AlimentsPoneys,2,FALSE))/1000</f>
        <v>0</v>
      </c>
      <c r="D10" s="773">
        <f>(VLOOKUP("Betterave",AlimentsBovins,3,FALSE)+VLOOKUP("Betterave",AlimentsPorcins,3,FALSE)+VLOOKUP("Betterave",AlimentsCaprins,3,FALSE)+VLOOKUP("Betterave",AlimentsOvins,3,FALSE)+VLOOKUP("Betterave",AlimentsLapins,3,FALSE)+VLOOKUP("Betterave",AlimentsVolailles,3,FALSE)+VLOOKUP("Betterave",AlimentsPintades,3,FALSE)+VLOOKUP("Betterave",AlimentsOies,3,FALSE)+VLOOKUP("Betterave",AlimentsCanards,3,FALSE)+VLOOKUP("Betterave",AlimentsGavageOiesEtCanards,3,FALSE)+VLOOKUP("Betterave",AlimentsBisons,3,FALSE)+VLOOKUP("Betterave",AlimentsDaims,3,FALSE)+VLOOKUP("Betterave",AlimentsChevauxSelle,3,FALSE)+VLOOKUP("Betterave",AlimentsChevauxTrait,3,FALSE)+VLOOKUP("Betterave",AlimentsPoneys,3,FALSE))/1000</f>
        <v>0</v>
      </c>
      <c r="E10" s="774">
        <f>(VLOOKUP("Betterave",AlimentsBovins,4,FALSE)+VLOOKUP("Betterave",AlimentsPorcins,4,FALSE)+VLOOKUP("Betterave",AlimentsCaprins,4,FALSE)+VLOOKUP("Betterave",AlimentsOvins,4,FALSE)+VLOOKUP("Betterave",AlimentsLapins,4,FALSE)+VLOOKUP("Betterave",AlimentsVolailles,4,FALSE)+VLOOKUP("Betterave",AlimentsPintades,4,FALSE)+VLOOKUP("Betterave",AlimentsOies,4,FALSE)+VLOOKUP("Betterave",AlimentsCanards,4,FALSE)+VLOOKUP("Betterave",AlimentsGavageOiesEtCanards,4,FALSE)+VLOOKUP("Betterave",AlimentsBisons,4,FALSE)+VLOOKUP("Betterave",AlimentsDaims,4,FALSE)+VLOOKUP("Betterave",AlimentsChevauxSelle,4,FALSE)+VLOOKUP("Betterave",AlimentsChevauxTrait,4,FALSE)+VLOOKUP("Betterave",AlimentsPoneys,4,FALSE))/1000</f>
        <v>0</v>
      </c>
      <c r="F10" s="758">
        <f>IF(BetteraveNécessaireBQ=0,,IF(BetteraveNécessaireBQ-VLOOKUP(Betterave,StockDansSilos,3,FALSE)&lt;=0,0,ROUND(BetteraveNécessaireBQ-VLOOKUP(Betterave,StockDansSilos,3,FALSE),3)))</f>
        <v>0</v>
      </c>
      <c r="G10" s="754">
        <f>IF(BetteraveNécessaireMoQ=0,,IF(BetteraveNécessaireMoQ-VLOOKUP(Betterave,StockDansSilos,4,FALSE)&lt;=0,0,ROUND(BetteraveNécessaireMoQ-VLOOKUP(Betterave,StockDansSilos,4,FALSE),3)))</f>
        <v>0</v>
      </c>
      <c r="H10" s="759">
        <f>IF(BetteraveNécessaireMaQ=0,,IF(BetteraveNécessaireMaQ-VLOOKUP(Betterave,StockDansSilos,5,FALSE)&lt;0,0,ROUND(BetteraveNécessaireMaQ-VLOOKUP(Betterave,StockDansSilos,5,FALSE),3)))</f>
        <v>0</v>
      </c>
      <c r="I10" s="229"/>
      <c r="J10" s="234"/>
      <c r="K10" s="204" t="str">
        <f>IF(AND(CommandeBetteraveBQ=0,CommandeBetteraveMoQ=0,CommandeBetteraveMaQ=0),"",((PrixBetterave*CommandeBetteraveBQ)+(PrixBetterave*CommandeBetteraveMoQ*0.9)+(PrixBetterave*CommandeBetteraveMaQ*0.8)))</f>
        <v/>
      </c>
      <c r="L10" s="229"/>
      <c r="M10" s="229"/>
      <c r="N10" s="219"/>
      <c r="O10" s="226"/>
      <c r="P10" s="226"/>
      <c r="Q10" s="226"/>
      <c r="R10" s="226"/>
      <c r="S10" s="226"/>
      <c r="T10" s="224"/>
      <c r="U10" s="221"/>
      <c r="V10" s="221"/>
      <c r="W10" s="221"/>
      <c r="X10" s="221"/>
      <c r="Y10" s="221"/>
      <c r="Z10" s="221"/>
    </row>
    <row r="11" spans="1:26" s="30" customFormat="1" x14ac:dyDescent="0.2">
      <c r="A11" s="222"/>
      <c r="B11" s="235" t="str">
        <f>IF(AND(BléNécessaireBQ=0,BléNécessaireMoQ=0,BléNécessaireMaQ=0),"","blé (t)")</f>
        <v/>
      </c>
      <c r="C11" s="769">
        <f>(VLOOKUP("Blé",AlimentsBovins,2,FALSE)+VLOOKUP("Blé",AlimentsPorcins,2,FALSE)+VLOOKUP("Blé",AlimentsCaprins,2,FALSE)+VLOOKUP("Blé",AlimentsOvins,2,FALSE)+VLOOKUP("Blé",AlimentsLapins,2,FALSE)+VLOOKUP("Blé",AlimentsVolailles,2,FALSE)+VLOOKUP("Blé",AlimentsPintades,2,FALSE)+VLOOKUP("Blé",AlimentsOies,2,FALSE)+VLOOKUP("Blé",AlimentsCanards,2,FALSE)+VLOOKUP("Blé",AlimentsGavageOiesEtCanards,2,FALSE)+VLOOKUP("Blé",AlimentsBisons,2,FALSE)+VLOOKUP("Blé",AlimentsDaims,2,FALSE)+VLOOKUP("Blé",AlimentsChevauxSelle,2,FALSE)+VLOOKUP("Blé",AlimentsChevauxTrait,2,FALSE)+VLOOKUP("Blé",AlimentsPoneys,2,FALSE))/1000</f>
        <v>0</v>
      </c>
      <c r="D11" s="775">
        <f>(VLOOKUP("Blé",AlimentsBovins,3,FALSE)+VLOOKUP("Blé",AlimentsPorcins,3,FALSE)+VLOOKUP("Blé",AlimentsCaprins,3,FALSE)+VLOOKUP("Blé",AlimentsOvins,3,FALSE)+VLOOKUP("Blé",AlimentsLapins,3,FALSE)+VLOOKUP("Blé",AlimentsVolailles,3,FALSE)+VLOOKUP("Blé",AlimentsPintades,3,FALSE)+VLOOKUP("Blé",AlimentsOies,3,FALSE)+VLOOKUP("Blé",AlimentsCanards,3,FALSE)+VLOOKUP("Blé",AlimentsGavageOiesEtCanards,3,FALSE)+VLOOKUP("Blé",AlimentsBisons,3,FALSE)+VLOOKUP("Blé",AlimentsDaims,3,FALSE)+VLOOKUP("Blé",AlimentsChevauxSelle,3,FALSE)+VLOOKUP("Blé",AlimentsChevauxTrait,3,FALSE)+VLOOKUP("Blé",AlimentsPoneys,3,FALSE))/1000</f>
        <v>0</v>
      </c>
      <c r="E11" s="776">
        <f>(VLOOKUP("Blé",AlimentsBovins,4,FALSE)+VLOOKUP("Blé",AlimentsPorcins,4,FALSE)+VLOOKUP("Blé",AlimentsCaprins,4,FALSE)+VLOOKUP("Blé",AlimentsOvins,4,FALSE)+VLOOKUP("Blé",AlimentsLapins,4,FALSE)+VLOOKUP("Blé",AlimentsVolailles,4,FALSE)+VLOOKUP("Blé",AlimentsPintades,4,FALSE)+VLOOKUP("Blé",AlimentsOies,4,FALSE)+VLOOKUP("Blé",AlimentsCanards,4,FALSE)+VLOOKUP("Blé",AlimentsGavageOiesEtCanards,4,FALSE)+VLOOKUP("Blé",AlimentsBisons,4,FALSE)+VLOOKUP("Blé",AlimentsDaims,4,FALSE)+VLOOKUP("Blé",AlimentsChevauxSelle,4,FALSE)+VLOOKUP("Blé",AlimentsChevauxTrait,4,FALSE)+VLOOKUP("Blé",AlimentsPoneys,4,FALSE))/1000</f>
        <v>0</v>
      </c>
      <c r="F11" s="964">
        <f>IF(BléNécessaireBQ=0,,IF(BléNécessaireBQ-VLOOKUP(Blé,StockDansSilos,3,FALSE)&lt;=0,0,ROUND(BléNécessaireBQ-VLOOKUP(Blé,StockDansSilos,3,FALSE),3)))</f>
        <v>0</v>
      </c>
      <c r="G11" s="753">
        <f>IF(BléNécessaireMoQ=0,,IF(BléNécessaireMoQ-VLOOKUP(Blé,StockDansSilos,4,FALSE)&lt;=0,0,ROUND(BléNécessaireMoQ-VLOOKUP(Blé,StockDansSilos,4,FALSE),3)))</f>
        <v>0</v>
      </c>
      <c r="H11" s="760">
        <f>IF(BléNécessaireMaQ=0,,IF(BléNécessaireMaQ-VLOOKUP(Blé,StockDansSilos,5,FALSE)&lt;=0,0,ROUND(BléNécessaireMaQ-VLOOKUP(Blé,StockDansSilos,5,FALSE),3)))</f>
        <v>0</v>
      </c>
      <c r="I11" s="229"/>
      <c r="J11" s="236"/>
      <c r="K11" s="237" t="str">
        <f>IF(AND(CommandeBléBQ=0,CommandeBléMoQ=0,CommandeBléMaQ=0),"",((PrixBlé*CommandeBléBQ)+(PrixBlé*CommandeBléMoQ*0.9)+(PrixBlé*CommandeBléMaQ*0.8)))</f>
        <v/>
      </c>
      <c r="L11" s="229"/>
      <c r="M11" s="229"/>
      <c r="N11" s="219"/>
      <c r="O11" s="226"/>
      <c r="P11" s="226"/>
      <c r="Q11" s="226"/>
      <c r="R11" s="226"/>
      <c r="S11" s="226"/>
      <c r="T11" s="224"/>
      <c r="U11" s="221"/>
      <c r="V11" s="221"/>
      <c r="W11" s="221"/>
      <c r="X11" s="221"/>
      <c r="Y11" s="221"/>
      <c r="Z11" s="221"/>
    </row>
    <row r="12" spans="1:26" s="30" customFormat="1" x14ac:dyDescent="0.2">
      <c r="A12" s="222"/>
      <c r="B12" s="233" t="str">
        <f>IF(AND(BouchonsLuzerneNécessaireBQ=0,BouchonsLuzerneNécessaireMoQ=0,BouchonsLuzerneNécessaireMaQ=0),"","bouchons de luzerne (t)")</f>
        <v/>
      </c>
      <c r="C12" s="768">
        <f>(VLOOKUP("Bouchons luzerne",AlimentsBovins,2,FALSE)+VLOOKUP("Bouchons luzerne",AlimentsPorcins,2,FALSE)+VLOOKUP("Bouchons luzerne",AlimentsCaprins,2,FALSE)+VLOOKUP("Bouchons luzerne",AlimentsOvins,2,FALSE)+VLOOKUP("Bouchons luzerne",AlimentsLapins,2,FALSE)+VLOOKUP("Bouchons luzerne",AlimentsVolailles,2,FALSE)+VLOOKUP("Bouchons luzerne",AlimentsPintades,2,FALSE)+VLOOKUP("Bouchons luzerne",AlimentsOies,2,FALSE)+VLOOKUP("Bouchons luzerne",AlimentsCanards,2,FALSE)+VLOOKUP("Bouchons luzerne",AlimentsGavageOiesEtCanards,2,FALSE)+VLOOKUP("Bouchons luzerne",AlimentsBisons,2,FALSE)+VLOOKUP("Bouchons luzerne",AlimentsDaims,2,FALSE)+VLOOKUP("Bouchons luzerne",AlimentsChevauxSelle,2,FALSE)+VLOOKUP("Bouchons luzerne",AlimentsChevauxTrait,2,FALSE)+VLOOKUP("Bouchons luzerne",AlimentsPoneys,2,FALSE))/1000</f>
        <v>0</v>
      </c>
      <c r="D12" s="773">
        <f>(VLOOKUP("Bouchons luzerne",AlimentsBovins,3,FALSE)+VLOOKUP("Bouchons luzerne",AlimentsPorcins,3,FALSE)+VLOOKUP("Bouchons luzerne",AlimentsCaprins,3,FALSE)+VLOOKUP("Bouchons luzerne",AlimentsOvins,3,FALSE)+VLOOKUP("Bouchons luzerne",AlimentsLapins,3,FALSE)+VLOOKUP("Bouchons luzerne",AlimentsVolailles,3,FALSE)+VLOOKUP("Bouchons luzerne",AlimentsPintades,3,FALSE)+VLOOKUP("Bouchons luzerne",AlimentsOies,3,FALSE)+VLOOKUP("Bouchons luzerne",AlimentsCanards,3,FALSE)+VLOOKUP("Bouchons luzerne",AlimentsGavageOiesEtCanards,3,FALSE)+VLOOKUP("Bouchons luzerne",AlimentsBisons,3,FALSE)+VLOOKUP("Bouchons luzerne",AlimentsDaims,3,FALSE)+VLOOKUP("Bouchons luzerne",AlimentsChevauxSelle,3,FALSE)+VLOOKUP("Bouchons luzerne",AlimentsChevauxTrait,3,FALSE)+VLOOKUP("Bouchons luzerne",AlimentsPoneys,3,FALSE))/1000</f>
        <v>0</v>
      </c>
      <c r="E12" s="774">
        <f>(VLOOKUP("Bouchons luzerne",AlimentsBovins,4,FALSE)+VLOOKUP("Bouchons luzerne",AlimentsPorcins,4,FALSE)+VLOOKUP("Bouchons luzerne",AlimentsCaprins,4,FALSE)+VLOOKUP("Bouchons luzerne",AlimentsOvins,4,FALSE)+VLOOKUP("Bouchons luzerne",AlimentsLapins,4,FALSE)+VLOOKUP("Bouchons luzerne",AlimentsVolailles,4,FALSE)+VLOOKUP("Bouchons luzerne",AlimentsPintades,4,FALSE)+VLOOKUP("Bouchons luzerne",AlimentsOies,4,FALSE)+VLOOKUP("Bouchons luzerne",AlimentsCanards,4,FALSE)+VLOOKUP("Bouchons luzerne",AlimentsGavageOiesEtCanards,4,FALSE)+VLOOKUP("Bouchons luzerne",AlimentsBisons,4,FALSE)+VLOOKUP("Bouchons luzerne",AlimentsDaims,4,FALSE)+VLOOKUP("Bouchons luzerne",AlimentsChevauxSelle,4,FALSE)+VLOOKUP("Bouchons luzerne",AlimentsChevauxTrait,4,FALSE)+VLOOKUP("Bouchons luzerne",AlimentsPoneys,4,FALSE))/1000</f>
        <v>0</v>
      </c>
      <c r="F12" s="758">
        <f>IF(BouchonsLuzerneNécessaireBQ=0,,IF(BouchonsLuzerneNécessaireBQ-VLOOKUP(BouchonsLuzerne,StockDansSilos,3,FALSE)&lt;=0,0,ROUND(BouchonsLuzerneNécessaireBQ-VLOOKUP(BouchonsLuzerne,StockDansSilos,3,FALSE),3)))</f>
        <v>0</v>
      </c>
      <c r="G12" s="754">
        <f>IF(BouchonsLuzerneNécessaireMoQ=0,,IF(BouchonsLuzerneNécessaireMoQ-VLOOKUP(BouchonsLuzerne,StockDansSilos,4,FALSE)&lt;=0,0,ROUND(BouchonsLuzerneNécessaireMoQ-VLOOKUP(BouchonsLuzerne,StockDansSilos,4,FALSE),3)))</f>
        <v>0</v>
      </c>
      <c r="H12" s="759">
        <f>IF(BouchonsLuzerneNécessaireMaQ=0,,IF(BouchonsLuzerneNécessaireMaQ-VLOOKUP(BouchonsLuzerne,StockDansSilos,5,FALSE)&lt;=0,0,ROUND(BouchonsLuzerneNécessaireMaQ-VLOOKUP(BouchonsLuzerne,StockDansSilos,5,FALSE),3)))</f>
        <v>0</v>
      </c>
      <c r="I12" s="229"/>
      <c r="J12" s="234"/>
      <c r="K12" s="204" t="str">
        <f>IF(AND(CommandeBouchonLuzerneBQ=0,CommandeBouchonLuzerneMoQ=0,CommandeBouchonLuzerneMaQ=0),"",((PrixBouchonLuzerne*CommandeBouchonLuzerneBQ)+(PrixBouchonLuzerne*CommandeBouchonLuzerneMoQ*0.9)+(PrixBouchonLuzerne*CommandeBouchonLuzerneMaQ*0.8)))</f>
        <v/>
      </c>
      <c r="L12" s="229"/>
      <c r="M12" s="229"/>
      <c r="N12" s="219"/>
      <c r="O12" s="226"/>
      <c r="P12" s="226"/>
      <c r="Q12" s="226"/>
      <c r="R12" s="226"/>
      <c r="S12" s="226"/>
      <c r="T12" s="224"/>
      <c r="U12" s="221"/>
      <c r="V12" s="221"/>
      <c r="W12" s="221"/>
      <c r="X12" s="221"/>
      <c r="Y12" s="221"/>
      <c r="Z12" s="221"/>
    </row>
    <row r="13" spans="1:26" s="30" customFormat="1" x14ac:dyDescent="0.2">
      <c r="A13" s="222"/>
      <c r="B13" s="235" t="str">
        <f>IF(AND(CanolaNécessaireBQ=0,CanolaNécessaireMoQ=0,CanolaNécessaireMaQ=0),"","canola (t)")</f>
        <v/>
      </c>
      <c r="C13" s="769">
        <f>(VLOOKUP("Canola",AlimentsBovins,2,FALSE)+VLOOKUP("Canola",AlimentsPorcins,2,FALSE)+VLOOKUP("Canola",AlimentsCaprins,2,FALSE)+VLOOKUP("Canola",AlimentsOvins,2,FALSE)+VLOOKUP("Canola",AlimentsLapins,2,FALSE)+VLOOKUP("Canola",AlimentsVolailles,2,FALSE)+VLOOKUP("Canola",AlimentsPintades,2,FALSE)+VLOOKUP("Canola",AlimentsOies,2,FALSE)+VLOOKUP("Canola",AlimentsCanards,2,FALSE)+VLOOKUP("Canola",AlimentsGavageOiesEtCanards,2,FALSE)+VLOOKUP("Canola",AlimentsBisons,2,FALSE)+VLOOKUP("Canola",AlimentsDaims,2,FALSE)+VLOOKUP("Canola",AlimentsChevauxSelle,2,FALSE)+VLOOKUP("Canola",AlimentsChevauxTrait,2,FALSE)+VLOOKUP("Canola",AlimentsPoneys,2,FALSE))/1000</f>
        <v>0</v>
      </c>
      <c r="D13" s="775">
        <f>(VLOOKUP("Canola",AlimentsBovins,3,FALSE)+VLOOKUP("Canola",AlimentsPorcins,3,FALSE)+VLOOKUP("Canola",AlimentsCaprins,3,FALSE)+VLOOKUP("Canola",AlimentsOvins,3,FALSE)+VLOOKUP("Canola",AlimentsLapins,3,FALSE)+VLOOKUP("Canola",AlimentsVolailles,3,FALSE)+VLOOKUP("Canola",AlimentsPintades,3,FALSE)+VLOOKUP("Canola",AlimentsOies,3,FALSE)+VLOOKUP("Canola",AlimentsCanards,3,FALSE)+VLOOKUP("Canola",AlimentsGavageOiesEtCanards,3,FALSE)+VLOOKUP("Canola",AlimentsBisons,3,FALSE)+VLOOKUP("Canola",AlimentsDaims,3,FALSE)+VLOOKUP("Canola",AlimentsChevauxSelle,3,FALSE)+VLOOKUP("Canola",AlimentsChevauxTrait,3,FALSE)+VLOOKUP("Canola",AlimentsPoneys,3,FALSE))/1000</f>
        <v>0</v>
      </c>
      <c r="E13" s="776">
        <f>(VLOOKUP("Canola",AlimentsBovins,4,FALSE)+VLOOKUP("Canola",AlimentsPorcins,4,FALSE)+VLOOKUP("Canola",AlimentsCaprins,4,FALSE)+VLOOKUP("Canola",AlimentsOvins,4,FALSE)+VLOOKUP("Canola",AlimentsLapins,4,FALSE)+VLOOKUP("Canola",AlimentsVolailles,4,FALSE)+VLOOKUP("Canola",AlimentsPintades,4,FALSE)+VLOOKUP("Canola",AlimentsOies,4,FALSE)+VLOOKUP("Canola",AlimentsCanards,4,FALSE)+VLOOKUP("Canola",AlimentsGavageOiesEtCanards,4,FALSE)+VLOOKUP("Canola",AlimentsBisons,4,FALSE)+VLOOKUP("Canola",AlimentsDaims,4,FALSE)+VLOOKUP("Canola",AlimentsChevauxSelle,4,FALSE)+VLOOKUP("Canola",AlimentsChevauxTrait,4,FALSE)+VLOOKUP("Canola",AlimentsPoneys,4,FALSE))/1000</f>
        <v>0</v>
      </c>
      <c r="F13" s="964">
        <f>IF(CanolaNécessaireBQ=0,,IF(CanolaNécessaireBQ-VLOOKUP(Canola,StockDansSilos,3,FALSE)&lt;=0,0,ROUND(CanolaNécessaireBQ-VLOOKUP(Canola,StockDansSilos,3,FALSE),3)))</f>
        <v>0</v>
      </c>
      <c r="G13" s="753">
        <f>IF(CanolaNécessaireMoQ=0,,IF(CanolaNécessaireMoQ-VLOOKUP(Canola,StockDansSilos,4,FALSE)&lt;=0,0,ROUND(CanolaNécessaireMoQ-VLOOKUP(Canola,StockDansSilos,4,FALSE),3)))</f>
        <v>0</v>
      </c>
      <c r="H13" s="760">
        <f>IF(CanolaNécessaireMaQ=0,,IF(CanolaNécessaireMaQ-VLOOKUP(Canola,StockDansSilos,5,FALSE)&lt;=0,0,ROUND(CanolaNécessaireMaQ-VLOOKUP(Canola,StockDansSilos,5,FALSE),3)))</f>
        <v>0</v>
      </c>
      <c r="I13" s="229"/>
      <c r="J13" s="236"/>
      <c r="K13" s="237" t="str">
        <f>IF(AND(CommandeCanolaBQ=0,CommandeCanolaMoQ=0,CommandeCanolaMaQ=0),"",((PrixCanola*CommandeCanolaBQ)+(PrixCanola*CommandeCanolaMoQ*0.9)+(PrixCanola*CommandeCanolaMaQ*0.8)))</f>
        <v/>
      </c>
      <c r="L13" s="229"/>
      <c r="M13" s="229"/>
      <c r="N13" s="219"/>
      <c r="O13" s="226"/>
      <c r="P13" s="226"/>
      <c r="Q13" s="226"/>
      <c r="R13" s="226"/>
      <c r="S13" s="226"/>
      <c r="T13" s="224"/>
      <c r="U13" s="221"/>
      <c r="V13" s="221"/>
      <c r="W13" s="221"/>
      <c r="X13" s="221"/>
      <c r="Y13" s="221"/>
      <c r="Z13" s="221"/>
    </row>
    <row r="14" spans="1:26" s="30" customFormat="1" x14ac:dyDescent="0.2">
      <c r="A14" s="222"/>
      <c r="B14" s="233" t="str">
        <f>IF(AND(ColzaNécessaireBQ=0,ColzaNécessaireMoQ=0,ColzaNécessaireMaQ=0),"","colza (t)")</f>
        <v/>
      </c>
      <c r="C14" s="768">
        <f>(VLOOKUP("Colza",AlimentsBovins,2,FALSE)+VLOOKUP("Colza",AlimentsPorcins,2,FALSE)+VLOOKUP("Colza",AlimentsCaprins,2,FALSE)+VLOOKUP("Colza",AlimentsOvins,2,FALSE)+VLOOKUP("Colza",AlimentsLapins,2,FALSE)+VLOOKUP("Colza",AlimentsVolailles,2,FALSE)+VLOOKUP("Colza",AlimentsPintades,2,FALSE)+VLOOKUP("Colza",AlimentsOies,2,FALSE)+VLOOKUP("Colza",AlimentsCanards,2,FALSE)+VLOOKUP("Colza",AlimentsGavageOiesEtCanards,2,FALSE)+VLOOKUP("Colza",AlimentsBisons,2,FALSE)+VLOOKUP("Colza",AlimentsDaims,2,FALSE)+VLOOKUP("Colza",AlimentsChevauxSelle,2,FALSE)+VLOOKUP("Colza",AlimentsChevauxTrait,2,FALSE)+VLOOKUP("Colza",AlimentsPoneys,2,FALSE))/1000</f>
        <v>0</v>
      </c>
      <c r="D14" s="773">
        <f>(VLOOKUP("Colza",AlimentsBovins,3,FALSE)+VLOOKUP("Colza",AlimentsPorcins,3,FALSE)+VLOOKUP("Colza",AlimentsCaprins,3,FALSE)+VLOOKUP("Colza",AlimentsOvins,3,FALSE)+VLOOKUP("Colza",AlimentsLapins,3,FALSE)+VLOOKUP("Colza",AlimentsVolailles,3,FALSE)+VLOOKUP("Colza",AlimentsPintades,3,FALSE)+VLOOKUP("Colza",AlimentsOies,3,FALSE)+VLOOKUP("Colza",AlimentsCanards,3,FALSE)+VLOOKUP("Colza",AlimentsGavageOiesEtCanards,3,FALSE)+VLOOKUP("Colza",AlimentsBisons,3,FALSE)+VLOOKUP("Colza",AlimentsDaims,3,FALSE)+VLOOKUP("Colza",AlimentsChevauxSelle,3,FALSE)+VLOOKUP("Colza",AlimentsChevauxTrait,3,FALSE)+VLOOKUP("Colza",AlimentsPoneys,3,FALSE))/1000</f>
        <v>0</v>
      </c>
      <c r="E14" s="774">
        <f>(VLOOKUP("Colza",AlimentsBovins,4,FALSE)+VLOOKUP("Colza",AlimentsPorcins,4,FALSE)+VLOOKUP("Colza",AlimentsCaprins,4,FALSE)+VLOOKUP("Colza",AlimentsOvins,4,FALSE)+VLOOKUP("Colza",AlimentsLapins,4,FALSE)+VLOOKUP("Colza",AlimentsVolailles,4,FALSE)+VLOOKUP("Colza",AlimentsPintades,4,FALSE)+VLOOKUP("Colza",AlimentsOies,4,FALSE)+VLOOKUP("Colza",AlimentsCanards,4,FALSE)+VLOOKUP("Colza",AlimentsGavageOiesEtCanards,4,FALSE)+VLOOKUP("Colza",AlimentsBisons,4,FALSE)+VLOOKUP("Colza",AlimentsDaims,4,FALSE)+VLOOKUP("Colza",AlimentsChevauxSelle,4,FALSE)+VLOOKUP("Colza",AlimentsChevauxTrait,4,FALSE)+VLOOKUP("Colza",AlimentsPoneys,4,FALSE))/1000</f>
        <v>0</v>
      </c>
      <c r="F14" s="758">
        <f>IF(ColzaNécessaireBQ=0,,IF(ColzaNécessaireBQ-VLOOKUP(Colza,StockDansSilos,3,FALSE)&lt;=0,0,ROUND(ColzaNécessaireBQ-VLOOKUP(Colza,StockDansSilos,3,FALSE),3)))</f>
        <v>0</v>
      </c>
      <c r="G14" s="754">
        <f>IF(ColzaNécessaireMoQ=0,,IF(ColzaNécessaireMoQ-VLOOKUP(Colza,StockDansSilos,4,FALSE)&lt;=0,0,ROUND(ColzaNécessaireMoQ-VLOOKUP(Colza,StockDansSilos,4,FALSE),3)))</f>
        <v>0</v>
      </c>
      <c r="H14" s="759">
        <f>IF(ColzaNécessaireMaQ=0,,IF(ColzaNécessaireMaQ-VLOOKUP(Colza,StockDansSilos,5,FALSE)&lt;=0,0,ROUND(ColzaNécessaireMaQ-VLOOKUP(Colza,StockDansSilos,5,FALSE),3)))</f>
        <v>0</v>
      </c>
      <c r="I14" s="229"/>
      <c r="J14" s="234"/>
      <c r="K14" s="204" t="str">
        <f>IF(AND(CommandeColzaBQ=0,CommandeColzaMoQ=0,CommandeColzaMaQ=0),"",((PrixColza*CommandeColzaBQ)+(PrixColza*CommandeColzaMoQ*0.9)+(PrixColza*CommandeColzaMaQ*0.8)))</f>
        <v/>
      </c>
      <c r="L14" s="229"/>
      <c r="M14" s="229"/>
      <c r="N14" s="219"/>
      <c r="O14" s="226"/>
      <c r="P14" s="226"/>
      <c r="Q14" s="226"/>
      <c r="R14" s="226"/>
      <c r="S14" s="226"/>
      <c r="T14" s="224"/>
      <c r="U14" s="221"/>
      <c r="V14" s="221"/>
      <c r="W14" s="221"/>
      <c r="X14" s="221"/>
      <c r="Y14" s="221"/>
      <c r="Z14" s="221"/>
    </row>
    <row r="15" spans="1:26" s="30" customFormat="1" x14ac:dyDescent="0.2">
      <c r="A15" s="222"/>
      <c r="B15" s="235" t="str">
        <f>IF(AND(ConcentréBovinsNécessaireBQ=0,ConcentréBovinsNécessaireMoQ=0,ConcentréBovinsNécessaireMaQ=0),"","concentré jeunes bovins (kg)")</f>
        <v/>
      </c>
      <c r="C15" s="769">
        <f>(VLOOKUP("Concentré jeunes bovins",AlimentsBovins,2,FALSE)+VLOOKUP("Concentré jeunes bovins",AlimentsPorcins,2,FALSE)+VLOOKUP("Concentré jeunes bovins",AlimentsCaprins,2,FALSE)+VLOOKUP("Concentré jeunes bovins",AlimentsOvins,2,FALSE)+VLOOKUP("Concentré jeunes bovins",AlimentsLapins,2,FALSE)+VLOOKUP("Concentré jeunes bovins",AlimentsVolailles,2,FALSE)+VLOOKUP("Concentré jeunes bovins",AlimentsPintades,2,FALSE)+VLOOKUP("Concentré jeunes bovins",AlimentsOies,2,FALSE)+VLOOKUP("Concentré jeunes bovins",AlimentsCanards,2,FALSE)+VLOOKUP("Concentré jeunes bovins",AlimentsGavageOiesEtCanards,2,FALSE)+VLOOKUP("Concentré jeunes bovins",AlimentsBisons,2,FALSE)+VLOOKUP("Concentré jeunes bovins",AlimentsDaims,2,FALSE)+VLOOKUP("Concentré jeunes bovins",AlimentsChevauxSelle,2,FALSE)+VLOOKUP("Concentré jeunes bovins",AlimentsChevauxTrait,2,FALSE)+VLOOKUP("Concentré jeunes bovins",AlimentsPoneys,2,FALSE))/1000</f>
        <v>0</v>
      </c>
      <c r="D15" s="775">
        <f>(VLOOKUP("Concentré jeunes bovins",AlimentsBovins,3,FALSE)+VLOOKUP("Concentré jeunes bovins",AlimentsPorcins,3,FALSE)+VLOOKUP("Concentré jeunes bovins",AlimentsCaprins,3,FALSE)+VLOOKUP("Concentré jeunes bovins",AlimentsOvins,3,FALSE)+VLOOKUP("Concentré jeunes bovins",AlimentsLapins,3,FALSE)+VLOOKUP("Concentré jeunes bovins",AlimentsVolailles,3,FALSE)+VLOOKUP("Concentré jeunes bovins",AlimentsPintades,3,FALSE)+VLOOKUP("Concentré jeunes bovins",AlimentsOies,3,FALSE)+VLOOKUP("Concentré jeunes bovins",AlimentsCanards,3,FALSE)+VLOOKUP("Concentré jeunes bovins",AlimentsGavageOiesEtCanards,3,FALSE)+VLOOKUP("Concentré jeunes bovins",AlimentsBisons,3,FALSE)+VLOOKUP("Concentré jeunes bovins",AlimentsDaims,3,FALSE)+VLOOKUP("Concentré jeunes bovins",AlimentsChevauxSelle,3,FALSE)+VLOOKUP("Concentré jeunes bovins",AlimentsChevauxTrait,3,FALSE)+VLOOKUP("Concentré jeunes bovins",AlimentsPoneys,3,FALSE))/1000</f>
        <v>0</v>
      </c>
      <c r="E15" s="776">
        <f>(VLOOKUP("Concentré jeunes bovins",AlimentsBovins,4,FALSE)+VLOOKUP("Concentré jeunes bovins",AlimentsPorcins,4,FALSE)+VLOOKUP("Concentré jeunes bovins",AlimentsCaprins,4,FALSE)+VLOOKUP("Concentré jeunes bovins",AlimentsOvins,4,FALSE)+VLOOKUP("Concentré jeunes bovins",AlimentsLapins,4,FALSE)+VLOOKUP("Concentré jeunes bovins",AlimentsVolailles,4,FALSE)+VLOOKUP("Concentré jeunes bovins",AlimentsPintades,4,FALSE)+VLOOKUP("Concentré jeunes bovins",AlimentsOies,4,FALSE)+VLOOKUP("Concentré jeunes bovins",AlimentsCanards,4,FALSE)+VLOOKUP("Concentré jeunes bovins",AlimentsGavageOiesEtCanards,4,FALSE)+VLOOKUP("Concentré jeunes bovins",AlimentsBisons,4,FALSE)+VLOOKUP("Concentré jeunes bovins",AlimentsDaims,4,FALSE)+VLOOKUP("Concentré jeunes bovins",AlimentsChevauxSelle,4,FALSE)+VLOOKUP("Concentré jeunes bovins",AlimentsChevauxTrait,4,FALSE)+VLOOKUP("Concentré jeunes bovins",AlimentsPoneys,4,FALSE))/1000</f>
        <v>0</v>
      </c>
      <c r="F15" s="964">
        <f>IF(ConcentréBovinsNécessaireBQ=0,,IF(ConcentréBovinsNécessaireBQ-BDD!HA25&lt;=0,0,ROUND(ConcentréBovinsNécessaireBQ-BDD!HA25,3)))</f>
        <v>0</v>
      </c>
      <c r="G15" s="753">
        <f>IF(ConcentréBovinsNécessaireMoQ=0,,IF(ConcentréBovinsNécessaireMoQ-BDD!HA25&lt;=0,0,ROUND(ConcentréBovinsNécessaireMoQ-BDD!HA25,3)))</f>
        <v>0</v>
      </c>
      <c r="H15" s="760">
        <f>IF(ConcentréBovinsNécessaireMaQ=0,,IF(ConcentréBovinsNécessaireMaQ-BDD!HA25&lt;=0,0,ROUND(ConcentréBovinsNécessaireMaQ-BDD!HA25,3)))</f>
        <v>0</v>
      </c>
      <c r="I15" s="229"/>
      <c r="J15" s="238" t="str">
        <f>IF(ConcentréBovins="","",1.07)</f>
        <v/>
      </c>
      <c r="K15" s="237" t="str">
        <f>IF(AND(CommandeConcentréBovinsBQ=0,CommandeConcentréBovinsMoQ=0,CommandeConcentréBovinsMaQ=0),"",((PrixConcentréBovin*CommandeConcentréBovinsBQ)+(PrixConcentréBovin*CommandeConcentréBovinsMoQ*0.9)+(PrixConcentréBovin*CommandeConcentréBovinsMaQ*0.8)))</f>
        <v/>
      </c>
      <c r="L15" s="229"/>
      <c r="M15" s="229"/>
      <c r="N15" s="219"/>
      <c r="O15" s="226"/>
      <c r="P15" s="226"/>
      <c r="Q15" s="226"/>
      <c r="R15" s="226"/>
      <c r="S15" s="226"/>
      <c r="T15" s="224"/>
      <c r="U15" s="221"/>
      <c r="V15" s="221"/>
      <c r="W15" s="221"/>
      <c r="X15" s="221"/>
      <c r="Y15" s="221"/>
      <c r="Z15" s="221"/>
    </row>
    <row r="16" spans="1:26" s="30" customFormat="1" x14ac:dyDescent="0.2">
      <c r="A16" s="222"/>
      <c r="B16" s="186" t="str">
        <f>IF(AND(ConcentréLapinsNécessaireBQ=0,ConcentréLapinsNécessaireMoQ=0,ConcentréLapinsNécessaireMaQ=0),"","concentré jeunes lapins (kg)")</f>
        <v/>
      </c>
      <c r="C16" s="768">
        <f>(VLOOKUP("Concentré jeunes lapins",AlimentsBovins,2,FALSE)+VLOOKUP("Concentré jeunes lapins",AlimentsPorcins,2,FALSE)+VLOOKUP("Concentré jeunes lapins",AlimentsCaprins,2,FALSE)+VLOOKUP("Concentré jeunes lapins",AlimentsOvins,2,FALSE)+VLOOKUP("Concentré jeunes lapins",AlimentsLapins,2,FALSE)+VLOOKUP("Concentré jeunes lapins",AlimentsVolailles,2,FALSE)+VLOOKUP("Concentré jeunes lapins",AlimentsPintades,2,FALSE)+VLOOKUP("Concentré jeunes lapins",AlimentsOies,2,FALSE)+VLOOKUP("Concentré jeunes lapins",AlimentsCanards,2,FALSE)+VLOOKUP("Concentré jeunes lapins",AlimentsGavageOiesEtCanards,2,FALSE)+VLOOKUP("Concentré jeunes lapins",AlimentsBisons,2,FALSE)+VLOOKUP("Concentré jeunes lapins",AlimentsDaims,2,FALSE)+VLOOKUP("Concentré jeunes lapins",AlimentsChevauxSelle,2,FALSE)+VLOOKUP("Concentré jeunes lapins",AlimentsChevauxTrait,2,FALSE)+VLOOKUP("Concentré jeunes lapins",AlimentsPoneys,2,FALSE))/1000</f>
        <v>0</v>
      </c>
      <c r="D16" s="773">
        <f>(VLOOKUP("Concentré jeunes lapins",AlimentsBovins,3,FALSE)+VLOOKUP("Concentré jeunes lapins",AlimentsPorcins,3,FALSE)+VLOOKUP("Concentré jeunes lapins",AlimentsCaprins,3,FALSE)+VLOOKUP("Concentré jeunes lapins",AlimentsOvins,3,FALSE)+VLOOKUP("Concentré jeunes lapins",AlimentsLapins,3,FALSE)+VLOOKUP("Concentré jeunes lapins",AlimentsVolailles,3,FALSE)+VLOOKUP("Concentré jeunes lapins",AlimentsPintades,3,FALSE)+VLOOKUP("Concentré jeunes lapins",AlimentsOies,3,FALSE)+VLOOKUP("Concentré jeunes lapins",AlimentsCanards,3,FALSE)+VLOOKUP("Concentré jeunes lapins",AlimentsGavageOiesEtCanards,3,FALSE)+VLOOKUP("Concentré jeunes lapins",AlimentsBisons,3,FALSE)+VLOOKUP("Concentré jeunes lapins",AlimentsDaims,3,FALSE)+VLOOKUP("Concentré jeunes lapins",AlimentsChevauxSelle,3,FALSE)+VLOOKUP("Concentré jeunes lapins",AlimentsChevauxTrait,3,FALSE)+VLOOKUP("Concentré jeunes lapins",AlimentsPoneys,3,FALSE))/1000</f>
        <v>0</v>
      </c>
      <c r="E16" s="774">
        <f>(VLOOKUP("Concentré jeunes lapins",AlimentsBovins,4,FALSE)+VLOOKUP("Concentré jeunes lapins",AlimentsPorcins,4,FALSE)+VLOOKUP("Concentré jeunes lapins",AlimentsCaprins,4,FALSE)+VLOOKUP("Concentré jeunes lapins",AlimentsOvins,4,FALSE)+VLOOKUP("Concentré jeunes lapins",AlimentsLapins,4,FALSE)+VLOOKUP("Concentré jeunes lapins",AlimentsVolailles,4,FALSE)+VLOOKUP("Concentré jeunes lapins",AlimentsPintades,4,FALSE)+VLOOKUP("Concentré jeunes lapins",AlimentsOies,4,FALSE)+VLOOKUP("Concentré jeunes lapins",AlimentsCanards,4,FALSE)+VLOOKUP("Concentré jeunes lapins",AlimentsGavageOiesEtCanards,4,FALSE)+VLOOKUP("Concentré jeunes lapins",AlimentsBisons,4,FALSE)+VLOOKUP("Concentré jeunes lapins",AlimentsDaims,4,FALSE)+VLOOKUP("Concentré jeunes lapins",AlimentsChevauxSelle,4,FALSE)+VLOOKUP("Concentré jeunes lapins",AlimentsChevauxTrait,4,FALSE)+VLOOKUP("Concentré jeunes lapins",AlimentsPoneys,4,FALSE))/1000</f>
        <v>0</v>
      </c>
      <c r="F16" s="758">
        <f>IF(ConcentréLapinsNécessaireBQ=0,,IF(ConcentréLapinsNécessaireBQ-BDD!HA26&lt;=0,0,ROUND(ConcentréLapinsNécessaireBQ-BDD!HA26,3)))</f>
        <v>0</v>
      </c>
      <c r="G16" s="754">
        <f>IF(ConcentréLapinsNécessaireMoQ=0,,IF(ConcentréLapinsNécessaireMoQ-BDD!HA26&lt;=0,0,ROUND(ConcentréLapinsNécessaireMoQ-BDD!HA26,3)))</f>
        <v>0</v>
      </c>
      <c r="H16" s="759">
        <f>IF(ConcentréLapinsNécessaireMaQ=0,,IF(ConcentréLapinsNécessaireMaQ-BDD!HA26&lt;=0,0,ROUND(ConcentréLapinsNécessaireMaQ-BDD!HA26,3)))</f>
        <v>0</v>
      </c>
      <c r="I16" s="229"/>
      <c r="J16" s="239" t="str">
        <f>IF(ConcentréLapins="","",1.12)</f>
        <v/>
      </c>
      <c r="K16" s="204" t="str">
        <f>IF(AND(CommandeConcentréLapinsBQ=0,CommandeConcentréLapinsMoQ=0,CommandeConcentréLapinsMaQ=0),"",((PrixConcentréLapin*CommandeConcentréLapinsBQ)+(PrixConcentréLapin*CommandeConcentréLapinsMoQ*0.9)+(PrixConcentréLapin*CommandeConcentréLapinsMaQ*0.8)))</f>
        <v/>
      </c>
      <c r="L16" s="229"/>
      <c r="M16" s="229"/>
      <c r="N16" s="219"/>
      <c r="O16" s="219"/>
      <c r="P16" s="219"/>
      <c r="Q16" s="219"/>
      <c r="R16" s="219"/>
      <c r="S16" s="219"/>
      <c r="T16" s="224"/>
      <c r="U16" s="221"/>
      <c r="V16" s="221"/>
      <c r="W16" s="221"/>
      <c r="X16" s="221"/>
      <c r="Y16" s="221"/>
      <c r="Z16" s="221"/>
    </row>
    <row r="17" spans="1:26" s="30" customFormat="1" x14ac:dyDescent="0.2">
      <c r="A17" s="222"/>
      <c r="B17" s="240" t="str">
        <f>IF(AND(ConcentréPorcinsNécessaireBQ=0,ConcentréPorcinsNécessaireMoQ=0,ConcentréPorcinsNécessaireMaQ=0),"","concentré jeunes porcins (kg)")</f>
        <v/>
      </c>
      <c r="C17" s="769">
        <f>(VLOOKUP("Concentré jeunes porcins",AlimentsBovins,2,FALSE)+VLOOKUP("Concentré jeunes porcins",AlimentsPorcins,2,FALSE)+VLOOKUP("Concentré jeunes porcins",AlimentsCaprins,2,FALSE)+VLOOKUP("Concentré jeunes porcins",AlimentsOvins,2,FALSE)+VLOOKUP("Concentré jeunes porcins",AlimentsLapins,2,FALSE)+VLOOKUP("Concentré jeunes porcins",AlimentsVolailles,2,FALSE)+VLOOKUP("Concentré jeunes porcins",AlimentsPintades,2,FALSE)+VLOOKUP("Concentré jeunes porcins",AlimentsOies,2,FALSE)+VLOOKUP("Concentré jeunes porcins",AlimentsCanards,2,FALSE)+VLOOKUP("Concentré jeunes porcins",AlimentsGavageOiesEtCanards,2,FALSE)+VLOOKUP("Concentré jeunes porcins",AlimentsBisons,2,FALSE)+VLOOKUP("Concentré jeunes porcins",AlimentsDaims,2,FALSE)+VLOOKUP("Concentré jeunes porcins",AlimentsChevauxSelle,2,FALSE)+VLOOKUP("Concentré jeunes porcins",AlimentsChevauxTrait,2,FALSE)+VLOOKUP("Concentré jeunes porcins",AlimentsPoneys,2,FALSE))/1000</f>
        <v>0</v>
      </c>
      <c r="D17" s="775">
        <f>(VLOOKUP("Concentré jeunes porcins",AlimentsBovins,3,FALSE)+VLOOKUP("Concentré jeunes porcins",AlimentsPorcins,3,FALSE)+VLOOKUP("Concentré jeunes porcins",AlimentsCaprins,3,FALSE)+VLOOKUP("Concentré jeunes porcins",AlimentsOvins,3,FALSE)+VLOOKUP("Concentré jeunes porcins",AlimentsLapins,3,FALSE)+VLOOKUP("Concentré jeunes porcins",AlimentsVolailles,3,FALSE)+VLOOKUP("Concentré jeunes porcins",AlimentsPintades,3,FALSE)+VLOOKUP("Concentré jeunes porcins",AlimentsOies,3,FALSE)+VLOOKUP("Concentré jeunes porcins",AlimentsCanards,3,FALSE)+VLOOKUP("Concentré jeunes porcins",AlimentsGavageOiesEtCanards,3,FALSE)+VLOOKUP("Concentré jeunes porcins",AlimentsBisons,3,FALSE)+VLOOKUP("Concentré jeunes porcins",AlimentsDaims,3,FALSE)+VLOOKUP("Concentré jeunes porcins",AlimentsChevauxSelle,3,FALSE)+VLOOKUP("Concentré jeunes porcins",AlimentsChevauxTrait,3,FALSE)+VLOOKUP("Concentré jeunes porcins",AlimentsPoneys,3,FALSE))/1000</f>
        <v>0</v>
      </c>
      <c r="E17" s="776">
        <f>(VLOOKUP("Concentré jeunes porcins",AlimentsBovins,4,FALSE)+VLOOKUP("Concentré jeunes porcins",AlimentsPorcins,4,FALSE)+VLOOKUP("Concentré jeunes porcins",AlimentsCaprins,4,FALSE)+VLOOKUP("Concentré jeunes porcins",AlimentsOvins,4,FALSE)+VLOOKUP("Concentré jeunes porcins",AlimentsLapins,4,FALSE)+VLOOKUP("Concentré jeunes porcins",AlimentsVolailles,4,FALSE)+VLOOKUP("Concentré jeunes porcins",AlimentsPintades,4,FALSE)+VLOOKUP("Concentré jeunes porcins",AlimentsOies,4,FALSE)+VLOOKUP("Concentré jeunes porcins",AlimentsCanards,4,FALSE)+VLOOKUP("Concentré jeunes porcins",AlimentsGavageOiesEtCanards,4,FALSE)+VLOOKUP("Concentré jeunes porcins",AlimentsBisons,4,FALSE)+VLOOKUP("Concentré jeunes porcins",AlimentsDaims,4,FALSE)+VLOOKUP("Concentré jeunes porcins",AlimentsChevauxSelle,4,FALSE)+VLOOKUP("Concentré jeunes porcins",AlimentsChevauxTrait,4,FALSE)+VLOOKUP("Concentré jeunes porcins",AlimentsPoneys,4,FALSE))/1000</f>
        <v>0</v>
      </c>
      <c r="F17" s="964">
        <f>IF(ConcentréPorcinsNécessaireBQ=0,,IF(ConcentréPorcinsNécessaireBQ-BDD!HA27&lt;=0,0,ROUND(ConcentréPorcinsNécessaireBQ-BDD!HA27,3)))</f>
        <v>0</v>
      </c>
      <c r="G17" s="753">
        <f>IF(ConcentréPorcinsNécessaireMoQ=0,,IF(ConcentréPorcinsNécessaireMoQ-BDD!HA27&lt;=0,0,ROUND(ConcentréPorcinsNécessaireMoQ-BDD!HA27,3)))</f>
        <v>0</v>
      </c>
      <c r="H17" s="760">
        <f>IF(ConcentréPorcinsNécessaireMaQ=0,,IF(ConcentréPorcinsNécessaireMaQ-BDD!HA27&lt;=0,0,ROUND(ConcentréPorcinsNécessaireMaQ-BDD!HA27,3)))</f>
        <v>0</v>
      </c>
      <c r="I17" s="229"/>
      <c r="J17" s="238" t="str">
        <f>IF(ConcentréPorcins="","",1.13)</f>
        <v/>
      </c>
      <c r="K17" s="237" t="str">
        <f>IF(AND(CommandeConcentréPorcinsBQ=0,CommandeConcentréPorcinsMoQ=0,CommandeConcentréPorcinsMaQ=0),"",((PrixConcentréPorcin*CommandeConcentréPorcinsBQ)+(PrixConcentréPorcin*CommandeConcentréPorcinsMoQ*0.9)+(PrixConcentréPorcin*CommandeConcentréPorcinsMaQ*0.8)))</f>
        <v/>
      </c>
      <c r="L17" s="229"/>
      <c r="M17" s="229"/>
      <c r="N17" s="219"/>
      <c r="O17" s="219"/>
      <c r="P17" s="219"/>
      <c r="Q17" s="219"/>
      <c r="R17" s="219"/>
      <c r="S17" s="219"/>
      <c r="T17" s="224"/>
      <c r="U17" s="221"/>
      <c r="V17" s="221"/>
      <c r="W17" s="221"/>
      <c r="X17" s="221"/>
      <c r="Y17" s="221"/>
      <c r="Z17" s="221"/>
    </row>
    <row r="18" spans="1:26" s="30" customFormat="1" x14ac:dyDescent="0.2">
      <c r="A18" s="222"/>
      <c r="B18" s="186" t="str">
        <f>IF(AND(EnsilageHerbeNécessaireBQ=0,EnsilageHerbeNécessaireMoQ=0,EnsilageHerbeNécessaireMaQ=0),"","ensilage d'herbe (t)")</f>
        <v/>
      </c>
      <c r="C18" s="768">
        <f>(VLOOKUP("Ensilage d'herbe",AlimentsBovins,2,FALSE)+VLOOKUP("Ensilage d'herbe",AlimentsPorcins,2,FALSE)+VLOOKUP("Ensilage d'herbe",AlimentsCaprins,2,FALSE)+VLOOKUP("Ensilage d'herbe",AlimentsOvins,2,FALSE)+VLOOKUP("Ensilage d'herbe",AlimentsLapins,2,FALSE)+VLOOKUP("Ensilage d'herbe",AlimentsVolailles,2,FALSE)+VLOOKUP("Ensilage d'herbe",AlimentsPintades,2,FALSE)+VLOOKUP("Ensilage d'herbe",AlimentsOies,2,FALSE)+VLOOKUP("Ensilage d'herbe",AlimentsCanards,2,FALSE)+VLOOKUP("Ensilage d'herbe",AlimentsGavageOiesEtCanards,2,FALSE)+VLOOKUP("Ensilage d'herbe",AlimentsBisons,2,FALSE)+VLOOKUP("Ensilage d'herbe",AlimentsDaims,2,FALSE)+VLOOKUP("Ensilage d'herbe",AlimentsChevauxSelle,2,FALSE)+VLOOKUP("Ensilage d'herbe",AlimentsChevauxTrait,2,FALSE)+VLOOKUP("Ensilage d'herbe",AlimentsPoneys,2,FALSE))/1000</f>
        <v>0</v>
      </c>
      <c r="D18" s="773">
        <f>(VLOOKUP("Ensilage d'herbe",AlimentsBovins,3,FALSE)+VLOOKUP("Ensilage d'herbe",AlimentsPorcins,3,FALSE)+VLOOKUP("Ensilage d'herbe",AlimentsCaprins,3,FALSE)+VLOOKUP("Ensilage d'herbe",AlimentsOvins,3,FALSE)+VLOOKUP("Ensilage d'herbe",AlimentsLapins,3,FALSE)+VLOOKUP("Ensilage d'herbe",AlimentsVolailles,3,FALSE)+VLOOKUP("Ensilage d'herbe",AlimentsPintades,3,FALSE)+VLOOKUP("Ensilage d'herbe",AlimentsOies,3,FALSE)+VLOOKUP("Ensilage d'herbe",AlimentsCanards,3,FALSE)+VLOOKUP("Ensilage d'herbe",AlimentsGavageOiesEtCanards,3,FALSE)+VLOOKUP("Ensilage d'herbe",AlimentsBisons,3,FALSE)+VLOOKUP("Ensilage d'herbe",AlimentsDaims,3,FALSE)+VLOOKUP("Ensilage d'herbe",AlimentsChevauxSelle,3,FALSE)+VLOOKUP("Ensilage d'herbe",AlimentsChevauxTrait,3,FALSE)+VLOOKUP("Ensilage d'herbe",AlimentsPoneys,3,FALSE))/1000</f>
        <v>0</v>
      </c>
      <c r="E18" s="774">
        <f>(VLOOKUP("Ensilage d'herbe",AlimentsBovins,4,FALSE)+VLOOKUP("Ensilage d'herbe",AlimentsPorcins,4,FALSE)+VLOOKUP("Ensilage d'herbe",AlimentsCaprins,4,FALSE)+VLOOKUP("Ensilage d'herbe",AlimentsOvins,4,FALSE)+VLOOKUP("Ensilage d'herbe",AlimentsLapins,4,FALSE)+VLOOKUP("Ensilage d'herbe",AlimentsVolailles,4,FALSE)+VLOOKUP("Ensilage d'herbe",AlimentsPintades,4,FALSE)+VLOOKUP("Ensilage d'herbe",AlimentsOies,4,FALSE)+VLOOKUP("Ensilage d'herbe",AlimentsCanards,4,FALSE)+VLOOKUP("Ensilage d'herbe",AlimentsGavageOiesEtCanards,4,FALSE)+VLOOKUP("Ensilage d'herbe",AlimentsBisons,4,FALSE)+VLOOKUP("Ensilage d'herbe",AlimentsDaims,4,FALSE)+VLOOKUP("Ensilage d'herbe",AlimentsChevauxSelle,4,FALSE)+VLOOKUP("Ensilage d'herbe",AlimentsChevauxTrait,4,FALSE)+VLOOKUP("Ensilage d'herbe",AlimentsPoneys,4,FALSE))/1000</f>
        <v>0</v>
      </c>
      <c r="F18" s="758">
        <f>IF(EnsilageHerbeNécessaireBQ=0,,IF(EnsilageHerbeNécessaireBQ-VLOOKUP(EnsilageHerbe,StockDansSilos,3,FALSE)&lt;=0,0,ROUND(EnsilageHerbeNécessaireBQ-VLOOKUP(EnsilageHerbe,StockDansSilos,3,FALSE),3)))</f>
        <v>0</v>
      </c>
      <c r="G18" s="754">
        <f>IF(EnsilageHerbeNécessaireMoQ=0,,IF(EnsilageHerbeNécessaireMoQ-VLOOKUP(EnsilageHerbe,StockDansSilos,4,FALSE)&lt;=0,0,ROUND(EnsilageHerbeNécessaireMoQ-VLOOKUP(EnsilageHerbe,StockDansSilos,4,FALSE),3)))</f>
        <v>0</v>
      </c>
      <c r="H18" s="759">
        <f>IF(EnsilageHerbeNécessaireMaQ=0,,IF(EnsilageHerbeNécessaireMaQ-VLOOKUP(EnsilageHerbe,StockDansSilos,5,FALSE)&lt;=0,0,ROUND(EnsilageHerbeNécessaireMaQ-VLOOKUP(EnsilageHerbe,StockDansSilos,5,FALSE),3)))</f>
        <v>0</v>
      </c>
      <c r="I18" s="229"/>
      <c r="J18" s="234"/>
      <c r="K18" s="204" t="str">
        <f>IF(AND(CommandeEnsilageHerbeBQ=0,CommandeEnsilageHerbeMoQ=0,CommandeEnsilageHerbeMaQ=0),"",((PrixEnsilageHerbe*CommandeEnsilageHerbeBQ)+(PrixEnsilageHerbe*CommandeEnsilageHerbeMoQ*0.9)+(PrixEnsilageHerbe*CommandeEnsilageHerbeMaQ*0.8)))</f>
        <v/>
      </c>
      <c r="L18" s="229"/>
      <c r="M18" s="229"/>
      <c r="N18" s="219"/>
      <c r="O18" s="219"/>
      <c r="P18" s="219"/>
      <c r="Q18" s="219"/>
      <c r="R18" s="219"/>
      <c r="S18" s="219"/>
      <c r="T18" s="224"/>
      <c r="U18" s="221"/>
      <c r="V18" s="221"/>
      <c r="W18" s="221"/>
      <c r="X18" s="221"/>
      <c r="Y18" s="221"/>
      <c r="Z18" s="221"/>
    </row>
    <row r="19" spans="1:26" s="30" customFormat="1" x14ac:dyDescent="0.2">
      <c r="A19" s="222"/>
      <c r="B19" s="240" t="str">
        <f>IF(OR(C19="",C19=0,C19="invalide"),"","eau (l)")</f>
        <v/>
      </c>
      <c r="C19" s="1521">
        <f>(VLOOKUP("Eau",AlimentsRationBovinsMâles,9,FALSE)+VLOOKUP("Eau",AlimentsRationBovinsFemelles,9,FALSE)+VLOOKUP("Eau",AlimentsRationHivernaleBovins,9,FALSE)+VLOOKUP("Eau",AlimentsRationHivernaleBisonsMâles,9,FALSE)+VLOOKUP("Eau",AlimentsRationHivernaleBisonsFemelles,9,FALSE)+VLOOKUP("Eau",AlimentsRationCaprinsMâles,6,FALSE)+VLOOKUP("Eau",AlimentsRationCaprinsFemelles,6,FALSE)+VLOOKUP("Eau",AlimentsRationPorcinsMâles[],7,FALSE)+VLOOKUP("Eau",AlimentsRationPorcinsFemelles[],7,FALSE)+VLOOKUP("Eau",AlimentsRationLapinsMâles[],5,FALSE)+VLOOKUP("Eau",AlimentsRationLapinsFemelles[],5,FALSE)+VLOOKUP("Eau",AlimentsRationVolaillesMâles[],5,FALSE)+VLOOKUP("Eau",AlimentsRationVolaillesFemelles[],5,FALSE)+VLOOKUP("Eau",AlimentsRationPintadesMâles[],5,FALSE)+VLOOKUP("Eau",AlimentsRationPintadesFemelles[],5,FALSE)+VLOOKUP("Eau",AlimentsRationOvinsMâles,6,FALSE)+VLOOKUP("Eau",AlimentsRationOvinsFemelles,6,FALSE)+VLOOKUP("Eau",AlimentsRationHivernaleOvins,6,FALSE)+VLOOKUP("Eau",AlimentsRationHivernaleDaims,9,FALSE)+VLOOKUP("Eau",AlimentsRationOiesMâles[],5,FALSE)+VLOOKUP("Eau",AlimentsRationOiesFemelles[],5,FALSE)+VLOOKUP("Eau",Ration_canards_Mâles[],5,FALSE)+VLOOKUP("Eau",Ration_canards_Femelles[],5,FALSE)+VLOOKUP("Eau",AlimentsRationEcurieChevauxMâlesSelle,6,FALSE)+VLOOKUP("Eau",AlimentsRationEcurieChevauxFemellesSelle,6,FALSE)+VLOOKUP("Eau",AlimentsRationEcurieChevauxMâlesTrait,6,FALSE)+VLOOKUP("Eau",AlimentsRationEcurieChevauxFemellesTrait,6,FALSE)+VLOOKUP("Eau",AlimentsRationEcuriePoneysMâles,6,FALSE)*VLOOKUP("Eau",AlimentsRationEcuriePoneysFemelles,6,FALSE)+VLOOKUP("Eau",AlimentsGavageOies[],6,FALSE)+VLOOKUP("Eau",AlimentsGavageCanards[],6,FALSE))</f>
        <v>0</v>
      </c>
      <c r="D19" s="1522"/>
      <c r="E19" s="1523"/>
      <c r="F19" s="1524" t="str">
        <f>IF(EauNécessaire=0,"",IF(EauNécessaire-VLOOKUP(Eau,StockDansSilos,3,FALSE)&lt;=0,0,ROUND(EauNécessaire-VLOOKUP(Eau,StockDansSilos,3,FALSE),3)))</f>
        <v/>
      </c>
      <c r="G19" s="1525"/>
      <c r="H19" s="1526"/>
      <c r="I19" s="229"/>
      <c r="J19" s="241" t="str">
        <f>IF(Eau="","",0.0026)</f>
        <v/>
      </c>
      <c r="K19" s="237" t="str">
        <f>IF(CommandeEau="","",IF(CommandeEau&gt;=0,PrixEau*CommandeEau,""))</f>
        <v/>
      </c>
      <c r="L19" s="229"/>
      <c r="M19" s="229"/>
      <c r="N19" s="219"/>
      <c r="O19" s="219"/>
      <c r="P19" s="219"/>
      <c r="Q19" s="219"/>
      <c r="R19" s="219"/>
      <c r="S19" s="219"/>
      <c r="T19" s="224"/>
      <c r="U19" s="221"/>
      <c r="V19" s="221"/>
      <c r="W19" s="221"/>
      <c r="X19" s="221"/>
      <c r="Y19" s="221"/>
      <c r="Z19" s="221"/>
    </row>
    <row r="20" spans="1:26" s="30" customFormat="1" x14ac:dyDescent="0.2">
      <c r="A20" s="222"/>
      <c r="B20" s="186" t="str">
        <f>IF(AND(FéveroleNécessaireBQ=0,FéveroleNécessaireMoQ=0,FéveroleNécessaireMaQ=0),"","féverole (t)")</f>
        <v/>
      </c>
      <c r="C20" s="768">
        <f>(VLOOKUP("Féverole",AlimentsBovins,2,FALSE)+VLOOKUP("Féverole",AlimentsPorcins,2,FALSE)+VLOOKUP("Féverole",AlimentsCaprins,2,FALSE)+VLOOKUP("Féverole",AlimentsOvins,2,FALSE)+VLOOKUP("Féverole",AlimentsLapins,2,FALSE)+VLOOKUP("Féverole",AlimentsVolailles,2,FALSE)+VLOOKUP("Féverole",AlimentsPintades,2,FALSE)+VLOOKUP("Féverole",AlimentsOies,2,FALSE)+VLOOKUP("Féverole",AlimentsCanards,2,FALSE)+VLOOKUP("Féverole",AlimentsGavageOiesEtCanards,2,FALSE)+VLOOKUP("Féverole",AlimentsBisons,2,FALSE)+VLOOKUP("Féverole",AlimentsDaims,2,FALSE)+VLOOKUP("Féverole",AlimentsChevauxSelle,2,FALSE)+VLOOKUP("Féverole",AlimentsChevauxTrait,2,FALSE)+VLOOKUP("Féverole",AlimentsPoneys,2,FALSE))/1000</f>
        <v>0</v>
      </c>
      <c r="D20" s="773">
        <f>(VLOOKUP("Féverole",AlimentsBovins,3,FALSE)+VLOOKUP("Féverole",AlimentsPorcins,3,FALSE)+VLOOKUP("Féverole",AlimentsCaprins,3,FALSE)+VLOOKUP("Féverole",AlimentsOvins,3,FALSE)+VLOOKUP("Féverole",AlimentsLapins,3,FALSE)+VLOOKUP("Féverole",AlimentsVolailles,3,FALSE)+VLOOKUP("Féverole",AlimentsPintades,3,FALSE)+VLOOKUP("Féverole",AlimentsOies,3,FALSE)+VLOOKUP("Féverole",AlimentsCanards,3,FALSE)+VLOOKUP("Féverole",AlimentsGavageOiesEtCanards,3,FALSE)+VLOOKUP("Féverole",AlimentsBisons,3,FALSE)+VLOOKUP("Féverole",AlimentsDaims,3,FALSE)+VLOOKUP("Féverole",AlimentsChevauxSelle,3,FALSE)+VLOOKUP("Féverole",AlimentsChevauxTrait,3,FALSE)+VLOOKUP("Féverole",AlimentsPoneys,3,FALSE))/1000</f>
        <v>0</v>
      </c>
      <c r="E20" s="774">
        <f>(VLOOKUP("Féverole",AlimentsBovins,4,FALSE)+VLOOKUP("Féverole",AlimentsPorcins,4,FALSE)+VLOOKUP("Féverole",AlimentsCaprins,4,FALSE)+VLOOKUP("Féverole",AlimentsOvins,4,FALSE)+VLOOKUP("Féverole",AlimentsLapins,4,FALSE)+VLOOKUP("Féverole",AlimentsVolailles,4,FALSE)+VLOOKUP("Féverole",AlimentsPintades,4,FALSE)+VLOOKUP("Féverole",AlimentsOies,4,FALSE)+VLOOKUP("Féverole",AlimentsCanards,4,FALSE)+VLOOKUP("Féverole",AlimentsGavageOiesEtCanards,4,FALSE)+VLOOKUP("Féverole",AlimentsBisons,4,FALSE)+VLOOKUP("Féverole",AlimentsDaims,4,FALSE)+VLOOKUP("Féverole",AlimentsChevauxSelle,4,FALSE)+VLOOKUP("Féverole",AlimentsChevauxTrait,4,FALSE)+VLOOKUP("Féverole",AlimentsPoneys,4,FALSE))/1000</f>
        <v>0</v>
      </c>
      <c r="F20" s="758">
        <f>IF(FéveroleNécessaireBQ=0,,IF(FéveroleNécessaireBQ-VLOOKUP(Féverole,StockDansSilos,3,FALSE)&lt;=0,0,ROUND(FéveroleNécessaireBQ-VLOOKUP(Féverole,StockDansSilos,3,FALSE),3)))</f>
        <v>0</v>
      </c>
      <c r="G20" s="754">
        <f>IF(FéveroleNécessaireMoQ=0,,IF(FéveroleNécessaireMoQ-VLOOKUP(Féverole,StockDansSilos,4,FALSE)&lt;=0,0,ROUND(FéveroleNécessaireMoQ-VLOOKUP(Féverole,StockDansSilos,4,FALSE),3)))</f>
        <v>0</v>
      </c>
      <c r="H20" s="759">
        <f>IF(FéveroleNécessaireMaQ=0,,IF(FéveroleNécessaireMaQ-VLOOKUP(Féverole,StockDansSilos,5,FALSE)&lt;=0,0,ROUND(FéveroleNécessaireMaQ-VLOOKUP(Féverole,StockDansSilos,5,FALSE),3)))</f>
        <v>0</v>
      </c>
      <c r="I20" s="229"/>
      <c r="J20" s="234"/>
      <c r="K20" s="204" t="str">
        <f>IF(AND(CommandeFeveroleBQ=0,CommandeFeveroleMoQ=0,CommandeFeveroleMaQ=0),"",((PrixFeverole*CommandeFeveroleBQ)+(PrixFeverole*CommandeFeveroleMoQ*0.9)+(PrixFeverole*CommandeFeveroleMaQ*0.8)))</f>
        <v/>
      </c>
      <c r="L20" s="229"/>
      <c r="M20" s="229"/>
      <c r="N20" s="219"/>
      <c r="O20" s="219"/>
      <c r="P20" s="219"/>
      <c r="Q20" s="219"/>
      <c r="R20" s="219"/>
      <c r="S20" s="219"/>
      <c r="T20" s="224"/>
      <c r="U20" s="221"/>
      <c r="V20" s="221"/>
      <c r="W20" s="221"/>
      <c r="X20" s="221"/>
      <c r="Y20" s="221"/>
      <c r="Z20" s="221"/>
    </row>
    <row r="21" spans="1:26" s="30" customFormat="1" x14ac:dyDescent="0.2">
      <c r="A21" s="222"/>
      <c r="B21" s="240" t="str">
        <f>IF(AND(FoinNécessaireBQ=0,FoinNécessaireMoQ=0,FoinNécessaireMaQ=0),"","foin (t)")</f>
        <v/>
      </c>
      <c r="C21" s="769">
        <f>(VLOOKUP("Foin",AlimentsBovins,2,FALSE)+VLOOKUP("Foin",AlimentsPorcins,2,FALSE)+VLOOKUP("Foin",AlimentsCaprins,2,FALSE)+VLOOKUP("Foin",AlimentsOvins,2,FALSE)+VLOOKUP("Foin",AlimentsLapins,2,FALSE)+VLOOKUP("Foin",AlimentsVolailles,2,FALSE)+VLOOKUP("Foin",AlimentsPintades,2,FALSE)+VLOOKUP("Foin",AlimentsOies,2,FALSE)+VLOOKUP("Foin",AlimentsCanards,2,FALSE)+VLOOKUP("Foin",AlimentsGavageOiesEtCanards,2,FALSE)+VLOOKUP("Foin",AlimentsBisons,2,FALSE)+VLOOKUP("Foin",AlimentsDaims,2,FALSE)+VLOOKUP("Foin",AlimentsChevauxSelle,2,FALSE)+VLOOKUP("Foin",AlimentsChevauxTrait,2,FALSE)+VLOOKUP("Foin",AlimentsPoneys,2,FALSE))/1000</f>
        <v>0</v>
      </c>
      <c r="D21" s="775">
        <f>(VLOOKUP("Foin",AlimentsBovins,3,FALSE)+VLOOKUP("Foin",AlimentsPorcins,3,FALSE)+VLOOKUP("Foin",AlimentsCaprins,3,FALSE)+VLOOKUP("Foin",AlimentsOvins,3,FALSE)+VLOOKUP("Foin",AlimentsLapins,3,FALSE)+VLOOKUP("Foin",AlimentsVolailles,3,FALSE)+VLOOKUP("Foin",AlimentsPintades,3,FALSE)+VLOOKUP("Foin",AlimentsOies,3,FALSE)+VLOOKUP("Foin",AlimentsCanards,3,FALSE)+VLOOKUP("Foin",AlimentsGavageOiesEtCanards,3,FALSE)+VLOOKUP("Foin",AlimentsBisons,3,FALSE)+VLOOKUP("Foin",AlimentsDaims,3,FALSE)+VLOOKUP("Foin",AlimentsChevauxSelle,3,FALSE)+VLOOKUP("Foin",AlimentsChevauxTrait,3,FALSE)+VLOOKUP("Foin",AlimentsPoneys,3,FALSE))/1000</f>
        <v>0</v>
      </c>
      <c r="E21" s="776">
        <f>(VLOOKUP("Foin",AlimentsBovins,4,FALSE)+VLOOKUP("Foin",AlimentsPorcins,4,FALSE)+VLOOKUP("Foin",AlimentsCaprins,4,FALSE)+VLOOKUP("Foin",AlimentsOvins,4,FALSE)+VLOOKUP("Foin",AlimentsLapins,4,FALSE)+VLOOKUP("Foin",AlimentsVolailles,4,FALSE)+VLOOKUP("Foin",AlimentsPintades,4,FALSE)+VLOOKUP("Foin",AlimentsOies,4,FALSE)+VLOOKUP("Foin",AlimentsCanards,4,FALSE)+VLOOKUP("Foin",AlimentsGavageOiesEtCanards,4,FALSE)+VLOOKUP("Foin",AlimentsBisons,4,FALSE)+VLOOKUP("Foin",AlimentsDaims,4,FALSE)+VLOOKUP("Foin",AlimentsChevauxSelle,4,FALSE)+VLOOKUP("Foin",AlimentsChevauxTrait,4,FALSE)+VLOOKUP("Foin",AlimentsPoneys,4,FALSE))/1000</f>
        <v>0</v>
      </c>
      <c r="F21" s="964">
        <f>IF(FoinNécessaireBQ=0,,IF(FoinNécessaireBQ-SUM(StockFoinBQDansEntrepôt)&lt;=0,0,ROUND(FoinNécessaireBQ-SUM(StockFoinBQDansEntrepôt),3)))</f>
        <v>0</v>
      </c>
      <c r="G21" s="753">
        <f>IF(FoinNécessaireMoQ=0,,IF(FoinNécessaireMoQ-SUM(StockFoinMoQDansEntrepôt)&lt;=0,0,ROUND(FoinNécessaireMoQ-SUM(StockFoinMoQDansEntrepôt),3)))</f>
        <v>0</v>
      </c>
      <c r="H21" s="760">
        <f>IF(FoinNécessaireMaQ=0,,IF(FoinNécessaireMaQ-SUM(StockFoinMaQDansEntrepôt)&lt;=0,0,ROUND(FoinNécessaireMaQ-SUM(StockFoinMaQDansEntrepôt),3)))</f>
        <v>0</v>
      </c>
      <c r="I21" s="229"/>
      <c r="J21" s="236"/>
      <c r="K21" s="237" t="str">
        <f>IF(AND(CommandeFoinBQ=0,CommandeFoinMoQ=0,CommandeFoinMaQ=0),"",((PrixFoin*CommandeFoinBQ)+(PrixFoin*CommandeFoinMoQ*0.9)+(PrixFoin*CommandeFoinMaQ*0.8)))</f>
        <v/>
      </c>
      <c r="L21" s="229"/>
      <c r="M21" s="229"/>
      <c r="N21" s="219"/>
      <c r="O21" s="219"/>
      <c r="P21" s="219"/>
      <c r="Q21" s="219"/>
      <c r="R21" s="219"/>
      <c r="S21" s="219"/>
      <c r="T21" s="224"/>
      <c r="U21" s="221"/>
      <c r="V21" s="221"/>
      <c r="W21" s="221"/>
      <c r="X21" s="221"/>
      <c r="Y21" s="221"/>
      <c r="Z21" s="221"/>
    </row>
    <row r="22" spans="1:26" s="30" customFormat="1" x14ac:dyDescent="0.2">
      <c r="A22" s="222"/>
      <c r="B22" s="186" t="str">
        <f>IF(AND(MaïsEnsiléNécessaireBQ=0,MaïsEnsiléNécessaireMoQ=0,MaïsEnsiléNécessaireMaQ=0),"","maïs ensilé (t)")</f>
        <v/>
      </c>
      <c r="C22" s="768">
        <f>(VLOOKUP("Maïs ensilé",AlimentsBovins,2,FALSE)+VLOOKUP("Maïs ensilé",AlimentsPorcins,2,FALSE)+VLOOKUP("Maïs ensilé",AlimentsCaprins,2,FALSE)+VLOOKUP("Maïs ensilé",AlimentsOvins,2,FALSE)+VLOOKUP("Maïs ensilé",AlimentsLapins,2,FALSE)+VLOOKUP("Maïs ensilé",AlimentsVolailles,2,FALSE)+VLOOKUP("Maïs ensilé",AlimentsPintades,2,FALSE)+VLOOKUP("Maïs ensilé",AlimentsOies,2,FALSE)+VLOOKUP("Maïs ensilé",AlimentsCanards,2,FALSE)+VLOOKUP("Maïs ensilé",AlimentsGavageOiesEtCanards,2,FALSE)+VLOOKUP("Maïs ensilé",AlimentsBisons,2,FALSE)+VLOOKUP("Maïs ensilé",AlimentsDaims,2,FALSE)+VLOOKUP("Maïs ensilé",AlimentsChevauxSelle,2,FALSE)+VLOOKUP("Maïs ensilé",AlimentsChevauxTrait,2,FALSE)+VLOOKUP("Maïs ensilé",AlimentsPoneys,2,FALSE))/1000</f>
        <v>0</v>
      </c>
      <c r="D22" s="773">
        <f>(VLOOKUP("Maïs ensilé",AlimentsBovins,3,FALSE)+VLOOKUP("Maïs ensilé",AlimentsPorcins,3,FALSE)+VLOOKUP("Maïs ensilé",AlimentsCaprins,3,FALSE)+VLOOKUP("Maïs ensilé",AlimentsOvins,3,FALSE)+VLOOKUP("Maïs ensilé",AlimentsLapins,3,FALSE)+VLOOKUP("Maïs ensilé",AlimentsVolailles,3,FALSE)+VLOOKUP("Maïs ensilé",AlimentsPintades,3,FALSE)+VLOOKUP("Maïs ensilé",AlimentsOies,3,FALSE)+VLOOKUP("Maïs ensilé",AlimentsCanards,3,FALSE)+VLOOKUP("Maïs ensilé",AlimentsGavageOiesEtCanards,3,FALSE)+VLOOKUP("Maïs ensilé",AlimentsBisons,3,FALSE)+VLOOKUP("Maïs ensilé",AlimentsDaims,3,FALSE)+VLOOKUP("Maïs ensilé",AlimentsChevauxSelle,3,FALSE)+VLOOKUP("Maïs ensilé",AlimentsChevauxTrait,3,FALSE)+VLOOKUP("Maïs ensilé",AlimentsPoneys,3,FALSE))/1000</f>
        <v>0</v>
      </c>
      <c r="E22" s="774">
        <f>(VLOOKUP("Maïs ensilé",AlimentsBovins,4,FALSE)+VLOOKUP("Maïs ensilé",AlimentsPorcins,4,FALSE)+VLOOKUP("Maïs ensilé",AlimentsCaprins,4,FALSE)+VLOOKUP("Maïs ensilé",AlimentsOvins,4,FALSE)+VLOOKUP("Maïs ensilé",AlimentsLapins,4,FALSE)+VLOOKUP("Maïs ensilé",AlimentsVolailles,4,FALSE)+VLOOKUP("Maïs ensilé",AlimentsPintades,4,FALSE)+VLOOKUP("Maïs ensilé",AlimentsOies,4,FALSE)+VLOOKUP("Maïs ensilé",AlimentsCanards,4,FALSE)+VLOOKUP("Maïs ensilé",AlimentsGavageOiesEtCanards,4,FALSE)+VLOOKUP("Maïs ensilé",AlimentsBisons,4,FALSE)+VLOOKUP("Maïs ensilé",AlimentsDaims,4,FALSE)+VLOOKUP("Maïs ensilé",AlimentsChevauxSelle,4,FALSE)+VLOOKUP("Maïs ensilé",AlimentsChevauxTrait,4,FALSE)+VLOOKUP("Maïs ensilé",AlimentsPoneys,4,FALSE))/1000</f>
        <v>0</v>
      </c>
      <c r="F22" s="758">
        <f>IF(MaïsEnsiléNécessaireBQ=0,,IF(MaïsEnsiléNécessaireBQ-VLOOKUP(MaïsEnsilé,StockDansSilos,3,FALSE)&lt;=0,0,ROUND(MaïsEnsiléNécessaireBQ-VLOOKUP(MaïsEnsilé,StockDansSilos,3,FALSE),3)))</f>
        <v>0</v>
      </c>
      <c r="G22" s="754">
        <f>IF(MaïsEnsiléNécessaireMoQ=0,,IF(MaïsEnsiléNécessaireMoQ-VLOOKUP(MaïsEnsilé,StockDansSilos,4,FALSE)&lt;=0,0,ROUND(MaïsEnsiléNécessaireMoQ-VLOOKUP(MaïsEnsilé,StockDansSilos,4,FALSE),3)))</f>
        <v>0</v>
      </c>
      <c r="H22" s="759">
        <f>IF(MaïsEnsiléNécessaireMaQ=0,,IF(MaïsEnsiléNécessaireMaQ-VLOOKUP(MaïsEnsilé,StockDansSilos,5,FALSE)&lt;=0,0,ROUND(MaïsEnsiléNécessaireMaQ-VLOOKUP(MaïsEnsilé,StockDansSilos,5,FALSE),3)))</f>
        <v>0</v>
      </c>
      <c r="I22" s="229"/>
      <c r="J22" s="234"/>
      <c r="K22" s="204" t="str">
        <f>IF(AND(CommandeMaïsEnsiléBQ=0,CommandeMaïsEnsiléMoQ=0,CommandeMaïsEnsiléMaQ=0),"",((PrixMaïsEnsilé*CommandeMaïsEnsiléBQ)+(PrixMaïsEnsilé*CommandeMaïsEnsiléMoQ*0.9)+(PrixMaïsEnsilé*CommandeMaïsEnsiléMaQ*0.8)))</f>
        <v/>
      </c>
      <c r="L22" s="229"/>
      <c r="M22" s="229"/>
      <c r="N22" s="219"/>
      <c r="O22" s="219"/>
      <c r="P22" s="219"/>
      <c r="Q22" s="219"/>
      <c r="R22" s="219"/>
      <c r="S22" s="219"/>
      <c r="T22" s="224"/>
      <c r="U22" s="221"/>
      <c r="V22" s="221"/>
      <c r="W22" s="221"/>
      <c r="X22" s="221"/>
      <c r="Y22" s="221"/>
      <c r="Z22" s="221"/>
    </row>
    <row r="23" spans="1:26" s="30" customFormat="1" x14ac:dyDescent="0.2">
      <c r="A23" s="222"/>
      <c r="B23" s="240" t="str">
        <f>IF(AND(MaïsGrainNécessaireBQ=0,MaïsGrainNécessaireMoQ=0,MaïsGrainNécessaireMaQ=0),"","maïs grain (t)")</f>
        <v/>
      </c>
      <c r="C23" s="769">
        <f>(VLOOKUP("Maïs grain",AlimentsBovins,2,FALSE)+VLOOKUP("Maïs grain",AlimentsPorcins,2,FALSE)+VLOOKUP("Maïs grain",AlimentsCaprins,2,FALSE)+VLOOKUP("Maïs grain",AlimentsOvins,2,FALSE)+VLOOKUP("Maïs grain",AlimentsLapins,2,FALSE)+VLOOKUP("Maïs grain",AlimentsVolailles,2,FALSE)+VLOOKUP("Maïs grain",AlimentsPintades,2,FALSE)+VLOOKUP("Maïs grain",AlimentsOies,2,FALSE)+VLOOKUP("Maïs grain",AlimentsCanards,2,FALSE)+VLOOKUP("Maïs grain",AlimentsGavageOiesEtCanards,2,FALSE)+VLOOKUP("Maïs grain",AlimentsBisons,2,FALSE)+VLOOKUP("Maïs grain",AlimentsDaims,2,FALSE)+VLOOKUP("Maïs grain",AlimentsChevauxSelle,2,FALSE)+VLOOKUP("Maïs grain",AlimentsChevauxTrait,2,FALSE)+VLOOKUP("Maïs grain",AlimentsPoneys,2,FALSE))/1000</f>
        <v>0</v>
      </c>
      <c r="D23" s="775">
        <f>(VLOOKUP("Maïs grain",AlimentsBovins,3,FALSE)+VLOOKUP("Maïs grain",AlimentsPorcins,3,FALSE)+VLOOKUP("Maïs grain",AlimentsCaprins,3,FALSE)+VLOOKUP("Maïs grain",AlimentsOvins,3,FALSE)+VLOOKUP("Maïs grain",AlimentsLapins,3,FALSE)+VLOOKUP("Maïs grain",AlimentsVolailles,3,FALSE)+VLOOKUP("Maïs grain",AlimentsPintades,3,FALSE)+VLOOKUP("Maïs grain",AlimentsOies,3,FALSE)+VLOOKUP("Maïs grain",AlimentsCanards,3,FALSE)+VLOOKUP("Maïs grain",AlimentsGavageOiesEtCanards,3,FALSE)+VLOOKUP("Maïs grain",AlimentsBisons,3,FALSE)+VLOOKUP("Maïs grain",AlimentsDaims,3,FALSE)+VLOOKUP("Maïs grain",AlimentsChevauxSelle,3,FALSE)+VLOOKUP("Maïs grain",AlimentsChevauxTrait,3,FALSE)+VLOOKUP("Maïs grain",AlimentsPoneys,3,FALSE))/1000</f>
        <v>0</v>
      </c>
      <c r="E23" s="776">
        <f>(VLOOKUP("Maïs grain",AlimentsBovins,4,FALSE)+VLOOKUP("Maïs grain",AlimentsPorcins,4,FALSE)+VLOOKUP("Maïs grain",AlimentsCaprins,4,FALSE)+VLOOKUP("Maïs grain",AlimentsOvins,4,FALSE)+VLOOKUP("Maïs grain",AlimentsLapins,4,FALSE)+VLOOKUP("Maïs grain",AlimentsVolailles,4,FALSE)+VLOOKUP("Maïs grain",AlimentsPintades,4,FALSE)+VLOOKUP("Maïs grain",AlimentsOies,4,FALSE)+VLOOKUP("Maïs grain",AlimentsCanards,4,FALSE)+VLOOKUP("Maïs grain",AlimentsGavageOiesEtCanards,4,FALSE)+VLOOKUP("Maïs grain",AlimentsBisons,4,FALSE)+VLOOKUP("Maïs grain",AlimentsDaims,4,FALSE)+VLOOKUP("Maïs grain",AlimentsChevauxSelle,4,FALSE)+VLOOKUP("Maïs grain",AlimentsChevauxTrait,4,FALSE)+VLOOKUP("Maïs grain",AlimentsPoneys,4,FALSE))/1000</f>
        <v>0</v>
      </c>
      <c r="F23" s="964">
        <f>IF(MaïsGrainNécessaireBQ=0,,IF(MaïsGrainNécessaireBQ-VLOOKUP(MaïsGrain,StockDansSilos,3,FALSE)&lt;=0,0,ROUND(MaïsGrainNécessaireBQ-VLOOKUP(MaïsGrain,StockDansSilos,3,FALSE),3)))</f>
        <v>0</v>
      </c>
      <c r="G23" s="753">
        <f>IF(MaïsGrainNécessaireMoQ=0,,IF(MaïsGrainNécessaireMoQ-VLOOKUP(MaïsGrain,StockDansSilos,4,FALSE)&lt;=0,0,ROUND(MaïsGrainNécessaireMoQ-VLOOKUP(MaïsGrain,StockDansSilos,4,FALSE),4)))</f>
        <v>0</v>
      </c>
      <c r="H23" s="760">
        <f>IF(MaïsGrainNécessaireMaQ=0,,IF(MaïsGrainNécessaireMaQ-VLOOKUP(MaïsGrain,StockDansSilos,5,FALSE)&lt;=0,0,ROUND(MaïsGrainNécessaireMaQ-VLOOKUP(MaïsGrain,StockDansSilos,5,FALSE),3)))</f>
        <v>0</v>
      </c>
      <c r="I23" s="229"/>
      <c r="J23" s="236"/>
      <c r="K23" s="237" t="str">
        <f>IF(AND(CommandeMaïsGrainBQ=0,CommandeMaïsGrainMoQ=0,CommandeMaïsGrainMaQ=0),"",((PrixMaïsGrain*CommandeMaïsGrainBQ)+(PrixMaïsGrain*CommandeMaïsGrainMoQ*0.9)+(PrixMaïsGrain*CommandeMaïsGrainMaQ*0.8)))</f>
        <v/>
      </c>
      <c r="L23" s="229"/>
      <c r="M23" s="229"/>
      <c r="N23" s="219"/>
      <c r="O23" s="219"/>
      <c r="P23" s="219"/>
      <c r="Q23" s="219"/>
      <c r="R23" s="219"/>
      <c r="S23" s="219"/>
      <c r="T23" s="224"/>
      <c r="U23" s="221"/>
      <c r="V23" s="221"/>
      <c r="W23" s="221"/>
      <c r="X23" s="221"/>
      <c r="Y23" s="221"/>
      <c r="Z23" s="221"/>
    </row>
    <row r="24" spans="1:26" s="30" customFormat="1" x14ac:dyDescent="0.2">
      <c r="A24" s="222"/>
      <c r="B24" s="242" t="str">
        <f>IF(AND(MinérauxNécessaireBQ=0,MinérauxNécessaireMoQ=0,MinérauxNécessaireMaQ=0),"","minéraux + vitamines (kg)")</f>
        <v/>
      </c>
      <c r="C24" s="768">
        <f>(VLOOKUP("Minéraux + vitamines",AlimentsBovins,2,FALSE)+VLOOKUP("Minéraux + vitamines",AlimentsPorcins,2,FALSE)+VLOOKUP("Minéraux + vitamines",AlimentsCaprins,2,FALSE)+VLOOKUP("Minéraux + vitamines",AlimentsOvins,2,FALSE)+VLOOKUP("Minéraux + vitamines",AlimentsLapins,2,FALSE)+VLOOKUP("Minéraux + vitamines",AlimentsVolailles,2,FALSE)+VLOOKUP("Minéraux + vitamines",AlimentsPintades,2,FALSE)+VLOOKUP("Minéraux + vitamines",AlimentsOies,2,FALSE)+VLOOKUP("Minéraux + vitamines",AlimentsCanards,2,FALSE)+VLOOKUP("Minéraux + vitamines",AlimentsGavageOiesEtCanards,2,FALSE)+VLOOKUP("Minéraux + vitamines",AlimentsBisons,2,FALSE)+VLOOKUP("Minéraux + vitamines",AlimentsDaims,2,FALSE)+VLOOKUP("Minéraux + vitamines",AlimentsChevauxSelle,2,FALSE)+VLOOKUP("Minéraux + vitamines",AlimentsChevauxTrait,2,FALSE)+VLOOKUP("Minéraux + vitamines",AlimentsPoneys,2,FALSE))/1000</f>
        <v>0</v>
      </c>
      <c r="D24" s="773">
        <f>(VLOOKUP("Minéraux + vitamines",AlimentsBovins,3,FALSE)+VLOOKUP("Minéraux + vitamines",AlimentsPorcins,3,FALSE)+VLOOKUP("Minéraux + vitamines",AlimentsCaprins,3,FALSE)+VLOOKUP("Minéraux + vitamines",AlimentsOvins,3,FALSE)+VLOOKUP("Minéraux + vitamines",AlimentsLapins,3,FALSE)+VLOOKUP("Minéraux + vitamines",AlimentsVolailles,3,FALSE)+VLOOKUP("Minéraux + vitamines",AlimentsPintades,3,FALSE)+VLOOKUP("Minéraux + vitamines",AlimentsOies,3,FALSE)+VLOOKUP("Minéraux + vitamines",AlimentsCanards,3,FALSE)+VLOOKUP("Minéraux + vitamines",AlimentsGavageOiesEtCanards,3,FALSE)+VLOOKUP("Minéraux + vitamines",AlimentsBisons,3,FALSE)+VLOOKUP("Minéraux + vitamines",AlimentsDaims,3,FALSE)+VLOOKUP("Minéraux + vitamines",AlimentsChevauxSelle,3,FALSE)+VLOOKUP("Minéraux + vitamines",AlimentsChevauxTrait,3,FALSE)+VLOOKUP("Minéraux + vitamines",AlimentsPoneys,3,FALSE))/1000</f>
        <v>0</v>
      </c>
      <c r="E24" s="774">
        <f>(VLOOKUP("Minéraux + vitamines",AlimentsBovins,4,FALSE)+VLOOKUP("Minéraux + vitamines",AlimentsPorcins,4,FALSE)+VLOOKUP("Minéraux + vitamines",AlimentsCaprins,4,FALSE)+VLOOKUP("Minéraux + vitamines",AlimentsOvins,4,FALSE)+VLOOKUP("Minéraux + vitamines",AlimentsLapins,4,FALSE)+VLOOKUP("Minéraux + vitamines",AlimentsVolailles,4,FALSE)+VLOOKUP("Minéraux + vitamines",AlimentsPintades,4,FALSE)+VLOOKUP("Minéraux + vitamines",AlimentsOies,4,FALSE)+VLOOKUP("Minéraux + vitamines",AlimentsCanards,4,FALSE)+VLOOKUP("Minéraux + vitamines",AlimentsGavageOiesEtCanards,4,FALSE)+VLOOKUP("Minéraux + vitamines",AlimentsBisons,4,FALSE)+VLOOKUP("Minéraux + vitamines",AlimentsDaims,4,FALSE)+VLOOKUP("Minéraux + vitamines",AlimentsChevauxSelle,4,FALSE)+VLOOKUP("Minéraux + vitamines",AlimentsChevauxTrait,4,FALSE)+VLOOKUP("Minéraux + vitamines",AlimentsPoneys,4,FALSE))/1000</f>
        <v>0</v>
      </c>
      <c r="F24" s="758">
        <f>IF(MinérauxNécessaireBQ=0,,IF(MinérauxNécessaireBQ-StockMinérauxBQDansEntrepôt&lt;=0,0,ROUND(MinérauxNécessaireBQ-StockMinérauxBQDansEntrepôt,3)))</f>
        <v>0</v>
      </c>
      <c r="G24" s="754">
        <f>IF(MinérauxNécessaireMoQ=0,,IF(MinérauxNécessaireMoQ-StockMinérauxMoQDansEntrepôt&lt;=0,0,ROUND(MinérauxNécessaireMoQ-StockMinérauxMoQDansEntrepôt,3)))</f>
        <v>0</v>
      </c>
      <c r="H24" s="759">
        <f>IF(MinérauxNécessaireMaQ=0,,IF(MinérauxNécessaireMaQ-StockMinérauxMaQDansEntrepôt&lt;=0,0,ROUND(MinérauxNécessaireMaQ-StockMinérauxMaQDansEntrepôt,3)))</f>
        <v>0</v>
      </c>
      <c r="I24" s="229"/>
      <c r="J24" s="239" t="str">
        <f>IF(Minéraux="","",1.38)</f>
        <v/>
      </c>
      <c r="K24" s="204" t="str">
        <f>IF(AND(CommandeMinérauxBQ=0,CommandeMinérauxMoQ=0,CommandeMinérauxMaQ=0),"",((PrixMinéraux*CommandeMinérauxBQ)+(PrixMinéraux*CommandeMinérauxMoQ*0.9)+(PrixMinéraux*CommandeMinérauxMaQ*0.8)))</f>
        <v/>
      </c>
      <c r="L24" s="229"/>
      <c r="M24" s="229"/>
      <c r="N24" s="219"/>
      <c r="O24" s="219"/>
      <c r="P24" s="219"/>
      <c r="Q24" s="219"/>
      <c r="R24" s="219"/>
      <c r="S24" s="219"/>
      <c r="T24" s="224"/>
      <c r="U24" s="221"/>
      <c r="V24" s="221"/>
      <c r="W24" s="221"/>
      <c r="X24" s="221"/>
      <c r="Y24" s="221"/>
      <c r="Z24" s="221"/>
    </row>
    <row r="25" spans="1:26" s="30" customFormat="1" x14ac:dyDescent="0.2">
      <c r="A25" s="222"/>
      <c r="B25" s="243" t="str">
        <f>IF(AND(OrgeNécessaireBQ=0,OrgeNécessaireMoQ=0,OrgeNécessaireMaQ=0),"","orge (t)")</f>
        <v/>
      </c>
      <c r="C25" s="769">
        <f>(VLOOKUP("Orge",AlimentsBovins,2,FALSE)+VLOOKUP("Orge",AlimentsPorcins,2,FALSE)+VLOOKUP("Orge",AlimentsCaprins,2,FALSE)+VLOOKUP("Orge",AlimentsOvins,2,FALSE)+VLOOKUP("Orge",AlimentsLapins,2,FALSE)+VLOOKUP("Orge",AlimentsVolailles,2,FALSE)+VLOOKUP("Orge",AlimentsPintades,2,FALSE)+VLOOKUP("Orge",AlimentsOies,2,FALSE)+VLOOKUP("Orge",AlimentsCanards,2,FALSE)+VLOOKUP("Orge",AlimentsGavageOiesEtCanards,2,FALSE)+VLOOKUP("Orge",AlimentsBisons,2,FALSE)+VLOOKUP("Orge",AlimentsDaims,2,FALSE)+VLOOKUP("Orge",AlimentsChevauxSelle,2,FALSE)+VLOOKUP("Orge",AlimentsChevauxTrait,2,FALSE)+VLOOKUP("Orge",AlimentsPoneys,2,FALSE))/1000</f>
        <v>0</v>
      </c>
      <c r="D25" s="775">
        <f>(VLOOKUP("Orge",AlimentsBovins,3,FALSE)+VLOOKUP("Orge",AlimentsPorcins,3,FALSE)+VLOOKUP("Orge",AlimentsCaprins,3,FALSE)+VLOOKUP("Orge",AlimentsOvins,3,FALSE)+VLOOKUP("Orge",AlimentsLapins,3,FALSE)+VLOOKUP("Orge",AlimentsVolailles,3,FALSE)+VLOOKUP("Orge",AlimentsPintades,3,FALSE)+VLOOKUP("Orge",AlimentsOies,3,FALSE)+VLOOKUP("Orge",AlimentsCanards,3,FALSE)+VLOOKUP("Orge",AlimentsGavageOiesEtCanards,3,FALSE)+VLOOKUP("Orge",AlimentsBisons,3,FALSE)+VLOOKUP("Orge",AlimentsDaims,3,FALSE)+VLOOKUP("Orge",AlimentsChevauxSelle,3,FALSE)+VLOOKUP("Orge",AlimentsChevauxTrait,3,FALSE)+VLOOKUP("Orge",AlimentsPoneys,3,FALSE))/1000</f>
        <v>0</v>
      </c>
      <c r="E25" s="776">
        <f>(VLOOKUP("Orge",AlimentsBovins,4,FALSE)+VLOOKUP("Orge",AlimentsPorcins,4,FALSE)+VLOOKUP("Orge",AlimentsCaprins,4,FALSE)+VLOOKUP("Orge",AlimentsOvins,4,FALSE)+VLOOKUP("Orge",AlimentsLapins,4,FALSE)+VLOOKUP("Orge",AlimentsVolailles,4,FALSE)+VLOOKUP("Orge",AlimentsPintades,4,FALSE)+VLOOKUP("Orge",AlimentsOies,4,FALSE)+VLOOKUP("Orge",AlimentsCanards,4,FALSE)+VLOOKUP("Orge",AlimentsGavageOiesEtCanards,4,FALSE)+VLOOKUP("Orge",AlimentsBisons,4,FALSE)+VLOOKUP("Orge",AlimentsDaims,4,FALSE)+VLOOKUP("Orge",AlimentsChevauxSelle,4,FALSE)+VLOOKUP("Orge",AlimentsChevauxTrait,4,FALSE)+VLOOKUP("Orge",AlimentsPoneys,4,FALSE))/1000</f>
        <v>0</v>
      </c>
      <c r="F25" s="964">
        <f>IF(OrgeNécessaireBQ=0,,IF(OrgeNécessaireBQ-VLOOKUP(Orge,StockDansSilos,3,FALSE)&lt;=0,0,ROUND(OrgeNécessaireBQ-VLOOKUP(Orge,StockDansSilos,3,FALSE),3)))</f>
        <v>0</v>
      </c>
      <c r="G25" s="753">
        <f>IF(OrgeNécessaireMoQ=0,,IF(OrgeNécessaireMoQ-VLOOKUP(Orge,StockDansSilos,4,FALSE)&lt;=0,0,ROUND(OrgeNécessaireMoQ-VLOOKUP(Orge,StockDansSilos,4,FALSE),3)))</f>
        <v>0</v>
      </c>
      <c r="H25" s="760">
        <f>IF(OrgeNécessaireMaQ=0,,IF(OrgeNécessaireMaQ-VLOOKUP(Orge,StockDansSilos,5,FALSE)&lt;=0,0,ROUND(OrgeNécessaireMaQ-VLOOKUP(Orge,StockDansSilos,5,FALSE),3)))</f>
        <v>0</v>
      </c>
      <c r="I25" s="229"/>
      <c r="J25" s="236"/>
      <c r="K25" s="237" t="str">
        <f>IF(AND(CommandeOrgeBQ=0,CommandeOrgeMoQ=0,CommandeOrgeMaQ=0),"",((PrixOrge*CommandeOrgeBQ)+(PrixOrge*CommandeOrgeMoQ*0.9)+(PrixOrge*CommandeOrgeMaQ*0.8)))</f>
        <v/>
      </c>
      <c r="L25" s="229"/>
      <c r="M25" s="229"/>
      <c r="N25" s="244"/>
      <c r="O25" s="219"/>
      <c r="P25" s="219"/>
      <c r="Q25" s="219"/>
      <c r="R25" s="219"/>
      <c r="S25" s="219"/>
      <c r="T25" s="224"/>
      <c r="U25" s="221"/>
      <c r="V25" s="221"/>
      <c r="W25" s="221"/>
      <c r="X25" s="221"/>
      <c r="Y25" s="221"/>
      <c r="Z25" s="221"/>
    </row>
    <row r="26" spans="1:26" s="30" customFormat="1" x14ac:dyDescent="0.2">
      <c r="A26" s="222"/>
      <c r="B26" s="242" t="str">
        <f>IF(AND(PailleNécessaireBQ=0,PailleNécessaireMoQ=0,PailleNécessaireMaQ=0),"","paille (t)")</f>
        <v/>
      </c>
      <c r="C26" s="768">
        <f>(VLOOKUP("Paille",AlimentsBovins,2,FALSE)+VLOOKUP("Paille",AlimentsPorcins,2,FALSE)+VLOOKUP("Paille",AlimentsCaprins,2,FALSE)+VLOOKUP("Paille",AlimentsOvins,2,FALSE)+VLOOKUP("Paille",AlimentsLapins,2,FALSE)+VLOOKUP("Paille",AlimentsVolailles,2,FALSE)+VLOOKUP("Paille",AlimentsPintades,2,FALSE)+VLOOKUP("Paille",AlimentsOies,2,FALSE)+VLOOKUP("Paille",AlimentsCanards,2,FALSE)+VLOOKUP("Paille",AlimentsGavageOiesEtCanards,2,FALSE)+VLOOKUP("Paille",AlimentsBisons,2,FALSE)+VLOOKUP("Paille",AlimentsDaims,2,FALSE)+VLOOKUP("Paille",AlimentsChevauxSelle,2,FALSE)+VLOOKUP("Paille",AlimentsChevauxTrait,2,FALSE)+VLOOKUP("Paille",AlimentsPoneys,2,FALSE))/1000</f>
        <v>0</v>
      </c>
      <c r="D26" s="773">
        <f>(VLOOKUP("Paille",AlimentsBovins,3,FALSE)+VLOOKUP("Paille",AlimentsPorcins,3,FALSE)+VLOOKUP("Paille",AlimentsCaprins,3,FALSE)+VLOOKUP("Paille",AlimentsOvins,3,FALSE)+VLOOKUP("Paille",AlimentsLapins,3,FALSE)+VLOOKUP("Paille",AlimentsVolailles,3,FALSE)+VLOOKUP("Paille",AlimentsPintades,3,FALSE)+VLOOKUP("Paille",AlimentsOies,3,FALSE)+VLOOKUP("Paille",AlimentsCanards,3,FALSE)+VLOOKUP("Paille",AlimentsGavageOiesEtCanards,3,FALSE)+VLOOKUP("Paille",AlimentsBisons,3,FALSE)+VLOOKUP("Paille",AlimentsDaims,3,FALSE)+VLOOKUP("Paille",AlimentsChevauxSelle,3,FALSE)+VLOOKUP("Paille",AlimentsChevauxTrait,3,FALSE)+VLOOKUP("Paille",AlimentsPoneys,3,FALSE))/1000</f>
        <v>0</v>
      </c>
      <c r="E26" s="774">
        <f>(VLOOKUP("Paille",AlimentsBovins,4,FALSE)+VLOOKUP("Paille",AlimentsPorcins,4,FALSE)+VLOOKUP("Paille",AlimentsCaprins,4,FALSE)+VLOOKUP("Paille",AlimentsOvins,4,FALSE)+VLOOKUP("Paille",AlimentsLapins,4,FALSE)+VLOOKUP("Paille",AlimentsVolailles,4,FALSE)+VLOOKUP("Paille",AlimentsPintades,4,FALSE)+VLOOKUP("Paille",AlimentsOies,4,FALSE)+VLOOKUP("Paille",AlimentsCanards,4,FALSE)+VLOOKUP("Paille",AlimentsGavageOiesEtCanards,4,FALSE)+VLOOKUP("Paille",AlimentsBisons,4,FALSE)+VLOOKUP("Paille",AlimentsDaims,4,FALSE)+VLOOKUP("Paille",AlimentsChevauxSelle,4,FALSE)+VLOOKUP("Paille",AlimentsChevauxTrait,4,FALSE)+VLOOKUP("Paille",AlimentsPoneys,4,FALSE))/1000</f>
        <v>0</v>
      </c>
      <c r="F26" s="758">
        <f>IF(PailleNécessaireBQ=0,,IF(PailleNécessaireBQ-SUM(StockPailleBQDansEntrepôt)&lt;=0,0,ROUND(PailleNécessaireBQ-SUM(StockPailleBQDansEntrepôt),3)))</f>
        <v>0</v>
      </c>
      <c r="G26" s="754">
        <f>IF(PailleNécessaireMoQ=0,,IF(PailleNécessaireMoQ-SUM(StockPailleMoQDansEntrepôt)&lt;=0,0,ROUND(PailleNécessaireMoQ-SUM(StockPailleMoQDansEntrepôt),3)))</f>
        <v>0</v>
      </c>
      <c r="H26" s="759">
        <f>IF(PailleNécessaireMaQ=0,,IF(PailleNécessaireMaQ-SUM(StockPailleMaQDansEntrepôt)&lt;=0,0,ROUND(PailleNécessaireMaQ-SUM(StockPailleMaQDansEntrepôt),3)))</f>
        <v>0</v>
      </c>
      <c r="I26" s="229"/>
      <c r="J26" s="234"/>
      <c r="K26" s="204" t="str">
        <f>IF(AND(CommandePailleBQ=0,CommandePailleMoQ=0,CommandePailleMaQ=0),"",((PrixPaille*CommandePailleBQ)+(PrixPaille*CommandePailleMoQ*0.9)+(PrixPaille*CommandePailleMaQ*0.8)))</f>
        <v/>
      </c>
      <c r="L26" s="245" t="str">
        <f>"en vaccin tu payes "</f>
        <v xml:space="preserve">en vaccin tu payes </v>
      </c>
      <c r="M26" s="245" t="str">
        <f>SUM(TotalBovins)*PrixVaccinBovin+SUM(TotalBisons)*PrixVaccinBison+SUM(TotalCaprins)*PrixVaccinCaprin+SUM(TotalPorcins)*PrixVaccinPorcin+SUM(TotalVolailles)*PrixVaccinVolaille+SUM(TotalPintades)*PrixVaccinPintade+SUM(TotalLapins)*PrixVaccinLapin+SUM(TotalOies)*PrixVaccinOie+SUM(TotalCanards)*PrixVaccinCanard+SUM(TotalOvins)*PrixVaccinOvin+SUM(TotalDaims)*PrixVaccinDaim+SUM(TotalChevauxSelle)*PrixVaccinChevauxSelle+SUM(TotalChevauxTrait)*PrixVaccinChevauxTrait+SUM(TotalPoneys)*prixVaccinPoney&amp;"€/an"</f>
        <v>0€/an</v>
      </c>
      <c r="N26" s="229"/>
      <c r="O26" s="219"/>
      <c r="P26" s="219"/>
      <c r="Q26" s="219"/>
      <c r="R26" s="219"/>
      <c r="S26" s="219"/>
      <c r="T26" s="224"/>
      <c r="U26" s="221"/>
      <c r="V26" s="221"/>
      <c r="W26" s="221"/>
      <c r="X26" s="221"/>
      <c r="Y26" s="221"/>
      <c r="Z26" s="221"/>
    </row>
    <row r="27" spans="1:26" s="30" customFormat="1" x14ac:dyDescent="0.2">
      <c r="A27" s="222"/>
      <c r="B27" s="243" t="str">
        <f>IF(AND(PoisNécessaireBQ=0,PoisNécessaireMoQ=0,PoisNécessaireMaQ=0),"","pois (t)")</f>
        <v/>
      </c>
      <c r="C27" s="769">
        <f>(VLOOKUP("Pois",AlimentsBovins,2,FALSE)+VLOOKUP("Pois",AlimentsPorcins,2,FALSE)+VLOOKUP("Pois",AlimentsCaprins,2,FALSE)+VLOOKUP("Pois",AlimentsOvins,2,FALSE)+VLOOKUP("Pois",AlimentsLapins,2,FALSE)+VLOOKUP("Pois",AlimentsVolailles,2,FALSE)+VLOOKUP("Pois",AlimentsPintades,2,FALSE)+VLOOKUP("Pois",AlimentsOies,2,FALSE)+VLOOKUP("Pois",AlimentsCanards,2,FALSE)+VLOOKUP("Pois",AlimentsGavageOiesEtCanards,2,FALSE)+VLOOKUP("Pois",AlimentsBisons,2,FALSE)+VLOOKUP("Pois",AlimentsDaims,2,FALSE)+VLOOKUP("Pois",AlimentsChevauxSelle,2,FALSE)+VLOOKUP("Pois",AlimentsChevauxTrait,2,FALSE)+VLOOKUP("Pois",AlimentsPoneys,2,FALSE))/1000</f>
        <v>0</v>
      </c>
      <c r="D27" s="775">
        <f>(VLOOKUP("Pois",AlimentsBovins,3,FALSE)+VLOOKUP("Pois",AlimentsPorcins,3,FALSE)+VLOOKUP("Pois",AlimentsCaprins,3,FALSE)+VLOOKUP("Pois",AlimentsOvins,3,FALSE)+VLOOKUP("Pois",AlimentsLapins,3,FALSE)+VLOOKUP("Pois",AlimentsVolailles,3,FALSE)+VLOOKUP("Pois",AlimentsPintades,3,FALSE)+VLOOKUP("Pois",AlimentsOies,3,FALSE)+VLOOKUP("Pois",AlimentsCanards,3,FALSE)+VLOOKUP("Pois",AlimentsGavageOiesEtCanards,3,FALSE)+VLOOKUP("Pois",AlimentsBisons,3,FALSE)+VLOOKUP("Pois",AlimentsDaims,3,FALSE)+VLOOKUP("Pois",AlimentsChevauxSelle,3,FALSE)+VLOOKUP("Pois",AlimentsChevauxTrait,3,FALSE)+VLOOKUP("Pois",AlimentsPoneys,3,FALSE))/1000</f>
        <v>0</v>
      </c>
      <c r="E27" s="776">
        <f>(VLOOKUP("Pois",AlimentsBovins,4,FALSE)+VLOOKUP("Pois",AlimentsPorcins,4,FALSE)+VLOOKUP("Pois",AlimentsCaprins,4,FALSE)+VLOOKUP("Pois",AlimentsOvins,4,FALSE)+VLOOKUP("Pois",AlimentsLapins,4,FALSE)+VLOOKUP("Pois",AlimentsVolailles,4,FALSE)+VLOOKUP("Pois",AlimentsPintades,4,FALSE)+VLOOKUP("Pois",AlimentsOies,4,FALSE)+VLOOKUP("Pois",AlimentsCanards,4,FALSE)+VLOOKUP("Pois",AlimentsGavageOiesEtCanards,4,FALSE)+VLOOKUP("Pois",AlimentsBisons,4,FALSE)+VLOOKUP("Pois",AlimentsDaims,4,FALSE)+VLOOKUP("Pois",AlimentsChevauxSelle,4,FALSE)+VLOOKUP("Pois",AlimentsChevauxTrait,4,FALSE)+VLOOKUP("Pois",AlimentsPoneys,4,FALSE))/1000</f>
        <v>0</v>
      </c>
      <c r="F27" s="964">
        <f>IF(PoisNécessaireBQ=0,,IF(PoisNécessaireBQ-VLOOKUP(Pois,StockDansSilos,3,FALSE)&lt;=0,0,ROUND(PoisNécessaireBQ-VLOOKUP(Pois,StockDansSilos,3,FALSE),3)))</f>
        <v>0</v>
      </c>
      <c r="G27" s="753">
        <f>IF(PoisNécessaireMoQ=0,,IF(PoisNécessaireMoQ-VLOOKUP(Pois,StockDansSilos,4,FALSE)&lt;=0,0,ROUND(PoisNécessaireMoQ-VLOOKUP(Pois,StockDansSilos,4,FALSE),3)))</f>
        <v>0</v>
      </c>
      <c r="H27" s="760">
        <f>IF(PoisNécessaireMaQ=0,,IF(PoisNécessaireMaQ-VLOOKUP(Pois,StockDansSilos,5,FALSE)&lt;=0,0,ROUND(PoisNécessaireMaQ-VLOOKUP(Pois,StockDansSilos,5,FALSE),3)))</f>
        <v>0</v>
      </c>
      <c r="I27" s="229"/>
      <c r="J27" s="236"/>
      <c r="K27" s="237" t="str">
        <f>IF(AND(CommandePoisBQ=0,CommandePoisMoQ=0,CommandePoisMaQ=0),"",((PrixPois*CommandePoisBQ)+(PrixPois*CommandePoisMoQ*0.9)+(PrixPois*CommandePoisMaQ*0.8)))</f>
        <v/>
      </c>
      <c r="L27" s="229"/>
      <c r="M27" s="229"/>
      <c r="N27" s="219"/>
      <c r="O27" s="219"/>
      <c r="P27" s="219"/>
      <c r="Q27" s="219"/>
      <c r="R27" s="219"/>
      <c r="S27" s="219"/>
      <c r="T27" s="224"/>
      <c r="U27" s="221"/>
      <c r="V27" s="221"/>
      <c r="W27" s="221"/>
      <c r="X27" s="221"/>
      <c r="Y27" s="221"/>
      <c r="Z27" s="221"/>
    </row>
    <row r="28" spans="1:26" s="30" customFormat="1" x14ac:dyDescent="0.2">
      <c r="A28" s="222"/>
      <c r="B28" s="242" t="str">
        <f>IF(AND(SeigleNécessaireBQ=0,SeigleNécessaireMoQ=0,SeigleNécessaireMaQ=0),"","seigle (t)")</f>
        <v/>
      </c>
      <c r="C28" s="768">
        <f>(VLOOKUP("Seigle",AlimentsBovins,2,FALSE)+VLOOKUP("Seigle",AlimentsPorcins,2,FALSE)+VLOOKUP("Seigle",AlimentsCaprins,2,FALSE)+VLOOKUP("Seigle",AlimentsOvins,2,FALSE)+VLOOKUP("Seigle",AlimentsLapins,2,FALSE)+VLOOKUP("Seigle",AlimentsVolailles,2,FALSE)+VLOOKUP("Seigle",AlimentsPintades,2,FALSE)+VLOOKUP("Seigle",AlimentsOies,2,FALSE)+VLOOKUP("Seigle",AlimentsCanards,2,FALSE)+VLOOKUP("Seigle",AlimentsGavageOiesEtCanards,2,FALSE)+VLOOKUP("Seigle",AlimentsBisons,2,FALSE)+VLOOKUP("Seigle",AlimentsDaims,2,FALSE)+VLOOKUP("Seigle",AlimentsChevauxSelle,2,FALSE)+VLOOKUP("Seigle",AlimentsChevauxTrait,2,FALSE)+VLOOKUP("Seigle",AlimentsPoneys,2,FALSE))/1000</f>
        <v>0</v>
      </c>
      <c r="D28" s="773">
        <f>(VLOOKUP("Seigle",AlimentsBovins,3,FALSE)+VLOOKUP("Seigle",AlimentsPorcins,3,FALSE)+VLOOKUP("Seigle",AlimentsCaprins,3,FALSE)+VLOOKUP("Seigle",AlimentsOvins,3,FALSE)+VLOOKUP("Seigle",AlimentsLapins,3,FALSE)+VLOOKUP("Seigle",AlimentsVolailles,3,FALSE)+VLOOKUP("Seigle",AlimentsPintades,3,FALSE)+VLOOKUP("Seigle",AlimentsOies,3,FALSE)+VLOOKUP("Seigle",AlimentsCanards,3,FALSE)+VLOOKUP("Seigle",AlimentsGavageOiesEtCanards,3,FALSE)+VLOOKUP("Seigle",AlimentsBisons,3,FALSE)+VLOOKUP("Seigle",AlimentsDaims,3,FALSE)+VLOOKUP("Seigle",AlimentsChevauxSelle,3,FALSE)+VLOOKUP("Seigle",AlimentsChevauxTrait,3,FALSE)+VLOOKUP("Seigle",AlimentsPoneys,3,FALSE))/1000</f>
        <v>0</v>
      </c>
      <c r="E28" s="774">
        <f>(VLOOKUP("Seigle",AlimentsBovins,4,FALSE)+VLOOKUP("Seigle",AlimentsPorcins,4,FALSE)+VLOOKUP("Seigle",AlimentsCaprins,4,FALSE)+VLOOKUP("Seigle",AlimentsOvins,4,FALSE)+VLOOKUP("Seigle",AlimentsLapins,4,FALSE)+VLOOKUP("Seigle",AlimentsVolailles,4,FALSE)+VLOOKUP("Seigle",AlimentsPintades,4,FALSE)+VLOOKUP("Seigle",AlimentsOies,4,FALSE)+VLOOKUP("Seigle",AlimentsCanards,4,FALSE)+VLOOKUP("Seigle",AlimentsGavageOiesEtCanards,4,FALSE)+VLOOKUP("Seigle",AlimentsBisons,4,FALSE)+VLOOKUP("Seigle",AlimentsDaims,4,FALSE)+VLOOKUP("Seigle",AlimentsChevauxSelle,4,FALSE)+VLOOKUP("Seigle",AlimentsChevauxTrait,4,FALSE)+VLOOKUP("Seigle",AlimentsPoneys,4,FALSE))/1000</f>
        <v>0</v>
      </c>
      <c r="F28" s="758">
        <f>IF(SeigleNécessaireBQ=0,,IF(SeigleNécessaireBQ-VLOOKUP(Seigle,StockDansSilos,3,FALSE)&lt;=0,0,ROUND(SeigleNécessaireBQ-VLOOKUP(Seigle,StockDansSilos,3,FALSE),3)))</f>
        <v>0</v>
      </c>
      <c r="G28" s="754">
        <f>IF(SeigleNécessaireMoQ=0,,IF(SeigleNécessaireMoQ-VLOOKUP(Seigle,StockDansSilos,4,FALSE)&lt;=0,0,ROUND(SeigleNécessaireMoQ-VLOOKUP(Seigle,StockDansSilos,4,FALSE),3)))</f>
        <v>0</v>
      </c>
      <c r="H28" s="759">
        <f>IF(SeigleNécessaireMaQ=0,,IF(SeigleNécessaireMaQ-VLOOKUP(Seigle,StockDansSilos,5,FALSE)&lt;=0,0,ROUND(SeigleNécessaireMaQ-VLOOKUP(Seigle,StockDansSilos,5,FALSE),3)))</f>
        <v>0</v>
      </c>
      <c r="I28" s="229"/>
      <c r="J28" s="234"/>
      <c r="K28" s="204" t="str">
        <f>IF(AND(CommandeSeigleBQ=0,CommandeSeigleMoQ=0,CommandeSeigleMaQ=0),"",((PrixSeigle*CommandeSeigleBQ)+(PrixSeigle*CommandeSeigleMoQ*0.9)+(PrixSeigle*CommandeSeigleMaQ*0.8)))</f>
        <v/>
      </c>
      <c r="L28" s="229"/>
      <c r="M28" s="229"/>
      <c r="N28" s="219"/>
      <c r="O28" s="219"/>
      <c r="P28" s="219"/>
      <c r="Q28" s="219"/>
      <c r="R28" s="219"/>
      <c r="S28" s="219"/>
      <c r="T28" s="224"/>
    </row>
    <row r="29" spans="1:26" s="30" customFormat="1" x14ac:dyDescent="0.2">
      <c r="A29" s="222"/>
      <c r="B29" s="243" t="str">
        <f>IF(AND(SojaNécessaireBQ=0,SojaNécessaireMoQ=0,SojaNécessaireMaQ=0),"","soja (t)")</f>
        <v/>
      </c>
      <c r="C29" s="769">
        <f>(VLOOKUP("Soja",AlimentsBovins,2,FALSE)+VLOOKUP("Soja",AlimentsPorcins,2,FALSE)+VLOOKUP("Soja",AlimentsCaprins,2,FALSE)+VLOOKUP("Soja",AlimentsOvins,2,FALSE)+VLOOKUP("Soja",AlimentsLapins,2,FALSE)+VLOOKUP("Soja",AlimentsVolailles,2,FALSE)+VLOOKUP("Soja",AlimentsPintades,2,FALSE)+VLOOKUP("Soja",AlimentsOies,2,FALSE)+VLOOKUP("Soja",AlimentsCanards,2,FALSE)+VLOOKUP("Soja",AlimentsGavageOiesEtCanards,2,FALSE)+VLOOKUP("Soja",AlimentsBisons,2,FALSE)+VLOOKUP("Soja",AlimentsDaims,2,FALSE)+VLOOKUP("Soja",AlimentsChevauxSelle,2,FALSE)+VLOOKUP("Soja",AlimentsChevauxTrait,2,FALSE)+VLOOKUP("Soja",AlimentsPoneys,2,FALSE))/1000</f>
        <v>0</v>
      </c>
      <c r="D29" s="775">
        <f>(VLOOKUP("Soja",AlimentsBovins,3,FALSE)+VLOOKUP("Soja",AlimentsPorcins,3,FALSE)+VLOOKUP("Soja",AlimentsCaprins,3,FALSE)+VLOOKUP("Soja",AlimentsOvins,3,FALSE)+VLOOKUP("Soja",AlimentsLapins,3,FALSE)+VLOOKUP("Soja",AlimentsVolailles,3,FALSE)+VLOOKUP("Soja",AlimentsPintades,3,FALSE)+VLOOKUP("Soja",AlimentsOies,3,FALSE)+VLOOKUP("Soja",AlimentsCanards,3,FALSE)+VLOOKUP("Soja",AlimentsGavageOiesEtCanards,3,FALSE)+VLOOKUP("Soja",AlimentsBisons,3,FALSE)+VLOOKUP("Soja",AlimentsDaims,3,FALSE)+VLOOKUP("Soja",AlimentsChevauxSelle,3,FALSE)+VLOOKUP("Soja",AlimentsChevauxTrait,3,FALSE)+VLOOKUP("Soja",AlimentsPoneys,3,FALSE))/1000</f>
        <v>0</v>
      </c>
      <c r="E29" s="776">
        <f>(VLOOKUP("Soja",AlimentsBovins,4,FALSE)+VLOOKUP("Soja",AlimentsPorcins,4,FALSE)+VLOOKUP("Soja",AlimentsCaprins,4,FALSE)+VLOOKUP("Soja",AlimentsOvins,4,FALSE)+VLOOKUP("Soja",AlimentsLapins,4,FALSE)+VLOOKUP("Soja",AlimentsVolailles,4,FALSE)+VLOOKUP("Soja",AlimentsPintades,4,FALSE)+VLOOKUP("Soja",AlimentsOies,4,FALSE)+VLOOKUP("Soja",AlimentsCanards,4,FALSE)+VLOOKUP("Soja",AlimentsGavageOiesEtCanards,4,FALSE)+VLOOKUP("Soja",AlimentsBisons,4,FALSE)+VLOOKUP("Soja",AlimentsDaims,4,FALSE)+VLOOKUP("Soja",AlimentsChevauxSelle,4,FALSE)+VLOOKUP("Soja",AlimentsChevauxTrait,4,FALSE)+VLOOKUP("Soja",AlimentsPoneys,4,FALSE))/1000</f>
        <v>0</v>
      </c>
      <c r="F29" s="964">
        <f>IF(SojaNécessaireBQ=0,,IF(SojaNécessaireBQ-VLOOKUP(Soja,StockDansSilos,3,FALSE)&lt;=0,0,ROUND(SojaNécessaireBQ-VLOOKUP(Soja,StockDansSilos,3,FALSE),3)))</f>
        <v>0</v>
      </c>
      <c r="G29" s="753">
        <f>IF(SojaNécessaireMoQ=0,,IF(SojaNécessaireMoQ-VLOOKUP(Soja,StockDansSilos,4,FALSE)&lt;=0,0,ROUND(SojaNécessaireMoQ-VLOOKUP(Soja,StockDansSilos,4,FALSE),3)))</f>
        <v>0</v>
      </c>
      <c r="H29" s="760">
        <f>IF(SojaNécessaireMaQ=0,,IF(SojaNécessaireMaQ-VLOOKUP(Soja,StockDansSilos,5,FALSE)&lt;=0,0,ROUND(SojaNécessaireMaQ-VLOOKUP(Soja,StockDansSilos,5,FALSE),3)))</f>
        <v>0</v>
      </c>
      <c r="I29" s="229"/>
      <c r="J29" s="236"/>
      <c r="K29" s="237" t="str">
        <f>IF(AND(CommandeSojaBQ=0,CommandeSojaMoQ=0,CommandeSojaMaQ=0),"",((PrixSoja*CommandeSojaBQ)+(PrixSoja*CommandeSojaMoQ*0.9)+(PrixSoja*CommandeSojaMaQ*0.8)))</f>
        <v/>
      </c>
      <c r="L29" s="229"/>
      <c r="M29" s="229"/>
      <c r="N29" s="229"/>
      <c r="O29" s="219"/>
      <c r="P29" s="219"/>
      <c r="Q29" s="219"/>
      <c r="R29" s="219"/>
      <c r="S29" s="219"/>
      <c r="T29" s="224"/>
    </row>
    <row r="30" spans="1:26" s="30" customFormat="1" x14ac:dyDescent="0.2">
      <c r="A30" s="222"/>
      <c r="B30" s="186" t="str">
        <f>IF(AND(SorghoEnsiléNécessaireBQ=0,SorghoEnsiléNécessaireMoQ=0,SorghoEnsiléNécessaireMaQ=0),"","sorgho ensilé (t)")</f>
        <v/>
      </c>
      <c r="C30" s="770">
        <f>(VLOOKUP("Sorgho ensilé",AlimentsBovins,2,FALSE)+VLOOKUP("Sorgho ensilé",AlimentsPorcins,2,FALSE)+VLOOKUP("Sorgho ensilé",AlimentsCaprins,2,FALSE)+VLOOKUP("Sorgho ensilé",AlimentsOvins,2,FALSE)+VLOOKUP("Sorgho ensilé",AlimentsLapins,2,FALSE)+VLOOKUP("Sorgho ensilé",AlimentsVolailles,2,FALSE)+VLOOKUP("Sorgho ensilé",AlimentsPintades,2,FALSE)+VLOOKUP("Sorgho ensilé",AlimentsOies,2,FALSE)+VLOOKUP("Sorgho ensilé",AlimentsCanards,2,FALSE)+VLOOKUP("Sorgho ensilé",AlimentsGavageOiesEtCanards,2,FALSE)+VLOOKUP("Sorgho ensilé",AlimentsBisons,2,FALSE)+VLOOKUP("Sorgho ensilé",AlimentsDaims,2,FALSE)+VLOOKUP("Sorgho ensilé",AlimentsChevauxSelle,2,FALSE)+VLOOKUP("Sorgho ensilé",AlimentsChevauxTrait,2,FALSE)+VLOOKUP("Sorgho ensilé",AlimentsPoneys,2,FALSE))/1000</f>
        <v>0</v>
      </c>
      <c r="D30" s="777">
        <f>(VLOOKUP("Sorgho ensilé",AlimentsBovins,3,FALSE)+VLOOKUP("Sorgho ensilé",AlimentsPorcins,3,FALSE)+VLOOKUP("Sorgho ensilé",AlimentsCaprins,3,FALSE)+VLOOKUP("Sorgho ensilé",AlimentsOvins,3,FALSE)+VLOOKUP("Sorgho ensilé",AlimentsLapins,3,FALSE)+VLOOKUP("Sorgho ensilé",AlimentsVolailles,3,FALSE)+VLOOKUP("Sorgho ensilé",AlimentsPintades,3,FALSE)+VLOOKUP("Sorgho ensilé",AlimentsOies,3,FALSE)+VLOOKUP("Sorgho ensilé",AlimentsCanards,3,FALSE)+VLOOKUP("Sorgho ensilé",AlimentsGavageOiesEtCanards,3,FALSE)+VLOOKUP("Sorgho ensilé",AlimentsBisons,3,FALSE)+VLOOKUP("Sorgho ensilé",AlimentsDaims,3,FALSE)+VLOOKUP("Sorgho ensilé",AlimentsChevauxSelle,3,FALSE)+VLOOKUP("Sorgho ensilé",AlimentsChevauxTrait,3,FALSE)+VLOOKUP("Sorgho ensilé",AlimentsPoneys,3,FALSE))/1000</f>
        <v>0</v>
      </c>
      <c r="E30" s="778">
        <f>(VLOOKUP("Sorgho ensilé",AlimentsBovins,4,FALSE)+VLOOKUP("Sorgho ensilé",AlimentsPorcins,4,FALSE)+VLOOKUP("Sorgho ensilé",AlimentsCaprins,4,FALSE)+VLOOKUP("Sorgho ensilé",AlimentsOvins,4,FALSE)+VLOOKUP("Sorgho ensilé",AlimentsLapins,4,FALSE)+VLOOKUP("Sorgho ensilé",AlimentsVolailles,4,FALSE)+VLOOKUP("Sorgho ensilé",AlimentsPintades,4,FALSE)+VLOOKUP("Sorgho ensilé",AlimentsOies,4,FALSE)+VLOOKUP("Sorgho ensilé",AlimentsCanards,4,FALSE)+VLOOKUP("Sorgho ensilé",AlimentsGavageOiesEtCanards,4,FALSE)+VLOOKUP("Sorgho ensilé",AlimentsBisons,4,FALSE)+VLOOKUP("Sorgho ensilé",AlimentsDaims,4,FALSE)+VLOOKUP("Sorgho ensilé",AlimentsChevauxSelle,4,FALSE)+VLOOKUP("Sorgho ensilé",AlimentsChevauxTrait,4,FALSE)+VLOOKUP("Sorgho ensilé",AlimentsPoneys,4,FALSE))/1000</f>
        <v>0</v>
      </c>
      <c r="F30" s="758">
        <f>IF(SorghoEnsiléNécessaireBQ=0,,IF(SorghoEnsiléNécessaireBQ-VLOOKUP(SorghoEnsilé,StockDansSilos,3,FALSE)&lt;=0,0,ROUND(SorghoEnsiléNécessaireBQ-VLOOKUP(SorghoEnsilé,StockDansSilos,3,FALSE),3)))</f>
        <v>0</v>
      </c>
      <c r="G30" s="754">
        <f>IF(SorghoEnsiléNécessaireMoQ=0,,IF(SorghoEnsiléNécessaireMoQ-VLOOKUP(SorghoEnsilé,StockDansSilos,4,FALSE)&lt;=0,0,ROUND(SorghoEnsiléNécessaireMoQ-VLOOKUP(SorghoEnsilé,StockDansSilos,4,FALSE),3)))</f>
        <v>0</v>
      </c>
      <c r="H30" s="759">
        <f>IF(SorghoEnsiléNécessaireMaQ=0,,IF(SorghoEnsiléNécessaireMaQ-VLOOKUP(SorghoEnsilé,StockDansSilos,5,FALSE)&lt;=0,0,ROUND(SorghoEnsiléNécessaireMaQ-VLOOKUP(SorghoEnsilé,StockDansSilos,5,FALSE),3)))</f>
        <v>0</v>
      </c>
      <c r="I30" s="229"/>
      <c r="J30" s="234"/>
      <c r="K30" s="204" t="str">
        <f>IF(AND(CommandeSorghoEnsiléBQ=0,CommandeSorghoEnsiléMoQ=0,CommandeSorghoEnsiléMaQ=0),"",((PrixSorghoEnsilé*CommandeSorghoEnsiléBQ)+(PrixSorghoEnsilé*CommandeSorghoEnsiléMoQ*0.9)+(PrixSorghoEnsilé*CommandeSorghoEnsiléMaQ*0.8)))</f>
        <v/>
      </c>
      <c r="L30" s="229"/>
      <c r="M30" s="219"/>
      <c r="N30" s="226"/>
      <c r="O30" s="219"/>
      <c r="P30" s="219"/>
      <c r="Q30" s="219"/>
      <c r="R30" s="219"/>
      <c r="S30" s="219"/>
      <c r="T30" s="224"/>
    </row>
    <row r="31" spans="1:26" s="30" customFormat="1" x14ac:dyDescent="0.2">
      <c r="A31" s="222"/>
      <c r="B31" s="240" t="str">
        <f>IF(AND(TournesolNécessaireBQ=0,TournesolNécessaireMoQ=0,TournesolNécessaireMaQ=0),"","tournesol (t)")</f>
        <v/>
      </c>
      <c r="C31" s="771">
        <f>(VLOOKUP("Tournesol",AlimentsBovins,2,FALSE)+VLOOKUP("Tournesol",AlimentsPorcins,2,FALSE)+VLOOKUP("Tournesol",AlimentsCaprins,2,FALSE)+VLOOKUP("Tournesol",AlimentsOvins,2,FALSE)+VLOOKUP("Tournesol",AlimentsLapins,2,FALSE)+VLOOKUP("Tournesol",AlimentsVolailles,2,FALSE)+VLOOKUP("Tournesol",AlimentsPintades,2,FALSE)+VLOOKUP("Tournesol",AlimentsOies,2,FALSE)+VLOOKUP("Tournesol",AlimentsCanards,2,FALSE)+VLOOKUP("Tournesol",AlimentsGavageOiesEtCanards,2,FALSE)+VLOOKUP("Tournesol",AlimentsBisons,2,FALSE)+VLOOKUP("Tournesol",AlimentsDaims,2,FALSE)+VLOOKUP("Tournesol",AlimentsChevauxSelle,2,FALSE)+VLOOKUP("Tournesol",AlimentsChevauxTrait,2,FALSE)+VLOOKUP("Tournesol",AlimentsPoneys,2,FALSE))/1000</f>
        <v>0</v>
      </c>
      <c r="D31" s="779">
        <f>(VLOOKUP("Tournesol",AlimentsBovins,3,FALSE)+VLOOKUP("Tournesol",AlimentsPorcins,3,FALSE)+VLOOKUP("Tournesol",AlimentsCaprins,3,FALSE)+VLOOKUP("Tournesol",AlimentsOvins,3,FALSE)+VLOOKUP("Tournesol",AlimentsLapins,3,FALSE)+VLOOKUP("Tournesol",AlimentsVolailles,3,FALSE)+VLOOKUP("Tournesol",AlimentsPintades,3,FALSE)+VLOOKUP("Tournesol",AlimentsOies,3,FALSE)+VLOOKUP("Tournesol",AlimentsCanards,3,FALSE)+VLOOKUP("Tournesol",AlimentsGavageOiesEtCanards,3,FALSE)+VLOOKUP("Tournesol",AlimentsBisons,3,FALSE)+VLOOKUP("Tournesol",AlimentsDaims,3,FALSE)+VLOOKUP("Tournesol",AlimentsChevauxSelle,3,FALSE)+VLOOKUP("Tournesol",AlimentsChevauxTrait,3,FALSE)+VLOOKUP("Tournesol",AlimentsPoneys,3,FALSE))/1000</f>
        <v>0</v>
      </c>
      <c r="E31" s="780">
        <f>(VLOOKUP("Tournesol",AlimentsBovins,4,FALSE)+VLOOKUP("Tournesol",AlimentsPorcins,4,FALSE)+VLOOKUP("Tournesol",AlimentsCaprins,4,FALSE)+VLOOKUP("Tournesol",AlimentsOvins,4,FALSE)+VLOOKUP("Tournesol",AlimentsLapins,4,FALSE)+VLOOKUP("Tournesol",AlimentsVolailles,4,FALSE)+VLOOKUP("Tournesol",AlimentsPintades,4,FALSE)+VLOOKUP("Tournesol",AlimentsOies,4,FALSE)+VLOOKUP("Tournesol",AlimentsCanards,4,FALSE)+VLOOKUP("Tournesol",AlimentsGavageOiesEtCanards,4,FALSE)+VLOOKUP("Tournesol",AlimentsBisons,4,FALSE)+VLOOKUP("Tournesol",AlimentsDaims,4,FALSE)+VLOOKUP("Tournesol",AlimentsChevauxSelle,4,FALSE)+VLOOKUP("Tournesol",AlimentsChevauxTrait,4,FALSE)+VLOOKUP("Tournesol",AlimentsPoneys,4,FALSE))/1000</f>
        <v>0</v>
      </c>
      <c r="F31" s="964">
        <f>IF(TournesolNécessaireBQ=0,,IF(TournesolNécessaireBQ-VLOOKUP(Tournesol,StockDansSilos,3,FALSE)&lt;=0,0,ROUND(TournesolNécessaireBQ-VLOOKUP(Tournesol,StockDansSilos,3,FALSE),3)))</f>
        <v>0</v>
      </c>
      <c r="G31" s="753">
        <f>IF(TournesolNécessaireMoQ=0,,IF(TournesolNécessaireMoQ-VLOOKUP(Tournesol,StockDansSilos,4,FALSE)&lt;=0,0,ROUND(TournesolNécessaireMoQ-VLOOKUP(Tournesol,StockDansSilos,4,FALSE),3)))</f>
        <v>0</v>
      </c>
      <c r="H31" s="760">
        <f>IF(TournesolNécessaireMaQ=0,,IF(TournesolNécessaireMaQ-VLOOKUP(Tournesol,StockDansSilos,5,FALSE)&lt;=0,0,ROUND(TournesolNécessaireMaQ-VLOOKUP(Tournesol,StockDansSilos,5,FALSE),3)))</f>
        <v>0</v>
      </c>
      <c r="I31" s="229"/>
      <c r="J31" s="246"/>
      <c r="K31" s="237" t="str">
        <f>IF(AND(CommandeTournesolBQ=0,CommandeTournesolMoQ=0,CommandeTournesolMaQ=0),"",((PrixTournesol*CommandeTournesolBQ)+(PrixTournesol*CommandeTournesolMoQ*0.9)+(PrixTournesol*CommandeTournesolMaQ*0.8)))</f>
        <v/>
      </c>
      <c r="L31" s="229"/>
      <c r="M31" s="219"/>
      <c r="N31" s="226"/>
      <c r="O31" s="219"/>
      <c r="P31" s="219"/>
      <c r="Q31" s="219"/>
      <c r="R31" s="219"/>
      <c r="S31" s="219"/>
      <c r="T31" s="224"/>
    </row>
    <row r="32" spans="1:26" s="30" customFormat="1" x14ac:dyDescent="0.2">
      <c r="A32" s="222"/>
      <c r="B32" s="186" t="str">
        <f>IF(AND(TourteauColzaNécessaireBQ=0,TourteauColzaNécessaireMoQ=0,TourteauColzaNécessaireMaQ=0),"","tourteau de colza (t)")</f>
        <v/>
      </c>
      <c r="C32" s="768">
        <f>(VLOOKUP("Tourteau de colza",AlimentsBovins,2,FALSE)+VLOOKUP("Tourteau de colza",AlimentsPorcins,2,FALSE)+VLOOKUP("Tourteau de colza",AlimentsCaprins,2,FALSE)+VLOOKUP("Tourteau de colza",AlimentsOvins,2,FALSE)+VLOOKUP("Tourteau de colza",AlimentsLapins,2,FALSE)+VLOOKUP("Tourteau de colza",AlimentsVolailles,2,FALSE)+VLOOKUP("Tourteau de colza",AlimentsPintades,2,FALSE)+VLOOKUP("Tourteau de colza",AlimentsOies,2,FALSE)+VLOOKUP("Tourteau de colza",AlimentsCanards,2,FALSE)+VLOOKUP("Tourteau de colza",AlimentsGavageOiesEtCanards,2,FALSE)+VLOOKUP("Tourteau de colza",AlimentsBisons,2,FALSE)+VLOOKUP("Tourteau de colza",AlimentsDaims,2,FALSE)+VLOOKUP("Tourteau de colza",AlimentsChevauxSelle,2,FALSE)+VLOOKUP("Tourteau de colza",AlimentsChevauxTrait,2,FALSE)+VLOOKUP("Tourteau de colza",AlimentsPoneys,2,FALSE))/1000</f>
        <v>0</v>
      </c>
      <c r="D32" s="773">
        <f>(VLOOKUP("Tourteau de colza",AlimentsBovins,3,FALSE)+VLOOKUP("Tourteau de colza",AlimentsPorcins,3,FALSE)+VLOOKUP("Tourteau de colza",AlimentsCaprins,3,FALSE)+VLOOKUP("Tourteau de colza",AlimentsOvins,3,FALSE)+VLOOKUP("Tourteau de colza",AlimentsLapins,3,FALSE)+VLOOKUP("Tourteau de colza",AlimentsVolailles,3,FALSE)+VLOOKUP("Tourteau de colza",AlimentsPintades,3,FALSE)+VLOOKUP("Tourteau de colza",AlimentsOies,3,FALSE)+VLOOKUP("Tourteau de colza",AlimentsCanards,3,FALSE)+VLOOKUP("Tourteau de colza",AlimentsGavageOiesEtCanards,3,FALSE)+VLOOKUP("Tourteau de colza",AlimentsBisons,3,FALSE)+VLOOKUP("Tourteau de colza",AlimentsDaims,3,FALSE)+VLOOKUP("Tourteau de colza",AlimentsChevauxSelle,3,FALSE)+VLOOKUP("Tourteau de colza",AlimentsChevauxTrait,3,FALSE)+VLOOKUP("Tourteau de colza",AlimentsPoneys,3,FALSE))/1000</f>
        <v>0</v>
      </c>
      <c r="E32" s="774">
        <f>(VLOOKUP("Tourteau de colza",AlimentsBovins,4,FALSE)+VLOOKUP("Tourteau de colza",AlimentsPorcins,4,FALSE)+VLOOKUP("Tourteau de colza",AlimentsCaprins,4,FALSE)+VLOOKUP("Tourteau de colza",AlimentsOvins,4,FALSE)+VLOOKUP("Tourteau de colza",AlimentsLapins,4,FALSE)+VLOOKUP("Tourteau de colza",AlimentsVolailles,4,FALSE)+VLOOKUP("Tourteau de colza",AlimentsPintades,4,FALSE)+VLOOKUP("Tourteau de colza",AlimentsOies,4,FALSE)+VLOOKUP("Tourteau de colza",AlimentsCanards,4,FALSE)+VLOOKUP("Tourteau de colza",AlimentsGavageOiesEtCanards,4,FALSE)+VLOOKUP("Tourteau de colza",AlimentsBisons,4,FALSE)+VLOOKUP("Tourteau de colza",AlimentsDaims,4,FALSE)+VLOOKUP("Tourteau de colza",AlimentsChevauxSelle,4,FALSE)+VLOOKUP("Tourteau de colza",AlimentsChevauxTrait,4,FALSE)+VLOOKUP("Tourteau de colza",AlimentsPoneys,4,FALSE))/1000</f>
        <v>0</v>
      </c>
      <c r="F32" s="758">
        <f>IF(TourteauColzaNécessaireBQ=0,,IF(TourteauColzaNécessaireBQ-VLOOKUP(TourteauColza,StockDansSilos,3,FALSE)&lt;=0,0,ROUND(TourteauColzaNécessaireBQ-VLOOKUP(TourteauColza,StockDansSilos,3,FALSE),3)))</f>
        <v>0</v>
      </c>
      <c r="G32" s="754">
        <f>IF(TourteauColzaNécessaireMoQ=0,,IF(TourteauColzaNécessaireMoQ-VLOOKUP(TourteauColza,StockDansSilos,4,FALSE)&lt;=0,0,ROUND(TourteauColzaNécessaireMoQ-VLOOKUP(TourteauColza,StockDansSilos,4,FALSE),3)))</f>
        <v>0</v>
      </c>
      <c r="H32" s="759">
        <f>IF(TourteauColzaNécessaireMaQ=0,,IF(TourteauColzaNécessaireMaQ-VLOOKUP(TourteauColza,StockDansSilos,5,FALSE)&lt;=0,0,ROUND(TourteauColzaNécessaireMaQ-VLOOKUP(TourteauColza,StockDansSilos,5,FALSE),3)))</f>
        <v>0</v>
      </c>
      <c r="I32" s="229"/>
      <c r="J32" s="247"/>
      <c r="K32" s="204" t="str">
        <f>IF(AND(CommandeTourteauColzaBQ=0,CommandeTourteauColzaMoQ=0,CommandeTourteauColzaMaQ=0),"",((PrixTourteauColza*CommandeTourteauColzaBQ)+(PrixTourteauColza*CommandeTourteauColzaMoQ*0.9)+(PrixTourteauColza*CommandeTourteauColzaMaQ*0.8)))</f>
        <v/>
      </c>
      <c r="L32" s="229"/>
      <c r="M32" s="219"/>
      <c r="N32" s="226"/>
      <c r="O32" s="219"/>
      <c r="P32" s="219"/>
      <c r="Q32" s="219"/>
      <c r="R32" s="219"/>
      <c r="S32" s="219"/>
      <c r="T32" s="224"/>
    </row>
    <row r="33" spans="1:20" s="30" customFormat="1" x14ac:dyDescent="0.2">
      <c r="A33" s="222"/>
      <c r="B33" s="240" t="str">
        <f>IF(AND(TourteauTournesolNécessaireBQ=0,TourteauTournesolNécessaireMoQ=0,TourteauTournesolNécessaireMaQ=0),"","tourteau de tournesol (t)")</f>
        <v/>
      </c>
      <c r="C33" s="769">
        <f>(VLOOKUP("Tourteau de Tournesol",AlimentsBovins,2,FALSE)+VLOOKUP("Tourteau de Tournesol",AlimentsPorcins,2,FALSE)+VLOOKUP("Tourteau de Tournesol",AlimentsCaprins,2,FALSE)+VLOOKUP("Tourteau de Tournesol",AlimentsOvins,2,FALSE)+VLOOKUP("Tourteau de Tournesol",AlimentsLapins,2,FALSE)+VLOOKUP("Tourteau de Tournesol",AlimentsVolailles,2,FALSE)+VLOOKUP("Tourteau de Tournesol",AlimentsPintades,2,FALSE)+VLOOKUP("Tourteau de Tournesol",AlimentsOies,2,FALSE)+VLOOKUP("Tourteau de Tournesol",AlimentsCanards,2,FALSE)+VLOOKUP("Tourteau de Tournesol",AlimentsGavageOiesEtCanards,2,FALSE)+VLOOKUP("Tourteau de Tournesol",AlimentsBisons,2,FALSE)+VLOOKUP("Tourteau de Tournesol",AlimentsDaims,2,FALSE)+VLOOKUP("Tourteau de Tournesol",AlimentsChevauxSelle,2,FALSE)+VLOOKUP("Tourteau de Tournesol",AlimentsChevauxTrait,2,FALSE)+VLOOKUP("Tourteau de Tournesol",AlimentsPoneys,2,FALSE))/1000</f>
        <v>0</v>
      </c>
      <c r="D33" s="775">
        <f>(VLOOKUP("Tourteau de Tournesol",AlimentsBovins,3,FALSE)+VLOOKUP("Tourteau de Tournesol",AlimentsPorcins,3,FALSE)+VLOOKUP("Tourteau de Tournesol",AlimentsCaprins,3,FALSE)+VLOOKUP("Tourteau de Tournesol",AlimentsOvins,3,FALSE)+VLOOKUP("Tourteau de Tournesol",AlimentsLapins,3,FALSE)+VLOOKUP("Tourteau de Tournesol",AlimentsVolailles,3,FALSE)+VLOOKUP("Tourteau de Tournesol",AlimentsPintades,3,FALSE)+VLOOKUP("Tourteau de Tournesol",AlimentsOies,3,FALSE)+VLOOKUP("Tourteau de Tournesol",AlimentsCanards,3,FALSE)+VLOOKUP("Tourteau de Tournesol",AlimentsGavageOiesEtCanards,3,FALSE)+VLOOKUP("Tourteau de Tournesol",AlimentsBisons,3,FALSE)+VLOOKUP("Tourteau de Tournesol",AlimentsDaims,3,FALSE)+VLOOKUP("Tourteau de Tournesol",AlimentsChevauxSelle,3,FALSE)+VLOOKUP("Tourteau de Tournesol",AlimentsChevauxTrait,3,FALSE)+VLOOKUP("Tourteau de Tournesol",AlimentsPoneys,3,FALSE))/1000</f>
        <v>0</v>
      </c>
      <c r="E33" s="776">
        <f>(VLOOKUP("Tourteau de Tournesol",AlimentsBovins,4,FALSE)+VLOOKUP("Tourteau de Tournesol",AlimentsPorcins,4,FALSE)+VLOOKUP("Tourteau de Tournesol",AlimentsCaprins,4,FALSE)+VLOOKUP("Tourteau de Tournesol",AlimentsOvins,4,FALSE)+VLOOKUP("Tourteau de Tournesol",AlimentsLapins,4,FALSE)+VLOOKUP("Tourteau de Tournesol",AlimentsVolailles,4,FALSE)+VLOOKUP("Tourteau de Tournesol",AlimentsPintades,4,FALSE)+VLOOKUP("Tourteau de Tournesol",AlimentsOies,4,FALSE)+VLOOKUP("Tourteau de Tournesol",AlimentsCanards,4,FALSE)+VLOOKUP("Tourteau de Tournesol",AlimentsGavageOiesEtCanards,4,FALSE)+VLOOKUP("Tourteau de Tournesol",AlimentsBisons,4,FALSE)+VLOOKUP("Tourteau de Tournesol",AlimentsDaims,4,FALSE)+VLOOKUP("Tourteau de Tournesol",AlimentsChevauxSelle,4,FALSE)+VLOOKUP("Tourteau de Tournesol",AlimentsChevauxTrait,4,FALSE)+VLOOKUP("Tourteau de Tournesol",AlimentsPoneys,4,FALSE))/1000</f>
        <v>0</v>
      </c>
      <c r="F33" s="964">
        <f>IF(TourteauTournesolNécessaireBQ=0,,IF(TourteauTournesolNécessaireBQ-VLOOKUP(TourteauTournesol,StockDansSilos,3,FALSE)&lt;=0,0,ROUND(TourteauTournesolNécessaireBQ-VLOOKUP(TourteauTournesol,StockDansSilos,3,FALSE),3)))</f>
        <v>0</v>
      </c>
      <c r="G33" s="753">
        <f>IF(TourteauTournesolNécessaireMoQ=0,,IF(TourteauTournesolNécessaireMoQ-VLOOKUP(TourteauTournesol,StockDansSilos,4,FALSE)&lt;=0,0,ROUND(TourteauTournesolNécessaireMoQ-VLOOKUP(TourteauTournesol,StockDansSilos,4,FALSE),3)))</f>
        <v>0</v>
      </c>
      <c r="H33" s="760">
        <f>IF(TourteauTournesolNécessaireMaQ=0,,IF(TourteauTournesolNécessaireMaQ-VLOOKUP(TourteauTournesol,StockDansSilos,5,FALSE)&lt;=0,0,ROUND(TourteauTournesolNécessaireMaQ-VLOOKUP(TourteauTournesol,StockDansSilos,5,FALSE),3)))</f>
        <v>0</v>
      </c>
      <c r="I33" s="229"/>
      <c r="J33" s="246"/>
      <c r="K33" s="237" t="str">
        <f>IF(AND(CommandeTourteauTournesolBQ=0,CommandeTourteauTournesolMoQ=0,CommandeTourteauTournesolMaQ=0),"",((PrixTourteauTournesol*CommandeTourteauTournesolBQ)+(PrixTourteauTournesol*CommandeTourteauTournesolMoQ*0.9)+(PrixTourteauTournesol*CommandeTourteauTournesolMaQ*0.8)))</f>
        <v/>
      </c>
      <c r="L33" s="229"/>
      <c r="M33" s="219"/>
      <c r="N33" s="226"/>
      <c r="O33" s="219"/>
      <c r="P33" s="219"/>
      <c r="Q33" s="219"/>
      <c r="R33" s="219"/>
      <c r="S33" s="219"/>
      <c r="T33" s="224"/>
    </row>
    <row r="34" spans="1:20" s="30" customFormat="1" x14ac:dyDescent="0.2">
      <c r="A34" s="222"/>
      <c r="B34" s="186" t="str">
        <f>IF(AND(TriticaleNécessaireBQ=0,TriticaleNécessaireMoQ=0,TriticaleNécessaireMaQ=0),"","triticale (t)")</f>
        <v/>
      </c>
      <c r="C34" s="768">
        <f>(VLOOKUP("Triticale",AlimentsBovins,2,FALSE)+VLOOKUP("Triticale",AlimentsPorcins,2,FALSE)+VLOOKUP("Triticale",AlimentsCaprins,2,FALSE)+VLOOKUP("Triticale",AlimentsOvins,2,FALSE)+VLOOKUP("Triticale",AlimentsLapins,2,FALSE)+VLOOKUP("Triticale",AlimentsVolailles,2,FALSE)+VLOOKUP("Triticale",AlimentsPintades,2,FALSE)+VLOOKUP("Triticale",AlimentsOies,2,FALSE)+VLOOKUP("Triticale",AlimentsCanards,2,FALSE)+VLOOKUP("Triticale",AlimentsGavageOiesEtCanards,2,FALSE)+VLOOKUP("Triticale",AlimentsBisons,2,FALSE)+VLOOKUP("Triticale",AlimentsDaims,2,FALSE)+VLOOKUP("Triticale",AlimentsChevauxSelle,2,FALSE)+VLOOKUP("Triticale",AlimentsChevauxTrait,2,FALSE)+VLOOKUP("Triticale",AlimentsPoneys,2,FALSE))/1000</f>
        <v>0</v>
      </c>
      <c r="D34" s="773">
        <f>(VLOOKUP("Triticale",AlimentsBovins,3,FALSE)+VLOOKUP("Triticale",AlimentsPorcins,3,FALSE)+VLOOKUP("Triticale",AlimentsCaprins,3,FALSE)+VLOOKUP("Triticale",AlimentsOvins,3,FALSE)+VLOOKUP("Triticale",AlimentsLapins,3,FALSE)+VLOOKUP("Triticale",AlimentsVolailles,3,FALSE)+VLOOKUP("Triticale",AlimentsPintades,3,FALSE)+VLOOKUP("Triticale",AlimentsOies,3,FALSE)+VLOOKUP("Triticale",AlimentsCanards,3,FALSE)+VLOOKUP("Triticale",AlimentsGavageOiesEtCanards,3,FALSE)+VLOOKUP("Triticale",AlimentsBisons,3,FALSE)+VLOOKUP("Triticale",AlimentsDaims,3,FALSE)+VLOOKUP("Triticale",AlimentsChevauxSelle,3,FALSE)+VLOOKUP("Triticale",AlimentsChevauxTrait,3,FALSE)+VLOOKUP("Triticale",AlimentsPoneys,3,FALSE))/1000</f>
        <v>0</v>
      </c>
      <c r="E34" s="774">
        <f>(VLOOKUP("Triticale",AlimentsBovins,4,FALSE)+VLOOKUP("Triticale",AlimentsPorcins,4,FALSE)+VLOOKUP("Triticale",AlimentsCaprins,4,FALSE)+VLOOKUP("Triticale",AlimentsOvins,4,FALSE)+VLOOKUP("Triticale",AlimentsLapins,4,FALSE)+VLOOKUP("Triticale",AlimentsVolailles,4,FALSE)+VLOOKUP("Triticale",AlimentsPintades,4,FALSE)+VLOOKUP("Triticale",AlimentsOies,4,FALSE)+VLOOKUP("Triticale",AlimentsCanards,4,FALSE)+VLOOKUP("Triticale",AlimentsGavageOiesEtCanards,4,FALSE)+VLOOKUP("Triticale",AlimentsBisons,4,FALSE)+VLOOKUP("Triticale",AlimentsDaims,4,FALSE)+VLOOKUP("Triticale",AlimentsChevauxSelle,4,FALSE)+VLOOKUP("Triticale",AlimentsChevauxTrait,4,FALSE)+VLOOKUP("Triticale",AlimentsPoneys,4,FALSE))/1000</f>
        <v>0</v>
      </c>
      <c r="F34" s="758">
        <f>IF(TriticaleNécessaireBQ=0,,IF(TriticaleNécessaireBQ-VLOOKUP(Triticale,StockDansSilos,3,FALSE)&lt;=0,0,ROUND(TriticaleNécessaireBQ-VLOOKUP(Triticale,StockDansSilos,3,FALSE),3)))</f>
        <v>0</v>
      </c>
      <c r="G34" s="754">
        <f>IF(TriticaleNécessaireMoQ=0,,IF(TriticaleNécessaireMoQ-VLOOKUP(Triticale,StockDansSilos,4,FALSE)&lt;=0,0,ROUND(TriticaleNécessaireMoQ-VLOOKUP(Triticale,StockDansSilos,4,FALSE),3)))</f>
        <v>0</v>
      </c>
      <c r="H34" s="759">
        <f>IF(TriticaleNécessaireMaQ=0,,IF(TriticaleNécessaireMaQ-VLOOKUP(Triticale,StockDansSilos,5,FALSE)&lt;=0,0,ROUND(TriticaleNécessaireMaQ-VLOOKUP(Triticale,StockDansSilos,5,FALSE),3)))</f>
        <v>0</v>
      </c>
      <c r="I34" s="229"/>
      <c r="J34" s="247"/>
      <c r="K34" s="204" t="str">
        <f>IF(AND(CommandeTriticaleBQ=0,CommandeTriticaleMoQ=0,CommandeTriticaleMaQ=0),"",((PrixTriticale*CommandeTriticaleBQ)+(PrixTriticale*CommandeTriticaleMoQ*0.9)+(PrixTriticale*CommandeTriticaleMaQ*0.8)))</f>
        <v/>
      </c>
      <c r="L34" s="229"/>
      <c r="M34" s="219"/>
      <c r="N34" s="226"/>
      <c r="O34" s="219"/>
      <c r="P34" s="219"/>
      <c r="Q34" s="219"/>
      <c r="R34" s="219"/>
      <c r="S34" s="219"/>
      <c r="T34" s="224"/>
    </row>
    <row r="35" spans="1:20" s="30" customFormat="1" x14ac:dyDescent="0.2">
      <c r="A35" s="222"/>
      <c r="B35" s="240" t="str">
        <f>IF(AND(RationBovinsNécessaireBQ=0,RationBovinsNécessaireMoQ=0,RationBovinsNécessaireMaQ=0),"","ration complète bovins (t)")</f>
        <v/>
      </c>
      <c r="C35" s="769">
        <f>VLOOKUP("Ration Complète",AlimentsBovins,2,FALSE)/1000</f>
        <v>0</v>
      </c>
      <c r="D35" s="775">
        <f>VLOOKUP("Ration Complète",AlimentsBovins,3,FALSE)/1000</f>
        <v>0</v>
      </c>
      <c r="E35" s="776">
        <f>VLOOKUP("Ration Complète",AlimentsBovins,4,FALSE)/1000</f>
        <v>0</v>
      </c>
      <c r="F35" s="964">
        <f>IF(RationBovinsNécessaireBQ=0,,IF(RationBovinsNécessaireBQ-VLOOKUP(RationBovins,StockDansSilos,3,FALSE)&lt;=0,0,ROUND(RationBovinsNécessaireBQ-VLOOKUP(RationBovins,StockDansSilos,3,FALSE),3)))</f>
        <v>0</v>
      </c>
      <c r="G35" s="753">
        <f>IF(RationBovinsNécessaireMoQ=0,,IF(RationBovinsNécessaireMoQ-VLOOKUP(RationBovins,StockDansSilos,4,FALSE)&lt;=0,0,ROUND(RationBovinsNécessaireMoQ-VLOOKUP(RationBovins,StockDansSilos,4,FALSE),3)))</f>
        <v>0</v>
      </c>
      <c r="H35" s="760">
        <f>IF(RationBovinsNécessaireMaQ=0,,IF(RationBovinsNécessaireMaQ-VLOOKUP(RationBovins,StockDansSilos,5,FALSE)&lt;=0,0,ROUND(RationBovinsNécessaireMaQ-VLOOKUP(RationBovins,StockDansSilos,5,FALSE),3)))</f>
        <v>0</v>
      </c>
      <c r="I35" s="229"/>
      <c r="J35" s="246"/>
      <c r="K35" s="237" t="str">
        <f>IF(AND(CommandeRationBovinBQ=0,CommandeRationBovinMoQ=0,CommandeRationBovinMaQ=0),"",((PrixRationBovins*CommandeRationBovinBQ)+(PrixRationBovins*CommandeRationBovinMoQ*0.9)+(PrixRationBovins*CommandeRationBovinMaQ*0.8)))</f>
        <v/>
      </c>
      <c r="L35" s="229"/>
      <c r="M35" s="219"/>
      <c r="N35" s="226"/>
      <c r="O35" s="219"/>
      <c r="P35" s="219"/>
      <c r="Q35" s="219"/>
      <c r="R35" s="219"/>
      <c r="S35" s="219"/>
      <c r="T35" s="224"/>
    </row>
    <row r="36" spans="1:20" s="30" customFormat="1" x14ac:dyDescent="0.2">
      <c r="A36" s="222"/>
      <c r="B36" s="186" t="str">
        <f>IF(AND(RationHiverBovinsNécessaireBQ=0,RationHiverBovinsNécessaireMoQ=0,RationHiverBovinsNécessaireMaQ=0),"","ration complète hivernale bovins (t)")</f>
        <v/>
      </c>
      <c r="C36" s="768">
        <f>VLOOKUP("Ration complète",Ration_hivernale_complète_bovins[],2,FALSE)/1000</f>
        <v>0</v>
      </c>
      <c r="D36" s="773">
        <f>VLOOKUP("Ration complète",Ration_hivernale_complète_bovins[],3,FALSE)/1000</f>
        <v>0</v>
      </c>
      <c r="E36" s="774">
        <f>VLOOKUP("Ration complète",Ration_hivernale_complète_bovins[],4,FALSE)/1000</f>
        <v>0</v>
      </c>
      <c r="F36" s="758">
        <f>IF(RationHiverBovinsNécessaireBQ=0,,IF(RationHiverBovinsNécessaireBQ-VLOOKUP(RationHiverBovins,StockDansSilos,3,FALSE)&lt;=0,0,ROUND(RationHiverBovinsNécessaireBQ-VLOOKUP(RationHiverBovins,StockDansSilos,3,FALSE),3)))</f>
        <v>0</v>
      </c>
      <c r="G36" s="754">
        <f>IF(RationHiverBovinsNécessaireMoQ=0,,IF(RationHiverBovinsNécessaireMoQ-VLOOKUP(RationHiverBovins,StockDansSilos,4,FALSE)&lt;=0,0,ROUND(RationHiverBovinsNécessaireMoQ-VLOOKUP(RationHiverBovins,StockDansSilos,4,FALSE),3)))</f>
        <v>0</v>
      </c>
      <c r="H36" s="759">
        <f>IF(RationHiverBovinsNécessaireMaQ=0,,IF(RationHiverBovinsNécessaireMaQ-VLOOKUP(RationHiverBovins,StockDansSilos,5,FALSE)&lt;=0,0,ROUND(RationHiverBovinsNécessaireMaQ-VLOOKUP(RationHiverBovins,StockDansSilos,5,FALSE),3)))</f>
        <v>0</v>
      </c>
      <c r="I36" s="229"/>
      <c r="J36" s="247"/>
      <c r="K36" s="204" t="str">
        <f>IF(AND(CommandeRationHiverBovinBQ=0,CommandeRationHiverBovinMoQ=0,CommandeRationHiverBovinMaQ=0),"",((PrixRationHiverBovins*CommandeRationHiverBovinBQ)+(PrixRationHiverBovins*CommandeRationHiverBovinMoQ*0.9)+(PrixRationHiverBovins*CommandeRationHiverBovinMaQ*0.8)))</f>
        <v/>
      </c>
      <c r="L36" s="229"/>
      <c r="M36" s="251" t="s">
        <v>581</v>
      </c>
      <c r="N36" s="219"/>
      <c r="O36" s="219"/>
      <c r="P36" s="219"/>
      <c r="Q36" s="226"/>
      <c r="R36" s="226"/>
      <c r="S36" s="226"/>
      <c r="T36" s="224"/>
    </row>
    <row r="37" spans="1:20" s="30" customFormat="1" x14ac:dyDescent="0.2">
      <c r="A37" s="222"/>
      <c r="B37" s="240" t="str">
        <f>IF(AND(RationBisonNécessaireBQ=0,RationBisonNécessaireMoQ=0,RationBisonNécessaireMaQ=0),"","ration complète hivernale bisons (t)")</f>
        <v/>
      </c>
      <c r="C37" s="769">
        <f>VLOOKUP("Ration complète",AlimentsBisons,2,FALSE)/1000</f>
        <v>0</v>
      </c>
      <c r="D37" s="775">
        <f>VLOOKUP("Ration complète",AlimentsBisons,3,FALSE)/1000</f>
        <v>0</v>
      </c>
      <c r="E37" s="776">
        <f>VLOOKUP("Ration complète",AlimentsBisons,4,FALSE)/1000</f>
        <v>0</v>
      </c>
      <c r="F37" s="964">
        <f>IF(RationBisonNécessaireBQ=0,,IF(RationBisonNécessaireBQ-VLOOKUP(RationBisons,StockDansSilos,3,FALSE)&lt;=0,0,ROUND(RationBisonNécessaireBQ-VLOOKUP(RationBisons,StockDansSilos,3,FALSE),3)))</f>
        <v>0</v>
      </c>
      <c r="G37" s="753">
        <f>IF(RationBisonNécessaireMoQ=0,,IF(RationBisonNécessaireMoQ-VLOOKUP(RationBisons,StockDansSilos,4,FALSE)&lt;=0,0,ROUND(RationBisonNécessaireMoQ-VLOOKUP(RationBisons,StockDansSilos,4,FALSE),3)))</f>
        <v>0</v>
      </c>
      <c r="H37" s="760">
        <f>IF(RationBisonNécessaireMaQ=0,,IF(RationBisonNécessaireMaQ-VLOOKUP(RationBisons,StockDansSilos,5,FALSE)&lt;=0,0,ROUND(RationBisonNécessaireMaQ-VLOOKUP(RationBisons,StockDansSilos,5,FALSE),3)))</f>
        <v>0</v>
      </c>
      <c r="I37" s="229"/>
      <c r="J37" s="246"/>
      <c r="K37" s="237" t="str">
        <f>IF(AND(CommandeRationBisonsBQ=0,CommandeRationBisonsMoQ=0,CommandeRationBisonsMaQ=0),"",((PrixRationBisons*CommandeRationBisonsBQ)+(PrixRationBisons*CommandeRationBisonsMoQ*0.9)+(PrixRationBisons*CommandeRationBisonsMaQ*0.8)))</f>
        <v/>
      </c>
      <c r="L37" s="229"/>
      <c r="M37" s="253" t="s">
        <v>488</v>
      </c>
      <c r="N37" s="131" t="str">
        <f>IF(CoutPaillageAnnuelBovins="","coût : 0€/an",CoutPaillageAnnuelBovins)</f>
        <v>coût : 0€/an</v>
      </c>
      <c r="O37" s="131"/>
      <c r="P37" s="131"/>
      <c r="Q37" s="254"/>
      <c r="R37" s="226"/>
      <c r="S37" s="226"/>
      <c r="T37" s="224"/>
    </row>
    <row r="38" spans="1:20" s="30" customFormat="1" x14ac:dyDescent="0.2">
      <c r="A38" s="222"/>
      <c r="B38" s="186" t="str">
        <f>IF(AND(RationCaprinsNécessaireBQ=0,RationCaprinsNécessaireMoQ=0,RationCaprinsNécessaireMaQ=0),"","ration complète caprins (t)")</f>
        <v/>
      </c>
      <c r="C38" s="768">
        <f>VLOOKUP("Ration complète",AlimentsCaprins,2,FALSE)/1000</f>
        <v>0</v>
      </c>
      <c r="D38" s="773">
        <f>VLOOKUP("Ration complète",AlimentsCaprins,3,FALSE)/1000</f>
        <v>0</v>
      </c>
      <c r="E38" s="774">
        <f>VLOOKUP("Ration complète",AlimentsCaprins,4,FALSE)/1000</f>
        <v>0</v>
      </c>
      <c r="F38" s="758">
        <f>IF(RationCaprinsNécessaireBQ=0,,IF(RationCaprinsNécessaireBQ-VLOOKUP(RationCaprins,StockDansSilos,3,FALSE)&lt;=0,0,ROUND(RationCaprinsNécessaireBQ-VLOOKUP(RationCaprins,StockDansSilos,3,FALSE),3)))</f>
        <v>0</v>
      </c>
      <c r="G38" s="754">
        <f>IF(RationCaprinsNécessaireMoQ=0,,IF(RationCaprinsNécessaireMoQ-VLOOKUP(RationCaprins,StockDansSilos,4,FALSE)&lt;=0,0,ROUND(RationCaprinsNécessaireMoQ-VLOOKUP(RationCaprins,StockDansSilos,4,FALSE),3)))</f>
        <v>0</v>
      </c>
      <c r="H38" s="759">
        <f>IF(RationCaprinsNécessaireMaQ=0,,IF(RationCaprinsNécessaireMaQ-VLOOKUP(RationCaprins,StockDansSilos,5,FALSE)&lt;=0,0,ROUND(RationCaprinsNécessaireMaQ-VLOOKUP(RationCaprins,StockDansSilos,5,FALSE),3)))</f>
        <v>0</v>
      </c>
      <c r="I38" s="229"/>
      <c r="J38" s="247"/>
      <c r="K38" s="204" t="str">
        <f>IF(AND(CommandeRationCaprinsBQ=0,CommandeRationCaprinsMoQ=0,CommandeRationCaprinsMaQ=0),"",((PrixRationCaprins*CommandeRationCaprinsBQ)+(PrixRationCaprins*CommandeRationCaprinsMoQ*0.9)+(PrixRationCaprins*CommandeRationCaprinsMaQ*0.8)))</f>
        <v/>
      </c>
      <c r="L38" s="229"/>
      <c r="M38" s="253" t="s">
        <v>489</v>
      </c>
      <c r="N38" s="255" t="s">
        <v>238</v>
      </c>
      <c r="O38" s="256"/>
      <c r="P38" s="256"/>
      <c r="Q38" s="256"/>
      <c r="R38" s="219"/>
      <c r="S38" s="219"/>
      <c r="T38" s="224"/>
    </row>
    <row r="39" spans="1:20" s="30" customFormat="1" x14ac:dyDescent="0.2">
      <c r="A39" s="222"/>
      <c r="B39" s="240" t="str">
        <f>IF(AND(RationPorcinsNécessaireBQ=0,RationPorcinsNécessaireMoQ=0,RationPorcinsNécessaireMaQ=0),"","ration complète porcins (t)")</f>
        <v/>
      </c>
      <c r="C39" s="769">
        <f>VLOOKUP("Ration complète",AlimentsPorcins,2,FALSE)/1000</f>
        <v>0</v>
      </c>
      <c r="D39" s="775">
        <f>VLOOKUP("Ration complète",AlimentsPorcins,3,FALSE)/1000</f>
        <v>0</v>
      </c>
      <c r="E39" s="776">
        <f>VLOOKUP("Ration complète",AlimentsPorcins,4,FALSE)/1000</f>
        <v>0</v>
      </c>
      <c r="F39" s="964">
        <f>IF(RationPorcinsNécessaireBQ=0,,IF(RationPorcinsNécessaireBQ-VLOOKUP(RationPorcins,StockDansSilos,3,FALSE)&lt;=0,0,ROUND(RationPorcinsNécessaireBQ-VLOOKUP(RationPorcins,StockDansSilos,3,FALSE),3)))</f>
        <v>0</v>
      </c>
      <c r="G39" s="753">
        <f>IF(RationPorcinsNécessaireMoQ=0,,IF(RationPorcinsNécessaireMoQ-VLOOKUP(RationPorcins,StockDansSilos,4,FALSE)&lt;=0,0,ROUND(RationPorcinsNécessaireMoQ-VLOOKUP(RationPorcins,StockDansSilos,4,FALSE),3)))</f>
        <v>0</v>
      </c>
      <c r="H39" s="760">
        <f>IF(RationPorcinsNécessaireMaQ=0,,IF(RationPorcinsNécessaireMaQ-VLOOKUP(RationPorcins,StockDansSilos,5,FALSE)&lt;=0,0,ROUND(RationPorcinsNécessaireMaQ-VLOOKUP(RationPorcins,StockDansSilos,5,FALSE),3)))</f>
        <v>0</v>
      </c>
      <c r="I39" s="229"/>
      <c r="J39" s="246"/>
      <c r="K39" s="237" t="str">
        <f>IF(AND(CommandeRationPorcinsBQ=0,CommandeRationPorcinsMoQ=0,CommandeRationPorcinsMaQ=0),"",((PrixRationPorcins*CommandeRationPorcinsBQ)+(PrixRationPorcins*CommandeRationPorcinsMoQ*0.9)+(PrixRationPorcins*CommandeRationPorcinsMaQ*0.8)))</f>
        <v/>
      </c>
      <c r="L39" s="229"/>
      <c r="M39" s="253" t="s">
        <v>490</v>
      </c>
      <c r="N39" s="131" t="str">
        <f>IF(CoutPaillageAnnuelPorcins="","coût : 0€/an",CoutPaillageAnnuelPorcins)</f>
        <v>coût : 0€/an</v>
      </c>
      <c r="O39" s="131"/>
      <c r="P39" s="131"/>
      <c r="Q39" s="254"/>
      <c r="R39" s="226"/>
      <c r="S39" s="226"/>
      <c r="T39" s="224"/>
    </row>
    <row r="40" spans="1:20" s="30" customFormat="1" x14ac:dyDescent="0.2">
      <c r="A40" s="222"/>
      <c r="B40" s="186" t="str">
        <f>IF(AND(RationVolaillesNécessaireBQ=0,RationVolaillesNécessaireMoQ=0,RationVolaillesNécessaireMaQ=0),"","ration complète volailles (t)")</f>
        <v/>
      </c>
      <c r="C40" s="768">
        <f>VLOOKUP("Ration complète",AlimentsVolailles,2,FALSE)/1000</f>
        <v>0</v>
      </c>
      <c r="D40" s="773">
        <f>VLOOKUP("Ration complète",AlimentsVolailles,3,FALSE)/1000</f>
        <v>0</v>
      </c>
      <c r="E40" s="774">
        <f>VLOOKUP("Ration complète",AlimentsVolailles,4,FALSE)/1000</f>
        <v>0</v>
      </c>
      <c r="F40" s="758">
        <f>IF(RationVolaillesNécessaireBQ=0,,IF(RationVolaillesNécessaireBQ-VLOOKUP(RationVolailles,StockDansSilos,3,FALSE)&lt;=0,0,ROUND(RationVolaillesNécessaireBQ-VLOOKUP(RationVolailles,StockDansSilos,3,FALSE),3)))</f>
        <v>0</v>
      </c>
      <c r="G40" s="754">
        <f>IF(RationVolaillesNécessaireMoQ=0,,IF(RationVolaillesNécessaireMoQ-VLOOKUP(RationVolailles,StockDansSilos,4,FALSE)&lt;=0,0,ROUND(RationVolaillesNécessaireMoQ-VLOOKUP(RationVolailles,StockDansSilos,4,FALSE),3)))</f>
        <v>0</v>
      </c>
      <c r="H40" s="759">
        <f>IF(RationVolaillesNécessaireMaQ=0,,IF(RationVolaillesNécessaireMaQ-VLOOKUP(RationVolailles,StockDansSilos,5,FALSE)&lt;=0,0,ROUND(RationVolaillesNécessaireMaQ-VLOOKUP(RationVolailles,StockDansSilos,5,FALSE),3)))</f>
        <v>0</v>
      </c>
      <c r="I40" s="229"/>
      <c r="J40" s="247"/>
      <c r="K40" s="204" t="str">
        <f>IF(AND(CommandeRationVolaillesBQ=0,CommandeRationVolaillesMoQ=0,CommandeRationVolaillesMaQ=0),"",((PrixRationVolailles*CommandeRationVolaillesBQ)+(PrixRationVolailles*CommandeRationVolaillesMoQ*0.9)+(PrixRationVolailles*CommandeRationVolaillesMaQ*0.8)))</f>
        <v/>
      </c>
      <c r="L40" s="229"/>
      <c r="M40" s="253" t="s">
        <v>491</v>
      </c>
      <c r="N40" s="256" t="str">
        <f>IF(CoutPaillageAnnuelCaprins="","coût : 0€/an",CoutPaillageAnnuelCaprins)</f>
        <v>coût : 0€/an</v>
      </c>
      <c r="O40" s="256"/>
      <c r="P40" s="256"/>
      <c r="Q40" s="257"/>
      <c r="R40" s="226"/>
      <c r="S40" s="226"/>
      <c r="T40" s="224"/>
    </row>
    <row r="41" spans="1:20" s="30" customFormat="1" x14ac:dyDescent="0.2">
      <c r="A41" s="222"/>
      <c r="B41" s="240" t="str">
        <f>IF(AND(RationPintadesNécessaireBQ=0,RationPintadesNécessaireMoQ=0,RationPintadesNécessaireMaQ=0),"","ration complète pintades (t)")</f>
        <v/>
      </c>
      <c r="C41" s="769">
        <f>VLOOKUP("Ration complète",AlimentsPintades,2,FALSE)/1000</f>
        <v>0</v>
      </c>
      <c r="D41" s="775">
        <f>VLOOKUP("Ration complète",AlimentsPintades,3,FALSE)/1000</f>
        <v>0</v>
      </c>
      <c r="E41" s="776">
        <f>VLOOKUP("Ration complète",AlimentsPintades,4,FALSE)/1000</f>
        <v>0</v>
      </c>
      <c r="F41" s="964">
        <f>IF(RationPintadesNécessaireBQ=0,,IF(RationPintadesNécessaireBQ-VLOOKUP(RationPintades,StockDansSilos,3,FALSE)&lt;=0,0,ROUND(RationPintadesNécessaireBQ-VLOOKUP(RationPintades,StockDansSilos,3,FALSE),3)))</f>
        <v>0</v>
      </c>
      <c r="G41" s="753">
        <f>IF(RationPintadesNécessaireMoQ=0,,IF(RationPintadesNécessaireMoQ-VLOOKUP(RationPintades,StockDansSilos,4,FALSE)&lt;=0,0,ROUND(RationPintadesNécessaireMoQ-VLOOKUP(RationPintades,StockDansSilos,4,FALSE),3)))</f>
        <v>0</v>
      </c>
      <c r="H41" s="760">
        <f>IF(RationPintadesNécessaireMaQ=0,,IF(RationPintadesNécessaireMaQ-VLOOKUP(RationPintades,StockDansSilos,5,FALSE)&lt;=0,0,ROUND(RationPintadesNécessaireMaQ-VLOOKUP(RationPintades,StockDansSilos,5,FALSE),3)))</f>
        <v>0</v>
      </c>
      <c r="I41" s="229"/>
      <c r="J41" s="246"/>
      <c r="K41" s="237" t="str">
        <f>IF(AND(CommandeRationPintadesBQ=0,CommandeRationPintadesMoQ=0,CommandeRationPintadesMaQ=0),"",((PrixRationPintades*CommandeRationPintadesBQ)+(PrixRationPintades*CommandeRationPintadesMoQ*0.9)+(PrixRationPintades*CommandeRationPintadesMaQ*0.8)))</f>
        <v/>
      </c>
      <c r="L41" s="229"/>
      <c r="M41" s="253" t="s">
        <v>492</v>
      </c>
      <c r="N41" s="131" t="str">
        <f>IF(CoutPaillageAnnuelVolailles="","coût : 0€/an",CoutPaillageAnnuelVolailles)</f>
        <v>coût : 0€/an</v>
      </c>
      <c r="O41" s="131"/>
      <c r="P41" s="131"/>
      <c r="Q41" s="254"/>
      <c r="R41" s="226"/>
      <c r="S41" s="226"/>
      <c r="T41" s="224"/>
    </row>
    <row r="42" spans="1:20" s="30" customFormat="1" x14ac:dyDescent="0.2">
      <c r="A42" s="222"/>
      <c r="B42" s="186" t="str">
        <f>IF(AND(RationLapinsNécessaireBQ=0,RationLapinsNécessaireMoQ=0,RationLapinsNécessaireMaQ=0),"","ration complète lapins (t)")</f>
        <v/>
      </c>
      <c r="C42" s="768">
        <f>VLOOKUP("Ration complète",AlimentsLapins,2,FALSE)/1000</f>
        <v>0</v>
      </c>
      <c r="D42" s="773">
        <f>VLOOKUP("Ration complète",AlimentsLapins,3,FALSE)/1000</f>
        <v>0</v>
      </c>
      <c r="E42" s="774">
        <f>VLOOKUP("Ration complète",AlimentsLapins,4,FALSE)/1000</f>
        <v>0</v>
      </c>
      <c r="F42" s="758">
        <f>IF(RationLapinsNécessaireBQ=0,,IF(RationLapinsNécessaireBQ-VLOOKUP(RationLapins,StockDansSilos,3,FALSE)&lt;=0,0,ROUND(RationLapinsNécessaireBQ-VLOOKUP(RationLapins,StockDansSilos,3,FALSE),3)))</f>
        <v>0</v>
      </c>
      <c r="G42" s="754">
        <f>IF(RationLapinsNécessaireMoQ=0,,IF(RationLapinsNécessaireMoQ-VLOOKUP(RationLapins,StockDansSilos,4,FALSE)&lt;=0,0,ROUND(RationLapinsNécessaireMoQ-VLOOKUP(RationLapins,StockDansSilos,4,FALSE),3)))</f>
        <v>0</v>
      </c>
      <c r="H42" s="759">
        <f>IF(RationLapinsNécessaireMaQ=0,,IF(RationLapinsNécessaireMaQ-VLOOKUP(RationLapins,StockDansSilos,5,FALSE)&lt;=0,0,ROUND(RationLapinsNécessaireMaQ-VLOOKUP(RationLapins,StockDansSilos,5,FALSE),3)))</f>
        <v>0</v>
      </c>
      <c r="I42" s="229"/>
      <c r="J42" s="247"/>
      <c r="K42" s="204" t="str">
        <f>IF(AND(CommandeRationLapinBQ=0,CommandeRationLapinMoQ=0,CommandeRationLapinMaQ=0),"",((PrixRationLapins*CommandeRationLapinBQ)+(PrixRationLapins*CommandeRationLapinMoQ*0.9)+(PrixRationLapins*CommandeRationLapinMaQ*0.8)))</f>
        <v/>
      </c>
      <c r="L42" s="229"/>
      <c r="M42" s="253" t="s">
        <v>493</v>
      </c>
      <c r="N42" s="256" t="str">
        <f>IF(CoutPaillageAnnuelPintades="","coût : 0€/an",CoutPaillageAnnuelPintades)</f>
        <v>coût : 0€/an</v>
      </c>
      <c r="O42" s="256"/>
      <c r="P42" s="256"/>
      <c r="Q42" s="256"/>
      <c r="R42" s="219"/>
      <c r="S42" s="219"/>
      <c r="T42" s="224"/>
    </row>
    <row r="43" spans="1:20" s="30" customFormat="1" x14ac:dyDescent="0.2">
      <c r="A43" s="222"/>
      <c r="B43" s="240" t="str">
        <f>IF(AND(RationOiesNécessaireBQ=0,RationOiesNécessaireMoQ=0,RationOiesNécessaireMaQ=0),"","ration complète oies (t)")</f>
        <v/>
      </c>
      <c r="C43" s="769">
        <f>VLOOKUP("Ration complète",AlimentsOies,2,FALSE)/1000</f>
        <v>0</v>
      </c>
      <c r="D43" s="775">
        <f>VLOOKUP("Ration complète",AlimentsOies,3,FALSE)/1000</f>
        <v>0</v>
      </c>
      <c r="E43" s="776">
        <f>VLOOKUP("Ration complète",AlimentsOies,4,FALSE)/1000</f>
        <v>0</v>
      </c>
      <c r="F43" s="964">
        <f>IF(RationOiesNécessaireBQ=0,,IF(RationOiesNécessaireBQ-VLOOKUP(RationOies,StockDansSilos,3,FALSE)&lt;=0,0,ROUND(RationOiesNécessaireBQ-VLOOKUP(RationOies,StockDansSilos,3,FALSE),3)))</f>
        <v>0</v>
      </c>
      <c r="G43" s="753">
        <f>IF(RationOiesNécessaireMoQ=0,,IF(RationOiesNécessaireMoQ-VLOOKUP(RationOies,StockDansSilos,4,FALSE)&lt;=0,0,ROUND(RationOiesNécessaireMoQ-VLOOKUP(RationOies,StockDansSilos,4,FALSE),3)))</f>
        <v>0</v>
      </c>
      <c r="H43" s="760">
        <f>IF(RationOiesNécessaireMaQ=0,,IF(RationOiesNécessaireMaQ-VLOOKUP(RationOies,StockDansSilos,5,FALSE)&lt;=0,0,ROUND(RationOiesNécessaireMaQ-VLOOKUP(RationOies,StockDansSilos,5,FALSE),3)))</f>
        <v>0</v>
      </c>
      <c r="I43" s="229"/>
      <c r="J43" s="246"/>
      <c r="K43" s="237" t="str">
        <f>IF(AND(CommandeRationOieBQ=0,CommandeRationOieMoQ=0,CommandeRationOieMaQ=0),"",((PrixRationOies*CommandeRationOieBQ)+(PrixRationOies*CommandeRationOieMoQ*0.9)+(PrixRationOies*CommandeRationOieMaQ*0.8)))</f>
        <v/>
      </c>
      <c r="L43" s="229"/>
      <c r="M43" s="253" t="s">
        <v>494</v>
      </c>
      <c r="N43" s="131" t="str">
        <f>IF(CoutPaillageAnnuelLapins="","coût : 0€/an",CoutPaillageAnnuelLapins)</f>
        <v>coût : 0€/an</v>
      </c>
      <c r="O43" s="131"/>
      <c r="P43" s="131"/>
      <c r="Q43" s="131"/>
      <c r="R43" s="219"/>
      <c r="S43" s="219"/>
      <c r="T43" s="224"/>
    </row>
    <row r="44" spans="1:20" s="30" customFormat="1" x14ac:dyDescent="0.2">
      <c r="A44" s="222"/>
      <c r="B44" s="186" t="str">
        <f>IF(AND(RationCanardsNécessaireBQ=0,RationCanardsNécessaireMoQ=0,RationCanardsNécessaireMaQ=0),"","ration complète canards (t)")</f>
        <v/>
      </c>
      <c r="C44" s="768">
        <f>VLOOKUP("Ration complète",AlimentsCanards,2,FALSE)/1000</f>
        <v>0</v>
      </c>
      <c r="D44" s="773">
        <f>VLOOKUP("Ration complète",AlimentsCanards,3,FALSE)/1000</f>
        <v>0</v>
      </c>
      <c r="E44" s="774">
        <f>VLOOKUP("Ration complète",AlimentsCanards,4,FALSE)/1000</f>
        <v>0</v>
      </c>
      <c r="F44" s="758">
        <f>IF(RationCanardsNécessaireBQ=0,,IF(RationCanardsNécessaireBQ-VLOOKUP(RationCanards,StockDansSilos,3,FALSE)&lt;=0,0,ROUND(RationCanardsNécessaireBQ-VLOOKUP(RationCanards,StockDansSilos,3,FALSE),3)))</f>
        <v>0</v>
      </c>
      <c r="G44" s="754">
        <f>IF(RationCanardsNécessaireMoQ=0,,IF(RationCanardsNécessaireMoQ-VLOOKUP(RationCanards,StockDansSilos,4,FALSE)&lt;=0,0,ROUND(RationCanardsNécessaireMoQ-VLOOKUP(RationCanards,StockDansSilos,4,FALSE),3)))</f>
        <v>0</v>
      </c>
      <c r="H44" s="759">
        <f>IF(RationCanardsNécessaireMaQ=0,,IF(RationCanardsNécessaireMaQ-VLOOKUP(RationCanards,StockDansSilos,5,FALSE)&lt;=0,0,ROUND(RationCanardsNécessaireMaQ-VLOOKUP(RationCanards,StockDansSilos,5,FALSE),3)))</f>
        <v>0</v>
      </c>
      <c r="I44" s="229"/>
      <c r="J44" s="247"/>
      <c r="K44" s="204" t="str">
        <f>IF(AND(CommandeRationCanardBQ=0,CommandeRationCanardMoQ=0,CommandeRationCanardMaQ=0),"",((PrixRationCanards*CommandeRationCanardBQ)+(PrixRationCanards*CommandeRationCanardMoQ*0.9)+(PrixRationCanards*CommandeRationCanardMaQ*0.8)))</f>
        <v/>
      </c>
      <c r="L44" s="229"/>
      <c r="M44" s="253" t="s">
        <v>495</v>
      </c>
      <c r="N44" s="256" t="str">
        <f>IF(CoutPaillageAnnuelOvins="","coût : 0€/an",CoutPaillageAnnuelOvins)</f>
        <v>coût : 0€/an</v>
      </c>
      <c r="O44" s="256"/>
      <c r="P44" s="256"/>
      <c r="Q44" s="256"/>
      <c r="R44" s="219"/>
      <c r="S44" s="219"/>
      <c r="T44" s="224"/>
    </row>
    <row r="45" spans="1:20" s="30" customFormat="1" x14ac:dyDescent="0.2">
      <c r="A45" s="222"/>
      <c r="B45" s="240" t="str">
        <f>IF(AND(RationOvinsNécessaireBQ=0,RationOvinsNécessaireMoQ=0,RationOvinsNécessaireMaQ=0),"","ration complète ovins (t)")</f>
        <v/>
      </c>
      <c r="C45" s="769">
        <f>VLOOKUP("Ration complète",AlimentsOvins,2,FALSE)/1000</f>
        <v>0</v>
      </c>
      <c r="D45" s="775">
        <f>VLOOKUP("Ration complète",AlimentsOvins,3,FALSE)/1000</f>
        <v>0</v>
      </c>
      <c r="E45" s="776">
        <f>VLOOKUP("Ration complète",AlimentsOvins,4,FALSE)/1000</f>
        <v>0</v>
      </c>
      <c r="F45" s="964">
        <f>IF(RationOvinsNécessaireBQ=0,,IF(RationOvinsNécessaireBQ-VLOOKUP(RationOvins,StockDansSilos,3,FALSE)&lt;=0,0,ROUND(RationOvinsNécessaireBQ-VLOOKUP(RationOvins,StockDansSilos,3,FALSE),3)))</f>
        <v>0</v>
      </c>
      <c r="G45" s="753">
        <f>IF(RationOvinsNécessaireMoQ=0,,IF(RationOvinsNécessaireMoQ-VLOOKUP(RationOvins,StockDansSilos,4,FALSE)&lt;=0,0,ROUND(RationOvinsNécessaireMoQ-VLOOKUP(RationOvins,StockDansSilos,4,FALSE),3)))</f>
        <v>0</v>
      </c>
      <c r="H45" s="760">
        <f>IF(RationOvinsNécessaireMaQ=0,,IF(RationOvinsNécessaireMaQ-VLOOKUP(RationOvins,StockDansSilos,5,FALSE)&lt;=0,0,ROUND(RationOvinsNécessaireMaQ-VLOOKUP(RationOvins,StockDansSilos,5,FALSE),3)))</f>
        <v>0</v>
      </c>
      <c r="I45" s="229"/>
      <c r="J45" s="246"/>
      <c r="K45" s="237" t="str">
        <f>IF(AND(CommandeRationOvinBQ=0,CommandeRationOvinMoQ=0,CommandeRationOvinMaQ=0),"",((PrixRationOvins*CommandeRationOvinBQ)+(PrixRationOvins*CommandeRationOvinMoQ*0.9)+(PrixRationOvins*CommandeRationOvinMaQ*0.8)))</f>
        <v/>
      </c>
      <c r="L45" s="229"/>
      <c r="M45" s="253" t="s">
        <v>496</v>
      </c>
      <c r="N45" s="131" t="str">
        <f>IF(CoutPaillageAnnuelOies="","coût : 0€/an",CoutPaillageAnnuelOies)</f>
        <v>coût : 0€/an</v>
      </c>
      <c r="O45" s="131"/>
      <c r="P45" s="131"/>
      <c r="Q45" s="131"/>
      <c r="R45" s="219"/>
      <c r="S45" s="219"/>
      <c r="T45" s="224"/>
    </row>
    <row r="46" spans="1:20" s="30" customFormat="1" x14ac:dyDescent="0.2">
      <c r="A46" s="222"/>
      <c r="B46" s="186" t="str">
        <f>IF(AND(RationHiverOvinsNécessaireBQ=0,RationHiverOvinsNécessaireMoQ=0,RationHiverOvinsNécessaireMaQ=0),"","ration complète hivernale ovins (t)")</f>
        <v/>
      </c>
      <c r="C46" s="768">
        <f>VLOOKUP("Ration complète",AlimentsRationHivernaleOvins,2,FALSE)/1000</f>
        <v>0</v>
      </c>
      <c r="D46" s="773">
        <f>VLOOKUP("Ration complète",AlimentsRationHivernaleOvins,3,FALSE)/1000</f>
        <v>0</v>
      </c>
      <c r="E46" s="774">
        <f>VLOOKUP("Ration complète",AlimentsRationHivernaleOvins,4,FALSE)/1000</f>
        <v>0</v>
      </c>
      <c r="F46" s="758">
        <f>IF(RationHiverOvinsNécessaireBQ=0,,IF(RationHiverOvinsNécessaireBQ-VLOOKUP(RationHiverOvins,StockDansSilos,3,FALSE)&lt;=0,0,ROUND(RationHiverOvinsNécessaireBQ-VLOOKUP(RationHiverOvins,StockDansSilos,3,FALSE),3)))</f>
        <v>0</v>
      </c>
      <c r="G46" s="754">
        <f>IF(RationHiverOvinsNécessaireMoQ=0,,IF(RationHiverOvinsNécessaireMoQ-VLOOKUP(RationHiverOvins,StockDansSilos,4,FALSE)&lt;=0,0,ROUND(RationHiverOvinsNécessaireMoQ-VLOOKUP(RationHiverOvins,StockDansSilos,4,FALSE),3)))</f>
        <v>0</v>
      </c>
      <c r="H46" s="759">
        <f>IF(RationHiverOvinsNécessaireMaQ=0,,IF(RationHiverOvinsNécessaireMaQ-VLOOKUP(RationHiverOvins,StockDansSilos,5,FALSE)&lt;=0,0,ROUND(RationHiverOvinsNécessaireMaQ-VLOOKUP(RationHiverOvins,StockDansSilos,5,FALSE),3)))</f>
        <v>0</v>
      </c>
      <c r="I46" s="229"/>
      <c r="J46" s="247"/>
      <c r="K46" s="204" t="str">
        <f>IF(AND(CommandeRationHiverOvinBQ=0,CommandeRationHiverOvinMoQ=0,CommandeRationHiverOvinMaQ=0),"",((PrixRationHiverOvins*CommandeRationHiverOvinBQ)+(PrixRationHiverOvins*CommandeRationHiverOvinMoQ*0.9)+(PrixRationHiverOvins*CommandeRationHiverOvinMaQ*0.8)))</f>
        <v/>
      </c>
      <c r="L46" s="229"/>
      <c r="M46" s="253" t="s">
        <v>497</v>
      </c>
      <c r="N46" s="256" t="str">
        <f>IF(CoutPaillageAnnuelCanards="","coût : 0€/an",CoutPaillageAnnuelCanards)</f>
        <v>coût : 0€/an</v>
      </c>
      <c r="O46" s="256"/>
      <c r="P46" s="256"/>
      <c r="Q46" s="256"/>
      <c r="R46" s="219"/>
      <c r="S46" s="219"/>
      <c r="T46" s="224"/>
    </row>
    <row r="47" spans="1:20" s="30" customFormat="1" x14ac:dyDescent="0.2">
      <c r="A47" s="222"/>
      <c r="B47" s="240" t="str">
        <f>IF(AND(RationDaimsNécessaireBQ=0,RationDaimsNécessaireMoQ=0,RationDaimsNécessaireMaQ=0),"","ration complète hivernale daims (t)")</f>
        <v/>
      </c>
      <c r="C47" s="769">
        <f>VLOOKUP("Ration complète",AlimentsDaims,2,FALSE)/1000</f>
        <v>0</v>
      </c>
      <c r="D47" s="775">
        <f>VLOOKUP("Ration complète",AlimentsDaims,3,FALSE)/1000</f>
        <v>0</v>
      </c>
      <c r="E47" s="776">
        <f>VLOOKUP("Ration complète",AlimentsDaims,4,FALSE)/1000</f>
        <v>0</v>
      </c>
      <c r="F47" s="964">
        <f>IF(RationDaimsNécessaireBQ=0,,IF(RationDaimsNécessaireBQ-VLOOKUP(RationDaims,StockDansSilos,3,FALSE)&lt;=0,0,ROUND(RationDaimsNécessaireBQ-VLOOKUP(RationDaims,StockDansSilos,3,FALSE),3)))</f>
        <v>0</v>
      </c>
      <c r="G47" s="753">
        <f>IF(RationDaimsNécessaireMoQ=0,,IF(RationDaimsNécessaireMoQ-VLOOKUP(RationDaims,StockDansSilos,4,FALSE)&lt;=0,0,ROUND(RationDaimsNécessaireMoQ-VLOOKUP(RationDaims,StockDansSilos,4,FALSE),3)))</f>
        <v>0</v>
      </c>
      <c r="H47" s="760">
        <f>IF(RationDaimsNécessaireMaQ=0,,IF(RationDaimsNécessaireMaQ-VLOOKUP(RationDaims,StockDansSilos,5,FALSE)&lt;=0,0,ROUND(RationDaimsNécessaireMaQ-VLOOKUP(RationDaims,StockDansSilos,5,FALSE),3)))</f>
        <v>0</v>
      </c>
      <c r="I47" s="229"/>
      <c r="J47" s="246"/>
      <c r="K47" s="237" t="str">
        <f>IF(AND(CommandeRationDaimsBQ=0,CommandeRationDaimsMoQ=0,CommandeRationDaimsMaQ=0),"",((PrixRationDaims*CommandeRationDaimsBQ)+(PrixRationDaims*CommandeRationDaimsMoQ*0.9)+(PrixRationDaims*CommandeRationDaimsMaQ*0.8)))</f>
        <v/>
      </c>
      <c r="L47" s="229"/>
      <c r="M47" s="253" t="s">
        <v>658</v>
      </c>
      <c r="N47" s="259" t="s">
        <v>238</v>
      </c>
      <c r="O47" s="131"/>
      <c r="P47" s="131"/>
      <c r="Q47" s="131"/>
      <c r="R47" s="219"/>
      <c r="S47" s="219"/>
      <c r="T47" s="224"/>
    </row>
    <row r="48" spans="1:20" s="30" customFormat="1" x14ac:dyDescent="0.2">
      <c r="A48" s="222"/>
      <c r="B48" s="186" t="str">
        <f>IF(AND(RationChevauxSelleNécessaireBQ=0,RationChevauxSelleNécessaireMoQ=0,RationChevauxSelleNécessaireMaQ=0),"","ration complète hivernale chevaux de selle (t)")</f>
        <v/>
      </c>
      <c r="C48" s="768">
        <f>VLOOKUP("Ration complète",AlimentsChevauxSelle,2,FALSE)/1000</f>
        <v>0</v>
      </c>
      <c r="D48" s="773">
        <f>VLOOKUP("Ration complète",AlimentsChevauxSelle,3,FALSE)/1000</f>
        <v>0</v>
      </c>
      <c r="E48" s="774">
        <f>VLOOKUP("Ration complète",AlimentsChevauxSelle,4,FALSE)/1000</f>
        <v>0</v>
      </c>
      <c r="F48" s="758">
        <f>IF(RationChevauxSelleNécessaireBQ=0,,IF(RationChevauxSelleNécessaireBQ-VLOOKUP(RationChevauxSelle,StockDansSilos,3,FALSE)&lt;=0,0,ROUND(RationChevauxSelleNécessaireBQ-VLOOKUP(RationChevauxSelle,StockDansSilos,3,FALSE),3)))</f>
        <v>0</v>
      </c>
      <c r="G48" s="754">
        <f>IF(RationChevauxSelleNécessaireMoQ=0,,IF(RationChevauxSelleNécessaireMoQ-VLOOKUP(RationChevauxSelle,StockDansSilos,4,FALSE)&lt;=0,0,ROUND(RationChevauxSelleNécessaireMoQ-VLOOKUP(RationChevauxSelle,StockDansSilos,4,FALSE),3)))</f>
        <v>0</v>
      </c>
      <c r="H48" s="759">
        <f>IF(RationChevauxSelleNécessaireMaQ=0,,IF(RationChevauxSelleNécessaireMaQ-VLOOKUP(RationChevauxSelle,StockDansSilos,5,FALSE)&lt;=0,0,ROUND(RationChevauxSelleNécessaireMaQ-VLOOKUP(RationChevauxSelle,StockDansSilos,5,FALSE),3)))</f>
        <v>0</v>
      </c>
      <c r="I48" s="229"/>
      <c r="J48" s="247"/>
      <c r="K48" s="204" t="str">
        <f>IF(AND(CommandeRationChevauxSelleBQ=0,CommandeRationChevauxSelleMoQ=0,CommandeRationChevauxSelleMaQ=0),"",((PrixRationChevauxSelle*CommandeRationChevauxSelleBQ)+(PrixRationChevauxSelle*CommandeRationChevauxSelleMoQ*0.9)+(PrixRationChevauxSelle*CommandeRationChevauxSelleMaQ*0.8)))</f>
        <v/>
      </c>
      <c r="L48" s="229"/>
      <c r="M48" s="253" t="s">
        <v>266</v>
      </c>
      <c r="N48" s="256" t="str">
        <f>IF(CoutPaillageAnnuelChevauxSelle="","coût : 0€/an",CoutPaillageAnnuelChevauxSelle)</f>
        <v>coût : 0€/an</v>
      </c>
      <c r="O48" s="256"/>
      <c r="P48" s="256"/>
      <c r="Q48" s="256"/>
      <c r="R48" s="219"/>
      <c r="S48" s="219"/>
      <c r="T48" s="224"/>
    </row>
    <row r="49" spans="1:20" s="30" customFormat="1" x14ac:dyDescent="0.2">
      <c r="A49" s="222"/>
      <c r="B49" s="240" t="str">
        <f>IF(AND(RationChevauxTraitNécessaireBQ=0,RationChevauxTraitNécessaireMoQ=0,RationChevauxTraitNécessaireMaQ=0),"","ration complète hivernale chevaux de trait (t)")</f>
        <v/>
      </c>
      <c r="C49" s="769">
        <f>VLOOKUP("Ration complète",AlimentsChevauxTrait,2,FALSE)/1000</f>
        <v>0</v>
      </c>
      <c r="D49" s="775">
        <f>VLOOKUP("Ration complète",AlimentsChevauxTrait,3,FALSE)/1000</f>
        <v>0</v>
      </c>
      <c r="E49" s="776">
        <f>VLOOKUP("Ration complète",AlimentsChevauxTrait,4,FALSE)/1000</f>
        <v>0</v>
      </c>
      <c r="F49" s="964">
        <f>IF(RationChevauxTraitNécessaireBQ=0,,IF(RationChevauxTraitNécessaireBQ-VLOOKUP(RationChevauxTrait,StockDansSilos,3,FALSE)&lt;=0,0,ROUND(RationChevauxTraitNécessaireBQ-VLOOKUP(RationChevauxTrait,StockDansSilos,3,FALSE),3)))</f>
        <v>0</v>
      </c>
      <c r="G49" s="753">
        <f>IF(RationChevauxTraitNécessaireMoQ=0,,IF(RationChevauxTraitNécessaireMoQ-VLOOKUP(RationChevauxTrait,StockDansSilos,4,FALSE)&lt;=0,0,ROUND(RationChevauxTraitNécessaireMoQ-VLOOKUP(RationChevauxTrait,StockDansSilos,4,FALSE),3)))</f>
        <v>0</v>
      </c>
      <c r="H49" s="760">
        <f>IF(RationChevauxTraitNécessaireMaQ=0,,IF(RationChevauxTraitNécessaireMaQ-VLOOKUP(RationChevauxTrait,StockDansSilos,5,FALSE)&lt;=0,0,ROUND(RationChevauxTraitNécessaireMaQ-VLOOKUP(RationChevauxTrait,StockDansSilos,5,FALSE),3)))</f>
        <v>0</v>
      </c>
      <c r="I49" s="229"/>
      <c r="J49" s="246"/>
      <c r="K49" s="237" t="str">
        <f>IF(AND(CommandeRationChevauxTraitBQ=0,CommandeRationChevauxTraitMoQ=0,CommandeRationChevauxTraitMaQ=0),"",((PrixRationChevauxTrait*CommandeRationChevauxTraitBQ)+(PrixRationChevauxTrait*CommandeRationChevauxTraitMoQ*0.9)+(PrixRationChevauxTrait*CommandeRationChevauxTraitMaQ*0.8)))</f>
        <v/>
      </c>
      <c r="L49" s="229"/>
      <c r="M49" s="253" t="s">
        <v>267</v>
      </c>
      <c r="N49" s="131" t="str">
        <f>IF(CoutPaillageAnnuelChevauxTrait="","coût : 0€/an",CoutPaillageAnnuelChevauxTrait)</f>
        <v>coût : 0€/an</v>
      </c>
      <c r="O49" s="131"/>
      <c r="P49" s="131"/>
      <c r="Q49" s="131"/>
      <c r="R49" s="219"/>
      <c r="S49" s="219"/>
      <c r="T49" s="224"/>
    </row>
    <row r="50" spans="1:20" s="30" customFormat="1" ht="13.5" thickBot="1" x14ac:dyDescent="0.25">
      <c r="A50" s="222"/>
      <c r="B50" s="195" t="str">
        <f>IF(AND(RationPoneysNécessaireBQ=0,RationPoneysNécessaireMoQ=0,RationPoneysNécessaireMaQ=0),"","ration complète hivernale poneys (t)")</f>
        <v/>
      </c>
      <c r="C50" s="772">
        <f>VLOOKUP("Ration complète",AlimentsPoneys,2,FALSE)/1000</f>
        <v>0</v>
      </c>
      <c r="D50" s="781">
        <f>VLOOKUP("Ration complète",AlimentsPoneys,3,FALSE)/1000</f>
        <v>0</v>
      </c>
      <c r="E50" s="782">
        <f>VLOOKUP("Ration complète",AlimentsPoneys,4,FALSE)/1000</f>
        <v>0</v>
      </c>
      <c r="F50" s="761">
        <f>IF(RationPoneysNécessaireBQ=0,,IF(RationPoneysNécessaireBQ-VLOOKUP(RationPoneys,StockDansSilos,3,FALSE)&lt;=0,0,ROUND(RationPoneysNécessaireBQ-VLOOKUP(RationPoneys,StockDansSilos,3,FALSE),3)))</f>
        <v>0</v>
      </c>
      <c r="G50" s="762">
        <f>IF(RationPoneysNécessaireMoQ=0,,IF(RationPoneysNécessaireMoQ-VLOOKUP(RationPoneys,StockDansSilos,4,FALSE)&lt;=0,0,ROUND(RationPoneysNécessaireMoQ-VLOOKUP(RationPoneys,StockDansSilos,4,FALSE),3)))</f>
        <v>0</v>
      </c>
      <c r="H50" s="763">
        <f>IF(RationPoneysNécessaireMaQ=0,,IF(RationPoneysNécessaireMaQ-VLOOKUP(RationPoneys,StockDansSilos,5,FALSE)&lt;=0,0,ROUND(RationPoneysNécessaireMaQ-VLOOKUP(RationPoneys,StockDansSilos,5,FALSE),3)))</f>
        <v>0</v>
      </c>
      <c r="I50" s="229"/>
      <c r="J50" s="248"/>
      <c r="K50" s="211" t="str">
        <f>IF(AND(CommandeRationPoneysBQ=0,CommandeRationPoneysMoQ=0,CommandeRationPoneysMaQ=0),"",((PrixRationPoneys*CommandeRationPoneysBQ)+(PrixRationPoneys*CommandeRationPoneysMoQ*0.9)+(PrixRationPoneys*CommandeRationPoneysMaQ*0.8)))</f>
        <v/>
      </c>
      <c r="L50" s="229"/>
      <c r="M50" s="253" t="s">
        <v>268</v>
      </c>
      <c r="N50" s="256" t="str">
        <f>IF(CoutPaillageAnnuelPoneys="","coût : 0€/an",CoutPaillageAnnuelPoneys)</f>
        <v>coût : 0€/an</v>
      </c>
      <c r="O50" s="256"/>
      <c r="P50" s="256"/>
      <c r="Q50" s="256"/>
      <c r="R50" s="219"/>
      <c r="S50" s="219"/>
      <c r="T50" s="224"/>
    </row>
    <row r="51" spans="1:20" s="30" customFormat="1" x14ac:dyDescent="0.2">
      <c r="A51" s="222"/>
      <c r="B51" s="249"/>
      <c r="C51" s="249"/>
      <c r="D51" s="249"/>
      <c r="E51" s="249"/>
      <c r="F51" s="249"/>
      <c r="G51" s="249"/>
      <c r="H51" s="249"/>
      <c r="I51" s="249"/>
      <c r="J51" s="1126"/>
      <c r="K51" s="219"/>
      <c r="L51" s="250"/>
      <c r="M51" s="229"/>
      <c r="N51" s="219"/>
      <c r="O51" s="219"/>
      <c r="P51" s="219"/>
      <c r="Q51" s="219"/>
      <c r="R51" s="219"/>
      <c r="S51" s="219"/>
      <c r="T51" s="224"/>
    </row>
    <row r="52" spans="1:20" s="30" customFormat="1" x14ac:dyDescent="0.2">
      <c r="A52" s="105"/>
      <c r="B52" s="219"/>
      <c r="C52" s="219"/>
      <c r="D52" s="219"/>
      <c r="E52" s="219"/>
      <c r="F52" s="219"/>
      <c r="G52" s="219"/>
      <c r="H52" s="219"/>
      <c r="I52" s="219"/>
      <c r="J52" s="219"/>
      <c r="K52" s="219"/>
      <c r="L52" s="219"/>
      <c r="M52" s="219"/>
      <c r="N52" s="219"/>
      <c r="O52" s="219"/>
      <c r="P52" s="219"/>
      <c r="Q52" s="219"/>
      <c r="R52" s="219"/>
      <c r="S52" s="219"/>
      <c r="T52" s="224"/>
    </row>
    <row r="53" spans="1:20" s="30" customFormat="1" x14ac:dyDescent="0.2">
      <c r="A53" s="105"/>
      <c r="B53" s="219"/>
      <c r="C53" s="219"/>
      <c r="D53" s="219"/>
      <c r="E53" s="219"/>
      <c r="F53" s="219"/>
      <c r="G53" s="219"/>
      <c r="H53" s="219"/>
      <c r="I53" s="1462" t="s">
        <v>352</v>
      </c>
      <c r="J53" s="1463"/>
      <c r="K53" s="252">
        <f>SUM(K9:K50)</f>
        <v>0</v>
      </c>
      <c r="L53" s="219"/>
      <c r="M53" s="219"/>
      <c r="N53" s="219"/>
      <c r="O53" s="219"/>
      <c r="P53" s="219"/>
      <c r="Q53" s="219"/>
      <c r="R53" s="219"/>
      <c r="S53" s="219"/>
      <c r="T53" s="224"/>
    </row>
    <row r="54" spans="1:20" s="30" customFormat="1" x14ac:dyDescent="0.2">
      <c r="A54" s="105"/>
      <c r="B54" s="219"/>
      <c r="C54" s="219"/>
      <c r="D54" s="219"/>
      <c r="E54" s="219"/>
      <c r="F54" s="219"/>
      <c r="G54" s="219"/>
      <c r="H54" s="219"/>
      <c r="I54" s="219"/>
      <c r="J54" s="219"/>
      <c r="K54" s="219"/>
      <c r="L54" s="219"/>
      <c r="M54" s="219"/>
      <c r="N54" s="219"/>
      <c r="O54" s="219"/>
      <c r="P54" s="219"/>
      <c r="Q54" s="219"/>
      <c r="R54" s="219"/>
      <c r="S54" s="219"/>
      <c r="T54" s="224"/>
    </row>
    <row r="55" spans="1:20" s="30" customFormat="1" x14ac:dyDescent="0.2">
      <c r="A55" s="105"/>
      <c r="B55" s="219"/>
      <c r="C55" s="219"/>
      <c r="D55" s="219"/>
      <c r="E55" s="219"/>
      <c r="F55" s="219"/>
      <c r="G55" s="219"/>
      <c r="H55" s="219"/>
      <c r="I55" s="219"/>
      <c r="J55" s="219"/>
      <c r="K55" s="219"/>
      <c r="L55" s="219"/>
      <c r="M55" s="219"/>
      <c r="N55" s="219"/>
      <c r="O55" s="219"/>
      <c r="P55" s="219"/>
      <c r="Q55" s="219"/>
      <c r="R55" s="219"/>
      <c r="S55" s="219"/>
      <c r="T55" s="224"/>
    </row>
    <row r="56" spans="1:20" s="30" customFormat="1" x14ac:dyDescent="0.2">
      <c r="A56" s="105"/>
      <c r="B56" s="219"/>
      <c r="C56" s="219"/>
      <c r="D56" s="219"/>
      <c r="E56" s="219"/>
      <c r="F56" s="219"/>
      <c r="G56" s="219"/>
      <c r="H56" s="219"/>
      <c r="I56" s="219"/>
      <c r="J56" s="219"/>
      <c r="K56" s="219"/>
      <c r="L56" s="219"/>
      <c r="M56" s="219"/>
      <c r="N56" s="219"/>
      <c r="O56" s="219"/>
      <c r="P56" s="219"/>
      <c r="Q56" s="219"/>
      <c r="R56" s="219"/>
      <c r="S56" s="219"/>
      <c r="T56" s="224"/>
    </row>
    <row r="57" spans="1:20" s="30" customFormat="1" x14ac:dyDescent="0.2">
      <c r="A57" s="105"/>
      <c r="B57" s="219"/>
      <c r="C57" s="219"/>
      <c r="D57" s="219"/>
      <c r="E57" s="219"/>
      <c r="F57" s="219"/>
      <c r="G57" s="219"/>
      <c r="H57" s="219"/>
      <c r="I57" s="219"/>
      <c r="J57" s="219"/>
      <c r="K57" s="219"/>
      <c r="L57" s="219"/>
      <c r="M57" s="219"/>
      <c r="N57" s="219"/>
      <c r="O57" s="219"/>
      <c r="P57" s="219"/>
      <c r="Q57" s="219"/>
      <c r="R57" s="219"/>
      <c r="S57" s="219"/>
      <c r="T57" s="224"/>
    </row>
    <row r="58" spans="1:20" s="30" customFormat="1" x14ac:dyDescent="0.2">
      <c r="A58" s="105"/>
      <c r="B58" s="219"/>
      <c r="C58" s="963"/>
      <c r="D58" s="219"/>
      <c r="E58" s="219"/>
      <c r="F58" s="219"/>
      <c r="G58" s="219"/>
      <c r="H58" s="219"/>
      <c r="I58" s="219"/>
      <c r="J58" s="219"/>
      <c r="K58" s="219"/>
      <c r="L58" s="219"/>
      <c r="M58" s="219"/>
      <c r="N58" s="219"/>
      <c r="O58" s="219"/>
      <c r="P58" s="219"/>
      <c r="Q58" s="219"/>
      <c r="R58" s="219"/>
      <c r="S58" s="219"/>
      <c r="T58" s="224"/>
    </row>
    <row r="59" spans="1:20" s="30" customFormat="1" x14ac:dyDescent="0.2">
      <c r="A59" s="105"/>
      <c r="B59" s="219"/>
      <c r="C59" s="963"/>
      <c r="D59" s="963" t="s">
        <v>45</v>
      </c>
      <c r="E59" s="258" t="str">
        <f>PlaceRestanteDansEntrepôtsAprèsCommande</f>
        <v>N.C.</v>
      </c>
      <c r="F59" s="1528" t="s">
        <v>162</v>
      </c>
      <c r="G59" s="1372"/>
      <c r="H59" s="1529" t="s">
        <v>46</v>
      </c>
      <c r="I59" s="1530"/>
      <c r="J59" s="219"/>
      <c r="K59" s="219"/>
      <c r="L59" s="219"/>
      <c r="M59" s="219"/>
      <c r="N59" s="219"/>
      <c r="O59" s="219"/>
      <c r="P59" s="219"/>
      <c r="Q59" s="219"/>
      <c r="R59" s="219"/>
      <c r="S59" s="219"/>
      <c r="T59" s="224"/>
    </row>
    <row r="60" spans="1:20" s="30" customFormat="1" x14ac:dyDescent="0.2">
      <c r="A60" s="105"/>
      <c r="B60" s="1531" t="s">
        <v>1500</v>
      </c>
      <c r="C60" s="1531"/>
      <c r="D60" s="1531"/>
      <c r="E60" s="258" t="s">
        <v>238</v>
      </c>
      <c r="F60" s="1528" t="s">
        <v>162</v>
      </c>
      <c r="G60" s="1372"/>
      <c r="H60" s="1532" t="s">
        <v>1501</v>
      </c>
      <c r="I60" s="1533"/>
      <c r="J60" s="219"/>
      <c r="K60" s="219"/>
      <c r="L60" s="219"/>
      <c r="M60" s="219"/>
      <c r="N60" s="219"/>
      <c r="O60" s="219"/>
      <c r="P60" s="219"/>
      <c r="Q60" s="219"/>
      <c r="R60" s="219"/>
      <c r="S60" s="219"/>
      <c r="T60" s="224"/>
    </row>
    <row r="61" spans="1:20" s="30" customFormat="1" x14ac:dyDescent="0.2">
      <c r="A61" s="105"/>
      <c r="B61" s="219"/>
      <c r="C61" s="219"/>
      <c r="D61" s="744" t="s">
        <v>1655</v>
      </c>
      <c r="E61" s="258" t="s">
        <v>238</v>
      </c>
      <c r="F61" s="1528" t="s">
        <v>162</v>
      </c>
      <c r="G61" s="1372"/>
      <c r="H61" s="1534" t="s">
        <v>1656</v>
      </c>
      <c r="I61" s="1535"/>
      <c r="J61" s="219"/>
      <c r="K61" s="219"/>
      <c r="L61" s="219"/>
      <c r="M61" s="219"/>
      <c r="N61" s="219"/>
      <c r="O61" s="219"/>
      <c r="P61" s="219"/>
      <c r="Q61" s="219"/>
      <c r="R61" s="219"/>
      <c r="S61" s="219"/>
      <c r="T61" s="224"/>
    </row>
    <row r="62" spans="1:20" s="30" customFormat="1" x14ac:dyDescent="0.2">
      <c r="A62" s="105"/>
      <c r="B62" s="219"/>
      <c r="C62" s="219"/>
      <c r="D62" s="219"/>
      <c r="E62" s="219"/>
      <c r="F62" s="226"/>
      <c r="G62" s="226"/>
      <c r="H62" s="226"/>
      <c r="I62" s="226"/>
      <c r="J62" s="226"/>
      <c r="K62" s="226"/>
      <c r="L62" s="226"/>
      <c r="M62" s="226"/>
      <c r="N62" s="226"/>
      <c r="O62" s="226"/>
      <c r="P62" s="226"/>
      <c r="Q62" s="219"/>
      <c r="R62" s="219"/>
      <c r="S62" s="219"/>
      <c r="T62" s="224"/>
    </row>
    <row r="63" spans="1:20" s="30" customFormat="1" x14ac:dyDescent="0.2">
      <c r="A63" s="105"/>
      <c r="B63" s="31" t="s">
        <v>575</v>
      </c>
      <c r="C63" s="1372" t="s">
        <v>162</v>
      </c>
      <c r="D63" s="1373"/>
      <c r="E63" s="219"/>
      <c r="F63" s="226"/>
      <c r="G63" s="226"/>
      <c r="H63" s="226"/>
      <c r="I63" s="226"/>
      <c r="J63" s="226"/>
      <c r="K63" s="226"/>
      <c r="L63" s="226"/>
      <c r="M63" s="226"/>
      <c r="N63" s="226"/>
      <c r="O63" s="226"/>
      <c r="P63" s="226"/>
      <c r="Q63" s="219"/>
      <c r="R63" s="219"/>
      <c r="S63" s="219"/>
      <c r="T63" s="224"/>
    </row>
    <row r="64" spans="1:20" s="30" customFormat="1" x14ac:dyDescent="0.2">
      <c r="A64" s="105"/>
      <c r="B64" s="219"/>
      <c r="C64" s="219"/>
      <c r="D64" s="219"/>
      <c r="E64" s="219"/>
      <c r="F64" s="260"/>
      <c r="G64" s="223"/>
      <c r="H64" s="223"/>
      <c r="I64" s="260"/>
      <c r="J64" s="223"/>
      <c r="K64" s="223"/>
      <c r="L64" s="223"/>
      <c r="M64" s="223"/>
      <c r="N64" s="223"/>
      <c r="O64" s="223"/>
      <c r="P64" s="223"/>
      <c r="Q64" s="219"/>
      <c r="R64" s="219"/>
      <c r="S64" s="219"/>
      <c r="T64" s="224"/>
    </row>
    <row r="65" spans="1:20" s="30" customFormat="1" x14ac:dyDescent="0.2">
      <c r="A65" s="105"/>
      <c r="B65" s="219"/>
      <c r="C65" s="219"/>
      <c r="D65" s="219"/>
      <c r="E65" s="219"/>
      <c r="F65" s="260"/>
      <c r="G65" s="223"/>
      <c r="H65" s="223"/>
      <c r="I65" s="260"/>
      <c r="J65" s="223"/>
      <c r="K65" s="223"/>
      <c r="L65" s="223"/>
      <c r="M65" s="223"/>
      <c r="N65" s="223"/>
      <c r="O65" s="223"/>
      <c r="P65" s="223"/>
      <c r="Q65" s="219"/>
      <c r="R65" s="219"/>
      <c r="S65" s="219"/>
      <c r="T65" s="224"/>
    </row>
    <row r="66" spans="1:20" s="30" customFormat="1" x14ac:dyDescent="0.2">
      <c r="A66" s="105"/>
      <c r="B66" s="1527"/>
      <c r="C66" s="1527"/>
      <c r="D66" s="1527"/>
      <c r="E66" s="219"/>
      <c r="F66" s="260"/>
      <c r="G66" s="223"/>
      <c r="H66" s="223"/>
      <c r="I66" s="223"/>
      <c r="J66" s="223"/>
      <c r="K66" s="223"/>
      <c r="L66" s="223"/>
      <c r="M66" s="223"/>
      <c r="N66" s="223"/>
      <c r="O66" s="223"/>
      <c r="P66" s="223"/>
      <c r="Q66" s="219"/>
      <c r="R66" s="219"/>
      <c r="S66" s="219"/>
      <c r="T66" s="224"/>
    </row>
    <row r="67" spans="1:20" s="30" customFormat="1" x14ac:dyDescent="0.2">
      <c r="A67" s="105"/>
      <c r="B67" s="219"/>
      <c r="C67" s="219"/>
      <c r="D67" s="219"/>
      <c r="E67" s="219"/>
      <c r="F67" s="260"/>
      <c r="G67" s="223"/>
      <c r="H67" s="223"/>
      <c r="I67" s="223"/>
      <c r="J67" s="223"/>
      <c r="K67" s="223"/>
      <c r="L67" s="223"/>
      <c r="M67" s="223"/>
      <c r="N67" s="223"/>
      <c r="O67" s="223"/>
      <c r="P67" s="223"/>
      <c r="Q67" s="223"/>
      <c r="R67" s="223"/>
      <c r="S67" s="223"/>
      <c r="T67" s="224"/>
    </row>
    <row r="68" spans="1:20" s="30" customFormat="1" x14ac:dyDescent="0.2">
      <c r="A68" s="105"/>
      <c r="B68" s="219"/>
      <c r="C68" s="219"/>
      <c r="D68" s="219"/>
      <c r="E68" s="219"/>
      <c r="F68" s="219"/>
      <c r="G68" s="219"/>
      <c r="H68" s="219"/>
      <c r="I68" s="219"/>
      <c r="J68" s="219"/>
      <c r="K68" s="219"/>
      <c r="L68" s="219"/>
      <c r="M68" s="219"/>
      <c r="N68" s="219"/>
      <c r="O68" s="219"/>
      <c r="P68" s="219"/>
      <c r="Q68" s="219"/>
      <c r="R68" s="219"/>
      <c r="S68" s="219"/>
      <c r="T68" s="224"/>
    </row>
    <row r="69" spans="1:20" s="30" customFormat="1" x14ac:dyDescent="0.2">
      <c r="A69" s="105"/>
      <c r="B69" s="219"/>
      <c r="C69" s="219"/>
      <c r="D69" s="219"/>
      <c r="E69" s="219"/>
      <c r="F69" s="219"/>
      <c r="G69" s="219"/>
      <c r="H69" s="219"/>
      <c r="I69" s="219"/>
      <c r="J69" s="219"/>
      <c r="K69" s="219"/>
      <c r="L69" s="219"/>
      <c r="M69" s="219"/>
      <c r="N69" s="219"/>
      <c r="O69" s="219"/>
      <c r="P69" s="219"/>
      <c r="Q69" s="219"/>
      <c r="R69" s="219"/>
      <c r="S69" s="219"/>
      <c r="T69" s="224"/>
    </row>
    <row r="70" spans="1:20" s="30" customFormat="1" ht="13.5" thickBot="1" x14ac:dyDescent="0.25">
      <c r="A70" s="261"/>
      <c r="B70" s="262"/>
      <c r="C70" s="262"/>
      <c r="D70" s="262"/>
      <c r="E70" s="262"/>
      <c r="F70" s="262"/>
      <c r="G70" s="262"/>
      <c r="H70" s="262"/>
      <c r="I70" s="262"/>
      <c r="J70" s="262"/>
      <c r="K70" s="262"/>
      <c r="L70" s="262"/>
      <c r="M70" s="262"/>
      <c r="N70" s="262"/>
      <c r="O70" s="262"/>
      <c r="P70" s="262"/>
      <c r="Q70" s="262"/>
      <c r="R70" s="262"/>
      <c r="S70" s="262"/>
      <c r="T70" s="228"/>
    </row>
    <row r="71" spans="1:20" s="30" customFormat="1" x14ac:dyDescent="0.2"/>
    <row r="72" spans="1:20" s="30" customFormat="1" x14ac:dyDescent="0.2"/>
    <row r="73" spans="1:20" s="30" customFormat="1" x14ac:dyDescent="0.2"/>
    <row r="74" spans="1:20" s="30" customFormat="1" x14ac:dyDescent="0.2"/>
    <row r="75" spans="1:20" s="30" customFormat="1" x14ac:dyDescent="0.2"/>
    <row r="76" spans="1:20" s="30" customFormat="1" x14ac:dyDescent="0.2">
      <c r="A76" s="263"/>
    </row>
    <row r="77" spans="1:20" s="30" customFormat="1" x14ac:dyDescent="0.2"/>
    <row r="78" spans="1:20" s="30" customFormat="1" x14ac:dyDescent="0.2"/>
    <row r="79" spans="1:20" s="30" customFormat="1" x14ac:dyDescent="0.2"/>
    <row r="80" spans="1:20" s="30" customFormat="1" x14ac:dyDescent="0.2"/>
    <row r="81" s="30" customFormat="1" x14ac:dyDescent="0.2"/>
    <row r="82" s="30" customFormat="1" x14ac:dyDescent="0.2"/>
    <row r="83" s="30" customFormat="1" x14ac:dyDescent="0.2"/>
    <row r="84" s="30" customFormat="1" x14ac:dyDescent="0.2"/>
    <row r="85" s="30" customFormat="1" x14ac:dyDescent="0.2"/>
    <row r="86" s="30" customFormat="1" x14ac:dyDescent="0.2"/>
    <row r="87" s="30" customFormat="1" x14ac:dyDescent="0.2"/>
    <row r="88" s="30" customFormat="1" x14ac:dyDescent="0.2"/>
    <row r="89" s="30" customFormat="1" x14ac:dyDescent="0.2"/>
    <row r="90" s="30" customFormat="1" x14ac:dyDescent="0.2"/>
    <row r="91" s="30" customFormat="1" x14ac:dyDescent="0.2"/>
    <row r="92" s="30" customFormat="1" x14ac:dyDescent="0.2"/>
    <row r="93" s="30" customFormat="1" x14ac:dyDescent="0.2"/>
    <row r="94" s="30" customFormat="1" x14ac:dyDescent="0.2"/>
    <row r="95" s="30" customFormat="1" x14ac:dyDescent="0.2"/>
    <row r="96" s="30" customFormat="1" x14ac:dyDescent="0.2"/>
    <row r="97" s="30" customFormat="1" x14ac:dyDescent="0.2"/>
    <row r="98" s="30" customFormat="1" x14ac:dyDescent="0.2"/>
    <row r="99" s="30" customFormat="1" x14ac:dyDescent="0.2"/>
    <row r="100" s="30" customFormat="1" x14ac:dyDescent="0.2"/>
    <row r="101" s="30" customFormat="1" x14ac:dyDescent="0.2"/>
    <row r="102" s="30" customFormat="1" x14ac:dyDescent="0.2"/>
    <row r="103" s="30" customFormat="1" x14ac:dyDescent="0.2"/>
    <row r="104" s="30" customFormat="1" x14ac:dyDescent="0.2"/>
    <row r="105" s="30" customFormat="1" x14ac:dyDescent="0.2"/>
    <row r="106" s="30" customFormat="1" x14ac:dyDescent="0.2"/>
    <row r="107" s="30" customFormat="1" x14ac:dyDescent="0.2"/>
    <row r="108" s="30" customFormat="1" x14ac:dyDescent="0.2"/>
    <row r="109" s="30" customFormat="1" x14ac:dyDescent="0.2"/>
    <row r="110" s="30" customFormat="1" x14ac:dyDescent="0.2"/>
    <row r="111" s="30" customFormat="1" x14ac:dyDescent="0.2"/>
    <row r="112" s="30" customFormat="1" x14ac:dyDescent="0.2"/>
    <row r="113" spans="11:12" s="30" customFormat="1" x14ac:dyDescent="0.2"/>
    <row r="114" spans="11:12" s="30" customFormat="1" x14ac:dyDescent="0.2"/>
    <row r="115" spans="11:12" s="30" customFormat="1" x14ac:dyDescent="0.2"/>
    <row r="116" spans="11:12" s="30" customFormat="1" x14ac:dyDescent="0.2"/>
    <row r="117" spans="11:12" s="30" customFormat="1" x14ac:dyDescent="0.2"/>
    <row r="118" spans="11:12" s="30" customFormat="1" x14ac:dyDescent="0.2">
      <c r="K118" s="125"/>
      <c r="L118" s="125"/>
    </row>
    <row r="119" spans="11:12" s="30" customFormat="1" x14ac:dyDescent="0.2">
      <c r="K119" s="125"/>
      <c r="L119" s="125"/>
    </row>
    <row r="120" spans="11:12" s="30" customFormat="1" x14ac:dyDescent="0.2">
      <c r="K120" s="125"/>
      <c r="L120" s="125"/>
    </row>
  </sheetData>
  <sheetProtection pivotTables="0"/>
  <mergeCells count="16">
    <mergeCell ref="C63:D63"/>
    <mergeCell ref="B66:D66"/>
    <mergeCell ref="F59:G59"/>
    <mergeCell ref="H59:I59"/>
    <mergeCell ref="B60:D60"/>
    <mergeCell ref="F60:G60"/>
    <mergeCell ref="H60:I60"/>
    <mergeCell ref="H61:I61"/>
    <mergeCell ref="F61:G61"/>
    <mergeCell ref="C1:D1"/>
    <mergeCell ref="B3:D3"/>
    <mergeCell ref="I53:J53"/>
    <mergeCell ref="C7:E7"/>
    <mergeCell ref="F7:H7"/>
    <mergeCell ref="C19:E19"/>
    <mergeCell ref="F19:H19"/>
  </mergeCells>
  <conditionalFormatting sqref="J9:J14 J18 J20:J23 J25:J50">
    <cfRule type="cellIs" dxfId="270" priority="20" stopIfTrue="1" operator="notEqual">
      <formula>B9</formula>
    </cfRule>
  </conditionalFormatting>
  <conditionalFormatting sqref="E59:E61">
    <cfRule type="cellIs" dxfId="269" priority="21" stopIfTrue="1" operator="lessThan">
      <formula>0</formula>
    </cfRule>
    <cfRule type="cellIs" dxfId="268" priority="22" stopIfTrue="1" operator="equal">
      <formula>"ERREUR"</formula>
    </cfRule>
    <cfRule type="cellIs" dxfId="267" priority="23" stopIfTrue="1" operator="equal">
      <formula>"N.C."</formula>
    </cfRule>
  </conditionalFormatting>
  <conditionalFormatting sqref="J51">
    <cfRule type="cellIs" dxfId="266" priority="24" stopIfTrue="1" operator="greaterThan">
      <formula>0</formula>
    </cfRule>
  </conditionalFormatting>
  <conditionalFormatting sqref="N38 N47">
    <cfRule type="cellIs" dxfId="265" priority="25" stopIfTrue="1" operator="equal">
      <formula>"N.C."</formula>
    </cfRule>
    <cfRule type="cellIs" dxfId="264" priority="26" stopIfTrue="1" operator="greaterThan">
      <formula>0</formula>
    </cfRule>
  </conditionalFormatting>
  <conditionalFormatting sqref="B63">
    <cfRule type="cellIs" dxfId="263" priority="7" operator="equal">
      <formula>0</formula>
    </cfRule>
  </conditionalFormatting>
  <conditionalFormatting sqref="C19 C9:E9 C11:E11 C13:E13 C15:E15 C17:E17 C21:E21 C23:E23 C25:E25 C27:E27 C29:E29 C31:E31 C33:E33 C35:E35 C37:E37 C39:E39 C41:E41 C43:E43 C45:E45 C47:E47 C49:E49">
    <cfRule type="cellIs" dxfId="262" priority="4" operator="equal">
      <formula>0</formula>
    </cfRule>
  </conditionalFormatting>
  <conditionalFormatting sqref="C10:E10 C12:E12 C14:E14 C16:E16 C18:E18 C20:E20 C22:E22 C24:E24 C26:E26 C28:E28 C30:E30 C32:E32 C34:E34 C36:E36 C38:E38 C40:E40 C42:E42 C44:E44 C46:E46 C48:E48 C50:E50">
    <cfRule type="cellIs" dxfId="261" priority="3" operator="equal">
      <formula>0</formula>
    </cfRule>
  </conditionalFormatting>
  <conditionalFormatting sqref="J9:J50">
    <cfRule type="cellIs" dxfId="260" priority="19" stopIfTrue="1" operator="equal">
      <formula>B9</formula>
    </cfRule>
  </conditionalFormatting>
  <conditionalFormatting sqref="F9:H9 F11:H11 F13:H13 F15:H15 F17:H17 F19:H19 F21:H21 F23:H23 F25:H25 F27:H27 F29:H29 F31:H31 F33:H33 F35:H35 F37:H37 F39:H39 F41:H41 F43:H43 F45:H45 F47:H47 F49:H49">
    <cfRule type="cellIs" dxfId="259" priority="2" operator="equal">
      <formula>0</formula>
    </cfRule>
  </conditionalFormatting>
  <conditionalFormatting sqref="F10:H10 F12:H12 F14:H14 F16:H16 F18:H18 F20:H20 F22:H22 F24:H24 F26:H26 F28:H28 F30:H30 F32:H32 F34:H34 F36:H36 F38:H38 F40:H40 F42:H42 F44:H44 F46:H46 F48:H48 F50:H50">
    <cfRule type="cellIs" dxfId="258" priority="1" operator="equal">
      <formula>0</formula>
    </cfRule>
  </conditionalFormatting>
  <hyperlinks>
    <hyperlink ref="C1:D1" location="notice!A1" display="Cliques → ICI ←"/>
    <hyperlink ref="C63:D63" location="'coût alimentation'!A1" display="Cliques → ICI ←"/>
    <hyperlink ref="F59:G59" location="'entrepôts et local phyto'!A1" display="Cliques → ICI ←"/>
    <hyperlink ref="F60:G60" location="silos!A1" display="Cliques → ICI ←"/>
    <hyperlink ref="F61:G61" location="'aires et silos'!A1" display="Cliques → ICI ←"/>
  </hyperlinks>
  <pageMargins left="0.78740157499999996" right="0.78740157499999996" top="0.984251969" bottom="0.984251969" header="0.5" footer="0.5"/>
  <pageSetup paperSize="9" orientation="portrait" r:id="rId1"/>
  <headerFooter alignWithMargins="0"/>
  <ignoredErrors>
    <ignoredError sqref="N40" evalError="1"/>
  </ignoredErrors>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BDD!$Y$76:$Y$100</xm:f>
          </x14:formula1>
          <xm:sqref>B6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2114"/>
  <sheetViews>
    <sheetView zoomScale="85" zoomScaleNormal="85" workbookViewId="0">
      <selection activeCell="F7" sqref="F7:H7"/>
    </sheetView>
  </sheetViews>
  <sheetFormatPr baseColWidth="10" defaultColWidth="9.140625" defaultRowHeight="12.75" x14ac:dyDescent="0.2"/>
  <cols>
    <col min="1" max="1" width="9.140625" style="3"/>
    <col min="2" max="2" width="14.28515625" style="3" customWidth="1"/>
    <col min="3" max="3" width="25.42578125" style="3" customWidth="1"/>
    <col min="4" max="4" width="9.140625" style="3"/>
    <col min="5" max="5" width="38.42578125" style="3" customWidth="1"/>
    <col min="6" max="6" width="38.140625" style="3" customWidth="1"/>
    <col min="7" max="7" width="20.42578125" style="3" customWidth="1"/>
    <col min="8" max="8" width="14" style="3" customWidth="1"/>
    <col min="9" max="9" width="16.85546875" style="3" customWidth="1"/>
    <col min="10" max="10" width="13.28515625" style="3" customWidth="1"/>
    <col min="11" max="11" width="13.5703125" style="3" customWidth="1"/>
    <col min="12" max="12" width="15.85546875" style="3" customWidth="1"/>
    <col min="13" max="13" width="13.5703125" style="3" customWidth="1"/>
    <col min="14" max="14" width="14.85546875" style="3" bestFit="1" customWidth="1"/>
    <col min="15" max="20" width="9.140625" style="3"/>
    <col min="21" max="21" width="12.7109375" style="3" bestFit="1" customWidth="1"/>
    <col min="22" max="22" width="18.85546875" style="3" bestFit="1" customWidth="1"/>
    <col min="23" max="23" width="18.42578125" style="3" bestFit="1" customWidth="1"/>
    <col min="24" max="24" width="18.85546875" style="3" customWidth="1"/>
    <col min="25" max="26" width="16.42578125" style="3" bestFit="1" customWidth="1"/>
    <col min="27" max="37" width="9.140625" style="3"/>
    <col min="38" max="38" width="19.7109375" style="3" customWidth="1"/>
    <col min="39" max="39" width="19.5703125" style="3" customWidth="1"/>
    <col min="40" max="40" width="20.5703125" style="3" customWidth="1"/>
    <col min="41" max="41" width="19.85546875" style="3" customWidth="1"/>
    <col min="42" max="49" width="9.140625" style="3"/>
    <col min="50" max="50" width="15.5703125" style="3" bestFit="1" customWidth="1"/>
    <col min="51" max="51" width="20.5703125" style="3" customWidth="1"/>
    <col min="52" max="52" width="18" style="3" customWidth="1"/>
    <col min="53" max="53" width="23.5703125" style="3" customWidth="1"/>
    <col min="54" max="54" width="19.28515625" style="3" customWidth="1"/>
    <col min="55" max="55" width="15.85546875" style="3" customWidth="1"/>
    <col min="56" max="56" width="16.85546875" style="3" customWidth="1"/>
    <col min="57" max="57" width="16.7109375" style="3" customWidth="1"/>
    <col min="58" max="60" width="9.140625" style="3"/>
    <col min="61" max="61" width="18.5703125" style="3" customWidth="1"/>
    <col min="62" max="257" width="9.140625" style="3"/>
    <col min="258" max="258" width="14.28515625" style="3" customWidth="1"/>
    <col min="259" max="259" width="25.42578125" style="3" customWidth="1"/>
    <col min="260" max="260" width="9.140625" style="3"/>
    <col min="261" max="261" width="14.5703125" style="3" customWidth="1"/>
    <col min="262" max="262" width="16.7109375" style="3" customWidth="1"/>
    <col min="263" max="263" width="20.42578125" style="3" customWidth="1"/>
    <col min="264" max="264" width="9.140625" style="3"/>
    <col min="265" max="265" width="16.85546875" style="3" customWidth="1"/>
    <col min="266" max="266" width="13.28515625" style="3" customWidth="1"/>
    <col min="267" max="269" width="13.5703125" style="3" customWidth="1"/>
    <col min="270" max="270" width="123.85546875" style="3" customWidth="1"/>
    <col min="271" max="276" width="9.140625" style="3"/>
    <col min="277" max="277" width="12.7109375" style="3" bestFit="1" customWidth="1"/>
    <col min="278" max="278" width="18.85546875" style="3" bestFit="1" customWidth="1"/>
    <col min="279" max="279" width="18.42578125" style="3" bestFit="1" customWidth="1"/>
    <col min="280" max="280" width="18.85546875" style="3" customWidth="1"/>
    <col min="281" max="282" width="16.42578125" style="3" bestFit="1" customWidth="1"/>
    <col min="283" max="293" width="9.140625" style="3"/>
    <col min="294" max="294" width="19.7109375" style="3" customWidth="1"/>
    <col min="295" max="295" width="19.5703125" style="3" customWidth="1"/>
    <col min="296" max="296" width="20.5703125" style="3" customWidth="1"/>
    <col min="297" max="297" width="19.85546875" style="3" customWidth="1"/>
    <col min="298" max="305" width="9.140625" style="3"/>
    <col min="306" max="306" width="15.5703125" style="3" bestFit="1" customWidth="1"/>
    <col min="307" max="307" width="20.5703125" style="3" customWidth="1"/>
    <col min="308" max="308" width="18" style="3" customWidth="1"/>
    <col min="309" max="309" width="23.5703125" style="3" customWidth="1"/>
    <col min="310" max="310" width="19.28515625" style="3" customWidth="1"/>
    <col min="311" max="311" width="15.85546875" style="3" customWidth="1"/>
    <col min="312" max="312" width="16.85546875" style="3" customWidth="1"/>
    <col min="313" max="313" width="16.7109375" style="3" customWidth="1"/>
    <col min="314" max="316" width="9.140625" style="3"/>
    <col min="317" max="317" width="18.5703125" style="3" customWidth="1"/>
    <col min="318" max="513" width="9.140625" style="3"/>
    <col min="514" max="514" width="14.28515625" style="3" customWidth="1"/>
    <col min="515" max="515" width="25.42578125" style="3" customWidth="1"/>
    <col min="516" max="516" width="9.140625" style="3"/>
    <col min="517" max="517" width="14.5703125" style="3" customWidth="1"/>
    <col min="518" max="518" width="16.7109375" style="3" customWidth="1"/>
    <col min="519" max="519" width="20.42578125" style="3" customWidth="1"/>
    <col min="520" max="520" width="9.140625" style="3"/>
    <col min="521" max="521" width="16.85546875" style="3" customWidth="1"/>
    <col min="522" max="522" width="13.28515625" style="3" customWidth="1"/>
    <col min="523" max="525" width="13.5703125" style="3" customWidth="1"/>
    <col min="526" max="526" width="123.85546875" style="3" customWidth="1"/>
    <col min="527" max="532" width="9.140625" style="3"/>
    <col min="533" max="533" width="12.7109375" style="3" bestFit="1" customWidth="1"/>
    <col min="534" max="534" width="18.85546875" style="3" bestFit="1" customWidth="1"/>
    <col min="535" max="535" width="18.42578125" style="3" bestFit="1" customWidth="1"/>
    <col min="536" max="536" width="18.85546875" style="3" customWidth="1"/>
    <col min="537" max="538" width="16.42578125" style="3" bestFit="1" customWidth="1"/>
    <col min="539" max="549" width="9.140625" style="3"/>
    <col min="550" max="550" width="19.7109375" style="3" customWidth="1"/>
    <col min="551" max="551" width="19.5703125" style="3" customWidth="1"/>
    <col min="552" max="552" width="20.5703125" style="3" customWidth="1"/>
    <col min="553" max="553" width="19.85546875" style="3" customWidth="1"/>
    <col min="554" max="561" width="9.140625" style="3"/>
    <col min="562" max="562" width="15.5703125" style="3" bestFit="1" customWidth="1"/>
    <col min="563" max="563" width="20.5703125" style="3" customWidth="1"/>
    <col min="564" max="564" width="18" style="3" customWidth="1"/>
    <col min="565" max="565" width="23.5703125" style="3" customWidth="1"/>
    <col min="566" max="566" width="19.28515625" style="3" customWidth="1"/>
    <col min="567" max="567" width="15.85546875" style="3" customWidth="1"/>
    <col min="568" max="568" width="16.85546875" style="3" customWidth="1"/>
    <col min="569" max="569" width="16.7109375" style="3" customWidth="1"/>
    <col min="570" max="572" width="9.140625" style="3"/>
    <col min="573" max="573" width="18.5703125" style="3" customWidth="1"/>
    <col min="574" max="769" width="9.140625" style="3"/>
    <col min="770" max="770" width="14.28515625" style="3" customWidth="1"/>
    <col min="771" max="771" width="25.42578125" style="3" customWidth="1"/>
    <col min="772" max="772" width="9.140625" style="3"/>
    <col min="773" max="773" width="14.5703125" style="3" customWidth="1"/>
    <col min="774" max="774" width="16.7109375" style="3" customWidth="1"/>
    <col min="775" max="775" width="20.42578125" style="3" customWidth="1"/>
    <col min="776" max="776" width="9.140625" style="3"/>
    <col min="777" max="777" width="16.85546875" style="3" customWidth="1"/>
    <col min="778" max="778" width="13.28515625" style="3" customWidth="1"/>
    <col min="779" max="781" width="13.5703125" style="3" customWidth="1"/>
    <col min="782" max="782" width="123.85546875" style="3" customWidth="1"/>
    <col min="783" max="788" width="9.140625" style="3"/>
    <col min="789" max="789" width="12.7109375" style="3" bestFit="1" customWidth="1"/>
    <col min="790" max="790" width="18.85546875" style="3" bestFit="1" customWidth="1"/>
    <col min="791" max="791" width="18.42578125" style="3" bestFit="1" customWidth="1"/>
    <col min="792" max="792" width="18.85546875" style="3" customWidth="1"/>
    <col min="793" max="794" width="16.42578125" style="3" bestFit="1" customWidth="1"/>
    <col min="795" max="805" width="9.140625" style="3"/>
    <col min="806" max="806" width="19.7109375" style="3" customWidth="1"/>
    <col min="807" max="807" width="19.5703125" style="3" customWidth="1"/>
    <col min="808" max="808" width="20.5703125" style="3" customWidth="1"/>
    <col min="809" max="809" width="19.85546875" style="3" customWidth="1"/>
    <col min="810" max="817" width="9.140625" style="3"/>
    <col min="818" max="818" width="15.5703125" style="3" bestFit="1" customWidth="1"/>
    <col min="819" max="819" width="20.5703125" style="3" customWidth="1"/>
    <col min="820" max="820" width="18" style="3" customWidth="1"/>
    <col min="821" max="821" width="23.5703125" style="3" customWidth="1"/>
    <col min="822" max="822" width="19.28515625" style="3" customWidth="1"/>
    <col min="823" max="823" width="15.85546875" style="3" customWidth="1"/>
    <col min="824" max="824" width="16.85546875" style="3" customWidth="1"/>
    <col min="825" max="825" width="16.7109375" style="3" customWidth="1"/>
    <col min="826" max="828" width="9.140625" style="3"/>
    <col min="829" max="829" width="18.5703125" style="3" customWidth="1"/>
    <col min="830" max="1025" width="9.140625" style="3"/>
    <col min="1026" max="1026" width="14.28515625" style="3" customWidth="1"/>
    <col min="1027" max="1027" width="25.42578125" style="3" customWidth="1"/>
    <col min="1028" max="1028" width="9.140625" style="3"/>
    <col min="1029" max="1029" width="14.5703125" style="3" customWidth="1"/>
    <col min="1030" max="1030" width="16.7109375" style="3" customWidth="1"/>
    <col min="1031" max="1031" width="20.42578125" style="3" customWidth="1"/>
    <col min="1032" max="1032" width="9.140625" style="3"/>
    <col min="1033" max="1033" width="16.85546875" style="3" customWidth="1"/>
    <col min="1034" max="1034" width="13.28515625" style="3" customWidth="1"/>
    <col min="1035" max="1037" width="13.5703125" style="3" customWidth="1"/>
    <col min="1038" max="1038" width="123.85546875" style="3" customWidth="1"/>
    <col min="1039" max="1044" width="9.140625" style="3"/>
    <col min="1045" max="1045" width="12.7109375" style="3" bestFit="1" customWidth="1"/>
    <col min="1046" max="1046" width="18.85546875" style="3" bestFit="1" customWidth="1"/>
    <col min="1047" max="1047" width="18.42578125" style="3" bestFit="1" customWidth="1"/>
    <col min="1048" max="1048" width="18.85546875" style="3" customWidth="1"/>
    <col min="1049" max="1050" width="16.42578125" style="3" bestFit="1" customWidth="1"/>
    <col min="1051" max="1061" width="9.140625" style="3"/>
    <col min="1062" max="1062" width="19.7109375" style="3" customWidth="1"/>
    <col min="1063" max="1063" width="19.5703125" style="3" customWidth="1"/>
    <col min="1064" max="1064" width="20.5703125" style="3" customWidth="1"/>
    <col min="1065" max="1065" width="19.85546875" style="3" customWidth="1"/>
    <col min="1066" max="1073" width="9.140625" style="3"/>
    <col min="1074" max="1074" width="15.5703125" style="3" bestFit="1" customWidth="1"/>
    <col min="1075" max="1075" width="20.5703125" style="3" customWidth="1"/>
    <col min="1076" max="1076" width="18" style="3" customWidth="1"/>
    <col min="1077" max="1077" width="23.5703125" style="3" customWidth="1"/>
    <col min="1078" max="1078" width="19.28515625" style="3" customWidth="1"/>
    <col min="1079" max="1079" width="15.85546875" style="3" customWidth="1"/>
    <col min="1080" max="1080" width="16.85546875" style="3" customWidth="1"/>
    <col min="1081" max="1081" width="16.7109375" style="3" customWidth="1"/>
    <col min="1082" max="1084" width="9.140625" style="3"/>
    <col min="1085" max="1085" width="18.5703125" style="3" customWidth="1"/>
    <col min="1086" max="1281" width="9.140625" style="3"/>
    <col min="1282" max="1282" width="14.28515625" style="3" customWidth="1"/>
    <col min="1283" max="1283" width="25.42578125" style="3" customWidth="1"/>
    <col min="1284" max="1284" width="9.140625" style="3"/>
    <col min="1285" max="1285" width="14.5703125" style="3" customWidth="1"/>
    <col min="1286" max="1286" width="16.7109375" style="3" customWidth="1"/>
    <col min="1287" max="1287" width="20.42578125" style="3" customWidth="1"/>
    <col min="1288" max="1288" width="9.140625" style="3"/>
    <col min="1289" max="1289" width="16.85546875" style="3" customWidth="1"/>
    <col min="1290" max="1290" width="13.28515625" style="3" customWidth="1"/>
    <col min="1291" max="1293" width="13.5703125" style="3" customWidth="1"/>
    <col min="1294" max="1294" width="123.85546875" style="3" customWidth="1"/>
    <col min="1295" max="1300" width="9.140625" style="3"/>
    <col min="1301" max="1301" width="12.7109375" style="3" bestFit="1" customWidth="1"/>
    <col min="1302" max="1302" width="18.85546875" style="3" bestFit="1" customWidth="1"/>
    <col min="1303" max="1303" width="18.42578125" style="3" bestFit="1" customWidth="1"/>
    <col min="1304" max="1304" width="18.85546875" style="3" customWidth="1"/>
    <col min="1305" max="1306" width="16.42578125" style="3" bestFit="1" customWidth="1"/>
    <col min="1307" max="1317" width="9.140625" style="3"/>
    <col min="1318" max="1318" width="19.7109375" style="3" customWidth="1"/>
    <col min="1319" max="1319" width="19.5703125" style="3" customWidth="1"/>
    <col min="1320" max="1320" width="20.5703125" style="3" customWidth="1"/>
    <col min="1321" max="1321" width="19.85546875" style="3" customWidth="1"/>
    <col min="1322" max="1329" width="9.140625" style="3"/>
    <col min="1330" max="1330" width="15.5703125" style="3" bestFit="1" customWidth="1"/>
    <col min="1331" max="1331" width="20.5703125" style="3" customWidth="1"/>
    <col min="1332" max="1332" width="18" style="3" customWidth="1"/>
    <col min="1333" max="1333" width="23.5703125" style="3" customWidth="1"/>
    <col min="1334" max="1334" width="19.28515625" style="3" customWidth="1"/>
    <col min="1335" max="1335" width="15.85546875" style="3" customWidth="1"/>
    <col min="1336" max="1336" width="16.85546875" style="3" customWidth="1"/>
    <col min="1337" max="1337" width="16.7109375" style="3" customWidth="1"/>
    <col min="1338" max="1340" width="9.140625" style="3"/>
    <col min="1341" max="1341" width="18.5703125" style="3" customWidth="1"/>
    <col min="1342" max="1537" width="9.140625" style="3"/>
    <col min="1538" max="1538" width="14.28515625" style="3" customWidth="1"/>
    <col min="1539" max="1539" width="25.42578125" style="3" customWidth="1"/>
    <col min="1540" max="1540" width="9.140625" style="3"/>
    <col min="1541" max="1541" width="14.5703125" style="3" customWidth="1"/>
    <col min="1542" max="1542" width="16.7109375" style="3" customWidth="1"/>
    <col min="1543" max="1543" width="20.42578125" style="3" customWidth="1"/>
    <col min="1544" max="1544" width="9.140625" style="3"/>
    <col min="1545" max="1545" width="16.85546875" style="3" customWidth="1"/>
    <col min="1546" max="1546" width="13.28515625" style="3" customWidth="1"/>
    <col min="1547" max="1549" width="13.5703125" style="3" customWidth="1"/>
    <col min="1550" max="1550" width="123.85546875" style="3" customWidth="1"/>
    <col min="1551" max="1556" width="9.140625" style="3"/>
    <col min="1557" max="1557" width="12.7109375" style="3" bestFit="1" customWidth="1"/>
    <col min="1558" max="1558" width="18.85546875" style="3" bestFit="1" customWidth="1"/>
    <col min="1559" max="1559" width="18.42578125" style="3" bestFit="1" customWidth="1"/>
    <col min="1560" max="1560" width="18.85546875" style="3" customWidth="1"/>
    <col min="1561" max="1562" width="16.42578125" style="3" bestFit="1" customWidth="1"/>
    <col min="1563" max="1573" width="9.140625" style="3"/>
    <col min="1574" max="1574" width="19.7109375" style="3" customWidth="1"/>
    <col min="1575" max="1575" width="19.5703125" style="3" customWidth="1"/>
    <col min="1576" max="1576" width="20.5703125" style="3" customWidth="1"/>
    <col min="1577" max="1577" width="19.85546875" style="3" customWidth="1"/>
    <col min="1578" max="1585" width="9.140625" style="3"/>
    <col min="1586" max="1586" width="15.5703125" style="3" bestFit="1" customWidth="1"/>
    <col min="1587" max="1587" width="20.5703125" style="3" customWidth="1"/>
    <col min="1588" max="1588" width="18" style="3" customWidth="1"/>
    <col min="1589" max="1589" width="23.5703125" style="3" customWidth="1"/>
    <col min="1590" max="1590" width="19.28515625" style="3" customWidth="1"/>
    <col min="1591" max="1591" width="15.85546875" style="3" customWidth="1"/>
    <col min="1592" max="1592" width="16.85546875" style="3" customWidth="1"/>
    <col min="1593" max="1593" width="16.7109375" style="3" customWidth="1"/>
    <col min="1594" max="1596" width="9.140625" style="3"/>
    <col min="1597" max="1597" width="18.5703125" style="3" customWidth="1"/>
    <col min="1598" max="1793" width="9.140625" style="3"/>
    <col min="1794" max="1794" width="14.28515625" style="3" customWidth="1"/>
    <col min="1795" max="1795" width="25.42578125" style="3" customWidth="1"/>
    <col min="1796" max="1796" width="9.140625" style="3"/>
    <col min="1797" max="1797" width="14.5703125" style="3" customWidth="1"/>
    <col min="1798" max="1798" width="16.7109375" style="3" customWidth="1"/>
    <col min="1799" max="1799" width="20.42578125" style="3" customWidth="1"/>
    <col min="1800" max="1800" width="9.140625" style="3"/>
    <col min="1801" max="1801" width="16.85546875" style="3" customWidth="1"/>
    <col min="1802" max="1802" width="13.28515625" style="3" customWidth="1"/>
    <col min="1803" max="1805" width="13.5703125" style="3" customWidth="1"/>
    <col min="1806" max="1806" width="123.85546875" style="3" customWidth="1"/>
    <col min="1807" max="1812" width="9.140625" style="3"/>
    <col min="1813" max="1813" width="12.7109375" style="3" bestFit="1" customWidth="1"/>
    <col min="1814" max="1814" width="18.85546875" style="3" bestFit="1" customWidth="1"/>
    <col min="1815" max="1815" width="18.42578125" style="3" bestFit="1" customWidth="1"/>
    <col min="1816" max="1816" width="18.85546875" style="3" customWidth="1"/>
    <col min="1817" max="1818" width="16.42578125" style="3" bestFit="1" customWidth="1"/>
    <col min="1819" max="1829" width="9.140625" style="3"/>
    <col min="1830" max="1830" width="19.7109375" style="3" customWidth="1"/>
    <col min="1831" max="1831" width="19.5703125" style="3" customWidth="1"/>
    <col min="1832" max="1832" width="20.5703125" style="3" customWidth="1"/>
    <col min="1833" max="1833" width="19.85546875" style="3" customWidth="1"/>
    <col min="1834" max="1841" width="9.140625" style="3"/>
    <col min="1842" max="1842" width="15.5703125" style="3" bestFit="1" customWidth="1"/>
    <col min="1843" max="1843" width="20.5703125" style="3" customWidth="1"/>
    <col min="1844" max="1844" width="18" style="3" customWidth="1"/>
    <col min="1845" max="1845" width="23.5703125" style="3" customWidth="1"/>
    <col min="1846" max="1846" width="19.28515625" style="3" customWidth="1"/>
    <col min="1847" max="1847" width="15.85546875" style="3" customWidth="1"/>
    <col min="1848" max="1848" width="16.85546875" style="3" customWidth="1"/>
    <col min="1849" max="1849" width="16.7109375" style="3" customWidth="1"/>
    <col min="1850" max="1852" width="9.140625" style="3"/>
    <col min="1853" max="1853" width="18.5703125" style="3" customWidth="1"/>
    <col min="1854" max="2049" width="9.140625" style="3"/>
    <col min="2050" max="2050" width="14.28515625" style="3" customWidth="1"/>
    <col min="2051" max="2051" width="25.42578125" style="3" customWidth="1"/>
    <col min="2052" max="2052" width="9.140625" style="3"/>
    <col min="2053" max="2053" width="14.5703125" style="3" customWidth="1"/>
    <col min="2054" max="2054" width="16.7109375" style="3" customWidth="1"/>
    <col min="2055" max="2055" width="20.42578125" style="3" customWidth="1"/>
    <col min="2056" max="2056" width="9.140625" style="3"/>
    <col min="2057" max="2057" width="16.85546875" style="3" customWidth="1"/>
    <col min="2058" max="2058" width="13.28515625" style="3" customWidth="1"/>
    <col min="2059" max="2061" width="13.5703125" style="3" customWidth="1"/>
    <col min="2062" max="2062" width="123.85546875" style="3" customWidth="1"/>
    <col min="2063" max="2068" width="9.140625" style="3"/>
    <col min="2069" max="2069" width="12.7109375" style="3" bestFit="1" customWidth="1"/>
    <col min="2070" max="2070" width="18.85546875" style="3" bestFit="1" customWidth="1"/>
    <col min="2071" max="2071" width="18.42578125" style="3" bestFit="1" customWidth="1"/>
    <col min="2072" max="2072" width="18.85546875" style="3" customWidth="1"/>
    <col min="2073" max="2074" width="16.42578125" style="3" bestFit="1" customWidth="1"/>
    <col min="2075" max="2085" width="9.140625" style="3"/>
    <col min="2086" max="2086" width="19.7109375" style="3" customWidth="1"/>
    <col min="2087" max="2087" width="19.5703125" style="3" customWidth="1"/>
    <col min="2088" max="2088" width="20.5703125" style="3" customWidth="1"/>
    <col min="2089" max="2089" width="19.85546875" style="3" customWidth="1"/>
    <col min="2090" max="2097" width="9.140625" style="3"/>
    <col min="2098" max="2098" width="15.5703125" style="3" bestFit="1" customWidth="1"/>
    <col min="2099" max="2099" width="20.5703125" style="3" customWidth="1"/>
    <col min="2100" max="2100" width="18" style="3" customWidth="1"/>
    <col min="2101" max="2101" width="23.5703125" style="3" customWidth="1"/>
    <col min="2102" max="2102" width="19.28515625" style="3" customWidth="1"/>
    <col min="2103" max="2103" width="15.85546875" style="3" customWidth="1"/>
    <col min="2104" max="2104" width="16.85546875" style="3" customWidth="1"/>
    <col min="2105" max="2105" width="16.7109375" style="3" customWidth="1"/>
    <col min="2106" max="2108" width="9.140625" style="3"/>
    <col min="2109" max="2109" width="18.5703125" style="3" customWidth="1"/>
    <col min="2110" max="2305" width="9.140625" style="3"/>
    <col min="2306" max="2306" width="14.28515625" style="3" customWidth="1"/>
    <col min="2307" max="2307" width="25.42578125" style="3" customWidth="1"/>
    <col min="2308" max="2308" width="9.140625" style="3"/>
    <col min="2309" max="2309" width="14.5703125" style="3" customWidth="1"/>
    <col min="2310" max="2310" width="16.7109375" style="3" customWidth="1"/>
    <col min="2311" max="2311" width="20.42578125" style="3" customWidth="1"/>
    <col min="2312" max="2312" width="9.140625" style="3"/>
    <col min="2313" max="2313" width="16.85546875" style="3" customWidth="1"/>
    <col min="2314" max="2314" width="13.28515625" style="3" customWidth="1"/>
    <col min="2315" max="2317" width="13.5703125" style="3" customWidth="1"/>
    <col min="2318" max="2318" width="123.85546875" style="3" customWidth="1"/>
    <col min="2319" max="2324" width="9.140625" style="3"/>
    <col min="2325" max="2325" width="12.7109375" style="3" bestFit="1" customWidth="1"/>
    <col min="2326" max="2326" width="18.85546875" style="3" bestFit="1" customWidth="1"/>
    <col min="2327" max="2327" width="18.42578125" style="3" bestFit="1" customWidth="1"/>
    <col min="2328" max="2328" width="18.85546875" style="3" customWidth="1"/>
    <col min="2329" max="2330" width="16.42578125" style="3" bestFit="1" customWidth="1"/>
    <col min="2331" max="2341" width="9.140625" style="3"/>
    <col min="2342" max="2342" width="19.7109375" style="3" customWidth="1"/>
    <col min="2343" max="2343" width="19.5703125" style="3" customWidth="1"/>
    <col min="2344" max="2344" width="20.5703125" style="3" customWidth="1"/>
    <col min="2345" max="2345" width="19.85546875" style="3" customWidth="1"/>
    <col min="2346" max="2353" width="9.140625" style="3"/>
    <col min="2354" max="2354" width="15.5703125" style="3" bestFit="1" customWidth="1"/>
    <col min="2355" max="2355" width="20.5703125" style="3" customWidth="1"/>
    <col min="2356" max="2356" width="18" style="3" customWidth="1"/>
    <col min="2357" max="2357" width="23.5703125" style="3" customWidth="1"/>
    <col min="2358" max="2358" width="19.28515625" style="3" customWidth="1"/>
    <col min="2359" max="2359" width="15.85546875" style="3" customWidth="1"/>
    <col min="2360" max="2360" width="16.85546875" style="3" customWidth="1"/>
    <col min="2361" max="2361" width="16.7109375" style="3" customWidth="1"/>
    <col min="2362" max="2364" width="9.140625" style="3"/>
    <col min="2365" max="2365" width="18.5703125" style="3" customWidth="1"/>
    <col min="2366" max="2561" width="9.140625" style="3"/>
    <col min="2562" max="2562" width="14.28515625" style="3" customWidth="1"/>
    <col min="2563" max="2563" width="25.42578125" style="3" customWidth="1"/>
    <col min="2564" max="2564" width="9.140625" style="3"/>
    <col min="2565" max="2565" width="14.5703125" style="3" customWidth="1"/>
    <col min="2566" max="2566" width="16.7109375" style="3" customWidth="1"/>
    <col min="2567" max="2567" width="20.42578125" style="3" customWidth="1"/>
    <col min="2568" max="2568" width="9.140625" style="3"/>
    <col min="2569" max="2569" width="16.85546875" style="3" customWidth="1"/>
    <col min="2570" max="2570" width="13.28515625" style="3" customWidth="1"/>
    <col min="2571" max="2573" width="13.5703125" style="3" customWidth="1"/>
    <col min="2574" max="2574" width="123.85546875" style="3" customWidth="1"/>
    <col min="2575" max="2580" width="9.140625" style="3"/>
    <col min="2581" max="2581" width="12.7109375" style="3" bestFit="1" customWidth="1"/>
    <col min="2582" max="2582" width="18.85546875" style="3" bestFit="1" customWidth="1"/>
    <col min="2583" max="2583" width="18.42578125" style="3" bestFit="1" customWidth="1"/>
    <col min="2584" max="2584" width="18.85546875" style="3" customWidth="1"/>
    <col min="2585" max="2586" width="16.42578125" style="3" bestFit="1" customWidth="1"/>
    <col min="2587" max="2597" width="9.140625" style="3"/>
    <col min="2598" max="2598" width="19.7109375" style="3" customWidth="1"/>
    <col min="2599" max="2599" width="19.5703125" style="3" customWidth="1"/>
    <col min="2600" max="2600" width="20.5703125" style="3" customWidth="1"/>
    <col min="2601" max="2601" width="19.85546875" style="3" customWidth="1"/>
    <col min="2602" max="2609" width="9.140625" style="3"/>
    <col min="2610" max="2610" width="15.5703125" style="3" bestFit="1" customWidth="1"/>
    <col min="2611" max="2611" width="20.5703125" style="3" customWidth="1"/>
    <col min="2612" max="2612" width="18" style="3" customWidth="1"/>
    <col min="2613" max="2613" width="23.5703125" style="3" customWidth="1"/>
    <col min="2614" max="2614" width="19.28515625" style="3" customWidth="1"/>
    <col min="2615" max="2615" width="15.85546875" style="3" customWidth="1"/>
    <col min="2616" max="2616" width="16.85546875" style="3" customWidth="1"/>
    <col min="2617" max="2617" width="16.7109375" style="3" customWidth="1"/>
    <col min="2618" max="2620" width="9.140625" style="3"/>
    <col min="2621" max="2621" width="18.5703125" style="3" customWidth="1"/>
    <col min="2622" max="2817" width="9.140625" style="3"/>
    <col min="2818" max="2818" width="14.28515625" style="3" customWidth="1"/>
    <col min="2819" max="2819" width="25.42578125" style="3" customWidth="1"/>
    <col min="2820" max="2820" width="9.140625" style="3"/>
    <col min="2821" max="2821" width="14.5703125" style="3" customWidth="1"/>
    <col min="2822" max="2822" width="16.7109375" style="3" customWidth="1"/>
    <col min="2823" max="2823" width="20.42578125" style="3" customWidth="1"/>
    <col min="2824" max="2824" width="9.140625" style="3"/>
    <col min="2825" max="2825" width="16.85546875" style="3" customWidth="1"/>
    <col min="2826" max="2826" width="13.28515625" style="3" customWidth="1"/>
    <col min="2827" max="2829" width="13.5703125" style="3" customWidth="1"/>
    <col min="2830" max="2830" width="123.85546875" style="3" customWidth="1"/>
    <col min="2831" max="2836" width="9.140625" style="3"/>
    <col min="2837" max="2837" width="12.7109375" style="3" bestFit="1" customWidth="1"/>
    <col min="2838" max="2838" width="18.85546875" style="3" bestFit="1" customWidth="1"/>
    <col min="2839" max="2839" width="18.42578125" style="3" bestFit="1" customWidth="1"/>
    <col min="2840" max="2840" width="18.85546875" style="3" customWidth="1"/>
    <col min="2841" max="2842" width="16.42578125" style="3" bestFit="1" customWidth="1"/>
    <col min="2843" max="2853" width="9.140625" style="3"/>
    <col min="2854" max="2854" width="19.7109375" style="3" customWidth="1"/>
    <col min="2855" max="2855" width="19.5703125" style="3" customWidth="1"/>
    <col min="2856" max="2856" width="20.5703125" style="3" customWidth="1"/>
    <col min="2857" max="2857" width="19.85546875" style="3" customWidth="1"/>
    <col min="2858" max="2865" width="9.140625" style="3"/>
    <col min="2866" max="2866" width="15.5703125" style="3" bestFit="1" customWidth="1"/>
    <col min="2867" max="2867" width="20.5703125" style="3" customWidth="1"/>
    <col min="2868" max="2868" width="18" style="3" customWidth="1"/>
    <col min="2869" max="2869" width="23.5703125" style="3" customWidth="1"/>
    <col min="2870" max="2870" width="19.28515625" style="3" customWidth="1"/>
    <col min="2871" max="2871" width="15.85546875" style="3" customWidth="1"/>
    <col min="2872" max="2872" width="16.85546875" style="3" customWidth="1"/>
    <col min="2873" max="2873" width="16.7109375" style="3" customWidth="1"/>
    <col min="2874" max="2876" width="9.140625" style="3"/>
    <col min="2877" max="2877" width="18.5703125" style="3" customWidth="1"/>
    <col min="2878" max="3073" width="9.140625" style="3"/>
    <col min="3074" max="3074" width="14.28515625" style="3" customWidth="1"/>
    <col min="3075" max="3075" width="25.42578125" style="3" customWidth="1"/>
    <col min="3076" max="3076" width="9.140625" style="3"/>
    <col min="3077" max="3077" width="14.5703125" style="3" customWidth="1"/>
    <col min="3078" max="3078" width="16.7109375" style="3" customWidth="1"/>
    <col min="3079" max="3079" width="20.42578125" style="3" customWidth="1"/>
    <col min="3080" max="3080" width="9.140625" style="3"/>
    <col min="3081" max="3081" width="16.85546875" style="3" customWidth="1"/>
    <col min="3082" max="3082" width="13.28515625" style="3" customWidth="1"/>
    <col min="3083" max="3085" width="13.5703125" style="3" customWidth="1"/>
    <col min="3086" max="3086" width="123.85546875" style="3" customWidth="1"/>
    <col min="3087" max="3092" width="9.140625" style="3"/>
    <col min="3093" max="3093" width="12.7109375" style="3" bestFit="1" customWidth="1"/>
    <col min="3094" max="3094" width="18.85546875" style="3" bestFit="1" customWidth="1"/>
    <col min="3095" max="3095" width="18.42578125" style="3" bestFit="1" customWidth="1"/>
    <col min="3096" max="3096" width="18.85546875" style="3" customWidth="1"/>
    <col min="3097" max="3098" width="16.42578125" style="3" bestFit="1" customWidth="1"/>
    <col min="3099" max="3109" width="9.140625" style="3"/>
    <col min="3110" max="3110" width="19.7109375" style="3" customWidth="1"/>
    <col min="3111" max="3111" width="19.5703125" style="3" customWidth="1"/>
    <col min="3112" max="3112" width="20.5703125" style="3" customWidth="1"/>
    <col min="3113" max="3113" width="19.85546875" style="3" customWidth="1"/>
    <col min="3114" max="3121" width="9.140625" style="3"/>
    <col min="3122" max="3122" width="15.5703125" style="3" bestFit="1" customWidth="1"/>
    <col min="3123" max="3123" width="20.5703125" style="3" customWidth="1"/>
    <col min="3124" max="3124" width="18" style="3" customWidth="1"/>
    <col min="3125" max="3125" width="23.5703125" style="3" customWidth="1"/>
    <col min="3126" max="3126" width="19.28515625" style="3" customWidth="1"/>
    <col min="3127" max="3127" width="15.85546875" style="3" customWidth="1"/>
    <col min="3128" max="3128" width="16.85546875" style="3" customWidth="1"/>
    <col min="3129" max="3129" width="16.7109375" style="3" customWidth="1"/>
    <col min="3130" max="3132" width="9.140625" style="3"/>
    <col min="3133" max="3133" width="18.5703125" style="3" customWidth="1"/>
    <col min="3134" max="3329" width="9.140625" style="3"/>
    <col min="3330" max="3330" width="14.28515625" style="3" customWidth="1"/>
    <col min="3331" max="3331" width="25.42578125" style="3" customWidth="1"/>
    <col min="3332" max="3332" width="9.140625" style="3"/>
    <col min="3333" max="3333" width="14.5703125" style="3" customWidth="1"/>
    <col min="3334" max="3334" width="16.7109375" style="3" customWidth="1"/>
    <col min="3335" max="3335" width="20.42578125" style="3" customWidth="1"/>
    <col min="3336" max="3336" width="9.140625" style="3"/>
    <col min="3337" max="3337" width="16.85546875" style="3" customWidth="1"/>
    <col min="3338" max="3338" width="13.28515625" style="3" customWidth="1"/>
    <col min="3339" max="3341" width="13.5703125" style="3" customWidth="1"/>
    <col min="3342" max="3342" width="123.85546875" style="3" customWidth="1"/>
    <col min="3343" max="3348" width="9.140625" style="3"/>
    <col min="3349" max="3349" width="12.7109375" style="3" bestFit="1" customWidth="1"/>
    <col min="3350" max="3350" width="18.85546875" style="3" bestFit="1" customWidth="1"/>
    <col min="3351" max="3351" width="18.42578125" style="3" bestFit="1" customWidth="1"/>
    <col min="3352" max="3352" width="18.85546875" style="3" customWidth="1"/>
    <col min="3353" max="3354" width="16.42578125" style="3" bestFit="1" customWidth="1"/>
    <col min="3355" max="3365" width="9.140625" style="3"/>
    <col min="3366" max="3366" width="19.7109375" style="3" customWidth="1"/>
    <col min="3367" max="3367" width="19.5703125" style="3" customWidth="1"/>
    <col min="3368" max="3368" width="20.5703125" style="3" customWidth="1"/>
    <col min="3369" max="3369" width="19.85546875" style="3" customWidth="1"/>
    <col min="3370" max="3377" width="9.140625" style="3"/>
    <col min="3378" max="3378" width="15.5703125" style="3" bestFit="1" customWidth="1"/>
    <col min="3379" max="3379" width="20.5703125" style="3" customWidth="1"/>
    <col min="3380" max="3380" width="18" style="3" customWidth="1"/>
    <col min="3381" max="3381" width="23.5703125" style="3" customWidth="1"/>
    <col min="3382" max="3382" width="19.28515625" style="3" customWidth="1"/>
    <col min="3383" max="3383" width="15.85546875" style="3" customWidth="1"/>
    <col min="3384" max="3384" width="16.85546875" style="3" customWidth="1"/>
    <col min="3385" max="3385" width="16.7109375" style="3" customWidth="1"/>
    <col min="3386" max="3388" width="9.140625" style="3"/>
    <col min="3389" max="3389" width="18.5703125" style="3" customWidth="1"/>
    <col min="3390" max="3585" width="9.140625" style="3"/>
    <col min="3586" max="3586" width="14.28515625" style="3" customWidth="1"/>
    <col min="3587" max="3587" width="25.42578125" style="3" customWidth="1"/>
    <col min="3588" max="3588" width="9.140625" style="3"/>
    <col min="3589" max="3589" width="14.5703125" style="3" customWidth="1"/>
    <col min="3590" max="3590" width="16.7109375" style="3" customWidth="1"/>
    <col min="3591" max="3591" width="20.42578125" style="3" customWidth="1"/>
    <col min="3592" max="3592" width="9.140625" style="3"/>
    <col min="3593" max="3593" width="16.85546875" style="3" customWidth="1"/>
    <col min="3594" max="3594" width="13.28515625" style="3" customWidth="1"/>
    <col min="3595" max="3597" width="13.5703125" style="3" customWidth="1"/>
    <col min="3598" max="3598" width="123.85546875" style="3" customWidth="1"/>
    <col min="3599" max="3604" width="9.140625" style="3"/>
    <col min="3605" max="3605" width="12.7109375" style="3" bestFit="1" customWidth="1"/>
    <col min="3606" max="3606" width="18.85546875" style="3" bestFit="1" customWidth="1"/>
    <col min="3607" max="3607" width="18.42578125" style="3" bestFit="1" customWidth="1"/>
    <col min="3608" max="3608" width="18.85546875" style="3" customWidth="1"/>
    <col min="3609" max="3610" width="16.42578125" style="3" bestFit="1" customWidth="1"/>
    <col min="3611" max="3621" width="9.140625" style="3"/>
    <col min="3622" max="3622" width="19.7109375" style="3" customWidth="1"/>
    <col min="3623" max="3623" width="19.5703125" style="3" customWidth="1"/>
    <col min="3624" max="3624" width="20.5703125" style="3" customWidth="1"/>
    <col min="3625" max="3625" width="19.85546875" style="3" customWidth="1"/>
    <col min="3626" max="3633" width="9.140625" style="3"/>
    <col min="3634" max="3634" width="15.5703125" style="3" bestFit="1" customWidth="1"/>
    <col min="3635" max="3635" width="20.5703125" style="3" customWidth="1"/>
    <col min="3636" max="3636" width="18" style="3" customWidth="1"/>
    <col min="3637" max="3637" width="23.5703125" style="3" customWidth="1"/>
    <col min="3638" max="3638" width="19.28515625" style="3" customWidth="1"/>
    <col min="3639" max="3639" width="15.85546875" style="3" customWidth="1"/>
    <col min="3640" max="3640" width="16.85546875" style="3" customWidth="1"/>
    <col min="3641" max="3641" width="16.7109375" style="3" customWidth="1"/>
    <col min="3642" max="3644" width="9.140625" style="3"/>
    <col min="3645" max="3645" width="18.5703125" style="3" customWidth="1"/>
    <col min="3646" max="3841" width="9.140625" style="3"/>
    <col min="3842" max="3842" width="14.28515625" style="3" customWidth="1"/>
    <col min="3843" max="3843" width="25.42578125" style="3" customWidth="1"/>
    <col min="3844" max="3844" width="9.140625" style="3"/>
    <col min="3845" max="3845" width="14.5703125" style="3" customWidth="1"/>
    <col min="3846" max="3846" width="16.7109375" style="3" customWidth="1"/>
    <col min="3847" max="3847" width="20.42578125" style="3" customWidth="1"/>
    <col min="3848" max="3848" width="9.140625" style="3"/>
    <col min="3849" max="3849" width="16.85546875" style="3" customWidth="1"/>
    <col min="3850" max="3850" width="13.28515625" style="3" customWidth="1"/>
    <col min="3851" max="3853" width="13.5703125" style="3" customWidth="1"/>
    <col min="3854" max="3854" width="123.85546875" style="3" customWidth="1"/>
    <col min="3855" max="3860" width="9.140625" style="3"/>
    <col min="3861" max="3861" width="12.7109375" style="3" bestFit="1" customWidth="1"/>
    <col min="3862" max="3862" width="18.85546875" style="3" bestFit="1" customWidth="1"/>
    <col min="3863" max="3863" width="18.42578125" style="3" bestFit="1" customWidth="1"/>
    <col min="3864" max="3864" width="18.85546875" style="3" customWidth="1"/>
    <col min="3865" max="3866" width="16.42578125" style="3" bestFit="1" customWidth="1"/>
    <col min="3867" max="3877" width="9.140625" style="3"/>
    <col min="3878" max="3878" width="19.7109375" style="3" customWidth="1"/>
    <col min="3879" max="3879" width="19.5703125" style="3" customWidth="1"/>
    <col min="3880" max="3880" width="20.5703125" style="3" customWidth="1"/>
    <col min="3881" max="3881" width="19.85546875" style="3" customWidth="1"/>
    <col min="3882" max="3889" width="9.140625" style="3"/>
    <col min="3890" max="3890" width="15.5703125" style="3" bestFit="1" customWidth="1"/>
    <col min="3891" max="3891" width="20.5703125" style="3" customWidth="1"/>
    <col min="3892" max="3892" width="18" style="3" customWidth="1"/>
    <col min="3893" max="3893" width="23.5703125" style="3" customWidth="1"/>
    <col min="3894" max="3894" width="19.28515625" style="3" customWidth="1"/>
    <col min="3895" max="3895" width="15.85546875" style="3" customWidth="1"/>
    <col min="3896" max="3896" width="16.85546875" style="3" customWidth="1"/>
    <col min="3897" max="3897" width="16.7109375" style="3" customWidth="1"/>
    <col min="3898" max="3900" width="9.140625" style="3"/>
    <col min="3901" max="3901" width="18.5703125" style="3" customWidth="1"/>
    <col min="3902" max="4097" width="9.140625" style="3"/>
    <col min="4098" max="4098" width="14.28515625" style="3" customWidth="1"/>
    <col min="4099" max="4099" width="25.42578125" style="3" customWidth="1"/>
    <col min="4100" max="4100" width="9.140625" style="3"/>
    <col min="4101" max="4101" width="14.5703125" style="3" customWidth="1"/>
    <col min="4102" max="4102" width="16.7109375" style="3" customWidth="1"/>
    <col min="4103" max="4103" width="20.42578125" style="3" customWidth="1"/>
    <col min="4104" max="4104" width="9.140625" style="3"/>
    <col min="4105" max="4105" width="16.85546875" style="3" customWidth="1"/>
    <col min="4106" max="4106" width="13.28515625" style="3" customWidth="1"/>
    <col min="4107" max="4109" width="13.5703125" style="3" customWidth="1"/>
    <col min="4110" max="4110" width="123.85546875" style="3" customWidth="1"/>
    <col min="4111" max="4116" width="9.140625" style="3"/>
    <col min="4117" max="4117" width="12.7109375" style="3" bestFit="1" customWidth="1"/>
    <col min="4118" max="4118" width="18.85546875" style="3" bestFit="1" customWidth="1"/>
    <col min="4119" max="4119" width="18.42578125" style="3" bestFit="1" customWidth="1"/>
    <col min="4120" max="4120" width="18.85546875" style="3" customWidth="1"/>
    <col min="4121" max="4122" width="16.42578125" style="3" bestFit="1" customWidth="1"/>
    <col min="4123" max="4133" width="9.140625" style="3"/>
    <col min="4134" max="4134" width="19.7109375" style="3" customWidth="1"/>
    <col min="4135" max="4135" width="19.5703125" style="3" customWidth="1"/>
    <col min="4136" max="4136" width="20.5703125" style="3" customWidth="1"/>
    <col min="4137" max="4137" width="19.85546875" style="3" customWidth="1"/>
    <col min="4138" max="4145" width="9.140625" style="3"/>
    <col min="4146" max="4146" width="15.5703125" style="3" bestFit="1" customWidth="1"/>
    <col min="4147" max="4147" width="20.5703125" style="3" customWidth="1"/>
    <col min="4148" max="4148" width="18" style="3" customWidth="1"/>
    <col min="4149" max="4149" width="23.5703125" style="3" customWidth="1"/>
    <col min="4150" max="4150" width="19.28515625" style="3" customWidth="1"/>
    <col min="4151" max="4151" width="15.85546875" style="3" customWidth="1"/>
    <col min="4152" max="4152" width="16.85546875" style="3" customWidth="1"/>
    <col min="4153" max="4153" width="16.7109375" style="3" customWidth="1"/>
    <col min="4154" max="4156" width="9.140625" style="3"/>
    <col min="4157" max="4157" width="18.5703125" style="3" customWidth="1"/>
    <col min="4158" max="4353" width="9.140625" style="3"/>
    <col min="4354" max="4354" width="14.28515625" style="3" customWidth="1"/>
    <col min="4355" max="4355" width="25.42578125" style="3" customWidth="1"/>
    <col min="4356" max="4356" width="9.140625" style="3"/>
    <col min="4357" max="4357" width="14.5703125" style="3" customWidth="1"/>
    <col min="4358" max="4358" width="16.7109375" style="3" customWidth="1"/>
    <col min="4359" max="4359" width="20.42578125" style="3" customWidth="1"/>
    <col min="4360" max="4360" width="9.140625" style="3"/>
    <col min="4361" max="4361" width="16.85546875" style="3" customWidth="1"/>
    <col min="4362" max="4362" width="13.28515625" style="3" customWidth="1"/>
    <col min="4363" max="4365" width="13.5703125" style="3" customWidth="1"/>
    <col min="4366" max="4366" width="123.85546875" style="3" customWidth="1"/>
    <col min="4367" max="4372" width="9.140625" style="3"/>
    <col min="4373" max="4373" width="12.7109375" style="3" bestFit="1" customWidth="1"/>
    <col min="4374" max="4374" width="18.85546875" style="3" bestFit="1" customWidth="1"/>
    <col min="4375" max="4375" width="18.42578125" style="3" bestFit="1" customWidth="1"/>
    <col min="4376" max="4376" width="18.85546875" style="3" customWidth="1"/>
    <col min="4377" max="4378" width="16.42578125" style="3" bestFit="1" customWidth="1"/>
    <col min="4379" max="4389" width="9.140625" style="3"/>
    <col min="4390" max="4390" width="19.7109375" style="3" customWidth="1"/>
    <col min="4391" max="4391" width="19.5703125" style="3" customWidth="1"/>
    <col min="4392" max="4392" width="20.5703125" style="3" customWidth="1"/>
    <col min="4393" max="4393" width="19.85546875" style="3" customWidth="1"/>
    <col min="4394" max="4401" width="9.140625" style="3"/>
    <col min="4402" max="4402" width="15.5703125" style="3" bestFit="1" customWidth="1"/>
    <col min="4403" max="4403" width="20.5703125" style="3" customWidth="1"/>
    <col min="4404" max="4404" width="18" style="3" customWidth="1"/>
    <col min="4405" max="4405" width="23.5703125" style="3" customWidth="1"/>
    <col min="4406" max="4406" width="19.28515625" style="3" customWidth="1"/>
    <col min="4407" max="4407" width="15.85546875" style="3" customWidth="1"/>
    <col min="4408" max="4408" width="16.85546875" style="3" customWidth="1"/>
    <col min="4409" max="4409" width="16.7109375" style="3" customWidth="1"/>
    <col min="4410" max="4412" width="9.140625" style="3"/>
    <col min="4413" max="4413" width="18.5703125" style="3" customWidth="1"/>
    <col min="4414" max="4609" width="9.140625" style="3"/>
    <col min="4610" max="4610" width="14.28515625" style="3" customWidth="1"/>
    <col min="4611" max="4611" width="25.42578125" style="3" customWidth="1"/>
    <col min="4612" max="4612" width="9.140625" style="3"/>
    <col min="4613" max="4613" width="14.5703125" style="3" customWidth="1"/>
    <col min="4614" max="4614" width="16.7109375" style="3" customWidth="1"/>
    <col min="4615" max="4615" width="20.42578125" style="3" customWidth="1"/>
    <col min="4616" max="4616" width="9.140625" style="3"/>
    <col min="4617" max="4617" width="16.85546875" style="3" customWidth="1"/>
    <col min="4618" max="4618" width="13.28515625" style="3" customWidth="1"/>
    <col min="4619" max="4621" width="13.5703125" style="3" customWidth="1"/>
    <col min="4622" max="4622" width="123.85546875" style="3" customWidth="1"/>
    <col min="4623" max="4628" width="9.140625" style="3"/>
    <col min="4629" max="4629" width="12.7109375" style="3" bestFit="1" customWidth="1"/>
    <col min="4630" max="4630" width="18.85546875" style="3" bestFit="1" customWidth="1"/>
    <col min="4631" max="4631" width="18.42578125" style="3" bestFit="1" customWidth="1"/>
    <col min="4632" max="4632" width="18.85546875" style="3" customWidth="1"/>
    <col min="4633" max="4634" width="16.42578125" style="3" bestFit="1" customWidth="1"/>
    <col min="4635" max="4645" width="9.140625" style="3"/>
    <col min="4646" max="4646" width="19.7109375" style="3" customWidth="1"/>
    <col min="4647" max="4647" width="19.5703125" style="3" customWidth="1"/>
    <col min="4648" max="4648" width="20.5703125" style="3" customWidth="1"/>
    <col min="4649" max="4649" width="19.85546875" style="3" customWidth="1"/>
    <col min="4650" max="4657" width="9.140625" style="3"/>
    <col min="4658" max="4658" width="15.5703125" style="3" bestFit="1" customWidth="1"/>
    <col min="4659" max="4659" width="20.5703125" style="3" customWidth="1"/>
    <col min="4660" max="4660" width="18" style="3" customWidth="1"/>
    <col min="4661" max="4661" width="23.5703125" style="3" customWidth="1"/>
    <col min="4662" max="4662" width="19.28515625" style="3" customWidth="1"/>
    <col min="4663" max="4663" width="15.85546875" style="3" customWidth="1"/>
    <col min="4664" max="4664" width="16.85546875" style="3" customWidth="1"/>
    <col min="4665" max="4665" width="16.7109375" style="3" customWidth="1"/>
    <col min="4666" max="4668" width="9.140625" style="3"/>
    <col min="4669" max="4669" width="18.5703125" style="3" customWidth="1"/>
    <col min="4670" max="4865" width="9.140625" style="3"/>
    <col min="4866" max="4866" width="14.28515625" style="3" customWidth="1"/>
    <col min="4867" max="4867" width="25.42578125" style="3" customWidth="1"/>
    <col min="4868" max="4868" width="9.140625" style="3"/>
    <col min="4869" max="4869" width="14.5703125" style="3" customWidth="1"/>
    <col min="4870" max="4870" width="16.7109375" style="3" customWidth="1"/>
    <col min="4871" max="4871" width="20.42578125" style="3" customWidth="1"/>
    <col min="4872" max="4872" width="9.140625" style="3"/>
    <col min="4873" max="4873" width="16.85546875" style="3" customWidth="1"/>
    <col min="4874" max="4874" width="13.28515625" style="3" customWidth="1"/>
    <col min="4875" max="4877" width="13.5703125" style="3" customWidth="1"/>
    <col min="4878" max="4878" width="123.85546875" style="3" customWidth="1"/>
    <col min="4879" max="4884" width="9.140625" style="3"/>
    <col min="4885" max="4885" width="12.7109375" style="3" bestFit="1" customWidth="1"/>
    <col min="4886" max="4886" width="18.85546875" style="3" bestFit="1" customWidth="1"/>
    <col min="4887" max="4887" width="18.42578125" style="3" bestFit="1" customWidth="1"/>
    <col min="4888" max="4888" width="18.85546875" style="3" customWidth="1"/>
    <col min="4889" max="4890" width="16.42578125" style="3" bestFit="1" customWidth="1"/>
    <col min="4891" max="4901" width="9.140625" style="3"/>
    <col min="4902" max="4902" width="19.7109375" style="3" customWidth="1"/>
    <col min="4903" max="4903" width="19.5703125" style="3" customWidth="1"/>
    <col min="4904" max="4904" width="20.5703125" style="3" customWidth="1"/>
    <col min="4905" max="4905" width="19.85546875" style="3" customWidth="1"/>
    <col min="4906" max="4913" width="9.140625" style="3"/>
    <col min="4914" max="4914" width="15.5703125" style="3" bestFit="1" customWidth="1"/>
    <col min="4915" max="4915" width="20.5703125" style="3" customWidth="1"/>
    <col min="4916" max="4916" width="18" style="3" customWidth="1"/>
    <col min="4917" max="4917" width="23.5703125" style="3" customWidth="1"/>
    <col min="4918" max="4918" width="19.28515625" style="3" customWidth="1"/>
    <col min="4919" max="4919" width="15.85546875" style="3" customWidth="1"/>
    <col min="4920" max="4920" width="16.85546875" style="3" customWidth="1"/>
    <col min="4921" max="4921" width="16.7109375" style="3" customWidth="1"/>
    <col min="4922" max="4924" width="9.140625" style="3"/>
    <col min="4925" max="4925" width="18.5703125" style="3" customWidth="1"/>
    <col min="4926" max="5121" width="9.140625" style="3"/>
    <col min="5122" max="5122" width="14.28515625" style="3" customWidth="1"/>
    <col min="5123" max="5123" width="25.42578125" style="3" customWidth="1"/>
    <col min="5124" max="5124" width="9.140625" style="3"/>
    <col min="5125" max="5125" width="14.5703125" style="3" customWidth="1"/>
    <col min="5126" max="5126" width="16.7109375" style="3" customWidth="1"/>
    <col min="5127" max="5127" width="20.42578125" style="3" customWidth="1"/>
    <col min="5128" max="5128" width="9.140625" style="3"/>
    <col min="5129" max="5129" width="16.85546875" style="3" customWidth="1"/>
    <col min="5130" max="5130" width="13.28515625" style="3" customWidth="1"/>
    <col min="5131" max="5133" width="13.5703125" style="3" customWidth="1"/>
    <col min="5134" max="5134" width="123.85546875" style="3" customWidth="1"/>
    <col min="5135" max="5140" width="9.140625" style="3"/>
    <col min="5141" max="5141" width="12.7109375" style="3" bestFit="1" customWidth="1"/>
    <col min="5142" max="5142" width="18.85546875" style="3" bestFit="1" customWidth="1"/>
    <col min="5143" max="5143" width="18.42578125" style="3" bestFit="1" customWidth="1"/>
    <col min="5144" max="5144" width="18.85546875" style="3" customWidth="1"/>
    <col min="5145" max="5146" width="16.42578125" style="3" bestFit="1" customWidth="1"/>
    <col min="5147" max="5157" width="9.140625" style="3"/>
    <col min="5158" max="5158" width="19.7109375" style="3" customWidth="1"/>
    <col min="5159" max="5159" width="19.5703125" style="3" customWidth="1"/>
    <col min="5160" max="5160" width="20.5703125" style="3" customWidth="1"/>
    <col min="5161" max="5161" width="19.85546875" style="3" customWidth="1"/>
    <col min="5162" max="5169" width="9.140625" style="3"/>
    <col min="5170" max="5170" width="15.5703125" style="3" bestFit="1" customWidth="1"/>
    <col min="5171" max="5171" width="20.5703125" style="3" customWidth="1"/>
    <col min="5172" max="5172" width="18" style="3" customWidth="1"/>
    <col min="5173" max="5173" width="23.5703125" style="3" customWidth="1"/>
    <col min="5174" max="5174" width="19.28515625" style="3" customWidth="1"/>
    <col min="5175" max="5175" width="15.85546875" style="3" customWidth="1"/>
    <col min="5176" max="5176" width="16.85546875" style="3" customWidth="1"/>
    <col min="5177" max="5177" width="16.7109375" style="3" customWidth="1"/>
    <col min="5178" max="5180" width="9.140625" style="3"/>
    <col min="5181" max="5181" width="18.5703125" style="3" customWidth="1"/>
    <col min="5182" max="5377" width="9.140625" style="3"/>
    <col min="5378" max="5378" width="14.28515625" style="3" customWidth="1"/>
    <col min="5379" max="5379" width="25.42578125" style="3" customWidth="1"/>
    <col min="5380" max="5380" width="9.140625" style="3"/>
    <col min="5381" max="5381" width="14.5703125" style="3" customWidth="1"/>
    <col min="5382" max="5382" width="16.7109375" style="3" customWidth="1"/>
    <col min="5383" max="5383" width="20.42578125" style="3" customWidth="1"/>
    <col min="5384" max="5384" width="9.140625" style="3"/>
    <col min="5385" max="5385" width="16.85546875" style="3" customWidth="1"/>
    <col min="5386" max="5386" width="13.28515625" style="3" customWidth="1"/>
    <col min="5387" max="5389" width="13.5703125" style="3" customWidth="1"/>
    <col min="5390" max="5390" width="123.85546875" style="3" customWidth="1"/>
    <col min="5391" max="5396" width="9.140625" style="3"/>
    <col min="5397" max="5397" width="12.7109375" style="3" bestFit="1" customWidth="1"/>
    <col min="5398" max="5398" width="18.85546875" style="3" bestFit="1" customWidth="1"/>
    <col min="5399" max="5399" width="18.42578125" style="3" bestFit="1" customWidth="1"/>
    <col min="5400" max="5400" width="18.85546875" style="3" customWidth="1"/>
    <col min="5401" max="5402" width="16.42578125" style="3" bestFit="1" customWidth="1"/>
    <col min="5403" max="5413" width="9.140625" style="3"/>
    <col min="5414" max="5414" width="19.7109375" style="3" customWidth="1"/>
    <col min="5415" max="5415" width="19.5703125" style="3" customWidth="1"/>
    <col min="5416" max="5416" width="20.5703125" style="3" customWidth="1"/>
    <col min="5417" max="5417" width="19.85546875" style="3" customWidth="1"/>
    <col min="5418" max="5425" width="9.140625" style="3"/>
    <col min="5426" max="5426" width="15.5703125" style="3" bestFit="1" customWidth="1"/>
    <col min="5427" max="5427" width="20.5703125" style="3" customWidth="1"/>
    <col min="5428" max="5428" width="18" style="3" customWidth="1"/>
    <col min="5429" max="5429" width="23.5703125" style="3" customWidth="1"/>
    <col min="5430" max="5430" width="19.28515625" style="3" customWidth="1"/>
    <col min="5431" max="5431" width="15.85546875" style="3" customWidth="1"/>
    <col min="5432" max="5432" width="16.85546875" style="3" customWidth="1"/>
    <col min="5433" max="5433" width="16.7109375" style="3" customWidth="1"/>
    <col min="5434" max="5436" width="9.140625" style="3"/>
    <col min="5437" max="5437" width="18.5703125" style="3" customWidth="1"/>
    <col min="5438" max="5633" width="9.140625" style="3"/>
    <col min="5634" max="5634" width="14.28515625" style="3" customWidth="1"/>
    <col min="5635" max="5635" width="25.42578125" style="3" customWidth="1"/>
    <col min="5636" max="5636" width="9.140625" style="3"/>
    <col min="5637" max="5637" width="14.5703125" style="3" customWidth="1"/>
    <col min="5638" max="5638" width="16.7109375" style="3" customWidth="1"/>
    <col min="5639" max="5639" width="20.42578125" style="3" customWidth="1"/>
    <col min="5640" max="5640" width="9.140625" style="3"/>
    <col min="5641" max="5641" width="16.85546875" style="3" customWidth="1"/>
    <col min="5642" max="5642" width="13.28515625" style="3" customWidth="1"/>
    <col min="5643" max="5645" width="13.5703125" style="3" customWidth="1"/>
    <col min="5646" max="5646" width="123.85546875" style="3" customWidth="1"/>
    <col min="5647" max="5652" width="9.140625" style="3"/>
    <col min="5653" max="5653" width="12.7109375" style="3" bestFit="1" customWidth="1"/>
    <col min="5654" max="5654" width="18.85546875" style="3" bestFit="1" customWidth="1"/>
    <col min="5655" max="5655" width="18.42578125" style="3" bestFit="1" customWidth="1"/>
    <col min="5656" max="5656" width="18.85546875" style="3" customWidth="1"/>
    <col min="5657" max="5658" width="16.42578125" style="3" bestFit="1" customWidth="1"/>
    <col min="5659" max="5669" width="9.140625" style="3"/>
    <col min="5670" max="5670" width="19.7109375" style="3" customWidth="1"/>
    <col min="5671" max="5671" width="19.5703125" style="3" customWidth="1"/>
    <col min="5672" max="5672" width="20.5703125" style="3" customWidth="1"/>
    <col min="5673" max="5673" width="19.85546875" style="3" customWidth="1"/>
    <col min="5674" max="5681" width="9.140625" style="3"/>
    <col min="5682" max="5682" width="15.5703125" style="3" bestFit="1" customWidth="1"/>
    <col min="5683" max="5683" width="20.5703125" style="3" customWidth="1"/>
    <col min="5684" max="5684" width="18" style="3" customWidth="1"/>
    <col min="5685" max="5685" width="23.5703125" style="3" customWidth="1"/>
    <col min="5686" max="5686" width="19.28515625" style="3" customWidth="1"/>
    <col min="5687" max="5687" width="15.85546875" style="3" customWidth="1"/>
    <col min="5688" max="5688" width="16.85546875" style="3" customWidth="1"/>
    <col min="5689" max="5689" width="16.7109375" style="3" customWidth="1"/>
    <col min="5690" max="5692" width="9.140625" style="3"/>
    <col min="5693" max="5693" width="18.5703125" style="3" customWidth="1"/>
    <col min="5694" max="5889" width="9.140625" style="3"/>
    <col min="5890" max="5890" width="14.28515625" style="3" customWidth="1"/>
    <col min="5891" max="5891" width="25.42578125" style="3" customWidth="1"/>
    <col min="5892" max="5892" width="9.140625" style="3"/>
    <col min="5893" max="5893" width="14.5703125" style="3" customWidth="1"/>
    <col min="5894" max="5894" width="16.7109375" style="3" customWidth="1"/>
    <col min="5895" max="5895" width="20.42578125" style="3" customWidth="1"/>
    <col min="5896" max="5896" width="9.140625" style="3"/>
    <col min="5897" max="5897" width="16.85546875" style="3" customWidth="1"/>
    <col min="5898" max="5898" width="13.28515625" style="3" customWidth="1"/>
    <col min="5899" max="5901" width="13.5703125" style="3" customWidth="1"/>
    <col min="5902" max="5902" width="123.85546875" style="3" customWidth="1"/>
    <col min="5903" max="5908" width="9.140625" style="3"/>
    <col min="5909" max="5909" width="12.7109375" style="3" bestFit="1" customWidth="1"/>
    <col min="5910" max="5910" width="18.85546875" style="3" bestFit="1" customWidth="1"/>
    <col min="5911" max="5911" width="18.42578125" style="3" bestFit="1" customWidth="1"/>
    <col min="5912" max="5912" width="18.85546875" style="3" customWidth="1"/>
    <col min="5913" max="5914" width="16.42578125" style="3" bestFit="1" customWidth="1"/>
    <col min="5915" max="5925" width="9.140625" style="3"/>
    <col min="5926" max="5926" width="19.7109375" style="3" customWidth="1"/>
    <col min="5927" max="5927" width="19.5703125" style="3" customWidth="1"/>
    <col min="5928" max="5928" width="20.5703125" style="3" customWidth="1"/>
    <col min="5929" max="5929" width="19.85546875" style="3" customWidth="1"/>
    <col min="5930" max="5937" width="9.140625" style="3"/>
    <col min="5938" max="5938" width="15.5703125" style="3" bestFit="1" customWidth="1"/>
    <col min="5939" max="5939" width="20.5703125" style="3" customWidth="1"/>
    <col min="5940" max="5940" width="18" style="3" customWidth="1"/>
    <col min="5941" max="5941" width="23.5703125" style="3" customWidth="1"/>
    <col min="5942" max="5942" width="19.28515625" style="3" customWidth="1"/>
    <col min="5943" max="5943" width="15.85546875" style="3" customWidth="1"/>
    <col min="5944" max="5944" width="16.85546875" style="3" customWidth="1"/>
    <col min="5945" max="5945" width="16.7109375" style="3" customWidth="1"/>
    <col min="5946" max="5948" width="9.140625" style="3"/>
    <col min="5949" max="5949" width="18.5703125" style="3" customWidth="1"/>
    <col min="5950" max="6145" width="9.140625" style="3"/>
    <col min="6146" max="6146" width="14.28515625" style="3" customWidth="1"/>
    <col min="6147" max="6147" width="25.42578125" style="3" customWidth="1"/>
    <col min="6148" max="6148" width="9.140625" style="3"/>
    <col min="6149" max="6149" width="14.5703125" style="3" customWidth="1"/>
    <col min="6150" max="6150" width="16.7109375" style="3" customWidth="1"/>
    <col min="6151" max="6151" width="20.42578125" style="3" customWidth="1"/>
    <col min="6152" max="6152" width="9.140625" style="3"/>
    <col min="6153" max="6153" width="16.85546875" style="3" customWidth="1"/>
    <col min="6154" max="6154" width="13.28515625" style="3" customWidth="1"/>
    <col min="6155" max="6157" width="13.5703125" style="3" customWidth="1"/>
    <col min="6158" max="6158" width="123.85546875" style="3" customWidth="1"/>
    <col min="6159" max="6164" width="9.140625" style="3"/>
    <col min="6165" max="6165" width="12.7109375" style="3" bestFit="1" customWidth="1"/>
    <col min="6166" max="6166" width="18.85546875" style="3" bestFit="1" customWidth="1"/>
    <col min="6167" max="6167" width="18.42578125" style="3" bestFit="1" customWidth="1"/>
    <col min="6168" max="6168" width="18.85546875" style="3" customWidth="1"/>
    <col min="6169" max="6170" width="16.42578125" style="3" bestFit="1" customWidth="1"/>
    <col min="6171" max="6181" width="9.140625" style="3"/>
    <col min="6182" max="6182" width="19.7109375" style="3" customWidth="1"/>
    <col min="6183" max="6183" width="19.5703125" style="3" customWidth="1"/>
    <col min="6184" max="6184" width="20.5703125" style="3" customWidth="1"/>
    <col min="6185" max="6185" width="19.85546875" style="3" customWidth="1"/>
    <col min="6186" max="6193" width="9.140625" style="3"/>
    <col min="6194" max="6194" width="15.5703125" style="3" bestFit="1" customWidth="1"/>
    <col min="6195" max="6195" width="20.5703125" style="3" customWidth="1"/>
    <col min="6196" max="6196" width="18" style="3" customWidth="1"/>
    <col min="6197" max="6197" width="23.5703125" style="3" customWidth="1"/>
    <col min="6198" max="6198" width="19.28515625" style="3" customWidth="1"/>
    <col min="6199" max="6199" width="15.85546875" style="3" customWidth="1"/>
    <col min="6200" max="6200" width="16.85546875" style="3" customWidth="1"/>
    <col min="6201" max="6201" width="16.7109375" style="3" customWidth="1"/>
    <col min="6202" max="6204" width="9.140625" style="3"/>
    <col min="6205" max="6205" width="18.5703125" style="3" customWidth="1"/>
    <col min="6206" max="6401" width="9.140625" style="3"/>
    <col min="6402" max="6402" width="14.28515625" style="3" customWidth="1"/>
    <col min="6403" max="6403" width="25.42578125" style="3" customWidth="1"/>
    <col min="6404" max="6404" width="9.140625" style="3"/>
    <col min="6405" max="6405" width="14.5703125" style="3" customWidth="1"/>
    <col min="6406" max="6406" width="16.7109375" style="3" customWidth="1"/>
    <col min="6407" max="6407" width="20.42578125" style="3" customWidth="1"/>
    <col min="6408" max="6408" width="9.140625" style="3"/>
    <col min="6409" max="6409" width="16.85546875" style="3" customWidth="1"/>
    <col min="6410" max="6410" width="13.28515625" style="3" customWidth="1"/>
    <col min="6411" max="6413" width="13.5703125" style="3" customWidth="1"/>
    <col min="6414" max="6414" width="123.85546875" style="3" customWidth="1"/>
    <col min="6415" max="6420" width="9.140625" style="3"/>
    <col min="6421" max="6421" width="12.7109375" style="3" bestFit="1" customWidth="1"/>
    <col min="6422" max="6422" width="18.85546875" style="3" bestFit="1" customWidth="1"/>
    <col min="6423" max="6423" width="18.42578125" style="3" bestFit="1" customWidth="1"/>
    <col min="6424" max="6424" width="18.85546875" style="3" customWidth="1"/>
    <col min="6425" max="6426" width="16.42578125" style="3" bestFit="1" customWidth="1"/>
    <col min="6427" max="6437" width="9.140625" style="3"/>
    <col min="6438" max="6438" width="19.7109375" style="3" customWidth="1"/>
    <col min="6439" max="6439" width="19.5703125" style="3" customWidth="1"/>
    <col min="6440" max="6440" width="20.5703125" style="3" customWidth="1"/>
    <col min="6441" max="6441" width="19.85546875" style="3" customWidth="1"/>
    <col min="6442" max="6449" width="9.140625" style="3"/>
    <col min="6450" max="6450" width="15.5703125" style="3" bestFit="1" customWidth="1"/>
    <col min="6451" max="6451" width="20.5703125" style="3" customWidth="1"/>
    <col min="6452" max="6452" width="18" style="3" customWidth="1"/>
    <col min="6453" max="6453" width="23.5703125" style="3" customWidth="1"/>
    <col min="6454" max="6454" width="19.28515625" style="3" customWidth="1"/>
    <col min="6455" max="6455" width="15.85546875" style="3" customWidth="1"/>
    <col min="6456" max="6456" width="16.85546875" style="3" customWidth="1"/>
    <col min="6457" max="6457" width="16.7109375" style="3" customWidth="1"/>
    <col min="6458" max="6460" width="9.140625" style="3"/>
    <col min="6461" max="6461" width="18.5703125" style="3" customWidth="1"/>
    <col min="6462" max="6657" width="9.140625" style="3"/>
    <col min="6658" max="6658" width="14.28515625" style="3" customWidth="1"/>
    <col min="6659" max="6659" width="25.42578125" style="3" customWidth="1"/>
    <col min="6660" max="6660" width="9.140625" style="3"/>
    <col min="6661" max="6661" width="14.5703125" style="3" customWidth="1"/>
    <col min="6662" max="6662" width="16.7109375" style="3" customWidth="1"/>
    <col min="6663" max="6663" width="20.42578125" style="3" customWidth="1"/>
    <col min="6664" max="6664" width="9.140625" style="3"/>
    <col min="6665" max="6665" width="16.85546875" style="3" customWidth="1"/>
    <col min="6666" max="6666" width="13.28515625" style="3" customWidth="1"/>
    <col min="6667" max="6669" width="13.5703125" style="3" customWidth="1"/>
    <col min="6670" max="6670" width="123.85546875" style="3" customWidth="1"/>
    <col min="6671" max="6676" width="9.140625" style="3"/>
    <col min="6677" max="6677" width="12.7109375" style="3" bestFit="1" customWidth="1"/>
    <col min="6678" max="6678" width="18.85546875" style="3" bestFit="1" customWidth="1"/>
    <col min="6679" max="6679" width="18.42578125" style="3" bestFit="1" customWidth="1"/>
    <col min="6680" max="6680" width="18.85546875" style="3" customWidth="1"/>
    <col min="6681" max="6682" width="16.42578125" style="3" bestFit="1" customWidth="1"/>
    <col min="6683" max="6693" width="9.140625" style="3"/>
    <col min="6694" max="6694" width="19.7109375" style="3" customWidth="1"/>
    <col min="6695" max="6695" width="19.5703125" style="3" customWidth="1"/>
    <col min="6696" max="6696" width="20.5703125" style="3" customWidth="1"/>
    <col min="6697" max="6697" width="19.85546875" style="3" customWidth="1"/>
    <col min="6698" max="6705" width="9.140625" style="3"/>
    <col min="6706" max="6706" width="15.5703125" style="3" bestFit="1" customWidth="1"/>
    <col min="6707" max="6707" width="20.5703125" style="3" customWidth="1"/>
    <col min="6708" max="6708" width="18" style="3" customWidth="1"/>
    <col min="6709" max="6709" width="23.5703125" style="3" customWidth="1"/>
    <col min="6710" max="6710" width="19.28515625" style="3" customWidth="1"/>
    <col min="6711" max="6711" width="15.85546875" style="3" customWidth="1"/>
    <col min="6712" max="6712" width="16.85546875" style="3" customWidth="1"/>
    <col min="6713" max="6713" width="16.7109375" style="3" customWidth="1"/>
    <col min="6714" max="6716" width="9.140625" style="3"/>
    <col min="6717" max="6717" width="18.5703125" style="3" customWidth="1"/>
    <col min="6718" max="6913" width="9.140625" style="3"/>
    <col min="6914" max="6914" width="14.28515625" style="3" customWidth="1"/>
    <col min="6915" max="6915" width="25.42578125" style="3" customWidth="1"/>
    <col min="6916" max="6916" width="9.140625" style="3"/>
    <col min="6917" max="6917" width="14.5703125" style="3" customWidth="1"/>
    <col min="6918" max="6918" width="16.7109375" style="3" customWidth="1"/>
    <col min="6919" max="6919" width="20.42578125" style="3" customWidth="1"/>
    <col min="6920" max="6920" width="9.140625" style="3"/>
    <col min="6921" max="6921" width="16.85546875" style="3" customWidth="1"/>
    <col min="6922" max="6922" width="13.28515625" style="3" customWidth="1"/>
    <col min="6923" max="6925" width="13.5703125" style="3" customWidth="1"/>
    <col min="6926" max="6926" width="123.85546875" style="3" customWidth="1"/>
    <col min="6927" max="6932" width="9.140625" style="3"/>
    <col min="6933" max="6933" width="12.7109375" style="3" bestFit="1" customWidth="1"/>
    <col min="6934" max="6934" width="18.85546875" style="3" bestFit="1" customWidth="1"/>
    <col min="6935" max="6935" width="18.42578125" style="3" bestFit="1" customWidth="1"/>
    <col min="6936" max="6936" width="18.85546875" style="3" customWidth="1"/>
    <col min="6937" max="6938" width="16.42578125" style="3" bestFit="1" customWidth="1"/>
    <col min="6939" max="6949" width="9.140625" style="3"/>
    <col min="6950" max="6950" width="19.7109375" style="3" customWidth="1"/>
    <col min="6951" max="6951" width="19.5703125" style="3" customWidth="1"/>
    <col min="6952" max="6952" width="20.5703125" style="3" customWidth="1"/>
    <col min="6953" max="6953" width="19.85546875" style="3" customWidth="1"/>
    <col min="6954" max="6961" width="9.140625" style="3"/>
    <col min="6962" max="6962" width="15.5703125" style="3" bestFit="1" customWidth="1"/>
    <col min="6963" max="6963" width="20.5703125" style="3" customWidth="1"/>
    <col min="6964" max="6964" width="18" style="3" customWidth="1"/>
    <col min="6965" max="6965" width="23.5703125" style="3" customWidth="1"/>
    <col min="6966" max="6966" width="19.28515625" style="3" customWidth="1"/>
    <col min="6967" max="6967" width="15.85546875" style="3" customWidth="1"/>
    <col min="6968" max="6968" width="16.85546875" style="3" customWidth="1"/>
    <col min="6969" max="6969" width="16.7109375" style="3" customWidth="1"/>
    <col min="6970" max="6972" width="9.140625" style="3"/>
    <col min="6973" max="6973" width="18.5703125" style="3" customWidth="1"/>
    <col min="6974" max="7169" width="9.140625" style="3"/>
    <col min="7170" max="7170" width="14.28515625" style="3" customWidth="1"/>
    <col min="7171" max="7171" width="25.42578125" style="3" customWidth="1"/>
    <col min="7172" max="7172" width="9.140625" style="3"/>
    <col min="7173" max="7173" width="14.5703125" style="3" customWidth="1"/>
    <col min="7174" max="7174" width="16.7109375" style="3" customWidth="1"/>
    <col min="7175" max="7175" width="20.42578125" style="3" customWidth="1"/>
    <col min="7176" max="7176" width="9.140625" style="3"/>
    <col min="7177" max="7177" width="16.85546875" style="3" customWidth="1"/>
    <col min="7178" max="7178" width="13.28515625" style="3" customWidth="1"/>
    <col min="7179" max="7181" width="13.5703125" style="3" customWidth="1"/>
    <col min="7182" max="7182" width="123.85546875" style="3" customWidth="1"/>
    <col min="7183" max="7188" width="9.140625" style="3"/>
    <col min="7189" max="7189" width="12.7109375" style="3" bestFit="1" customWidth="1"/>
    <col min="7190" max="7190" width="18.85546875" style="3" bestFit="1" customWidth="1"/>
    <col min="7191" max="7191" width="18.42578125" style="3" bestFit="1" customWidth="1"/>
    <col min="7192" max="7192" width="18.85546875" style="3" customWidth="1"/>
    <col min="7193" max="7194" width="16.42578125" style="3" bestFit="1" customWidth="1"/>
    <col min="7195" max="7205" width="9.140625" style="3"/>
    <col min="7206" max="7206" width="19.7109375" style="3" customWidth="1"/>
    <col min="7207" max="7207" width="19.5703125" style="3" customWidth="1"/>
    <col min="7208" max="7208" width="20.5703125" style="3" customWidth="1"/>
    <col min="7209" max="7209" width="19.85546875" style="3" customWidth="1"/>
    <col min="7210" max="7217" width="9.140625" style="3"/>
    <col min="7218" max="7218" width="15.5703125" style="3" bestFit="1" customWidth="1"/>
    <col min="7219" max="7219" width="20.5703125" style="3" customWidth="1"/>
    <col min="7220" max="7220" width="18" style="3" customWidth="1"/>
    <col min="7221" max="7221" width="23.5703125" style="3" customWidth="1"/>
    <col min="7222" max="7222" width="19.28515625" style="3" customWidth="1"/>
    <col min="7223" max="7223" width="15.85546875" style="3" customWidth="1"/>
    <col min="7224" max="7224" width="16.85546875" style="3" customWidth="1"/>
    <col min="7225" max="7225" width="16.7109375" style="3" customWidth="1"/>
    <col min="7226" max="7228" width="9.140625" style="3"/>
    <col min="7229" max="7229" width="18.5703125" style="3" customWidth="1"/>
    <col min="7230" max="7425" width="9.140625" style="3"/>
    <col min="7426" max="7426" width="14.28515625" style="3" customWidth="1"/>
    <col min="7427" max="7427" width="25.42578125" style="3" customWidth="1"/>
    <col min="7428" max="7428" width="9.140625" style="3"/>
    <col min="7429" max="7429" width="14.5703125" style="3" customWidth="1"/>
    <col min="7430" max="7430" width="16.7109375" style="3" customWidth="1"/>
    <col min="7431" max="7431" width="20.42578125" style="3" customWidth="1"/>
    <col min="7432" max="7432" width="9.140625" style="3"/>
    <col min="7433" max="7433" width="16.85546875" style="3" customWidth="1"/>
    <col min="7434" max="7434" width="13.28515625" style="3" customWidth="1"/>
    <col min="7435" max="7437" width="13.5703125" style="3" customWidth="1"/>
    <col min="7438" max="7438" width="123.85546875" style="3" customWidth="1"/>
    <col min="7439" max="7444" width="9.140625" style="3"/>
    <col min="7445" max="7445" width="12.7109375" style="3" bestFit="1" customWidth="1"/>
    <col min="7446" max="7446" width="18.85546875" style="3" bestFit="1" customWidth="1"/>
    <col min="7447" max="7447" width="18.42578125" style="3" bestFit="1" customWidth="1"/>
    <col min="7448" max="7448" width="18.85546875" style="3" customWidth="1"/>
    <col min="7449" max="7450" width="16.42578125" style="3" bestFit="1" customWidth="1"/>
    <col min="7451" max="7461" width="9.140625" style="3"/>
    <col min="7462" max="7462" width="19.7109375" style="3" customWidth="1"/>
    <col min="7463" max="7463" width="19.5703125" style="3" customWidth="1"/>
    <col min="7464" max="7464" width="20.5703125" style="3" customWidth="1"/>
    <col min="7465" max="7465" width="19.85546875" style="3" customWidth="1"/>
    <col min="7466" max="7473" width="9.140625" style="3"/>
    <col min="7474" max="7474" width="15.5703125" style="3" bestFit="1" customWidth="1"/>
    <col min="7475" max="7475" width="20.5703125" style="3" customWidth="1"/>
    <col min="7476" max="7476" width="18" style="3" customWidth="1"/>
    <col min="7477" max="7477" width="23.5703125" style="3" customWidth="1"/>
    <col min="7478" max="7478" width="19.28515625" style="3" customWidth="1"/>
    <col min="7479" max="7479" width="15.85546875" style="3" customWidth="1"/>
    <col min="7480" max="7480" width="16.85546875" style="3" customWidth="1"/>
    <col min="7481" max="7481" width="16.7109375" style="3" customWidth="1"/>
    <col min="7482" max="7484" width="9.140625" style="3"/>
    <col min="7485" max="7485" width="18.5703125" style="3" customWidth="1"/>
    <col min="7486" max="7681" width="9.140625" style="3"/>
    <col min="7682" max="7682" width="14.28515625" style="3" customWidth="1"/>
    <col min="7683" max="7683" width="25.42578125" style="3" customWidth="1"/>
    <col min="7684" max="7684" width="9.140625" style="3"/>
    <col min="7685" max="7685" width="14.5703125" style="3" customWidth="1"/>
    <col min="7686" max="7686" width="16.7109375" style="3" customWidth="1"/>
    <col min="7687" max="7687" width="20.42578125" style="3" customWidth="1"/>
    <col min="7688" max="7688" width="9.140625" style="3"/>
    <col min="7689" max="7689" width="16.85546875" style="3" customWidth="1"/>
    <col min="7690" max="7690" width="13.28515625" style="3" customWidth="1"/>
    <col min="7691" max="7693" width="13.5703125" style="3" customWidth="1"/>
    <col min="7694" max="7694" width="123.85546875" style="3" customWidth="1"/>
    <col min="7695" max="7700" width="9.140625" style="3"/>
    <col min="7701" max="7701" width="12.7109375" style="3" bestFit="1" customWidth="1"/>
    <col min="7702" max="7702" width="18.85546875" style="3" bestFit="1" customWidth="1"/>
    <col min="7703" max="7703" width="18.42578125" style="3" bestFit="1" customWidth="1"/>
    <col min="7704" max="7704" width="18.85546875" style="3" customWidth="1"/>
    <col min="7705" max="7706" width="16.42578125" style="3" bestFit="1" customWidth="1"/>
    <col min="7707" max="7717" width="9.140625" style="3"/>
    <col min="7718" max="7718" width="19.7109375" style="3" customWidth="1"/>
    <col min="7719" max="7719" width="19.5703125" style="3" customWidth="1"/>
    <col min="7720" max="7720" width="20.5703125" style="3" customWidth="1"/>
    <col min="7721" max="7721" width="19.85546875" style="3" customWidth="1"/>
    <col min="7722" max="7729" width="9.140625" style="3"/>
    <col min="7730" max="7730" width="15.5703125" style="3" bestFit="1" customWidth="1"/>
    <col min="7731" max="7731" width="20.5703125" style="3" customWidth="1"/>
    <col min="7732" max="7732" width="18" style="3" customWidth="1"/>
    <col min="7733" max="7733" width="23.5703125" style="3" customWidth="1"/>
    <col min="7734" max="7734" width="19.28515625" style="3" customWidth="1"/>
    <col min="7735" max="7735" width="15.85546875" style="3" customWidth="1"/>
    <col min="7736" max="7736" width="16.85546875" style="3" customWidth="1"/>
    <col min="7737" max="7737" width="16.7109375" style="3" customWidth="1"/>
    <col min="7738" max="7740" width="9.140625" style="3"/>
    <col min="7741" max="7741" width="18.5703125" style="3" customWidth="1"/>
    <col min="7742" max="7937" width="9.140625" style="3"/>
    <col min="7938" max="7938" width="14.28515625" style="3" customWidth="1"/>
    <col min="7939" max="7939" width="25.42578125" style="3" customWidth="1"/>
    <col min="7940" max="7940" width="9.140625" style="3"/>
    <col min="7941" max="7941" width="14.5703125" style="3" customWidth="1"/>
    <col min="7942" max="7942" width="16.7109375" style="3" customWidth="1"/>
    <col min="7943" max="7943" width="20.42578125" style="3" customWidth="1"/>
    <col min="7944" max="7944" width="9.140625" style="3"/>
    <col min="7945" max="7945" width="16.85546875" style="3" customWidth="1"/>
    <col min="7946" max="7946" width="13.28515625" style="3" customWidth="1"/>
    <col min="7947" max="7949" width="13.5703125" style="3" customWidth="1"/>
    <col min="7950" max="7950" width="123.85546875" style="3" customWidth="1"/>
    <col min="7951" max="7956" width="9.140625" style="3"/>
    <col min="7957" max="7957" width="12.7109375" style="3" bestFit="1" customWidth="1"/>
    <col min="7958" max="7958" width="18.85546875" style="3" bestFit="1" customWidth="1"/>
    <col min="7959" max="7959" width="18.42578125" style="3" bestFit="1" customWidth="1"/>
    <col min="7960" max="7960" width="18.85546875" style="3" customWidth="1"/>
    <col min="7961" max="7962" width="16.42578125" style="3" bestFit="1" customWidth="1"/>
    <col min="7963" max="7973" width="9.140625" style="3"/>
    <col min="7974" max="7974" width="19.7109375" style="3" customWidth="1"/>
    <col min="7975" max="7975" width="19.5703125" style="3" customWidth="1"/>
    <col min="7976" max="7976" width="20.5703125" style="3" customWidth="1"/>
    <col min="7977" max="7977" width="19.85546875" style="3" customWidth="1"/>
    <col min="7978" max="7985" width="9.140625" style="3"/>
    <col min="7986" max="7986" width="15.5703125" style="3" bestFit="1" customWidth="1"/>
    <col min="7987" max="7987" width="20.5703125" style="3" customWidth="1"/>
    <col min="7988" max="7988" width="18" style="3" customWidth="1"/>
    <col min="7989" max="7989" width="23.5703125" style="3" customWidth="1"/>
    <col min="7990" max="7990" width="19.28515625" style="3" customWidth="1"/>
    <col min="7991" max="7991" width="15.85546875" style="3" customWidth="1"/>
    <col min="7992" max="7992" width="16.85546875" style="3" customWidth="1"/>
    <col min="7993" max="7993" width="16.7109375" style="3" customWidth="1"/>
    <col min="7994" max="7996" width="9.140625" style="3"/>
    <col min="7997" max="7997" width="18.5703125" style="3" customWidth="1"/>
    <col min="7998" max="8193" width="9.140625" style="3"/>
    <col min="8194" max="8194" width="14.28515625" style="3" customWidth="1"/>
    <col min="8195" max="8195" width="25.42578125" style="3" customWidth="1"/>
    <col min="8196" max="8196" width="9.140625" style="3"/>
    <col min="8197" max="8197" width="14.5703125" style="3" customWidth="1"/>
    <col min="8198" max="8198" width="16.7109375" style="3" customWidth="1"/>
    <col min="8199" max="8199" width="20.42578125" style="3" customWidth="1"/>
    <col min="8200" max="8200" width="9.140625" style="3"/>
    <col min="8201" max="8201" width="16.85546875" style="3" customWidth="1"/>
    <col min="8202" max="8202" width="13.28515625" style="3" customWidth="1"/>
    <col min="8203" max="8205" width="13.5703125" style="3" customWidth="1"/>
    <col min="8206" max="8206" width="123.85546875" style="3" customWidth="1"/>
    <col min="8207" max="8212" width="9.140625" style="3"/>
    <col min="8213" max="8213" width="12.7109375" style="3" bestFit="1" customWidth="1"/>
    <col min="8214" max="8214" width="18.85546875" style="3" bestFit="1" customWidth="1"/>
    <col min="8215" max="8215" width="18.42578125" style="3" bestFit="1" customWidth="1"/>
    <col min="8216" max="8216" width="18.85546875" style="3" customWidth="1"/>
    <col min="8217" max="8218" width="16.42578125" style="3" bestFit="1" customWidth="1"/>
    <col min="8219" max="8229" width="9.140625" style="3"/>
    <col min="8230" max="8230" width="19.7109375" style="3" customWidth="1"/>
    <col min="8231" max="8231" width="19.5703125" style="3" customWidth="1"/>
    <col min="8232" max="8232" width="20.5703125" style="3" customWidth="1"/>
    <col min="8233" max="8233" width="19.85546875" style="3" customWidth="1"/>
    <col min="8234" max="8241" width="9.140625" style="3"/>
    <col min="8242" max="8242" width="15.5703125" style="3" bestFit="1" customWidth="1"/>
    <col min="8243" max="8243" width="20.5703125" style="3" customWidth="1"/>
    <col min="8244" max="8244" width="18" style="3" customWidth="1"/>
    <col min="8245" max="8245" width="23.5703125" style="3" customWidth="1"/>
    <col min="8246" max="8246" width="19.28515625" style="3" customWidth="1"/>
    <col min="8247" max="8247" width="15.85546875" style="3" customWidth="1"/>
    <col min="8248" max="8248" width="16.85546875" style="3" customWidth="1"/>
    <col min="8249" max="8249" width="16.7109375" style="3" customWidth="1"/>
    <col min="8250" max="8252" width="9.140625" style="3"/>
    <col min="8253" max="8253" width="18.5703125" style="3" customWidth="1"/>
    <col min="8254" max="8449" width="9.140625" style="3"/>
    <col min="8450" max="8450" width="14.28515625" style="3" customWidth="1"/>
    <col min="8451" max="8451" width="25.42578125" style="3" customWidth="1"/>
    <col min="8452" max="8452" width="9.140625" style="3"/>
    <col min="8453" max="8453" width="14.5703125" style="3" customWidth="1"/>
    <col min="8454" max="8454" width="16.7109375" style="3" customWidth="1"/>
    <col min="8455" max="8455" width="20.42578125" style="3" customWidth="1"/>
    <col min="8456" max="8456" width="9.140625" style="3"/>
    <col min="8457" max="8457" width="16.85546875" style="3" customWidth="1"/>
    <col min="8458" max="8458" width="13.28515625" style="3" customWidth="1"/>
    <col min="8459" max="8461" width="13.5703125" style="3" customWidth="1"/>
    <col min="8462" max="8462" width="123.85546875" style="3" customWidth="1"/>
    <col min="8463" max="8468" width="9.140625" style="3"/>
    <col min="8469" max="8469" width="12.7109375" style="3" bestFit="1" customWidth="1"/>
    <col min="8470" max="8470" width="18.85546875" style="3" bestFit="1" customWidth="1"/>
    <col min="8471" max="8471" width="18.42578125" style="3" bestFit="1" customWidth="1"/>
    <col min="8472" max="8472" width="18.85546875" style="3" customWidth="1"/>
    <col min="8473" max="8474" width="16.42578125" style="3" bestFit="1" customWidth="1"/>
    <col min="8475" max="8485" width="9.140625" style="3"/>
    <col min="8486" max="8486" width="19.7109375" style="3" customWidth="1"/>
    <col min="8487" max="8487" width="19.5703125" style="3" customWidth="1"/>
    <col min="8488" max="8488" width="20.5703125" style="3" customWidth="1"/>
    <col min="8489" max="8489" width="19.85546875" style="3" customWidth="1"/>
    <col min="8490" max="8497" width="9.140625" style="3"/>
    <col min="8498" max="8498" width="15.5703125" style="3" bestFit="1" customWidth="1"/>
    <col min="8499" max="8499" width="20.5703125" style="3" customWidth="1"/>
    <col min="8500" max="8500" width="18" style="3" customWidth="1"/>
    <col min="8501" max="8501" width="23.5703125" style="3" customWidth="1"/>
    <col min="8502" max="8502" width="19.28515625" style="3" customWidth="1"/>
    <col min="8503" max="8503" width="15.85546875" style="3" customWidth="1"/>
    <col min="8504" max="8504" width="16.85546875" style="3" customWidth="1"/>
    <col min="8505" max="8505" width="16.7109375" style="3" customWidth="1"/>
    <col min="8506" max="8508" width="9.140625" style="3"/>
    <col min="8509" max="8509" width="18.5703125" style="3" customWidth="1"/>
    <col min="8510" max="8705" width="9.140625" style="3"/>
    <col min="8706" max="8706" width="14.28515625" style="3" customWidth="1"/>
    <col min="8707" max="8707" width="25.42578125" style="3" customWidth="1"/>
    <col min="8708" max="8708" width="9.140625" style="3"/>
    <col min="8709" max="8709" width="14.5703125" style="3" customWidth="1"/>
    <col min="8710" max="8710" width="16.7109375" style="3" customWidth="1"/>
    <col min="8711" max="8711" width="20.42578125" style="3" customWidth="1"/>
    <col min="8712" max="8712" width="9.140625" style="3"/>
    <col min="8713" max="8713" width="16.85546875" style="3" customWidth="1"/>
    <col min="8714" max="8714" width="13.28515625" style="3" customWidth="1"/>
    <col min="8715" max="8717" width="13.5703125" style="3" customWidth="1"/>
    <col min="8718" max="8718" width="123.85546875" style="3" customWidth="1"/>
    <col min="8719" max="8724" width="9.140625" style="3"/>
    <col min="8725" max="8725" width="12.7109375" style="3" bestFit="1" customWidth="1"/>
    <col min="8726" max="8726" width="18.85546875" style="3" bestFit="1" customWidth="1"/>
    <col min="8727" max="8727" width="18.42578125" style="3" bestFit="1" customWidth="1"/>
    <col min="8728" max="8728" width="18.85546875" style="3" customWidth="1"/>
    <col min="8729" max="8730" width="16.42578125" style="3" bestFit="1" customWidth="1"/>
    <col min="8731" max="8741" width="9.140625" style="3"/>
    <col min="8742" max="8742" width="19.7109375" style="3" customWidth="1"/>
    <col min="8743" max="8743" width="19.5703125" style="3" customWidth="1"/>
    <col min="8744" max="8744" width="20.5703125" style="3" customWidth="1"/>
    <col min="8745" max="8745" width="19.85546875" style="3" customWidth="1"/>
    <col min="8746" max="8753" width="9.140625" style="3"/>
    <col min="8754" max="8754" width="15.5703125" style="3" bestFit="1" customWidth="1"/>
    <col min="8755" max="8755" width="20.5703125" style="3" customWidth="1"/>
    <col min="8756" max="8756" width="18" style="3" customWidth="1"/>
    <col min="8757" max="8757" width="23.5703125" style="3" customWidth="1"/>
    <col min="8758" max="8758" width="19.28515625" style="3" customWidth="1"/>
    <col min="8759" max="8759" width="15.85546875" style="3" customWidth="1"/>
    <col min="8760" max="8760" width="16.85546875" style="3" customWidth="1"/>
    <col min="8761" max="8761" width="16.7109375" style="3" customWidth="1"/>
    <col min="8762" max="8764" width="9.140625" style="3"/>
    <col min="8765" max="8765" width="18.5703125" style="3" customWidth="1"/>
    <col min="8766" max="8961" width="9.140625" style="3"/>
    <col min="8962" max="8962" width="14.28515625" style="3" customWidth="1"/>
    <col min="8963" max="8963" width="25.42578125" style="3" customWidth="1"/>
    <col min="8964" max="8964" width="9.140625" style="3"/>
    <col min="8965" max="8965" width="14.5703125" style="3" customWidth="1"/>
    <col min="8966" max="8966" width="16.7109375" style="3" customWidth="1"/>
    <col min="8967" max="8967" width="20.42578125" style="3" customWidth="1"/>
    <col min="8968" max="8968" width="9.140625" style="3"/>
    <col min="8969" max="8969" width="16.85546875" style="3" customWidth="1"/>
    <col min="8970" max="8970" width="13.28515625" style="3" customWidth="1"/>
    <col min="8971" max="8973" width="13.5703125" style="3" customWidth="1"/>
    <col min="8974" max="8974" width="123.85546875" style="3" customWidth="1"/>
    <col min="8975" max="8980" width="9.140625" style="3"/>
    <col min="8981" max="8981" width="12.7109375" style="3" bestFit="1" customWidth="1"/>
    <col min="8982" max="8982" width="18.85546875" style="3" bestFit="1" customWidth="1"/>
    <col min="8983" max="8983" width="18.42578125" style="3" bestFit="1" customWidth="1"/>
    <col min="8984" max="8984" width="18.85546875" style="3" customWidth="1"/>
    <col min="8985" max="8986" width="16.42578125" style="3" bestFit="1" customWidth="1"/>
    <col min="8987" max="8997" width="9.140625" style="3"/>
    <col min="8998" max="8998" width="19.7109375" style="3" customWidth="1"/>
    <col min="8999" max="8999" width="19.5703125" style="3" customWidth="1"/>
    <col min="9000" max="9000" width="20.5703125" style="3" customWidth="1"/>
    <col min="9001" max="9001" width="19.85546875" style="3" customWidth="1"/>
    <col min="9002" max="9009" width="9.140625" style="3"/>
    <col min="9010" max="9010" width="15.5703125" style="3" bestFit="1" customWidth="1"/>
    <col min="9011" max="9011" width="20.5703125" style="3" customWidth="1"/>
    <col min="9012" max="9012" width="18" style="3" customWidth="1"/>
    <col min="9013" max="9013" width="23.5703125" style="3" customWidth="1"/>
    <col min="9014" max="9014" width="19.28515625" style="3" customWidth="1"/>
    <col min="9015" max="9015" width="15.85546875" style="3" customWidth="1"/>
    <col min="9016" max="9016" width="16.85546875" style="3" customWidth="1"/>
    <col min="9017" max="9017" width="16.7109375" style="3" customWidth="1"/>
    <col min="9018" max="9020" width="9.140625" style="3"/>
    <col min="9021" max="9021" width="18.5703125" style="3" customWidth="1"/>
    <col min="9022" max="9217" width="9.140625" style="3"/>
    <col min="9218" max="9218" width="14.28515625" style="3" customWidth="1"/>
    <col min="9219" max="9219" width="25.42578125" style="3" customWidth="1"/>
    <col min="9220" max="9220" width="9.140625" style="3"/>
    <col min="9221" max="9221" width="14.5703125" style="3" customWidth="1"/>
    <col min="9222" max="9222" width="16.7109375" style="3" customWidth="1"/>
    <col min="9223" max="9223" width="20.42578125" style="3" customWidth="1"/>
    <col min="9224" max="9224" width="9.140625" style="3"/>
    <col min="9225" max="9225" width="16.85546875" style="3" customWidth="1"/>
    <col min="9226" max="9226" width="13.28515625" style="3" customWidth="1"/>
    <col min="9227" max="9229" width="13.5703125" style="3" customWidth="1"/>
    <col min="9230" max="9230" width="123.85546875" style="3" customWidth="1"/>
    <col min="9231" max="9236" width="9.140625" style="3"/>
    <col min="9237" max="9237" width="12.7109375" style="3" bestFit="1" customWidth="1"/>
    <col min="9238" max="9238" width="18.85546875" style="3" bestFit="1" customWidth="1"/>
    <col min="9239" max="9239" width="18.42578125" style="3" bestFit="1" customWidth="1"/>
    <col min="9240" max="9240" width="18.85546875" style="3" customWidth="1"/>
    <col min="9241" max="9242" width="16.42578125" style="3" bestFit="1" customWidth="1"/>
    <col min="9243" max="9253" width="9.140625" style="3"/>
    <col min="9254" max="9254" width="19.7109375" style="3" customWidth="1"/>
    <col min="9255" max="9255" width="19.5703125" style="3" customWidth="1"/>
    <col min="9256" max="9256" width="20.5703125" style="3" customWidth="1"/>
    <col min="9257" max="9257" width="19.85546875" style="3" customWidth="1"/>
    <col min="9258" max="9265" width="9.140625" style="3"/>
    <col min="9266" max="9266" width="15.5703125" style="3" bestFit="1" customWidth="1"/>
    <col min="9267" max="9267" width="20.5703125" style="3" customWidth="1"/>
    <col min="9268" max="9268" width="18" style="3" customWidth="1"/>
    <col min="9269" max="9269" width="23.5703125" style="3" customWidth="1"/>
    <col min="9270" max="9270" width="19.28515625" style="3" customWidth="1"/>
    <col min="9271" max="9271" width="15.85546875" style="3" customWidth="1"/>
    <col min="9272" max="9272" width="16.85546875" style="3" customWidth="1"/>
    <col min="9273" max="9273" width="16.7109375" style="3" customWidth="1"/>
    <col min="9274" max="9276" width="9.140625" style="3"/>
    <col min="9277" max="9277" width="18.5703125" style="3" customWidth="1"/>
    <col min="9278" max="9473" width="9.140625" style="3"/>
    <col min="9474" max="9474" width="14.28515625" style="3" customWidth="1"/>
    <col min="9475" max="9475" width="25.42578125" style="3" customWidth="1"/>
    <col min="9476" max="9476" width="9.140625" style="3"/>
    <col min="9477" max="9477" width="14.5703125" style="3" customWidth="1"/>
    <col min="9478" max="9478" width="16.7109375" style="3" customWidth="1"/>
    <col min="9479" max="9479" width="20.42578125" style="3" customWidth="1"/>
    <col min="9480" max="9480" width="9.140625" style="3"/>
    <col min="9481" max="9481" width="16.85546875" style="3" customWidth="1"/>
    <col min="9482" max="9482" width="13.28515625" style="3" customWidth="1"/>
    <col min="9483" max="9485" width="13.5703125" style="3" customWidth="1"/>
    <col min="9486" max="9486" width="123.85546875" style="3" customWidth="1"/>
    <col min="9487" max="9492" width="9.140625" style="3"/>
    <col min="9493" max="9493" width="12.7109375" style="3" bestFit="1" customWidth="1"/>
    <col min="9494" max="9494" width="18.85546875" style="3" bestFit="1" customWidth="1"/>
    <col min="9495" max="9495" width="18.42578125" style="3" bestFit="1" customWidth="1"/>
    <col min="9496" max="9496" width="18.85546875" style="3" customWidth="1"/>
    <col min="9497" max="9498" width="16.42578125" style="3" bestFit="1" customWidth="1"/>
    <col min="9499" max="9509" width="9.140625" style="3"/>
    <col min="9510" max="9510" width="19.7109375" style="3" customWidth="1"/>
    <col min="9511" max="9511" width="19.5703125" style="3" customWidth="1"/>
    <col min="9512" max="9512" width="20.5703125" style="3" customWidth="1"/>
    <col min="9513" max="9513" width="19.85546875" style="3" customWidth="1"/>
    <col min="9514" max="9521" width="9.140625" style="3"/>
    <col min="9522" max="9522" width="15.5703125" style="3" bestFit="1" customWidth="1"/>
    <col min="9523" max="9523" width="20.5703125" style="3" customWidth="1"/>
    <col min="9524" max="9524" width="18" style="3" customWidth="1"/>
    <col min="9525" max="9525" width="23.5703125" style="3" customWidth="1"/>
    <col min="9526" max="9526" width="19.28515625" style="3" customWidth="1"/>
    <col min="9527" max="9527" width="15.85546875" style="3" customWidth="1"/>
    <col min="9528" max="9528" width="16.85546875" style="3" customWidth="1"/>
    <col min="9529" max="9529" width="16.7109375" style="3" customWidth="1"/>
    <col min="9530" max="9532" width="9.140625" style="3"/>
    <col min="9533" max="9533" width="18.5703125" style="3" customWidth="1"/>
    <col min="9534" max="9729" width="9.140625" style="3"/>
    <col min="9730" max="9730" width="14.28515625" style="3" customWidth="1"/>
    <col min="9731" max="9731" width="25.42578125" style="3" customWidth="1"/>
    <col min="9732" max="9732" width="9.140625" style="3"/>
    <col min="9733" max="9733" width="14.5703125" style="3" customWidth="1"/>
    <col min="9734" max="9734" width="16.7109375" style="3" customWidth="1"/>
    <col min="9735" max="9735" width="20.42578125" style="3" customWidth="1"/>
    <col min="9736" max="9736" width="9.140625" style="3"/>
    <col min="9737" max="9737" width="16.85546875" style="3" customWidth="1"/>
    <col min="9738" max="9738" width="13.28515625" style="3" customWidth="1"/>
    <col min="9739" max="9741" width="13.5703125" style="3" customWidth="1"/>
    <col min="9742" max="9742" width="123.85546875" style="3" customWidth="1"/>
    <col min="9743" max="9748" width="9.140625" style="3"/>
    <col min="9749" max="9749" width="12.7109375" style="3" bestFit="1" customWidth="1"/>
    <col min="9750" max="9750" width="18.85546875" style="3" bestFit="1" customWidth="1"/>
    <col min="9751" max="9751" width="18.42578125" style="3" bestFit="1" customWidth="1"/>
    <col min="9752" max="9752" width="18.85546875" style="3" customWidth="1"/>
    <col min="9753" max="9754" width="16.42578125" style="3" bestFit="1" customWidth="1"/>
    <col min="9755" max="9765" width="9.140625" style="3"/>
    <col min="9766" max="9766" width="19.7109375" style="3" customWidth="1"/>
    <col min="9767" max="9767" width="19.5703125" style="3" customWidth="1"/>
    <col min="9768" max="9768" width="20.5703125" style="3" customWidth="1"/>
    <col min="9769" max="9769" width="19.85546875" style="3" customWidth="1"/>
    <col min="9770" max="9777" width="9.140625" style="3"/>
    <col min="9778" max="9778" width="15.5703125" style="3" bestFit="1" customWidth="1"/>
    <col min="9779" max="9779" width="20.5703125" style="3" customWidth="1"/>
    <col min="9780" max="9780" width="18" style="3" customWidth="1"/>
    <col min="9781" max="9781" width="23.5703125" style="3" customWidth="1"/>
    <col min="9782" max="9782" width="19.28515625" style="3" customWidth="1"/>
    <col min="9783" max="9783" width="15.85546875" style="3" customWidth="1"/>
    <col min="9784" max="9784" width="16.85546875" style="3" customWidth="1"/>
    <col min="9785" max="9785" width="16.7109375" style="3" customWidth="1"/>
    <col min="9786" max="9788" width="9.140625" style="3"/>
    <col min="9789" max="9789" width="18.5703125" style="3" customWidth="1"/>
    <col min="9790" max="9985" width="9.140625" style="3"/>
    <col min="9986" max="9986" width="14.28515625" style="3" customWidth="1"/>
    <col min="9987" max="9987" width="25.42578125" style="3" customWidth="1"/>
    <col min="9988" max="9988" width="9.140625" style="3"/>
    <col min="9989" max="9989" width="14.5703125" style="3" customWidth="1"/>
    <col min="9990" max="9990" width="16.7109375" style="3" customWidth="1"/>
    <col min="9991" max="9991" width="20.42578125" style="3" customWidth="1"/>
    <col min="9992" max="9992" width="9.140625" style="3"/>
    <col min="9993" max="9993" width="16.85546875" style="3" customWidth="1"/>
    <col min="9994" max="9994" width="13.28515625" style="3" customWidth="1"/>
    <col min="9995" max="9997" width="13.5703125" style="3" customWidth="1"/>
    <col min="9998" max="9998" width="123.85546875" style="3" customWidth="1"/>
    <col min="9999" max="10004" width="9.140625" style="3"/>
    <col min="10005" max="10005" width="12.7109375" style="3" bestFit="1" customWidth="1"/>
    <col min="10006" max="10006" width="18.85546875" style="3" bestFit="1" customWidth="1"/>
    <col min="10007" max="10007" width="18.42578125" style="3" bestFit="1" customWidth="1"/>
    <col min="10008" max="10008" width="18.85546875" style="3" customWidth="1"/>
    <col min="10009" max="10010" width="16.42578125" style="3" bestFit="1" customWidth="1"/>
    <col min="10011" max="10021" width="9.140625" style="3"/>
    <col min="10022" max="10022" width="19.7109375" style="3" customWidth="1"/>
    <col min="10023" max="10023" width="19.5703125" style="3" customWidth="1"/>
    <col min="10024" max="10024" width="20.5703125" style="3" customWidth="1"/>
    <col min="10025" max="10025" width="19.85546875" style="3" customWidth="1"/>
    <col min="10026" max="10033" width="9.140625" style="3"/>
    <col min="10034" max="10034" width="15.5703125" style="3" bestFit="1" customWidth="1"/>
    <col min="10035" max="10035" width="20.5703125" style="3" customWidth="1"/>
    <col min="10036" max="10036" width="18" style="3" customWidth="1"/>
    <col min="10037" max="10037" width="23.5703125" style="3" customWidth="1"/>
    <col min="10038" max="10038" width="19.28515625" style="3" customWidth="1"/>
    <col min="10039" max="10039" width="15.85546875" style="3" customWidth="1"/>
    <col min="10040" max="10040" width="16.85546875" style="3" customWidth="1"/>
    <col min="10041" max="10041" width="16.7109375" style="3" customWidth="1"/>
    <col min="10042" max="10044" width="9.140625" style="3"/>
    <col min="10045" max="10045" width="18.5703125" style="3" customWidth="1"/>
    <col min="10046" max="10241" width="9.140625" style="3"/>
    <col min="10242" max="10242" width="14.28515625" style="3" customWidth="1"/>
    <col min="10243" max="10243" width="25.42578125" style="3" customWidth="1"/>
    <col min="10244" max="10244" width="9.140625" style="3"/>
    <col min="10245" max="10245" width="14.5703125" style="3" customWidth="1"/>
    <col min="10246" max="10246" width="16.7109375" style="3" customWidth="1"/>
    <col min="10247" max="10247" width="20.42578125" style="3" customWidth="1"/>
    <col min="10248" max="10248" width="9.140625" style="3"/>
    <col min="10249" max="10249" width="16.85546875" style="3" customWidth="1"/>
    <col min="10250" max="10250" width="13.28515625" style="3" customWidth="1"/>
    <col min="10251" max="10253" width="13.5703125" style="3" customWidth="1"/>
    <col min="10254" max="10254" width="123.85546875" style="3" customWidth="1"/>
    <col min="10255" max="10260" width="9.140625" style="3"/>
    <col min="10261" max="10261" width="12.7109375" style="3" bestFit="1" customWidth="1"/>
    <col min="10262" max="10262" width="18.85546875" style="3" bestFit="1" customWidth="1"/>
    <col min="10263" max="10263" width="18.42578125" style="3" bestFit="1" customWidth="1"/>
    <col min="10264" max="10264" width="18.85546875" style="3" customWidth="1"/>
    <col min="10265" max="10266" width="16.42578125" style="3" bestFit="1" customWidth="1"/>
    <col min="10267" max="10277" width="9.140625" style="3"/>
    <col min="10278" max="10278" width="19.7109375" style="3" customWidth="1"/>
    <col min="10279" max="10279" width="19.5703125" style="3" customWidth="1"/>
    <col min="10280" max="10280" width="20.5703125" style="3" customWidth="1"/>
    <col min="10281" max="10281" width="19.85546875" style="3" customWidth="1"/>
    <col min="10282" max="10289" width="9.140625" style="3"/>
    <col min="10290" max="10290" width="15.5703125" style="3" bestFit="1" customWidth="1"/>
    <col min="10291" max="10291" width="20.5703125" style="3" customWidth="1"/>
    <col min="10292" max="10292" width="18" style="3" customWidth="1"/>
    <col min="10293" max="10293" width="23.5703125" style="3" customWidth="1"/>
    <col min="10294" max="10294" width="19.28515625" style="3" customWidth="1"/>
    <col min="10295" max="10295" width="15.85546875" style="3" customWidth="1"/>
    <col min="10296" max="10296" width="16.85546875" style="3" customWidth="1"/>
    <col min="10297" max="10297" width="16.7109375" style="3" customWidth="1"/>
    <col min="10298" max="10300" width="9.140625" style="3"/>
    <col min="10301" max="10301" width="18.5703125" style="3" customWidth="1"/>
    <col min="10302" max="10497" width="9.140625" style="3"/>
    <col min="10498" max="10498" width="14.28515625" style="3" customWidth="1"/>
    <col min="10499" max="10499" width="25.42578125" style="3" customWidth="1"/>
    <col min="10500" max="10500" width="9.140625" style="3"/>
    <col min="10501" max="10501" width="14.5703125" style="3" customWidth="1"/>
    <col min="10502" max="10502" width="16.7109375" style="3" customWidth="1"/>
    <col min="10503" max="10503" width="20.42578125" style="3" customWidth="1"/>
    <col min="10504" max="10504" width="9.140625" style="3"/>
    <col min="10505" max="10505" width="16.85546875" style="3" customWidth="1"/>
    <col min="10506" max="10506" width="13.28515625" style="3" customWidth="1"/>
    <col min="10507" max="10509" width="13.5703125" style="3" customWidth="1"/>
    <col min="10510" max="10510" width="123.85546875" style="3" customWidth="1"/>
    <col min="10511" max="10516" width="9.140625" style="3"/>
    <col min="10517" max="10517" width="12.7109375" style="3" bestFit="1" customWidth="1"/>
    <col min="10518" max="10518" width="18.85546875" style="3" bestFit="1" customWidth="1"/>
    <col min="10519" max="10519" width="18.42578125" style="3" bestFit="1" customWidth="1"/>
    <col min="10520" max="10520" width="18.85546875" style="3" customWidth="1"/>
    <col min="10521" max="10522" width="16.42578125" style="3" bestFit="1" customWidth="1"/>
    <col min="10523" max="10533" width="9.140625" style="3"/>
    <col min="10534" max="10534" width="19.7109375" style="3" customWidth="1"/>
    <col min="10535" max="10535" width="19.5703125" style="3" customWidth="1"/>
    <col min="10536" max="10536" width="20.5703125" style="3" customWidth="1"/>
    <col min="10537" max="10537" width="19.85546875" style="3" customWidth="1"/>
    <col min="10538" max="10545" width="9.140625" style="3"/>
    <col min="10546" max="10546" width="15.5703125" style="3" bestFit="1" customWidth="1"/>
    <col min="10547" max="10547" width="20.5703125" style="3" customWidth="1"/>
    <col min="10548" max="10548" width="18" style="3" customWidth="1"/>
    <col min="10549" max="10549" width="23.5703125" style="3" customWidth="1"/>
    <col min="10550" max="10550" width="19.28515625" style="3" customWidth="1"/>
    <col min="10551" max="10551" width="15.85546875" style="3" customWidth="1"/>
    <col min="10552" max="10552" width="16.85546875" style="3" customWidth="1"/>
    <col min="10553" max="10553" width="16.7109375" style="3" customWidth="1"/>
    <col min="10554" max="10556" width="9.140625" style="3"/>
    <col min="10557" max="10557" width="18.5703125" style="3" customWidth="1"/>
    <col min="10558" max="10753" width="9.140625" style="3"/>
    <col min="10754" max="10754" width="14.28515625" style="3" customWidth="1"/>
    <col min="10755" max="10755" width="25.42578125" style="3" customWidth="1"/>
    <col min="10756" max="10756" width="9.140625" style="3"/>
    <col min="10757" max="10757" width="14.5703125" style="3" customWidth="1"/>
    <col min="10758" max="10758" width="16.7109375" style="3" customWidth="1"/>
    <col min="10759" max="10759" width="20.42578125" style="3" customWidth="1"/>
    <col min="10760" max="10760" width="9.140625" style="3"/>
    <col min="10761" max="10761" width="16.85546875" style="3" customWidth="1"/>
    <col min="10762" max="10762" width="13.28515625" style="3" customWidth="1"/>
    <col min="10763" max="10765" width="13.5703125" style="3" customWidth="1"/>
    <col min="10766" max="10766" width="123.85546875" style="3" customWidth="1"/>
    <col min="10767" max="10772" width="9.140625" style="3"/>
    <col min="10773" max="10773" width="12.7109375" style="3" bestFit="1" customWidth="1"/>
    <col min="10774" max="10774" width="18.85546875" style="3" bestFit="1" customWidth="1"/>
    <col min="10775" max="10775" width="18.42578125" style="3" bestFit="1" customWidth="1"/>
    <col min="10776" max="10776" width="18.85546875" style="3" customWidth="1"/>
    <col min="10777" max="10778" width="16.42578125" style="3" bestFit="1" customWidth="1"/>
    <col min="10779" max="10789" width="9.140625" style="3"/>
    <col min="10790" max="10790" width="19.7109375" style="3" customWidth="1"/>
    <col min="10791" max="10791" width="19.5703125" style="3" customWidth="1"/>
    <col min="10792" max="10792" width="20.5703125" style="3" customWidth="1"/>
    <col min="10793" max="10793" width="19.85546875" style="3" customWidth="1"/>
    <col min="10794" max="10801" width="9.140625" style="3"/>
    <col min="10802" max="10802" width="15.5703125" style="3" bestFit="1" customWidth="1"/>
    <col min="10803" max="10803" width="20.5703125" style="3" customWidth="1"/>
    <col min="10804" max="10804" width="18" style="3" customWidth="1"/>
    <col min="10805" max="10805" width="23.5703125" style="3" customWidth="1"/>
    <col min="10806" max="10806" width="19.28515625" style="3" customWidth="1"/>
    <col min="10807" max="10807" width="15.85546875" style="3" customWidth="1"/>
    <col min="10808" max="10808" width="16.85546875" style="3" customWidth="1"/>
    <col min="10809" max="10809" width="16.7109375" style="3" customWidth="1"/>
    <col min="10810" max="10812" width="9.140625" style="3"/>
    <col min="10813" max="10813" width="18.5703125" style="3" customWidth="1"/>
    <col min="10814" max="11009" width="9.140625" style="3"/>
    <col min="11010" max="11010" width="14.28515625" style="3" customWidth="1"/>
    <col min="11011" max="11011" width="25.42578125" style="3" customWidth="1"/>
    <col min="11012" max="11012" width="9.140625" style="3"/>
    <col min="11013" max="11013" width="14.5703125" style="3" customWidth="1"/>
    <col min="11014" max="11014" width="16.7109375" style="3" customWidth="1"/>
    <col min="11015" max="11015" width="20.42578125" style="3" customWidth="1"/>
    <col min="11016" max="11016" width="9.140625" style="3"/>
    <col min="11017" max="11017" width="16.85546875" style="3" customWidth="1"/>
    <col min="11018" max="11018" width="13.28515625" style="3" customWidth="1"/>
    <col min="11019" max="11021" width="13.5703125" style="3" customWidth="1"/>
    <col min="11022" max="11022" width="123.85546875" style="3" customWidth="1"/>
    <col min="11023" max="11028" width="9.140625" style="3"/>
    <col min="11029" max="11029" width="12.7109375" style="3" bestFit="1" customWidth="1"/>
    <col min="11030" max="11030" width="18.85546875" style="3" bestFit="1" customWidth="1"/>
    <col min="11031" max="11031" width="18.42578125" style="3" bestFit="1" customWidth="1"/>
    <col min="11032" max="11032" width="18.85546875" style="3" customWidth="1"/>
    <col min="11033" max="11034" width="16.42578125" style="3" bestFit="1" customWidth="1"/>
    <col min="11035" max="11045" width="9.140625" style="3"/>
    <col min="11046" max="11046" width="19.7109375" style="3" customWidth="1"/>
    <col min="11047" max="11047" width="19.5703125" style="3" customWidth="1"/>
    <col min="11048" max="11048" width="20.5703125" style="3" customWidth="1"/>
    <col min="11049" max="11049" width="19.85546875" style="3" customWidth="1"/>
    <col min="11050" max="11057" width="9.140625" style="3"/>
    <col min="11058" max="11058" width="15.5703125" style="3" bestFit="1" customWidth="1"/>
    <col min="11059" max="11059" width="20.5703125" style="3" customWidth="1"/>
    <col min="11060" max="11060" width="18" style="3" customWidth="1"/>
    <col min="11061" max="11061" width="23.5703125" style="3" customWidth="1"/>
    <col min="11062" max="11062" width="19.28515625" style="3" customWidth="1"/>
    <col min="11063" max="11063" width="15.85546875" style="3" customWidth="1"/>
    <col min="11064" max="11064" width="16.85546875" style="3" customWidth="1"/>
    <col min="11065" max="11065" width="16.7109375" style="3" customWidth="1"/>
    <col min="11066" max="11068" width="9.140625" style="3"/>
    <col min="11069" max="11069" width="18.5703125" style="3" customWidth="1"/>
    <col min="11070" max="11265" width="9.140625" style="3"/>
    <col min="11266" max="11266" width="14.28515625" style="3" customWidth="1"/>
    <col min="11267" max="11267" width="25.42578125" style="3" customWidth="1"/>
    <col min="11268" max="11268" width="9.140625" style="3"/>
    <col min="11269" max="11269" width="14.5703125" style="3" customWidth="1"/>
    <col min="11270" max="11270" width="16.7109375" style="3" customWidth="1"/>
    <col min="11271" max="11271" width="20.42578125" style="3" customWidth="1"/>
    <col min="11272" max="11272" width="9.140625" style="3"/>
    <col min="11273" max="11273" width="16.85546875" style="3" customWidth="1"/>
    <col min="11274" max="11274" width="13.28515625" style="3" customWidth="1"/>
    <col min="11275" max="11277" width="13.5703125" style="3" customWidth="1"/>
    <col min="11278" max="11278" width="123.85546875" style="3" customWidth="1"/>
    <col min="11279" max="11284" width="9.140625" style="3"/>
    <col min="11285" max="11285" width="12.7109375" style="3" bestFit="1" customWidth="1"/>
    <col min="11286" max="11286" width="18.85546875" style="3" bestFit="1" customWidth="1"/>
    <col min="11287" max="11287" width="18.42578125" style="3" bestFit="1" customWidth="1"/>
    <col min="11288" max="11288" width="18.85546875" style="3" customWidth="1"/>
    <col min="11289" max="11290" width="16.42578125" style="3" bestFit="1" customWidth="1"/>
    <col min="11291" max="11301" width="9.140625" style="3"/>
    <col min="11302" max="11302" width="19.7109375" style="3" customWidth="1"/>
    <col min="11303" max="11303" width="19.5703125" style="3" customWidth="1"/>
    <col min="11304" max="11304" width="20.5703125" style="3" customWidth="1"/>
    <col min="11305" max="11305" width="19.85546875" style="3" customWidth="1"/>
    <col min="11306" max="11313" width="9.140625" style="3"/>
    <col min="11314" max="11314" width="15.5703125" style="3" bestFit="1" customWidth="1"/>
    <col min="11315" max="11315" width="20.5703125" style="3" customWidth="1"/>
    <col min="11316" max="11316" width="18" style="3" customWidth="1"/>
    <col min="11317" max="11317" width="23.5703125" style="3" customWidth="1"/>
    <col min="11318" max="11318" width="19.28515625" style="3" customWidth="1"/>
    <col min="11319" max="11319" width="15.85546875" style="3" customWidth="1"/>
    <col min="11320" max="11320" width="16.85546875" style="3" customWidth="1"/>
    <col min="11321" max="11321" width="16.7109375" style="3" customWidth="1"/>
    <col min="11322" max="11324" width="9.140625" style="3"/>
    <col min="11325" max="11325" width="18.5703125" style="3" customWidth="1"/>
    <col min="11326" max="11521" width="9.140625" style="3"/>
    <col min="11522" max="11522" width="14.28515625" style="3" customWidth="1"/>
    <col min="11523" max="11523" width="25.42578125" style="3" customWidth="1"/>
    <col min="11524" max="11524" width="9.140625" style="3"/>
    <col min="11525" max="11525" width="14.5703125" style="3" customWidth="1"/>
    <col min="11526" max="11526" width="16.7109375" style="3" customWidth="1"/>
    <col min="11527" max="11527" width="20.42578125" style="3" customWidth="1"/>
    <col min="11528" max="11528" width="9.140625" style="3"/>
    <col min="11529" max="11529" width="16.85546875" style="3" customWidth="1"/>
    <col min="11530" max="11530" width="13.28515625" style="3" customWidth="1"/>
    <col min="11531" max="11533" width="13.5703125" style="3" customWidth="1"/>
    <col min="11534" max="11534" width="123.85546875" style="3" customWidth="1"/>
    <col min="11535" max="11540" width="9.140625" style="3"/>
    <col min="11541" max="11541" width="12.7109375" style="3" bestFit="1" customWidth="1"/>
    <col min="11542" max="11542" width="18.85546875" style="3" bestFit="1" customWidth="1"/>
    <col min="11543" max="11543" width="18.42578125" style="3" bestFit="1" customWidth="1"/>
    <col min="11544" max="11544" width="18.85546875" style="3" customWidth="1"/>
    <col min="11545" max="11546" width="16.42578125" style="3" bestFit="1" customWidth="1"/>
    <col min="11547" max="11557" width="9.140625" style="3"/>
    <col min="11558" max="11558" width="19.7109375" style="3" customWidth="1"/>
    <col min="11559" max="11559" width="19.5703125" style="3" customWidth="1"/>
    <col min="11560" max="11560" width="20.5703125" style="3" customWidth="1"/>
    <col min="11561" max="11561" width="19.85546875" style="3" customWidth="1"/>
    <col min="11562" max="11569" width="9.140625" style="3"/>
    <col min="11570" max="11570" width="15.5703125" style="3" bestFit="1" customWidth="1"/>
    <col min="11571" max="11571" width="20.5703125" style="3" customWidth="1"/>
    <col min="11572" max="11572" width="18" style="3" customWidth="1"/>
    <col min="11573" max="11573" width="23.5703125" style="3" customWidth="1"/>
    <col min="11574" max="11574" width="19.28515625" style="3" customWidth="1"/>
    <col min="11575" max="11575" width="15.85546875" style="3" customWidth="1"/>
    <col min="11576" max="11576" width="16.85546875" style="3" customWidth="1"/>
    <col min="11577" max="11577" width="16.7109375" style="3" customWidth="1"/>
    <col min="11578" max="11580" width="9.140625" style="3"/>
    <col min="11581" max="11581" width="18.5703125" style="3" customWidth="1"/>
    <col min="11582" max="11777" width="9.140625" style="3"/>
    <col min="11778" max="11778" width="14.28515625" style="3" customWidth="1"/>
    <col min="11779" max="11779" width="25.42578125" style="3" customWidth="1"/>
    <col min="11780" max="11780" width="9.140625" style="3"/>
    <col min="11781" max="11781" width="14.5703125" style="3" customWidth="1"/>
    <col min="11782" max="11782" width="16.7109375" style="3" customWidth="1"/>
    <col min="11783" max="11783" width="20.42578125" style="3" customWidth="1"/>
    <col min="11784" max="11784" width="9.140625" style="3"/>
    <col min="11785" max="11785" width="16.85546875" style="3" customWidth="1"/>
    <col min="11786" max="11786" width="13.28515625" style="3" customWidth="1"/>
    <col min="11787" max="11789" width="13.5703125" style="3" customWidth="1"/>
    <col min="11790" max="11790" width="123.85546875" style="3" customWidth="1"/>
    <col min="11791" max="11796" width="9.140625" style="3"/>
    <col min="11797" max="11797" width="12.7109375" style="3" bestFit="1" customWidth="1"/>
    <col min="11798" max="11798" width="18.85546875" style="3" bestFit="1" customWidth="1"/>
    <col min="11799" max="11799" width="18.42578125" style="3" bestFit="1" customWidth="1"/>
    <col min="11800" max="11800" width="18.85546875" style="3" customWidth="1"/>
    <col min="11801" max="11802" width="16.42578125" style="3" bestFit="1" customWidth="1"/>
    <col min="11803" max="11813" width="9.140625" style="3"/>
    <col min="11814" max="11814" width="19.7109375" style="3" customWidth="1"/>
    <col min="11815" max="11815" width="19.5703125" style="3" customWidth="1"/>
    <col min="11816" max="11816" width="20.5703125" style="3" customWidth="1"/>
    <col min="11817" max="11817" width="19.85546875" style="3" customWidth="1"/>
    <col min="11818" max="11825" width="9.140625" style="3"/>
    <col min="11826" max="11826" width="15.5703125" style="3" bestFit="1" customWidth="1"/>
    <col min="11827" max="11827" width="20.5703125" style="3" customWidth="1"/>
    <col min="11828" max="11828" width="18" style="3" customWidth="1"/>
    <col min="11829" max="11829" width="23.5703125" style="3" customWidth="1"/>
    <col min="11830" max="11830" width="19.28515625" style="3" customWidth="1"/>
    <col min="11831" max="11831" width="15.85546875" style="3" customWidth="1"/>
    <col min="11832" max="11832" width="16.85546875" style="3" customWidth="1"/>
    <col min="11833" max="11833" width="16.7109375" style="3" customWidth="1"/>
    <col min="11834" max="11836" width="9.140625" style="3"/>
    <col min="11837" max="11837" width="18.5703125" style="3" customWidth="1"/>
    <col min="11838" max="12033" width="9.140625" style="3"/>
    <col min="12034" max="12034" width="14.28515625" style="3" customWidth="1"/>
    <col min="12035" max="12035" width="25.42578125" style="3" customWidth="1"/>
    <col min="12036" max="12036" width="9.140625" style="3"/>
    <col min="12037" max="12037" width="14.5703125" style="3" customWidth="1"/>
    <col min="12038" max="12038" width="16.7109375" style="3" customWidth="1"/>
    <col min="12039" max="12039" width="20.42578125" style="3" customWidth="1"/>
    <col min="12040" max="12040" width="9.140625" style="3"/>
    <col min="12041" max="12041" width="16.85546875" style="3" customWidth="1"/>
    <col min="12042" max="12042" width="13.28515625" style="3" customWidth="1"/>
    <col min="12043" max="12045" width="13.5703125" style="3" customWidth="1"/>
    <col min="12046" max="12046" width="123.85546875" style="3" customWidth="1"/>
    <col min="12047" max="12052" width="9.140625" style="3"/>
    <col min="12053" max="12053" width="12.7109375" style="3" bestFit="1" customWidth="1"/>
    <col min="12054" max="12054" width="18.85546875" style="3" bestFit="1" customWidth="1"/>
    <col min="12055" max="12055" width="18.42578125" style="3" bestFit="1" customWidth="1"/>
    <col min="12056" max="12056" width="18.85546875" style="3" customWidth="1"/>
    <col min="12057" max="12058" width="16.42578125" style="3" bestFit="1" customWidth="1"/>
    <col min="12059" max="12069" width="9.140625" style="3"/>
    <col min="12070" max="12070" width="19.7109375" style="3" customWidth="1"/>
    <col min="12071" max="12071" width="19.5703125" style="3" customWidth="1"/>
    <col min="12072" max="12072" width="20.5703125" style="3" customWidth="1"/>
    <col min="12073" max="12073" width="19.85546875" style="3" customWidth="1"/>
    <col min="12074" max="12081" width="9.140625" style="3"/>
    <col min="12082" max="12082" width="15.5703125" style="3" bestFit="1" customWidth="1"/>
    <col min="12083" max="12083" width="20.5703125" style="3" customWidth="1"/>
    <col min="12084" max="12084" width="18" style="3" customWidth="1"/>
    <col min="12085" max="12085" width="23.5703125" style="3" customWidth="1"/>
    <col min="12086" max="12086" width="19.28515625" style="3" customWidth="1"/>
    <col min="12087" max="12087" width="15.85546875" style="3" customWidth="1"/>
    <col min="12088" max="12088" width="16.85546875" style="3" customWidth="1"/>
    <col min="12089" max="12089" width="16.7109375" style="3" customWidth="1"/>
    <col min="12090" max="12092" width="9.140625" style="3"/>
    <col min="12093" max="12093" width="18.5703125" style="3" customWidth="1"/>
    <col min="12094" max="12289" width="9.140625" style="3"/>
    <col min="12290" max="12290" width="14.28515625" style="3" customWidth="1"/>
    <col min="12291" max="12291" width="25.42578125" style="3" customWidth="1"/>
    <col min="12292" max="12292" width="9.140625" style="3"/>
    <col min="12293" max="12293" width="14.5703125" style="3" customWidth="1"/>
    <col min="12294" max="12294" width="16.7109375" style="3" customWidth="1"/>
    <col min="12295" max="12295" width="20.42578125" style="3" customWidth="1"/>
    <col min="12296" max="12296" width="9.140625" style="3"/>
    <col min="12297" max="12297" width="16.85546875" style="3" customWidth="1"/>
    <col min="12298" max="12298" width="13.28515625" style="3" customWidth="1"/>
    <col min="12299" max="12301" width="13.5703125" style="3" customWidth="1"/>
    <col min="12302" max="12302" width="123.85546875" style="3" customWidth="1"/>
    <col min="12303" max="12308" width="9.140625" style="3"/>
    <col min="12309" max="12309" width="12.7109375" style="3" bestFit="1" customWidth="1"/>
    <col min="12310" max="12310" width="18.85546875" style="3" bestFit="1" customWidth="1"/>
    <col min="12311" max="12311" width="18.42578125" style="3" bestFit="1" customWidth="1"/>
    <col min="12312" max="12312" width="18.85546875" style="3" customWidth="1"/>
    <col min="12313" max="12314" width="16.42578125" style="3" bestFit="1" customWidth="1"/>
    <col min="12315" max="12325" width="9.140625" style="3"/>
    <col min="12326" max="12326" width="19.7109375" style="3" customWidth="1"/>
    <col min="12327" max="12327" width="19.5703125" style="3" customWidth="1"/>
    <col min="12328" max="12328" width="20.5703125" style="3" customWidth="1"/>
    <col min="12329" max="12329" width="19.85546875" style="3" customWidth="1"/>
    <col min="12330" max="12337" width="9.140625" style="3"/>
    <col min="12338" max="12338" width="15.5703125" style="3" bestFit="1" customWidth="1"/>
    <col min="12339" max="12339" width="20.5703125" style="3" customWidth="1"/>
    <col min="12340" max="12340" width="18" style="3" customWidth="1"/>
    <col min="12341" max="12341" width="23.5703125" style="3" customWidth="1"/>
    <col min="12342" max="12342" width="19.28515625" style="3" customWidth="1"/>
    <col min="12343" max="12343" width="15.85546875" style="3" customWidth="1"/>
    <col min="12344" max="12344" width="16.85546875" style="3" customWidth="1"/>
    <col min="12345" max="12345" width="16.7109375" style="3" customWidth="1"/>
    <col min="12346" max="12348" width="9.140625" style="3"/>
    <col min="12349" max="12349" width="18.5703125" style="3" customWidth="1"/>
    <col min="12350" max="12545" width="9.140625" style="3"/>
    <col min="12546" max="12546" width="14.28515625" style="3" customWidth="1"/>
    <col min="12547" max="12547" width="25.42578125" style="3" customWidth="1"/>
    <col min="12548" max="12548" width="9.140625" style="3"/>
    <col min="12549" max="12549" width="14.5703125" style="3" customWidth="1"/>
    <col min="12550" max="12550" width="16.7109375" style="3" customWidth="1"/>
    <col min="12551" max="12551" width="20.42578125" style="3" customWidth="1"/>
    <col min="12552" max="12552" width="9.140625" style="3"/>
    <col min="12553" max="12553" width="16.85546875" style="3" customWidth="1"/>
    <col min="12554" max="12554" width="13.28515625" style="3" customWidth="1"/>
    <col min="12555" max="12557" width="13.5703125" style="3" customWidth="1"/>
    <col min="12558" max="12558" width="123.85546875" style="3" customWidth="1"/>
    <col min="12559" max="12564" width="9.140625" style="3"/>
    <col min="12565" max="12565" width="12.7109375" style="3" bestFit="1" customWidth="1"/>
    <col min="12566" max="12566" width="18.85546875" style="3" bestFit="1" customWidth="1"/>
    <col min="12567" max="12567" width="18.42578125" style="3" bestFit="1" customWidth="1"/>
    <col min="12568" max="12568" width="18.85546875" style="3" customWidth="1"/>
    <col min="12569" max="12570" width="16.42578125" style="3" bestFit="1" customWidth="1"/>
    <col min="12571" max="12581" width="9.140625" style="3"/>
    <col min="12582" max="12582" width="19.7109375" style="3" customWidth="1"/>
    <col min="12583" max="12583" width="19.5703125" style="3" customWidth="1"/>
    <col min="12584" max="12584" width="20.5703125" style="3" customWidth="1"/>
    <col min="12585" max="12585" width="19.85546875" style="3" customWidth="1"/>
    <col min="12586" max="12593" width="9.140625" style="3"/>
    <col min="12594" max="12594" width="15.5703125" style="3" bestFit="1" customWidth="1"/>
    <col min="12595" max="12595" width="20.5703125" style="3" customWidth="1"/>
    <col min="12596" max="12596" width="18" style="3" customWidth="1"/>
    <col min="12597" max="12597" width="23.5703125" style="3" customWidth="1"/>
    <col min="12598" max="12598" width="19.28515625" style="3" customWidth="1"/>
    <col min="12599" max="12599" width="15.85546875" style="3" customWidth="1"/>
    <col min="12600" max="12600" width="16.85546875" style="3" customWidth="1"/>
    <col min="12601" max="12601" width="16.7109375" style="3" customWidth="1"/>
    <col min="12602" max="12604" width="9.140625" style="3"/>
    <col min="12605" max="12605" width="18.5703125" style="3" customWidth="1"/>
    <col min="12606" max="12801" width="9.140625" style="3"/>
    <col min="12802" max="12802" width="14.28515625" style="3" customWidth="1"/>
    <col min="12803" max="12803" width="25.42578125" style="3" customWidth="1"/>
    <col min="12804" max="12804" width="9.140625" style="3"/>
    <col min="12805" max="12805" width="14.5703125" style="3" customWidth="1"/>
    <col min="12806" max="12806" width="16.7109375" style="3" customWidth="1"/>
    <col min="12807" max="12807" width="20.42578125" style="3" customWidth="1"/>
    <col min="12808" max="12808" width="9.140625" style="3"/>
    <col min="12809" max="12809" width="16.85546875" style="3" customWidth="1"/>
    <col min="12810" max="12810" width="13.28515625" style="3" customWidth="1"/>
    <col min="12811" max="12813" width="13.5703125" style="3" customWidth="1"/>
    <col min="12814" max="12814" width="123.85546875" style="3" customWidth="1"/>
    <col min="12815" max="12820" width="9.140625" style="3"/>
    <col min="12821" max="12821" width="12.7109375" style="3" bestFit="1" customWidth="1"/>
    <col min="12822" max="12822" width="18.85546875" style="3" bestFit="1" customWidth="1"/>
    <col min="12823" max="12823" width="18.42578125" style="3" bestFit="1" customWidth="1"/>
    <col min="12824" max="12824" width="18.85546875" style="3" customWidth="1"/>
    <col min="12825" max="12826" width="16.42578125" style="3" bestFit="1" customWidth="1"/>
    <col min="12827" max="12837" width="9.140625" style="3"/>
    <col min="12838" max="12838" width="19.7109375" style="3" customWidth="1"/>
    <col min="12839" max="12839" width="19.5703125" style="3" customWidth="1"/>
    <col min="12840" max="12840" width="20.5703125" style="3" customWidth="1"/>
    <col min="12841" max="12841" width="19.85546875" style="3" customWidth="1"/>
    <col min="12842" max="12849" width="9.140625" style="3"/>
    <col min="12850" max="12850" width="15.5703125" style="3" bestFit="1" customWidth="1"/>
    <col min="12851" max="12851" width="20.5703125" style="3" customWidth="1"/>
    <col min="12852" max="12852" width="18" style="3" customWidth="1"/>
    <col min="12853" max="12853" width="23.5703125" style="3" customWidth="1"/>
    <col min="12854" max="12854" width="19.28515625" style="3" customWidth="1"/>
    <col min="12855" max="12855" width="15.85546875" style="3" customWidth="1"/>
    <col min="12856" max="12856" width="16.85546875" style="3" customWidth="1"/>
    <col min="12857" max="12857" width="16.7109375" style="3" customWidth="1"/>
    <col min="12858" max="12860" width="9.140625" style="3"/>
    <col min="12861" max="12861" width="18.5703125" style="3" customWidth="1"/>
    <col min="12862" max="13057" width="9.140625" style="3"/>
    <col min="13058" max="13058" width="14.28515625" style="3" customWidth="1"/>
    <col min="13059" max="13059" width="25.42578125" style="3" customWidth="1"/>
    <col min="13060" max="13060" width="9.140625" style="3"/>
    <col min="13061" max="13061" width="14.5703125" style="3" customWidth="1"/>
    <col min="13062" max="13062" width="16.7109375" style="3" customWidth="1"/>
    <col min="13063" max="13063" width="20.42578125" style="3" customWidth="1"/>
    <col min="13064" max="13064" width="9.140625" style="3"/>
    <col min="13065" max="13065" width="16.85546875" style="3" customWidth="1"/>
    <col min="13066" max="13066" width="13.28515625" style="3" customWidth="1"/>
    <col min="13067" max="13069" width="13.5703125" style="3" customWidth="1"/>
    <col min="13070" max="13070" width="123.85546875" style="3" customWidth="1"/>
    <col min="13071" max="13076" width="9.140625" style="3"/>
    <col min="13077" max="13077" width="12.7109375" style="3" bestFit="1" customWidth="1"/>
    <col min="13078" max="13078" width="18.85546875" style="3" bestFit="1" customWidth="1"/>
    <col min="13079" max="13079" width="18.42578125" style="3" bestFit="1" customWidth="1"/>
    <col min="13080" max="13080" width="18.85546875" style="3" customWidth="1"/>
    <col min="13081" max="13082" width="16.42578125" style="3" bestFit="1" customWidth="1"/>
    <col min="13083" max="13093" width="9.140625" style="3"/>
    <col min="13094" max="13094" width="19.7109375" style="3" customWidth="1"/>
    <col min="13095" max="13095" width="19.5703125" style="3" customWidth="1"/>
    <col min="13096" max="13096" width="20.5703125" style="3" customWidth="1"/>
    <col min="13097" max="13097" width="19.85546875" style="3" customWidth="1"/>
    <col min="13098" max="13105" width="9.140625" style="3"/>
    <col min="13106" max="13106" width="15.5703125" style="3" bestFit="1" customWidth="1"/>
    <col min="13107" max="13107" width="20.5703125" style="3" customWidth="1"/>
    <col min="13108" max="13108" width="18" style="3" customWidth="1"/>
    <col min="13109" max="13109" width="23.5703125" style="3" customWidth="1"/>
    <col min="13110" max="13110" width="19.28515625" style="3" customWidth="1"/>
    <col min="13111" max="13111" width="15.85546875" style="3" customWidth="1"/>
    <col min="13112" max="13112" width="16.85546875" style="3" customWidth="1"/>
    <col min="13113" max="13113" width="16.7109375" style="3" customWidth="1"/>
    <col min="13114" max="13116" width="9.140625" style="3"/>
    <col min="13117" max="13117" width="18.5703125" style="3" customWidth="1"/>
    <col min="13118" max="13313" width="9.140625" style="3"/>
    <col min="13314" max="13314" width="14.28515625" style="3" customWidth="1"/>
    <col min="13315" max="13315" width="25.42578125" style="3" customWidth="1"/>
    <col min="13316" max="13316" width="9.140625" style="3"/>
    <col min="13317" max="13317" width="14.5703125" style="3" customWidth="1"/>
    <col min="13318" max="13318" width="16.7109375" style="3" customWidth="1"/>
    <col min="13319" max="13319" width="20.42578125" style="3" customWidth="1"/>
    <col min="13320" max="13320" width="9.140625" style="3"/>
    <col min="13321" max="13321" width="16.85546875" style="3" customWidth="1"/>
    <col min="13322" max="13322" width="13.28515625" style="3" customWidth="1"/>
    <col min="13323" max="13325" width="13.5703125" style="3" customWidth="1"/>
    <col min="13326" max="13326" width="123.85546875" style="3" customWidth="1"/>
    <col min="13327" max="13332" width="9.140625" style="3"/>
    <col min="13333" max="13333" width="12.7109375" style="3" bestFit="1" customWidth="1"/>
    <col min="13334" max="13334" width="18.85546875" style="3" bestFit="1" customWidth="1"/>
    <col min="13335" max="13335" width="18.42578125" style="3" bestFit="1" customWidth="1"/>
    <col min="13336" max="13336" width="18.85546875" style="3" customWidth="1"/>
    <col min="13337" max="13338" width="16.42578125" style="3" bestFit="1" customWidth="1"/>
    <col min="13339" max="13349" width="9.140625" style="3"/>
    <col min="13350" max="13350" width="19.7109375" style="3" customWidth="1"/>
    <col min="13351" max="13351" width="19.5703125" style="3" customWidth="1"/>
    <col min="13352" max="13352" width="20.5703125" style="3" customWidth="1"/>
    <col min="13353" max="13353" width="19.85546875" style="3" customWidth="1"/>
    <col min="13354" max="13361" width="9.140625" style="3"/>
    <col min="13362" max="13362" width="15.5703125" style="3" bestFit="1" customWidth="1"/>
    <col min="13363" max="13363" width="20.5703125" style="3" customWidth="1"/>
    <col min="13364" max="13364" width="18" style="3" customWidth="1"/>
    <col min="13365" max="13365" width="23.5703125" style="3" customWidth="1"/>
    <col min="13366" max="13366" width="19.28515625" style="3" customWidth="1"/>
    <col min="13367" max="13367" width="15.85546875" style="3" customWidth="1"/>
    <col min="13368" max="13368" width="16.85546875" style="3" customWidth="1"/>
    <col min="13369" max="13369" width="16.7109375" style="3" customWidth="1"/>
    <col min="13370" max="13372" width="9.140625" style="3"/>
    <col min="13373" max="13373" width="18.5703125" style="3" customWidth="1"/>
    <col min="13374" max="13569" width="9.140625" style="3"/>
    <col min="13570" max="13570" width="14.28515625" style="3" customWidth="1"/>
    <col min="13571" max="13571" width="25.42578125" style="3" customWidth="1"/>
    <col min="13572" max="13572" width="9.140625" style="3"/>
    <col min="13573" max="13573" width="14.5703125" style="3" customWidth="1"/>
    <col min="13574" max="13574" width="16.7109375" style="3" customWidth="1"/>
    <col min="13575" max="13575" width="20.42578125" style="3" customWidth="1"/>
    <col min="13576" max="13576" width="9.140625" style="3"/>
    <col min="13577" max="13577" width="16.85546875" style="3" customWidth="1"/>
    <col min="13578" max="13578" width="13.28515625" style="3" customWidth="1"/>
    <col min="13579" max="13581" width="13.5703125" style="3" customWidth="1"/>
    <col min="13582" max="13582" width="123.85546875" style="3" customWidth="1"/>
    <col min="13583" max="13588" width="9.140625" style="3"/>
    <col min="13589" max="13589" width="12.7109375" style="3" bestFit="1" customWidth="1"/>
    <col min="13590" max="13590" width="18.85546875" style="3" bestFit="1" customWidth="1"/>
    <col min="13591" max="13591" width="18.42578125" style="3" bestFit="1" customWidth="1"/>
    <col min="13592" max="13592" width="18.85546875" style="3" customWidth="1"/>
    <col min="13593" max="13594" width="16.42578125" style="3" bestFit="1" customWidth="1"/>
    <col min="13595" max="13605" width="9.140625" style="3"/>
    <col min="13606" max="13606" width="19.7109375" style="3" customWidth="1"/>
    <col min="13607" max="13607" width="19.5703125" style="3" customWidth="1"/>
    <col min="13608" max="13608" width="20.5703125" style="3" customWidth="1"/>
    <col min="13609" max="13609" width="19.85546875" style="3" customWidth="1"/>
    <col min="13610" max="13617" width="9.140625" style="3"/>
    <col min="13618" max="13618" width="15.5703125" style="3" bestFit="1" customWidth="1"/>
    <col min="13619" max="13619" width="20.5703125" style="3" customWidth="1"/>
    <col min="13620" max="13620" width="18" style="3" customWidth="1"/>
    <col min="13621" max="13621" width="23.5703125" style="3" customWidth="1"/>
    <col min="13622" max="13622" width="19.28515625" style="3" customWidth="1"/>
    <col min="13623" max="13623" width="15.85546875" style="3" customWidth="1"/>
    <col min="13624" max="13624" width="16.85546875" style="3" customWidth="1"/>
    <col min="13625" max="13625" width="16.7109375" style="3" customWidth="1"/>
    <col min="13626" max="13628" width="9.140625" style="3"/>
    <col min="13629" max="13629" width="18.5703125" style="3" customWidth="1"/>
    <col min="13630" max="13825" width="9.140625" style="3"/>
    <col min="13826" max="13826" width="14.28515625" style="3" customWidth="1"/>
    <col min="13827" max="13827" width="25.42578125" style="3" customWidth="1"/>
    <col min="13828" max="13828" width="9.140625" style="3"/>
    <col min="13829" max="13829" width="14.5703125" style="3" customWidth="1"/>
    <col min="13830" max="13830" width="16.7109375" style="3" customWidth="1"/>
    <col min="13831" max="13831" width="20.42578125" style="3" customWidth="1"/>
    <col min="13832" max="13832" width="9.140625" style="3"/>
    <col min="13833" max="13833" width="16.85546875" style="3" customWidth="1"/>
    <col min="13834" max="13834" width="13.28515625" style="3" customWidth="1"/>
    <col min="13835" max="13837" width="13.5703125" style="3" customWidth="1"/>
    <col min="13838" max="13838" width="123.85546875" style="3" customWidth="1"/>
    <col min="13839" max="13844" width="9.140625" style="3"/>
    <col min="13845" max="13845" width="12.7109375" style="3" bestFit="1" customWidth="1"/>
    <col min="13846" max="13846" width="18.85546875" style="3" bestFit="1" customWidth="1"/>
    <col min="13847" max="13847" width="18.42578125" style="3" bestFit="1" customWidth="1"/>
    <col min="13848" max="13848" width="18.85546875" style="3" customWidth="1"/>
    <col min="13849" max="13850" width="16.42578125" style="3" bestFit="1" customWidth="1"/>
    <col min="13851" max="13861" width="9.140625" style="3"/>
    <col min="13862" max="13862" width="19.7109375" style="3" customWidth="1"/>
    <col min="13863" max="13863" width="19.5703125" style="3" customWidth="1"/>
    <col min="13864" max="13864" width="20.5703125" style="3" customWidth="1"/>
    <col min="13865" max="13865" width="19.85546875" style="3" customWidth="1"/>
    <col min="13866" max="13873" width="9.140625" style="3"/>
    <col min="13874" max="13874" width="15.5703125" style="3" bestFit="1" customWidth="1"/>
    <col min="13875" max="13875" width="20.5703125" style="3" customWidth="1"/>
    <col min="13876" max="13876" width="18" style="3" customWidth="1"/>
    <col min="13877" max="13877" width="23.5703125" style="3" customWidth="1"/>
    <col min="13878" max="13878" width="19.28515625" style="3" customWidth="1"/>
    <col min="13879" max="13879" width="15.85546875" style="3" customWidth="1"/>
    <col min="13880" max="13880" width="16.85546875" style="3" customWidth="1"/>
    <col min="13881" max="13881" width="16.7109375" style="3" customWidth="1"/>
    <col min="13882" max="13884" width="9.140625" style="3"/>
    <col min="13885" max="13885" width="18.5703125" style="3" customWidth="1"/>
    <col min="13886" max="14081" width="9.140625" style="3"/>
    <col min="14082" max="14082" width="14.28515625" style="3" customWidth="1"/>
    <col min="14083" max="14083" width="25.42578125" style="3" customWidth="1"/>
    <col min="14084" max="14084" width="9.140625" style="3"/>
    <col min="14085" max="14085" width="14.5703125" style="3" customWidth="1"/>
    <col min="14086" max="14086" width="16.7109375" style="3" customWidth="1"/>
    <col min="14087" max="14087" width="20.42578125" style="3" customWidth="1"/>
    <col min="14088" max="14088" width="9.140625" style="3"/>
    <col min="14089" max="14089" width="16.85546875" style="3" customWidth="1"/>
    <col min="14090" max="14090" width="13.28515625" style="3" customWidth="1"/>
    <col min="14091" max="14093" width="13.5703125" style="3" customWidth="1"/>
    <col min="14094" max="14094" width="123.85546875" style="3" customWidth="1"/>
    <col min="14095" max="14100" width="9.140625" style="3"/>
    <col min="14101" max="14101" width="12.7109375" style="3" bestFit="1" customWidth="1"/>
    <col min="14102" max="14102" width="18.85546875" style="3" bestFit="1" customWidth="1"/>
    <col min="14103" max="14103" width="18.42578125" style="3" bestFit="1" customWidth="1"/>
    <col min="14104" max="14104" width="18.85546875" style="3" customWidth="1"/>
    <col min="14105" max="14106" width="16.42578125" style="3" bestFit="1" customWidth="1"/>
    <col min="14107" max="14117" width="9.140625" style="3"/>
    <col min="14118" max="14118" width="19.7109375" style="3" customWidth="1"/>
    <col min="14119" max="14119" width="19.5703125" style="3" customWidth="1"/>
    <col min="14120" max="14120" width="20.5703125" style="3" customWidth="1"/>
    <col min="14121" max="14121" width="19.85546875" style="3" customWidth="1"/>
    <col min="14122" max="14129" width="9.140625" style="3"/>
    <col min="14130" max="14130" width="15.5703125" style="3" bestFit="1" customWidth="1"/>
    <col min="14131" max="14131" width="20.5703125" style="3" customWidth="1"/>
    <col min="14132" max="14132" width="18" style="3" customWidth="1"/>
    <col min="14133" max="14133" width="23.5703125" style="3" customWidth="1"/>
    <col min="14134" max="14134" width="19.28515625" style="3" customWidth="1"/>
    <col min="14135" max="14135" width="15.85546875" style="3" customWidth="1"/>
    <col min="14136" max="14136" width="16.85546875" style="3" customWidth="1"/>
    <col min="14137" max="14137" width="16.7109375" style="3" customWidth="1"/>
    <col min="14138" max="14140" width="9.140625" style="3"/>
    <col min="14141" max="14141" width="18.5703125" style="3" customWidth="1"/>
    <col min="14142" max="14337" width="9.140625" style="3"/>
    <col min="14338" max="14338" width="14.28515625" style="3" customWidth="1"/>
    <col min="14339" max="14339" width="25.42578125" style="3" customWidth="1"/>
    <col min="14340" max="14340" width="9.140625" style="3"/>
    <col min="14341" max="14341" width="14.5703125" style="3" customWidth="1"/>
    <col min="14342" max="14342" width="16.7109375" style="3" customWidth="1"/>
    <col min="14343" max="14343" width="20.42578125" style="3" customWidth="1"/>
    <col min="14344" max="14344" width="9.140625" style="3"/>
    <col min="14345" max="14345" width="16.85546875" style="3" customWidth="1"/>
    <col min="14346" max="14346" width="13.28515625" style="3" customWidth="1"/>
    <col min="14347" max="14349" width="13.5703125" style="3" customWidth="1"/>
    <col min="14350" max="14350" width="123.85546875" style="3" customWidth="1"/>
    <col min="14351" max="14356" width="9.140625" style="3"/>
    <col min="14357" max="14357" width="12.7109375" style="3" bestFit="1" customWidth="1"/>
    <col min="14358" max="14358" width="18.85546875" style="3" bestFit="1" customWidth="1"/>
    <col min="14359" max="14359" width="18.42578125" style="3" bestFit="1" customWidth="1"/>
    <col min="14360" max="14360" width="18.85546875" style="3" customWidth="1"/>
    <col min="14361" max="14362" width="16.42578125" style="3" bestFit="1" customWidth="1"/>
    <col min="14363" max="14373" width="9.140625" style="3"/>
    <col min="14374" max="14374" width="19.7109375" style="3" customWidth="1"/>
    <col min="14375" max="14375" width="19.5703125" style="3" customWidth="1"/>
    <col min="14376" max="14376" width="20.5703125" style="3" customWidth="1"/>
    <col min="14377" max="14377" width="19.85546875" style="3" customWidth="1"/>
    <col min="14378" max="14385" width="9.140625" style="3"/>
    <col min="14386" max="14386" width="15.5703125" style="3" bestFit="1" customWidth="1"/>
    <col min="14387" max="14387" width="20.5703125" style="3" customWidth="1"/>
    <col min="14388" max="14388" width="18" style="3" customWidth="1"/>
    <col min="14389" max="14389" width="23.5703125" style="3" customWidth="1"/>
    <col min="14390" max="14390" width="19.28515625" style="3" customWidth="1"/>
    <col min="14391" max="14391" width="15.85546875" style="3" customWidth="1"/>
    <col min="14392" max="14392" width="16.85546875" style="3" customWidth="1"/>
    <col min="14393" max="14393" width="16.7109375" style="3" customWidth="1"/>
    <col min="14394" max="14396" width="9.140625" style="3"/>
    <col min="14397" max="14397" width="18.5703125" style="3" customWidth="1"/>
    <col min="14398" max="14593" width="9.140625" style="3"/>
    <col min="14594" max="14594" width="14.28515625" style="3" customWidth="1"/>
    <col min="14595" max="14595" width="25.42578125" style="3" customWidth="1"/>
    <col min="14596" max="14596" width="9.140625" style="3"/>
    <col min="14597" max="14597" width="14.5703125" style="3" customWidth="1"/>
    <col min="14598" max="14598" width="16.7109375" style="3" customWidth="1"/>
    <col min="14599" max="14599" width="20.42578125" style="3" customWidth="1"/>
    <col min="14600" max="14600" width="9.140625" style="3"/>
    <col min="14601" max="14601" width="16.85546875" style="3" customWidth="1"/>
    <col min="14602" max="14602" width="13.28515625" style="3" customWidth="1"/>
    <col min="14603" max="14605" width="13.5703125" style="3" customWidth="1"/>
    <col min="14606" max="14606" width="123.85546875" style="3" customWidth="1"/>
    <col min="14607" max="14612" width="9.140625" style="3"/>
    <col min="14613" max="14613" width="12.7109375" style="3" bestFit="1" customWidth="1"/>
    <col min="14614" max="14614" width="18.85546875" style="3" bestFit="1" customWidth="1"/>
    <col min="14615" max="14615" width="18.42578125" style="3" bestFit="1" customWidth="1"/>
    <col min="14616" max="14616" width="18.85546875" style="3" customWidth="1"/>
    <col min="14617" max="14618" width="16.42578125" style="3" bestFit="1" customWidth="1"/>
    <col min="14619" max="14629" width="9.140625" style="3"/>
    <col min="14630" max="14630" width="19.7109375" style="3" customWidth="1"/>
    <col min="14631" max="14631" width="19.5703125" style="3" customWidth="1"/>
    <col min="14632" max="14632" width="20.5703125" style="3" customWidth="1"/>
    <col min="14633" max="14633" width="19.85546875" style="3" customWidth="1"/>
    <col min="14634" max="14641" width="9.140625" style="3"/>
    <col min="14642" max="14642" width="15.5703125" style="3" bestFit="1" customWidth="1"/>
    <col min="14643" max="14643" width="20.5703125" style="3" customWidth="1"/>
    <col min="14644" max="14644" width="18" style="3" customWidth="1"/>
    <col min="14645" max="14645" width="23.5703125" style="3" customWidth="1"/>
    <col min="14646" max="14646" width="19.28515625" style="3" customWidth="1"/>
    <col min="14647" max="14647" width="15.85546875" style="3" customWidth="1"/>
    <col min="14648" max="14648" width="16.85546875" style="3" customWidth="1"/>
    <col min="14649" max="14649" width="16.7109375" style="3" customWidth="1"/>
    <col min="14650" max="14652" width="9.140625" style="3"/>
    <col min="14653" max="14653" width="18.5703125" style="3" customWidth="1"/>
    <col min="14654" max="14849" width="9.140625" style="3"/>
    <col min="14850" max="14850" width="14.28515625" style="3" customWidth="1"/>
    <col min="14851" max="14851" width="25.42578125" style="3" customWidth="1"/>
    <col min="14852" max="14852" width="9.140625" style="3"/>
    <col min="14853" max="14853" width="14.5703125" style="3" customWidth="1"/>
    <col min="14854" max="14854" width="16.7109375" style="3" customWidth="1"/>
    <col min="14855" max="14855" width="20.42578125" style="3" customWidth="1"/>
    <col min="14856" max="14856" width="9.140625" style="3"/>
    <col min="14857" max="14857" width="16.85546875" style="3" customWidth="1"/>
    <col min="14858" max="14858" width="13.28515625" style="3" customWidth="1"/>
    <col min="14859" max="14861" width="13.5703125" style="3" customWidth="1"/>
    <col min="14862" max="14862" width="123.85546875" style="3" customWidth="1"/>
    <col min="14863" max="14868" width="9.140625" style="3"/>
    <col min="14869" max="14869" width="12.7109375" style="3" bestFit="1" customWidth="1"/>
    <col min="14870" max="14870" width="18.85546875" style="3" bestFit="1" customWidth="1"/>
    <col min="14871" max="14871" width="18.42578125" style="3" bestFit="1" customWidth="1"/>
    <col min="14872" max="14872" width="18.85546875" style="3" customWidth="1"/>
    <col min="14873" max="14874" width="16.42578125" style="3" bestFit="1" customWidth="1"/>
    <col min="14875" max="14885" width="9.140625" style="3"/>
    <col min="14886" max="14886" width="19.7109375" style="3" customWidth="1"/>
    <col min="14887" max="14887" width="19.5703125" style="3" customWidth="1"/>
    <col min="14888" max="14888" width="20.5703125" style="3" customWidth="1"/>
    <col min="14889" max="14889" width="19.85546875" style="3" customWidth="1"/>
    <col min="14890" max="14897" width="9.140625" style="3"/>
    <col min="14898" max="14898" width="15.5703125" style="3" bestFit="1" customWidth="1"/>
    <col min="14899" max="14899" width="20.5703125" style="3" customWidth="1"/>
    <col min="14900" max="14900" width="18" style="3" customWidth="1"/>
    <col min="14901" max="14901" width="23.5703125" style="3" customWidth="1"/>
    <col min="14902" max="14902" width="19.28515625" style="3" customWidth="1"/>
    <col min="14903" max="14903" width="15.85546875" style="3" customWidth="1"/>
    <col min="14904" max="14904" width="16.85546875" style="3" customWidth="1"/>
    <col min="14905" max="14905" width="16.7109375" style="3" customWidth="1"/>
    <col min="14906" max="14908" width="9.140625" style="3"/>
    <col min="14909" max="14909" width="18.5703125" style="3" customWidth="1"/>
    <col min="14910" max="15105" width="9.140625" style="3"/>
    <col min="15106" max="15106" width="14.28515625" style="3" customWidth="1"/>
    <col min="15107" max="15107" width="25.42578125" style="3" customWidth="1"/>
    <col min="15108" max="15108" width="9.140625" style="3"/>
    <col min="15109" max="15109" width="14.5703125" style="3" customWidth="1"/>
    <col min="15110" max="15110" width="16.7109375" style="3" customWidth="1"/>
    <col min="15111" max="15111" width="20.42578125" style="3" customWidth="1"/>
    <col min="15112" max="15112" width="9.140625" style="3"/>
    <col min="15113" max="15113" width="16.85546875" style="3" customWidth="1"/>
    <col min="15114" max="15114" width="13.28515625" style="3" customWidth="1"/>
    <col min="15115" max="15117" width="13.5703125" style="3" customWidth="1"/>
    <col min="15118" max="15118" width="123.85546875" style="3" customWidth="1"/>
    <col min="15119" max="15124" width="9.140625" style="3"/>
    <col min="15125" max="15125" width="12.7109375" style="3" bestFit="1" customWidth="1"/>
    <col min="15126" max="15126" width="18.85546875" style="3" bestFit="1" customWidth="1"/>
    <col min="15127" max="15127" width="18.42578125" style="3" bestFit="1" customWidth="1"/>
    <col min="15128" max="15128" width="18.85546875" style="3" customWidth="1"/>
    <col min="15129" max="15130" width="16.42578125" style="3" bestFit="1" customWidth="1"/>
    <col min="15131" max="15141" width="9.140625" style="3"/>
    <col min="15142" max="15142" width="19.7109375" style="3" customWidth="1"/>
    <col min="15143" max="15143" width="19.5703125" style="3" customWidth="1"/>
    <col min="15144" max="15144" width="20.5703125" style="3" customWidth="1"/>
    <col min="15145" max="15145" width="19.85546875" style="3" customWidth="1"/>
    <col min="15146" max="15153" width="9.140625" style="3"/>
    <col min="15154" max="15154" width="15.5703125" style="3" bestFit="1" customWidth="1"/>
    <col min="15155" max="15155" width="20.5703125" style="3" customWidth="1"/>
    <col min="15156" max="15156" width="18" style="3" customWidth="1"/>
    <col min="15157" max="15157" width="23.5703125" style="3" customWidth="1"/>
    <col min="15158" max="15158" width="19.28515625" style="3" customWidth="1"/>
    <col min="15159" max="15159" width="15.85546875" style="3" customWidth="1"/>
    <col min="15160" max="15160" width="16.85546875" style="3" customWidth="1"/>
    <col min="15161" max="15161" width="16.7109375" style="3" customWidth="1"/>
    <col min="15162" max="15164" width="9.140625" style="3"/>
    <col min="15165" max="15165" width="18.5703125" style="3" customWidth="1"/>
    <col min="15166" max="15361" width="9.140625" style="3"/>
    <col min="15362" max="15362" width="14.28515625" style="3" customWidth="1"/>
    <col min="15363" max="15363" width="25.42578125" style="3" customWidth="1"/>
    <col min="15364" max="15364" width="9.140625" style="3"/>
    <col min="15365" max="15365" width="14.5703125" style="3" customWidth="1"/>
    <col min="15366" max="15366" width="16.7109375" style="3" customWidth="1"/>
    <col min="15367" max="15367" width="20.42578125" style="3" customWidth="1"/>
    <col min="15368" max="15368" width="9.140625" style="3"/>
    <col min="15369" max="15369" width="16.85546875" style="3" customWidth="1"/>
    <col min="15370" max="15370" width="13.28515625" style="3" customWidth="1"/>
    <col min="15371" max="15373" width="13.5703125" style="3" customWidth="1"/>
    <col min="15374" max="15374" width="123.85546875" style="3" customWidth="1"/>
    <col min="15375" max="15380" width="9.140625" style="3"/>
    <col min="15381" max="15381" width="12.7109375" style="3" bestFit="1" customWidth="1"/>
    <col min="15382" max="15382" width="18.85546875" style="3" bestFit="1" customWidth="1"/>
    <col min="15383" max="15383" width="18.42578125" style="3" bestFit="1" customWidth="1"/>
    <col min="15384" max="15384" width="18.85546875" style="3" customWidth="1"/>
    <col min="15385" max="15386" width="16.42578125" style="3" bestFit="1" customWidth="1"/>
    <col min="15387" max="15397" width="9.140625" style="3"/>
    <col min="15398" max="15398" width="19.7109375" style="3" customWidth="1"/>
    <col min="15399" max="15399" width="19.5703125" style="3" customWidth="1"/>
    <col min="15400" max="15400" width="20.5703125" style="3" customWidth="1"/>
    <col min="15401" max="15401" width="19.85546875" style="3" customWidth="1"/>
    <col min="15402" max="15409" width="9.140625" style="3"/>
    <col min="15410" max="15410" width="15.5703125" style="3" bestFit="1" customWidth="1"/>
    <col min="15411" max="15411" width="20.5703125" style="3" customWidth="1"/>
    <col min="15412" max="15412" width="18" style="3" customWidth="1"/>
    <col min="15413" max="15413" width="23.5703125" style="3" customWidth="1"/>
    <col min="15414" max="15414" width="19.28515625" style="3" customWidth="1"/>
    <col min="15415" max="15415" width="15.85546875" style="3" customWidth="1"/>
    <col min="15416" max="15416" width="16.85546875" style="3" customWidth="1"/>
    <col min="15417" max="15417" width="16.7109375" style="3" customWidth="1"/>
    <col min="15418" max="15420" width="9.140625" style="3"/>
    <col min="15421" max="15421" width="18.5703125" style="3" customWidth="1"/>
    <col min="15422" max="15617" width="9.140625" style="3"/>
    <col min="15618" max="15618" width="14.28515625" style="3" customWidth="1"/>
    <col min="15619" max="15619" width="25.42578125" style="3" customWidth="1"/>
    <col min="15620" max="15620" width="9.140625" style="3"/>
    <col min="15621" max="15621" width="14.5703125" style="3" customWidth="1"/>
    <col min="15622" max="15622" width="16.7109375" style="3" customWidth="1"/>
    <col min="15623" max="15623" width="20.42578125" style="3" customWidth="1"/>
    <col min="15624" max="15624" width="9.140625" style="3"/>
    <col min="15625" max="15625" width="16.85546875" style="3" customWidth="1"/>
    <col min="15626" max="15626" width="13.28515625" style="3" customWidth="1"/>
    <col min="15627" max="15629" width="13.5703125" style="3" customWidth="1"/>
    <col min="15630" max="15630" width="123.85546875" style="3" customWidth="1"/>
    <col min="15631" max="15636" width="9.140625" style="3"/>
    <col min="15637" max="15637" width="12.7109375" style="3" bestFit="1" customWidth="1"/>
    <col min="15638" max="15638" width="18.85546875" style="3" bestFit="1" customWidth="1"/>
    <col min="15639" max="15639" width="18.42578125" style="3" bestFit="1" customWidth="1"/>
    <col min="15640" max="15640" width="18.85546875" style="3" customWidth="1"/>
    <col min="15641" max="15642" width="16.42578125" style="3" bestFit="1" customWidth="1"/>
    <col min="15643" max="15653" width="9.140625" style="3"/>
    <col min="15654" max="15654" width="19.7109375" style="3" customWidth="1"/>
    <col min="15655" max="15655" width="19.5703125" style="3" customWidth="1"/>
    <col min="15656" max="15656" width="20.5703125" style="3" customWidth="1"/>
    <col min="15657" max="15657" width="19.85546875" style="3" customWidth="1"/>
    <col min="15658" max="15665" width="9.140625" style="3"/>
    <col min="15666" max="15666" width="15.5703125" style="3" bestFit="1" customWidth="1"/>
    <col min="15667" max="15667" width="20.5703125" style="3" customWidth="1"/>
    <col min="15668" max="15668" width="18" style="3" customWidth="1"/>
    <col min="15669" max="15669" width="23.5703125" style="3" customWidth="1"/>
    <col min="15670" max="15670" width="19.28515625" style="3" customWidth="1"/>
    <col min="15671" max="15671" width="15.85546875" style="3" customWidth="1"/>
    <col min="15672" max="15672" width="16.85546875" style="3" customWidth="1"/>
    <col min="15673" max="15673" width="16.7109375" style="3" customWidth="1"/>
    <col min="15674" max="15676" width="9.140625" style="3"/>
    <col min="15677" max="15677" width="18.5703125" style="3" customWidth="1"/>
    <col min="15678" max="15873" width="9.140625" style="3"/>
    <col min="15874" max="15874" width="14.28515625" style="3" customWidth="1"/>
    <col min="15875" max="15875" width="25.42578125" style="3" customWidth="1"/>
    <col min="15876" max="15876" width="9.140625" style="3"/>
    <col min="15877" max="15877" width="14.5703125" style="3" customWidth="1"/>
    <col min="15878" max="15878" width="16.7109375" style="3" customWidth="1"/>
    <col min="15879" max="15879" width="20.42578125" style="3" customWidth="1"/>
    <col min="15880" max="15880" width="9.140625" style="3"/>
    <col min="15881" max="15881" width="16.85546875" style="3" customWidth="1"/>
    <col min="15882" max="15882" width="13.28515625" style="3" customWidth="1"/>
    <col min="15883" max="15885" width="13.5703125" style="3" customWidth="1"/>
    <col min="15886" max="15886" width="123.85546875" style="3" customWidth="1"/>
    <col min="15887" max="15892" width="9.140625" style="3"/>
    <col min="15893" max="15893" width="12.7109375" style="3" bestFit="1" customWidth="1"/>
    <col min="15894" max="15894" width="18.85546875" style="3" bestFit="1" customWidth="1"/>
    <col min="15895" max="15895" width="18.42578125" style="3" bestFit="1" customWidth="1"/>
    <col min="15896" max="15896" width="18.85546875" style="3" customWidth="1"/>
    <col min="15897" max="15898" width="16.42578125" style="3" bestFit="1" customWidth="1"/>
    <col min="15899" max="15909" width="9.140625" style="3"/>
    <col min="15910" max="15910" width="19.7109375" style="3" customWidth="1"/>
    <col min="15911" max="15911" width="19.5703125" style="3" customWidth="1"/>
    <col min="15912" max="15912" width="20.5703125" style="3" customWidth="1"/>
    <col min="15913" max="15913" width="19.85546875" style="3" customWidth="1"/>
    <col min="15914" max="15921" width="9.140625" style="3"/>
    <col min="15922" max="15922" width="15.5703125" style="3" bestFit="1" customWidth="1"/>
    <col min="15923" max="15923" width="20.5703125" style="3" customWidth="1"/>
    <col min="15924" max="15924" width="18" style="3" customWidth="1"/>
    <col min="15925" max="15925" width="23.5703125" style="3" customWidth="1"/>
    <col min="15926" max="15926" width="19.28515625" style="3" customWidth="1"/>
    <col min="15927" max="15927" width="15.85546875" style="3" customWidth="1"/>
    <col min="15928" max="15928" width="16.85546875" style="3" customWidth="1"/>
    <col min="15929" max="15929" width="16.7109375" style="3" customWidth="1"/>
    <col min="15930" max="15932" width="9.140625" style="3"/>
    <col min="15933" max="15933" width="18.5703125" style="3" customWidth="1"/>
    <col min="15934" max="16129" width="9.140625" style="3"/>
    <col min="16130" max="16130" width="14.28515625" style="3" customWidth="1"/>
    <col min="16131" max="16131" width="25.42578125" style="3" customWidth="1"/>
    <col min="16132" max="16132" width="9.140625" style="3"/>
    <col min="16133" max="16133" width="14.5703125" style="3" customWidth="1"/>
    <col min="16134" max="16134" width="16.7109375" style="3" customWidth="1"/>
    <col min="16135" max="16135" width="20.42578125" style="3" customWidth="1"/>
    <col min="16136" max="16136" width="9.140625" style="3"/>
    <col min="16137" max="16137" width="16.85546875" style="3" customWidth="1"/>
    <col min="16138" max="16138" width="13.28515625" style="3" customWidth="1"/>
    <col min="16139" max="16141" width="13.5703125" style="3" customWidth="1"/>
    <col min="16142" max="16142" width="123.85546875" style="3" customWidth="1"/>
    <col min="16143" max="16148" width="9.140625" style="3"/>
    <col min="16149" max="16149" width="12.7109375" style="3" bestFit="1" customWidth="1"/>
    <col min="16150" max="16150" width="18.85546875" style="3" bestFit="1" customWidth="1"/>
    <col min="16151" max="16151" width="18.42578125" style="3" bestFit="1" customWidth="1"/>
    <col min="16152" max="16152" width="18.85546875" style="3" customWidth="1"/>
    <col min="16153" max="16154" width="16.42578125" style="3" bestFit="1" customWidth="1"/>
    <col min="16155" max="16165" width="9.140625" style="3"/>
    <col min="16166" max="16166" width="19.7109375" style="3" customWidth="1"/>
    <col min="16167" max="16167" width="19.5703125" style="3" customWidth="1"/>
    <col min="16168" max="16168" width="20.5703125" style="3" customWidth="1"/>
    <col min="16169" max="16169" width="19.85546875" style="3" customWidth="1"/>
    <col min="16170" max="16177" width="9.140625" style="3"/>
    <col min="16178" max="16178" width="15.5703125" style="3" bestFit="1" customWidth="1"/>
    <col min="16179" max="16179" width="20.5703125" style="3" customWidth="1"/>
    <col min="16180" max="16180" width="18" style="3" customWidth="1"/>
    <col min="16181" max="16181" width="23.5703125" style="3" customWidth="1"/>
    <col min="16182" max="16182" width="19.28515625" style="3" customWidth="1"/>
    <col min="16183" max="16183" width="15.85546875" style="3" customWidth="1"/>
    <col min="16184" max="16184" width="16.85546875" style="3" customWidth="1"/>
    <col min="16185" max="16185" width="16.7109375" style="3" customWidth="1"/>
    <col min="16186" max="16188" width="9.140625" style="3"/>
    <col min="16189" max="16189" width="18.5703125" style="3" customWidth="1"/>
    <col min="16190" max="16384" width="9.140625" style="3"/>
  </cols>
  <sheetData>
    <row r="1" spans="1:79" x14ac:dyDescent="0.2">
      <c r="A1" s="921"/>
      <c r="B1" s="1542" t="str">
        <f>'coût alimentation'!B1</f>
        <v>RETOUR AU SOMMAIRE</v>
      </c>
      <c r="C1" s="1543"/>
      <c r="D1" s="1477" t="s">
        <v>162</v>
      </c>
      <c r="E1" s="1478"/>
      <c r="F1" s="957"/>
      <c r="G1" s="957"/>
      <c r="H1" s="957"/>
      <c r="I1" s="957"/>
      <c r="J1" s="957"/>
      <c r="K1" s="957"/>
      <c r="L1" s="957"/>
      <c r="M1" s="957"/>
      <c r="N1" s="957"/>
      <c r="O1" s="956"/>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row>
    <row r="2" spans="1:79" ht="13.5" thickBot="1" x14ac:dyDescent="0.25">
      <c r="A2" s="922"/>
      <c r="B2" s="928"/>
      <c r="C2" s="928"/>
      <c r="D2" s="928"/>
      <c r="E2" s="928"/>
      <c r="F2" s="928"/>
      <c r="G2" s="928"/>
      <c r="H2" s="928"/>
      <c r="I2" s="928"/>
      <c r="J2" s="928"/>
      <c r="K2" s="928"/>
      <c r="L2" s="928"/>
      <c r="M2" s="928"/>
      <c r="N2" s="928"/>
      <c r="O2" s="929"/>
      <c r="P2" s="2"/>
      <c r="Q2" s="2"/>
      <c r="R2" s="2"/>
      <c r="S2" s="2"/>
      <c r="T2" s="2"/>
      <c r="U2" s="892"/>
      <c r="V2" s="834"/>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9" ht="13.5" thickBot="1" x14ac:dyDescent="0.25">
      <c r="A3" s="922"/>
      <c r="B3" s="1544" t="s">
        <v>1879</v>
      </c>
      <c r="C3" s="1545"/>
      <c r="D3" s="928"/>
      <c r="E3" s="928"/>
      <c r="F3" s="866" t="s">
        <v>1855</v>
      </c>
      <c r="G3" s="928"/>
      <c r="H3" s="928"/>
      <c r="I3" s="928"/>
      <c r="J3" s="928"/>
      <c r="K3" s="928"/>
      <c r="L3" s="928"/>
      <c r="M3" s="928"/>
      <c r="N3" s="928"/>
      <c r="O3" s="929"/>
      <c r="P3" s="2"/>
      <c r="Q3" s="2"/>
      <c r="R3" s="2"/>
      <c r="S3" s="2"/>
      <c r="T3" s="2"/>
      <c r="U3" s="892"/>
      <c r="V3" s="834"/>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9" x14ac:dyDescent="0.2">
      <c r="A4" s="922"/>
      <c r="B4" s="928"/>
      <c r="C4" s="928"/>
      <c r="D4" s="928"/>
      <c r="E4" s="928"/>
      <c r="F4" s="865" t="s">
        <v>1852</v>
      </c>
      <c r="G4" s="928"/>
      <c r="H4" s="928"/>
      <c r="I4" s="928"/>
      <c r="J4" s="928"/>
      <c r="K4" s="928"/>
      <c r="L4" s="928"/>
      <c r="M4" s="928"/>
      <c r="N4" s="928"/>
      <c r="O4" s="929"/>
      <c r="P4" s="2"/>
      <c r="Q4" s="2"/>
      <c r="R4" s="2"/>
      <c r="S4" s="2"/>
      <c r="T4" s="2"/>
      <c r="U4" s="892"/>
      <c r="V4" s="834"/>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9" ht="13.5" thickBot="1" x14ac:dyDescent="0.25">
      <c r="A5" s="922"/>
      <c r="B5" s="928"/>
      <c r="C5" s="928"/>
      <c r="D5" s="928"/>
      <c r="E5" s="928"/>
      <c r="F5" s="928"/>
      <c r="G5" s="928"/>
      <c r="H5" s="928"/>
      <c r="I5" s="928"/>
      <c r="J5" s="928"/>
      <c r="K5" s="928"/>
      <c r="L5" s="928"/>
      <c r="M5" s="928"/>
      <c r="N5" s="928"/>
      <c r="O5" s="929"/>
      <c r="P5" s="2"/>
      <c r="Q5" s="2"/>
      <c r="R5" s="2"/>
      <c r="S5" s="2"/>
      <c r="T5" s="2"/>
      <c r="U5" s="892"/>
      <c r="V5" s="834"/>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9" ht="13.5" thickBot="1" x14ac:dyDescent="0.25">
      <c r="A6" s="922"/>
      <c r="B6" s="867" t="s">
        <v>1856</v>
      </c>
      <c r="C6" s="867" t="s">
        <v>1857</v>
      </c>
      <c r="D6" s="1546" t="s">
        <v>1858</v>
      </c>
      <c r="E6" s="1547"/>
      <c r="F6" s="868" t="s">
        <v>1880</v>
      </c>
      <c r="G6" s="868" t="s">
        <v>1881</v>
      </c>
      <c r="H6" s="868" t="s">
        <v>1884</v>
      </c>
      <c r="I6" s="1566" t="s">
        <v>1859</v>
      </c>
      <c r="J6" s="1567"/>
      <c r="K6" s="868" t="s">
        <v>1860</v>
      </c>
      <c r="L6" s="868" t="s">
        <v>1861</v>
      </c>
      <c r="M6" s="869" t="s">
        <v>1862</v>
      </c>
      <c r="N6" s="870" t="s">
        <v>1863</v>
      </c>
      <c r="O6" s="929"/>
      <c r="P6" s="2"/>
      <c r="Q6" s="2"/>
      <c r="R6" s="2"/>
      <c r="S6" s="2"/>
      <c r="T6" s="2"/>
      <c r="U6" s="2"/>
      <c r="V6" s="536"/>
      <c r="W6" s="891"/>
      <c r="X6" s="892"/>
      <c r="Y6" s="834"/>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row>
    <row r="7" spans="1:79" x14ac:dyDescent="0.2">
      <c r="A7" s="922"/>
      <c r="B7" s="959" t="str">
        <f>IF(ChoixBovinsPréEté="","",)</f>
        <v/>
      </c>
      <c r="C7" s="803">
        <f>IF($B$7=OUI,SUMIF(ChoixEspèceAuPré,Bovins,'pâtures et foin'!D28:BA28),IF(OR($B$7="",$B$7=NON),0))</f>
        <v>0</v>
      </c>
      <c r="D7" s="1548" t="str">
        <f>'coût alimentation'!M37</f>
        <v>bovins :</v>
      </c>
      <c r="E7" s="1549"/>
      <c r="F7" s="1292" t="s">
        <v>1049</v>
      </c>
      <c r="G7" s="1295" t="s">
        <v>1847</v>
      </c>
      <c r="H7" s="1296" t="s">
        <v>1883</v>
      </c>
      <c r="I7" s="1568" t="e">
        <f>IF(TypeLaitBovins="",0,IF(F4=BDD!O127,SUM(BDD!R130:R136)/SUM(BDD!AA76:AA100)+SUM(BDD!BC337:BD337)/SUM(BDD!AA76:AA100)/1000*PrixPaille*0.8,IF(F4=BDD!P127,SUM(BDD!R130:R136)/SUM(BDD!AA76:AA100)*7+SUM(BDD!BC337:BD337)/SUM(BDD!AA76:AA100)/1000*7*PrixPaille*0.8,IF(AND(F4=BDD!Q127,B7&lt;&gt;OUI),SUM(BDD!R130:R136)/SUM(BDD!AA76:AA100)*7*12-(BDD!BJ205+BDD!BJ247)*7*12*PrixEau+((BDD!BJ205+BDD!BJ247)*7*12*PrixEau)-gains!C7*PrixEau+SUM(BDD!BC337:BD337)/1000*PrixPaille*0.8,SUM(BDD!R130:R136)/SUM(BDD!AA76:AA100)*7*6-(BDD!BJ205+BDD!BJ247)*7*6*PrixEau+((BDD!BJ205+BDD!BJ247)*7*6*PrixEau)-gains!C7*PrixEau+SUM(BDD!BC337:BD337)/1000*PrixPaille*0.8))))</f>
        <v>#DIV/0!</v>
      </c>
      <c r="J7" s="1569"/>
      <c r="K7" s="871">
        <f>IF(QL_bovins="",0,SUM(VLOOKUP(QL_bovins,CalculGainLaitBovins,7,FALSE)+VLOOKUP(QL_bovins,CalculGainLaitBovins,8,FALSE)+VLOOKUP(QL_bovins,CalculGainLaitBovins,9,FALSE))*IF(TypeLaitBovins=conventionnel,VLOOKUP(QL_bovins,PrixVenteLaitConventionnelBovins,2,FALSE)/1000,IF(TypeLaitBovins=bio,VLOOKUP(QL_bovins,PrixVenteLaitBioBovins,2,FALSE)/1000,0)))</f>
        <v>21504</v>
      </c>
      <c r="L7" s="872"/>
      <c r="M7" s="899"/>
      <c r="N7" s="873" t="e">
        <f>K7-I7</f>
        <v>#DIV/0!</v>
      </c>
      <c r="O7" s="929"/>
      <c r="P7" s="2"/>
      <c r="Q7" s="2"/>
      <c r="R7" s="2"/>
      <c r="S7" s="2"/>
      <c r="T7" s="2"/>
      <c r="U7" s="2"/>
      <c r="V7" s="536"/>
      <c r="W7" s="891"/>
      <c r="X7" s="892"/>
      <c r="Y7" s="834"/>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row>
    <row r="8" spans="1:79" x14ac:dyDescent="0.2">
      <c r="A8" s="922"/>
      <c r="B8" s="959" t="str">
        <f>IF(ChoixCaprinsPréEté="","",ChoixCaprinsPréEté)</f>
        <v/>
      </c>
      <c r="C8" s="803">
        <f>IF($B$8=OUI,SUMIF(ChoixEspèceAuPré,Caprins,'pâtures et foin'!D28:BA28),IF(OR($B$8="",$B$8=NON),0))</f>
        <v>0</v>
      </c>
      <c r="D8" s="1538" t="str">
        <f>'coût alimentation'!M40</f>
        <v>caprins :</v>
      </c>
      <c r="E8" s="1539"/>
      <c r="F8" s="1293"/>
      <c r="G8" s="1294"/>
      <c r="H8" s="1294"/>
      <c r="I8" s="1551" t="e">
        <f>IF(TypeLaitBovins="",0,IF(F5=BDD!O128,SUM(BDD!R131:R137)/SUM(BDD!AA77:AA101)+SUM(BDD!BC338:BD338)/SUM(BDD!AA77:AA101)/1000*PrixPaille*0.8,IF(F5=BDD!P128,SUM(BDD!R131:R137)/SUM(BDD!AA77:AA101)*7+SUM(BDD!BC338:BD338)/SUM(BDD!AA77:AA101)/1000*7*PrixPaille*0.8,IF(AND(F5=BDD!Q128,B8&lt;&gt;OUI),SUM(BDD!R131:R137)/SUM(BDD!AA77:AA101)*7*12-(BDD!BJ206+BDD!BJ248)*7*12*PrixEau+((BDD!BJ206+BDD!BJ248)*7*12*PrixEau)-gains!C8*PrixEau+SUM(BDD!BC338:BD338)/1000*PrixPaille*0.8,SUM(BDD!R131:R137)/SUM(BDD!AA77:AA101)*7*6-(BDD!BJ206+BDD!BJ248)*7*6*PrixEau+((BDD!BJ206+BDD!BJ248)*7*6*PrixEau)-gains!C8*PrixEau+SUM(BDD!BC338:BD338)/1000*PrixPaille*0.8))))</f>
        <v>#DIV/0!</v>
      </c>
      <c r="J8" s="1552"/>
      <c r="K8" s="874">
        <f>IF(QL_caprins="",0,SUM(VLOOKUP(QL_caprins,CalculGainLaitCaprins,7,FALSE)+VLOOKUP(QL_caprins,CalculGainLaitCaprins,8,FALSE)+VLOOKUP(QL_caprins,CalculGainLaitCaprins,9,FALSE))*IF(TypeLaitCaprins=conventionnel,VLOOKUP(QL_caprins,PrixVenteLaitConventionnelCaprins,2,FALSE)/1000,IF(TypeLaitCaprins=bio,VLOOKUP(QL_caprins,PrixVenteLaitBioCaprins,2,FALSE)/1000,0)))</f>
        <v>0</v>
      </c>
      <c r="L8" s="875">
        <f>IF(F4=BDD!O127,C57*BDD!E171/7/12,IF(F4=BDD!P127,C57*BDD!E171/7,IF(F4=BDD!Q127,C57*BDD!E171,0)))</f>
        <v>0</v>
      </c>
      <c r="M8" s="900"/>
      <c r="N8" s="876" t="e">
        <f>(K8+L8)-I8</f>
        <v>#DIV/0!</v>
      </c>
      <c r="O8" s="929"/>
      <c r="P8" s="2"/>
      <c r="Q8" s="2"/>
      <c r="R8" s="2"/>
      <c r="S8" s="2"/>
      <c r="T8" s="2"/>
      <c r="U8" s="2"/>
      <c r="V8" s="536"/>
      <c r="W8" s="891"/>
      <c r="X8" s="892"/>
      <c r="Y8" s="834"/>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row>
    <row r="9" spans="1:79" x14ac:dyDescent="0.2">
      <c r="A9" s="922"/>
      <c r="B9" s="959" t="str">
        <f>IF(ChoixOvinsPréEté="","",ChoixOvinsPréEté)</f>
        <v/>
      </c>
      <c r="C9" s="803">
        <f>IF($B$9=OUI,SUMIF(ChoixEspèceAuPré,Ovins,'pâtures et foin'!D28:BA28),IF(OR($B$9="",$B$9=NON),0))</f>
        <v>0</v>
      </c>
      <c r="D9" s="1538" t="str">
        <f>'coût alimentation'!M44</f>
        <v>ovins :</v>
      </c>
      <c r="E9" s="1539"/>
      <c r="F9" s="1294"/>
      <c r="G9" s="1294"/>
      <c r="H9" s="1294"/>
      <c r="I9" s="1551" t="e">
        <f>IF(TypeLaitBovins="",0,IF(F6=BDD!O129,SUM(BDD!R132:R138)/SUM(BDD!AA78:AA102)+SUM(BDD!BC339:BD339)/SUM(BDD!AA78:AA102)/1000*PrixPaille*0.8,IF(F6=BDD!P129,SUM(BDD!R132:R138)/SUM(BDD!AA78:AA102)*7+SUM(BDD!BC339:BD339)/SUM(BDD!AA78:AA102)/1000*7*PrixPaille*0.8,IF(AND(F6=BDD!Q129,B9&lt;&gt;OUI),SUM(BDD!R132:R138)/SUM(BDD!AA78:AA102)*7*12-(BDD!BJ207+BDD!BJ249)*7*12*PrixEau+((BDD!BJ207+BDD!BJ249)*7*12*PrixEau)-gains!C9*PrixEau+SUM(BDD!BC339:BD339)/1000*PrixPaille*0.8,SUM(BDD!R132:R138)/SUM(BDD!AA78:AA102)*7*6-(BDD!BJ207+BDD!BJ249)*7*6*PrixEau+((BDD!BJ207+BDD!BJ249)*7*6*PrixEau)-gains!C9*PrixEau+SUM(BDD!BC339:BD339)/1000*PrixPaille*0.8))))</f>
        <v>#DIV/0!</v>
      </c>
      <c r="J9" s="1552"/>
      <c r="K9" s="874">
        <f>IF(QL_ovins="",0,SUM(VLOOKUP(QL_ovins,CalculGainLaitOvins,7,FALSE)+VLOOKUP(QL_ovins,CalculGainLaitOvins,8,FALSE)+VLOOKUP(QL_ovins,CalculGainLaitOvins,9,FALSE))*IF(TypeLaitOvins=conventionnel,VLOOKUP(QL_ovins,PrixVenteLaitConventionnelOvins,2,FALSE)/1000,IF(TypeLaitOvins=bio,VLOOKUP(QL_ovins,PrixVenteLaitBioOvins,2,FALSE)/1000,0)))</f>
        <v>0</v>
      </c>
      <c r="L9" s="875">
        <f>IF(F4=BDD!O127,E66*BDD!E172/7/12,IF(F4=BDD!P127,E66*BDD!E172/7,IF(F4=BDD!Q127,E66*BDD!E172,0)))</f>
        <v>0</v>
      </c>
      <c r="M9" s="900"/>
      <c r="N9" s="876" t="e">
        <f>(K9+L9)-I9</f>
        <v>#DIV/0!</v>
      </c>
      <c r="O9" s="929"/>
      <c r="P9" s="2"/>
      <c r="Q9" s="2"/>
      <c r="R9" s="2"/>
      <c r="S9" s="2"/>
      <c r="T9" s="2"/>
      <c r="U9" s="2"/>
      <c r="V9" s="536"/>
      <c r="W9" s="891"/>
      <c r="X9" s="892"/>
      <c r="Y9" s="834"/>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row>
    <row r="10" spans="1:79" x14ac:dyDescent="0.2">
      <c r="A10" s="922"/>
      <c r="B10" s="947"/>
      <c r="C10" s="928"/>
      <c r="D10" s="1538" t="str">
        <f>'coût alimentation'!M41</f>
        <v>volaille (poules) :</v>
      </c>
      <c r="E10" s="1539"/>
      <c r="F10" s="1294"/>
      <c r="G10" s="895"/>
      <c r="H10" s="1294"/>
      <c r="I10" s="1551" t="e">
        <f>IF(TypeLaitBovins="",0,IF(F7=BDD!O130,SUM(BDD!R133:R139)/SUM(BDD!AA79:AA103)+SUM(BDD!BC340:BD340)/SUM(BDD!AA79:AA103)/1000*PrixPaille*0.8,IF(F7=BDD!P130,SUM(BDD!R133:R139)/SUM(BDD!AA79:AA103)*7+SUM(BDD!BC340:BD340)/SUM(BDD!AA79:AA103)/1000*7*PrixPaille*0.8,IF(AND(F7=BDD!Q130,B10&lt;&gt;OUI),SUM(BDD!R133:R139)/SUM(BDD!AA79:AA103)*7*12-(BDD!BJ208+BDD!BJ250)*7*12*PrixEau+((BDD!BJ208+BDD!BJ250)*7*12*PrixEau)-gains!C10*PrixEau+SUM(BDD!BC340:BD340)/1000*PrixPaille*0.8,SUM(BDD!R133:R139)/SUM(BDD!AA79:AA103)*7*6-(BDD!BJ208+BDD!BJ250)*7*6*PrixEau+((BDD!BJ208+BDD!BJ250)*7*6*PrixEau)-gains!C10*PrixEau+SUM(BDD!BC340:BD340)/1000*PrixPaille*0.8))))</f>
        <v>#DIV/0!</v>
      </c>
      <c r="J10" s="1552"/>
      <c r="K10" s="877"/>
      <c r="L10" s="877"/>
      <c r="M10" s="901">
        <f>IF(F10="",0,IF(SF4=BDD!O127,BDD!O165,IF(F4=BDD!P127,BDD!P165,IF(F4=BDD!Q127,BDD!Q165,0))))</f>
        <v>0</v>
      </c>
      <c r="N10" s="876" t="e">
        <f>M10-I10</f>
        <v>#DIV/0!</v>
      </c>
      <c r="O10" s="929"/>
      <c r="P10" s="2"/>
      <c r="Q10" s="2"/>
      <c r="R10" s="2"/>
      <c r="S10" s="2"/>
      <c r="T10" s="2"/>
      <c r="U10" s="2"/>
      <c r="V10" s="536"/>
      <c r="W10" s="891"/>
      <c r="X10" s="892"/>
      <c r="Y10" s="834"/>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row>
    <row r="11" spans="1:79" x14ac:dyDescent="0.2">
      <c r="A11" s="922"/>
      <c r="B11" s="928"/>
      <c r="C11" s="928"/>
      <c r="D11" s="1538" t="str">
        <f>'coût alimentation'!M43</f>
        <v>lapins :</v>
      </c>
      <c r="E11" s="1539"/>
      <c r="F11" s="898"/>
      <c r="G11" s="896"/>
      <c r="H11" s="1294"/>
      <c r="I11" s="1551" t="e">
        <f>IF(TypeLaitBovins="",0,IF(F8=BDD!O131,SUM(BDD!R134:R140)/SUM(BDD!AA80:AA104)+SUM(BDD!BC341:BD341)/SUM(BDD!AA80:AA104)/1000*PrixPaille*0.8,IF(F8=BDD!P131,SUM(BDD!R134:R140)/SUM(BDD!AA80:AA104)*7+SUM(BDD!BC341:BD341)/SUM(BDD!AA80:AA104)/1000*7*PrixPaille*0.8,IF(AND(F8=BDD!Q131,B11&lt;&gt;OUI),SUM(BDD!R134:R140)/SUM(BDD!AA80:AA104)*7*12-(BDD!BJ209+BDD!BJ251)*7*12*PrixEau+((BDD!BJ209+BDD!BJ251)*7*12*PrixEau)-gains!C11*PrixEau+SUM(BDD!BC341:BD341)/1000*PrixPaille*0.8,SUM(BDD!R134:R140)/SUM(BDD!AA80:AA104)*7*6-(BDD!BJ209+BDD!BJ251)*7*6*PrixEau+((BDD!BJ209+BDD!BJ251)*7*6*PrixEau)-gains!C11*PrixEau+SUM(BDD!BC341:BD341)/1000*PrixPaille*0.8))))</f>
        <v>#DIV/0!</v>
      </c>
      <c r="J11" s="1552"/>
      <c r="K11" s="878"/>
      <c r="L11" s="879">
        <f>IF(F4=BDD!O127,G57*BDD!E170/7/12,IF(F4=BDD!P127,G57*BDD!E170/7,IF(F4=BDD!Q127,G57*BDD!E170,0)))</f>
        <v>0</v>
      </c>
      <c r="M11" s="902"/>
      <c r="N11" s="880" t="e">
        <f>L11-I11</f>
        <v>#DIV/0!</v>
      </c>
      <c r="O11" s="929"/>
      <c r="P11" s="2"/>
      <c r="Q11" s="2"/>
      <c r="R11" s="2"/>
      <c r="S11" s="2"/>
      <c r="T11" s="2"/>
      <c r="U11" s="2"/>
      <c r="V11" s="536"/>
      <c r="W11" s="891"/>
      <c r="X11" s="892"/>
      <c r="Y11" s="834"/>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row>
    <row r="12" spans="1:79" x14ac:dyDescent="0.2">
      <c r="A12" s="922"/>
      <c r="B12" s="928"/>
      <c r="C12" s="928"/>
      <c r="D12" s="1538" t="str">
        <f>'coût alimentation'!M45</f>
        <v>oies :</v>
      </c>
      <c r="E12" s="1539"/>
      <c r="F12" s="898"/>
      <c r="G12" s="896"/>
      <c r="H12" s="1294"/>
      <c r="I12" s="1551" t="e">
        <f>IF(TypeLaitBovins="",0,IF(F9=BDD!O132,SUM(BDD!R135:R141)/SUM(BDD!AA81:AA105)+SUM(BDD!BC342:BD342)/SUM(BDD!AA81:AA105)/1000*PrixPaille*0.8,IF(F9=BDD!P132,SUM(BDD!R135:R141)/SUM(BDD!AA81:AA105)*7+SUM(BDD!BC342:BD342)/SUM(BDD!AA81:AA105)/1000*7*PrixPaille*0.8,IF(AND(F9=BDD!Q132,B12&lt;&gt;OUI),SUM(BDD!R135:R141)/SUM(BDD!AA81:AA105)*7*12-(BDD!BJ210+BDD!BJ252)*7*12*PrixEau+((BDD!BJ210+BDD!BJ252)*7*12*PrixEau)-gains!C12*PrixEau+SUM(BDD!BC342:BD342)/1000*PrixPaille*0.8,SUM(BDD!R135:R141)/SUM(BDD!AA81:AA105)*7*6-(BDD!BJ210+BDD!BJ252)*7*6*PrixEau+((BDD!BJ210+BDD!BJ252)*7*6*PrixEau)-gains!C12*PrixEau+SUM(BDD!BC342:BD342)/1000*PrixPaille*0.8))))</f>
        <v>#DIV/0!</v>
      </c>
      <c r="J12" s="1552"/>
      <c r="K12" s="877"/>
      <c r="L12" s="881">
        <f>IF(F4=BDD!O127,((B105+B106+B107+B108+B109+B110+B111+B112)*0.045*6)/7/12,IF(F4=BDD!P127,((B105+B106+B107+B108+B109+B110+B111+B112)*0.045*6)/7,IF(F4=BDD!Q127,(B105+B106+B107+B108+B109+B110+B111+B112)*0.045*6,0)))</f>
        <v>0</v>
      </c>
      <c r="M12" s="900"/>
      <c r="N12" s="880" t="e">
        <f>L12-I12</f>
        <v>#DIV/0!</v>
      </c>
      <c r="O12" s="929"/>
      <c r="P12" s="2"/>
      <c r="Q12" s="2"/>
      <c r="R12" s="2"/>
      <c r="S12" s="2"/>
      <c r="T12" s="2"/>
      <c r="U12" s="2"/>
      <c r="V12" s="536"/>
      <c r="W12" s="891"/>
      <c r="X12" s="892"/>
      <c r="Y12" s="834"/>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row>
    <row r="13" spans="1:79" ht="13.5" thickBot="1" x14ac:dyDescent="0.25">
      <c r="A13" s="922"/>
      <c r="B13" s="928"/>
      <c r="C13" s="928"/>
      <c r="D13" s="1540" t="str">
        <f>'coût alimentation'!M46</f>
        <v>canards :</v>
      </c>
      <c r="E13" s="1541"/>
      <c r="F13" s="897"/>
      <c r="G13" s="897"/>
      <c r="H13" s="1297"/>
      <c r="I13" s="1553" t="e">
        <f>IF(TypeLaitBovins="",0,IF(F10=BDD!O133,SUM(BDD!R136:R142)/SUM(BDD!AA82:AA106)+SUM(BDD!BC343:BD343)/SUM(BDD!AA82:AA106)/1000*PrixPaille*0.8,IF(F10=BDD!P133,SUM(BDD!R136:R142)/SUM(BDD!AA82:AA106)*7+SUM(BDD!BC343:BD343)/SUM(BDD!AA82:AA106)/1000*7*PrixPaille*0.8,IF(AND(F10=BDD!Q133,B13&lt;&gt;OUI),SUM(BDD!R136:R142)/SUM(BDD!AA82:AA106)*7*12-(BDD!BJ211+BDD!BJ253)*7*12*PrixEau+((BDD!BJ211+BDD!BJ253)*7*12*PrixEau)-gains!C13*PrixEau+SUM(BDD!BC343:BD343)/1000*PrixPaille*0.8,SUM(BDD!R136:R142)/SUM(BDD!AA82:AA106)*7*6-(BDD!BJ211+BDD!BJ253)*7*6*PrixEau+((BDD!BJ211+BDD!BJ253)*7*6*PrixEau)-gains!C13*PrixEau+SUM(BDD!BC343:BD343)/1000*PrixPaille*0.8))))</f>
        <v>#DIV/0!</v>
      </c>
      <c r="J13" s="1554"/>
      <c r="K13" s="882"/>
      <c r="L13" s="883">
        <f>IF(F4=BDD!O127,((D105+D106+D107+D108+D109+D110)*0.03*2)/7/12,IF(F4=BDD!P127,((D105+D106+D107+D108+D109+D110)*0.03*2)/7,IF(F4=BDD!Q127,(D105+D106+D107+D108+D109+D110)*0.03*2,0)))</f>
        <v>0</v>
      </c>
      <c r="M13" s="903">
        <f>IF(F13="",0,IF(F4=BDD!O127,F92,IF(F4=BDD!P127,F92,IF(F4=BDD!Q127,F92,0))))</f>
        <v>0</v>
      </c>
      <c r="N13" s="884" t="e">
        <f>L13+M13-I13</f>
        <v>#DIV/0!</v>
      </c>
      <c r="O13" s="929"/>
      <c r="P13" s="2"/>
      <c r="Q13" s="2"/>
      <c r="R13" s="2"/>
      <c r="S13" s="2"/>
      <c r="T13" s="2"/>
      <c r="U13" s="2"/>
      <c r="V13" s="536"/>
      <c r="W13" s="891"/>
      <c r="X13" s="892"/>
      <c r="Y13" s="834"/>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row>
    <row r="14" spans="1:79" x14ac:dyDescent="0.2">
      <c r="A14" s="922"/>
      <c r="B14" s="928" t="str">
        <f>IF(AND(SUM(B25:B42)&gt;0,F4=BDD!Q127),"Quel est ton quotat laitier??","")</f>
        <v/>
      </c>
      <c r="C14" s="928"/>
      <c r="D14" s="928"/>
      <c r="E14" s="928"/>
      <c r="F14" s="928"/>
      <c r="G14" s="928"/>
      <c r="H14" s="928"/>
      <c r="I14" s="954"/>
      <c r="J14" s="954"/>
      <c r="K14" s="954"/>
      <c r="L14" s="954"/>
      <c r="M14" s="954"/>
      <c r="N14" s="954"/>
      <c r="O14" s="929"/>
      <c r="P14" s="2"/>
      <c r="Q14" s="2"/>
      <c r="R14" s="2"/>
      <c r="S14" s="2"/>
      <c r="T14" s="2"/>
      <c r="U14" s="2"/>
      <c r="V14" s="536"/>
      <c r="W14" s="891"/>
      <c r="X14" s="892"/>
      <c r="Y14" s="834"/>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row>
    <row r="15" spans="1:79" ht="13.5" thickBot="1" x14ac:dyDescent="0.25">
      <c r="A15" s="922"/>
      <c r="B15" s="1298"/>
      <c r="C15" s="928" t="str">
        <f>IF(B15="","",IF(AND(B15&gt;0,F4=BDD!Q127),"litres : tu réalises donc "&amp;TEXT($F$38/$B$15*84*SUM(BDD!K128:N128)/10,"0,00%")&amp;" de ton quotat soit "&amp;(IF($F$38*84*SUM(BDD!K128:N128)&gt;$B$15,($F$38*84*SUM(BDD!K128:N128)-$B$15),0))&amp;" litres de trop par an.",""))</f>
        <v/>
      </c>
      <c r="D15" s="928"/>
      <c r="E15" s="928"/>
      <c r="F15" s="928"/>
      <c r="G15" s="928"/>
      <c r="H15" s="928"/>
      <c r="I15" s="954"/>
      <c r="J15" s="954"/>
      <c r="K15" s="954"/>
      <c r="L15" s="928"/>
      <c r="M15" s="928"/>
      <c r="N15" s="928"/>
      <c r="O15" s="929"/>
      <c r="P15" s="2"/>
      <c r="Q15" s="2"/>
      <c r="R15" s="2"/>
      <c r="S15" s="2"/>
      <c r="T15" s="2"/>
      <c r="U15" s="2"/>
      <c r="V15" s="536"/>
      <c r="W15" s="891"/>
      <c r="X15" s="892"/>
      <c r="Y15" s="834"/>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row>
    <row r="16" spans="1:79" ht="13.5" thickBot="1" x14ac:dyDescent="0.25">
      <c r="A16" s="922"/>
      <c r="B16" s="958"/>
      <c r="C16" s="928"/>
      <c r="D16" s="928"/>
      <c r="E16" s="928"/>
      <c r="F16" s="928"/>
      <c r="G16" s="954"/>
      <c r="H16" s="928"/>
      <c r="I16" s="928"/>
      <c r="J16" s="928"/>
      <c r="K16" s="954"/>
      <c r="L16" s="928"/>
      <c r="M16" s="955" t="s">
        <v>1864</v>
      </c>
      <c r="N16" s="885" t="e">
        <f>SUM(N7:N13)</f>
        <v>#DIV/0!</v>
      </c>
      <c r="O16" s="929"/>
      <c r="P16" s="2"/>
      <c r="Q16" s="2"/>
      <c r="R16" s="2"/>
      <c r="S16" s="2"/>
      <c r="T16" s="2"/>
      <c r="U16" s="2"/>
      <c r="V16" s="536"/>
      <c r="W16" s="891"/>
      <c r="X16" s="892"/>
      <c r="Y16" s="834"/>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row>
    <row r="17" spans="1:76" x14ac:dyDescent="0.2">
      <c r="A17" s="922"/>
      <c r="B17" s="928"/>
      <c r="C17" s="928"/>
      <c r="D17" s="928"/>
      <c r="E17" s="928"/>
      <c r="F17" s="928"/>
      <c r="G17" s="928"/>
      <c r="H17" s="928"/>
      <c r="I17" s="954"/>
      <c r="J17" s="928"/>
      <c r="K17" s="954"/>
      <c r="L17" s="928"/>
      <c r="M17" s="928"/>
      <c r="N17" s="928"/>
      <c r="O17" s="929"/>
      <c r="P17" s="2"/>
      <c r="Q17" s="2"/>
      <c r="R17" s="2"/>
      <c r="S17" s="2"/>
      <c r="T17" s="2"/>
      <c r="U17" s="892"/>
      <c r="V17" s="834"/>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x14ac:dyDescent="0.2">
      <c r="A18" s="922"/>
      <c r="B18" s="928"/>
      <c r="C18" s="928"/>
      <c r="D18" s="928"/>
      <c r="E18" s="928"/>
      <c r="F18" s="928"/>
      <c r="G18" s="954"/>
      <c r="H18" s="928"/>
      <c r="I18" s="928"/>
      <c r="J18" s="928"/>
      <c r="K18" s="928"/>
      <c r="L18" s="928"/>
      <c r="M18" s="928"/>
      <c r="N18" s="928"/>
      <c r="O18" s="929"/>
      <c r="P18" s="2"/>
      <c r="Q18" s="2"/>
      <c r="R18" s="2"/>
      <c r="S18" s="2"/>
      <c r="T18" s="2"/>
      <c r="U18" s="892"/>
      <c r="V18" s="834"/>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x14ac:dyDescent="0.2">
      <c r="A19" s="922"/>
      <c r="B19" s="928"/>
      <c r="C19" s="928"/>
      <c r="D19" s="928"/>
      <c r="E19" s="928"/>
      <c r="F19" s="928"/>
      <c r="G19" s="928"/>
      <c r="H19" s="928"/>
      <c r="I19" s="928"/>
      <c r="J19" s="928"/>
      <c r="K19" s="928"/>
      <c r="L19" s="928"/>
      <c r="M19" s="928"/>
      <c r="N19" s="928"/>
      <c r="O19" s="929"/>
      <c r="P19" s="2"/>
      <c r="Q19" s="2"/>
      <c r="R19" s="2"/>
      <c r="S19" s="2"/>
      <c r="T19" s="2"/>
      <c r="U19" s="892"/>
      <c r="V19" s="834"/>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x14ac:dyDescent="0.2">
      <c r="A20" s="922"/>
      <c r="B20" s="1544" t="s">
        <v>1794</v>
      </c>
      <c r="C20" s="1545"/>
      <c r="D20" s="945"/>
      <c r="E20" s="928"/>
      <c r="F20" s="928"/>
      <c r="G20" s="928"/>
      <c r="H20" s="928"/>
      <c r="I20" s="928"/>
      <c r="J20" s="928"/>
      <c r="K20" s="928"/>
      <c r="L20" s="928"/>
      <c r="M20" s="928"/>
      <c r="N20" s="928"/>
      <c r="O20" s="929"/>
      <c r="P20" s="2"/>
      <c r="Q20" s="2"/>
      <c r="R20" s="2"/>
      <c r="S20" s="2"/>
      <c r="T20" s="2"/>
      <c r="U20" s="893"/>
      <c r="V20" s="834"/>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x14ac:dyDescent="0.2">
      <c r="A21" s="922"/>
      <c r="B21" s="928"/>
      <c r="C21" s="928"/>
      <c r="D21" s="928"/>
      <c r="E21" s="928"/>
      <c r="F21" s="928"/>
      <c r="G21" s="928"/>
      <c r="H21" s="928"/>
      <c r="I21" s="928"/>
      <c r="J21" s="928"/>
      <c r="K21" s="928"/>
      <c r="L21" s="928"/>
      <c r="M21" s="928"/>
      <c r="N21" s="928"/>
      <c r="O21" s="929"/>
      <c r="P21" s="2"/>
      <c r="Q21" s="2"/>
      <c r="R21" s="2"/>
      <c r="S21" s="2"/>
      <c r="T21" s="2"/>
      <c r="U21" s="893"/>
      <c r="V21" s="834"/>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3.5" thickBot="1" x14ac:dyDescent="0.25">
      <c r="A22" s="922"/>
      <c r="B22" s="928"/>
      <c r="C22" s="928"/>
      <c r="D22" s="928"/>
      <c r="E22" s="928"/>
      <c r="F22" s="928"/>
      <c r="G22" s="928"/>
      <c r="H22" s="928"/>
      <c r="I22" s="928"/>
      <c r="J22" s="928"/>
      <c r="K22" s="928"/>
      <c r="L22" s="928"/>
      <c r="M22" s="928"/>
      <c r="N22" s="928"/>
      <c r="O22" s="929"/>
      <c r="P22" s="2"/>
      <c r="Q22" s="2"/>
      <c r="R22" s="2"/>
      <c r="S22" s="2"/>
      <c r="T22" s="2"/>
      <c r="U22" s="893"/>
      <c r="V22" s="834"/>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x14ac:dyDescent="0.2">
      <c r="A23" s="922"/>
      <c r="B23" s="1536" t="s">
        <v>1798</v>
      </c>
      <c r="C23" s="1537"/>
      <c r="D23" s="1536" t="s">
        <v>1799</v>
      </c>
      <c r="E23" s="1537"/>
      <c r="F23" s="1536" t="s">
        <v>232</v>
      </c>
      <c r="G23" s="1537"/>
      <c r="H23" s="928"/>
      <c r="I23" s="928"/>
      <c r="J23" s="928"/>
      <c r="K23" s="928"/>
      <c r="L23" s="928"/>
      <c r="M23" s="928"/>
      <c r="N23" s="928"/>
      <c r="O23" s="929"/>
      <c r="P23" s="2"/>
      <c r="Q23" s="2"/>
      <c r="R23" s="2"/>
      <c r="S23" s="2"/>
      <c r="T23" s="2"/>
      <c r="U23" s="893"/>
      <c r="V23" s="834"/>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3.5" thickBot="1" x14ac:dyDescent="0.25">
      <c r="A24" s="922"/>
      <c r="B24" s="835" t="s">
        <v>472</v>
      </c>
      <c r="C24" s="836" t="s">
        <v>1801</v>
      </c>
      <c r="D24" s="837" t="s">
        <v>472</v>
      </c>
      <c r="E24" s="838" t="str">
        <f>C24</f>
        <v>race</v>
      </c>
      <c r="F24" s="837" t="s">
        <v>472</v>
      </c>
      <c r="G24" s="839" t="str">
        <f>E24</f>
        <v>race</v>
      </c>
      <c r="H24" s="928"/>
      <c r="I24" s="928"/>
      <c r="J24" s="928"/>
      <c r="K24" s="928"/>
      <c r="L24" s="928"/>
      <c r="M24" s="928"/>
      <c r="N24" s="928"/>
      <c r="O24" s="929"/>
      <c r="P24" s="2"/>
      <c r="Q24" s="2"/>
      <c r="R24" s="2"/>
      <c r="S24" s="2"/>
      <c r="T24" s="2"/>
      <c r="U24" s="893"/>
      <c r="V24" s="834"/>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x14ac:dyDescent="0.2">
      <c r="A25" s="922"/>
      <c r="B25" s="840">
        <v>500</v>
      </c>
      <c r="C25" s="841" t="str">
        <f>BDD!BC9</f>
        <v>Prim'holstein</v>
      </c>
      <c r="D25" s="842"/>
      <c r="E25" s="841" t="str">
        <f>BDD!BY7</f>
        <v>Alpine</v>
      </c>
      <c r="F25" s="842"/>
      <c r="G25" s="841" t="str">
        <f>BDD!DN20</f>
        <v>Lacaune Lait</v>
      </c>
      <c r="H25" s="928"/>
      <c r="I25" s="928"/>
      <c r="J25" s="928"/>
      <c r="K25" s="843" t="s">
        <v>1803</v>
      </c>
      <c r="L25" s="843" t="s">
        <v>1804</v>
      </c>
      <c r="M25" s="843" t="s">
        <v>1805</v>
      </c>
      <c r="N25" s="928"/>
      <c r="O25" s="929"/>
      <c r="P25" s="2"/>
      <c r="Q25" s="2"/>
      <c r="R25" s="2"/>
      <c r="S25" s="2"/>
      <c r="T25" s="2"/>
      <c r="U25" s="893"/>
      <c r="V25" s="834"/>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x14ac:dyDescent="0.2">
      <c r="A26" s="922"/>
      <c r="B26" s="575"/>
      <c r="C26" s="844" t="str">
        <f>BDD!BC10</f>
        <v>Montbéliarde</v>
      </c>
      <c r="D26" s="845"/>
      <c r="E26" s="844" t="str">
        <f>BDD!BY8</f>
        <v>Angora</v>
      </c>
      <c r="F26" s="575"/>
      <c r="G26" s="844" t="str">
        <f>BDD!DN21</f>
        <v>Manech Noire</v>
      </c>
      <c r="H26" s="928"/>
      <c r="I26" s="928"/>
      <c r="J26" s="848" t="s">
        <v>1807</v>
      </c>
      <c r="K26" s="849">
        <f>0.29*F38</f>
        <v>4059.9999999999995</v>
      </c>
      <c r="L26" s="850">
        <f>0.56*F39</f>
        <v>0</v>
      </c>
      <c r="M26" s="850">
        <f>0.46*F40</f>
        <v>0</v>
      </c>
      <c r="N26" s="928"/>
      <c r="O26" s="929"/>
      <c r="P26" s="2"/>
      <c r="Q26" s="2"/>
      <c r="R26" s="2"/>
      <c r="S26" s="2"/>
      <c r="T26" s="2"/>
      <c r="U26" s="893"/>
      <c r="V26" s="834"/>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3.5" thickBot="1" x14ac:dyDescent="0.25">
      <c r="A27" s="922"/>
      <c r="B27" s="575"/>
      <c r="C27" s="844" t="str">
        <f>BDD!BC11</f>
        <v>Normande</v>
      </c>
      <c r="D27" s="845"/>
      <c r="E27" s="844" t="str">
        <f>BDD!BY9</f>
        <v>Corse</v>
      </c>
      <c r="F27" s="889"/>
      <c r="G27" s="890" t="str">
        <f>BDD!DN22</f>
        <v>Manech Rousse</v>
      </c>
      <c r="H27" s="928"/>
      <c r="I27" s="928"/>
      <c r="J27" s="848" t="s">
        <v>1809</v>
      </c>
      <c r="K27" s="849">
        <f>0.3*F38</f>
        <v>4200</v>
      </c>
      <c r="L27" s="850">
        <f>0.58*F39</f>
        <v>0</v>
      </c>
      <c r="M27" s="850">
        <f>0.48*F40</f>
        <v>0</v>
      </c>
      <c r="N27" s="928"/>
      <c r="O27" s="929"/>
      <c r="P27" s="2"/>
      <c r="Q27" s="2"/>
      <c r="R27" s="2"/>
      <c r="S27" s="2"/>
      <c r="T27" s="2"/>
      <c r="U27" s="893"/>
      <c r="V27" s="834"/>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x14ac:dyDescent="0.2">
      <c r="A28" s="922"/>
      <c r="B28" s="575"/>
      <c r="C28" s="844" t="str">
        <f>BDD!BC12</f>
        <v>Armoricaine</v>
      </c>
      <c r="D28" s="845"/>
      <c r="E28" s="844" t="str">
        <f>BDD!BY10</f>
        <v>Poitevine</v>
      </c>
      <c r="F28" s="930"/>
      <c r="G28" s="944"/>
      <c r="H28" s="928"/>
      <c r="I28" s="928"/>
      <c r="J28" s="848" t="s">
        <v>1811</v>
      </c>
      <c r="K28" s="849">
        <f>0.31*F38</f>
        <v>4340</v>
      </c>
      <c r="L28" s="850">
        <f>0.59*F39</f>
        <v>0</v>
      </c>
      <c r="M28" s="850">
        <f>0.49*F40</f>
        <v>0</v>
      </c>
      <c r="N28" s="928"/>
      <c r="O28" s="929"/>
      <c r="P28" s="2"/>
      <c r="Q28" s="2"/>
      <c r="R28" s="2"/>
      <c r="S28" s="2"/>
      <c r="T28" s="2"/>
      <c r="U28" s="893"/>
      <c r="V28" s="834"/>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x14ac:dyDescent="0.2">
      <c r="A29" s="922"/>
      <c r="B29" s="575"/>
      <c r="C29" s="844" t="str">
        <f>BDD!BC13</f>
        <v>Brune des Alpes</v>
      </c>
      <c r="D29" s="845"/>
      <c r="E29" s="844" t="str">
        <f>BDD!BY11</f>
        <v>Rove</v>
      </c>
      <c r="F29" s="928"/>
      <c r="G29" s="928"/>
      <c r="H29" s="928"/>
      <c r="I29" s="928"/>
      <c r="J29" s="848" t="s">
        <v>1813</v>
      </c>
      <c r="K29" s="849">
        <f>0.32*F38</f>
        <v>4480</v>
      </c>
      <c r="L29" s="850">
        <f>0.6*F39</f>
        <v>0</v>
      </c>
      <c r="M29" s="850">
        <f>0.5*F40</f>
        <v>0</v>
      </c>
      <c r="N29" s="928"/>
      <c r="O29" s="929"/>
      <c r="P29" s="2"/>
      <c r="Q29" s="2"/>
      <c r="R29" s="2"/>
      <c r="S29" s="2"/>
      <c r="T29" s="2"/>
      <c r="U29" s="893"/>
      <c r="V29" s="834"/>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x14ac:dyDescent="0.2">
      <c r="A30" s="922"/>
      <c r="B30" s="575"/>
      <c r="C30" s="844" t="str">
        <f>BDD!BC14</f>
        <v>Vosgienne</v>
      </c>
      <c r="D30" s="851"/>
      <c r="E30" s="852" t="str">
        <f>BDD!BY12</f>
        <v>Saanen</v>
      </c>
      <c r="F30" s="928"/>
      <c r="G30" s="928"/>
      <c r="H30" s="928"/>
      <c r="I30" s="928"/>
      <c r="J30" s="848" t="s">
        <v>1815</v>
      </c>
      <c r="K30" s="849">
        <f>0.33*F38</f>
        <v>4620</v>
      </c>
      <c r="L30" s="850">
        <f>0.61*F39</f>
        <v>0</v>
      </c>
      <c r="M30" s="850">
        <f>0.51*F40</f>
        <v>0</v>
      </c>
      <c r="N30" s="928"/>
      <c r="O30" s="929"/>
      <c r="P30" s="2"/>
      <c r="Q30" s="2"/>
      <c r="R30" s="2"/>
      <c r="S30" s="2"/>
      <c r="T30" s="2"/>
      <c r="U30" s="893"/>
      <c r="V30" s="834"/>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x14ac:dyDescent="0.2">
      <c r="A31" s="922"/>
      <c r="B31" s="575"/>
      <c r="C31" s="844" t="str">
        <f>BDD!BC15</f>
        <v>Simmental</v>
      </c>
      <c r="D31" s="851"/>
      <c r="E31" s="852" t="str">
        <f>BDD!BY13</f>
        <v>Nera Verzasca</v>
      </c>
      <c r="F31" s="928"/>
      <c r="G31" s="928"/>
      <c r="H31" s="928"/>
      <c r="I31" s="928"/>
      <c r="J31" s="848" t="s">
        <v>1816</v>
      </c>
      <c r="K31" s="849">
        <f>0.34*F38</f>
        <v>4760</v>
      </c>
      <c r="L31" s="850">
        <f>0.62*F39</f>
        <v>0</v>
      </c>
      <c r="M31" s="850">
        <f>0.52*F40</f>
        <v>0</v>
      </c>
      <c r="N31" s="928"/>
      <c r="O31" s="929"/>
      <c r="P31" s="2"/>
      <c r="Q31" s="2"/>
      <c r="R31" s="2"/>
      <c r="S31" s="2"/>
      <c r="T31" s="2"/>
      <c r="U31" s="893"/>
      <c r="V31" s="834"/>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3.5" thickBot="1" x14ac:dyDescent="0.25">
      <c r="A32" s="922"/>
      <c r="B32" s="575"/>
      <c r="C32" s="844" t="str">
        <f>BDD!BC16</f>
        <v>Brown Swiss</v>
      </c>
      <c r="D32" s="846"/>
      <c r="E32" s="853" t="str">
        <f>BDD!BY14</f>
        <v>Spanish</v>
      </c>
      <c r="F32" s="928"/>
      <c r="G32" s="954"/>
      <c r="H32" s="928"/>
      <c r="I32" s="928"/>
      <c r="J32" s="848" t="s">
        <v>1817</v>
      </c>
      <c r="K32" s="849">
        <f>0.35*F38</f>
        <v>4900</v>
      </c>
      <c r="L32" s="850">
        <f>0.63*F39</f>
        <v>0</v>
      </c>
      <c r="M32" s="850">
        <f>0.53*F40</f>
        <v>0</v>
      </c>
      <c r="N32" s="928"/>
      <c r="O32" s="929"/>
      <c r="P32" s="2"/>
      <c r="Q32" s="2"/>
      <c r="R32" s="2"/>
      <c r="S32" s="2"/>
      <c r="T32" s="2"/>
      <c r="U32" s="893"/>
      <c r="V32" s="834"/>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7" x14ac:dyDescent="0.2">
      <c r="A33" s="922"/>
      <c r="B33" s="575"/>
      <c r="C33" s="844" t="str">
        <f>BDD!BC17</f>
        <v>Jersiaise</v>
      </c>
      <c r="D33" s="947"/>
      <c r="E33" s="928"/>
      <c r="F33" s="928"/>
      <c r="G33" s="928"/>
      <c r="H33" s="928"/>
      <c r="I33" s="928"/>
      <c r="J33" s="848" t="s">
        <v>1818</v>
      </c>
      <c r="K33" s="849">
        <f>0.36*F38</f>
        <v>5040</v>
      </c>
      <c r="L33" s="850">
        <f>0.64*F39</f>
        <v>0</v>
      </c>
      <c r="M33" s="850">
        <f>0.54*F40</f>
        <v>0</v>
      </c>
      <c r="N33" s="928"/>
      <c r="O33" s="929"/>
      <c r="P33" s="2"/>
      <c r="Q33" s="2"/>
      <c r="R33" s="2"/>
      <c r="S33" s="2"/>
      <c r="T33" s="2"/>
      <c r="U33" s="893"/>
      <c r="V33" s="834"/>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7" x14ac:dyDescent="0.2">
      <c r="A34" s="922"/>
      <c r="B34" s="575"/>
      <c r="C34" s="844" t="str">
        <f>BDD!BC18</f>
        <v>Red Holstein</v>
      </c>
      <c r="D34" s="930"/>
      <c r="E34" s="944"/>
      <c r="F34" s="928"/>
      <c r="G34" s="928"/>
      <c r="H34" s="928"/>
      <c r="I34" s="928"/>
      <c r="J34" s="848" t="s">
        <v>1819</v>
      </c>
      <c r="K34" s="849">
        <f>0.37*F38</f>
        <v>5180</v>
      </c>
      <c r="L34" s="850">
        <f>0.66*F39</f>
        <v>0</v>
      </c>
      <c r="M34" s="850">
        <f>0.56*F40</f>
        <v>0</v>
      </c>
      <c r="N34" s="928"/>
      <c r="O34" s="929"/>
      <c r="P34" s="2"/>
      <c r="Q34" s="2"/>
      <c r="R34" s="2"/>
      <c r="S34" s="2"/>
      <c r="T34" s="2"/>
      <c r="U34" s="893"/>
      <c r="V34" s="834"/>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7" x14ac:dyDescent="0.2">
      <c r="A35" s="922"/>
      <c r="B35" s="575"/>
      <c r="C35" s="844" t="str">
        <f>BDD!BC19</f>
        <v>Charolaise</v>
      </c>
      <c r="D35" s="928"/>
      <c r="E35" s="928"/>
      <c r="F35" s="928"/>
      <c r="G35" s="928"/>
      <c r="H35" s="928"/>
      <c r="I35" s="928"/>
      <c r="J35" s="848" t="s">
        <v>1820</v>
      </c>
      <c r="K35" s="849">
        <f>0.38*F38</f>
        <v>5320</v>
      </c>
      <c r="L35" s="850">
        <f>0.68*F39</f>
        <v>0</v>
      </c>
      <c r="M35" s="850">
        <f>0.58*F40</f>
        <v>0</v>
      </c>
      <c r="N35" s="928"/>
      <c r="O35" s="929"/>
      <c r="P35" s="2"/>
      <c r="Q35" s="2"/>
      <c r="R35" s="2"/>
      <c r="S35" s="2"/>
      <c r="T35" s="2"/>
      <c r="U35" s="893"/>
      <c r="V35" s="834"/>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7" x14ac:dyDescent="0.2">
      <c r="A36" s="922"/>
      <c r="B36" s="575"/>
      <c r="C36" s="844" t="str">
        <f>BDD!BC20</f>
        <v>Blond d'Aquitaine</v>
      </c>
      <c r="D36" s="928"/>
      <c r="E36" s="928"/>
      <c r="F36" s="928"/>
      <c r="G36" s="928"/>
      <c r="H36" s="928"/>
      <c r="I36" s="928"/>
      <c r="J36" s="928"/>
      <c r="K36" s="928"/>
      <c r="L36" s="928"/>
      <c r="M36" s="928"/>
      <c r="N36" s="928"/>
      <c r="O36" s="929"/>
      <c r="P36" s="2"/>
      <c r="Q36" s="2"/>
      <c r="R36" s="2"/>
      <c r="S36" s="2"/>
      <c r="T36" s="2"/>
      <c r="U36" s="893"/>
      <c r="V36" s="834"/>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7" x14ac:dyDescent="0.2">
      <c r="A37" s="922"/>
      <c r="B37" s="575"/>
      <c r="C37" s="844" t="str">
        <f>BDD!BC21</f>
        <v>Limousine</v>
      </c>
      <c r="D37" s="928"/>
      <c r="E37" s="933" t="s">
        <v>1821</v>
      </c>
      <c r="F37" s="933"/>
      <c r="G37" s="928"/>
      <c r="H37" s="928"/>
      <c r="I37" s="928"/>
      <c r="J37" s="928"/>
      <c r="K37" s="928"/>
      <c r="L37" s="928"/>
      <c r="M37" s="928"/>
      <c r="N37" s="928"/>
      <c r="O37" s="929"/>
      <c r="P37" s="2"/>
      <c r="Q37" s="2"/>
      <c r="R37" s="2"/>
      <c r="S37" s="2"/>
      <c r="T37" s="2"/>
      <c r="U37" s="893"/>
      <c r="V37" s="834"/>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7" x14ac:dyDescent="0.2">
      <c r="A38" s="922"/>
      <c r="B38" s="575"/>
      <c r="C38" s="844" t="str">
        <f>BDD!BC22</f>
        <v>Blanc Bleu Belge</v>
      </c>
      <c r="D38" s="928"/>
      <c r="E38" s="930" t="str">
        <f>B23</f>
        <v>vaches</v>
      </c>
      <c r="F38" s="953">
        <f>VLOOKUP(C25,BDD!BC9:BF26,4,FALSE)*gains!B25+VLOOKUP(C26,BDD!BC9:BF26,4,FALSE)*gains!B26+VLOOKUP(C27,BDD!BC9:BF26,4,FALSE)*gains!B27+VLOOKUP(C28,BDD!BC9:BF26,4,FALSE)*gains!B28+VLOOKUP(C29,BDD!BC9:BF26,4,FALSE)*gains!B29+VLOOKUP(C30,BDD!BC9:BF26,4,FALSE)*gains!B30+VLOOKUP(C31,BDD!BC9:BF26,4,FALSE)*gains!B31+VLOOKUP(C32,BDD!BC9:BF26,4,FALSE)*gains!B32+VLOOKUP(C33,BDD!BC9:BF26,4,FALSE)*gains!B33+VLOOKUP(C34,BDD!BC9:BF26,4,FALSE)*gains!B34+VLOOKUP(C35,BDD!BC9:BF26,4,FALSE)*gains!B35+VLOOKUP(C36,BDD!BC9:BF26,4,FALSE)*gains!B36+VLOOKUP(C37,BDD!BC9:BF26,4,FALSE)*gains!B37+VLOOKUP(C38,BDD!BC9:BF26,4,FALSE)*gains!B38+VLOOKUP(C39,BDD!BC9:BF26,4,FALSE)*gains!B39+VLOOKUP(C40,BDD!BC9:BF26,4,FALSE)*gains!B40+VLOOKUP(C41,BDD!BC9:BF26,4,FALSE)*gains!B41+VLOOKUP(C42,BDD!BC9:BF26,4,FALSE)*gains!B42</f>
        <v>14000</v>
      </c>
      <c r="G38" s="934" t="s">
        <v>1404</v>
      </c>
      <c r="H38" s="928"/>
      <c r="I38" s="928"/>
      <c r="J38" s="928"/>
      <c r="K38" s="928"/>
      <c r="L38" s="928"/>
      <c r="M38" s="928"/>
      <c r="N38" s="928"/>
      <c r="O38" s="929"/>
      <c r="P38" s="2"/>
      <c r="Q38" s="2"/>
      <c r="R38" s="2"/>
      <c r="S38" s="2"/>
      <c r="T38" s="2"/>
      <c r="U38" s="893"/>
      <c r="V38" s="834"/>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7" x14ac:dyDescent="0.2">
      <c r="A39" s="922"/>
      <c r="B39" s="575"/>
      <c r="C39" s="844" t="str">
        <f>BDD!BC23</f>
        <v>Parthenaise</v>
      </c>
      <c r="D39" s="928"/>
      <c r="E39" s="930" t="str">
        <f>D23</f>
        <v>chèvres</v>
      </c>
      <c r="F39" s="953">
        <f>VLOOKUP(gains!E25,BDD!BY7:CB14,4,FALSE)*gains!D25+VLOOKUP(gains!E26,BDD!BY7:CB14,4,FALSE)*gains!D26+VLOOKUP(gains!E27,BDD!BY7:CB14,4,FALSE)*gains!D27+VLOOKUP(gains!E28,BDD!BY7:CB14,4,FALSE)*gains!D28+VLOOKUP(gains!E29,BDD!BY7:CB14,4,FALSE)*gains!D29+VLOOKUP(gains!E30,BDD!BY7:CB14,4,FALSE)*gains!D30+VLOOKUP(gains!E31,BDD!BY7:CB14,4,FALSE)*gains!D31+VLOOKUP(gains!E32,BDD!BY7:CB14,4,FALSE)*gains!D32</f>
        <v>0</v>
      </c>
      <c r="G39" s="933" t="str">
        <f>IF(G38="","",G38)</f>
        <v>litres</v>
      </c>
      <c r="H39" s="928"/>
      <c r="I39" s="928"/>
      <c r="J39" s="928"/>
      <c r="K39" s="928"/>
      <c r="L39" s="928"/>
      <c r="M39" s="928"/>
      <c r="N39" s="928"/>
      <c r="O39" s="929"/>
      <c r="P39" s="2"/>
      <c r="Q39" s="2"/>
      <c r="R39" s="2"/>
      <c r="S39" s="2"/>
      <c r="T39" s="2"/>
      <c r="U39" s="893"/>
      <c r="V39" s="834"/>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7" x14ac:dyDescent="0.2">
      <c r="A40" s="922"/>
      <c r="B40" s="575"/>
      <c r="C40" s="844" t="str">
        <f>BDD!BC24</f>
        <v>Rouge des prés</v>
      </c>
      <c r="D40" s="928"/>
      <c r="E40" s="930" t="str">
        <f>F23</f>
        <v>brebis</v>
      </c>
      <c r="F40" s="953">
        <f>VLOOKUP(G25,BDD!DN20:DQ33,4,FALSE)*gains!F25+VLOOKUP(G26,BDD!DN20:DQ33,4,FALSE)*gains!F26+VLOOKUP(G27,BDD!DN20:DQ33,4,FALSE)*gains!F27</f>
        <v>0</v>
      </c>
      <c r="G40" s="933" t="str">
        <f>G39</f>
        <v>litres</v>
      </c>
      <c r="H40" s="928"/>
      <c r="I40" s="928"/>
      <c r="J40" s="928"/>
      <c r="K40" s="928"/>
      <c r="L40" s="928"/>
      <c r="M40" s="928"/>
      <c r="N40" s="928"/>
      <c r="O40" s="929"/>
      <c r="P40" s="2"/>
      <c r="Q40" s="2"/>
      <c r="R40" s="2"/>
      <c r="S40" s="2"/>
      <c r="T40" s="2"/>
      <c r="U40" s="893"/>
      <c r="V40" s="834"/>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7" x14ac:dyDescent="0.2">
      <c r="A41" s="922"/>
      <c r="B41" s="575"/>
      <c r="C41" s="844" t="str">
        <f>BDD!BC25</f>
        <v>Salers</v>
      </c>
      <c r="D41" s="928"/>
      <c r="E41" s="928"/>
      <c r="F41" s="928"/>
      <c r="G41" s="928"/>
      <c r="H41" s="928"/>
      <c r="I41" s="928"/>
      <c r="J41" s="928"/>
      <c r="K41" s="928"/>
      <c r="L41" s="928"/>
      <c r="M41" s="928"/>
      <c r="N41" s="928"/>
      <c r="O41" s="929"/>
      <c r="P41" s="2"/>
      <c r="Q41" s="2"/>
      <c r="R41" s="2"/>
      <c r="S41" s="2"/>
      <c r="T41" s="2"/>
      <c r="U41" s="893"/>
      <c r="V41" s="834"/>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7" ht="12.75" customHeight="1" thickBot="1" x14ac:dyDescent="0.25">
      <c r="A42" s="922"/>
      <c r="B42" s="854"/>
      <c r="C42" s="864" t="str">
        <f>BDD!BC26</f>
        <v>Aubrac</v>
      </c>
      <c r="D42" s="928"/>
      <c r="E42" s="1555" t="s">
        <v>1826</v>
      </c>
      <c r="F42" s="1556"/>
      <c r="G42" s="1556"/>
      <c r="H42" s="1556"/>
      <c r="I42" s="1556"/>
      <c r="J42" s="1556"/>
      <c r="K42" s="1557"/>
      <c r="L42" s="926"/>
      <c r="M42" s="928"/>
      <c r="N42" s="928"/>
      <c r="O42" s="929"/>
      <c r="P42" s="2"/>
      <c r="Q42" s="2"/>
      <c r="R42" s="2"/>
      <c r="S42" s="2"/>
      <c r="T42" s="2"/>
      <c r="U42" s="893"/>
      <c r="V42" s="834"/>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7" ht="15.75" x14ac:dyDescent="0.2">
      <c r="A43" s="922"/>
      <c r="B43" s="928"/>
      <c r="C43" s="928"/>
      <c r="D43" s="928"/>
      <c r="E43" s="1558"/>
      <c r="F43" s="1559"/>
      <c r="G43" s="1559"/>
      <c r="H43" s="1559"/>
      <c r="I43" s="1559"/>
      <c r="J43" s="1559"/>
      <c r="K43" s="1560"/>
      <c r="L43" s="926"/>
      <c r="M43" s="928"/>
      <c r="N43" s="928"/>
      <c r="O43" s="929"/>
      <c r="P43" s="2"/>
      <c r="Q43" s="2"/>
      <c r="R43" s="2"/>
      <c r="S43" s="2"/>
      <c r="T43" s="2"/>
      <c r="U43" s="893"/>
      <c r="V43" s="834"/>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7" ht="15.75" x14ac:dyDescent="0.2">
      <c r="A44" s="922"/>
      <c r="B44" s="928"/>
      <c r="C44" s="928"/>
      <c r="D44" s="928"/>
      <c r="E44" s="1558"/>
      <c r="F44" s="1559"/>
      <c r="G44" s="1559"/>
      <c r="H44" s="1559"/>
      <c r="I44" s="1559"/>
      <c r="J44" s="1559"/>
      <c r="K44" s="1560"/>
      <c r="L44" s="926"/>
      <c r="M44" s="928"/>
      <c r="N44" s="928"/>
      <c r="O44" s="929"/>
      <c r="P44" s="2"/>
      <c r="Q44" s="2"/>
      <c r="R44" s="2"/>
      <c r="S44" s="2"/>
      <c r="T44" s="2"/>
      <c r="U44" s="893"/>
      <c r="V44" s="834"/>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7" ht="15.75" x14ac:dyDescent="0.2">
      <c r="A45" s="922"/>
      <c r="B45" s="928"/>
      <c r="C45" s="928"/>
      <c r="D45" s="928"/>
      <c r="E45" s="1561"/>
      <c r="F45" s="1562"/>
      <c r="G45" s="1562"/>
      <c r="H45" s="1562"/>
      <c r="I45" s="1562"/>
      <c r="J45" s="1562"/>
      <c r="K45" s="1563"/>
      <c r="L45" s="926"/>
      <c r="M45" s="928"/>
      <c r="N45" s="928"/>
      <c r="O45" s="929"/>
      <c r="P45" s="2"/>
      <c r="Q45" s="2"/>
      <c r="R45" s="2"/>
      <c r="S45" s="2"/>
      <c r="T45" s="2"/>
      <c r="U45" s="893"/>
      <c r="V45" s="855"/>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7" x14ac:dyDescent="0.2">
      <c r="A46" s="922"/>
      <c r="B46" s="928"/>
      <c r="C46" s="928"/>
      <c r="D46" s="928"/>
      <c r="E46" s="928"/>
      <c r="F46" s="928"/>
      <c r="G46" s="928"/>
      <c r="H46" s="928"/>
      <c r="I46" s="928"/>
      <c r="J46" s="928"/>
      <c r="K46" s="928"/>
      <c r="L46" s="928"/>
      <c r="M46" s="928"/>
      <c r="N46" s="928"/>
      <c r="O46" s="929"/>
      <c r="P46" s="2"/>
      <c r="Q46" s="2"/>
      <c r="R46" s="2"/>
      <c r="S46" s="2"/>
      <c r="T46" s="2"/>
      <c r="U46" s="894"/>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7" x14ac:dyDescent="0.2">
      <c r="A47" s="922"/>
      <c r="B47" s="933"/>
      <c r="C47" s="951"/>
      <c r="D47" s="928"/>
      <c r="E47" s="928"/>
      <c r="F47" s="928"/>
      <c r="G47" s="928"/>
      <c r="H47" s="928"/>
      <c r="I47" s="928"/>
      <c r="J47" s="928"/>
      <c r="K47" s="928"/>
      <c r="L47" s="928"/>
      <c r="M47" s="928"/>
      <c r="N47" s="928"/>
      <c r="O47" s="929"/>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x14ac:dyDescent="0.2">
      <c r="A48" s="922"/>
      <c r="B48" s="1544" t="s">
        <v>1831</v>
      </c>
      <c r="C48" s="1545"/>
      <c r="D48" s="945"/>
      <c r="E48" s="945"/>
      <c r="F48" s="928"/>
      <c r="G48" s="928"/>
      <c r="H48" s="928"/>
      <c r="I48" s="928"/>
      <c r="J48" s="928"/>
      <c r="K48" s="928"/>
      <c r="L48" s="928"/>
      <c r="M48" s="928"/>
      <c r="N48" s="928"/>
      <c r="O48" s="929"/>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x14ac:dyDescent="0.2">
      <c r="A49" s="922"/>
      <c r="B49" s="933"/>
      <c r="C49" s="951"/>
      <c r="D49" s="928"/>
      <c r="E49" s="928"/>
      <c r="F49" s="928"/>
      <c r="G49" s="928"/>
      <c r="H49" s="928"/>
      <c r="I49" s="928"/>
      <c r="J49" s="928"/>
      <c r="K49" s="928"/>
      <c r="L49" s="928"/>
      <c r="M49" s="928"/>
      <c r="N49" s="928"/>
      <c r="O49" s="929"/>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x14ac:dyDescent="0.2">
      <c r="A50" s="923"/>
      <c r="B50" s="928"/>
      <c r="C50" s="928"/>
      <c r="D50" s="928"/>
      <c r="E50" s="928"/>
      <c r="F50" s="928"/>
      <c r="G50" s="928"/>
      <c r="H50" s="928"/>
      <c r="I50" s="928"/>
      <c r="J50" s="928"/>
      <c r="K50" s="928"/>
      <c r="L50" s="928"/>
      <c r="M50" s="928"/>
      <c r="N50" s="928"/>
      <c r="O50" s="929"/>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x14ac:dyDescent="0.2">
      <c r="A51" s="922"/>
      <c r="B51" s="928"/>
      <c r="C51" s="928"/>
      <c r="D51" s="952"/>
      <c r="E51" s="928"/>
      <c r="F51" s="928"/>
      <c r="G51" s="928"/>
      <c r="H51" s="928"/>
      <c r="I51" s="928"/>
      <c r="J51" s="928"/>
      <c r="K51" s="928"/>
      <c r="L51" s="928"/>
      <c r="M51" s="928"/>
      <c r="N51" s="928"/>
      <c r="O51" s="929"/>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3.5" thickBot="1" x14ac:dyDescent="0.25">
      <c r="A52" s="922"/>
      <c r="B52" s="928"/>
      <c r="C52" s="928"/>
      <c r="D52" s="928"/>
      <c r="E52" s="928"/>
      <c r="F52" s="928"/>
      <c r="G52" s="928"/>
      <c r="H52" s="928"/>
      <c r="I52" s="928"/>
      <c r="J52" s="928"/>
      <c r="K52" s="928"/>
      <c r="L52" s="928"/>
      <c r="M52" s="928"/>
      <c r="N52" s="928"/>
      <c r="O52" s="929"/>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3.5" thickBot="1" x14ac:dyDescent="0.25">
      <c r="A53" s="922"/>
      <c r="B53" s="1564" t="s">
        <v>1832</v>
      </c>
      <c r="C53" s="1565"/>
      <c r="D53" s="1564" t="s">
        <v>1833</v>
      </c>
      <c r="E53" s="1565"/>
      <c r="F53" s="1536" t="s">
        <v>1834</v>
      </c>
      <c r="G53" s="1537"/>
      <c r="H53" s="928"/>
      <c r="I53" s="928"/>
      <c r="J53" s="928"/>
      <c r="K53" s="928"/>
      <c r="L53" s="928"/>
      <c r="M53" s="928"/>
      <c r="N53" s="928"/>
      <c r="O53" s="929"/>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3.5" thickBot="1" x14ac:dyDescent="0.25">
      <c r="A54" s="922"/>
      <c r="B54" s="835" t="s">
        <v>472</v>
      </c>
      <c r="C54" s="856" t="str">
        <f>G24</f>
        <v>race</v>
      </c>
      <c r="D54" s="835" t="s">
        <v>472</v>
      </c>
      <c r="E54" s="836" t="str">
        <f>C54</f>
        <v>race</v>
      </c>
      <c r="F54" s="835" t="s">
        <v>472</v>
      </c>
      <c r="G54" s="856" t="str">
        <f>E54</f>
        <v>race</v>
      </c>
      <c r="H54" s="928"/>
      <c r="I54" s="928"/>
      <c r="J54" s="928"/>
      <c r="K54" s="928"/>
      <c r="L54" s="928"/>
      <c r="M54" s="928"/>
      <c r="N54" s="928"/>
      <c r="O54" s="929"/>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3.5" thickBot="1" x14ac:dyDescent="0.25">
      <c r="A55" s="922"/>
      <c r="B55" s="857"/>
      <c r="C55" s="858" t="str">
        <f>BDD!BY8</f>
        <v>Angora</v>
      </c>
      <c r="D55" s="840"/>
      <c r="E55" s="841" t="str">
        <f>BDD!DN21</f>
        <v>Manech Noire</v>
      </c>
      <c r="F55" s="859"/>
      <c r="G55" s="860" t="str">
        <f>BDD!CS14</f>
        <v>Angora</v>
      </c>
      <c r="H55" s="928"/>
      <c r="I55" s="928"/>
      <c r="J55" s="928"/>
      <c r="K55" s="928"/>
      <c r="L55" s="928"/>
      <c r="M55" s="928"/>
      <c r="N55" s="928"/>
      <c r="O55" s="929"/>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x14ac:dyDescent="0.2">
      <c r="A56" s="922"/>
      <c r="B56" s="947"/>
      <c r="C56" s="928"/>
      <c r="D56" s="575"/>
      <c r="E56" s="844" t="str">
        <f>BDD!DN22</f>
        <v>Manech Rousse</v>
      </c>
      <c r="F56" s="947"/>
      <c r="G56" s="928"/>
      <c r="H56" s="928"/>
      <c r="I56" s="928"/>
      <c r="J56" s="928"/>
      <c r="K56" s="928"/>
      <c r="L56" s="928"/>
      <c r="M56" s="928"/>
      <c r="N56" s="928"/>
      <c r="O56" s="929"/>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x14ac:dyDescent="0.2">
      <c r="A57" s="922"/>
      <c r="B57" s="930"/>
      <c r="C57" s="930"/>
      <c r="D57" s="575"/>
      <c r="E57" s="844" t="str">
        <f>BDD!DN23</f>
        <v>Ille de France</v>
      </c>
      <c r="F57" s="930"/>
      <c r="G57" s="930"/>
      <c r="H57" s="928"/>
      <c r="I57" s="928"/>
      <c r="J57" s="928"/>
      <c r="K57" s="928"/>
      <c r="L57" s="928"/>
      <c r="M57" s="928"/>
      <c r="N57" s="928"/>
      <c r="O57" s="929"/>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x14ac:dyDescent="0.2">
      <c r="A58" s="922"/>
      <c r="B58" s="930"/>
      <c r="C58" s="944"/>
      <c r="D58" s="862"/>
      <c r="E58" s="844" t="str">
        <f>BDD!DN25</f>
        <v>Texel</v>
      </c>
      <c r="F58" s="930"/>
      <c r="G58" s="944"/>
      <c r="H58" s="928"/>
      <c r="I58" s="928"/>
      <c r="J58" s="928"/>
      <c r="K58" s="928"/>
      <c r="L58" s="928"/>
      <c r="M58" s="928"/>
      <c r="N58" s="928"/>
      <c r="O58" s="929"/>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x14ac:dyDescent="0.2">
      <c r="A59" s="922"/>
      <c r="B59" s="930"/>
      <c r="C59" s="944"/>
      <c r="D59" s="862"/>
      <c r="E59" s="844" t="str">
        <f>BDD!DN26</f>
        <v>Engadine (uniquement Partie Suisse)</v>
      </c>
      <c r="F59" s="930"/>
      <c r="G59" s="944"/>
      <c r="H59" s="928"/>
      <c r="I59" s="928"/>
      <c r="J59" s="928"/>
      <c r="K59" s="928"/>
      <c r="L59" s="928"/>
      <c r="M59" s="928"/>
      <c r="N59" s="928"/>
      <c r="O59" s="929"/>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x14ac:dyDescent="0.2">
      <c r="A60" s="922"/>
      <c r="B60" s="930"/>
      <c r="C60" s="944"/>
      <c r="D60" s="862"/>
      <c r="E60" s="844" t="str">
        <f>BDD!DN28</f>
        <v>Rouge de l'Ouest</v>
      </c>
      <c r="F60" s="930"/>
      <c r="G60" s="944"/>
      <c r="H60" s="928"/>
      <c r="I60" s="928"/>
      <c r="J60" s="928"/>
      <c r="K60" s="928"/>
      <c r="L60" s="928"/>
      <c r="M60" s="928"/>
      <c r="N60" s="928"/>
      <c r="O60" s="929"/>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x14ac:dyDescent="0.2">
      <c r="A61" s="922"/>
      <c r="B61" s="930"/>
      <c r="C61" s="944"/>
      <c r="D61" s="862"/>
      <c r="E61" s="844" t="str">
        <f>BDD!DN29</f>
        <v>Blanche du massif Central</v>
      </c>
      <c r="F61" s="930"/>
      <c r="G61" s="944"/>
      <c r="H61" s="928"/>
      <c r="I61" s="928"/>
      <c r="J61" s="928"/>
      <c r="K61" s="928"/>
      <c r="L61" s="928"/>
      <c r="M61" s="928"/>
      <c r="N61" s="928"/>
      <c r="O61" s="929"/>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x14ac:dyDescent="0.2">
      <c r="A62" s="922"/>
      <c r="B62" s="930"/>
      <c r="C62" s="944"/>
      <c r="D62" s="862"/>
      <c r="E62" s="844" t="str">
        <f>BDD!DN30</f>
        <v>Mérinos d''Arles</v>
      </c>
      <c r="F62" s="930"/>
      <c r="G62" s="944"/>
      <c r="H62" s="928"/>
      <c r="I62" s="928"/>
      <c r="J62" s="928"/>
      <c r="K62" s="928"/>
      <c r="L62" s="928"/>
      <c r="M62" s="928"/>
      <c r="N62" s="928"/>
      <c r="O62" s="929"/>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x14ac:dyDescent="0.2">
      <c r="A63" s="922"/>
      <c r="B63" s="930"/>
      <c r="C63" s="944"/>
      <c r="D63" s="862"/>
      <c r="E63" s="844" t="str">
        <f>BDD!DN31</f>
        <v>Causses du Lot</v>
      </c>
      <c r="F63" s="930"/>
      <c r="G63" s="944"/>
      <c r="H63" s="928"/>
      <c r="I63" s="928"/>
      <c r="J63" s="928"/>
      <c r="K63" s="928"/>
      <c r="L63" s="928"/>
      <c r="M63" s="928"/>
      <c r="N63" s="928"/>
      <c r="O63" s="929"/>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3.5" thickBot="1" x14ac:dyDescent="0.25">
      <c r="A64" s="922"/>
      <c r="B64" s="930"/>
      <c r="C64" s="944"/>
      <c r="D64" s="904"/>
      <c r="E64" s="847" t="str">
        <f>BDD!DN33</f>
        <v>Berrichon du Cher</v>
      </c>
      <c r="F64" s="930"/>
      <c r="G64" s="944"/>
      <c r="H64" s="928"/>
      <c r="I64" s="928"/>
      <c r="J64" s="928"/>
      <c r="K64" s="928"/>
      <c r="L64" s="928"/>
      <c r="M64" s="928"/>
      <c r="N64" s="928"/>
      <c r="O64" s="929"/>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x14ac:dyDescent="0.2">
      <c r="A65" s="922"/>
      <c r="B65" s="928"/>
      <c r="C65" s="928"/>
      <c r="D65" s="947"/>
      <c r="E65" s="928"/>
      <c r="F65" s="928"/>
      <c r="G65" s="928"/>
      <c r="H65" s="928"/>
      <c r="I65" s="928"/>
      <c r="J65" s="928"/>
      <c r="K65" s="928"/>
      <c r="L65" s="928"/>
      <c r="M65" s="928"/>
      <c r="N65" s="928"/>
      <c r="O65" s="929"/>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x14ac:dyDescent="0.2">
      <c r="A66" s="922"/>
      <c r="B66" s="949"/>
      <c r="C66" s="949"/>
      <c r="D66" s="930"/>
      <c r="E66" s="930"/>
      <c r="F66" s="928"/>
      <c r="G66" s="928"/>
      <c r="H66" s="928"/>
      <c r="I66" s="928"/>
      <c r="J66" s="928"/>
      <c r="K66" s="928"/>
      <c r="L66" s="928"/>
      <c r="M66" s="928"/>
      <c r="N66" s="928"/>
      <c r="O66" s="929"/>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x14ac:dyDescent="0.2">
      <c r="A67" s="922"/>
      <c r="B67" s="933" t="str">
        <f>IF(E37="","",E37)</f>
        <v>Production moyenne :</v>
      </c>
      <c r="C67" s="933"/>
      <c r="D67" s="928"/>
      <c r="E67" s="928"/>
      <c r="F67" s="928"/>
      <c r="G67" s="928"/>
      <c r="H67" s="928"/>
      <c r="I67" s="928"/>
      <c r="J67" s="928"/>
      <c r="K67" s="928"/>
      <c r="L67" s="928"/>
      <c r="M67" s="928"/>
      <c r="N67" s="928"/>
      <c r="O67" s="929"/>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x14ac:dyDescent="0.2">
      <c r="A68" s="922"/>
      <c r="B68" s="930" t="str">
        <f>IF(B53="","",B53)</f>
        <v>chèvres/boucs :</v>
      </c>
      <c r="C68" s="950">
        <f>(VLOOKUP(C55,BDD!BY7:CC14,5,FALSE)*gains!B55)*7*12</f>
        <v>0</v>
      </c>
      <c r="D68" s="944" t="str">
        <f>"soit " &amp;C68*BDD!E171 &amp;" €"</f>
        <v>soit 0 €</v>
      </c>
      <c r="E68" s="928"/>
      <c r="F68" s="928"/>
      <c r="G68" s="928"/>
      <c r="H68" s="928"/>
      <c r="I68" s="928"/>
      <c r="J68" s="928"/>
      <c r="K68" s="928"/>
      <c r="L68" s="928"/>
      <c r="M68" s="928"/>
      <c r="N68" s="928"/>
      <c r="O68" s="929"/>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x14ac:dyDescent="0.2">
      <c r="A69" s="922"/>
      <c r="B69" s="930" t="str">
        <f>IF(D53="","",D53)</f>
        <v>brebis/béliers :</v>
      </c>
      <c r="C69" s="950">
        <f>(VLOOKUP(E55,BDD!DN20:DR33,5,FALSE)*gains!D55+VLOOKUP(E56,BDD!DN20:DR33,5,FALSE)*gains!D56+VLOOKUP(E57,BDD!DN20:DR33,5,FALSE)*gains!D57+VLOOKUP(E58,BDD!DN20:DR33,5,FALSE)*gains!D58+VLOOKUP(E59,BDD!DN20:DR33,5,FALSE)*gains!D59+VLOOKUP(E60,BDD!DN20:DR33,5,FALSE)*gains!D60+VLOOKUP(E61,BDD!DN20:DR33,5,FALSE)*gains!D61+VLOOKUP(E62,BDD!DN20:DR33,5,FALSE)*gains!D62+VLOOKUP(E63,BDD!DN20:DR33,5,FALSE)*gains!D63+VLOOKUP(E64,BDD!DN20:DR33,5,FALSE)*gains!D64)*7*12</f>
        <v>0</v>
      </c>
      <c r="D69" s="944" t="str">
        <f>"soit " &amp;C69*BDD!E172 &amp;" €"</f>
        <v>soit 0 €</v>
      </c>
      <c r="E69" s="928"/>
      <c r="F69" s="928"/>
      <c r="G69" s="928"/>
      <c r="H69" s="928"/>
      <c r="I69" s="928"/>
      <c r="J69" s="928"/>
      <c r="K69" s="928"/>
      <c r="L69" s="928"/>
      <c r="M69" s="928"/>
      <c r="N69" s="928"/>
      <c r="O69" s="929"/>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x14ac:dyDescent="0.2">
      <c r="A70" s="922"/>
      <c r="B70" s="930" t="str">
        <f>IF(F53="","",F53)</f>
        <v>lapins/lapines :</v>
      </c>
      <c r="C70" s="950">
        <f>(VLOOKUP(G55,BDD!CS8:CV19,4,FALSE)*gains!F55)*7*12</f>
        <v>0</v>
      </c>
      <c r="D70" s="944" t="str">
        <f>"soit " &amp;C70*BDD!E170 &amp;" €"</f>
        <v>soit 0 €</v>
      </c>
      <c r="E70" s="928"/>
      <c r="F70" s="928"/>
      <c r="G70" s="928"/>
      <c r="H70" s="928"/>
      <c r="I70" s="928"/>
      <c r="J70" s="928"/>
      <c r="K70" s="928"/>
      <c r="L70" s="928"/>
      <c r="M70" s="928"/>
      <c r="N70" s="928"/>
      <c r="O70" s="929"/>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x14ac:dyDescent="0.2">
      <c r="A71" s="922"/>
      <c r="B71" s="928"/>
      <c r="C71" s="928"/>
      <c r="D71" s="928"/>
      <c r="E71" s="928"/>
      <c r="F71" s="928"/>
      <c r="G71" s="928"/>
      <c r="H71" s="928"/>
      <c r="I71" s="928"/>
      <c r="J71" s="928"/>
      <c r="K71" s="928"/>
      <c r="L71" s="928"/>
      <c r="M71" s="928"/>
      <c r="N71" s="928"/>
      <c r="O71" s="929"/>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x14ac:dyDescent="0.2">
      <c r="A72" s="922"/>
      <c r="B72" s="928"/>
      <c r="C72" s="928"/>
      <c r="D72" s="928"/>
      <c r="E72" s="928"/>
      <c r="F72" s="928"/>
      <c r="G72" s="928"/>
      <c r="H72" s="928"/>
      <c r="I72" s="928"/>
      <c r="J72" s="928"/>
      <c r="K72" s="928"/>
      <c r="L72" s="928"/>
      <c r="M72" s="928"/>
      <c r="N72" s="928"/>
      <c r="O72" s="929"/>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x14ac:dyDescent="0.2">
      <c r="A73" s="922"/>
      <c r="B73" s="928"/>
      <c r="C73" s="928"/>
      <c r="D73" s="928"/>
      <c r="E73" s="928"/>
      <c r="F73" s="928"/>
      <c r="G73" s="928"/>
      <c r="H73" s="928"/>
      <c r="I73" s="928"/>
      <c r="J73" s="928"/>
      <c r="K73" s="928"/>
      <c r="L73" s="928"/>
      <c r="M73" s="928"/>
      <c r="N73" s="928"/>
      <c r="O73" s="929"/>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x14ac:dyDescent="0.2">
      <c r="A74" s="922"/>
      <c r="B74" s="928"/>
      <c r="C74" s="928"/>
      <c r="D74" s="928"/>
      <c r="E74" s="928"/>
      <c r="F74" s="928"/>
      <c r="G74" s="928"/>
      <c r="H74" s="928"/>
      <c r="I74" s="928"/>
      <c r="J74" s="928"/>
      <c r="K74" s="928"/>
      <c r="L74" s="928"/>
      <c r="M74" s="928"/>
      <c r="N74" s="928"/>
      <c r="O74" s="929"/>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x14ac:dyDescent="0.2">
      <c r="A75" s="922"/>
      <c r="B75" s="928"/>
      <c r="C75" s="928"/>
      <c r="D75" s="928"/>
      <c r="E75" s="928"/>
      <c r="F75" s="928"/>
      <c r="G75" s="928"/>
      <c r="H75" s="928"/>
      <c r="I75" s="928"/>
      <c r="J75" s="928"/>
      <c r="K75" s="928"/>
      <c r="L75" s="928"/>
      <c r="M75" s="928"/>
      <c r="N75" s="928"/>
      <c r="O75" s="929"/>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x14ac:dyDescent="0.2">
      <c r="A76" s="922"/>
      <c r="B76" s="1544" t="s">
        <v>1835</v>
      </c>
      <c r="C76" s="1545"/>
      <c r="D76" s="945"/>
      <c r="E76" s="1555" t="str">
        <f>IF(E42="","",E42)</f>
        <v>ATTENTION : 
Les montants calculés sont des moyennes basées sur les données présentes dans les règles du jeu!!</v>
      </c>
      <c r="F76" s="1556"/>
      <c r="G76" s="1556"/>
      <c r="H76" s="1556"/>
      <c r="I76" s="1556"/>
      <c r="J76" s="1556"/>
      <c r="K76" s="1557"/>
      <c r="L76" s="928"/>
      <c r="M76" s="928"/>
      <c r="N76" s="928"/>
      <c r="O76" s="929"/>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x14ac:dyDescent="0.2">
      <c r="A77" s="922"/>
      <c r="B77" s="928"/>
      <c r="C77" s="928"/>
      <c r="D77" s="928"/>
      <c r="E77" s="1558"/>
      <c r="F77" s="1559"/>
      <c r="G77" s="1559"/>
      <c r="H77" s="1559"/>
      <c r="I77" s="1559"/>
      <c r="J77" s="1559"/>
      <c r="K77" s="1560"/>
      <c r="L77" s="928"/>
      <c r="M77" s="928"/>
      <c r="N77" s="928"/>
      <c r="O77" s="929"/>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x14ac:dyDescent="0.2">
      <c r="A78" s="923"/>
      <c r="B78" s="928"/>
      <c r="C78" s="928"/>
      <c r="D78" s="928"/>
      <c r="E78" s="1558"/>
      <c r="F78" s="1559"/>
      <c r="G78" s="1559"/>
      <c r="H78" s="1559"/>
      <c r="I78" s="1559"/>
      <c r="J78" s="1559"/>
      <c r="K78" s="1560"/>
      <c r="L78" s="928"/>
      <c r="M78" s="928"/>
      <c r="N78" s="928"/>
      <c r="O78" s="929"/>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x14ac:dyDescent="0.2">
      <c r="A79" s="922"/>
      <c r="B79" s="928"/>
      <c r="C79" s="928"/>
      <c r="D79" s="928"/>
      <c r="E79" s="1561"/>
      <c r="F79" s="1562"/>
      <c r="G79" s="1562"/>
      <c r="H79" s="1562"/>
      <c r="I79" s="1562"/>
      <c r="J79" s="1562"/>
      <c r="K79" s="1563"/>
      <c r="L79" s="928"/>
      <c r="M79" s="928"/>
      <c r="N79" s="928"/>
      <c r="O79" s="929"/>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x14ac:dyDescent="0.2">
      <c r="A80" s="922"/>
      <c r="B80" s="928"/>
      <c r="C80" s="928"/>
      <c r="D80" s="928"/>
      <c r="E80" s="928"/>
      <c r="F80" s="928"/>
      <c r="G80" s="928"/>
      <c r="H80" s="928"/>
      <c r="I80" s="928"/>
      <c r="J80" s="928"/>
      <c r="K80" s="928"/>
      <c r="L80" s="928"/>
      <c r="M80" s="928"/>
      <c r="N80" s="928"/>
      <c r="O80" s="929"/>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3.5" thickBot="1" x14ac:dyDescent="0.25">
      <c r="A81" s="922"/>
      <c r="B81" s="928"/>
      <c r="C81" s="928"/>
      <c r="D81" s="928"/>
      <c r="E81" s="928"/>
      <c r="F81" s="928"/>
      <c r="G81" s="928"/>
      <c r="H81" s="928"/>
      <c r="I81" s="928"/>
      <c r="J81" s="928"/>
      <c r="K81" s="928"/>
      <c r="L81" s="928"/>
      <c r="M81" s="928"/>
      <c r="N81" s="928"/>
      <c r="O81" s="929"/>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x14ac:dyDescent="0.2">
      <c r="A82" s="922"/>
      <c r="B82" s="1536" t="s">
        <v>1603</v>
      </c>
      <c r="C82" s="1537"/>
      <c r="D82" s="928"/>
      <c r="E82" s="1536" t="s">
        <v>1836</v>
      </c>
      <c r="F82" s="1537"/>
      <c r="G82" s="928"/>
      <c r="H82" s="928"/>
      <c r="I82" s="928"/>
      <c r="J82" s="928"/>
      <c r="K82" s="928"/>
      <c r="L82" s="928"/>
      <c r="M82" s="928"/>
      <c r="N82" s="928"/>
      <c r="O82" s="929"/>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3.5" thickBot="1" x14ac:dyDescent="0.25">
      <c r="A83" s="922"/>
      <c r="B83" s="835" t="s">
        <v>472</v>
      </c>
      <c r="C83" s="836" t="str">
        <f>G54</f>
        <v>race</v>
      </c>
      <c r="D83" s="928"/>
      <c r="E83" s="835" t="s">
        <v>472</v>
      </c>
      <c r="F83" s="836" t="str">
        <f>C83</f>
        <v>race</v>
      </c>
      <c r="G83" s="928"/>
      <c r="H83" s="928"/>
      <c r="I83" s="928"/>
      <c r="J83" s="928"/>
      <c r="K83" s="928"/>
      <c r="L83" s="928"/>
      <c r="M83" s="928"/>
      <c r="N83" s="928"/>
      <c r="O83" s="929"/>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x14ac:dyDescent="0.2">
      <c r="A84" s="922"/>
      <c r="B84" s="912"/>
      <c r="C84" s="906" t="str">
        <f>BDD!CZ8</f>
        <v>Charollaise</v>
      </c>
      <c r="D84" s="928"/>
      <c r="E84" s="905"/>
      <c r="F84" s="909" t="str">
        <f>BDD!EN8</f>
        <v>Canard de Rouen Clair</v>
      </c>
      <c r="G84" s="928"/>
      <c r="H84" s="928"/>
      <c r="I84" s="928"/>
      <c r="J84" s="928"/>
      <c r="K84" s="928"/>
      <c r="L84" s="928"/>
      <c r="M84" s="928"/>
      <c r="N84" s="928"/>
      <c r="O84" s="929"/>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x14ac:dyDescent="0.2">
      <c r="A85" s="922"/>
      <c r="B85" s="913"/>
      <c r="C85" s="907" t="str">
        <f>BDD!CZ9</f>
        <v>Gauloise</v>
      </c>
      <c r="D85" s="928"/>
      <c r="E85" s="862"/>
      <c r="F85" s="910" t="str">
        <f>BDD!EN9</f>
        <v>Canard Duclair</v>
      </c>
      <c r="G85" s="928"/>
      <c r="H85" s="933" t="str">
        <f>B67</f>
        <v>Production moyenne :</v>
      </c>
      <c r="I85" s="933"/>
      <c r="J85" s="928"/>
      <c r="K85" s="928"/>
      <c r="L85" s="926"/>
      <c r="M85" s="948"/>
      <c r="N85" s="928"/>
      <c r="O85" s="929"/>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x14ac:dyDescent="0.2">
      <c r="A86" s="922"/>
      <c r="B86" s="913"/>
      <c r="C86" s="907" t="str">
        <f>BDD!CZ10</f>
        <v>Coucou des Flandres</v>
      </c>
      <c r="D86" s="928"/>
      <c r="E86" s="862"/>
      <c r="F86" s="910" t="str">
        <f>BDD!EN10</f>
        <v>Canard de Pékin Allemand</v>
      </c>
      <c r="G86" s="928"/>
      <c r="H86" s="930" t="s">
        <v>1837</v>
      </c>
      <c r="I86" s="936">
        <f>4*gains!B84+4*gains!B85+4*gains!B86+VLOOKUP(C87,BDD!CZ8:DC13,4,FALSE)*gains!B87+VLOOKUP(C88,BDD!CZ8:DC13,4,FALSE)*gains!B88+VLOOKUP(C89,BDD!CZ8:DC13,4,FALSE)*gains!B89</f>
        <v>0</v>
      </c>
      <c r="J86" s="933" t="s">
        <v>1838</v>
      </c>
      <c r="K86" s="928"/>
      <c r="L86" s="926"/>
      <c r="M86" s="948"/>
      <c r="N86" s="928"/>
      <c r="O86" s="929"/>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x14ac:dyDescent="0.2">
      <c r="A87" s="922"/>
      <c r="B87" s="913"/>
      <c r="C87" s="907" t="str">
        <f>BDD!CZ11</f>
        <v>Meusienne</v>
      </c>
      <c r="D87" s="928"/>
      <c r="E87" s="862"/>
      <c r="F87" s="910" t="str">
        <f>BDD!EN11</f>
        <v>Canard de Pékin Américain (Partie Etats-Unis)</v>
      </c>
      <c r="G87" s="928"/>
      <c r="H87" s="930" t="s">
        <v>1839</v>
      </c>
      <c r="I87" s="930">
        <f>4*gains!E84+4*gains!E85+4*gains!E86+4*gains!E87+4*gains!E88+4*gains!E89</f>
        <v>0</v>
      </c>
      <c r="J87" s="934" t="str">
        <f>J86</f>
        <v>œuf(s)</v>
      </c>
      <c r="K87" s="928"/>
      <c r="L87" s="926"/>
      <c r="M87" s="948"/>
      <c r="N87" s="928"/>
      <c r="O87" s="929"/>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6.5" customHeight="1" x14ac:dyDescent="0.2">
      <c r="A88" s="922"/>
      <c r="B88" s="913"/>
      <c r="C88" s="907" t="str">
        <f>BDD!CZ12</f>
        <v>Bourbourg</v>
      </c>
      <c r="D88" s="928"/>
      <c r="E88" s="862"/>
      <c r="F88" s="910" t="str">
        <f>BDD!EN12</f>
        <v>Canard de Bourbourg</v>
      </c>
      <c r="G88" s="928"/>
      <c r="H88" s="930"/>
      <c r="I88" s="928"/>
      <c r="J88" s="928"/>
      <c r="K88" s="928"/>
      <c r="L88" s="926"/>
      <c r="M88" s="948"/>
      <c r="N88" s="928"/>
      <c r="O88" s="929"/>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3.5" thickBot="1" x14ac:dyDescent="0.25">
      <c r="A89" s="922"/>
      <c r="B89" s="914"/>
      <c r="C89" s="908" t="str">
        <f>BDD!CZ13</f>
        <v>Suisse</v>
      </c>
      <c r="D89" s="928"/>
      <c r="E89" s="904"/>
      <c r="F89" s="911" t="str">
        <f>BDD!EN13</f>
        <v>Canard de Barbarie</v>
      </c>
      <c r="G89" s="931"/>
      <c r="H89" s="931"/>
      <c r="I89" s="931"/>
      <c r="J89" s="931"/>
      <c r="K89" s="931"/>
      <c r="L89" s="931"/>
      <c r="M89" s="931"/>
      <c r="N89" s="928"/>
      <c r="O89" s="929"/>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x14ac:dyDescent="0.2">
      <c r="A90" s="922"/>
      <c r="B90" s="947"/>
      <c r="C90" s="928"/>
      <c r="D90" s="928"/>
      <c r="E90" s="928"/>
      <c r="F90" s="928"/>
      <c r="G90" s="928"/>
      <c r="H90" s="928"/>
      <c r="I90" s="928"/>
      <c r="J90" s="928"/>
      <c r="K90" s="928"/>
      <c r="L90" s="928"/>
      <c r="M90" s="928"/>
      <c r="N90" s="928"/>
      <c r="O90" s="929"/>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x14ac:dyDescent="0.2">
      <c r="A91" s="922"/>
      <c r="B91" s="863" t="s">
        <v>1840</v>
      </c>
      <c r="C91" s="850">
        <f>(4*gains!B84+4*gains!B85+4*gains!B86+VLOOKUP(C87,BDD!CZ8:DC13,4,FALSE)*gains!B87+VLOOKUP(C88,BDD!CZ8:DC13,4,FALSE)*gains!B88+VLOOKUP(C89,BDD!CZ8:DC13,4,FALSE)*gains!B89)*BDD!E178</f>
        <v>0</v>
      </c>
      <c r="D91" s="928"/>
      <c r="E91" s="861" t="s">
        <v>133</v>
      </c>
      <c r="F91" s="849" t="str">
        <f>"entre 0€ et "&amp;(4*gains!E84+4*gains!E85+4*gains!E86+4*gains!E87+4*gains!E88+4*gains!E89)*BDD!E180&amp;"€ maxi"</f>
        <v>entre 0€ et 0€ maxi</v>
      </c>
      <c r="G91" s="928"/>
      <c r="H91" s="928"/>
      <c r="I91" s="928"/>
      <c r="J91" s="928"/>
      <c r="K91" s="928"/>
      <c r="L91" s="928"/>
      <c r="M91" s="928"/>
      <c r="N91" s="928"/>
      <c r="O91" s="929"/>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x14ac:dyDescent="0.2">
      <c r="A92" s="924" t="s">
        <v>1885</v>
      </c>
      <c r="B92" s="863" t="s">
        <v>1841</v>
      </c>
      <c r="C92" s="850">
        <f>(4*gains!B84+4*gains!B85+4*gains!B86+VLOOKUP(C87,BDD!CZ8:DC13,4,FALSE)*gains!B87+VLOOKUP(C88,BDD!CZ8:DC13,4,FALSE)*gains!B88+VLOOKUP(C89,BDD!CZ8:DC13,4,FALSE)*gains!B89)*BDD!E177</f>
        <v>0</v>
      </c>
      <c r="D92" s="928"/>
      <c r="E92" s="928"/>
      <c r="F92" s="946"/>
      <c r="G92" s="928"/>
      <c r="H92" s="928"/>
      <c r="I92" s="928"/>
      <c r="J92" s="928"/>
      <c r="K92" s="928"/>
      <c r="L92" s="928"/>
      <c r="M92" s="928"/>
      <c r="N92" s="928"/>
      <c r="O92" s="929"/>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x14ac:dyDescent="0.2">
      <c r="A93" s="924" t="s">
        <v>1885</v>
      </c>
      <c r="B93" s="863" t="s">
        <v>1842</v>
      </c>
      <c r="C93" s="850">
        <f>(4*gains!B84+4*gains!B85+4*gains!B86+VLOOKUP(C87,BDD!CZ8:DC13,4,FALSE)*gains!B87+VLOOKUP(C88,BDD!CZ8:DC13,4,FALSE)*gains!B88+VLOOKUP(C89,BDD!CZ8:DC13,4,FALSE)*gains!B89)*BDD!E176</f>
        <v>0</v>
      </c>
      <c r="D93" s="928"/>
      <c r="E93" s="928"/>
      <c r="F93" s="928"/>
      <c r="G93" s="928"/>
      <c r="H93" s="928"/>
      <c r="I93" s="928"/>
      <c r="J93" s="928"/>
      <c r="K93" s="928"/>
      <c r="L93" s="928"/>
      <c r="M93" s="928"/>
      <c r="N93" s="928"/>
      <c r="O93" s="929"/>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x14ac:dyDescent="0.2">
      <c r="A94" s="924" t="s">
        <v>1885</v>
      </c>
      <c r="B94" s="863" t="s">
        <v>1843</v>
      </c>
      <c r="C94" s="850">
        <f>(4*gains!B84+4*gains!B85+4*gains!B86+VLOOKUP(C87,BDD!CZ8:DC13,4,FALSE)*gains!B87+VLOOKUP(C88,BDD!CZ8:DC13,4,FALSE)*gains!B88+VLOOKUP(C89,BDD!CZ8:DC13,4,FALSE)*gains!B89)*BDD!E179</f>
        <v>0</v>
      </c>
      <c r="D94" s="928"/>
      <c r="E94" s="928"/>
      <c r="F94" s="928"/>
      <c r="G94" s="928"/>
      <c r="H94" s="928"/>
      <c r="I94" s="928"/>
      <c r="J94" s="928"/>
      <c r="K94" s="928"/>
      <c r="L94" s="928"/>
      <c r="M94" s="928"/>
      <c r="N94" s="928"/>
      <c r="O94" s="929"/>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x14ac:dyDescent="0.2">
      <c r="A95" s="922"/>
      <c r="B95" s="943"/>
      <c r="C95" s="944"/>
      <c r="D95" s="928"/>
      <c r="E95" s="928"/>
      <c r="F95" s="928"/>
      <c r="G95" s="928"/>
      <c r="H95" s="928"/>
      <c r="I95" s="928"/>
      <c r="J95" s="928"/>
      <c r="K95" s="928"/>
      <c r="L95" s="928"/>
      <c r="M95" s="928"/>
      <c r="N95" s="928"/>
      <c r="O95" s="929"/>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x14ac:dyDescent="0.2">
      <c r="A96" s="922"/>
      <c r="B96" s="928"/>
      <c r="C96" s="928"/>
      <c r="D96" s="928"/>
      <c r="E96" s="928"/>
      <c r="F96" s="928"/>
      <c r="G96" s="928"/>
      <c r="H96" s="928"/>
      <c r="I96" s="928"/>
      <c r="J96" s="928"/>
      <c r="K96" s="928"/>
      <c r="L96" s="928"/>
      <c r="M96" s="928"/>
      <c r="N96" s="940"/>
      <c r="O96" s="941"/>
      <c r="P96" s="15"/>
      <c r="Q96" s="15"/>
      <c r="R96" s="2"/>
      <c r="S96" s="2"/>
      <c r="T96" s="15"/>
      <c r="U96" s="15"/>
      <c r="V96" s="15"/>
      <c r="W96" s="15"/>
      <c r="X96" s="15"/>
      <c r="Y96" s="15"/>
      <c r="Z96" s="15"/>
      <c r="AA96" s="15"/>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x14ac:dyDescent="0.2">
      <c r="A97" s="922"/>
      <c r="B97" s="928"/>
      <c r="C97" s="928"/>
      <c r="D97" s="945"/>
      <c r="E97" s="1555" t="str">
        <f>IF(E76="","",E76)</f>
        <v>ATTENTION : 
Les montants calculés sont des moyennes basées sur les données présentes dans les règles du jeu!!</v>
      </c>
      <c r="F97" s="1556"/>
      <c r="G97" s="1556"/>
      <c r="H97" s="1556"/>
      <c r="I97" s="1556"/>
      <c r="J97" s="1556"/>
      <c r="K97" s="1557"/>
      <c r="L97" s="928"/>
      <c r="M97" s="928"/>
      <c r="N97" s="940"/>
      <c r="O97" s="941"/>
      <c r="P97" s="15"/>
      <c r="Q97" s="15"/>
      <c r="R97" s="2"/>
      <c r="S97" s="2"/>
      <c r="T97" s="15"/>
      <c r="U97" s="15"/>
      <c r="V97" s="15"/>
      <c r="W97" s="15"/>
      <c r="X97" s="15"/>
      <c r="Y97" s="15"/>
      <c r="Z97" s="15"/>
      <c r="AA97" s="15"/>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x14ac:dyDescent="0.2">
      <c r="A98" s="922"/>
      <c r="B98" s="1544" t="s">
        <v>1848</v>
      </c>
      <c r="C98" s="1545"/>
      <c r="D98" s="928"/>
      <c r="E98" s="1558"/>
      <c r="F98" s="1559"/>
      <c r="G98" s="1559"/>
      <c r="H98" s="1559"/>
      <c r="I98" s="1559"/>
      <c r="J98" s="1559"/>
      <c r="K98" s="1560"/>
      <c r="L98" s="928"/>
      <c r="M98" s="928"/>
      <c r="N98" s="940"/>
      <c r="O98" s="941"/>
      <c r="P98" s="15"/>
      <c r="Q98" s="15"/>
      <c r="R98" s="2"/>
      <c r="S98" s="2"/>
      <c r="T98" s="15"/>
      <c r="U98" s="15"/>
      <c r="V98" s="15"/>
      <c r="W98" s="15"/>
      <c r="X98" s="15"/>
      <c r="Y98" s="15"/>
      <c r="Z98" s="15"/>
      <c r="AA98" s="15"/>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x14ac:dyDescent="0.2">
      <c r="A99" s="923"/>
      <c r="B99" s="928"/>
      <c r="C99" s="928"/>
      <c r="D99" s="928"/>
      <c r="E99" s="1558"/>
      <c r="F99" s="1559"/>
      <c r="G99" s="1559"/>
      <c r="H99" s="1559"/>
      <c r="I99" s="1559"/>
      <c r="J99" s="1559"/>
      <c r="K99" s="1560"/>
      <c r="L99" s="928"/>
      <c r="M99" s="928"/>
      <c r="N99" s="940"/>
      <c r="O99" s="941"/>
      <c r="P99" s="15"/>
      <c r="Q99" s="15"/>
      <c r="R99" s="2"/>
      <c r="S99" s="2"/>
      <c r="T99" s="15"/>
      <c r="U99" s="15"/>
      <c r="V99" s="15"/>
      <c r="W99" s="15"/>
      <c r="X99" s="15"/>
      <c r="Y99" s="15"/>
      <c r="Z99" s="15"/>
      <c r="AA99" s="15"/>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x14ac:dyDescent="0.2">
      <c r="A100" s="922"/>
      <c r="B100" s="928"/>
      <c r="C100" s="928"/>
      <c r="D100" s="928"/>
      <c r="E100" s="1561"/>
      <c r="F100" s="1562"/>
      <c r="G100" s="1562"/>
      <c r="H100" s="1562"/>
      <c r="I100" s="1562"/>
      <c r="J100" s="1562"/>
      <c r="K100" s="1563"/>
      <c r="L100" s="928"/>
      <c r="M100" s="928"/>
      <c r="N100" s="940"/>
      <c r="O100" s="941"/>
      <c r="P100" s="15"/>
      <c r="Q100" s="15"/>
      <c r="R100" s="2"/>
      <c r="S100" s="2"/>
      <c r="T100" s="15"/>
      <c r="U100" s="15"/>
      <c r="V100" s="15"/>
      <c r="W100" s="15"/>
      <c r="X100" s="15"/>
      <c r="Y100" s="15"/>
      <c r="Z100" s="15"/>
      <c r="AA100" s="15"/>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x14ac:dyDescent="0.2">
      <c r="A101" s="922"/>
      <c r="B101" s="928"/>
      <c r="C101" s="928"/>
      <c r="D101" s="928"/>
      <c r="E101" s="928"/>
      <c r="F101" s="928"/>
      <c r="G101" s="928"/>
      <c r="H101" s="928"/>
      <c r="I101" s="928"/>
      <c r="J101" s="928"/>
      <c r="K101" s="928"/>
      <c r="L101" s="928"/>
      <c r="M101" s="928"/>
      <c r="N101" s="940"/>
      <c r="O101" s="941"/>
      <c r="P101" s="15"/>
      <c r="Q101" s="15"/>
      <c r="R101" s="2"/>
      <c r="S101" s="2"/>
      <c r="T101" s="15"/>
      <c r="U101" s="15"/>
      <c r="V101" s="15"/>
      <c r="W101" s="15"/>
      <c r="X101" s="15"/>
      <c r="Y101" s="15"/>
      <c r="Z101" s="15"/>
      <c r="AA101" s="15"/>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3.5" thickBot="1" x14ac:dyDescent="0.25">
      <c r="A102" s="922"/>
      <c r="B102" s="928"/>
      <c r="C102" s="928"/>
      <c r="D102" s="928"/>
      <c r="E102" s="928"/>
      <c r="F102" s="928"/>
      <c r="G102" s="928"/>
      <c r="H102" s="928"/>
      <c r="I102" s="928"/>
      <c r="J102" s="928"/>
      <c r="K102" s="928"/>
      <c r="L102" s="928"/>
      <c r="M102" s="928"/>
      <c r="N102" s="940"/>
      <c r="O102" s="941"/>
      <c r="P102" s="15"/>
      <c r="Q102" s="15"/>
      <c r="R102" s="2"/>
      <c r="S102" s="2"/>
      <c r="T102" s="15"/>
      <c r="U102" s="15"/>
      <c r="V102" s="15"/>
      <c r="W102" s="15"/>
      <c r="X102" s="15"/>
      <c r="Y102" s="15"/>
      <c r="Z102" s="15"/>
      <c r="AA102" s="15"/>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x14ac:dyDescent="0.2">
      <c r="A103" s="922"/>
      <c r="B103" s="1536" t="s">
        <v>1849</v>
      </c>
      <c r="C103" s="1537"/>
      <c r="D103" s="1536" t="s">
        <v>1850</v>
      </c>
      <c r="E103" s="1537"/>
      <c r="F103" s="928"/>
      <c r="G103" s="928"/>
      <c r="H103" s="928"/>
      <c r="I103" s="928"/>
      <c r="J103" s="928"/>
      <c r="K103" s="928"/>
      <c r="L103" s="928"/>
      <c r="M103" s="928"/>
      <c r="N103" s="940"/>
      <c r="O103" s="941"/>
      <c r="P103" s="15"/>
      <c r="Q103" s="15"/>
      <c r="R103" s="2"/>
      <c r="S103" s="2"/>
      <c r="T103" s="15"/>
      <c r="U103" s="15"/>
      <c r="V103" s="15"/>
      <c r="W103" s="15"/>
      <c r="X103" s="15"/>
      <c r="Y103" s="15"/>
      <c r="Z103" s="15"/>
      <c r="AA103" s="15"/>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3.5" thickBot="1" x14ac:dyDescent="0.25">
      <c r="A104" s="922"/>
      <c r="B104" s="835" t="str">
        <f>B83</f>
        <v>nombre</v>
      </c>
      <c r="C104" s="836" t="str">
        <f>C83</f>
        <v>race</v>
      </c>
      <c r="D104" s="835" t="str">
        <f>B104</f>
        <v>nombre</v>
      </c>
      <c r="E104" s="836" t="str">
        <f>C104</f>
        <v>race</v>
      </c>
      <c r="F104" s="928"/>
      <c r="G104" s="928"/>
      <c r="H104" s="928"/>
      <c r="I104" s="928"/>
      <c r="J104" s="928"/>
      <c r="K104" s="928"/>
      <c r="L104" s="928"/>
      <c r="M104" s="928"/>
      <c r="N104" s="940"/>
      <c r="O104" s="941"/>
      <c r="P104" s="15"/>
      <c r="Q104" s="15"/>
      <c r="R104" s="2"/>
      <c r="S104" s="2"/>
      <c r="T104" s="15"/>
      <c r="U104" s="15"/>
      <c r="V104" s="15"/>
      <c r="W104" s="15"/>
      <c r="X104" s="15"/>
      <c r="Y104" s="15"/>
      <c r="Z104" s="15"/>
      <c r="AA104" s="15"/>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x14ac:dyDescent="0.2">
      <c r="A105" s="922"/>
      <c r="B105" s="905"/>
      <c r="C105" s="909" t="str">
        <f>BDD!EG8</f>
        <v>Oie Blanche du Bourbonnais</v>
      </c>
      <c r="D105" s="915"/>
      <c r="E105" s="918" t="str">
        <f>BDD!EN8</f>
        <v>Canard de Rouen Clair</v>
      </c>
      <c r="F105" s="928"/>
      <c r="G105" s="928"/>
      <c r="H105" s="928"/>
      <c r="I105" s="928"/>
      <c r="J105" s="928"/>
      <c r="K105" s="928"/>
      <c r="L105" s="928"/>
      <c r="M105" s="928"/>
      <c r="N105" s="940"/>
      <c r="O105" s="941"/>
      <c r="P105" s="15"/>
      <c r="Q105" s="15"/>
      <c r="R105" s="2"/>
      <c r="S105" s="2"/>
      <c r="T105" s="15"/>
      <c r="U105" s="15"/>
      <c r="V105" s="15"/>
      <c r="W105" s="15"/>
      <c r="X105" s="15"/>
      <c r="Y105" s="15"/>
      <c r="Z105" s="15"/>
      <c r="AA105" s="15"/>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x14ac:dyDescent="0.2">
      <c r="A106" s="922"/>
      <c r="B106" s="862"/>
      <c r="C106" s="910" t="str">
        <f>BDD!EG9</f>
        <v>Oie Blanche du Poitou</v>
      </c>
      <c r="D106" s="916"/>
      <c r="E106" s="919" t="str">
        <f>BDD!EN9</f>
        <v>Canard Duclair</v>
      </c>
      <c r="F106" s="926"/>
      <c r="G106" s="926"/>
      <c r="H106" s="926"/>
      <c r="I106" s="926"/>
      <c r="J106" s="926"/>
      <c r="K106" s="926"/>
      <c r="L106" s="928"/>
      <c r="M106" s="928"/>
      <c r="N106" s="940"/>
      <c r="O106" s="941"/>
      <c r="P106" s="15"/>
      <c r="Q106" s="15"/>
      <c r="R106" s="2"/>
      <c r="S106" s="2"/>
      <c r="T106" s="15"/>
      <c r="U106" s="15"/>
      <c r="V106" s="15"/>
      <c r="W106" s="15"/>
      <c r="X106" s="15"/>
      <c r="Y106" s="15"/>
      <c r="Z106" s="15"/>
      <c r="AA106" s="15"/>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x14ac:dyDescent="0.2">
      <c r="A107" s="922"/>
      <c r="B107" s="862"/>
      <c r="C107" s="910" t="str">
        <f>BDD!EG10</f>
        <v>Oie Normande</v>
      </c>
      <c r="D107" s="916"/>
      <c r="E107" s="919" t="str">
        <f>BDD!EN10</f>
        <v>Canard de Pékin Allemand</v>
      </c>
      <c r="F107" s="926"/>
      <c r="G107" s="926"/>
      <c r="H107" s="926"/>
      <c r="I107" s="926"/>
      <c r="J107" s="926"/>
      <c r="K107" s="926"/>
      <c r="L107" s="928"/>
      <c r="M107" s="928"/>
      <c r="N107" s="940"/>
      <c r="O107" s="941"/>
      <c r="P107" s="15"/>
      <c r="Q107" s="15"/>
      <c r="R107" s="2"/>
      <c r="S107" s="2"/>
      <c r="T107" s="15"/>
      <c r="U107" s="15"/>
      <c r="V107" s="15"/>
      <c r="W107" s="15"/>
      <c r="X107" s="15"/>
      <c r="Y107" s="15"/>
      <c r="Z107" s="15"/>
      <c r="AA107" s="15"/>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x14ac:dyDescent="0.2">
      <c r="A108" s="922"/>
      <c r="B108" s="862"/>
      <c r="C108" s="910" t="str">
        <f>BDD!EG11</f>
        <v>Oie de Guinée</v>
      </c>
      <c r="D108" s="916"/>
      <c r="E108" s="919" t="str">
        <f>BDD!EN11</f>
        <v>Canard de Pékin Américain (Partie Etats-Unis)</v>
      </c>
      <c r="F108" s="926"/>
      <c r="G108" s="926"/>
      <c r="H108" s="926"/>
      <c r="I108" s="926"/>
      <c r="J108" s="926"/>
      <c r="K108" s="926"/>
      <c r="L108" s="928"/>
      <c r="M108" s="928"/>
      <c r="N108" s="940"/>
      <c r="O108" s="941"/>
      <c r="P108" s="15"/>
      <c r="Q108" s="15"/>
      <c r="R108" s="2"/>
      <c r="S108" s="2"/>
      <c r="T108" s="15"/>
      <c r="U108" s="15"/>
      <c r="V108" s="15"/>
      <c r="W108" s="15"/>
      <c r="X108" s="15"/>
      <c r="Y108" s="15"/>
      <c r="Z108" s="15"/>
      <c r="AA108" s="15"/>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x14ac:dyDescent="0.2">
      <c r="A109" s="922"/>
      <c r="B109" s="862"/>
      <c r="C109" s="910" t="str">
        <f>BDD!EG12</f>
        <v>Oie Flamande (Partie Belgique)</v>
      </c>
      <c r="D109" s="916"/>
      <c r="E109" s="919" t="str">
        <f>BDD!EN12</f>
        <v>Canard de Bourbourg</v>
      </c>
      <c r="F109" s="926"/>
      <c r="G109" s="926"/>
      <c r="H109" s="926"/>
      <c r="I109" s="926"/>
      <c r="J109" s="926"/>
      <c r="K109" s="926"/>
      <c r="L109" s="928"/>
      <c r="M109" s="928"/>
      <c r="N109" s="940"/>
      <c r="O109" s="941"/>
      <c r="P109" s="15"/>
      <c r="Q109" s="15"/>
      <c r="R109" s="2"/>
      <c r="S109" s="2"/>
      <c r="T109" s="15"/>
      <c r="U109" s="15"/>
      <c r="V109" s="15"/>
      <c r="W109" s="15"/>
      <c r="X109" s="15"/>
      <c r="Y109" s="15"/>
      <c r="Z109" s="15"/>
      <c r="AA109" s="15"/>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6.5" thickBot="1" x14ac:dyDescent="0.25">
      <c r="A110" s="922"/>
      <c r="B110" s="862"/>
      <c r="C110" s="910" t="str">
        <f>BDD!EG13</f>
        <v>Oie d'Alsace</v>
      </c>
      <c r="D110" s="917"/>
      <c r="E110" s="920" t="str">
        <f>BDD!EN13</f>
        <v>Canard de Barbarie</v>
      </c>
      <c r="F110" s="926"/>
      <c r="G110" s="926"/>
      <c r="H110" s="931"/>
      <c r="I110" s="931"/>
      <c r="J110" s="931"/>
      <c r="K110" s="931"/>
      <c r="L110" s="928"/>
      <c r="M110" s="928"/>
      <c r="N110" s="940"/>
      <c r="O110" s="941"/>
      <c r="P110" s="15"/>
      <c r="Q110" s="15"/>
      <c r="R110" s="2"/>
      <c r="S110" s="2"/>
      <c r="T110" s="15"/>
      <c r="U110" s="15"/>
      <c r="V110" s="15"/>
      <c r="W110" s="15"/>
      <c r="X110" s="15"/>
      <c r="Y110" s="15"/>
      <c r="Z110" s="15"/>
      <c r="AA110" s="15"/>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x14ac:dyDescent="0.2">
      <c r="A111" s="922"/>
      <c r="B111" s="862"/>
      <c r="C111" s="910" t="str">
        <f>BDD!EG14</f>
        <v>Oie de Toulouse</v>
      </c>
      <c r="D111" s="926"/>
      <c r="E111" s="939"/>
      <c r="F111" s="926"/>
      <c r="G111" s="926"/>
      <c r="H111" s="928"/>
      <c r="I111" s="928"/>
      <c r="J111" s="928"/>
      <c r="K111" s="928"/>
      <c r="L111" s="928"/>
      <c r="M111" s="928"/>
      <c r="N111" s="940"/>
      <c r="O111" s="941"/>
      <c r="P111" s="15"/>
      <c r="Q111" s="15"/>
      <c r="R111" s="2"/>
      <c r="S111" s="2"/>
      <c r="T111" s="15"/>
      <c r="U111" s="15"/>
      <c r="V111" s="15"/>
      <c r="W111" s="15"/>
      <c r="X111" s="15"/>
      <c r="Y111" s="15"/>
      <c r="Z111" s="15"/>
      <c r="AA111" s="15"/>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6.5" thickBot="1" x14ac:dyDescent="0.25">
      <c r="A112" s="922"/>
      <c r="B112" s="904"/>
      <c r="C112" s="911" t="str">
        <f>BDD!EG15</f>
        <v>Oie Grise des Landes</v>
      </c>
      <c r="D112" s="942"/>
      <c r="E112" s="939"/>
      <c r="F112" s="926"/>
      <c r="G112" s="926"/>
      <c r="H112" s="928"/>
      <c r="I112" s="928"/>
      <c r="J112" s="928"/>
      <c r="K112" s="928"/>
      <c r="L112" s="928"/>
      <c r="M112" s="928"/>
      <c r="N112" s="940"/>
      <c r="O112" s="941"/>
      <c r="P112" s="15"/>
      <c r="Q112" s="15"/>
      <c r="R112" s="2"/>
      <c r="S112" s="2"/>
      <c r="T112" s="15"/>
      <c r="U112" s="15"/>
      <c r="V112" s="15"/>
      <c r="W112" s="15"/>
      <c r="X112" s="15"/>
      <c r="Y112" s="15"/>
      <c r="Z112" s="15"/>
      <c r="AA112" s="15"/>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x14ac:dyDescent="0.2">
      <c r="A113" s="922"/>
      <c r="B113" s="926"/>
      <c r="C113" s="926"/>
      <c r="D113" s="927"/>
      <c r="E113" s="927"/>
      <c r="F113" s="926"/>
      <c r="G113" s="926"/>
      <c r="H113" s="928"/>
      <c r="I113" s="928"/>
      <c r="J113" s="928"/>
      <c r="K113" s="928"/>
      <c r="L113" s="928"/>
      <c r="M113" s="928"/>
      <c r="N113" s="928"/>
      <c r="O113" s="929"/>
      <c r="P113" s="2"/>
      <c r="Q113" s="2"/>
      <c r="R113" s="2"/>
      <c r="S113" s="2"/>
      <c r="T113" s="15"/>
      <c r="U113" s="15"/>
      <c r="V113" s="15"/>
      <c r="W113" s="15"/>
      <c r="X113" s="15"/>
      <c r="Y113" s="15"/>
      <c r="Z113" s="15"/>
      <c r="AA113" s="15"/>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x14ac:dyDescent="0.2">
      <c r="A114" s="922"/>
      <c r="B114" s="930" t="s">
        <v>1851</v>
      </c>
      <c r="C114" s="928"/>
      <c r="D114" s="1550"/>
      <c r="E114" s="1550"/>
      <c r="F114" s="931"/>
      <c r="G114" s="928"/>
      <c r="H114" s="928"/>
      <c r="I114" s="928"/>
      <c r="J114" s="928"/>
      <c r="K114" s="928"/>
      <c r="L114" s="928"/>
      <c r="M114" s="928"/>
      <c r="N114" s="928"/>
      <c r="O114" s="929"/>
      <c r="P114" s="2"/>
      <c r="Q114" s="2"/>
      <c r="R114" s="2"/>
      <c r="S114" s="2"/>
      <c r="T114" s="15"/>
      <c r="U114" s="15"/>
      <c r="V114" s="15"/>
      <c r="W114" s="15"/>
      <c r="X114" s="15"/>
      <c r="Y114" s="15"/>
      <c r="Z114" s="15"/>
      <c r="AA114" s="15"/>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x14ac:dyDescent="0.2">
      <c r="A115" s="922"/>
      <c r="B115" s="930" t="str">
        <f>B103&amp;" : "</f>
        <v xml:space="preserve">oies/jars : </v>
      </c>
      <c r="C115" s="932" t="str">
        <f>IF(SUM(B105:B111)+B112=0,"0kg par an","entre "&amp;(B105+B106+B107+B108+B109+B110+B111+B112)*0.03*6&amp;"kg et "&amp;(B105+B106+B107+B108+B109+B110+B111+B112)*0.06*6&amp;"kg par an")</f>
        <v>0kg par an</v>
      </c>
      <c r="D115" s="928"/>
      <c r="E115" s="928"/>
      <c r="F115" s="928"/>
      <c r="G115" s="928"/>
      <c r="H115" s="928"/>
      <c r="I115" s="928"/>
      <c r="J115" s="928"/>
      <c r="K115" s="928"/>
      <c r="L115" s="928"/>
      <c r="M115" s="928"/>
      <c r="N115" s="928"/>
      <c r="O115" s="929"/>
      <c r="P115" s="2"/>
      <c r="Q115" s="2"/>
      <c r="R115" s="2"/>
      <c r="S115" s="2"/>
      <c r="T115" s="15"/>
      <c r="U115" s="15"/>
      <c r="V115" s="15"/>
      <c r="W115" s="15"/>
      <c r="X115" s="15"/>
      <c r="Y115" s="15"/>
      <c r="Z115" s="15"/>
      <c r="AA115" s="15"/>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x14ac:dyDescent="0.2">
      <c r="A116" s="922"/>
      <c r="B116" s="930" t="str">
        <f>D103&amp;" : "</f>
        <v xml:space="preserve">canes/canards : </v>
      </c>
      <c r="C116" s="933" t="str">
        <f>IF(SUM(D105:D109)+D110=0,"0kg par an","entre "&amp;(D105+D106+D107+D108+D109+D110)*0.02*2&amp;"kg et "&amp;(D105+D106+D107+D108+D109+D110)*0.04*2&amp;"kg par an")</f>
        <v>0kg par an</v>
      </c>
      <c r="D116" s="928"/>
      <c r="E116" s="933"/>
      <c r="F116" s="933"/>
      <c r="G116" s="928"/>
      <c r="H116" s="928"/>
      <c r="I116" s="928"/>
      <c r="J116" s="928"/>
      <c r="K116" s="928"/>
      <c r="L116" s="928"/>
      <c r="M116" s="928"/>
      <c r="N116" s="928"/>
      <c r="O116" s="929"/>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x14ac:dyDescent="0.2">
      <c r="A117" s="922"/>
      <c r="B117" s="934"/>
      <c r="C117" s="934"/>
      <c r="D117" s="935"/>
      <c r="E117" s="935"/>
      <c r="F117" s="936"/>
      <c r="G117" s="933"/>
      <c r="H117" s="928"/>
      <c r="I117" s="928"/>
      <c r="J117" s="928"/>
      <c r="K117" s="928"/>
      <c r="L117" s="928"/>
      <c r="M117" s="928"/>
      <c r="N117" s="928"/>
      <c r="O117" s="929"/>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x14ac:dyDescent="0.2">
      <c r="A118" s="922"/>
      <c r="B118" s="928"/>
      <c r="C118" s="928"/>
      <c r="D118" s="928"/>
      <c r="E118" s="928"/>
      <c r="F118" s="928"/>
      <c r="G118" s="928"/>
      <c r="H118" s="928"/>
      <c r="I118" s="928"/>
      <c r="J118" s="928"/>
      <c r="K118" s="928"/>
      <c r="L118" s="928"/>
      <c r="M118" s="928"/>
      <c r="N118" s="928"/>
      <c r="O118" s="929"/>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x14ac:dyDescent="0.2">
      <c r="A119" s="922"/>
      <c r="B119" s="930" t="s">
        <v>133</v>
      </c>
      <c r="C119" s="934" t="str">
        <f>IF(SUM(B105:B112)=0,"0,00 €","entre "&amp;(SUM(B105:B112))*0.03*6*BDD!$E$168&amp;" € et "&amp;(SUM(B105:B112))*0.06*6*BDD!$E$168&amp;" €")</f>
        <v>0,00 €</v>
      </c>
      <c r="D119" s="930" t="s">
        <v>133</v>
      </c>
      <c r="E119" s="934" t="str">
        <f>IF(SUM(D105:D110)=0,"0,00 €","entre "&amp;(SUM(D105:D110))*0.02*2*BDD!$E$169&amp;" € et "&amp;(SUM(D105:D110))*0.04*2*BDD!$E$169&amp;" €")</f>
        <v>0,00 €</v>
      </c>
      <c r="F119" s="928"/>
      <c r="G119" s="928"/>
      <c r="H119" s="928"/>
      <c r="I119" s="928"/>
      <c r="J119" s="928"/>
      <c r="K119" s="928"/>
      <c r="L119" s="928"/>
      <c r="M119" s="928"/>
      <c r="N119" s="928"/>
      <c r="O119" s="929"/>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x14ac:dyDescent="0.2">
      <c r="A120" s="922"/>
      <c r="B120" s="928"/>
      <c r="C120" s="928"/>
      <c r="D120" s="928"/>
      <c r="E120" s="928"/>
      <c r="F120" s="928"/>
      <c r="G120" s="928"/>
      <c r="H120" s="928"/>
      <c r="I120" s="928"/>
      <c r="J120" s="928"/>
      <c r="K120" s="928"/>
      <c r="L120" s="928"/>
      <c r="M120" s="928"/>
      <c r="N120" s="928"/>
      <c r="O120" s="929"/>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3.5" thickBot="1" x14ac:dyDescent="0.25">
      <c r="A121" s="925"/>
      <c r="B121" s="937"/>
      <c r="C121" s="937"/>
      <c r="D121" s="937"/>
      <c r="E121" s="937"/>
      <c r="F121" s="937"/>
      <c r="G121" s="937"/>
      <c r="H121" s="937"/>
      <c r="I121" s="937"/>
      <c r="J121" s="937"/>
      <c r="K121" s="937"/>
      <c r="L121" s="937"/>
      <c r="M121" s="937"/>
      <c r="N121" s="937"/>
      <c r="O121" s="938"/>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x14ac:dyDescent="0.2">
      <c r="A128" s="2"/>
      <c r="B128" s="15"/>
      <c r="C128" s="15"/>
      <c r="D128" s="15"/>
      <c r="E128" s="15"/>
      <c r="F128" s="15"/>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x14ac:dyDescent="0.2">
      <c r="A129" s="2"/>
      <c r="B129" s="522"/>
      <c r="C129" s="522"/>
      <c r="D129" s="522"/>
      <c r="E129" s="522"/>
      <c r="F129" s="52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x14ac:dyDescent="0.2">
      <c r="A130" s="2"/>
      <c r="B130" s="522"/>
      <c r="C130" s="522"/>
      <c r="D130" s="522"/>
      <c r="E130" s="522"/>
      <c r="F130" s="52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x14ac:dyDescent="0.2">
      <c r="A131" s="2"/>
      <c r="B131" s="522"/>
      <c r="C131" s="522"/>
      <c r="D131" s="522"/>
      <c r="E131" s="522"/>
      <c r="F131" s="52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x14ac:dyDescent="0.2">
      <c r="A132" s="2"/>
      <c r="B132" s="522"/>
      <c r="C132" s="522"/>
      <c r="D132" s="522"/>
      <c r="E132" s="522"/>
      <c r="F132" s="52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x14ac:dyDescent="0.2">
      <c r="A133" s="2"/>
      <c r="B133" s="522"/>
      <c r="C133" s="522"/>
      <c r="D133" s="522"/>
      <c r="E133" s="522"/>
      <c r="F133" s="52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x14ac:dyDescent="0.2">
      <c r="A134" s="2"/>
      <c r="B134" s="15"/>
      <c r="C134" s="15"/>
      <c r="D134" s="15"/>
      <c r="E134" s="15"/>
      <c r="F134" s="15"/>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x14ac:dyDescent="0.2">
      <c r="A135" s="2"/>
      <c r="B135" s="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x14ac:dyDescent="0.2">
      <c r="A136" s="2"/>
      <c r="B136" s="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15"/>
      <c r="BI158" s="15"/>
      <c r="BJ158" s="15"/>
      <c r="BK158" s="15"/>
      <c r="BL158" s="15"/>
      <c r="BM158" s="15"/>
      <c r="BN158" s="15"/>
      <c r="BO158" s="15"/>
      <c r="BP158" s="15"/>
      <c r="BQ158" s="15"/>
      <c r="BR158" s="15"/>
      <c r="BS158" s="15"/>
      <c r="BT158" s="15"/>
      <c r="BU158" s="2"/>
      <c r="BV158" s="2"/>
      <c r="BW158" s="2"/>
      <c r="BX158" s="2"/>
      <c r="BY158" s="2"/>
    </row>
    <row r="159" spans="1:77"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15"/>
      <c r="BI159" s="15"/>
      <c r="BJ159" s="15"/>
      <c r="BK159" s="15"/>
      <c r="BL159" s="15"/>
      <c r="BM159" s="15"/>
      <c r="BN159" s="15"/>
      <c r="BO159" s="15"/>
      <c r="BP159" s="15"/>
      <c r="BQ159" s="15"/>
      <c r="BR159" s="15"/>
      <c r="BS159" s="15"/>
      <c r="BT159" s="15"/>
      <c r="BU159" s="2"/>
      <c r="BV159" s="2"/>
      <c r="BW159" s="2"/>
      <c r="BX159" s="2"/>
      <c r="BY159" s="2"/>
    </row>
    <row r="160" spans="1:77"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15"/>
      <c r="BI160" s="15"/>
      <c r="BJ160" s="15"/>
      <c r="BK160" s="15"/>
      <c r="BL160" s="15"/>
      <c r="BM160" s="15"/>
      <c r="BN160" s="15"/>
      <c r="BO160" s="15"/>
      <c r="BP160" s="15"/>
      <c r="BQ160" s="15"/>
      <c r="BR160" s="15"/>
      <c r="BS160" s="15"/>
      <c r="BT160" s="15"/>
      <c r="BU160" s="2"/>
      <c r="BV160" s="2"/>
      <c r="BW160" s="2"/>
      <c r="BX160" s="2"/>
      <c r="BY160" s="2"/>
    </row>
    <row r="161" spans="1:77"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15"/>
      <c r="BI161" s="15"/>
      <c r="BJ161" s="15"/>
      <c r="BK161" s="15"/>
      <c r="BL161" s="15"/>
      <c r="BM161" s="15"/>
      <c r="BN161" s="15"/>
      <c r="BO161" s="15"/>
      <c r="BP161" s="15"/>
      <c r="BQ161" s="15"/>
      <c r="BR161" s="15"/>
      <c r="BS161" s="15"/>
      <c r="BT161" s="15"/>
      <c r="BU161" s="2"/>
      <c r="BV161" s="2"/>
      <c r="BW161" s="2"/>
      <c r="BX161" s="2"/>
      <c r="BY161" s="2"/>
    </row>
    <row r="162" spans="1:77"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5"/>
      <c r="AN162" s="5"/>
      <c r="AO162" s="5"/>
      <c r="AP162" s="5"/>
      <c r="AQ162" s="5"/>
      <c r="AR162" s="2"/>
      <c r="AS162" s="2"/>
      <c r="AT162" s="2"/>
      <c r="AU162" s="2"/>
      <c r="AV162" s="2"/>
      <c r="AW162" s="2"/>
      <c r="AX162" s="2"/>
      <c r="AY162" s="2"/>
      <c r="AZ162" s="2"/>
      <c r="BA162" s="2"/>
      <c r="BB162" s="2"/>
      <c r="BC162" s="2"/>
      <c r="BD162" s="2"/>
      <c r="BE162" s="2"/>
      <c r="BF162" s="2"/>
      <c r="BG162" s="2"/>
      <c r="BH162" s="15"/>
      <c r="BI162" s="15"/>
      <c r="BJ162" s="15"/>
      <c r="BK162" s="15"/>
      <c r="BL162" s="15"/>
      <c r="BM162" s="15"/>
      <c r="BN162" s="15"/>
      <c r="BO162" s="15"/>
      <c r="BP162" s="15"/>
      <c r="BQ162" s="15"/>
      <c r="BR162" s="15"/>
      <c r="BS162" s="15"/>
      <c r="BT162" s="15"/>
      <c r="BU162" s="2"/>
      <c r="BV162" s="2"/>
      <c r="BW162" s="2"/>
      <c r="BX162" s="2"/>
      <c r="BY162" s="2"/>
    </row>
    <row r="163" spans="1:77"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5"/>
      <c r="AN163" s="5"/>
      <c r="AO163" s="5"/>
      <c r="AP163" s="5"/>
      <c r="AQ163" s="5"/>
      <c r="AR163" s="2"/>
      <c r="AS163" s="2"/>
      <c r="AT163" s="2"/>
      <c r="AU163" s="2"/>
      <c r="AV163" s="2"/>
      <c r="AW163" s="2"/>
      <c r="AX163" s="2"/>
      <c r="AY163" s="2"/>
      <c r="AZ163" s="2"/>
      <c r="BA163" s="2"/>
      <c r="BB163" s="2"/>
      <c r="BC163" s="2"/>
      <c r="BD163" s="2"/>
      <c r="BE163" s="2"/>
      <c r="BF163" s="2"/>
      <c r="BG163" s="2"/>
      <c r="BH163" s="15"/>
      <c r="BI163" s="15"/>
      <c r="BJ163" s="15"/>
      <c r="BK163" s="15"/>
      <c r="BL163" s="15"/>
      <c r="BM163" s="15"/>
      <c r="BN163" s="15"/>
      <c r="BO163" s="15"/>
      <c r="BP163" s="15"/>
      <c r="BQ163" s="15"/>
      <c r="BR163" s="15"/>
      <c r="BS163" s="15"/>
      <c r="BT163" s="15"/>
      <c r="BU163" s="2"/>
      <c r="BV163" s="2"/>
      <c r="BW163" s="2"/>
      <c r="BX163" s="2"/>
      <c r="BY163" s="2"/>
    </row>
    <row r="164" spans="1:77"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5"/>
      <c r="AN164" s="5"/>
      <c r="AO164" s="5"/>
      <c r="AP164" s="5"/>
      <c r="AQ164" s="5"/>
      <c r="AR164" s="2"/>
      <c r="AS164" s="2"/>
      <c r="AT164" s="2"/>
      <c r="AU164" s="2"/>
      <c r="AV164" s="2"/>
      <c r="AW164" s="2"/>
      <c r="AX164" s="2"/>
      <c r="AY164" s="2"/>
      <c r="AZ164" s="2"/>
      <c r="BA164" s="2"/>
      <c r="BB164" s="2"/>
      <c r="BC164" s="2"/>
      <c r="BD164" s="2"/>
      <c r="BE164" s="2"/>
      <c r="BF164" s="2"/>
      <c r="BG164" s="2"/>
      <c r="BH164" s="15"/>
      <c r="BI164" s="15"/>
      <c r="BJ164" s="15"/>
      <c r="BK164" s="15"/>
      <c r="BL164" s="15"/>
      <c r="BM164" s="15"/>
      <c r="BN164" s="15"/>
      <c r="BO164" s="15"/>
      <c r="BP164" s="15"/>
      <c r="BQ164" s="15"/>
      <c r="BR164" s="15"/>
      <c r="BS164" s="15"/>
      <c r="BT164" s="15"/>
      <c r="BU164" s="2"/>
      <c r="BV164" s="2"/>
      <c r="BW164" s="2"/>
      <c r="BX164" s="2"/>
      <c r="BY164" s="2"/>
    </row>
    <row r="165" spans="1:77"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5"/>
      <c r="AN165" s="5"/>
      <c r="AO165" s="5"/>
      <c r="AP165" s="5"/>
      <c r="AQ165" s="5"/>
      <c r="AR165" s="2"/>
      <c r="AS165" s="2"/>
      <c r="AT165" s="2"/>
      <c r="AU165" s="2"/>
      <c r="AV165" s="2"/>
      <c r="AW165" s="2"/>
      <c r="AX165" s="2"/>
      <c r="AY165" s="2"/>
      <c r="AZ165" s="2"/>
      <c r="BA165" s="2"/>
      <c r="BB165" s="2"/>
      <c r="BC165" s="2"/>
      <c r="BD165" s="2"/>
      <c r="BE165" s="2"/>
      <c r="BF165" s="2"/>
      <c r="BG165" s="2"/>
      <c r="BH165" s="15"/>
      <c r="BI165" s="15"/>
      <c r="BJ165" s="15"/>
      <c r="BK165" s="15"/>
      <c r="BL165" s="15"/>
      <c r="BM165" s="15"/>
      <c r="BN165" s="15"/>
      <c r="BO165" s="15"/>
      <c r="BP165" s="15"/>
      <c r="BQ165" s="15"/>
      <c r="BR165" s="15"/>
      <c r="BS165" s="15"/>
      <c r="BT165" s="15"/>
      <c r="BU165" s="2"/>
      <c r="BV165" s="2"/>
      <c r="BW165" s="2"/>
      <c r="BX165" s="2"/>
      <c r="BY165" s="2"/>
    </row>
    <row r="166" spans="1:77"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5"/>
      <c r="AN166" s="5"/>
      <c r="AO166" s="5"/>
      <c r="AP166" s="5"/>
      <c r="AQ166" s="5"/>
      <c r="AR166" s="2"/>
      <c r="AS166" s="2"/>
      <c r="AT166" s="2"/>
      <c r="AU166" s="2"/>
      <c r="AV166" s="2"/>
      <c r="AW166" s="2"/>
      <c r="AX166" s="2"/>
      <c r="AY166" s="2"/>
      <c r="AZ166" s="2"/>
      <c r="BA166" s="2"/>
      <c r="BB166" s="2"/>
      <c r="BC166" s="2"/>
      <c r="BD166" s="2"/>
      <c r="BE166" s="2"/>
      <c r="BF166" s="2"/>
      <c r="BG166" s="2"/>
      <c r="BH166" s="15"/>
      <c r="BI166" s="15"/>
      <c r="BJ166" s="15"/>
      <c r="BK166" s="15"/>
      <c r="BL166" s="15"/>
      <c r="BM166" s="15"/>
      <c r="BN166" s="15"/>
      <c r="BO166" s="15"/>
      <c r="BP166" s="15"/>
      <c r="BQ166" s="15"/>
      <c r="BR166" s="15"/>
      <c r="BS166" s="15"/>
      <c r="BT166" s="15"/>
      <c r="BU166" s="2"/>
      <c r="BV166" s="2"/>
      <c r="BW166" s="2"/>
      <c r="BX166" s="2"/>
      <c r="BY166" s="2"/>
    </row>
    <row r="167" spans="1:77"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5"/>
      <c r="AN167" s="5"/>
      <c r="AO167" s="5"/>
      <c r="AP167" s="5"/>
      <c r="AQ167" s="5"/>
      <c r="AR167" s="2"/>
      <c r="AS167" s="2"/>
      <c r="AT167" s="2"/>
      <c r="AU167" s="2"/>
      <c r="AV167" s="2"/>
      <c r="AW167" s="2"/>
      <c r="AX167" s="2"/>
      <c r="AY167" s="2"/>
      <c r="AZ167" s="2"/>
      <c r="BA167" s="2"/>
      <c r="BB167" s="2"/>
      <c r="BC167" s="2"/>
      <c r="BD167" s="2"/>
      <c r="BE167" s="2"/>
      <c r="BF167" s="2"/>
      <c r="BG167" s="2"/>
      <c r="BH167" s="15"/>
      <c r="BI167" s="15"/>
      <c r="BJ167" s="15"/>
      <c r="BK167" s="15"/>
      <c r="BL167" s="15"/>
      <c r="BM167" s="15"/>
      <c r="BN167" s="15"/>
      <c r="BO167" s="15"/>
      <c r="BP167" s="15"/>
      <c r="BQ167" s="15"/>
      <c r="BR167" s="15"/>
      <c r="BS167" s="15"/>
      <c r="BT167" s="15"/>
      <c r="BU167" s="2"/>
      <c r="BV167" s="2"/>
      <c r="BW167" s="2"/>
      <c r="BX167" s="2"/>
      <c r="BY167" s="2"/>
    </row>
    <row r="168" spans="1:77"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5"/>
      <c r="AN168" s="5"/>
      <c r="AO168" s="5"/>
      <c r="AP168" s="5"/>
      <c r="AQ168" s="5"/>
      <c r="AR168" s="2"/>
      <c r="AS168" s="2"/>
      <c r="AT168" s="2"/>
      <c r="AU168" s="2"/>
      <c r="AV168" s="2"/>
      <c r="AW168" s="2"/>
      <c r="AX168" s="2"/>
      <c r="AY168" s="2"/>
      <c r="AZ168" s="2"/>
      <c r="BA168" s="2"/>
      <c r="BB168" s="2"/>
      <c r="BC168" s="2"/>
      <c r="BD168" s="2"/>
      <c r="BE168" s="2"/>
      <c r="BF168" s="2"/>
      <c r="BG168" s="2"/>
      <c r="BH168" s="15"/>
      <c r="BI168" s="15"/>
      <c r="BJ168" s="15"/>
      <c r="BK168" s="15"/>
      <c r="BL168" s="15"/>
      <c r="BM168" s="15"/>
      <c r="BN168" s="15"/>
      <c r="BO168" s="15"/>
      <c r="BP168" s="15"/>
      <c r="BQ168" s="15"/>
      <c r="BR168" s="15"/>
      <c r="BS168" s="15"/>
      <c r="BT168" s="15"/>
      <c r="BU168" s="2"/>
      <c r="BV168" s="2"/>
      <c r="BW168" s="2"/>
      <c r="BX168" s="2"/>
      <c r="BY168" s="2"/>
    </row>
    <row r="169" spans="1:77"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5"/>
      <c r="AN169" s="5"/>
      <c r="AO169" s="5"/>
      <c r="AP169" s="5"/>
      <c r="AQ169" s="5"/>
      <c r="AR169" s="2"/>
      <c r="AS169" s="2"/>
      <c r="AT169" s="2"/>
      <c r="AU169" s="2"/>
      <c r="AV169" s="2"/>
      <c r="AW169" s="2"/>
      <c r="AX169" s="2"/>
      <c r="AY169" s="2"/>
      <c r="AZ169" s="2"/>
      <c r="BA169" s="2"/>
      <c r="BB169" s="2"/>
      <c r="BC169" s="2"/>
      <c r="BD169" s="2"/>
      <c r="BE169" s="2"/>
      <c r="BF169" s="2"/>
      <c r="BG169" s="2"/>
      <c r="BH169" s="15"/>
      <c r="BI169" s="15"/>
      <c r="BJ169" s="15"/>
      <c r="BK169" s="15"/>
      <c r="BL169" s="15"/>
      <c r="BM169" s="15"/>
      <c r="BN169" s="15"/>
      <c r="BO169" s="15"/>
      <c r="BP169" s="15"/>
      <c r="BQ169" s="15"/>
      <c r="BR169" s="15"/>
      <c r="BS169" s="15"/>
      <c r="BT169" s="15"/>
      <c r="BU169" s="2"/>
      <c r="BV169" s="2"/>
      <c r="BW169" s="2"/>
      <c r="BX169" s="2"/>
      <c r="BY169" s="2"/>
    </row>
    <row r="170" spans="1:77"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5"/>
      <c r="AN170" s="5"/>
      <c r="AO170" s="5"/>
      <c r="AP170" s="5"/>
      <c r="AQ170" s="5"/>
      <c r="AR170" s="2"/>
      <c r="AS170" s="2"/>
      <c r="AT170" s="2"/>
      <c r="AU170" s="2"/>
      <c r="AV170" s="2"/>
      <c r="AW170" s="2"/>
      <c r="AX170" s="2"/>
      <c r="AY170" s="2"/>
      <c r="AZ170" s="2"/>
      <c r="BA170" s="2"/>
      <c r="BB170" s="2"/>
      <c r="BC170" s="2"/>
      <c r="BD170" s="2"/>
      <c r="BE170" s="2"/>
      <c r="BF170" s="2"/>
      <c r="BG170" s="2"/>
      <c r="BH170" s="15"/>
      <c r="BI170" s="15"/>
      <c r="BJ170" s="15"/>
      <c r="BK170" s="15"/>
      <c r="BL170" s="15"/>
      <c r="BM170" s="15"/>
      <c r="BN170" s="15"/>
      <c r="BO170" s="15"/>
      <c r="BP170" s="15"/>
      <c r="BQ170" s="15"/>
      <c r="BR170" s="15"/>
      <c r="BS170" s="15"/>
      <c r="BT170" s="15"/>
      <c r="BU170" s="2"/>
      <c r="BV170" s="2"/>
      <c r="BW170" s="2"/>
      <c r="BX170" s="2"/>
      <c r="BY170" s="2"/>
    </row>
    <row r="171" spans="1:77" s="18" customFormat="1" x14ac:dyDescent="0.2">
      <c r="A171" s="15"/>
      <c r="B171" s="2"/>
      <c r="C171" s="2"/>
      <c r="D171" s="2"/>
      <c r="E171" s="2"/>
      <c r="F171" s="2"/>
      <c r="G171" s="2"/>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M171" s="522"/>
      <c r="AN171" s="886"/>
      <c r="AO171" s="522"/>
      <c r="AP171" s="522"/>
      <c r="AQ171" s="522"/>
      <c r="AR171" s="15"/>
      <c r="AS171" s="15"/>
      <c r="AT171" s="15"/>
      <c r="AU171" s="15"/>
      <c r="AV171" s="15"/>
      <c r="AW171" s="15"/>
      <c r="AX171" s="15"/>
      <c r="AY171" s="462"/>
      <c r="AZ171" s="462"/>
      <c r="BA171" s="462"/>
      <c r="BB171" s="462"/>
      <c r="BC171" s="462"/>
      <c r="BD171" s="462"/>
      <c r="BE171" s="462"/>
      <c r="BF171" s="462"/>
      <c r="BG171" s="462"/>
      <c r="BH171" s="462"/>
      <c r="BI171" s="21"/>
      <c r="BJ171" s="21"/>
      <c r="BK171" s="21"/>
      <c r="BL171" s="21"/>
      <c r="BM171" s="21"/>
      <c r="BN171" s="21"/>
      <c r="BO171" s="21"/>
      <c r="BP171" s="21"/>
      <c r="BQ171" s="21"/>
      <c r="BR171" s="21"/>
      <c r="BS171" s="15"/>
      <c r="BT171" s="15"/>
      <c r="BU171" s="15"/>
      <c r="BV171" s="15"/>
      <c r="BW171" s="15"/>
      <c r="BX171" s="15"/>
      <c r="BY171" s="15"/>
    </row>
    <row r="172" spans="1:77" s="21" customFormat="1" x14ac:dyDescent="0.2">
      <c r="AM172" s="462"/>
      <c r="AN172" s="887"/>
      <c r="AO172" s="462"/>
      <c r="AP172" s="462"/>
      <c r="AQ172" s="462"/>
      <c r="AY172" s="462"/>
      <c r="AZ172" s="462"/>
      <c r="BA172" s="462"/>
      <c r="BB172" s="462"/>
      <c r="BC172" s="462"/>
      <c r="BD172" s="462"/>
      <c r="BE172" s="462"/>
      <c r="BF172" s="462"/>
      <c r="BG172" s="462"/>
      <c r="BH172" s="462"/>
    </row>
    <row r="173" spans="1:77" s="21" customFormat="1" x14ac:dyDescent="0.2">
      <c r="AM173" s="462"/>
      <c r="AN173" s="887"/>
      <c r="AO173" s="462"/>
      <c r="AP173" s="462"/>
      <c r="AQ173" s="462"/>
      <c r="AY173" s="462"/>
      <c r="AZ173" s="462"/>
      <c r="BA173" s="462"/>
      <c r="BB173" s="462"/>
      <c r="BC173" s="462"/>
      <c r="BD173" s="462"/>
      <c r="BE173" s="462"/>
      <c r="BF173" s="462"/>
      <c r="BG173" s="462"/>
      <c r="BH173" s="462"/>
    </row>
    <row r="174" spans="1:77" s="21" customFormat="1" x14ac:dyDescent="0.2">
      <c r="AM174" s="462"/>
      <c r="AN174" s="462"/>
      <c r="AO174" s="462"/>
      <c r="AP174" s="462"/>
      <c r="AQ174" s="462"/>
      <c r="AY174" s="462"/>
      <c r="AZ174" s="462"/>
      <c r="BA174" s="462"/>
      <c r="BB174" s="462"/>
      <c r="BC174" s="462"/>
      <c r="BD174" s="462"/>
      <c r="BE174" s="462"/>
      <c r="BF174" s="462"/>
      <c r="BG174" s="462"/>
      <c r="BH174" s="462"/>
      <c r="BK174" s="15"/>
    </row>
    <row r="175" spans="1:77" s="21" customFormat="1" x14ac:dyDescent="0.2">
      <c r="AM175" s="462"/>
      <c r="AN175" s="462"/>
      <c r="AO175" s="462"/>
      <c r="AP175" s="462"/>
      <c r="AQ175" s="462"/>
      <c r="AY175" s="462"/>
      <c r="AZ175" s="462"/>
      <c r="BA175" s="462"/>
      <c r="BB175" s="462"/>
      <c r="BC175" s="462"/>
      <c r="BD175" s="462"/>
      <c r="BE175" s="462"/>
      <c r="BF175" s="462"/>
      <c r="BG175" s="462"/>
      <c r="BH175" s="462"/>
      <c r="BI175" s="15"/>
      <c r="BK175" s="15"/>
    </row>
    <row r="176" spans="1:77" s="21" customFormat="1" x14ac:dyDescent="0.2">
      <c r="AM176" s="462"/>
      <c r="AN176" s="462"/>
      <c r="AO176" s="462"/>
      <c r="AP176" s="462"/>
      <c r="AQ176" s="462"/>
      <c r="AY176" s="462"/>
      <c r="AZ176" s="462"/>
      <c r="BA176" s="462"/>
      <c r="BB176" s="462"/>
      <c r="BC176" s="462"/>
      <c r="BD176" s="462"/>
      <c r="BE176" s="462"/>
      <c r="BF176" s="462"/>
      <c r="BG176" s="462"/>
      <c r="BH176" s="462"/>
      <c r="BI176" s="15"/>
      <c r="BJ176" s="15"/>
      <c r="BK176" s="15"/>
      <c r="BL176" s="15"/>
      <c r="BM176" s="15"/>
      <c r="BN176" s="15"/>
      <c r="BO176" s="15"/>
      <c r="BP176" s="15"/>
      <c r="BQ176" s="15"/>
    </row>
    <row r="177" spans="51:69" s="21" customFormat="1" x14ac:dyDescent="0.2">
      <c r="AY177" s="462"/>
      <c r="AZ177" s="462"/>
      <c r="BA177" s="462"/>
      <c r="BB177" s="462"/>
      <c r="BC177" s="462"/>
      <c r="BD177" s="462"/>
      <c r="BE177" s="462"/>
      <c r="BF177" s="462"/>
      <c r="BG177" s="462"/>
      <c r="BH177" s="462"/>
      <c r="BI177" s="15"/>
      <c r="BJ177" s="15"/>
      <c r="BK177" s="15"/>
      <c r="BL177" s="15"/>
      <c r="BM177" s="15"/>
      <c r="BN177" s="15"/>
      <c r="BO177" s="15"/>
      <c r="BP177" s="15"/>
      <c r="BQ177" s="15"/>
    </row>
    <row r="178" spans="51:69" s="21" customFormat="1" x14ac:dyDescent="0.2">
      <c r="AY178" s="462"/>
      <c r="AZ178" s="462"/>
      <c r="BA178" s="462"/>
      <c r="BB178" s="462"/>
      <c r="BC178" s="462"/>
      <c r="BD178" s="462"/>
      <c r="BE178" s="462"/>
      <c r="BF178" s="462"/>
      <c r="BG178" s="462"/>
      <c r="BH178" s="462"/>
      <c r="BI178" s="15"/>
      <c r="BJ178" s="15"/>
      <c r="BK178" s="15"/>
      <c r="BL178" s="15"/>
      <c r="BM178" s="15"/>
      <c r="BN178" s="15"/>
      <c r="BO178" s="15"/>
      <c r="BP178" s="15"/>
      <c r="BQ178" s="15"/>
    </row>
    <row r="179" spans="51:69" s="21" customFormat="1" x14ac:dyDescent="0.2">
      <c r="AY179" s="462"/>
      <c r="AZ179" s="462"/>
      <c r="BA179" s="462"/>
      <c r="BB179" s="462"/>
      <c r="BC179" s="462"/>
      <c r="BD179" s="462"/>
      <c r="BE179" s="462"/>
      <c r="BF179" s="462"/>
      <c r="BG179" s="462"/>
      <c r="BH179" s="462"/>
      <c r="BI179" s="15"/>
      <c r="BJ179" s="15"/>
      <c r="BK179" s="15"/>
      <c r="BL179" s="15"/>
      <c r="BM179" s="15"/>
      <c r="BN179" s="15"/>
      <c r="BO179" s="15"/>
      <c r="BP179" s="15"/>
      <c r="BQ179" s="15"/>
    </row>
    <row r="180" spans="51:69" s="21" customFormat="1" x14ac:dyDescent="0.2">
      <c r="AY180" s="462"/>
      <c r="AZ180" s="462"/>
      <c r="BA180" s="462"/>
      <c r="BB180" s="462"/>
      <c r="BC180" s="462"/>
      <c r="BD180" s="462"/>
      <c r="BE180" s="462"/>
      <c r="BF180" s="462"/>
      <c r="BG180" s="462"/>
      <c r="BH180" s="462"/>
      <c r="BI180" s="2"/>
      <c r="BJ180" s="2"/>
      <c r="BN180" s="2"/>
      <c r="BQ180" s="15"/>
    </row>
    <row r="181" spans="51:69" s="21" customFormat="1" x14ac:dyDescent="0.2">
      <c r="AY181" s="462"/>
      <c r="AZ181" s="462"/>
      <c r="BA181" s="462"/>
      <c r="BB181" s="462"/>
      <c r="BC181" s="462"/>
      <c r="BD181" s="462"/>
      <c r="BE181" s="462"/>
      <c r="BF181" s="462"/>
      <c r="BG181" s="462"/>
      <c r="BH181" s="462"/>
      <c r="BI181" s="888"/>
      <c r="BJ181" s="888"/>
      <c r="BK181" s="888"/>
      <c r="BL181" s="888"/>
      <c r="BM181" s="888"/>
      <c r="BN181" s="888"/>
      <c r="BO181" s="888"/>
      <c r="BP181" s="888"/>
      <c r="BQ181" s="15"/>
    </row>
    <row r="182" spans="51:69" s="21" customFormat="1" x14ac:dyDescent="0.2">
      <c r="AY182" s="462"/>
      <c r="AZ182" s="462"/>
      <c r="BA182" s="462"/>
      <c r="BB182" s="462"/>
      <c r="BC182" s="462"/>
      <c r="BD182" s="462"/>
      <c r="BE182" s="462"/>
      <c r="BF182" s="462"/>
      <c r="BG182" s="462"/>
      <c r="BH182" s="462"/>
      <c r="BI182" s="2"/>
      <c r="BJ182" s="2"/>
      <c r="BL182" s="2"/>
      <c r="BM182" s="2"/>
      <c r="BN182" s="2"/>
      <c r="BO182" s="2"/>
      <c r="BP182" s="2"/>
      <c r="BQ182" s="15"/>
    </row>
    <row r="183" spans="51:69" s="21" customFormat="1" x14ac:dyDescent="0.2">
      <c r="AY183" s="462"/>
      <c r="AZ183" s="462"/>
      <c r="BA183" s="462"/>
      <c r="BB183" s="462"/>
      <c r="BC183" s="462"/>
      <c r="BD183" s="462"/>
      <c r="BE183" s="462"/>
      <c r="BF183" s="462"/>
      <c r="BG183" s="462"/>
      <c r="BH183" s="462"/>
      <c r="BI183" s="888"/>
      <c r="BJ183" s="888"/>
      <c r="BK183" s="888"/>
      <c r="BL183" s="888"/>
      <c r="BM183" s="888"/>
      <c r="BN183" s="888"/>
      <c r="BO183" s="888"/>
      <c r="BP183" s="888"/>
      <c r="BQ183" s="15"/>
    </row>
    <row r="184" spans="51:69" s="21" customFormat="1" x14ac:dyDescent="0.2">
      <c r="AY184" s="462"/>
      <c r="AZ184" s="462"/>
      <c r="BA184" s="462"/>
      <c r="BB184" s="462"/>
      <c r="BC184" s="462"/>
      <c r="BD184" s="462"/>
      <c r="BE184" s="462"/>
      <c r="BF184" s="462"/>
      <c r="BG184" s="462"/>
      <c r="BH184" s="462"/>
      <c r="BI184" s="888"/>
      <c r="BJ184" s="888"/>
      <c r="BK184" s="888"/>
      <c r="BL184" s="888"/>
      <c r="BM184" s="888"/>
      <c r="BN184" s="888"/>
      <c r="BO184" s="888"/>
      <c r="BP184" s="888"/>
      <c r="BQ184" s="15"/>
    </row>
    <row r="185" spans="51:69" s="21" customFormat="1" x14ac:dyDescent="0.2">
      <c r="AY185" s="462"/>
      <c r="AZ185" s="462"/>
      <c r="BA185" s="462"/>
      <c r="BB185" s="462"/>
      <c r="BC185" s="462"/>
      <c r="BD185" s="462"/>
      <c r="BE185" s="462"/>
      <c r="BF185" s="462"/>
      <c r="BG185" s="462"/>
      <c r="BH185" s="462"/>
      <c r="BI185" s="888"/>
      <c r="BJ185" s="888"/>
      <c r="BK185" s="888"/>
      <c r="BL185" s="888"/>
      <c r="BM185" s="888"/>
      <c r="BN185" s="888"/>
      <c r="BO185" s="888"/>
      <c r="BP185" s="888"/>
      <c r="BQ185" s="15"/>
    </row>
    <row r="186" spans="51:69" s="21" customFormat="1" x14ac:dyDescent="0.2">
      <c r="AY186" s="462"/>
      <c r="AZ186" s="462"/>
      <c r="BA186" s="462"/>
      <c r="BB186" s="462"/>
      <c r="BC186" s="462"/>
      <c r="BD186" s="462"/>
      <c r="BE186" s="462"/>
      <c r="BF186" s="462"/>
      <c r="BG186" s="462"/>
      <c r="BH186" s="462"/>
      <c r="BI186" s="888"/>
      <c r="BJ186" s="888"/>
      <c r="BK186" s="888"/>
      <c r="BL186" s="888"/>
      <c r="BM186" s="888"/>
      <c r="BN186" s="888"/>
      <c r="BO186" s="888"/>
      <c r="BP186" s="888"/>
      <c r="BQ186" s="15"/>
    </row>
    <row r="187" spans="51:69" s="21" customFormat="1" x14ac:dyDescent="0.2">
      <c r="AY187" s="462"/>
      <c r="AZ187" s="462"/>
      <c r="BA187" s="462"/>
      <c r="BB187" s="462"/>
      <c r="BC187" s="462"/>
      <c r="BD187" s="462"/>
      <c r="BE187" s="462"/>
      <c r="BF187" s="462"/>
      <c r="BG187" s="462"/>
      <c r="BH187" s="462"/>
      <c r="BI187" s="888"/>
      <c r="BJ187" s="888"/>
      <c r="BK187" s="888"/>
      <c r="BL187" s="888"/>
      <c r="BM187" s="888"/>
      <c r="BN187" s="888"/>
      <c r="BO187" s="888"/>
      <c r="BP187" s="888"/>
      <c r="BQ187" s="15"/>
    </row>
    <row r="188" spans="51:69" s="21" customFormat="1" x14ac:dyDescent="0.2">
      <c r="AY188" s="462"/>
      <c r="AZ188" s="462"/>
      <c r="BA188" s="462"/>
      <c r="BB188" s="462"/>
      <c r="BC188" s="462"/>
      <c r="BD188" s="462"/>
      <c r="BE188" s="462"/>
      <c r="BF188" s="462"/>
      <c r="BG188" s="462"/>
      <c r="BH188" s="462"/>
      <c r="BI188" s="888"/>
      <c r="BJ188" s="888"/>
      <c r="BK188" s="888"/>
      <c r="BL188" s="888"/>
      <c r="BM188" s="888"/>
      <c r="BN188" s="888"/>
      <c r="BO188" s="888"/>
      <c r="BP188" s="888"/>
      <c r="BQ188" s="15"/>
    </row>
    <row r="189" spans="51:69" s="21" customFormat="1" x14ac:dyDescent="0.2">
      <c r="AY189" s="462"/>
      <c r="AZ189" s="462"/>
      <c r="BA189" s="462"/>
      <c r="BB189" s="462"/>
      <c r="BC189" s="462"/>
      <c r="BD189" s="462"/>
      <c r="BE189" s="462"/>
      <c r="BF189" s="462"/>
      <c r="BG189" s="462"/>
      <c r="BH189" s="462"/>
      <c r="BI189" s="888"/>
      <c r="BJ189" s="888"/>
      <c r="BK189" s="888"/>
      <c r="BL189" s="888"/>
      <c r="BM189" s="888"/>
      <c r="BN189" s="888"/>
      <c r="BO189" s="888"/>
      <c r="BP189" s="888"/>
      <c r="BQ189" s="15"/>
    </row>
    <row r="190" spans="51:69" s="21" customFormat="1" x14ac:dyDescent="0.2">
      <c r="AY190" s="462"/>
      <c r="AZ190" s="462"/>
      <c r="BA190" s="462"/>
      <c r="BB190" s="462"/>
      <c r="BC190" s="462"/>
      <c r="BD190" s="462"/>
      <c r="BE190" s="462"/>
      <c r="BF190" s="462"/>
      <c r="BG190" s="462"/>
      <c r="BH190" s="462"/>
      <c r="BI190" s="888"/>
      <c r="BJ190" s="888"/>
      <c r="BK190" s="888"/>
      <c r="BL190" s="888"/>
      <c r="BM190" s="888"/>
      <c r="BN190" s="888"/>
      <c r="BO190" s="888"/>
      <c r="BP190" s="888"/>
      <c r="BQ190" s="15"/>
    </row>
    <row r="191" spans="51:69" s="21" customFormat="1" x14ac:dyDescent="0.2">
      <c r="AY191" s="462"/>
      <c r="AZ191" s="462"/>
      <c r="BA191" s="462"/>
      <c r="BB191" s="462"/>
      <c r="BC191" s="462"/>
      <c r="BD191" s="462"/>
      <c r="BE191" s="462"/>
      <c r="BF191" s="462"/>
      <c r="BG191" s="462"/>
      <c r="BH191" s="462"/>
      <c r="BI191" s="888"/>
      <c r="BJ191" s="888"/>
      <c r="BK191" s="888"/>
      <c r="BL191" s="888"/>
      <c r="BM191" s="888"/>
      <c r="BN191" s="888"/>
      <c r="BO191" s="888"/>
      <c r="BP191" s="888"/>
      <c r="BQ191" s="15"/>
    </row>
    <row r="192" spans="51:69" s="21" customFormat="1" x14ac:dyDescent="0.2">
      <c r="AY192" s="462"/>
      <c r="AZ192" s="462"/>
      <c r="BA192" s="462"/>
      <c r="BB192" s="462"/>
      <c r="BC192" s="462"/>
      <c r="BD192" s="462"/>
      <c r="BE192" s="462"/>
      <c r="BF192" s="462"/>
      <c r="BG192" s="462"/>
      <c r="BH192" s="462"/>
      <c r="BI192" s="888"/>
      <c r="BJ192" s="572"/>
      <c r="BK192" s="888"/>
      <c r="BL192" s="888"/>
      <c r="BM192" s="888"/>
      <c r="BN192" s="888"/>
      <c r="BO192" s="888"/>
      <c r="BP192" s="888"/>
      <c r="BQ192" s="15"/>
    </row>
    <row r="193" spans="51:69" s="21" customFormat="1" x14ac:dyDescent="0.2">
      <c r="AY193" s="462"/>
      <c r="AZ193" s="462"/>
      <c r="BA193" s="462"/>
      <c r="BB193" s="462"/>
      <c r="BC193" s="462"/>
      <c r="BD193" s="462"/>
      <c r="BE193" s="462"/>
      <c r="BF193" s="462"/>
      <c r="BG193" s="462"/>
      <c r="BH193" s="462"/>
      <c r="BI193" s="888"/>
      <c r="BJ193" s="572"/>
      <c r="BK193" s="888"/>
      <c r="BL193" s="888"/>
      <c r="BM193" s="888"/>
      <c r="BN193" s="888"/>
      <c r="BO193" s="888"/>
      <c r="BP193" s="888"/>
      <c r="BQ193" s="15"/>
    </row>
    <row r="194" spans="51:69" s="21" customFormat="1" x14ac:dyDescent="0.2">
      <c r="AY194" s="462"/>
      <c r="AZ194" s="462"/>
      <c r="BA194" s="462"/>
      <c r="BB194" s="462"/>
      <c r="BC194" s="462"/>
      <c r="BD194" s="462"/>
      <c r="BE194" s="462"/>
      <c r="BF194" s="462"/>
      <c r="BG194" s="462"/>
      <c r="BH194" s="462"/>
      <c r="BI194" s="15"/>
      <c r="BJ194" s="15"/>
      <c r="BK194" s="15"/>
      <c r="BL194" s="15"/>
      <c r="BM194" s="15"/>
      <c r="BN194" s="15"/>
      <c r="BO194" s="15"/>
      <c r="BP194" s="15"/>
      <c r="BQ194" s="15"/>
    </row>
    <row r="195" spans="51:69" s="21" customFormat="1" x14ac:dyDescent="0.2">
      <c r="AY195" s="462"/>
      <c r="AZ195" s="462"/>
      <c r="BA195" s="462"/>
      <c r="BB195" s="462"/>
      <c r="BC195" s="462"/>
      <c r="BD195" s="462"/>
      <c r="BE195" s="462"/>
      <c r="BF195" s="462"/>
      <c r="BG195" s="462"/>
      <c r="BH195" s="462"/>
      <c r="BI195" s="15"/>
      <c r="BJ195" s="15"/>
      <c r="BK195" s="15"/>
      <c r="BL195" s="15"/>
      <c r="BM195" s="15"/>
      <c r="BN195" s="15"/>
      <c r="BO195" s="15"/>
      <c r="BP195" s="15"/>
      <c r="BQ195" s="15"/>
    </row>
    <row r="196" spans="51:69" s="21" customFormat="1" x14ac:dyDescent="0.2">
      <c r="AY196" s="462"/>
      <c r="AZ196" s="462"/>
      <c r="BA196" s="462"/>
      <c r="BB196" s="462"/>
      <c r="BC196" s="462"/>
      <c r="BD196" s="462"/>
      <c r="BE196" s="462"/>
      <c r="BF196" s="462"/>
      <c r="BG196" s="462"/>
      <c r="BH196" s="462"/>
      <c r="BI196" s="15"/>
      <c r="BJ196" s="15"/>
      <c r="BK196" s="15"/>
      <c r="BL196" s="15"/>
      <c r="BM196" s="15"/>
      <c r="BN196" s="15"/>
      <c r="BO196" s="15"/>
      <c r="BP196" s="15"/>
      <c r="BQ196" s="15"/>
    </row>
    <row r="197" spans="51:69" s="21" customFormat="1" x14ac:dyDescent="0.2">
      <c r="AY197" s="462"/>
      <c r="AZ197" s="462"/>
      <c r="BA197" s="462"/>
      <c r="BB197" s="462"/>
      <c r="BC197" s="462"/>
      <c r="BD197" s="462"/>
      <c r="BE197" s="462"/>
      <c r="BF197" s="462"/>
      <c r="BG197" s="462"/>
      <c r="BH197" s="462"/>
    </row>
    <row r="198" spans="51:69" s="21" customFormat="1" x14ac:dyDescent="0.2">
      <c r="AY198" s="462"/>
      <c r="AZ198" s="462"/>
      <c r="BA198" s="462"/>
      <c r="BB198" s="462"/>
      <c r="BC198" s="462"/>
      <c r="BD198" s="462"/>
      <c r="BE198" s="462"/>
      <c r="BF198" s="462"/>
      <c r="BG198" s="462"/>
      <c r="BH198" s="462"/>
    </row>
    <row r="199" spans="51:69" s="21" customFormat="1" x14ac:dyDescent="0.2">
      <c r="AY199" s="462"/>
      <c r="AZ199" s="462"/>
      <c r="BA199" s="462"/>
      <c r="BB199" s="462"/>
      <c r="BC199" s="462"/>
      <c r="BD199" s="462"/>
      <c r="BE199" s="462"/>
      <c r="BF199" s="462"/>
      <c r="BG199" s="462"/>
      <c r="BH199" s="462"/>
    </row>
    <row r="200" spans="51:69" s="21" customFormat="1" x14ac:dyDescent="0.2">
      <c r="AY200" s="462"/>
      <c r="AZ200" s="462"/>
      <c r="BA200" s="462"/>
      <c r="BB200" s="462"/>
      <c r="BC200" s="462"/>
      <c r="BD200" s="462"/>
      <c r="BE200" s="462"/>
      <c r="BF200" s="462"/>
      <c r="BG200" s="462"/>
      <c r="BH200" s="462"/>
    </row>
    <row r="201" spans="51:69" s="21" customFormat="1" x14ac:dyDescent="0.2">
      <c r="AY201" s="462"/>
      <c r="AZ201" s="462"/>
      <c r="BA201" s="462"/>
      <c r="BB201" s="462"/>
      <c r="BC201" s="462"/>
      <c r="BD201" s="462"/>
      <c r="BE201" s="462"/>
      <c r="BF201" s="462"/>
      <c r="BG201" s="462"/>
      <c r="BH201" s="462"/>
    </row>
    <row r="202" spans="51:69" s="21" customFormat="1" x14ac:dyDescent="0.2">
      <c r="AY202" s="462"/>
      <c r="AZ202" s="462"/>
      <c r="BA202" s="462"/>
      <c r="BB202" s="462"/>
      <c r="BC202" s="462"/>
      <c r="BD202" s="462"/>
      <c r="BE202" s="462"/>
      <c r="BF202" s="462"/>
      <c r="BG202" s="462"/>
      <c r="BH202" s="462"/>
    </row>
    <row r="203" spans="51:69" s="21" customFormat="1" x14ac:dyDescent="0.2">
      <c r="AY203" s="462"/>
      <c r="AZ203" s="462"/>
      <c r="BA203" s="462"/>
      <c r="BB203" s="462"/>
      <c r="BC203" s="462"/>
      <c r="BD203" s="462"/>
      <c r="BE203" s="462"/>
      <c r="BF203" s="462"/>
      <c r="BG203" s="462"/>
      <c r="BH203" s="462"/>
    </row>
    <row r="204" spans="51:69" s="21" customFormat="1" x14ac:dyDescent="0.2">
      <c r="AY204" s="462"/>
      <c r="AZ204" s="462"/>
      <c r="BA204" s="462"/>
      <c r="BB204" s="462"/>
      <c r="BC204" s="462"/>
      <c r="BD204" s="462"/>
      <c r="BE204" s="462"/>
      <c r="BF204" s="462"/>
      <c r="BG204" s="462"/>
      <c r="BH204" s="462"/>
    </row>
    <row r="205" spans="51:69" s="21" customFormat="1" x14ac:dyDescent="0.2">
      <c r="AY205" s="462"/>
      <c r="AZ205" s="462"/>
      <c r="BA205" s="462"/>
      <c r="BB205" s="462"/>
      <c r="BC205" s="462"/>
      <c r="BD205" s="462"/>
      <c r="BE205" s="462"/>
      <c r="BF205" s="462"/>
      <c r="BG205" s="462"/>
      <c r="BH205" s="462"/>
    </row>
    <row r="206" spans="51:69" s="21" customFormat="1" x14ac:dyDescent="0.2">
      <c r="AY206" s="462"/>
      <c r="AZ206" s="462"/>
      <c r="BA206" s="462"/>
      <c r="BB206" s="462"/>
      <c r="BC206" s="462"/>
      <c r="BD206" s="462"/>
      <c r="BE206" s="462"/>
      <c r="BF206" s="462"/>
      <c r="BG206" s="462"/>
      <c r="BH206" s="462"/>
    </row>
    <row r="207" spans="51:69" s="21" customFormat="1" x14ac:dyDescent="0.2">
      <c r="AY207" s="462"/>
      <c r="AZ207" s="462"/>
      <c r="BA207" s="462"/>
      <c r="BB207" s="462"/>
      <c r="BC207" s="462"/>
      <c r="BD207" s="462"/>
      <c r="BE207" s="462"/>
      <c r="BF207" s="462"/>
      <c r="BG207" s="462"/>
      <c r="BH207" s="462"/>
    </row>
    <row r="208" spans="51:69" s="21" customFormat="1" x14ac:dyDescent="0.2">
      <c r="AY208" s="462"/>
      <c r="AZ208" s="462"/>
      <c r="BA208" s="462"/>
      <c r="BB208" s="462"/>
      <c r="BC208" s="462"/>
      <c r="BD208" s="462"/>
      <c r="BE208" s="462"/>
      <c r="BF208" s="462"/>
      <c r="BG208" s="462"/>
      <c r="BH208" s="462"/>
    </row>
    <row r="209" spans="51:60" s="21" customFormat="1" x14ac:dyDescent="0.2">
      <c r="AY209" s="462"/>
      <c r="AZ209" s="462"/>
      <c r="BA209" s="462"/>
      <c r="BB209" s="462"/>
      <c r="BC209" s="462"/>
      <c r="BD209" s="462"/>
      <c r="BE209" s="462"/>
      <c r="BF209" s="462"/>
      <c r="BG209" s="462"/>
      <c r="BH209" s="462"/>
    </row>
    <row r="210" spans="51:60" s="21" customFormat="1" x14ac:dyDescent="0.2">
      <c r="AY210" s="462"/>
      <c r="AZ210" s="462"/>
      <c r="BA210" s="462"/>
      <c r="BB210" s="462"/>
      <c r="BC210" s="462"/>
      <c r="BD210" s="462"/>
      <c r="BE210" s="462"/>
      <c r="BF210" s="462"/>
      <c r="BG210" s="462"/>
      <c r="BH210" s="462"/>
    </row>
    <row r="211" spans="51:60" s="21" customFormat="1" x14ac:dyDescent="0.2">
      <c r="AY211" s="462"/>
      <c r="AZ211" s="462"/>
      <c r="BA211" s="462"/>
      <c r="BB211" s="462"/>
      <c r="BC211" s="462"/>
      <c r="BD211" s="462"/>
      <c r="BE211" s="462"/>
      <c r="BF211" s="462"/>
      <c r="BG211" s="462"/>
      <c r="BH211" s="462"/>
    </row>
    <row r="212" spans="51:60" s="21" customFormat="1" x14ac:dyDescent="0.2">
      <c r="AY212" s="462"/>
      <c r="AZ212" s="462"/>
      <c r="BA212" s="462"/>
      <c r="BB212" s="462"/>
      <c r="BC212" s="462"/>
      <c r="BD212" s="462"/>
      <c r="BE212" s="462"/>
      <c r="BF212" s="462"/>
      <c r="BG212" s="462"/>
      <c r="BH212" s="462"/>
    </row>
    <row r="213" spans="51:60" s="21" customFormat="1" x14ac:dyDescent="0.2">
      <c r="AY213" s="462"/>
      <c r="AZ213" s="462"/>
      <c r="BA213" s="462"/>
      <c r="BB213" s="462"/>
      <c r="BC213" s="462"/>
      <c r="BD213" s="462"/>
      <c r="BE213" s="462"/>
      <c r="BF213" s="462"/>
      <c r="BG213" s="462"/>
      <c r="BH213" s="462"/>
    </row>
    <row r="214" spans="51:60" s="21" customFormat="1" x14ac:dyDescent="0.2">
      <c r="AY214" s="462"/>
      <c r="AZ214" s="462"/>
      <c r="BA214" s="462"/>
      <c r="BB214" s="462"/>
      <c r="BC214" s="462"/>
      <c r="BD214" s="462"/>
      <c r="BE214" s="462"/>
      <c r="BF214" s="462"/>
      <c r="BG214" s="462"/>
      <c r="BH214" s="462"/>
    </row>
    <row r="215" spans="51:60" s="21" customFormat="1" x14ac:dyDescent="0.2">
      <c r="AY215" s="462"/>
      <c r="AZ215" s="462"/>
      <c r="BA215" s="462"/>
      <c r="BB215" s="462"/>
      <c r="BC215" s="462"/>
      <c r="BD215" s="462"/>
      <c r="BE215" s="462"/>
      <c r="BF215" s="462"/>
      <c r="BG215" s="462"/>
      <c r="BH215" s="462"/>
    </row>
    <row r="216" spans="51:60" s="21" customFormat="1" x14ac:dyDescent="0.2">
      <c r="AY216" s="462"/>
      <c r="AZ216" s="462"/>
      <c r="BA216" s="462"/>
      <c r="BB216" s="462"/>
      <c r="BC216" s="462"/>
      <c r="BD216" s="462"/>
      <c r="BE216" s="462"/>
      <c r="BF216" s="462"/>
      <c r="BG216" s="462"/>
      <c r="BH216" s="462"/>
    </row>
    <row r="217" spans="51:60" s="21" customFormat="1" x14ac:dyDescent="0.2">
      <c r="AY217" s="462"/>
      <c r="AZ217" s="462"/>
      <c r="BA217" s="462"/>
      <c r="BB217" s="462"/>
      <c r="BC217" s="462"/>
      <c r="BD217" s="462"/>
      <c r="BE217" s="462"/>
      <c r="BF217" s="462"/>
      <c r="BG217" s="462"/>
      <c r="BH217" s="462"/>
    </row>
    <row r="218" spans="51:60" s="21" customFormat="1" x14ac:dyDescent="0.2">
      <c r="AY218" s="462"/>
      <c r="AZ218" s="462"/>
      <c r="BA218" s="462"/>
      <c r="BB218" s="462"/>
      <c r="BC218" s="462"/>
      <c r="BD218" s="462"/>
      <c r="BE218" s="462"/>
      <c r="BF218" s="462"/>
      <c r="BG218" s="462"/>
      <c r="BH218" s="462"/>
    </row>
    <row r="219" spans="51:60" s="21" customFormat="1" x14ac:dyDescent="0.2">
      <c r="AY219" s="462"/>
      <c r="AZ219" s="462"/>
      <c r="BA219" s="462"/>
      <c r="BB219" s="462"/>
      <c r="BC219" s="462"/>
      <c r="BD219" s="462"/>
      <c r="BE219" s="462"/>
      <c r="BF219" s="462"/>
      <c r="BG219" s="462"/>
      <c r="BH219" s="462"/>
    </row>
    <row r="220" spans="51:60" s="21" customFormat="1" x14ac:dyDescent="0.2">
      <c r="AY220" s="462"/>
      <c r="AZ220" s="462"/>
      <c r="BA220" s="462"/>
      <c r="BB220" s="462"/>
      <c r="BC220" s="462"/>
      <c r="BD220" s="462"/>
      <c r="BE220" s="462"/>
      <c r="BF220" s="462"/>
      <c r="BG220" s="462"/>
      <c r="BH220" s="462"/>
    </row>
    <row r="221" spans="51:60" s="21" customFormat="1" x14ac:dyDescent="0.2">
      <c r="AY221" s="462"/>
      <c r="AZ221" s="462"/>
      <c r="BA221" s="462"/>
      <c r="BB221" s="462"/>
      <c r="BC221" s="462"/>
      <c r="BD221" s="462"/>
      <c r="BE221" s="462"/>
      <c r="BF221" s="462"/>
      <c r="BG221" s="462"/>
      <c r="BH221" s="462"/>
    </row>
    <row r="222" spans="51:60" s="21" customFormat="1" x14ac:dyDescent="0.2">
      <c r="AY222" s="462"/>
      <c r="AZ222" s="462"/>
      <c r="BA222" s="462"/>
      <c r="BB222" s="462"/>
      <c r="BC222" s="462"/>
      <c r="BD222" s="462"/>
      <c r="BE222" s="462"/>
      <c r="BF222" s="462"/>
      <c r="BG222" s="462"/>
      <c r="BH222" s="462"/>
    </row>
    <row r="223" spans="51:60" s="21" customFormat="1" x14ac:dyDescent="0.2">
      <c r="AY223" s="462"/>
      <c r="AZ223" s="462"/>
      <c r="BA223" s="462"/>
      <c r="BB223" s="462"/>
      <c r="BC223" s="462"/>
      <c r="BD223" s="462"/>
      <c r="BE223" s="462"/>
      <c r="BF223" s="462"/>
      <c r="BG223" s="462"/>
      <c r="BH223" s="462"/>
    </row>
    <row r="224" spans="51:60" s="21" customFormat="1" x14ac:dyDescent="0.2">
      <c r="AY224" s="462"/>
      <c r="AZ224" s="462"/>
      <c r="BA224" s="462"/>
      <c r="BB224" s="462"/>
      <c r="BC224" s="462"/>
      <c r="BD224" s="462"/>
      <c r="BE224" s="462"/>
      <c r="BF224" s="462"/>
      <c r="BG224" s="462"/>
      <c r="BH224" s="462"/>
    </row>
    <row r="225" spans="2:79" s="21" customFormat="1" x14ac:dyDescent="0.2">
      <c r="AY225" s="462"/>
      <c r="AZ225" s="462"/>
      <c r="BA225" s="462"/>
      <c r="BB225" s="462"/>
      <c r="BC225" s="462"/>
      <c r="BD225" s="462"/>
      <c r="BE225" s="462"/>
      <c r="BF225" s="462"/>
      <c r="BG225" s="462"/>
      <c r="BH225" s="462"/>
    </row>
    <row r="226" spans="2:79" s="21" customFormat="1" x14ac:dyDescent="0.2">
      <c r="AY226" s="462"/>
      <c r="AZ226" s="462"/>
      <c r="BA226" s="462"/>
      <c r="BB226" s="462"/>
      <c r="BC226" s="462"/>
      <c r="BD226" s="462"/>
      <c r="BE226" s="462"/>
      <c r="BF226" s="462"/>
      <c r="BG226" s="462"/>
      <c r="BH226" s="462"/>
    </row>
    <row r="227" spans="2:79" s="21" customFormat="1" x14ac:dyDescent="0.2"/>
    <row r="228" spans="2:79" s="15" customFormat="1" x14ac:dyDescent="0.2"/>
    <row r="229" spans="2:79" s="15" customFormat="1" x14ac:dyDescent="0.2"/>
    <row r="230" spans="2:79" s="18" customFormat="1" x14ac:dyDescent="0.2">
      <c r="B230" s="15"/>
      <c r="C230" s="15"/>
      <c r="D230" s="15"/>
      <c r="E230" s="15"/>
    </row>
    <row r="231" spans="2:79" s="18" customFormat="1" x14ac:dyDescent="0.2"/>
    <row r="232" spans="2:79" s="18" customFormat="1" x14ac:dyDescent="0.2"/>
    <row r="233" spans="2:79" s="18" customFormat="1" x14ac:dyDescent="0.2"/>
    <row r="234" spans="2:79" s="18" customFormat="1" x14ac:dyDescent="0.2"/>
    <row r="235" spans="2:79" s="18" customFormat="1" x14ac:dyDescent="0.2"/>
    <row r="236" spans="2:79" s="18" customFormat="1" x14ac:dyDescent="0.2"/>
    <row r="237" spans="2:79" s="18" customFormat="1" x14ac:dyDescent="0.2"/>
    <row r="238" spans="2:79" s="18" customFormat="1" x14ac:dyDescent="0.2"/>
    <row r="239" spans="2:79" x14ac:dyDescent="0.2">
      <c r="U239" s="15"/>
      <c r="V239" s="522"/>
      <c r="W239" s="522"/>
      <c r="X239" s="522"/>
      <c r="Y239" s="522"/>
      <c r="Z239" s="522"/>
      <c r="AA239" s="522"/>
      <c r="AB239" s="522"/>
      <c r="AC239" s="522"/>
      <c r="AD239" s="522"/>
      <c r="AE239" s="15"/>
      <c r="AF239" s="15"/>
      <c r="AG239" s="15"/>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row>
    <row r="240" spans="2:79" x14ac:dyDescent="0.2">
      <c r="U240" s="15"/>
      <c r="V240" s="522"/>
      <c r="W240" s="522"/>
      <c r="X240" s="522"/>
      <c r="Y240" s="522"/>
      <c r="Z240" s="522"/>
      <c r="AA240" s="522"/>
      <c r="AB240" s="522"/>
      <c r="AC240" s="522"/>
      <c r="AD240" s="522"/>
      <c r="AE240" s="15"/>
      <c r="AF240" s="15"/>
      <c r="AG240" s="15"/>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row>
    <row r="241" spans="21:79" x14ac:dyDescent="0.2">
      <c r="U241" s="15"/>
      <c r="V241" s="522"/>
      <c r="W241" s="522"/>
      <c r="X241" s="522"/>
      <c r="Y241" s="522"/>
      <c r="Z241" s="522"/>
      <c r="AA241" s="522"/>
      <c r="AB241" s="522"/>
      <c r="AC241" s="522"/>
      <c r="AD241" s="522"/>
      <c r="AE241" s="15"/>
      <c r="AF241" s="15"/>
      <c r="AG241" s="15"/>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row>
    <row r="242" spans="21:79" x14ac:dyDescent="0.2">
      <c r="U242" s="15"/>
      <c r="V242" s="522"/>
      <c r="W242" s="522"/>
      <c r="X242" s="522"/>
      <c r="Y242" s="522"/>
      <c r="Z242" s="522"/>
      <c r="AA242" s="522"/>
      <c r="AB242" s="522"/>
      <c r="AC242" s="522"/>
      <c r="AD242" s="522"/>
      <c r="AE242" s="15"/>
      <c r="AF242" s="15"/>
      <c r="AG242" s="15"/>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row>
    <row r="243" spans="21:79" x14ac:dyDescent="0.2">
      <c r="U243" s="15"/>
      <c r="V243" s="522"/>
      <c r="W243" s="522"/>
      <c r="X243" s="522"/>
      <c r="Y243" s="522"/>
      <c r="Z243" s="522"/>
      <c r="AA243" s="522"/>
      <c r="AB243" s="522"/>
      <c r="AC243" s="522"/>
      <c r="AD243" s="522"/>
      <c r="AE243" s="15"/>
      <c r="AF243" s="15"/>
      <c r="AG243" s="15"/>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row>
    <row r="244" spans="21:79" x14ac:dyDescent="0.2">
      <c r="U244" s="15"/>
      <c r="V244" s="522"/>
      <c r="W244" s="522"/>
      <c r="X244" s="522"/>
      <c r="Y244" s="522"/>
      <c r="Z244" s="522"/>
      <c r="AA244" s="522"/>
      <c r="AB244" s="522"/>
      <c r="AC244" s="522"/>
      <c r="AD244" s="522"/>
      <c r="AE244" s="15"/>
      <c r="AF244" s="15"/>
      <c r="AG244" s="15"/>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row>
    <row r="245" spans="21:79" x14ac:dyDescent="0.2">
      <c r="U245" s="15"/>
      <c r="V245" s="522"/>
      <c r="W245" s="522"/>
      <c r="X245" s="522"/>
      <c r="Y245" s="522"/>
      <c r="Z245" s="522"/>
      <c r="AA245" s="522"/>
      <c r="AB245" s="522"/>
      <c r="AC245" s="522"/>
      <c r="AD245" s="522"/>
      <c r="AE245" s="15"/>
      <c r="AF245" s="15"/>
      <c r="AG245" s="15"/>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row>
    <row r="246" spans="21:79" x14ac:dyDescent="0.2">
      <c r="U246" s="15"/>
      <c r="V246" s="522"/>
      <c r="W246" s="522"/>
      <c r="X246" s="522"/>
      <c r="Y246" s="522"/>
      <c r="Z246" s="522"/>
      <c r="AA246" s="522"/>
      <c r="AB246" s="522"/>
      <c r="AC246" s="522"/>
      <c r="AD246" s="522"/>
      <c r="AE246" s="15"/>
      <c r="AF246" s="15"/>
      <c r="AG246" s="15"/>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row>
    <row r="247" spans="21:79" x14ac:dyDescent="0.2">
      <c r="U247" s="15"/>
      <c r="V247" s="15"/>
      <c r="W247" s="15"/>
      <c r="X247" s="15"/>
      <c r="Y247" s="15"/>
      <c r="Z247" s="15"/>
      <c r="AA247" s="15"/>
      <c r="AB247" s="15"/>
      <c r="AC247" s="15"/>
      <c r="AD247" s="15"/>
      <c r="AE247" s="15"/>
      <c r="AF247" s="15"/>
      <c r="AG247" s="15"/>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row>
    <row r="248" spans="21:79" x14ac:dyDescent="0.2">
      <c r="U248" s="15"/>
      <c r="V248" s="15"/>
      <c r="W248" s="15"/>
      <c r="X248" s="15"/>
      <c r="Y248" s="15"/>
      <c r="Z248" s="15"/>
      <c r="AA248" s="15"/>
      <c r="AB248" s="15"/>
      <c r="AC248" s="15"/>
      <c r="AD248" s="15"/>
      <c r="AE248" s="15"/>
      <c r="AF248" s="15"/>
      <c r="AG248" s="15"/>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row>
    <row r="249" spans="21:79" x14ac:dyDescent="0.2">
      <c r="U249" s="15"/>
      <c r="V249" s="15"/>
      <c r="W249" s="15"/>
      <c r="X249" s="15"/>
      <c r="Y249" s="15"/>
      <c r="Z249" s="15"/>
      <c r="AA249" s="15"/>
      <c r="AB249" s="15"/>
      <c r="AC249" s="15"/>
      <c r="AD249" s="15"/>
      <c r="AE249" s="15"/>
      <c r="AF249" s="15"/>
      <c r="AG249" s="15"/>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row>
    <row r="250" spans="21:79" x14ac:dyDescent="0.2">
      <c r="U250" s="15"/>
      <c r="V250" s="15"/>
      <c r="W250" s="15"/>
      <c r="X250" s="15"/>
      <c r="Y250" s="15"/>
      <c r="Z250" s="15"/>
      <c r="AA250" s="15"/>
      <c r="AB250" s="15"/>
      <c r="AC250" s="15"/>
      <c r="AD250" s="15"/>
      <c r="AE250" s="15"/>
      <c r="AF250" s="15"/>
      <c r="AG250" s="15"/>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row>
    <row r="251" spans="21:79" x14ac:dyDescent="0.2">
      <c r="U251" s="15"/>
      <c r="V251" s="15"/>
      <c r="W251" s="15"/>
      <c r="X251" s="15"/>
      <c r="Y251" s="15"/>
      <c r="Z251" s="15"/>
      <c r="AA251" s="15"/>
      <c r="AB251" s="15"/>
      <c r="AC251" s="15"/>
      <c r="AD251" s="15"/>
      <c r="AE251" s="15"/>
      <c r="AF251" s="15"/>
      <c r="AG251" s="15"/>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row>
    <row r="252" spans="21:79" x14ac:dyDescent="0.2">
      <c r="U252" s="15"/>
      <c r="V252" s="15"/>
      <c r="W252" s="15"/>
      <c r="X252" s="15"/>
      <c r="Y252" s="15"/>
      <c r="Z252" s="15"/>
      <c r="AA252" s="15"/>
      <c r="AB252" s="15"/>
      <c r="AC252" s="15"/>
      <c r="AD252" s="15"/>
      <c r="AE252" s="15"/>
      <c r="AF252" s="15"/>
      <c r="AG252" s="15"/>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row>
    <row r="253" spans="21:79" x14ac:dyDescent="0.2">
      <c r="U253" s="15"/>
      <c r="V253" s="15"/>
      <c r="W253" s="15"/>
      <c r="X253" s="15"/>
      <c r="Y253" s="15"/>
      <c r="Z253" s="15"/>
      <c r="AA253" s="15"/>
      <c r="AB253" s="15"/>
      <c r="AC253" s="15"/>
      <c r="AD253" s="15"/>
      <c r="AE253" s="15"/>
      <c r="AF253" s="15"/>
      <c r="AG253" s="15"/>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row>
    <row r="254" spans="21:79" x14ac:dyDescent="0.2">
      <c r="U254" s="15"/>
      <c r="V254" s="15"/>
      <c r="W254" s="15"/>
      <c r="X254" s="15"/>
      <c r="Y254" s="15"/>
      <c r="Z254" s="15"/>
      <c r="AA254" s="15"/>
      <c r="AB254" s="15"/>
      <c r="AC254" s="15"/>
      <c r="AD254" s="15"/>
      <c r="AE254" s="15"/>
      <c r="AF254" s="15"/>
      <c r="AG254" s="15"/>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row>
    <row r="255" spans="21:79" x14ac:dyDescent="0.2">
      <c r="U255" s="15"/>
      <c r="V255" s="15"/>
      <c r="W255" s="15"/>
      <c r="X255" s="15"/>
      <c r="Y255" s="15"/>
      <c r="Z255" s="15"/>
      <c r="AA255" s="15"/>
      <c r="AB255" s="15"/>
      <c r="AC255" s="15"/>
      <c r="AD255" s="15"/>
      <c r="AE255" s="15"/>
      <c r="AF255" s="15"/>
      <c r="AG255" s="15"/>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row>
    <row r="256" spans="21:79" x14ac:dyDescent="0.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row>
    <row r="257" spans="50:79" x14ac:dyDescent="0.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row>
    <row r="258" spans="50:79" x14ac:dyDescent="0.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row>
    <row r="259" spans="50:79" x14ac:dyDescent="0.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row>
    <row r="260" spans="50:79" x14ac:dyDescent="0.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row>
    <row r="261" spans="50:79" x14ac:dyDescent="0.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row>
    <row r="262" spans="50:79" x14ac:dyDescent="0.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row>
    <row r="263" spans="50:79" x14ac:dyDescent="0.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row>
    <row r="264" spans="50:79" x14ac:dyDescent="0.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row>
    <row r="265" spans="50:79" x14ac:dyDescent="0.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row>
    <row r="266" spans="50:79" x14ac:dyDescent="0.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row>
    <row r="267" spans="50:79" x14ac:dyDescent="0.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row>
    <row r="268" spans="50:79" x14ac:dyDescent="0.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row>
    <row r="269" spans="50:79" x14ac:dyDescent="0.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row>
    <row r="270" spans="50:79" x14ac:dyDescent="0.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row>
    <row r="271" spans="50:79" x14ac:dyDescent="0.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row>
    <row r="272" spans="50:79" x14ac:dyDescent="0.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row>
    <row r="273" spans="50:79" x14ac:dyDescent="0.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row>
    <row r="274" spans="50:79" x14ac:dyDescent="0.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row>
    <row r="275" spans="50:79" x14ac:dyDescent="0.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row>
    <row r="276" spans="50:79" x14ac:dyDescent="0.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row>
    <row r="277" spans="50:79" x14ac:dyDescent="0.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row>
    <row r="278" spans="50:79" x14ac:dyDescent="0.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row>
    <row r="279" spans="50:79" x14ac:dyDescent="0.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row>
    <row r="280" spans="50:79" x14ac:dyDescent="0.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row>
    <row r="281" spans="50:79" x14ac:dyDescent="0.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row>
    <row r="282" spans="50:79" x14ac:dyDescent="0.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row>
    <row r="283" spans="50:79" x14ac:dyDescent="0.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row>
    <row r="284" spans="50:79" x14ac:dyDescent="0.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row>
    <row r="285" spans="50:79" x14ac:dyDescent="0.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row>
    <row r="286" spans="50:79" x14ac:dyDescent="0.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row>
    <row r="287" spans="50:79" x14ac:dyDescent="0.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row>
    <row r="288" spans="50:79" x14ac:dyDescent="0.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row>
    <row r="289" spans="50:79" x14ac:dyDescent="0.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row>
    <row r="290" spans="50:79" x14ac:dyDescent="0.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row>
    <row r="291" spans="50:79" x14ac:dyDescent="0.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row>
    <row r="292" spans="50:79" x14ac:dyDescent="0.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row>
    <row r="293" spans="50:79" x14ac:dyDescent="0.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row>
    <row r="294" spans="50:79" x14ac:dyDescent="0.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row>
    <row r="295" spans="50:79" x14ac:dyDescent="0.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row>
    <row r="296" spans="50:79" x14ac:dyDescent="0.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row>
    <row r="297" spans="50:79" x14ac:dyDescent="0.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row>
    <row r="298" spans="50:79" x14ac:dyDescent="0.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row>
    <row r="299" spans="50:79" x14ac:dyDescent="0.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row>
    <row r="300" spans="50:79" x14ac:dyDescent="0.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row>
    <row r="301" spans="50:79" x14ac:dyDescent="0.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row>
    <row r="302" spans="50:79" x14ac:dyDescent="0.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row>
    <row r="303" spans="50:79" x14ac:dyDescent="0.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row>
    <row r="304" spans="50:79" x14ac:dyDescent="0.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row>
    <row r="305" spans="50:79" x14ac:dyDescent="0.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row>
    <row r="306" spans="50:79" x14ac:dyDescent="0.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row>
    <row r="307" spans="50:79" x14ac:dyDescent="0.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row>
    <row r="308" spans="50:79" x14ac:dyDescent="0.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row>
    <row r="309" spans="50:79" x14ac:dyDescent="0.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row>
    <row r="310" spans="50:79" x14ac:dyDescent="0.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row>
    <row r="311" spans="50:79" x14ac:dyDescent="0.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row>
    <row r="312" spans="50:79" x14ac:dyDescent="0.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row>
    <row r="313" spans="50:79" x14ac:dyDescent="0.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row>
    <row r="314" spans="50:79" x14ac:dyDescent="0.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row>
    <row r="315" spans="50:79" x14ac:dyDescent="0.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row>
    <row r="316" spans="50:79" x14ac:dyDescent="0.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row>
    <row r="317" spans="50:79" x14ac:dyDescent="0.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row>
    <row r="318" spans="50:79" x14ac:dyDescent="0.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row>
    <row r="319" spans="50:79" x14ac:dyDescent="0.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row>
    <row r="320" spans="50:79" x14ac:dyDescent="0.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row>
    <row r="321" spans="50:79" x14ac:dyDescent="0.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row>
    <row r="322" spans="50:79" x14ac:dyDescent="0.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row>
    <row r="323" spans="50:79" x14ac:dyDescent="0.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row>
    <row r="324" spans="50:79" x14ac:dyDescent="0.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row>
    <row r="325" spans="50:79" x14ac:dyDescent="0.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row>
    <row r="326" spans="50:79" x14ac:dyDescent="0.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row>
    <row r="327" spans="50:79" x14ac:dyDescent="0.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row>
    <row r="2113" spans="52:52" ht="13.5" thickBot="1" x14ac:dyDescent="0.25"/>
    <row r="2114" spans="52:52" ht="13.5" thickBot="1" x14ac:dyDescent="0.25">
      <c r="AZ2114" s="870" t="s">
        <v>1878</v>
      </c>
    </row>
  </sheetData>
  <sheetProtection pivotTables="0"/>
  <mergeCells count="37">
    <mergeCell ref="I11:J11"/>
    <mergeCell ref="I6:J6"/>
    <mergeCell ref="I7:J7"/>
    <mergeCell ref="I8:J8"/>
    <mergeCell ref="I9:J9"/>
    <mergeCell ref="I10:J10"/>
    <mergeCell ref="D114:E114"/>
    <mergeCell ref="B103:C103"/>
    <mergeCell ref="D103:E103"/>
    <mergeCell ref="I12:J12"/>
    <mergeCell ref="I13:J13"/>
    <mergeCell ref="B76:C76"/>
    <mergeCell ref="E76:K79"/>
    <mergeCell ref="B82:C82"/>
    <mergeCell ref="E82:F82"/>
    <mergeCell ref="B98:C98"/>
    <mergeCell ref="E97:K100"/>
    <mergeCell ref="F53:G53"/>
    <mergeCell ref="E42:K45"/>
    <mergeCell ref="B48:C48"/>
    <mergeCell ref="B53:C53"/>
    <mergeCell ref="D53:E53"/>
    <mergeCell ref="F23:G23"/>
    <mergeCell ref="D12:E12"/>
    <mergeCell ref="D13:E13"/>
    <mergeCell ref="B1:C1"/>
    <mergeCell ref="D1:E1"/>
    <mergeCell ref="B20:C20"/>
    <mergeCell ref="B23:C23"/>
    <mergeCell ref="D23:E23"/>
    <mergeCell ref="B3:C3"/>
    <mergeCell ref="D6:E6"/>
    <mergeCell ref="D7:E7"/>
    <mergeCell ref="D8:E8"/>
    <mergeCell ref="D9:E9"/>
    <mergeCell ref="D10:E10"/>
    <mergeCell ref="D11:E11"/>
  </mergeCells>
  <conditionalFormatting sqref="N16 N7:N13">
    <cfRule type="cellIs" dxfId="257" priority="19" stopIfTrue="1" operator="greaterThan">
      <formula>0</formula>
    </cfRule>
    <cfRule type="cellIs" dxfId="256" priority="20" stopIfTrue="1" operator="lessThanOrEqual">
      <formula>0</formula>
    </cfRule>
  </conditionalFormatting>
  <dataValidations count="4">
    <dataValidation type="list" allowBlank="1" showInputMessage="1" showErrorMessage="1" sqref="AEP157 AOL157 AYH157 BID157 BRZ157 CBV157 CLR157 CVN157 DFJ157 DPF157 DZB157 EIX157 EST157 FCP157 FML157 FWH157 GGD157 GPZ157 GZV157 HJR157 HTN157 IDJ157 INF157 IXB157 JGX157 JQT157 KAP157 KKL157 KUH157 LED157 LNZ157 LXV157 MHR157 MRN157 NBJ157 NLF157 NVB157 OEX157 OOT157 OYP157 PIL157 PSH157 QCD157 QLZ157 QVV157 RFR157 RPN157 RZJ157 SJF157 STB157 TCX157 TMT157 TWP157 UGL157 UQH157 VAD157 VJZ157 VTV157 WDR157 WNN157 WXJ157 BB65693 KX65693 UT65693 AEP65693 AOL65693 AYH65693 BID65693 BRZ65693 CBV65693 CLR65693 CVN65693 DFJ65693 DPF65693 DZB65693 EIX65693 EST65693 FCP65693 FML65693 FWH65693 GGD65693 GPZ65693 GZV65693 HJR65693 HTN65693 IDJ65693 INF65693 IXB65693 JGX65693 JQT65693 KAP65693 KKL65693 KUH65693 LED65693 LNZ65693 LXV65693 MHR65693 MRN65693 NBJ65693 NLF65693 NVB65693 OEX65693 OOT65693 OYP65693 PIL65693 PSH65693 QCD65693 QLZ65693 QVV65693 RFR65693 RPN65693 RZJ65693 SJF65693 STB65693 TCX65693 TMT65693 TWP65693 UGL65693 UQH65693 VAD65693 VJZ65693 VTV65693 WDR65693 WNN65693 WXJ65693 BB131229 KX131229 UT131229 AEP131229 AOL131229 AYH131229 BID131229 BRZ131229 CBV131229 CLR131229 CVN131229 DFJ131229 DPF131229 DZB131229 EIX131229 EST131229 FCP131229 FML131229 FWH131229 GGD131229 GPZ131229 GZV131229 HJR131229 HTN131229 IDJ131229 INF131229 IXB131229 JGX131229 JQT131229 KAP131229 KKL131229 KUH131229 LED131229 LNZ131229 LXV131229 MHR131229 MRN131229 NBJ131229 NLF131229 NVB131229 OEX131229 OOT131229 OYP131229 PIL131229 PSH131229 QCD131229 QLZ131229 QVV131229 RFR131229 RPN131229 RZJ131229 SJF131229 STB131229 TCX131229 TMT131229 TWP131229 UGL131229 UQH131229 VAD131229 VJZ131229 VTV131229 WDR131229 WNN131229 WXJ131229 BB196765 KX196765 UT196765 AEP196765 AOL196765 AYH196765 BID196765 BRZ196765 CBV196765 CLR196765 CVN196765 DFJ196765 DPF196765 DZB196765 EIX196765 EST196765 FCP196765 FML196765 FWH196765 GGD196765 GPZ196765 GZV196765 HJR196765 HTN196765 IDJ196765 INF196765 IXB196765 JGX196765 JQT196765 KAP196765 KKL196765 KUH196765 LED196765 LNZ196765 LXV196765 MHR196765 MRN196765 NBJ196765 NLF196765 NVB196765 OEX196765 OOT196765 OYP196765 PIL196765 PSH196765 QCD196765 QLZ196765 QVV196765 RFR196765 RPN196765 RZJ196765 SJF196765 STB196765 TCX196765 TMT196765 TWP196765 UGL196765 UQH196765 VAD196765 VJZ196765 VTV196765 WDR196765 WNN196765 WXJ196765 BB262301 KX262301 UT262301 AEP262301 AOL262301 AYH262301 BID262301 BRZ262301 CBV262301 CLR262301 CVN262301 DFJ262301 DPF262301 DZB262301 EIX262301 EST262301 FCP262301 FML262301 FWH262301 GGD262301 GPZ262301 GZV262301 HJR262301 HTN262301 IDJ262301 INF262301 IXB262301 JGX262301 JQT262301 KAP262301 KKL262301 KUH262301 LED262301 LNZ262301 LXV262301 MHR262301 MRN262301 NBJ262301 NLF262301 NVB262301 OEX262301 OOT262301 OYP262301 PIL262301 PSH262301 QCD262301 QLZ262301 QVV262301 RFR262301 RPN262301 RZJ262301 SJF262301 STB262301 TCX262301 TMT262301 TWP262301 UGL262301 UQH262301 VAD262301 VJZ262301 VTV262301 WDR262301 WNN262301 WXJ262301 BB327837 KX327837 UT327837 AEP327837 AOL327837 AYH327837 BID327837 BRZ327837 CBV327837 CLR327837 CVN327837 DFJ327837 DPF327837 DZB327837 EIX327837 EST327837 FCP327837 FML327837 FWH327837 GGD327837 GPZ327837 GZV327837 HJR327837 HTN327837 IDJ327837 INF327837 IXB327837 JGX327837 JQT327837 KAP327837 KKL327837 KUH327837 LED327837 LNZ327837 LXV327837 MHR327837 MRN327837 NBJ327837 NLF327837 NVB327837 OEX327837 OOT327837 OYP327837 PIL327837 PSH327837 QCD327837 QLZ327837 QVV327837 RFR327837 RPN327837 RZJ327837 SJF327837 STB327837 TCX327837 TMT327837 TWP327837 UGL327837 UQH327837 VAD327837 VJZ327837 VTV327837 WDR327837 WNN327837 WXJ327837 BB393373 KX393373 UT393373 AEP393373 AOL393373 AYH393373 BID393373 BRZ393373 CBV393373 CLR393373 CVN393373 DFJ393373 DPF393373 DZB393373 EIX393373 EST393373 FCP393373 FML393373 FWH393373 GGD393373 GPZ393373 GZV393373 HJR393373 HTN393373 IDJ393373 INF393373 IXB393373 JGX393373 JQT393373 KAP393373 KKL393373 KUH393373 LED393373 LNZ393373 LXV393373 MHR393373 MRN393373 NBJ393373 NLF393373 NVB393373 OEX393373 OOT393373 OYP393373 PIL393373 PSH393373 QCD393373 QLZ393373 QVV393373 RFR393373 RPN393373 RZJ393373 SJF393373 STB393373 TCX393373 TMT393373 TWP393373 UGL393373 UQH393373 VAD393373 VJZ393373 VTV393373 WDR393373 WNN393373 WXJ393373 BB458909 KX458909 UT458909 AEP458909 AOL458909 AYH458909 BID458909 BRZ458909 CBV458909 CLR458909 CVN458909 DFJ458909 DPF458909 DZB458909 EIX458909 EST458909 FCP458909 FML458909 FWH458909 GGD458909 GPZ458909 GZV458909 HJR458909 HTN458909 IDJ458909 INF458909 IXB458909 JGX458909 JQT458909 KAP458909 KKL458909 KUH458909 LED458909 LNZ458909 LXV458909 MHR458909 MRN458909 NBJ458909 NLF458909 NVB458909 OEX458909 OOT458909 OYP458909 PIL458909 PSH458909 QCD458909 QLZ458909 QVV458909 RFR458909 RPN458909 RZJ458909 SJF458909 STB458909 TCX458909 TMT458909 TWP458909 UGL458909 UQH458909 VAD458909 VJZ458909 VTV458909 WDR458909 WNN458909 WXJ458909 BB524445 KX524445 UT524445 AEP524445 AOL524445 AYH524445 BID524445 BRZ524445 CBV524445 CLR524445 CVN524445 DFJ524445 DPF524445 DZB524445 EIX524445 EST524445 FCP524445 FML524445 FWH524445 GGD524445 GPZ524445 GZV524445 HJR524445 HTN524445 IDJ524445 INF524445 IXB524445 JGX524445 JQT524445 KAP524445 KKL524445 KUH524445 LED524445 LNZ524445 LXV524445 MHR524445 MRN524445 NBJ524445 NLF524445 NVB524445 OEX524445 OOT524445 OYP524445 PIL524445 PSH524445 QCD524445 QLZ524445 QVV524445 RFR524445 RPN524445 RZJ524445 SJF524445 STB524445 TCX524445 TMT524445 TWP524445 UGL524445 UQH524445 VAD524445 VJZ524445 VTV524445 WDR524445 WNN524445 WXJ524445 BB589981 KX589981 UT589981 AEP589981 AOL589981 AYH589981 BID589981 BRZ589981 CBV589981 CLR589981 CVN589981 DFJ589981 DPF589981 DZB589981 EIX589981 EST589981 FCP589981 FML589981 FWH589981 GGD589981 GPZ589981 GZV589981 HJR589981 HTN589981 IDJ589981 INF589981 IXB589981 JGX589981 JQT589981 KAP589981 KKL589981 KUH589981 LED589981 LNZ589981 LXV589981 MHR589981 MRN589981 NBJ589981 NLF589981 NVB589981 OEX589981 OOT589981 OYP589981 PIL589981 PSH589981 QCD589981 QLZ589981 QVV589981 RFR589981 RPN589981 RZJ589981 SJF589981 STB589981 TCX589981 TMT589981 TWP589981 UGL589981 UQH589981 VAD589981 VJZ589981 VTV589981 WDR589981 WNN589981 WXJ589981 BB655517 KX655517 UT655517 AEP655517 AOL655517 AYH655517 BID655517 BRZ655517 CBV655517 CLR655517 CVN655517 DFJ655517 DPF655517 DZB655517 EIX655517 EST655517 FCP655517 FML655517 FWH655517 GGD655517 GPZ655517 GZV655517 HJR655517 HTN655517 IDJ655517 INF655517 IXB655517 JGX655517 JQT655517 KAP655517 KKL655517 KUH655517 LED655517 LNZ655517 LXV655517 MHR655517 MRN655517 NBJ655517 NLF655517 NVB655517 OEX655517 OOT655517 OYP655517 PIL655517 PSH655517 QCD655517 QLZ655517 QVV655517 RFR655517 RPN655517 RZJ655517 SJF655517 STB655517 TCX655517 TMT655517 TWP655517 UGL655517 UQH655517 VAD655517 VJZ655517 VTV655517 WDR655517 WNN655517 WXJ655517 BB721053 KX721053 UT721053 AEP721053 AOL721053 AYH721053 BID721053 BRZ721053 CBV721053 CLR721053 CVN721053 DFJ721053 DPF721053 DZB721053 EIX721053 EST721053 FCP721053 FML721053 FWH721053 GGD721053 GPZ721053 GZV721053 HJR721053 HTN721053 IDJ721053 INF721053 IXB721053 JGX721053 JQT721053 KAP721053 KKL721053 KUH721053 LED721053 LNZ721053 LXV721053 MHR721053 MRN721053 NBJ721053 NLF721053 NVB721053 OEX721053 OOT721053 OYP721053 PIL721053 PSH721053 QCD721053 QLZ721053 QVV721053 RFR721053 RPN721053 RZJ721053 SJF721053 STB721053 TCX721053 TMT721053 TWP721053 UGL721053 UQH721053 VAD721053 VJZ721053 VTV721053 WDR721053 WNN721053 WXJ721053 BB786589 KX786589 UT786589 AEP786589 AOL786589 AYH786589 BID786589 BRZ786589 CBV786589 CLR786589 CVN786589 DFJ786589 DPF786589 DZB786589 EIX786589 EST786589 FCP786589 FML786589 FWH786589 GGD786589 GPZ786589 GZV786589 HJR786589 HTN786589 IDJ786589 INF786589 IXB786589 JGX786589 JQT786589 KAP786589 KKL786589 KUH786589 LED786589 LNZ786589 LXV786589 MHR786589 MRN786589 NBJ786589 NLF786589 NVB786589 OEX786589 OOT786589 OYP786589 PIL786589 PSH786589 QCD786589 QLZ786589 QVV786589 RFR786589 RPN786589 RZJ786589 SJF786589 STB786589 TCX786589 TMT786589 TWP786589 UGL786589 UQH786589 VAD786589 VJZ786589 VTV786589 WDR786589 WNN786589 WXJ786589 BB852125 KX852125 UT852125 AEP852125 AOL852125 AYH852125 BID852125 BRZ852125 CBV852125 CLR852125 CVN852125 DFJ852125 DPF852125 DZB852125 EIX852125 EST852125 FCP852125 FML852125 FWH852125 GGD852125 GPZ852125 GZV852125 HJR852125 HTN852125 IDJ852125 INF852125 IXB852125 JGX852125 JQT852125 KAP852125 KKL852125 KUH852125 LED852125 LNZ852125 LXV852125 MHR852125 MRN852125 NBJ852125 NLF852125 NVB852125 OEX852125 OOT852125 OYP852125 PIL852125 PSH852125 QCD852125 QLZ852125 QVV852125 RFR852125 RPN852125 RZJ852125 SJF852125 STB852125 TCX852125 TMT852125 TWP852125 UGL852125 UQH852125 VAD852125 VJZ852125 VTV852125 WDR852125 WNN852125 WXJ852125 BB917661 KX917661 UT917661 AEP917661 AOL917661 AYH917661 BID917661 BRZ917661 CBV917661 CLR917661 CVN917661 DFJ917661 DPF917661 DZB917661 EIX917661 EST917661 FCP917661 FML917661 FWH917661 GGD917661 GPZ917661 GZV917661 HJR917661 HTN917661 IDJ917661 INF917661 IXB917661 JGX917661 JQT917661 KAP917661 KKL917661 KUH917661 LED917661 LNZ917661 LXV917661 MHR917661 MRN917661 NBJ917661 NLF917661 NVB917661 OEX917661 OOT917661 OYP917661 PIL917661 PSH917661 QCD917661 QLZ917661 QVV917661 RFR917661 RPN917661 RZJ917661 SJF917661 STB917661 TCX917661 TMT917661 TWP917661 UGL917661 UQH917661 VAD917661 VJZ917661 VTV917661 WDR917661 WNN917661 WXJ917661 BB983197 KX983197 UT983197 AEP983197 AOL983197 AYH983197 BID983197 BRZ983197 CBV983197 CLR983197 CVN983197 DFJ983197 DPF983197 DZB983197 EIX983197 EST983197 FCP983197 FML983197 FWH983197 GGD983197 GPZ983197 GZV983197 HJR983197 HTN983197 IDJ983197 INF983197 IXB983197 JGX983197 JQT983197 KAP983197 KKL983197 KUH983197 LED983197 LNZ983197 LXV983197 MHR983197 MRN983197 NBJ983197 NLF983197 NVB983197 OEX983197 OOT983197 OYP983197 PIL983197 PSH983197 QCD983197 QLZ983197 QVV983197 RFR983197 RPN983197 RZJ983197 SJF983197 STB983197 TCX983197 TMT983197 TWP983197 UGL983197 UQH983197 VAD983197 VJZ983197 VTV983197 WDR983197 WNN983197 WXJ983197 KX157 KX153 UT153 AEP153 AOL153 AYH153 BID153 BRZ153 CBV153 CLR153 CVN153 DFJ153 DPF153 DZB153 EIX153 EST153 FCP153 FML153 FWH153 GGD153 GPZ153 GZV153 HJR153 HTN153 IDJ153 INF153 IXB153 JGX153 JQT153 KAP153 KKL153 KUH153 LED153 LNZ153 LXV153 MHR153 MRN153 NBJ153 NLF153 NVB153 OEX153 OOT153 OYP153 PIL153 PSH153 QCD153 QLZ153 QVV153 RFR153 RPN153 RZJ153 SJF153 STB153 TCX153 TMT153 TWP153 UGL153 UQH153 VAD153 VJZ153 VTV153 WDR153 WNN153 WXJ153 BB65689 KX65689 UT65689 AEP65689 AOL65689 AYH65689 BID65689 BRZ65689 CBV65689 CLR65689 CVN65689 DFJ65689 DPF65689 DZB65689 EIX65689 EST65689 FCP65689 FML65689 FWH65689 GGD65689 GPZ65689 GZV65689 HJR65689 HTN65689 IDJ65689 INF65689 IXB65689 JGX65689 JQT65689 KAP65689 KKL65689 KUH65689 LED65689 LNZ65689 LXV65689 MHR65689 MRN65689 NBJ65689 NLF65689 NVB65689 OEX65689 OOT65689 OYP65689 PIL65689 PSH65689 QCD65689 QLZ65689 QVV65689 RFR65689 RPN65689 RZJ65689 SJF65689 STB65689 TCX65689 TMT65689 TWP65689 UGL65689 UQH65689 VAD65689 VJZ65689 VTV65689 WDR65689 WNN65689 WXJ65689 BB131225 KX131225 UT131225 AEP131225 AOL131225 AYH131225 BID131225 BRZ131225 CBV131225 CLR131225 CVN131225 DFJ131225 DPF131225 DZB131225 EIX131225 EST131225 FCP131225 FML131225 FWH131225 GGD131225 GPZ131225 GZV131225 HJR131225 HTN131225 IDJ131225 INF131225 IXB131225 JGX131225 JQT131225 KAP131225 KKL131225 KUH131225 LED131225 LNZ131225 LXV131225 MHR131225 MRN131225 NBJ131225 NLF131225 NVB131225 OEX131225 OOT131225 OYP131225 PIL131225 PSH131225 QCD131225 QLZ131225 QVV131225 RFR131225 RPN131225 RZJ131225 SJF131225 STB131225 TCX131225 TMT131225 TWP131225 UGL131225 UQH131225 VAD131225 VJZ131225 VTV131225 WDR131225 WNN131225 WXJ131225 BB196761 KX196761 UT196761 AEP196761 AOL196761 AYH196761 BID196761 BRZ196761 CBV196761 CLR196761 CVN196761 DFJ196761 DPF196761 DZB196761 EIX196761 EST196761 FCP196761 FML196761 FWH196761 GGD196761 GPZ196761 GZV196761 HJR196761 HTN196761 IDJ196761 INF196761 IXB196761 JGX196761 JQT196761 KAP196761 KKL196761 KUH196761 LED196761 LNZ196761 LXV196761 MHR196761 MRN196761 NBJ196761 NLF196761 NVB196761 OEX196761 OOT196761 OYP196761 PIL196761 PSH196761 QCD196761 QLZ196761 QVV196761 RFR196761 RPN196761 RZJ196761 SJF196761 STB196761 TCX196761 TMT196761 TWP196761 UGL196761 UQH196761 VAD196761 VJZ196761 VTV196761 WDR196761 WNN196761 WXJ196761 BB262297 KX262297 UT262297 AEP262297 AOL262297 AYH262297 BID262297 BRZ262297 CBV262297 CLR262297 CVN262297 DFJ262297 DPF262297 DZB262297 EIX262297 EST262297 FCP262297 FML262297 FWH262297 GGD262297 GPZ262297 GZV262297 HJR262297 HTN262297 IDJ262297 INF262297 IXB262297 JGX262297 JQT262297 KAP262297 KKL262297 KUH262297 LED262297 LNZ262297 LXV262297 MHR262297 MRN262297 NBJ262297 NLF262297 NVB262297 OEX262297 OOT262297 OYP262297 PIL262297 PSH262297 QCD262297 QLZ262297 QVV262297 RFR262297 RPN262297 RZJ262297 SJF262297 STB262297 TCX262297 TMT262297 TWP262297 UGL262297 UQH262297 VAD262297 VJZ262297 VTV262297 WDR262297 WNN262297 WXJ262297 BB327833 KX327833 UT327833 AEP327833 AOL327833 AYH327833 BID327833 BRZ327833 CBV327833 CLR327833 CVN327833 DFJ327833 DPF327833 DZB327833 EIX327833 EST327833 FCP327833 FML327833 FWH327833 GGD327833 GPZ327833 GZV327833 HJR327833 HTN327833 IDJ327833 INF327833 IXB327833 JGX327833 JQT327833 KAP327833 KKL327833 KUH327833 LED327833 LNZ327833 LXV327833 MHR327833 MRN327833 NBJ327833 NLF327833 NVB327833 OEX327833 OOT327833 OYP327833 PIL327833 PSH327833 QCD327833 QLZ327833 QVV327833 RFR327833 RPN327833 RZJ327833 SJF327833 STB327833 TCX327833 TMT327833 TWP327833 UGL327833 UQH327833 VAD327833 VJZ327833 VTV327833 WDR327833 WNN327833 WXJ327833 BB393369 KX393369 UT393369 AEP393369 AOL393369 AYH393369 BID393369 BRZ393369 CBV393369 CLR393369 CVN393369 DFJ393369 DPF393369 DZB393369 EIX393369 EST393369 FCP393369 FML393369 FWH393369 GGD393369 GPZ393369 GZV393369 HJR393369 HTN393369 IDJ393369 INF393369 IXB393369 JGX393369 JQT393369 KAP393369 KKL393369 KUH393369 LED393369 LNZ393369 LXV393369 MHR393369 MRN393369 NBJ393369 NLF393369 NVB393369 OEX393369 OOT393369 OYP393369 PIL393369 PSH393369 QCD393369 QLZ393369 QVV393369 RFR393369 RPN393369 RZJ393369 SJF393369 STB393369 TCX393369 TMT393369 TWP393369 UGL393369 UQH393369 VAD393369 VJZ393369 VTV393369 WDR393369 WNN393369 WXJ393369 BB458905 KX458905 UT458905 AEP458905 AOL458905 AYH458905 BID458905 BRZ458905 CBV458905 CLR458905 CVN458905 DFJ458905 DPF458905 DZB458905 EIX458905 EST458905 FCP458905 FML458905 FWH458905 GGD458905 GPZ458905 GZV458905 HJR458905 HTN458905 IDJ458905 INF458905 IXB458905 JGX458905 JQT458905 KAP458905 KKL458905 KUH458905 LED458905 LNZ458905 LXV458905 MHR458905 MRN458905 NBJ458905 NLF458905 NVB458905 OEX458905 OOT458905 OYP458905 PIL458905 PSH458905 QCD458905 QLZ458905 QVV458905 RFR458905 RPN458905 RZJ458905 SJF458905 STB458905 TCX458905 TMT458905 TWP458905 UGL458905 UQH458905 VAD458905 VJZ458905 VTV458905 WDR458905 WNN458905 WXJ458905 BB524441 KX524441 UT524441 AEP524441 AOL524441 AYH524441 BID524441 BRZ524441 CBV524441 CLR524441 CVN524441 DFJ524441 DPF524441 DZB524441 EIX524441 EST524441 FCP524441 FML524441 FWH524441 GGD524441 GPZ524441 GZV524441 HJR524441 HTN524441 IDJ524441 INF524441 IXB524441 JGX524441 JQT524441 KAP524441 KKL524441 KUH524441 LED524441 LNZ524441 LXV524441 MHR524441 MRN524441 NBJ524441 NLF524441 NVB524441 OEX524441 OOT524441 OYP524441 PIL524441 PSH524441 QCD524441 QLZ524441 QVV524441 RFR524441 RPN524441 RZJ524441 SJF524441 STB524441 TCX524441 TMT524441 TWP524441 UGL524441 UQH524441 VAD524441 VJZ524441 VTV524441 WDR524441 WNN524441 WXJ524441 BB589977 KX589977 UT589977 AEP589977 AOL589977 AYH589977 BID589977 BRZ589977 CBV589977 CLR589977 CVN589977 DFJ589977 DPF589977 DZB589977 EIX589977 EST589977 FCP589977 FML589977 FWH589977 GGD589977 GPZ589977 GZV589977 HJR589977 HTN589977 IDJ589977 INF589977 IXB589977 JGX589977 JQT589977 KAP589977 KKL589977 KUH589977 LED589977 LNZ589977 LXV589977 MHR589977 MRN589977 NBJ589977 NLF589977 NVB589977 OEX589977 OOT589977 OYP589977 PIL589977 PSH589977 QCD589977 QLZ589977 QVV589977 RFR589977 RPN589977 RZJ589977 SJF589977 STB589977 TCX589977 TMT589977 TWP589977 UGL589977 UQH589977 VAD589977 VJZ589977 VTV589977 WDR589977 WNN589977 WXJ589977 BB655513 KX655513 UT655513 AEP655513 AOL655513 AYH655513 BID655513 BRZ655513 CBV655513 CLR655513 CVN655513 DFJ655513 DPF655513 DZB655513 EIX655513 EST655513 FCP655513 FML655513 FWH655513 GGD655513 GPZ655513 GZV655513 HJR655513 HTN655513 IDJ655513 INF655513 IXB655513 JGX655513 JQT655513 KAP655513 KKL655513 KUH655513 LED655513 LNZ655513 LXV655513 MHR655513 MRN655513 NBJ655513 NLF655513 NVB655513 OEX655513 OOT655513 OYP655513 PIL655513 PSH655513 QCD655513 QLZ655513 QVV655513 RFR655513 RPN655513 RZJ655513 SJF655513 STB655513 TCX655513 TMT655513 TWP655513 UGL655513 UQH655513 VAD655513 VJZ655513 VTV655513 WDR655513 WNN655513 WXJ655513 BB721049 KX721049 UT721049 AEP721049 AOL721049 AYH721049 BID721049 BRZ721049 CBV721049 CLR721049 CVN721049 DFJ721049 DPF721049 DZB721049 EIX721049 EST721049 FCP721049 FML721049 FWH721049 GGD721049 GPZ721049 GZV721049 HJR721049 HTN721049 IDJ721049 INF721049 IXB721049 JGX721049 JQT721049 KAP721049 KKL721049 KUH721049 LED721049 LNZ721049 LXV721049 MHR721049 MRN721049 NBJ721049 NLF721049 NVB721049 OEX721049 OOT721049 OYP721049 PIL721049 PSH721049 QCD721049 QLZ721049 QVV721049 RFR721049 RPN721049 RZJ721049 SJF721049 STB721049 TCX721049 TMT721049 TWP721049 UGL721049 UQH721049 VAD721049 VJZ721049 VTV721049 WDR721049 WNN721049 WXJ721049 BB786585 KX786585 UT786585 AEP786585 AOL786585 AYH786585 BID786585 BRZ786585 CBV786585 CLR786585 CVN786585 DFJ786585 DPF786585 DZB786585 EIX786585 EST786585 FCP786585 FML786585 FWH786585 GGD786585 GPZ786585 GZV786585 HJR786585 HTN786585 IDJ786585 INF786585 IXB786585 JGX786585 JQT786585 KAP786585 KKL786585 KUH786585 LED786585 LNZ786585 LXV786585 MHR786585 MRN786585 NBJ786585 NLF786585 NVB786585 OEX786585 OOT786585 OYP786585 PIL786585 PSH786585 QCD786585 QLZ786585 QVV786585 RFR786585 RPN786585 RZJ786585 SJF786585 STB786585 TCX786585 TMT786585 TWP786585 UGL786585 UQH786585 VAD786585 VJZ786585 VTV786585 WDR786585 WNN786585 WXJ786585 BB852121 KX852121 UT852121 AEP852121 AOL852121 AYH852121 BID852121 BRZ852121 CBV852121 CLR852121 CVN852121 DFJ852121 DPF852121 DZB852121 EIX852121 EST852121 FCP852121 FML852121 FWH852121 GGD852121 GPZ852121 GZV852121 HJR852121 HTN852121 IDJ852121 INF852121 IXB852121 JGX852121 JQT852121 KAP852121 KKL852121 KUH852121 LED852121 LNZ852121 LXV852121 MHR852121 MRN852121 NBJ852121 NLF852121 NVB852121 OEX852121 OOT852121 OYP852121 PIL852121 PSH852121 QCD852121 QLZ852121 QVV852121 RFR852121 RPN852121 RZJ852121 SJF852121 STB852121 TCX852121 TMT852121 TWP852121 UGL852121 UQH852121 VAD852121 VJZ852121 VTV852121 WDR852121 WNN852121 WXJ852121 BB917657 KX917657 UT917657 AEP917657 AOL917657 AYH917657 BID917657 BRZ917657 CBV917657 CLR917657 CVN917657 DFJ917657 DPF917657 DZB917657 EIX917657 EST917657 FCP917657 FML917657 FWH917657 GGD917657 GPZ917657 GZV917657 HJR917657 HTN917657 IDJ917657 INF917657 IXB917657 JGX917657 JQT917657 KAP917657 KKL917657 KUH917657 LED917657 LNZ917657 LXV917657 MHR917657 MRN917657 NBJ917657 NLF917657 NVB917657 OEX917657 OOT917657 OYP917657 PIL917657 PSH917657 QCD917657 QLZ917657 QVV917657 RFR917657 RPN917657 RZJ917657 SJF917657 STB917657 TCX917657 TMT917657 TWP917657 UGL917657 UQH917657 VAD917657 VJZ917657 VTV917657 WDR917657 WNN917657 WXJ917657 BB983193 KX983193 UT983193 AEP983193 AOL983193 AYH983193 BID983193 BRZ983193 CBV983193 CLR983193 CVN983193 DFJ983193 DPF983193 DZB983193 EIX983193 EST983193 FCP983193 FML983193 FWH983193 GGD983193 GPZ983193 GZV983193 HJR983193 HTN983193 IDJ983193 INF983193 IXB983193 JGX983193 JQT983193 KAP983193 KKL983193 KUH983193 LED983193 LNZ983193 LXV983193 MHR983193 MRN983193 NBJ983193 NLF983193 NVB983193 OEX983193 OOT983193 OYP983193 PIL983193 PSH983193 QCD983193 QLZ983193 QVV983193 RFR983193 RPN983193 RZJ983193 SJF983193 STB983193 TCX983193 TMT983193 TWP983193 UGL983193 UQH983193 VAD983193 VJZ983193 VTV983193 WDR983193 WNN983193 WXJ983193 UT157 KX155 UT155 AEP155 AOL155 AYH155 BID155 BRZ155 CBV155 CLR155 CVN155 DFJ155 DPF155 DZB155 EIX155 EST155 FCP155 FML155 FWH155 GGD155 GPZ155 GZV155 HJR155 HTN155 IDJ155 INF155 IXB155 JGX155 JQT155 KAP155 KKL155 KUH155 LED155 LNZ155 LXV155 MHR155 MRN155 NBJ155 NLF155 NVB155 OEX155 OOT155 OYP155 PIL155 PSH155 QCD155 QLZ155 QVV155 RFR155 RPN155 RZJ155 SJF155 STB155 TCX155 TMT155 TWP155 UGL155 UQH155 VAD155 VJZ155 VTV155 WDR155 WNN155 WXJ155 BB65691 KX65691 UT65691 AEP65691 AOL65691 AYH65691 BID65691 BRZ65691 CBV65691 CLR65691 CVN65691 DFJ65691 DPF65691 DZB65691 EIX65691 EST65691 FCP65691 FML65691 FWH65691 GGD65691 GPZ65691 GZV65691 HJR65691 HTN65691 IDJ65691 INF65691 IXB65691 JGX65691 JQT65691 KAP65691 KKL65691 KUH65691 LED65691 LNZ65691 LXV65691 MHR65691 MRN65691 NBJ65691 NLF65691 NVB65691 OEX65691 OOT65691 OYP65691 PIL65691 PSH65691 QCD65691 QLZ65691 QVV65691 RFR65691 RPN65691 RZJ65691 SJF65691 STB65691 TCX65691 TMT65691 TWP65691 UGL65691 UQH65691 VAD65691 VJZ65691 VTV65691 WDR65691 WNN65691 WXJ65691 BB131227 KX131227 UT131227 AEP131227 AOL131227 AYH131227 BID131227 BRZ131227 CBV131227 CLR131227 CVN131227 DFJ131227 DPF131227 DZB131227 EIX131227 EST131227 FCP131227 FML131227 FWH131227 GGD131227 GPZ131227 GZV131227 HJR131227 HTN131227 IDJ131227 INF131227 IXB131227 JGX131227 JQT131227 KAP131227 KKL131227 KUH131227 LED131227 LNZ131227 LXV131227 MHR131227 MRN131227 NBJ131227 NLF131227 NVB131227 OEX131227 OOT131227 OYP131227 PIL131227 PSH131227 QCD131227 QLZ131227 QVV131227 RFR131227 RPN131227 RZJ131227 SJF131227 STB131227 TCX131227 TMT131227 TWP131227 UGL131227 UQH131227 VAD131227 VJZ131227 VTV131227 WDR131227 WNN131227 WXJ131227 BB196763 KX196763 UT196763 AEP196763 AOL196763 AYH196763 BID196763 BRZ196763 CBV196763 CLR196763 CVN196763 DFJ196763 DPF196763 DZB196763 EIX196763 EST196763 FCP196763 FML196763 FWH196763 GGD196763 GPZ196763 GZV196763 HJR196763 HTN196763 IDJ196763 INF196763 IXB196763 JGX196763 JQT196763 KAP196763 KKL196763 KUH196763 LED196763 LNZ196763 LXV196763 MHR196763 MRN196763 NBJ196763 NLF196763 NVB196763 OEX196763 OOT196763 OYP196763 PIL196763 PSH196763 QCD196763 QLZ196763 QVV196763 RFR196763 RPN196763 RZJ196763 SJF196763 STB196763 TCX196763 TMT196763 TWP196763 UGL196763 UQH196763 VAD196763 VJZ196763 VTV196763 WDR196763 WNN196763 WXJ196763 BB262299 KX262299 UT262299 AEP262299 AOL262299 AYH262299 BID262299 BRZ262299 CBV262299 CLR262299 CVN262299 DFJ262299 DPF262299 DZB262299 EIX262299 EST262299 FCP262299 FML262299 FWH262299 GGD262299 GPZ262299 GZV262299 HJR262299 HTN262299 IDJ262299 INF262299 IXB262299 JGX262299 JQT262299 KAP262299 KKL262299 KUH262299 LED262299 LNZ262299 LXV262299 MHR262299 MRN262299 NBJ262299 NLF262299 NVB262299 OEX262299 OOT262299 OYP262299 PIL262299 PSH262299 QCD262299 QLZ262299 QVV262299 RFR262299 RPN262299 RZJ262299 SJF262299 STB262299 TCX262299 TMT262299 TWP262299 UGL262299 UQH262299 VAD262299 VJZ262299 VTV262299 WDR262299 WNN262299 WXJ262299 BB327835 KX327835 UT327835 AEP327835 AOL327835 AYH327835 BID327835 BRZ327835 CBV327835 CLR327835 CVN327835 DFJ327835 DPF327835 DZB327835 EIX327835 EST327835 FCP327835 FML327835 FWH327835 GGD327835 GPZ327835 GZV327835 HJR327835 HTN327835 IDJ327835 INF327835 IXB327835 JGX327835 JQT327835 KAP327835 KKL327835 KUH327835 LED327835 LNZ327835 LXV327835 MHR327835 MRN327835 NBJ327835 NLF327835 NVB327835 OEX327835 OOT327835 OYP327835 PIL327835 PSH327835 QCD327835 QLZ327835 QVV327835 RFR327835 RPN327835 RZJ327835 SJF327835 STB327835 TCX327835 TMT327835 TWP327835 UGL327835 UQH327835 VAD327835 VJZ327835 VTV327835 WDR327835 WNN327835 WXJ327835 BB393371 KX393371 UT393371 AEP393371 AOL393371 AYH393371 BID393371 BRZ393371 CBV393371 CLR393371 CVN393371 DFJ393371 DPF393371 DZB393371 EIX393371 EST393371 FCP393371 FML393371 FWH393371 GGD393371 GPZ393371 GZV393371 HJR393371 HTN393371 IDJ393371 INF393371 IXB393371 JGX393371 JQT393371 KAP393371 KKL393371 KUH393371 LED393371 LNZ393371 LXV393371 MHR393371 MRN393371 NBJ393371 NLF393371 NVB393371 OEX393371 OOT393371 OYP393371 PIL393371 PSH393371 QCD393371 QLZ393371 QVV393371 RFR393371 RPN393371 RZJ393371 SJF393371 STB393371 TCX393371 TMT393371 TWP393371 UGL393371 UQH393371 VAD393371 VJZ393371 VTV393371 WDR393371 WNN393371 WXJ393371 BB458907 KX458907 UT458907 AEP458907 AOL458907 AYH458907 BID458907 BRZ458907 CBV458907 CLR458907 CVN458907 DFJ458907 DPF458907 DZB458907 EIX458907 EST458907 FCP458907 FML458907 FWH458907 GGD458907 GPZ458907 GZV458907 HJR458907 HTN458907 IDJ458907 INF458907 IXB458907 JGX458907 JQT458907 KAP458907 KKL458907 KUH458907 LED458907 LNZ458907 LXV458907 MHR458907 MRN458907 NBJ458907 NLF458907 NVB458907 OEX458907 OOT458907 OYP458907 PIL458907 PSH458907 QCD458907 QLZ458907 QVV458907 RFR458907 RPN458907 RZJ458907 SJF458907 STB458907 TCX458907 TMT458907 TWP458907 UGL458907 UQH458907 VAD458907 VJZ458907 VTV458907 WDR458907 WNN458907 WXJ458907 BB524443 KX524443 UT524443 AEP524443 AOL524443 AYH524443 BID524443 BRZ524443 CBV524443 CLR524443 CVN524443 DFJ524443 DPF524443 DZB524443 EIX524443 EST524443 FCP524443 FML524443 FWH524443 GGD524443 GPZ524443 GZV524443 HJR524443 HTN524443 IDJ524443 INF524443 IXB524443 JGX524443 JQT524443 KAP524443 KKL524443 KUH524443 LED524443 LNZ524443 LXV524443 MHR524443 MRN524443 NBJ524443 NLF524443 NVB524443 OEX524443 OOT524443 OYP524443 PIL524443 PSH524443 QCD524443 QLZ524443 QVV524443 RFR524443 RPN524443 RZJ524443 SJF524443 STB524443 TCX524443 TMT524443 TWP524443 UGL524443 UQH524443 VAD524443 VJZ524443 VTV524443 WDR524443 WNN524443 WXJ524443 BB589979 KX589979 UT589979 AEP589979 AOL589979 AYH589979 BID589979 BRZ589979 CBV589979 CLR589979 CVN589979 DFJ589979 DPF589979 DZB589979 EIX589979 EST589979 FCP589979 FML589979 FWH589979 GGD589979 GPZ589979 GZV589979 HJR589979 HTN589979 IDJ589979 INF589979 IXB589979 JGX589979 JQT589979 KAP589979 KKL589979 KUH589979 LED589979 LNZ589979 LXV589979 MHR589979 MRN589979 NBJ589979 NLF589979 NVB589979 OEX589979 OOT589979 OYP589979 PIL589979 PSH589979 QCD589979 QLZ589979 QVV589979 RFR589979 RPN589979 RZJ589979 SJF589979 STB589979 TCX589979 TMT589979 TWP589979 UGL589979 UQH589979 VAD589979 VJZ589979 VTV589979 WDR589979 WNN589979 WXJ589979 BB655515 KX655515 UT655515 AEP655515 AOL655515 AYH655515 BID655515 BRZ655515 CBV655515 CLR655515 CVN655515 DFJ655515 DPF655515 DZB655515 EIX655515 EST655515 FCP655515 FML655515 FWH655515 GGD655515 GPZ655515 GZV655515 HJR655515 HTN655515 IDJ655515 INF655515 IXB655515 JGX655515 JQT655515 KAP655515 KKL655515 KUH655515 LED655515 LNZ655515 LXV655515 MHR655515 MRN655515 NBJ655515 NLF655515 NVB655515 OEX655515 OOT655515 OYP655515 PIL655515 PSH655515 QCD655515 QLZ655515 QVV655515 RFR655515 RPN655515 RZJ655515 SJF655515 STB655515 TCX655515 TMT655515 TWP655515 UGL655515 UQH655515 VAD655515 VJZ655515 VTV655515 WDR655515 WNN655515 WXJ655515 BB721051 KX721051 UT721051 AEP721051 AOL721051 AYH721051 BID721051 BRZ721051 CBV721051 CLR721051 CVN721051 DFJ721051 DPF721051 DZB721051 EIX721051 EST721051 FCP721051 FML721051 FWH721051 GGD721051 GPZ721051 GZV721051 HJR721051 HTN721051 IDJ721051 INF721051 IXB721051 JGX721051 JQT721051 KAP721051 KKL721051 KUH721051 LED721051 LNZ721051 LXV721051 MHR721051 MRN721051 NBJ721051 NLF721051 NVB721051 OEX721051 OOT721051 OYP721051 PIL721051 PSH721051 QCD721051 QLZ721051 QVV721051 RFR721051 RPN721051 RZJ721051 SJF721051 STB721051 TCX721051 TMT721051 TWP721051 UGL721051 UQH721051 VAD721051 VJZ721051 VTV721051 WDR721051 WNN721051 WXJ721051 BB786587 KX786587 UT786587 AEP786587 AOL786587 AYH786587 BID786587 BRZ786587 CBV786587 CLR786587 CVN786587 DFJ786587 DPF786587 DZB786587 EIX786587 EST786587 FCP786587 FML786587 FWH786587 GGD786587 GPZ786587 GZV786587 HJR786587 HTN786587 IDJ786587 INF786587 IXB786587 JGX786587 JQT786587 KAP786587 KKL786587 KUH786587 LED786587 LNZ786587 LXV786587 MHR786587 MRN786587 NBJ786587 NLF786587 NVB786587 OEX786587 OOT786587 OYP786587 PIL786587 PSH786587 QCD786587 QLZ786587 QVV786587 RFR786587 RPN786587 RZJ786587 SJF786587 STB786587 TCX786587 TMT786587 TWP786587 UGL786587 UQH786587 VAD786587 VJZ786587 VTV786587 WDR786587 WNN786587 WXJ786587 BB852123 KX852123 UT852123 AEP852123 AOL852123 AYH852123 BID852123 BRZ852123 CBV852123 CLR852123 CVN852123 DFJ852123 DPF852123 DZB852123 EIX852123 EST852123 FCP852123 FML852123 FWH852123 GGD852123 GPZ852123 GZV852123 HJR852123 HTN852123 IDJ852123 INF852123 IXB852123 JGX852123 JQT852123 KAP852123 KKL852123 KUH852123 LED852123 LNZ852123 LXV852123 MHR852123 MRN852123 NBJ852123 NLF852123 NVB852123 OEX852123 OOT852123 OYP852123 PIL852123 PSH852123 QCD852123 QLZ852123 QVV852123 RFR852123 RPN852123 RZJ852123 SJF852123 STB852123 TCX852123 TMT852123 TWP852123 UGL852123 UQH852123 VAD852123 VJZ852123 VTV852123 WDR852123 WNN852123 WXJ852123 BB917659 KX917659 UT917659 AEP917659 AOL917659 AYH917659 BID917659 BRZ917659 CBV917659 CLR917659 CVN917659 DFJ917659 DPF917659 DZB917659 EIX917659 EST917659 FCP917659 FML917659 FWH917659 GGD917659 GPZ917659 GZV917659 HJR917659 HTN917659 IDJ917659 INF917659 IXB917659 JGX917659 JQT917659 KAP917659 KKL917659 KUH917659 LED917659 LNZ917659 LXV917659 MHR917659 MRN917659 NBJ917659 NLF917659 NVB917659 OEX917659 OOT917659 OYP917659 PIL917659 PSH917659 QCD917659 QLZ917659 QVV917659 RFR917659 RPN917659 RZJ917659 SJF917659 STB917659 TCX917659 TMT917659 TWP917659 UGL917659 UQH917659 VAD917659 VJZ917659 VTV917659 WDR917659 WNN917659 WXJ917659 BB983195 KX983195 UT983195 AEP983195 AOL983195 AYH983195 BID983195 BRZ983195 CBV983195 CLR983195 CVN983195 DFJ983195 DPF983195 DZB983195 EIX983195 EST983195 FCP983195 FML983195 FWH983195 GGD983195 GPZ983195 GZV983195 HJR983195 HTN983195 IDJ983195 INF983195 IXB983195 JGX983195 JQT983195 KAP983195 KKL983195 KUH983195 LED983195 LNZ983195 LXV983195 MHR983195 MRN983195 NBJ983195 NLF983195 NVB983195 OEX983195 OOT983195 OYP983195 PIL983195 PSH983195 QCD983195 QLZ983195 QVV983195 RFR983195 RPN983195 RZJ983195 SJF983195 STB983195 TCX983195 TMT983195 TWP983195 UGL983195 UQH983195 VAD983195 VJZ983195 VTV983195 WDR983195 WNN983195 WXJ983195">
      <formula1>#REF!</formula1>
    </dataValidation>
    <dataValidation type="list" allowBlank="1" showInputMessage="1" showErrorMessage="1" sqref="KT161:KT163 WXF983201:WXF983203 WNJ983201:WNJ983203 WDN983201:WDN983203 VTR983201:VTR983203 VJV983201:VJV983203 UZZ983201:UZZ983203 UQD983201:UQD983203 UGH983201:UGH983203 TWL983201:TWL983203 TMP983201:TMP983203 TCT983201:TCT983203 SSX983201:SSX983203 SJB983201:SJB983203 RZF983201:RZF983203 RPJ983201:RPJ983203 RFN983201:RFN983203 QVR983201:QVR983203 QLV983201:QLV983203 QBZ983201:QBZ983203 PSD983201:PSD983203 PIH983201:PIH983203 OYL983201:OYL983203 OOP983201:OOP983203 OET983201:OET983203 NUX983201:NUX983203 NLB983201:NLB983203 NBF983201:NBF983203 MRJ983201:MRJ983203 MHN983201:MHN983203 LXR983201:LXR983203 LNV983201:LNV983203 LDZ983201:LDZ983203 KUD983201:KUD983203 KKH983201:KKH983203 KAL983201:KAL983203 JQP983201:JQP983203 JGT983201:JGT983203 IWX983201:IWX983203 INB983201:INB983203 IDF983201:IDF983203 HTJ983201:HTJ983203 HJN983201:HJN983203 GZR983201:GZR983203 GPV983201:GPV983203 GFZ983201:GFZ983203 FWD983201:FWD983203 FMH983201:FMH983203 FCL983201:FCL983203 ESP983201:ESP983203 EIT983201:EIT983203 DYX983201:DYX983203 DPB983201:DPB983203 DFF983201:DFF983203 CVJ983201:CVJ983203 CLN983201:CLN983203 CBR983201:CBR983203 BRV983201:BRV983203 BHZ983201:BHZ983203 AYD983201:AYD983203 AOH983201:AOH983203 AEL983201:AEL983203 UP983201:UP983203 KT983201:KT983203 AX983201:AX983203 WXF917665:WXF917667 WNJ917665:WNJ917667 WDN917665:WDN917667 VTR917665:VTR917667 VJV917665:VJV917667 UZZ917665:UZZ917667 UQD917665:UQD917667 UGH917665:UGH917667 TWL917665:TWL917667 TMP917665:TMP917667 TCT917665:TCT917667 SSX917665:SSX917667 SJB917665:SJB917667 RZF917665:RZF917667 RPJ917665:RPJ917667 RFN917665:RFN917667 QVR917665:QVR917667 QLV917665:QLV917667 QBZ917665:QBZ917667 PSD917665:PSD917667 PIH917665:PIH917667 OYL917665:OYL917667 OOP917665:OOP917667 OET917665:OET917667 NUX917665:NUX917667 NLB917665:NLB917667 NBF917665:NBF917667 MRJ917665:MRJ917667 MHN917665:MHN917667 LXR917665:LXR917667 LNV917665:LNV917667 LDZ917665:LDZ917667 KUD917665:KUD917667 KKH917665:KKH917667 KAL917665:KAL917667 JQP917665:JQP917667 JGT917665:JGT917667 IWX917665:IWX917667 INB917665:INB917667 IDF917665:IDF917667 HTJ917665:HTJ917667 HJN917665:HJN917667 GZR917665:GZR917667 GPV917665:GPV917667 GFZ917665:GFZ917667 FWD917665:FWD917667 FMH917665:FMH917667 FCL917665:FCL917667 ESP917665:ESP917667 EIT917665:EIT917667 DYX917665:DYX917667 DPB917665:DPB917667 DFF917665:DFF917667 CVJ917665:CVJ917667 CLN917665:CLN917667 CBR917665:CBR917667 BRV917665:BRV917667 BHZ917665:BHZ917667 AYD917665:AYD917667 AOH917665:AOH917667 AEL917665:AEL917667 UP917665:UP917667 KT917665:KT917667 AX917665:AX917667 WXF852129:WXF852131 WNJ852129:WNJ852131 WDN852129:WDN852131 VTR852129:VTR852131 VJV852129:VJV852131 UZZ852129:UZZ852131 UQD852129:UQD852131 UGH852129:UGH852131 TWL852129:TWL852131 TMP852129:TMP852131 TCT852129:TCT852131 SSX852129:SSX852131 SJB852129:SJB852131 RZF852129:RZF852131 RPJ852129:RPJ852131 RFN852129:RFN852131 QVR852129:QVR852131 QLV852129:QLV852131 QBZ852129:QBZ852131 PSD852129:PSD852131 PIH852129:PIH852131 OYL852129:OYL852131 OOP852129:OOP852131 OET852129:OET852131 NUX852129:NUX852131 NLB852129:NLB852131 NBF852129:NBF852131 MRJ852129:MRJ852131 MHN852129:MHN852131 LXR852129:LXR852131 LNV852129:LNV852131 LDZ852129:LDZ852131 KUD852129:KUD852131 KKH852129:KKH852131 KAL852129:KAL852131 JQP852129:JQP852131 JGT852129:JGT852131 IWX852129:IWX852131 INB852129:INB852131 IDF852129:IDF852131 HTJ852129:HTJ852131 HJN852129:HJN852131 GZR852129:GZR852131 GPV852129:GPV852131 GFZ852129:GFZ852131 FWD852129:FWD852131 FMH852129:FMH852131 FCL852129:FCL852131 ESP852129:ESP852131 EIT852129:EIT852131 DYX852129:DYX852131 DPB852129:DPB852131 DFF852129:DFF852131 CVJ852129:CVJ852131 CLN852129:CLN852131 CBR852129:CBR852131 BRV852129:BRV852131 BHZ852129:BHZ852131 AYD852129:AYD852131 AOH852129:AOH852131 AEL852129:AEL852131 UP852129:UP852131 KT852129:KT852131 AX852129:AX852131 WXF786593:WXF786595 WNJ786593:WNJ786595 WDN786593:WDN786595 VTR786593:VTR786595 VJV786593:VJV786595 UZZ786593:UZZ786595 UQD786593:UQD786595 UGH786593:UGH786595 TWL786593:TWL786595 TMP786593:TMP786595 TCT786593:TCT786595 SSX786593:SSX786595 SJB786593:SJB786595 RZF786593:RZF786595 RPJ786593:RPJ786595 RFN786593:RFN786595 QVR786593:QVR786595 QLV786593:QLV786595 QBZ786593:QBZ786595 PSD786593:PSD786595 PIH786593:PIH786595 OYL786593:OYL786595 OOP786593:OOP786595 OET786593:OET786595 NUX786593:NUX786595 NLB786593:NLB786595 NBF786593:NBF786595 MRJ786593:MRJ786595 MHN786593:MHN786595 LXR786593:LXR786595 LNV786593:LNV786595 LDZ786593:LDZ786595 KUD786593:KUD786595 KKH786593:KKH786595 KAL786593:KAL786595 JQP786593:JQP786595 JGT786593:JGT786595 IWX786593:IWX786595 INB786593:INB786595 IDF786593:IDF786595 HTJ786593:HTJ786595 HJN786593:HJN786595 GZR786593:GZR786595 GPV786593:GPV786595 GFZ786593:GFZ786595 FWD786593:FWD786595 FMH786593:FMH786595 FCL786593:FCL786595 ESP786593:ESP786595 EIT786593:EIT786595 DYX786593:DYX786595 DPB786593:DPB786595 DFF786593:DFF786595 CVJ786593:CVJ786595 CLN786593:CLN786595 CBR786593:CBR786595 BRV786593:BRV786595 BHZ786593:BHZ786595 AYD786593:AYD786595 AOH786593:AOH786595 AEL786593:AEL786595 UP786593:UP786595 KT786593:KT786595 AX786593:AX786595 WXF721057:WXF721059 WNJ721057:WNJ721059 WDN721057:WDN721059 VTR721057:VTR721059 VJV721057:VJV721059 UZZ721057:UZZ721059 UQD721057:UQD721059 UGH721057:UGH721059 TWL721057:TWL721059 TMP721057:TMP721059 TCT721057:TCT721059 SSX721057:SSX721059 SJB721057:SJB721059 RZF721057:RZF721059 RPJ721057:RPJ721059 RFN721057:RFN721059 QVR721057:QVR721059 QLV721057:QLV721059 QBZ721057:QBZ721059 PSD721057:PSD721059 PIH721057:PIH721059 OYL721057:OYL721059 OOP721057:OOP721059 OET721057:OET721059 NUX721057:NUX721059 NLB721057:NLB721059 NBF721057:NBF721059 MRJ721057:MRJ721059 MHN721057:MHN721059 LXR721057:LXR721059 LNV721057:LNV721059 LDZ721057:LDZ721059 KUD721057:KUD721059 KKH721057:KKH721059 KAL721057:KAL721059 JQP721057:JQP721059 JGT721057:JGT721059 IWX721057:IWX721059 INB721057:INB721059 IDF721057:IDF721059 HTJ721057:HTJ721059 HJN721057:HJN721059 GZR721057:GZR721059 GPV721057:GPV721059 GFZ721057:GFZ721059 FWD721057:FWD721059 FMH721057:FMH721059 FCL721057:FCL721059 ESP721057:ESP721059 EIT721057:EIT721059 DYX721057:DYX721059 DPB721057:DPB721059 DFF721057:DFF721059 CVJ721057:CVJ721059 CLN721057:CLN721059 CBR721057:CBR721059 BRV721057:BRV721059 BHZ721057:BHZ721059 AYD721057:AYD721059 AOH721057:AOH721059 AEL721057:AEL721059 UP721057:UP721059 KT721057:KT721059 AX721057:AX721059 WXF655521:WXF655523 WNJ655521:WNJ655523 WDN655521:WDN655523 VTR655521:VTR655523 VJV655521:VJV655523 UZZ655521:UZZ655523 UQD655521:UQD655523 UGH655521:UGH655523 TWL655521:TWL655523 TMP655521:TMP655523 TCT655521:TCT655523 SSX655521:SSX655523 SJB655521:SJB655523 RZF655521:RZF655523 RPJ655521:RPJ655523 RFN655521:RFN655523 QVR655521:QVR655523 QLV655521:QLV655523 QBZ655521:QBZ655523 PSD655521:PSD655523 PIH655521:PIH655523 OYL655521:OYL655523 OOP655521:OOP655523 OET655521:OET655523 NUX655521:NUX655523 NLB655521:NLB655523 NBF655521:NBF655523 MRJ655521:MRJ655523 MHN655521:MHN655523 LXR655521:LXR655523 LNV655521:LNV655523 LDZ655521:LDZ655523 KUD655521:KUD655523 KKH655521:KKH655523 KAL655521:KAL655523 JQP655521:JQP655523 JGT655521:JGT655523 IWX655521:IWX655523 INB655521:INB655523 IDF655521:IDF655523 HTJ655521:HTJ655523 HJN655521:HJN655523 GZR655521:GZR655523 GPV655521:GPV655523 GFZ655521:GFZ655523 FWD655521:FWD655523 FMH655521:FMH655523 FCL655521:FCL655523 ESP655521:ESP655523 EIT655521:EIT655523 DYX655521:DYX655523 DPB655521:DPB655523 DFF655521:DFF655523 CVJ655521:CVJ655523 CLN655521:CLN655523 CBR655521:CBR655523 BRV655521:BRV655523 BHZ655521:BHZ655523 AYD655521:AYD655523 AOH655521:AOH655523 AEL655521:AEL655523 UP655521:UP655523 KT655521:KT655523 AX655521:AX655523 WXF589985:WXF589987 WNJ589985:WNJ589987 WDN589985:WDN589987 VTR589985:VTR589987 VJV589985:VJV589987 UZZ589985:UZZ589987 UQD589985:UQD589987 UGH589985:UGH589987 TWL589985:TWL589987 TMP589985:TMP589987 TCT589985:TCT589987 SSX589985:SSX589987 SJB589985:SJB589987 RZF589985:RZF589987 RPJ589985:RPJ589987 RFN589985:RFN589987 QVR589985:QVR589987 QLV589985:QLV589987 QBZ589985:QBZ589987 PSD589985:PSD589987 PIH589985:PIH589987 OYL589985:OYL589987 OOP589985:OOP589987 OET589985:OET589987 NUX589985:NUX589987 NLB589985:NLB589987 NBF589985:NBF589987 MRJ589985:MRJ589987 MHN589985:MHN589987 LXR589985:LXR589987 LNV589985:LNV589987 LDZ589985:LDZ589987 KUD589985:KUD589987 KKH589985:KKH589987 KAL589985:KAL589987 JQP589985:JQP589987 JGT589985:JGT589987 IWX589985:IWX589987 INB589985:INB589987 IDF589985:IDF589987 HTJ589985:HTJ589987 HJN589985:HJN589987 GZR589985:GZR589987 GPV589985:GPV589987 GFZ589985:GFZ589987 FWD589985:FWD589987 FMH589985:FMH589987 FCL589985:FCL589987 ESP589985:ESP589987 EIT589985:EIT589987 DYX589985:DYX589987 DPB589985:DPB589987 DFF589985:DFF589987 CVJ589985:CVJ589987 CLN589985:CLN589987 CBR589985:CBR589987 BRV589985:BRV589987 BHZ589985:BHZ589987 AYD589985:AYD589987 AOH589985:AOH589987 AEL589985:AEL589987 UP589985:UP589987 KT589985:KT589987 AX589985:AX589987 WXF524449:WXF524451 WNJ524449:WNJ524451 WDN524449:WDN524451 VTR524449:VTR524451 VJV524449:VJV524451 UZZ524449:UZZ524451 UQD524449:UQD524451 UGH524449:UGH524451 TWL524449:TWL524451 TMP524449:TMP524451 TCT524449:TCT524451 SSX524449:SSX524451 SJB524449:SJB524451 RZF524449:RZF524451 RPJ524449:RPJ524451 RFN524449:RFN524451 QVR524449:QVR524451 QLV524449:QLV524451 QBZ524449:QBZ524451 PSD524449:PSD524451 PIH524449:PIH524451 OYL524449:OYL524451 OOP524449:OOP524451 OET524449:OET524451 NUX524449:NUX524451 NLB524449:NLB524451 NBF524449:NBF524451 MRJ524449:MRJ524451 MHN524449:MHN524451 LXR524449:LXR524451 LNV524449:LNV524451 LDZ524449:LDZ524451 KUD524449:KUD524451 KKH524449:KKH524451 KAL524449:KAL524451 JQP524449:JQP524451 JGT524449:JGT524451 IWX524449:IWX524451 INB524449:INB524451 IDF524449:IDF524451 HTJ524449:HTJ524451 HJN524449:HJN524451 GZR524449:GZR524451 GPV524449:GPV524451 GFZ524449:GFZ524451 FWD524449:FWD524451 FMH524449:FMH524451 FCL524449:FCL524451 ESP524449:ESP524451 EIT524449:EIT524451 DYX524449:DYX524451 DPB524449:DPB524451 DFF524449:DFF524451 CVJ524449:CVJ524451 CLN524449:CLN524451 CBR524449:CBR524451 BRV524449:BRV524451 BHZ524449:BHZ524451 AYD524449:AYD524451 AOH524449:AOH524451 AEL524449:AEL524451 UP524449:UP524451 KT524449:KT524451 AX524449:AX524451 WXF458913:WXF458915 WNJ458913:WNJ458915 WDN458913:WDN458915 VTR458913:VTR458915 VJV458913:VJV458915 UZZ458913:UZZ458915 UQD458913:UQD458915 UGH458913:UGH458915 TWL458913:TWL458915 TMP458913:TMP458915 TCT458913:TCT458915 SSX458913:SSX458915 SJB458913:SJB458915 RZF458913:RZF458915 RPJ458913:RPJ458915 RFN458913:RFN458915 QVR458913:QVR458915 QLV458913:QLV458915 QBZ458913:QBZ458915 PSD458913:PSD458915 PIH458913:PIH458915 OYL458913:OYL458915 OOP458913:OOP458915 OET458913:OET458915 NUX458913:NUX458915 NLB458913:NLB458915 NBF458913:NBF458915 MRJ458913:MRJ458915 MHN458913:MHN458915 LXR458913:LXR458915 LNV458913:LNV458915 LDZ458913:LDZ458915 KUD458913:KUD458915 KKH458913:KKH458915 KAL458913:KAL458915 JQP458913:JQP458915 JGT458913:JGT458915 IWX458913:IWX458915 INB458913:INB458915 IDF458913:IDF458915 HTJ458913:HTJ458915 HJN458913:HJN458915 GZR458913:GZR458915 GPV458913:GPV458915 GFZ458913:GFZ458915 FWD458913:FWD458915 FMH458913:FMH458915 FCL458913:FCL458915 ESP458913:ESP458915 EIT458913:EIT458915 DYX458913:DYX458915 DPB458913:DPB458915 DFF458913:DFF458915 CVJ458913:CVJ458915 CLN458913:CLN458915 CBR458913:CBR458915 BRV458913:BRV458915 BHZ458913:BHZ458915 AYD458913:AYD458915 AOH458913:AOH458915 AEL458913:AEL458915 UP458913:UP458915 KT458913:KT458915 AX458913:AX458915 WXF393377:WXF393379 WNJ393377:WNJ393379 WDN393377:WDN393379 VTR393377:VTR393379 VJV393377:VJV393379 UZZ393377:UZZ393379 UQD393377:UQD393379 UGH393377:UGH393379 TWL393377:TWL393379 TMP393377:TMP393379 TCT393377:TCT393379 SSX393377:SSX393379 SJB393377:SJB393379 RZF393377:RZF393379 RPJ393377:RPJ393379 RFN393377:RFN393379 QVR393377:QVR393379 QLV393377:QLV393379 QBZ393377:QBZ393379 PSD393377:PSD393379 PIH393377:PIH393379 OYL393377:OYL393379 OOP393377:OOP393379 OET393377:OET393379 NUX393377:NUX393379 NLB393377:NLB393379 NBF393377:NBF393379 MRJ393377:MRJ393379 MHN393377:MHN393379 LXR393377:LXR393379 LNV393377:LNV393379 LDZ393377:LDZ393379 KUD393377:KUD393379 KKH393377:KKH393379 KAL393377:KAL393379 JQP393377:JQP393379 JGT393377:JGT393379 IWX393377:IWX393379 INB393377:INB393379 IDF393377:IDF393379 HTJ393377:HTJ393379 HJN393377:HJN393379 GZR393377:GZR393379 GPV393377:GPV393379 GFZ393377:GFZ393379 FWD393377:FWD393379 FMH393377:FMH393379 FCL393377:FCL393379 ESP393377:ESP393379 EIT393377:EIT393379 DYX393377:DYX393379 DPB393377:DPB393379 DFF393377:DFF393379 CVJ393377:CVJ393379 CLN393377:CLN393379 CBR393377:CBR393379 BRV393377:BRV393379 BHZ393377:BHZ393379 AYD393377:AYD393379 AOH393377:AOH393379 AEL393377:AEL393379 UP393377:UP393379 KT393377:KT393379 AX393377:AX393379 WXF327841:WXF327843 WNJ327841:WNJ327843 WDN327841:WDN327843 VTR327841:VTR327843 VJV327841:VJV327843 UZZ327841:UZZ327843 UQD327841:UQD327843 UGH327841:UGH327843 TWL327841:TWL327843 TMP327841:TMP327843 TCT327841:TCT327843 SSX327841:SSX327843 SJB327841:SJB327843 RZF327841:RZF327843 RPJ327841:RPJ327843 RFN327841:RFN327843 QVR327841:QVR327843 QLV327841:QLV327843 QBZ327841:QBZ327843 PSD327841:PSD327843 PIH327841:PIH327843 OYL327841:OYL327843 OOP327841:OOP327843 OET327841:OET327843 NUX327841:NUX327843 NLB327841:NLB327843 NBF327841:NBF327843 MRJ327841:MRJ327843 MHN327841:MHN327843 LXR327841:LXR327843 LNV327841:LNV327843 LDZ327841:LDZ327843 KUD327841:KUD327843 KKH327841:KKH327843 KAL327841:KAL327843 JQP327841:JQP327843 JGT327841:JGT327843 IWX327841:IWX327843 INB327841:INB327843 IDF327841:IDF327843 HTJ327841:HTJ327843 HJN327841:HJN327843 GZR327841:GZR327843 GPV327841:GPV327843 GFZ327841:GFZ327843 FWD327841:FWD327843 FMH327841:FMH327843 FCL327841:FCL327843 ESP327841:ESP327843 EIT327841:EIT327843 DYX327841:DYX327843 DPB327841:DPB327843 DFF327841:DFF327843 CVJ327841:CVJ327843 CLN327841:CLN327843 CBR327841:CBR327843 BRV327841:BRV327843 BHZ327841:BHZ327843 AYD327841:AYD327843 AOH327841:AOH327843 AEL327841:AEL327843 UP327841:UP327843 KT327841:KT327843 AX327841:AX327843 WXF262305:WXF262307 WNJ262305:WNJ262307 WDN262305:WDN262307 VTR262305:VTR262307 VJV262305:VJV262307 UZZ262305:UZZ262307 UQD262305:UQD262307 UGH262305:UGH262307 TWL262305:TWL262307 TMP262305:TMP262307 TCT262305:TCT262307 SSX262305:SSX262307 SJB262305:SJB262307 RZF262305:RZF262307 RPJ262305:RPJ262307 RFN262305:RFN262307 QVR262305:QVR262307 QLV262305:QLV262307 QBZ262305:QBZ262307 PSD262305:PSD262307 PIH262305:PIH262307 OYL262305:OYL262307 OOP262305:OOP262307 OET262305:OET262307 NUX262305:NUX262307 NLB262305:NLB262307 NBF262305:NBF262307 MRJ262305:MRJ262307 MHN262305:MHN262307 LXR262305:LXR262307 LNV262305:LNV262307 LDZ262305:LDZ262307 KUD262305:KUD262307 KKH262305:KKH262307 KAL262305:KAL262307 JQP262305:JQP262307 JGT262305:JGT262307 IWX262305:IWX262307 INB262305:INB262307 IDF262305:IDF262307 HTJ262305:HTJ262307 HJN262305:HJN262307 GZR262305:GZR262307 GPV262305:GPV262307 GFZ262305:GFZ262307 FWD262305:FWD262307 FMH262305:FMH262307 FCL262305:FCL262307 ESP262305:ESP262307 EIT262305:EIT262307 DYX262305:DYX262307 DPB262305:DPB262307 DFF262305:DFF262307 CVJ262305:CVJ262307 CLN262305:CLN262307 CBR262305:CBR262307 BRV262305:BRV262307 BHZ262305:BHZ262307 AYD262305:AYD262307 AOH262305:AOH262307 AEL262305:AEL262307 UP262305:UP262307 KT262305:KT262307 AX262305:AX262307 WXF196769:WXF196771 WNJ196769:WNJ196771 WDN196769:WDN196771 VTR196769:VTR196771 VJV196769:VJV196771 UZZ196769:UZZ196771 UQD196769:UQD196771 UGH196769:UGH196771 TWL196769:TWL196771 TMP196769:TMP196771 TCT196769:TCT196771 SSX196769:SSX196771 SJB196769:SJB196771 RZF196769:RZF196771 RPJ196769:RPJ196771 RFN196769:RFN196771 QVR196769:QVR196771 QLV196769:QLV196771 QBZ196769:QBZ196771 PSD196769:PSD196771 PIH196769:PIH196771 OYL196769:OYL196771 OOP196769:OOP196771 OET196769:OET196771 NUX196769:NUX196771 NLB196769:NLB196771 NBF196769:NBF196771 MRJ196769:MRJ196771 MHN196769:MHN196771 LXR196769:LXR196771 LNV196769:LNV196771 LDZ196769:LDZ196771 KUD196769:KUD196771 KKH196769:KKH196771 KAL196769:KAL196771 JQP196769:JQP196771 JGT196769:JGT196771 IWX196769:IWX196771 INB196769:INB196771 IDF196769:IDF196771 HTJ196769:HTJ196771 HJN196769:HJN196771 GZR196769:GZR196771 GPV196769:GPV196771 GFZ196769:GFZ196771 FWD196769:FWD196771 FMH196769:FMH196771 FCL196769:FCL196771 ESP196769:ESP196771 EIT196769:EIT196771 DYX196769:DYX196771 DPB196769:DPB196771 DFF196769:DFF196771 CVJ196769:CVJ196771 CLN196769:CLN196771 CBR196769:CBR196771 BRV196769:BRV196771 BHZ196769:BHZ196771 AYD196769:AYD196771 AOH196769:AOH196771 AEL196769:AEL196771 UP196769:UP196771 KT196769:KT196771 AX196769:AX196771 WXF131233:WXF131235 WNJ131233:WNJ131235 WDN131233:WDN131235 VTR131233:VTR131235 VJV131233:VJV131235 UZZ131233:UZZ131235 UQD131233:UQD131235 UGH131233:UGH131235 TWL131233:TWL131235 TMP131233:TMP131235 TCT131233:TCT131235 SSX131233:SSX131235 SJB131233:SJB131235 RZF131233:RZF131235 RPJ131233:RPJ131235 RFN131233:RFN131235 QVR131233:QVR131235 QLV131233:QLV131235 QBZ131233:QBZ131235 PSD131233:PSD131235 PIH131233:PIH131235 OYL131233:OYL131235 OOP131233:OOP131235 OET131233:OET131235 NUX131233:NUX131235 NLB131233:NLB131235 NBF131233:NBF131235 MRJ131233:MRJ131235 MHN131233:MHN131235 LXR131233:LXR131235 LNV131233:LNV131235 LDZ131233:LDZ131235 KUD131233:KUD131235 KKH131233:KKH131235 KAL131233:KAL131235 JQP131233:JQP131235 JGT131233:JGT131235 IWX131233:IWX131235 INB131233:INB131235 IDF131233:IDF131235 HTJ131233:HTJ131235 HJN131233:HJN131235 GZR131233:GZR131235 GPV131233:GPV131235 GFZ131233:GFZ131235 FWD131233:FWD131235 FMH131233:FMH131235 FCL131233:FCL131235 ESP131233:ESP131235 EIT131233:EIT131235 DYX131233:DYX131235 DPB131233:DPB131235 DFF131233:DFF131235 CVJ131233:CVJ131235 CLN131233:CLN131235 CBR131233:CBR131235 BRV131233:BRV131235 BHZ131233:BHZ131235 AYD131233:AYD131235 AOH131233:AOH131235 AEL131233:AEL131235 UP131233:UP131235 KT131233:KT131235 AX131233:AX131235 WXF65697:WXF65699 WNJ65697:WNJ65699 WDN65697:WDN65699 VTR65697:VTR65699 VJV65697:VJV65699 UZZ65697:UZZ65699 UQD65697:UQD65699 UGH65697:UGH65699 TWL65697:TWL65699 TMP65697:TMP65699 TCT65697:TCT65699 SSX65697:SSX65699 SJB65697:SJB65699 RZF65697:RZF65699 RPJ65697:RPJ65699 RFN65697:RFN65699 QVR65697:QVR65699 QLV65697:QLV65699 QBZ65697:QBZ65699 PSD65697:PSD65699 PIH65697:PIH65699 OYL65697:OYL65699 OOP65697:OOP65699 OET65697:OET65699 NUX65697:NUX65699 NLB65697:NLB65699 NBF65697:NBF65699 MRJ65697:MRJ65699 MHN65697:MHN65699 LXR65697:LXR65699 LNV65697:LNV65699 LDZ65697:LDZ65699 KUD65697:KUD65699 KKH65697:KKH65699 KAL65697:KAL65699 JQP65697:JQP65699 JGT65697:JGT65699 IWX65697:IWX65699 INB65697:INB65699 IDF65697:IDF65699 HTJ65697:HTJ65699 HJN65697:HJN65699 GZR65697:GZR65699 GPV65697:GPV65699 GFZ65697:GFZ65699 FWD65697:FWD65699 FMH65697:FMH65699 FCL65697:FCL65699 ESP65697:ESP65699 EIT65697:EIT65699 DYX65697:DYX65699 DPB65697:DPB65699 DFF65697:DFF65699 CVJ65697:CVJ65699 CLN65697:CLN65699 CBR65697:CBR65699 BRV65697:BRV65699 BHZ65697:BHZ65699 AYD65697:AYD65699 AOH65697:AOH65699 AEL65697:AEL65699 UP65697:UP65699 KT65697:KT65699 AX65697:AX65699 WXF161:WXF163 WNJ161:WNJ163 WDN161:WDN163 VTR161:VTR163 VJV161:VJV163 UZZ161:UZZ163 UQD161:UQD163 UGH161:UGH163 TWL161:TWL163 TMP161:TMP163 TCT161:TCT163 SSX161:SSX163 SJB161:SJB163 RZF161:RZF163 RPJ161:RPJ163 RFN161:RFN163 QVR161:QVR163 QLV161:QLV163 QBZ161:QBZ163 PSD161:PSD163 PIH161:PIH163 OYL161:OYL163 OOP161:OOP163 OET161:OET163 NUX161:NUX163 NLB161:NLB163 NBF161:NBF163 MRJ161:MRJ163 MHN161:MHN163 LXR161:LXR163 LNV161:LNV163 LDZ161:LDZ163 KUD161:KUD163 KKH161:KKH163 KAL161:KAL163 JQP161:JQP163 JGT161:JGT163 IWX161:IWX163 INB161:INB163 IDF161:IDF163 HTJ161:HTJ163 HJN161:HJN163 GZR161:GZR163 GPV161:GPV163 GFZ161:GFZ163 FWD161:FWD163 FMH161:FMH163 FCL161:FCL163 ESP161:ESP163 EIT161:EIT163 DYX161:DYX163 DPB161:DPB163 DFF161:DFF163 CVJ161:CVJ163 CLN161:CLN163 CBR161:CBR163 BRV161:BRV163 BHZ161:BHZ163 AYD161:AYD163 AOH161:AOH163 AEL161:AEL163 UP161:UP163">
      <formula1>$AV$147:$AV$148</formula1>
    </dataValidation>
    <dataValidation type="list" allowBlank="1" showInputMessage="1" showErrorMessage="1" sqref="KY157 WXK983197 WNO983197 WDS983197 VTW983197 VKA983197 VAE983197 UQI983197 UGM983197 TWQ983197 TMU983197 TCY983197 STC983197 SJG983197 RZK983197 RPO983197 RFS983197 QVW983197 QMA983197 QCE983197 PSI983197 PIM983197 OYQ983197 OOU983197 OEY983197 NVC983197 NLG983197 NBK983197 MRO983197 MHS983197 LXW983197 LOA983197 LEE983197 KUI983197 KKM983197 KAQ983197 JQU983197 JGY983197 IXC983197 ING983197 IDK983197 HTO983197 HJS983197 GZW983197 GQA983197 GGE983197 FWI983197 FMM983197 FCQ983197 ESU983197 EIY983197 DZC983197 DPG983197 DFK983197 CVO983197 CLS983197 CBW983197 BSA983197 BIE983197 AYI983197 AOM983197 AEQ983197 UU983197 KY983197 BC983197 WXK917661 WNO917661 WDS917661 VTW917661 VKA917661 VAE917661 UQI917661 UGM917661 TWQ917661 TMU917661 TCY917661 STC917661 SJG917661 RZK917661 RPO917661 RFS917661 QVW917661 QMA917661 QCE917661 PSI917661 PIM917661 OYQ917661 OOU917661 OEY917661 NVC917661 NLG917661 NBK917661 MRO917661 MHS917661 LXW917661 LOA917661 LEE917661 KUI917661 KKM917661 KAQ917661 JQU917661 JGY917661 IXC917661 ING917661 IDK917661 HTO917661 HJS917661 GZW917661 GQA917661 GGE917661 FWI917661 FMM917661 FCQ917661 ESU917661 EIY917661 DZC917661 DPG917661 DFK917661 CVO917661 CLS917661 CBW917661 BSA917661 BIE917661 AYI917661 AOM917661 AEQ917661 UU917661 KY917661 BC917661 WXK852125 WNO852125 WDS852125 VTW852125 VKA852125 VAE852125 UQI852125 UGM852125 TWQ852125 TMU852125 TCY852125 STC852125 SJG852125 RZK852125 RPO852125 RFS852125 QVW852125 QMA852125 QCE852125 PSI852125 PIM852125 OYQ852125 OOU852125 OEY852125 NVC852125 NLG852125 NBK852125 MRO852125 MHS852125 LXW852125 LOA852125 LEE852125 KUI852125 KKM852125 KAQ852125 JQU852125 JGY852125 IXC852125 ING852125 IDK852125 HTO852125 HJS852125 GZW852125 GQA852125 GGE852125 FWI852125 FMM852125 FCQ852125 ESU852125 EIY852125 DZC852125 DPG852125 DFK852125 CVO852125 CLS852125 CBW852125 BSA852125 BIE852125 AYI852125 AOM852125 AEQ852125 UU852125 KY852125 BC852125 WXK786589 WNO786589 WDS786589 VTW786589 VKA786589 VAE786589 UQI786589 UGM786589 TWQ786589 TMU786589 TCY786589 STC786589 SJG786589 RZK786589 RPO786589 RFS786589 QVW786589 QMA786589 QCE786589 PSI786589 PIM786589 OYQ786589 OOU786589 OEY786589 NVC786589 NLG786589 NBK786589 MRO786589 MHS786589 LXW786589 LOA786589 LEE786589 KUI786589 KKM786589 KAQ786589 JQU786589 JGY786589 IXC786589 ING786589 IDK786589 HTO786589 HJS786589 GZW786589 GQA786589 GGE786589 FWI786589 FMM786589 FCQ786589 ESU786589 EIY786589 DZC786589 DPG786589 DFK786589 CVO786589 CLS786589 CBW786589 BSA786589 BIE786589 AYI786589 AOM786589 AEQ786589 UU786589 KY786589 BC786589 WXK721053 WNO721053 WDS721053 VTW721053 VKA721053 VAE721053 UQI721053 UGM721053 TWQ721053 TMU721053 TCY721053 STC721053 SJG721053 RZK721053 RPO721053 RFS721053 QVW721053 QMA721053 QCE721053 PSI721053 PIM721053 OYQ721053 OOU721053 OEY721053 NVC721053 NLG721053 NBK721053 MRO721053 MHS721053 LXW721053 LOA721053 LEE721053 KUI721053 KKM721053 KAQ721053 JQU721053 JGY721053 IXC721053 ING721053 IDK721053 HTO721053 HJS721053 GZW721053 GQA721053 GGE721053 FWI721053 FMM721053 FCQ721053 ESU721053 EIY721053 DZC721053 DPG721053 DFK721053 CVO721053 CLS721053 CBW721053 BSA721053 BIE721053 AYI721053 AOM721053 AEQ721053 UU721053 KY721053 BC721053 WXK655517 WNO655517 WDS655517 VTW655517 VKA655517 VAE655517 UQI655517 UGM655517 TWQ655517 TMU655517 TCY655517 STC655517 SJG655517 RZK655517 RPO655517 RFS655517 QVW655517 QMA655517 QCE655517 PSI655517 PIM655517 OYQ655517 OOU655517 OEY655517 NVC655517 NLG655517 NBK655517 MRO655517 MHS655517 LXW655517 LOA655517 LEE655517 KUI655517 KKM655517 KAQ655517 JQU655517 JGY655517 IXC655517 ING655517 IDK655517 HTO655517 HJS655517 GZW655517 GQA655517 GGE655517 FWI655517 FMM655517 FCQ655517 ESU655517 EIY655517 DZC655517 DPG655517 DFK655517 CVO655517 CLS655517 CBW655517 BSA655517 BIE655517 AYI655517 AOM655517 AEQ655517 UU655517 KY655517 BC655517 WXK589981 WNO589981 WDS589981 VTW589981 VKA589981 VAE589981 UQI589981 UGM589981 TWQ589981 TMU589981 TCY589981 STC589981 SJG589981 RZK589981 RPO589981 RFS589981 QVW589981 QMA589981 QCE589981 PSI589981 PIM589981 OYQ589981 OOU589981 OEY589981 NVC589981 NLG589981 NBK589981 MRO589981 MHS589981 LXW589981 LOA589981 LEE589981 KUI589981 KKM589981 KAQ589981 JQU589981 JGY589981 IXC589981 ING589981 IDK589981 HTO589981 HJS589981 GZW589981 GQA589981 GGE589981 FWI589981 FMM589981 FCQ589981 ESU589981 EIY589981 DZC589981 DPG589981 DFK589981 CVO589981 CLS589981 CBW589981 BSA589981 BIE589981 AYI589981 AOM589981 AEQ589981 UU589981 KY589981 BC589981 WXK524445 WNO524445 WDS524445 VTW524445 VKA524445 VAE524445 UQI524445 UGM524445 TWQ524445 TMU524445 TCY524445 STC524445 SJG524445 RZK524445 RPO524445 RFS524445 QVW524445 QMA524445 QCE524445 PSI524445 PIM524445 OYQ524445 OOU524445 OEY524445 NVC524445 NLG524445 NBK524445 MRO524445 MHS524445 LXW524445 LOA524445 LEE524445 KUI524445 KKM524445 KAQ524445 JQU524445 JGY524445 IXC524445 ING524445 IDK524445 HTO524445 HJS524445 GZW524445 GQA524445 GGE524445 FWI524445 FMM524445 FCQ524445 ESU524445 EIY524445 DZC524445 DPG524445 DFK524445 CVO524445 CLS524445 CBW524445 BSA524445 BIE524445 AYI524445 AOM524445 AEQ524445 UU524445 KY524445 BC524445 WXK458909 WNO458909 WDS458909 VTW458909 VKA458909 VAE458909 UQI458909 UGM458909 TWQ458909 TMU458909 TCY458909 STC458909 SJG458909 RZK458909 RPO458909 RFS458909 QVW458909 QMA458909 QCE458909 PSI458909 PIM458909 OYQ458909 OOU458909 OEY458909 NVC458909 NLG458909 NBK458909 MRO458909 MHS458909 LXW458909 LOA458909 LEE458909 KUI458909 KKM458909 KAQ458909 JQU458909 JGY458909 IXC458909 ING458909 IDK458909 HTO458909 HJS458909 GZW458909 GQA458909 GGE458909 FWI458909 FMM458909 FCQ458909 ESU458909 EIY458909 DZC458909 DPG458909 DFK458909 CVO458909 CLS458909 CBW458909 BSA458909 BIE458909 AYI458909 AOM458909 AEQ458909 UU458909 KY458909 BC458909 WXK393373 WNO393373 WDS393373 VTW393373 VKA393373 VAE393373 UQI393373 UGM393373 TWQ393373 TMU393373 TCY393373 STC393373 SJG393373 RZK393373 RPO393373 RFS393373 QVW393373 QMA393373 QCE393373 PSI393373 PIM393373 OYQ393373 OOU393373 OEY393373 NVC393373 NLG393373 NBK393373 MRO393373 MHS393373 LXW393373 LOA393373 LEE393373 KUI393373 KKM393373 KAQ393373 JQU393373 JGY393373 IXC393373 ING393373 IDK393373 HTO393373 HJS393373 GZW393373 GQA393373 GGE393373 FWI393373 FMM393373 FCQ393373 ESU393373 EIY393373 DZC393373 DPG393373 DFK393373 CVO393373 CLS393373 CBW393373 BSA393373 BIE393373 AYI393373 AOM393373 AEQ393373 UU393373 KY393373 BC393373 WXK327837 WNO327837 WDS327837 VTW327837 VKA327837 VAE327837 UQI327837 UGM327837 TWQ327837 TMU327837 TCY327837 STC327837 SJG327837 RZK327837 RPO327837 RFS327837 QVW327837 QMA327837 QCE327837 PSI327837 PIM327837 OYQ327837 OOU327837 OEY327837 NVC327837 NLG327837 NBK327837 MRO327837 MHS327837 LXW327837 LOA327837 LEE327837 KUI327837 KKM327837 KAQ327837 JQU327837 JGY327837 IXC327837 ING327837 IDK327837 HTO327837 HJS327837 GZW327837 GQA327837 GGE327837 FWI327837 FMM327837 FCQ327837 ESU327837 EIY327837 DZC327837 DPG327837 DFK327837 CVO327837 CLS327837 CBW327837 BSA327837 BIE327837 AYI327837 AOM327837 AEQ327837 UU327837 KY327837 BC327837 WXK262301 WNO262301 WDS262301 VTW262301 VKA262301 VAE262301 UQI262301 UGM262301 TWQ262301 TMU262301 TCY262301 STC262301 SJG262301 RZK262301 RPO262301 RFS262301 QVW262301 QMA262301 QCE262301 PSI262301 PIM262301 OYQ262301 OOU262301 OEY262301 NVC262301 NLG262301 NBK262301 MRO262301 MHS262301 LXW262301 LOA262301 LEE262301 KUI262301 KKM262301 KAQ262301 JQU262301 JGY262301 IXC262301 ING262301 IDK262301 HTO262301 HJS262301 GZW262301 GQA262301 GGE262301 FWI262301 FMM262301 FCQ262301 ESU262301 EIY262301 DZC262301 DPG262301 DFK262301 CVO262301 CLS262301 CBW262301 BSA262301 BIE262301 AYI262301 AOM262301 AEQ262301 UU262301 KY262301 BC262301 WXK196765 WNO196765 WDS196765 VTW196765 VKA196765 VAE196765 UQI196765 UGM196765 TWQ196765 TMU196765 TCY196765 STC196765 SJG196765 RZK196765 RPO196765 RFS196765 QVW196765 QMA196765 QCE196765 PSI196765 PIM196765 OYQ196765 OOU196765 OEY196765 NVC196765 NLG196765 NBK196765 MRO196765 MHS196765 LXW196765 LOA196765 LEE196765 KUI196765 KKM196765 KAQ196765 JQU196765 JGY196765 IXC196765 ING196765 IDK196765 HTO196765 HJS196765 GZW196765 GQA196765 GGE196765 FWI196765 FMM196765 FCQ196765 ESU196765 EIY196765 DZC196765 DPG196765 DFK196765 CVO196765 CLS196765 CBW196765 BSA196765 BIE196765 AYI196765 AOM196765 AEQ196765 UU196765 KY196765 BC196765 WXK131229 WNO131229 WDS131229 VTW131229 VKA131229 VAE131229 UQI131229 UGM131229 TWQ131229 TMU131229 TCY131229 STC131229 SJG131229 RZK131229 RPO131229 RFS131229 QVW131229 QMA131229 QCE131229 PSI131229 PIM131229 OYQ131229 OOU131229 OEY131229 NVC131229 NLG131229 NBK131229 MRO131229 MHS131229 LXW131229 LOA131229 LEE131229 KUI131229 KKM131229 KAQ131229 JQU131229 JGY131229 IXC131229 ING131229 IDK131229 HTO131229 HJS131229 GZW131229 GQA131229 GGE131229 FWI131229 FMM131229 FCQ131229 ESU131229 EIY131229 DZC131229 DPG131229 DFK131229 CVO131229 CLS131229 CBW131229 BSA131229 BIE131229 AYI131229 AOM131229 AEQ131229 UU131229 KY131229 BC131229 WXK65693 WNO65693 WDS65693 VTW65693 VKA65693 VAE65693 UQI65693 UGM65693 TWQ65693 TMU65693 TCY65693 STC65693 SJG65693 RZK65693 RPO65693 RFS65693 QVW65693 QMA65693 QCE65693 PSI65693 PIM65693 OYQ65693 OOU65693 OEY65693 NVC65693 NLG65693 NBK65693 MRO65693 MHS65693 LXW65693 LOA65693 LEE65693 KUI65693 KKM65693 KAQ65693 JQU65693 JGY65693 IXC65693 ING65693 IDK65693 HTO65693 HJS65693 GZW65693 GQA65693 GGE65693 FWI65693 FMM65693 FCQ65693 ESU65693 EIY65693 DZC65693 DPG65693 DFK65693 CVO65693 CLS65693 CBW65693 BSA65693 BIE65693 AYI65693 AOM65693 AEQ65693 UU65693 KY65693 BC65693 WXK157 WNO157 WDS157 VTW157 VKA157 VAE157 UQI157 UGM157 TWQ157 TMU157 TCY157 STC157 SJG157 RZK157 RPO157 RFS157 QVW157 QMA157 QCE157 PSI157 PIM157 OYQ157 OOU157 OEY157 NVC157 NLG157 NBK157 MRO157 MHS157 LXW157 LOA157 LEE157 KUI157 KKM157 KAQ157 JQU157 JGY157 IXC157 ING157 IDK157 HTO157 HJS157 GZW157 GQA157 GGE157 FWI157 FMM157 FCQ157 ESU157 EIY157 DZC157 DPG157 DFK157 CVO157 CLS157 CBW157 BSA157 BIE157 AYI157 AOM157 AEQ157 UU157">
      <formula1>$AL$119:$AO$119</formula1>
    </dataValidation>
    <dataValidation type="list" allowBlank="1" showInputMessage="1" showErrorMessage="1" sqref="WDQ983197 KW153 US153 AEO153 AOK153 AYG153 BIC153 BRY153 CBU153 CLQ153 CVM153 DFI153 DPE153 DZA153 EIW153 ESS153 FCO153 FMK153 FWG153 GGC153 GPY153 GZU153 HJQ153 HTM153 IDI153 INE153 IXA153 JGW153 JQS153 KAO153 KKK153 KUG153 LEC153 LNY153 LXU153 MHQ153 MRM153 NBI153 NLE153 NVA153 OEW153 OOS153 OYO153 PIK153 PSG153 QCC153 QLY153 QVU153 RFQ153 RPM153 RZI153 SJE153 STA153 TCW153 TMS153 TWO153 UGK153 UQG153 VAC153 VJY153 VTU153 WDQ153 WNM153 WXI153 BA65689 KW65689 US65689 AEO65689 AOK65689 AYG65689 BIC65689 BRY65689 CBU65689 CLQ65689 CVM65689 DFI65689 DPE65689 DZA65689 EIW65689 ESS65689 FCO65689 FMK65689 FWG65689 GGC65689 GPY65689 GZU65689 HJQ65689 HTM65689 IDI65689 INE65689 IXA65689 JGW65689 JQS65689 KAO65689 KKK65689 KUG65689 LEC65689 LNY65689 LXU65689 MHQ65689 MRM65689 NBI65689 NLE65689 NVA65689 OEW65689 OOS65689 OYO65689 PIK65689 PSG65689 QCC65689 QLY65689 QVU65689 RFQ65689 RPM65689 RZI65689 SJE65689 STA65689 TCW65689 TMS65689 TWO65689 UGK65689 UQG65689 VAC65689 VJY65689 VTU65689 WDQ65689 WNM65689 WXI65689 BA131225 KW131225 US131225 AEO131225 AOK131225 AYG131225 BIC131225 BRY131225 CBU131225 CLQ131225 CVM131225 DFI131225 DPE131225 DZA131225 EIW131225 ESS131225 FCO131225 FMK131225 FWG131225 GGC131225 GPY131225 GZU131225 HJQ131225 HTM131225 IDI131225 INE131225 IXA131225 JGW131225 JQS131225 KAO131225 KKK131225 KUG131225 LEC131225 LNY131225 LXU131225 MHQ131225 MRM131225 NBI131225 NLE131225 NVA131225 OEW131225 OOS131225 OYO131225 PIK131225 PSG131225 QCC131225 QLY131225 QVU131225 RFQ131225 RPM131225 RZI131225 SJE131225 STA131225 TCW131225 TMS131225 TWO131225 UGK131225 UQG131225 VAC131225 VJY131225 VTU131225 WDQ131225 WNM131225 WXI131225 BA196761 KW196761 US196761 AEO196761 AOK196761 AYG196761 BIC196761 BRY196761 CBU196761 CLQ196761 CVM196761 DFI196761 DPE196761 DZA196761 EIW196761 ESS196761 FCO196761 FMK196761 FWG196761 GGC196761 GPY196761 GZU196761 HJQ196761 HTM196761 IDI196761 INE196761 IXA196761 JGW196761 JQS196761 KAO196761 KKK196761 KUG196761 LEC196761 LNY196761 LXU196761 MHQ196761 MRM196761 NBI196761 NLE196761 NVA196761 OEW196761 OOS196761 OYO196761 PIK196761 PSG196761 QCC196761 QLY196761 QVU196761 RFQ196761 RPM196761 RZI196761 SJE196761 STA196761 TCW196761 TMS196761 TWO196761 UGK196761 UQG196761 VAC196761 VJY196761 VTU196761 WDQ196761 WNM196761 WXI196761 BA262297 KW262297 US262297 AEO262297 AOK262297 AYG262297 BIC262297 BRY262297 CBU262297 CLQ262297 CVM262297 DFI262297 DPE262297 DZA262297 EIW262297 ESS262297 FCO262297 FMK262297 FWG262297 GGC262297 GPY262297 GZU262297 HJQ262297 HTM262297 IDI262297 INE262297 IXA262297 JGW262297 JQS262297 KAO262297 KKK262297 KUG262297 LEC262297 LNY262297 LXU262297 MHQ262297 MRM262297 NBI262297 NLE262297 NVA262297 OEW262297 OOS262297 OYO262297 PIK262297 PSG262297 QCC262297 QLY262297 QVU262297 RFQ262297 RPM262297 RZI262297 SJE262297 STA262297 TCW262297 TMS262297 TWO262297 UGK262297 UQG262297 VAC262297 VJY262297 VTU262297 WDQ262297 WNM262297 WXI262297 BA327833 KW327833 US327833 AEO327833 AOK327833 AYG327833 BIC327833 BRY327833 CBU327833 CLQ327833 CVM327833 DFI327833 DPE327833 DZA327833 EIW327833 ESS327833 FCO327833 FMK327833 FWG327833 GGC327833 GPY327833 GZU327833 HJQ327833 HTM327833 IDI327833 INE327833 IXA327833 JGW327833 JQS327833 KAO327833 KKK327833 KUG327833 LEC327833 LNY327833 LXU327833 MHQ327833 MRM327833 NBI327833 NLE327833 NVA327833 OEW327833 OOS327833 OYO327833 PIK327833 PSG327833 QCC327833 QLY327833 QVU327833 RFQ327833 RPM327833 RZI327833 SJE327833 STA327833 TCW327833 TMS327833 TWO327833 UGK327833 UQG327833 VAC327833 VJY327833 VTU327833 WDQ327833 WNM327833 WXI327833 BA393369 KW393369 US393369 AEO393369 AOK393369 AYG393369 BIC393369 BRY393369 CBU393369 CLQ393369 CVM393369 DFI393369 DPE393369 DZA393369 EIW393369 ESS393369 FCO393369 FMK393369 FWG393369 GGC393369 GPY393369 GZU393369 HJQ393369 HTM393369 IDI393369 INE393369 IXA393369 JGW393369 JQS393369 KAO393369 KKK393369 KUG393369 LEC393369 LNY393369 LXU393369 MHQ393369 MRM393369 NBI393369 NLE393369 NVA393369 OEW393369 OOS393369 OYO393369 PIK393369 PSG393369 QCC393369 QLY393369 QVU393369 RFQ393369 RPM393369 RZI393369 SJE393369 STA393369 TCW393369 TMS393369 TWO393369 UGK393369 UQG393369 VAC393369 VJY393369 VTU393369 WDQ393369 WNM393369 WXI393369 BA458905 KW458905 US458905 AEO458905 AOK458905 AYG458905 BIC458905 BRY458905 CBU458905 CLQ458905 CVM458905 DFI458905 DPE458905 DZA458905 EIW458905 ESS458905 FCO458905 FMK458905 FWG458905 GGC458905 GPY458905 GZU458905 HJQ458905 HTM458905 IDI458905 INE458905 IXA458905 JGW458905 JQS458905 KAO458905 KKK458905 KUG458905 LEC458905 LNY458905 LXU458905 MHQ458905 MRM458905 NBI458905 NLE458905 NVA458905 OEW458905 OOS458905 OYO458905 PIK458905 PSG458905 QCC458905 QLY458905 QVU458905 RFQ458905 RPM458905 RZI458905 SJE458905 STA458905 TCW458905 TMS458905 TWO458905 UGK458905 UQG458905 VAC458905 VJY458905 VTU458905 WDQ458905 WNM458905 WXI458905 BA524441 KW524441 US524441 AEO524441 AOK524441 AYG524441 BIC524441 BRY524441 CBU524441 CLQ524441 CVM524441 DFI524441 DPE524441 DZA524441 EIW524441 ESS524441 FCO524441 FMK524441 FWG524441 GGC524441 GPY524441 GZU524441 HJQ524441 HTM524441 IDI524441 INE524441 IXA524441 JGW524441 JQS524441 KAO524441 KKK524441 KUG524441 LEC524441 LNY524441 LXU524441 MHQ524441 MRM524441 NBI524441 NLE524441 NVA524441 OEW524441 OOS524441 OYO524441 PIK524441 PSG524441 QCC524441 QLY524441 QVU524441 RFQ524441 RPM524441 RZI524441 SJE524441 STA524441 TCW524441 TMS524441 TWO524441 UGK524441 UQG524441 VAC524441 VJY524441 VTU524441 WDQ524441 WNM524441 WXI524441 BA589977 KW589977 US589977 AEO589977 AOK589977 AYG589977 BIC589977 BRY589977 CBU589977 CLQ589977 CVM589977 DFI589977 DPE589977 DZA589977 EIW589977 ESS589977 FCO589977 FMK589977 FWG589977 GGC589977 GPY589977 GZU589977 HJQ589977 HTM589977 IDI589977 INE589977 IXA589977 JGW589977 JQS589977 KAO589977 KKK589977 KUG589977 LEC589977 LNY589977 LXU589977 MHQ589977 MRM589977 NBI589977 NLE589977 NVA589977 OEW589977 OOS589977 OYO589977 PIK589977 PSG589977 QCC589977 QLY589977 QVU589977 RFQ589977 RPM589977 RZI589977 SJE589977 STA589977 TCW589977 TMS589977 TWO589977 UGK589977 UQG589977 VAC589977 VJY589977 VTU589977 WDQ589977 WNM589977 WXI589977 BA655513 KW655513 US655513 AEO655513 AOK655513 AYG655513 BIC655513 BRY655513 CBU655513 CLQ655513 CVM655513 DFI655513 DPE655513 DZA655513 EIW655513 ESS655513 FCO655513 FMK655513 FWG655513 GGC655513 GPY655513 GZU655513 HJQ655513 HTM655513 IDI655513 INE655513 IXA655513 JGW655513 JQS655513 KAO655513 KKK655513 KUG655513 LEC655513 LNY655513 LXU655513 MHQ655513 MRM655513 NBI655513 NLE655513 NVA655513 OEW655513 OOS655513 OYO655513 PIK655513 PSG655513 QCC655513 QLY655513 QVU655513 RFQ655513 RPM655513 RZI655513 SJE655513 STA655513 TCW655513 TMS655513 TWO655513 UGK655513 UQG655513 VAC655513 VJY655513 VTU655513 WDQ655513 WNM655513 WXI655513 BA721049 KW721049 US721049 AEO721049 AOK721049 AYG721049 BIC721049 BRY721049 CBU721049 CLQ721049 CVM721049 DFI721049 DPE721049 DZA721049 EIW721049 ESS721049 FCO721049 FMK721049 FWG721049 GGC721049 GPY721049 GZU721049 HJQ721049 HTM721049 IDI721049 INE721049 IXA721049 JGW721049 JQS721049 KAO721049 KKK721049 KUG721049 LEC721049 LNY721049 LXU721049 MHQ721049 MRM721049 NBI721049 NLE721049 NVA721049 OEW721049 OOS721049 OYO721049 PIK721049 PSG721049 QCC721049 QLY721049 QVU721049 RFQ721049 RPM721049 RZI721049 SJE721049 STA721049 TCW721049 TMS721049 TWO721049 UGK721049 UQG721049 VAC721049 VJY721049 VTU721049 WDQ721049 WNM721049 WXI721049 BA786585 KW786585 US786585 AEO786585 AOK786585 AYG786585 BIC786585 BRY786585 CBU786585 CLQ786585 CVM786585 DFI786585 DPE786585 DZA786585 EIW786585 ESS786585 FCO786585 FMK786585 FWG786585 GGC786585 GPY786585 GZU786585 HJQ786585 HTM786585 IDI786585 INE786585 IXA786585 JGW786585 JQS786585 KAO786585 KKK786585 KUG786585 LEC786585 LNY786585 LXU786585 MHQ786585 MRM786585 NBI786585 NLE786585 NVA786585 OEW786585 OOS786585 OYO786585 PIK786585 PSG786585 QCC786585 QLY786585 QVU786585 RFQ786585 RPM786585 RZI786585 SJE786585 STA786585 TCW786585 TMS786585 TWO786585 UGK786585 UQG786585 VAC786585 VJY786585 VTU786585 WDQ786585 WNM786585 WXI786585 BA852121 KW852121 US852121 AEO852121 AOK852121 AYG852121 BIC852121 BRY852121 CBU852121 CLQ852121 CVM852121 DFI852121 DPE852121 DZA852121 EIW852121 ESS852121 FCO852121 FMK852121 FWG852121 GGC852121 GPY852121 GZU852121 HJQ852121 HTM852121 IDI852121 INE852121 IXA852121 JGW852121 JQS852121 KAO852121 KKK852121 KUG852121 LEC852121 LNY852121 LXU852121 MHQ852121 MRM852121 NBI852121 NLE852121 NVA852121 OEW852121 OOS852121 OYO852121 PIK852121 PSG852121 QCC852121 QLY852121 QVU852121 RFQ852121 RPM852121 RZI852121 SJE852121 STA852121 TCW852121 TMS852121 TWO852121 UGK852121 UQG852121 VAC852121 VJY852121 VTU852121 WDQ852121 WNM852121 WXI852121 BA917657 KW917657 US917657 AEO917657 AOK917657 AYG917657 BIC917657 BRY917657 CBU917657 CLQ917657 CVM917657 DFI917657 DPE917657 DZA917657 EIW917657 ESS917657 FCO917657 FMK917657 FWG917657 GGC917657 GPY917657 GZU917657 HJQ917657 HTM917657 IDI917657 INE917657 IXA917657 JGW917657 JQS917657 KAO917657 KKK917657 KUG917657 LEC917657 LNY917657 LXU917657 MHQ917657 MRM917657 NBI917657 NLE917657 NVA917657 OEW917657 OOS917657 OYO917657 PIK917657 PSG917657 QCC917657 QLY917657 QVU917657 RFQ917657 RPM917657 RZI917657 SJE917657 STA917657 TCW917657 TMS917657 TWO917657 UGK917657 UQG917657 VAC917657 VJY917657 VTU917657 WDQ917657 WNM917657 WXI917657 BA983193 KW983193 US983193 AEO983193 AOK983193 AYG983193 BIC983193 BRY983193 CBU983193 CLQ983193 CVM983193 DFI983193 DPE983193 DZA983193 EIW983193 ESS983193 FCO983193 FMK983193 FWG983193 GGC983193 GPY983193 GZU983193 HJQ983193 HTM983193 IDI983193 INE983193 IXA983193 JGW983193 JQS983193 KAO983193 KKK983193 KUG983193 LEC983193 LNY983193 LXU983193 MHQ983193 MRM983193 NBI983193 NLE983193 NVA983193 OEW983193 OOS983193 OYO983193 PIK983193 PSG983193 QCC983193 QLY983193 QVU983193 RFQ983193 RPM983193 RZI983193 SJE983193 STA983193 TCW983193 TMS983193 TWO983193 UGK983193 UQG983193 VAC983193 VJY983193 VTU983193 WDQ983193 WNM983193 WXI983193 WNM983197 KW155 US155 AEO155 AOK155 AYG155 BIC155 BRY155 CBU155 CLQ155 CVM155 DFI155 DPE155 DZA155 EIW155 ESS155 FCO155 FMK155 FWG155 GGC155 GPY155 GZU155 HJQ155 HTM155 IDI155 INE155 IXA155 JGW155 JQS155 KAO155 KKK155 KUG155 LEC155 LNY155 LXU155 MHQ155 MRM155 NBI155 NLE155 NVA155 OEW155 OOS155 OYO155 PIK155 PSG155 QCC155 QLY155 QVU155 RFQ155 RPM155 RZI155 SJE155 STA155 TCW155 TMS155 TWO155 UGK155 UQG155 VAC155 VJY155 VTU155 WDQ155 WNM155 WXI155 BA65691 KW65691 US65691 AEO65691 AOK65691 AYG65691 BIC65691 BRY65691 CBU65691 CLQ65691 CVM65691 DFI65691 DPE65691 DZA65691 EIW65691 ESS65691 FCO65691 FMK65691 FWG65691 GGC65691 GPY65691 GZU65691 HJQ65691 HTM65691 IDI65691 INE65691 IXA65691 JGW65691 JQS65691 KAO65691 KKK65691 KUG65691 LEC65691 LNY65691 LXU65691 MHQ65691 MRM65691 NBI65691 NLE65691 NVA65691 OEW65691 OOS65691 OYO65691 PIK65691 PSG65691 QCC65691 QLY65691 QVU65691 RFQ65691 RPM65691 RZI65691 SJE65691 STA65691 TCW65691 TMS65691 TWO65691 UGK65691 UQG65691 VAC65691 VJY65691 VTU65691 WDQ65691 WNM65691 WXI65691 BA131227 KW131227 US131227 AEO131227 AOK131227 AYG131227 BIC131227 BRY131227 CBU131227 CLQ131227 CVM131227 DFI131227 DPE131227 DZA131227 EIW131227 ESS131227 FCO131227 FMK131227 FWG131227 GGC131227 GPY131227 GZU131227 HJQ131227 HTM131227 IDI131227 INE131227 IXA131227 JGW131227 JQS131227 KAO131227 KKK131227 KUG131227 LEC131227 LNY131227 LXU131227 MHQ131227 MRM131227 NBI131227 NLE131227 NVA131227 OEW131227 OOS131227 OYO131227 PIK131227 PSG131227 QCC131227 QLY131227 QVU131227 RFQ131227 RPM131227 RZI131227 SJE131227 STA131227 TCW131227 TMS131227 TWO131227 UGK131227 UQG131227 VAC131227 VJY131227 VTU131227 WDQ131227 WNM131227 WXI131227 BA196763 KW196763 US196763 AEO196763 AOK196763 AYG196763 BIC196763 BRY196763 CBU196763 CLQ196763 CVM196763 DFI196763 DPE196763 DZA196763 EIW196763 ESS196763 FCO196763 FMK196763 FWG196763 GGC196763 GPY196763 GZU196763 HJQ196763 HTM196763 IDI196763 INE196763 IXA196763 JGW196763 JQS196763 KAO196763 KKK196763 KUG196763 LEC196763 LNY196763 LXU196763 MHQ196763 MRM196763 NBI196763 NLE196763 NVA196763 OEW196763 OOS196763 OYO196763 PIK196763 PSG196763 QCC196763 QLY196763 QVU196763 RFQ196763 RPM196763 RZI196763 SJE196763 STA196763 TCW196763 TMS196763 TWO196763 UGK196763 UQG196763 VAC196763 VJY196763 VTU196763 WDQ196763 WNM196763 WXI196763 BA262299 KW262299 US262299 AEO262299 AOK262299 AYG262299 BIC262299 BRY262299 CBU262299 CLQ262299 CVM262299 DFI262299 DPE262299 DZA262299 EIW262299 ESS262299 FCO262299 FMK262299 FWG262299 GGC262299 GPY262299 GZU262299 HJQ262299 HTM262299 IDI262299 INE262299 IXA262299 JGW262299 JQS262299 KAO262299 KKK262299 KUG262299 LEC262299 LNY262299 LXU262299 MHQ262299 MRM262299 NBI262299 NLE262299 NVA262299 OEW262299 OOS262299 OYO262299 PIK262299 PSG262299 QCC262299 QLY262299 QVU262299 RFQ262299 RPM262299 RZI262299 SJE262299 STA262299 TCW262299 TMS262299 TWO262299 UGK262299 UQG262299 VAC262299 VJY262299 VTU262299 WDQ262299 WNM262299 WXI262299 BA327835 KW327835 US327835 AEO327835 AOK327835 AYG327835 BIC327835 BRY327835 CBU327835 CLQ327835 CVM327835 DFI327835 DPE327835 DZA327835 EIW327835 ESS327835 FCO327835 FMK327835 FWG327835 GGC327835 GPY327835 GZU327835 HJQ327835 HTM327835 IDI327835 INE327835 IXA327835 JGW327835 JQS327835 KAO327835 KKK327835 KUG327835 LEC327835 LNY327835 LXU327835 MHQ327835 MRM327835 NBI327835 NLE327835 NVA327835 OEW327835 OOS327835 OYO327835 PIK327835 PSG327835 QCC327835 QLY327835 QVU327835 RFQ327835 RPM327835 RZI327835 SJE327835 STA327835 TCW327835 TMS327835 TWO327835 UGK327835 UQG327835 VAC327835 VJY327835 VTU327835 WDQ327835 WNM327835 WXI327835 BA393371 KW393371 US393371 AEO393371 AOK393371 AYG393371 BIC393371 BRY393371 CBU393371 CLQ393371 CVM393371 DFI393371 DPE393371 DZA393371 EIW393371 ESS393371 FCO393371 FMK393371 FWG393371 GGC393371 GPY393371 GZU393371 HJQ393371 HTM393371 IDI393371 INE393371 IXA393371 JGW393371 JQS393371 KAO393371 KKK393371 KUG393371 LEC393371 LNY393371 LXU393371 MHQ393371 MRM393371 NBI393371 NLE393371 NVA393371 OEW393371 OOS393371 OYO393371 PIK393371 PSG393371 QCC393371 QLY393371 QVU393371 RFQ393371 RPM393371 RZI393371 SJE393371 STA393371 TCW393371 TMS393371 TWO393371 UGK393371 UQG393371 VAC393371 VJY393371 VTU393371 WDQ393371 WNM393371 WXI393371 BA458907 KW458907 US458907 AEO458907 AOK458907 AYG458907 BIC458907 BRY458907 CBU458907 CLQ458907 CVM458907 DFI458907 DPE458907 DZA458907 EIW458907 ESS458907 FCO458907 FMK458907 FWG458907 GGC458907 GPY458907 GZU458907 HJQ458907 HTM458907 IDI458907 INE458907 IXA458907 JGW458907 JQS458907 KAO458907 KKK458907 KUG458907 LEC458907 LNY458907 LXU458907 MHQ458907 MRM458907 NBI458907 NLE458907 NVA458907 OEW458907 OOS458907 OYO458907 PIK458907 PSG458907 QCC458907 QLY458907 QVU458907 RFQ458907 RPM458907 RZI458907 SJE458907 STA458907 TCW458907 TMS458907 TWO458907 UGK458907 UQG458907 VAC458907 VJY458907 VTU458907 WDQ458907 WNM458907 WXI458907 BA524443 KW524443 US524443 AEO524443 AOK524443 AYG524443 BIC524443 BRY524443 CBU524443 CLQ524443 CVM524443 DFI524443 DPE524443 DZA524443 EIW524443 ESS524443 FCO524443 FMK524443 FWG524443 GGC524443 GPY524443 GZU524443 HJQ524443 HTM524443 IDI524443 INE524443 IXA524443 JGW524443 JQS524443 KAO524443 KKK524443 KUG524443 LEC524443 LNY524443 LXU524443 MHQ524443 MRM524443 NBI524443 NLE524443 NVA524443 OEW524443 OOS524443 OYO524443 PIK524443 PSG524443 QCC524443 QLY524443 QVU524443 RFQ524443 RPM524443 RZI524443 SJE524443 STA524443 TCW524443 TMS524443 TWO524443 UGK524443 UQG524443 VAC524443 VJY524443 VTU524443 WDQ524443 WNM524443 WXI524443 BA589979 KW589979 US589979 AEO589979 AOK589979 AYG589979 BIC589979 BRY589979 CBU589979 CLQ589979 CVM589979 DFI589979 DPE589979 DZA589979 EIW589979 ESS589979 FCO589979 FMK589979 FWG589979 GGC589979 GPY589979 GZU589979 HJQ589979 HTM589979 IDI589979 INE589979 IXA589979 JGW589979 JQS589979 KAO589979 KKK589979 KUG589979 LEC589979 LNY589979 LXU589979 MHQ589979 MRM589979 NBI589979 NLE589979 NVA589979 OEW589979 OOS589979 OYO589979 PIK589979 PSG589979 QCC589979 QLY589979 QVU589979 RFQ589979 RPM589979 RZI589979 SJE589979 STA589979 TCW589979 TMS589979 TWO589979 UGK589979 UQG589979 VAC589979 VJY589979 VTU589979 WDQ589979 WNM589979 WXI589979 BA655515 KW655515 US655515 AEO655515 AOK655515 AYG655515 BIC655515 BRY655515 CBU655515 CLQ655515 CVM655515 DFI655515 DPE655515 DZA655515 EIW655515 ESS655515 FCO655515 FMK655515 FWG655515 GGC655515 GPY655515 GZU655515 HJQ655515 HTM655515 IDI655515 INE655515 IXA655515 JGW655515 JQS655515 KAO655515 KKK655515 KUG655515 LEC655515 LNY655515 LXU655515 MHQ655515 MRM655515 NBI655515 NLE655515 NVA655515 OEW655515 OOS655515 OYO655515 PIK655515 PSG655515 QCC655515 QLY655515 QVU655515 RFQ655515 RPM655515 RZI655515 SJE655515 STA655515 TCW655515 TMS655515 TWO655515 UGK655515 UQG655515 VAC655515 VJY655515 VTU655515 WDQ655515 WNM655515 WXI655515 BA721051 KW721051 US721051 AEO721051 AOK721051 AYG721051 BIC721051 BRY721051 CBU721051 CLQ721051 CVM721051 DFI721051 DPE721051 DZA721051 EIW721051 ESS721051 FCO721051 FMK721051 FWG721051 GGC721051 GPY721051 GZU721051 HJQ721051 HTM721051 IDI721051 INE721051 IXA721051 JGW721051 JQS721051 KAO721051 KKK721051 KUG721051 LEC721051 LNY721051 LXU721051 MHQ721051 MRM721051 NBI721051 NLE721051 NVA721051 OEW721051 OOS721051 OYO721051 PIK721051 PSG721051 QCC721051 QLY721051 QVU721051 RFQ721051 RPM721051 RZI721051 SJE721051 STA721051 TCW721051 TMS721051 TWO721051 UGK721051 UQG721051 VAC721051 VJY721051 VTU721051 WDQ721051 WNM721051 WXI721051 BA786587 KW786587 US786587 AEO786587 AOK786587 AYG786587 BIC786587 BRY786587 CBU786587 CLQ786587 CVM786587 DFI786587 DPE786587 DZA786587 EIW786587 ESS786587 FCO786587 FMK786587 FWG786587 GGC786587 GPY786587 GZU786587 HJQ786587 HTM786587 IDI786587 INE786587 IXA786587 JGW786587 JQS786587 KAO786587 KKK786587 KUG786587 LEC786587 LNY786587 LXU786587 MHQ786587 MRM786587 NBI786587 NLE786587 NVA786587 OEW786587 OOS786587 OYO786587 PIK786587 PSG786587 QCC786587 QLY786587 QVU786587 RFQ786587 RPM786587 RZI786587 SJE786587 STA786587 TCW786587 TMS786587 TWO786587 UGK786587 UQG786587 VAC786587 VJY786587 VTU786587 WDQ786587 WNM786587 WXI786587 BA852123 KW852123 US852123 AEO852123 AOK852123 AYG852123 BIC852123 BRY852123 CBU852123 CLQ852123 CVM852123 DFI852123 DPE852123 DZA852123 EIW852123 ESS852123 FCO852123 FMK852123 FWG852123 GGC852123 GPY852123 GZU852123 HJQ852123 HTM852123 IDI852123 INE852123 IXA852123 JGW852123 JQS852123 KAO852123 KKK852123 KUG852123 LEC852123 LNY852123 LXU852123 MHQ852123 MRM852123 NBI852123 NLE852123 NVA852123 OEW852123 OOS852123 OYO852123 PIK852123 PSG852123 QCC852123 QLY852123 QVU852123 RFQ852123 RPM852123 RZI852123 SJE852123 STA852123 TCW852123 TMS852123 TWO852123 UGK852123 UQG852123 VAC852123 VJY852123 VTU852123 WDQ852123 WNM852123 WXI852123 BA917659 KW917659 US917659 AEO917659 AOK917659 AYG917659 BIC917659 BRY917659 CBU917659 CLQ917659 CVM917659 DFI917659 DPE917659 DZA917659 EIW917659 ESS917659 FCO917659 FMK917659 FWG917659 GGC917659 GPY917659 GZU917659 HJQ917659 HTM917659 IDI917659 INE917659 IXA917659 JGW917659 JQS917659 KAO917659 KKK917659 KUG917659 LEC917659 LNY917659 LXU917659 MHQ917659 MRM917659 NBI917659 NLE917659 NVA917659 OEW917659 OOS917659 OYO917659 PIK917659 PSG917659 QCC917659 QLY917659 QVU917659 RFQ917659 RPM917659 RZI917659 SJE917659 STA917659 TCW917659 TMS917659 TWO917659 UGK917659 UQG917659 VAC917659 VJY917659 VTU917659 WDQ917659 WNM917659 WXI917659 BA983195 KW983195 US983195 AEO983195 AOK983195 AYG983195 BIC983195 BRY983195 CBU983195 CLQ983195 CVM983195 DFI983195 DPE983195 DZA983195 EIW983195 ESS983195 FCO983195 FMK983195 FWG983195 GGC983195 GPY983195 GZU983195 HJQ983195 HTM983195 IDI983195 INE983195 IXA983195 JGW983195 JQS983195 KAO983195 KKK983195 KUG983195 LEC983195 LNY983195 LXU983195 MHQ983195 MRM983195 NBI983195 NLE983195 NVA983195 OEW983195 OOS983195 OYO983195 PIK983195 PSG983195 QCC983195 QLY983195 QVU983195 RFQ983195 RPM983195 RZI983195 SJE983195 STA983195 TCW983195 TMS983195 TWO983195 UGK983195 UQG983195 VAC983195 VJY983195 VTU983195 WDQ983195 WNM983195 WXI983195 WXI983197 KW157 US157 AEO157 AOK157 AYG157 BIC157 BRY157 CBU157 CLQ157 CVM157 DFI157 DPE157 DZA157 EIW157 ESS157 FCO157 FMK157 FWG157 GGC157 GPY157 GZU157 HJQ157 HTM157 IDI157 INE157 IXA157 JGW157 JQS157 KAO157 KKK157 KUG157 LEC157 LNY157 LXU157 MHQ157 MRM157 NBI157 NLE157 NVA157 OEW157 OOS157 OYO157 PIK157 PSG157 QCC157 QLY157 QVU157 RFQ157 RPM157 RZI157 SJE157 STA157 TCW157 TMS157 TWO157 UGK157 UQG157 VAC157 VJY157 VTU157 WDQ157 WNM157 WXI157 BA65693 KW65693 US65693 AEO65693 AOK65693 AYG65693 BIC65693 BRY65693 CBU65693 CLQ65693 CVM65693 DFI65693 DPE65693 DZA65693 EIW65693 ESS65693 FCO65693 FMK65693 FWG65693 GGC65693 GPY65693 GZU65693 HJQ65693 HTM65693 IDI65693 INE65693 IXA65693 JGW65693 JQS65693 KAO65693 KKK65693 KUG65693 LEC65693 LNY65693 LXU65693 MHQ65693 MRM65693 NBI65693 NLE65693 NVA65693 OEW65693 OOS65693 OYO65693 PIK65693 PSG65693 QCC65693 QLY65693 QVU65693 RFQ65693 RPM65693 RZI65693 SJE65693 STA65693 TCW65693 TMS65693 TWO65693 UGK65693 UQG65693 VAC65693 VJY65693 VTU65693 WDQ65693 WNM65693 WXI65693 BA131229 KW131229 US131229 AEO131229 AOK131229 AYG131229 BIC131229 BRY131229 CBU131229 CLQ131229 CVM131229 DFI131229 DPE131229 DZA131229 EIW131229 ESS131229 FCO131229 FMK131229 FWG131229 GGC131229 GPY131229 GZU131229 HJQ131229 HTM131229 IDI131229 INE131229 IXA131229 JGW131229 JQS131229 KAO131229 KKK131229 KUG131229 LEC131229 LNY131229 LXU131229 MHQ131229 MRM131229 NBI131229 NLE131229 NVA131229 OEW131229 OOS131229 OYO131229 PIK131229 PSG131229 QCC131229 QLY131229 QVU131229 RFQ131229 RPM131229 RZI131229 SJE131229 STA131229 TCW131229 TMS131229 TWO131229 UGK131229 UQG131229 VAC131229 VJY131229 VTU131229 WDQ131229 WNM131229 WXI131229 BA196765 KW196765 US196765 AEO196765 AOK196765 AYG196765 BIC196765 BRY196765 CBU196765 CLQ196765 CVM196765 DFI196765 DPE196765 DZA196765 EIW196765 ESS196765 FCO196765 FMK196765 FWG196765 GGC196765 GPY196765 GZU196765 HJQ196765 HTM196765 IDI196765 INE196765 IXA196765 JGW196765 JQS196765 KAO196765 KKK196765 KUG196765 LEC196765 LNY196765 LXU196765 MHQ196765 MRM196765 NBI196765 NLE196765 NVA196765 OEW196765 OOS196765 OYO196765 PIK196765 PSG196765 QCC196765 QLY196765 QVU196765 RFQ196765 RPM196765 RZI196765 SJE196765 STA196765 TCW196765 TMS196765 TWO196765 UGK196765 UQG196765 VAC196765 VJY196765 VTU196765 WDQ196765 WNM196765 WXI196765 BA262301 KW262301 US262301 AEO262301 AOK262301 AYG262301 BIC262301 BRY262301 CBU262301 CLQ262301 CVM262301 DFI262301 DPE262301 DZA262301 EIW262301 ESS262301 FCO262301 FMK262301 FWG262301 GGC262301 GPY262301 GZU262301 HJQ262301 HTM262301 IDI262301 INE262301 IXA262301 JGW262301 JQS262301 KAO262301 KKK262301 KUG262301 LEC262301 LNY262301 LXU262301 MHQ262301 MRM262301 NBI262301 NLE262301 NVA262301 OEW262301 OOS262301 OYO262301 PIK262301 PSG262301 QCC262301 QLY262301 QVU262301 RFQ262301 RPM262301 RZI262301 SJE262301 STA262301 TCW262301 TMS262301 TWO262301 UGK262301 UQG262301 VAC262301 VJY262301 VTU262301 WDQ262301 WNM262301 WXI262301 BA327837 KW327837 US327837 AEO327837 AOK327837 AYG327837 BIC327837 BRY327837 CBU327837 CLQ327837 CVM327837 DFI327837 DPE327837 DZA327837 EIW327837 ESS327837 FCO327837 FMK327837 FWG327837 GGC327837 GPY327837 GZU327837 HJQ327837 HTM327837 IDI327837 INE327837 IXA327837 JGW327837 JQS327837 KAO327837 KKK327837 KUG327837 LEC327837 LNY327837 LXU327837 MHQ327837 MRM327837 NBI327837 NLE327837 NVA327837 OEW327837 OOS327837 OYO327837 PIK327837 PSG327837 QCC327837 QLY327837 QVU327837 RFQ327837 RPM327837 RZI327837 SJE327837 STA327837 TCW327837 TMS327837 TWO327837 UGK327837 UQG327837 VAC327837 VJY327837 VTU327837 WDQ327837 WNM327837 WXI327837 BA393373 KW393373 US393373 AEO393373 AOK393373 AYG393373 BIC393373 BRY393373 CBU393373 CLQ393373 CVM393373 DFI393373 DPE393373 DZA393373 EIW393373 ESS393373 FCO393373 FMK393373 FWG393373 GGC393373 GPY393373 GZU393373 HJQ393373 HTM393373 IDI393373 INE393373 IXA393373 JGW393373 JQS393373 KAO393373 KKK393373 KUG393373 LEC393373 LNY393373 LXU393373 MHQ393373 MRM393373 NBI393373 NLE393373 NVA393373 OEW393373 OOS393373 OYO393373 PIK393373 PSG393373 QCC393373 QLY393373 QVU393373 RFQ393373 RPM393373 RZI393373 SJE393373 STA393373 TCW393373 TMS393373 TWO393373 UGK393373 UQG393373 VAC393373 VJY393373 VTU393373 WDQ393373 WNM393373 WXI393373 BA458909 KW458909 US458909 AEO458909 AOK458909 AYG458909 BIC458909 BRY458909 CBU458909 CLQ458909 CVM458909 DFI458909 DPE458909 DZA458909 EIW458909 ESS458909 FCO458909 FMK458909 FWG458909 GGC458909 GPY458909 GZU458909 HJQ458909 HTM458909 IDI458909 INE458909 IXA458909 JGW458909 JQS458909 KAO458909 KKK458909 KUG458909 LEC458909 LNY458909 LXU458909 MHQ458909 MRM458909 NBI458909 NLE458909 NVA458909 OEW458909 OOS458909 OYO458909 PIK458909 PSG458909 QCC458909 QLY458909 QVU458909 RFQ458909 RPM458909 RZI458909 SJE458909 STA458909 TCW458909 TMS458909 TWO458909 UGK458909 UQG458909 VAC458909 VJY458909 VTU458909 WDQ458909 WNM458909 WXI458909 BA524445 KW524445 US524445 AEO524445 AOK524445 AYG524445 BIC524445 BRY524445 CBU524445 CLQ524445 CVM524445 DFI524445 DPE524445 DZA524445 EIW524445 ESS524445 FCO524445 FMK524445 FWG524445 GGC524445 GPY524445 GZU524445 HJQ524445 HTM524445 IDI524445 INE524445 IXA524445 JGW524445 JQS524445 KAO524445 KKK524445 KUG524445 LEC524445 LNY524445 LXU524445 MHQ524445 MRM524445 NBI524445 NLE524445 NVA524445 OEW524445 OOS524445 OYO524445 PIK524445 PSG524445 QCC524445 QLY524445 QVU524445 RFQ524445 RPM524445 RZI524445 SJE524445 STA524445 TCW524445 TMS524445 TWO524445 UGK524445 UQG524445 VAC524445 VJY524445 VTU524445 WDQ524445 WNM524445 WXI524445 BA589981 KW589981 US589981 AEO589981 AOK589981 AYG589981 BIC589981 BRY589981 CBU589981 CLQ589981 CVM589981 DFI589981 DPE589981 DZA589981 EIW589981 ESS589981 FCO589981 FMK589981 FWG589981 GGC589981 GPY589981 GZU589981 HJQ589981 HTM589981 IDI589981 INE589981 IXA589981 JGW589981 JQS589981 KAO589981 KKK589981 KUG589981 LEC589981 LNY589981 LXU589981 MHQ589981 MRM589981 NBI589981 NLE589981 NVA589981 OEW589981 OOS589981 OYO589981 PIK589981 PSG589981 QCC589981 QLY589981 QVU589981 RFQ589981 RPM589981 RZI589981 SJE589981 STA589981 TCW589981 TMS589981 TWO589981 UGK589981 UQG589981 VAC589981 VJY589981 VTU589981 WDQ589981 WNM589981 WXI589981 BA655517 KW655517 US655517 AEO655517 AOK655517 AYG655517 BIC655517 BRY655517 CBU655517 CLQ655517 CVM655517 DFI655517 DPE655517 DZA655517 EIW655517 ESS655517 FCO655517 FMK655517 FWG655517 GGC655517 GPY655517 GZU655517 HJQ655517 HTM655517 IDI655517 INE655517 IXA655517 JGW655517 JQS655517 KAO655517 KKK655517 KUG655517 LEC655517 LNY655517 LXU655517 MHQ655517 MRM655517 NBI655517 NLE655517 NVA655517 OEW655517 OOS655517 OYO655517 PIK655517 PSG655517 QCC655517 QLY655517 QVU655517 RFQ655517 RPM655517 RZI655517 SJE655517 STA655517 TCW655517 TMS655517 TWO655517 UGK655517 UQG655517 VAC655517 VJY655517 VTU655517 WDQ655517 WNM655517 WXI655517 BA721053 KW721053 US721053 AEO721053 AOK721053 AYG721053 BIC721053 BRY721053 CBU721053 CLQ721053 CVM721053 DFI721053 DPE721053 DZA721053 EIW721053 ESS721053 FCO721053 FMK721053 FWG721053 GGC721053 GPY721053 GZU721053 HJQ721053 HTM721053 IDI721053 INE721053 IXA721053 JGW721053 JQS721053 KAO721053 KKK721053 KUG721053 LEC721053 LNY721053 LXU721053 MHQ721053 MRM721053 NBI721053 NLE721053 NVA721053 OEW721053 OOS721053 OYO721053 PIK721053 PSG721053 QCC721053 QLY721053 QVU721053 RFQ721053 RPM721053 RZI721053 SJE721053 STA721053 TCW721053 TMS721053 TWO721053 UGK721053 UQG721053 VAC721053 VJY721053 VTU721053 WDQ721053 WNM721053 WXI721053 BA786589 KW786589 US786589 AEO786589 AOK786589 AYG786589 BIC786589 BRY786589 CBU786589 CLQ786589 CVM786589 DFI786589 DPE786589 DZA786589 EIW786589 ESS786589 FCO786589 FMK786589 FWG786589 GGC786589 GPY786589 GZU786589 HJQ786589 HTM786589 IDI786589 INE786589 IXA786589 JGW786589 JQS786589 KAO786589 KKK786589 KUG786589 LEC786589 LNY786589 LXU786589 MHQ786589 MRM786589 NBI786589 NLE786589 NVA786589 OEW786589 OOS786589 OYO786589 PIK786589 PSG786589 QCC786589 QLY786589 QVU786589 RFQ786589 RPM786589 RZI786589 SJE786589 STA786589 TCW786589 TMS786589 TWO786589 UGK786589 UQG786589 VAC786589 VJY786589 VTU786589 WDQ786589 WNM786589 WXI786589 BA852125 KW852125 US852125 AEO852125 AOK852125 AYG852125 BIC852125 BRY852125 CBU852125 CLQ852125 CVM852125 DFI852125 DPE852125 DZA852125 EIW852125 ESS852125 FCO852125 FMK852125 FWG852125 GGC852125 GPY852125 GZU852125 HJQ852125 HTM852125 IDI852125 INE852125 IXA852125 JGW852125 JQS852125 KAO852125 KKK852125 KUG852125 LEC852125 LNY852125 LXU852125 MHQ852125 MRM852125 NBI852125 NLE852125 NVA852125 OEW852125 OOS852125 OYO852125 PIK852125 PSG852125 QCC852125 QLY852125 QVU852125 RFQ852125 RPM852125 RZI852125 SJE852125 STA852125 TCW852125 TMS852125 TWO852125 UGK852125 UQG852125 VAC852125 VJY852125 VTU852125 WDQ852125 WNM852125 WXI852125 BA917661 KW917661 US917661 AEO917661 AOK917661 AYG917661 BIC917661 BRY917661 CBU917661 CLQ917661 CVM917661 DFI917661 DPE917661 DZA917661 EIW917661 ESS917661 FCO917661 FMK917661 FWG917661 GGC917661 GPY917661 GZU917661 HJQ917661 HTM917661 IDI917661 INE917661 IXA917661 JGW917661 JQS917661 KAO917661 KKK917661 KUG917661 LEC917661 LNY917661 LXU917661 MHQ917661 MRM917661 NBI917661 NLE917661 NVA917661 OEW917661 OOS917661 OYO917661 PIK917661 PSG917661 QCC917661 QLY917661 QVU917661 RFQ917661 RPM917661 RZI917661 SJE917661 STA917661 TCW917661 TMS917661 TWO917661 UGK917661 UQG917661 VAC917661 VJY917661 VTU917661 WDQ917661 WNM917661 WXI917661 BA983197 KW983197 US983197 AEO983197 AOK983197 AYG983197 BIC983197 BRY983197 CBU983197 CLQ983197 CVM983197 DFI983197 DPE983197 DZA983197 EIW983197 ESS983197 FCO983197 FMK983197 FWG983197 GGC983197 GPY983197 GZU983197 HJQ983197 HTM983197 IDI983197 INE983197 IXA983197 JGW983197 JQS983197 KAO983197 KKK983197 KUG983197 LEC983197 LNY983197 LXU983197 MHQ983197 MRM983197 NBI983197 NLE983197 NVA983197 OEW983197 OOS983197 OYO983197 PIK983197 PSG983197 QCC983197 QLY983197 QVU983197 RFQ983197 RPM983197 RZI983197 SJE983197 STA983197 TCW983197 TMS983197 TWO983197 UGK983197 UQG983197 VAC983197 VJY983197 VTU983197">
      <formula1>$J$26:$J$35</formula1>
    </dataValidation>
  </dataValidations>
  <hyperlinks>
    <hyperlink ref="D1:E1" location="notice!A1" display="Cliques → ICI ←"/>
    <hyperlink ref="AZ171:BA171" location="gains!A1" display="Cliques → ICI ←"/>
  </hyperlinks>
  <pageMargins left="0.78740157499999996" right="0.78740157499999996" top="0.984251969" bottom="0.984251969" header="0.5" footer="0.5"/>
  <pageSetup paperSize="9"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stopIfTrue="1" id="{81943C77-83C8-463F-A49F-C5A56710ED5A}">
            <xm:f>IF($F$4=BDD!$Q$127,TRUE,FALSE)</xm:f>
            <x14:dxf>
              <font>
                <condense val="0"/>
                <extend val="0"/>
                <color auto="1"/>
              </font>
              <fill>
                <patternFill>
                  <bgColor indexed="15"/>
                </patternFill>
              </fill>
            </x14:dxf>
          </x14:cfRule>
          <x14:cfRule type="expression" priority="22" stopIfTrue="1" id="{8505190A-7FC2-4532-95C1-B8A4107EE1AD}">
            <xm:f>IF($F$4=BDD!$O$127,TRUE,FALSE)</xm:f>
            <x14:dxf>
              <font>
                <condense val="0"/>
                <extend val="0"/>
                <color indexed="9"/>
              </font>
              <fill>
                <patternFill>
                  <bgColor theme="2" tint="-0.24994659260841701"/>
                </patternFill>
              </fill>
            </x14:dxf>
          </x14:cfRule>
          <x14:cfRule type="expression" priority="23" stopIfTrue="1" id="{38E37564-DB25-44CE-8D4A-32591967A813}">
            <xm:f>IF($F$4=BDD!$P$127,TRUE,FALSE)</xm:f>
            <x14:dxf>
              <font>
                <condense val="0"/>
                <extend val="0"/>
                <color indexed="9"/>
              </font>
              <fill>
                <patternFill>
                  <bgColor theme="2" tint="-0.24994659260841701"/>
                </patternFill>
              </fill>
            </x14:dxf>
          </x14:cfRule>
          <xm:sqref>B15</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BDD!$BF$46:$BF$55</xm:f>
          </x14:formula1>
          <xm:sqref>F7:F9</xm:sqref>
        </x14:dataValidation>
        <x14:dataValidation type="list" allowBlank="1" showInputMessage="1" showErrorMessage="1">
          <x14:formula1>
            <xm:f>BDD!$M$27:$M$29</xm:f>
          </x14:formula1>
          <xm:sqref>WXH983197 WNL983197 KV157 UR157 AEN157 AOJ157 AYF157 BIB157 BRX157 CBT157 CLP157 CVL157 DFH157 DPD157 DYZ157 EIV157 ESR157 FCN157 FMJ157 FWF157 GGB157 GPX157 GZT157 HJP157 HTL157 IDH157 IND157 IWZ157 JGV157 JQR157 KAN157 KKJ157 KUF157 LEB157 LNX157 LXT157 MHP157 MRL157 NBH157 NLD157 NUZ157 OEV157 OOR157 OYN157 PIJ157 PSF157 QCB157 QLX157 QVT157 RFP157 RPL157 RZH157 SJD157 SSZ157 TCV157 TMR157 TWN157 UGJ157 UQF157 VAB157 VJX157 VTT157 WDP157 WNL157 WXH157 AZ65693 KV65693 UR65693 AEN65693 AOJ65693 AYF65693 BIB65693 BRX65693 CBT65693 CLP65693 CVL65693 DFH65693 DPD65693 DYZ65693 EIV65693 ESR65693 FCN65693 FMJ65693 FWF65693 GGB65693 GPX65693 GZT65693 HJP65693 HTL65693 IDH65693 IND65693 IWZ65693 JGV65693 JQR65693 KAN65693 KKJ65693 KUF65693 LEB65693 LNX65693 LXT65693 MHP65693 MRL65693 NBH65693 NLD65693 NUZ65693 OEV65693 OOR65693 OYN65693 PIJ65693 PSF65693 QCB65693 QLX65693 QVT65693 RFP65693 RPL65693 RZH65693 SJD65693 SSZ65693 TCV65693 TMR65693 TWN65693 UGJ65693 UQF65693 VAB65693 VJX65693 VTT65693 WDP65693 WNL65693 WXH65693 AZ131229 KV131229 UR131229 AEN131229 AOJ131229 AYF131229 BIB131229 BRX131229 CBT131229 CLP131229 CVL131229 DFH131229 DPD131229 DYZ131229 EIV131229 ESR131229 FCN131229 FMJ131229 FWF131229 GGB131229 GPX131229 GZT131229 HJP131229 HTL131229 IDH131229 IND131229 IWZ131229 JGV131229 JQR131229 KAN131229 KKJ131229 KUF131229 LEB131229 LNX131229 LXT131229 MHP131229 MRL131229 NBH131229 NLD131229 NUZ131229 OEV131229 OOR131229 OYN131229 PIJ131229 PSF131229 QCB131229 QLX131229 QVT131229 RFP131229 RPL131229 RZH131229 SJD131229 SSZ131229 TCV131229 TMR131229 TWN131229 UGJ131229 UQF131229 VAB131229 VJX131229 VTT131229 WDP131229 WNL131229 WXH131229 AZ196765 KV196765 UR196765 AEN196765 AOJ196765 AYF196765 BIB196765 BRX196765 CBT196765 CLP196765 CVL196765 DFH196765 DPD196765 DYZ196765 EIV196765 ESR196765 FCN196765 FMJ196765 FWF196765 GGB196765 GPX196765 GZT196765 HJP196765 HTL196765 IDH196765 IND196765 IWZ196765 JGV196765 JQR196765 KAN196765 KKJ196765 KUF196765 LEB196765 LNX196765 LXT196765 MHP196765 MRL196765 NBH196765 NLD196765 NUZ196765 OEV196765 OOR196765 OYN196765 PIJ196765 PSF196765 QCB196765 QLX196765 QVT196765 RFP196765 RPL196765 RZH196765 SJD196765 SSZ196765 TCV196765 TMR196765 TWN196765 UGJ196765 UQF196765 VAB196765 VJX196765 VTT196765 WDP196765 WNL196765 WXH196765 AZ262301 KV262301 UR262301 AEN262301 AOJ262301 AYF262301 BIB262301 BRX262301 CBT262301 CLP262301 CVL262301 DFH262301 DPD262301 DYZ262301 EIV262301 ESR262301 FCN262301 FMJ262301 FWF262301 GGB262301 GPX262301 GZT262301 HJP262301 HTL262301 IDH262301 IND262301 IWZ262301 JGV262301 JQR262301 KAN262301 KKJ262301 KUF262301 LEB262301 LNX262301 LXT262301 MHP262301 MRL262301 NBH262301 NLD262301 NUZ262301 OEV262301 OOR262301 OYN262301 PIJ262301 PSF262301 QCB262301 QLX262301 QVT262301 RFP262301 RPL262301 RZH262301 SJD262301 SSZ262301 TCV262301 TMR262301 TWN262301 UGJ262301 UQF262301 VAB262301 VJX262301 VTT262301 WDP262301 WNL262301 WXH262301 AZ327837 KV327837 UR327837 AEN327837 AOJ327837 AYF327837 BIB327837 BRX327837 CBT327837 CLP327837 CVL327837 DFH327837 DPD327837 DYZ327837 EIV327837 ESR327837 FCN327837 FMJ327837 FWF327837 GGB327837 GPX327837 GZT327837 HJP327837 HTL327837 IDH327837 IND327837 IWZ327837 JGV327837 JQR327837 KAN327837 KKJ327837 KUF327837 LEB327837 LNX327837 LXT327837 MHP327837 MRL327837 NBH327837 NLD327837 NUZ327837 OEV327837 OOR327837 OYN327837 PIJ327837 PSF327837 QCB327837 QLX327837 QVT327837 RFP327837 RPL327837 RZH327837 SJD327837 SSZ327837 TCV327837 TMR327837 TWN327837 UGJ327837 UQF327837 VAB327837 VJX327837 VTT327837 WDP327837 WNL327837 WXH327837 AZ393373 KV393373 UR393373 AEN393373 AOJ393373 AYF393373 BIB393373 BRX393373 CBT393373 CLP393373 CVL393373 DFH393373 DPD393373 DYZ393373 EIV393373 ESR393373 FCN393373 FMJ393373 FWF393373 GGB393373 GPX393373 GZT393373 HJP393373 HTL393373 IDH393373 IND393373 IWZ393373 JGV393373 JQR393373 KAN393373 KKJ393373 KUF393373 LEB393373 LNX393373 LXT393373 MHP393373 MRL393373 NBH393373 NLD393373 NUZ393373 OEV393373 OOR393373 OYN393373 PIJ393373 PSF393373 QCB393373 QLX393373 QVT393373 RFP393373 RPL393373 RZH393373 SJD393373 SSZ393373 TCV393373 TMR393373 TWN393373 UGJ393373 UQF393373 VAB393373 VJX393373 VTT393373 WDP393373 WNL393373 WXH393373 AZ458909 KV458909 UR458909 AEN458909 AOJ458909 AYF458909 BIB458909 BRX458909 CBT458909 CLP458909 CVL458909 DFH458909 DPD458909 DYZ458909 EIV458909 ESR458909 FCN458909 FMJ458909 FWF458909 GGB458909 GPX458909 GZT458909 HJP458909 HTL458909 IDH458909 IND458909 IWZ458909 JGV458909 JQR458909 KAN458909 KKJ458909 KUF458909 LEB458909 LNX458909 LXT458909 MHP458909 MRL458909 NBH458909 NLD458909 NUZ458909 OEV458909 OOR458909 OYN458909 PIJ458909 PSF458909 QCB458909 QLX458909 QVT458909 RFP458909 RPL458909 RZH458909 SJD458909 SSZ458909 TCV458909 TMR458909 TWN458909 UGJ458909 UQF458909 VAB458909 VJX458909 VTT458909 WDP458909 WNL458909 WXH458909 AZ524445 KV524445 UR524445 AEN524445 AOJ524445 AYF524445 BIB524445 BRX524445 CBT524445 CLP524445 CVL524445 DFH524445 DPD524445 DYZ524445 EIV524445 ESR524445 FCN524445 FMJ524445 FWF524445 GGB524445 GPX524445 GZT524445 HJP524445 HTL524445 IDH524445 IND524445 IWZ524445 JGV524445 JQR524445 KAN524445 KKJ524445 KUF524445 LEB524445 LNX524445 LXT524445 MHP524445 MRL524445 NBH524445 NLD524445 NUZ524445 OEV524445 OOR524445 OYN524445 PIJ524445 PSF524445 QCB524445 QLX524445 QVT524445 RFP524445 RPL524445 RZH524445 SJD524445 SSZ524445 TCV524445 TMR524445 TWN524445 UGJ524445 UQF524445 VAB524445 VJX524445 VTT524445 WDP524445 WNL524445 WXH524445 AZ589981 KV589981 UR589981 AEN589981 AOJ589981 AYF589981 BIB589981 BRX589981 CBT589981 CLP589981 CVL589981 DFH589981 DPD589981 DYZ589981 EIV589981 ESR589981 FCN589981 FMJ589981 FWF589981 GGB589981 GPX589981 GZT589981 HJP589981 HTL589981 IDH589981 IND589981 IWZ589981 JGV589981 JQR589981 KAN589981 KKJ589981 KUF589981 LEB589981 LNX589981 LXT589981 MHP589981 MRL589981 NBH589981 NLD589981 NUZ589981 OEV589981 OOR589981 OYN589981 PIJ589981 PSF589981 QCB589981 QLX589981 QVT589981 RFP589981 RPL589981 RZH589981 SJD589981 SSZ589981 TCV589981 TMR589981 TWN589981 UGJ589981 UQF589981 VAB589981 VJX589981 VTT589981 WDP589981 WNL589981 WXH589981 AZ655517 KV655517 UR655517 AEN655517 AOJ655517 AYF655517 BIB655517 BRX655517 CBT655517 CLP655517 CVL655517 DFH655517 DPD655517 DYZ655517 EIV655517 ESR655517 FCN655517 FMJ655517 FWF655517 GGB655517 GPX655517 GZT655517 HJP655517 HTL655517 IDH655517 IND655517 IWZ655517 JGV655517 JQR655517 KAN655517 KKJ655517 KUF655517 LEB655517 LNX655517 LXT655517 MHP655517 MRL655517 NBH655517 NLD655517 NUZ655517 OEV655517 OOR655517 OYN655517 PIJ655517 PSF655517 QCB655517 QLX655517 QVT655517 RFP655517 RPL655517 RZH655517 SJD655517 SSZ655517 TCV655517 TMR655517 TWN655517 UGJ655517 UQF655517 VAB655517 VJX655517 VTT655517 WDP655517 WNL655517 WXH655517 AZ721053 KV721053 UR721053 AEN721053 AOJ721053 AYF721053 BIB721053 BRX721053 CBT721053 CLP721053 CVL721053 DFH721053 DPD721053 DYZ721053 EIV721053 ESR721053 FCN721053 FMJ721053 FWF721053 GGB721053 GPX721053 GZT721053 HJP721053 HTL721053 IDH721053 IND721053 IWZ721053 JGV721053 JQR721053 KAN721053 KKJ721053 KUF721053 LEB721053 LNX721053 LXT721053 MHP721053 MRL721053 NBH721053 NLD721053 NUZ721053 OEV721053 OOR721053 OYN721053 PIJ721053 PSF721053 QCB721053 QLX721053 QVT721053 RFP721053 RPL721053 RZH721053 SJD721053 SSZ721053 TCV721053 TMR721053 TWN721053 UGJ721053 UQF721053 VAB721053 VJX721053 VTT721053 WDP721053 WNL721053 WXH721053 AZ786589 KV786589 UR786589 AEN786589 AOJ786589 AYF786589 BIB786589 BRX786589 CBT786589 CLP786589 CVL786589 DFH786589 DPD786589 DYZ786589 EIV786589 ESR786589 FCN786589 FMJ786589 FWF786589 GGB786589 GPX786589 GZT786589 HJP786589 HTL786589 IDH786589 IND786589 IWZ786589 JGV786589 JQR786589 KAN786589 KKJ786589 KUF786589 LEB786589 LNX786589 LXT786589 MHP786589 MRL786589 NBH786589 NLD786589 NUZ786589 OEV786589 OOR786589 OYN786589 PIJ786589 PSF786589 QCB786589 QLX786589 QVT786589 RFP786589 RPL786589 RZH786589 SJD786589 SSZ786589 TCV786589 TMR786589 TWN786589 UGJ786589 UQF786589 VAB786589 VJX786589 VTT786589 WDP786589 WNL786589 WXH786589 AZ852125 KV852125 UR852125 AEN852125 AOJ852125 AYF852125 BIB852125 BRX852125 CBT852125 CLP852125 CVL852125 DFH852125 DPD852125 DYZ852125 EIV852125 ESR852125 FCN852125 FMJ852125 FWF852125 GGB852125 GPX852125 GZT852125 HJP852125 HTL852125 IDH852125 IND852125 IWZ852125 JGV852125 JQR852125 KAN852125 KKJ852125 KUF852125 LEB852125 LNX852125 LXT852125 MHP852125 MRL852125 NBH852125 NLD852125 NUZ852125 OEV852125 OOR852125 OYN852125 PIJ852125 PSF852125 QCB852125 QLX852125 QVT852125 RFP852125 RPL852125 RZH852125 SJD852125 SSZ852125 TCV852125 TMR852125 TWN852125 UGJ852125 UQF852125 VAB852125 VJX852125 VTT852125 WDP852125 WNL852125 WXH852125 AZ917661 KV917661 UR917661 AEN917661 AOJ917661 AYF917661 BIB917661 BRX917661 CBT917661 CLP917661 CVL917661 DFH917661 DPD917661 DYZ917661 EIV917661 ESR917661 FCN917661 FMJ917661 FWF917661 GGB917661 GPX917661 GZT917661 HJP917661 HTL917661 IDH917661 IND917661 IWZ917661 JGV917661 JQR917661 KAN917661 KKJ917661 KUF917661 LEB917661 LNX917661 LXT917661 MHP917661 MRL917661 NBH917661 NLD917661 NUZ917661 OEV917661 OOR917661 OYN917661 PIJ917661 PSF917661 QCB917661 QLX917661 QVT917661 RFP917661 RPL917661 RZH917661 SJD917661 SSZ917661 TCV917661 TMR917661 TWN917661 UGJ917661 UQF917661 VAB917661 VJX917661 VTT917661 WDP917661 WNL917661 WXH917661 AZ983197 KV983197 UR983197 AEN983197 AOJ983197 AYF983197 BIB983197 BRX983197 CBT983197 CLP983197 CVL983197 DFH983197 DPD983197 DYZ983197 EIV983197 ESR983197 FCN983197 FMJ983197 FWF983197 GGB983197 GPX983197 GZT983197 HJP983197 HTL983197 IDH983197 IND983197 IWZ983197 JGV983197 JQR983197 KAN983197 KKJ983197 KUF983197 LEB983197 LNX983197 LXT983197 MHP983197 MRL983197 NBH983197 NLD983197 NUZ983197 OEV983197 OOR983197 OYN983197 PIJ983197 PSF983197 QCB983197 QLX983197 QVT983197 RFP983197 RPL983197 RZH983197 SJD983197 SSZ983197 TCV983197 TMR983197 TWN983197 UGJ983197 UQF983197 VAB983197 VJX983197 VTT983197 WDP983197</xm:sqref>
        </x14:dataValidation>
        <x14:dataValidation type="list" allowBlank="1" showInputMessage="1" showErrorMessage="1">
          <x14:formula1>
            <xm:f>BDD!$I$128:$I$137</xm:f>
          </x14:formula1>
          <xm:sqref>WWD983124:WWD983126 V65620:V65622 JR65620:JR65622 TN65620:TN65622 ADJ65620:ADJ65622 ANF65620:ANF65622 AXB65620:AXB65622 BGX65620:BGX65622 BQT65620:BQT65622 CAP65620:CAP65622 CKL65620:CKL65622 CUH65620:CUH65622 DED65620:DED65622 DNZ65620:DNZ65622 DXV65620:DXV65622 EHR65620:EHR65622 ERN65620:ERN65622 FBJ65620:FBJ65622 FLF65620:FLF65622 FVB65620:FVB65622 GEX65620:GEX65622 GOT65620:GOT65622 GYP65620:GYP65622 HIL65620:HIL65622 HSH65620:HSH65622 ICD65620:ICD65622 ILZ65620:ILZ65622 IVV65620:IVV65622 JFR65620:JFR65622 JPN65620:JPN65622 JZJ65620:JZJ65622 KJF65620:KJF65622 KTB65620:KTB65622 LCX65620:LCX65622 LMT65620:LMT65622 LWP65620:LWP65622 MGL65620:MGL65622 MQH65620:MQH65622 NAD65620:NAD65622 NJZ65620:NJZ65622 NTV65620:NTV65622 ODR65620:ODR65622 ONN65620:ONN65622 OXJ65620:OXJ65622 PHF65620:PHF65622 PRB65620:PRB65622 QAX65620:QAX65622 QKT65620:QKT65622 QUP65620:QUP65622 REL65620:REL65622 ROH65620:ROH65622 RYD65620:RYD65622 SHZ65620:SHZ65622 SRV65620:SRV65622 TBR65620:TBR65622 TLN65620:TLN65622 TVJ65620:TVJ65622 UFF65620:UFF65622 UPB65620:UPB65622 UYX65620:UYX65622 VIT65620:VIT65622 VSP65620:VSP65622 WCL65620:WCL65622 WMH65620:WMH65622 WWD65620:WWD65622 V131156:V131158 JR131156:JR131158 TN131156:TN131158 ADJ131156:ADJ131158 ANF131156:ANF131158 AXB131156:AXB131158 BGX131156:BGX131158 BQT131156:BQT131158 CAP131156:CAP131158 CKL131156:CKL131158 CUH131156:CUH131158 DED131156:DED131158 DNZ131156:DNZ131158 DXV131156:DXV131158 EHR131156:EHR131158 ERN131156:ERN131158 FBJ131156:FBJ131158 FLF131156:FLF131158 FVB131156:FVB131158 GEX131156:GEX131158 GOT131156:GOT131158 GYP131156:GYP131158 HIL131156:HIL131158 HSH131156:HSH131158 ICD131156:ICD131158 ILZ131156:ILZ131158 IVV131156:IVV131158 JFR131156:JFR131158 JPN131156:JPN131158 JZJ131156:JZJ131158 KJF131156:KJF131158 KTB131156:KTB131158 LCX131156:LCX131158 LMT131156:LMT131158 LWP131156:LWP131158 MGL131156:MGL131158 MQH131156:MQH131158 NAD131156:NAD131158 NJZ131156:NJZ131158 NTV131156:NTV131158 ODR131156:ODR131158 ONN131156:ONN131158 OXJ131156:OXJ131158 PHF131156:PHF131158 PRB131156:PRB131158 QAX131156:QAX131158 QKT131156:QKT131158 QUP131156:QUP131158 REL131156:REL131158 ROH131156:ROH131158 RYD131156:RYD131158 SHZ131156:SHZ131158 SRV131156:SRV131158 TBR131156:TBR131158 TLN131156:TLN131158 TVJ131156:TVJ131158 UFF131156:UFF131158 UPB131156:UPB131158 UYX131156:UYX131158 VIT131156:VIT131158 VSP131156:VSP131158 WCL131156:WCL131158 WMH131156:WMH131158 WWD131156:WWD131158 V196692:V196694 JR196692:JR196694 TN196692:TN196694 ADJ196692:ADJ196694 ANF196692:ANF196694 AXB196692:AXB196694 BGX196692:BGX196694 BQT196692:BQT196694 CAP196692:CAP196694 CKL196692:CKL196694 CUH196692:CUH196694 DED196692:DED196694 DNZ196692:DNZ196694 DXV196692:DXV196694 EHR196692:EHR196694 ERN196692:ERN196694 FBJ196692:FBJ196694 FLF196692:FLF196694 FVB196692:FVB196694 GEX196692:GEX196694 GOT196692:GOT196694 GYP196692:GYP196694 HIL196692:HIL196694 HSH196692:HSH196694 ICD196692:ICD196694 ILZ196692:ILZ196694 IVV196692:IVV196694 JFR196692:JFR196694 JPN196692:JPN196694 JZJ196692:JZJ196694 KJF196692:KJF196694 KTB196692:KTB196694 LCX196692:LCX196694 LMT196692:LMT196694 LWP196692:LWP196694 MGL196692:MGL196694 MQH196692:MQH196694 NAD196692:NAD196694 NJZ196692:NJZ196694 NTV196692:NTV196694 ODR196692:ODR196694 ONN196692:ONN196694 OXJ196692:OXJ196694 PHF196692:PHF196694 PRB196692:PRB196694 QAX196692:QAX196694 QKT196692:QKT196694 QUP196692:QUP196694 REL196692:REL196694 ROH196692:ROH196694 RYD196692:RYD196694 SHZ196692:SHZ196694 SRV196692:SRV196694 TBR196692:TBR196694 TLN196692:TLN196694 TVJ196692:TVJ196694 UFF196692:UFF196694 UPB196692:UPB196694 UYX196692:UYX196694 VIT196692:VIT196694 VSP196692:VSP196694 WCL196692:WCL196694 WMH196692:WMH196694 WWD196692:WWD196694 V262228:V262230 JR262228:JR262230 TN262228:TN262230 ADJ262228:ADJ262230 ANF262228:ANF262230 AXB262228:AXB262230 BGX262228:BGX262230 BQT262228:BQT262230 CAP262228:CAP262230 CKL262228:CKL262230 CUH262228:CUH262230 DED262228:DED262230 DNZ262228:DNZ262230 DXV262228:DXV262230 EHR262228:EHR262230 ERN262228:ERN262230 FBJ262228:FBJ262230 FLF262228:FLF262230 FVB262228:FVB262230 GEX262228:GEX262230 GOT262228:GOT262230 GYP262228:GYP262230 HIL262228:HIL262230 HSH262228:HSH262230 ICD262228:ICD262230 ILZ262228:ILZ262230 IVV262228:IVV262230 JFR262228:JFR262230 JPN262228:JPN262230 JZJ262228:JZJ262230 KJF262228:KJF262230 KTB262228:KTB262230 LCX262228:LCX262230 LMT262228:LMT262230 LWP262228:LWP262230 MGL262228:MGL262230 MQH262228:MQH262230 NAD262228:NAD262230 NJZ262228:NJZ262230 NTV262228:NTV262230 ODR262228:ODR262230 ONN262228:ONN262230 OXJ262228:OXJ262230 PHF262228:PHF262230 PRB262228:PRB262230 QAX262228:QAX262230 QKT262228:QKT262230 QUP262228:QUP262230 REL262228:REL262230 ROH262228:ROH262230 RYD262228:RYD262230 SHZ262228:SHZ262230 SRV262228:SRV262230 TBR262228:TBR262230 TLN262228:TLN262230 TVJ262228:TVJ262230 UFF262228:UFF262230 UPB262228:UPB262230 UYX262228:UYX262230 VIT262228:VIT262230 VSP262228:VSP262230 WCL262228:WCL262230 WMH262228:WMH262230 WWD262228:WWD262230 V327764:V327766 JR327764:JR327766 TN327764:TN327766 ADJ327764:ADJ327766 ANF327764:ANF327766 AXB327764:AXB327766 BGX327764:BGX327766 BQT327764:BQT327766 CAP327764:CAP327766 CKL327764:CKL327766 CUH327764:CUH327766 DED327764:DED327766 DNZ327764:DNZ327766 DXV327764:DXV327766 EHR327764:EHR327766 ERN327764:ERN327766 FBJ327764:FBJ327766 FLF327764:FLF327766 FVB327764:FVB327766 GEX327764:GEX327766 GOT327764:GOT327766 GYP327764:GYP327766 HIL327764:HIL327766 HSH327764:HSH327766 ICD327764:ICD327766 ILZ327764:ILZ327766 IVV327764:IVV327766 JFR327764:JFR327766 JPN327764:JPN327766 JZJ327764:JZJ327766 KJF327764:KJF327766 KTB327764:KTB327766 LCX327764:LCX327766 LMT327764:LMT327766 LWP327764:LWP327766 MGL327764:MGL327766 MQH327764:MQH327766 NAD327764:NAD327766 NJZ327764:NJZ327766 NTV327764:NTV327766 ODR327764:ODR327766 ONN327764:ONN327766 OXJ327764:OXJ327766 PHF327764:PHF327766 PRB327764:PRB327766 QAX327764:QAX327766 QKT327764:QKT327766 QUP327764:QUP327766 REL327764:REL327766 ROH327764:ROH327766 RYD327764:RYD327766 SHZ327764:SHZ327766 SRV327764:SRV327766 TBR327764:TBR327766 TLN327764:TLN327766 TVJ327764:TVJ327766 UFF327764:UFF327766 UPB327764:UPB327766 UYX327764:UYX327766 VIT327764:VIT327766 VSP327764:VSP327766 WCL327764:WCL327766 WMH327764:WMH327766 WWD327764:WWD327766 V393300:V393302 JR393300:JR393302 TN393300:TN393302 ADJ393300:ADJ393302 ANF393300:ANF393302 AXB393300:AXB393302 BGX393300:BGX393302 BQT393300:BQT393302 CAP393300:CAP393302 CKL393300:CKL393302 CUH393300:CUH393302 DED393300:DED393302 DNZ393300:DNZ393302 DXV393300:DXV393302 EHR393300:EHR393302 ERN393300:ERN393302 FBJ393300:FBJ393302 FLF393300:FLF393302 FVB393300:FVB393302 GEX393300:GEX393302 GOT393300:GOT393302 GYP393300:GYP393302 HIL393300:HIL393302 HSH393300:HSH393302 ICD393300:ICD393302 ILZ393300:ILZ393302 IVV393300:IVV393302 JFR393300:JFR393302 JPN393300:JPN393302 JZJ393300:JZJ393302 KJF393300:KJF393302 KTB393300:KTB393302 LCX393300:LCX393302 LMT393300:LMT393302 LWP393300:LWP393302 MGL393300:MGL393302 MQH393300:MQH393302 NAD393300:NAD393302 NJZ393300:NJZ393302 NTV393300:NTV393302 ODR393300:ODR393302 ONN393300:ONN393302 OXJ393300:OXJ393302 PHF393300:PHF393302 PRB393300:PRB393302 QAX393300:QAX393302 QKT393300:QKT393302 QUP393300:QUP393302 REL393300:REL393302 ROH393300:ROH393302 RYD393300:RYD393302 SHZ393300:SHZ393302 SRV393300:SRV393302 TBR393300:TBR393302 TLN393300:TLN393302 TVJ393300:TVJ393302 UFF393300:UFF393302 UPB393300:UPB393302 UYX393300:UYX393302 VIT393300:VIT393302 VSP393300:VSP393302 WCL393300:WCL393302 WMH393300:WMH393302 WWD393300:WWD393302 V458836:V458838 JR458836:JR458838 TN458836:TN458838 ADJ458836:ADJ458838 ANF458836:ANF458838 AXB458836:AXB458838 BGX458836:BGX458838 BQT458836:BQT458838 CAP458836:CAP458838 CKL458836:CKL458838 CUH458836:CUH458838 DED458836:DED458838 DNZ458836:DNZ458838 DXV458836:DXV458838 EHR458836:EHR458838 ERN458836:ERN458838 FBJ458836:FBJ458838 FLF458836:FLF458838 FVB458836:FVB458838 GEX458836:GEX458838 GOT458836:GOT458838 GYP458836:GYP458838 HIL458836:HIL458838 HSH458836:HSH458838 ICD458836:ICD458838 ILZ458836:ILZ458838 IVV458836:IVV458838 JFR458836:JFR458838 JPN458836:JPN458838 JZJ458836:JZJ458838 KJF458836:KJF458838 KTB458836:KTB458838 LCX458836:LCX458838 LMT458836:LMT458838 LWP458836:LWP458838 MGL458836:MGL458838 MQH458836:MQH458838 NAD458836:NAD458838 NJZ458836:NJZ458838 NTV458836:NTV458838 ODR458836:ODR458838 ONN458836:ONN458838 OXJ458836:OXJ458838 PHF458836:PHF458838 PRB458836:PRB458838 QAX458836:QAX458838 QKT458836:QKT458838 QUP458836:QUP458838 REL458836:REL458838 ROH458836:ROH458838 RYD458836:RYD458838 SHZ458836:SHZ458838 SRV458836:SRV458838 TBR458836:TBR458838 TLN458836:TLN458838 TVJ458836:TVJ458838 UFF458836:UFF458838 UPB458836:UPB458838 UYX458836:UYX458838 VIT458836:VIT458838 VSP458836:VSP458838 WCL458836:WCL458838 WMH458836:WMH458838 WWD458836:WWD458838 V524372:V524374 JR524372:JR524374 TN524372:TN524374 ADJ524372:ADJ524374 ANF524372:ANF524374 AXB524372:AXB524374 BGX524372:BGX524374 BQT524372:BQT524374 CAP524372:CAP524374 CKL524372:CKL524374 CUH524372:CUH524374 DED524372:DED524374 DNZ524372:DNZ524374 DXV524372:DXV524374 EHR524372:EHR524374 ERN524372:ERN524374 FBJ524372:FBJ524374 FLF524372:FLF524374 FVB524372:FVB524374 GEX524372:GEX524374 GOT524372:GOT524374 GYP524372:GYP524374 HIL524372:HIL524374 HSH524372:HSH524374 ICD524372:ICD524374 ILZ524372:ILZ524374 IVV524372:IVV524374 JFR524372:JFR524374 JPN524372:JPN524374 JZJ524372:JZJ524374 KJF524372:KJF524374 KTB524372:KTB524374 LCX524372:LCX524374 LMT524372:LMT524374 LWP524372:LWP524374 MGL524372:MGL524374 MQH524372:MQH524374 NAD524372:NAD524374 NJZ524372:NJZ524374 NTV524372:NTV524374 ODR524372:ODR524374 ONN524372:ONN524374 OXJ524372:OXJ524374 PHF524372:PHF524374 PRB524372:PRB524374 QAX524372:QAX524374 QKT524372:QKT524374 QUP524372:QUP524374 REL524372:REL524374 ROH524372:ROH524374 RYD524372:RYD524374 SHZ524372:SHZ524374 SRV524372:SRV524374 TBR524372:TBR524374 TLN524372:TLN524374 TVJ524372:TVJ524374 UFF524372:UFF524374 UPB524372:UPB524374 UYX524372:UYX524374 VIT524372:VIT524374 VSP524372:VSP524374 WCL524372:WCL524374 WMH524372:WMH524374 WWD524372:WWD524374 V589908:V589910 JR589908:JR589910 TN589908:TN589910 ADJ589908:ADJ589910 ANF589908:ANF589910 AXB589908:AXB589910 BGX589908:BGX589910 BQT589908:BQT589910 CAP589908:CAP589910 CKL589908:CKL589910 CUH589908:CUH589910 DED589908:DED589910 DNZ589908:DNZ589910 DXV589908:DXV589910 EHR589908:EHR589910 ERN589908:ERN589910 FBJ589908:FBJ589910 FLF589908:FLF589910 FVB589908:FVB589910 GEX589908:GEX589910 GOT589908:GOT589910 GYP589908:GYP589910 HIL589908:HIL589910 HSH589908:HSH589910 ICD589908:ICD589910 ILZ589908:ILZ589910 IVV589908:IVV589910 JFR589908:JFR589910 JPN589908:JPN589910 JZJ589908:JZJ589910 KJF589908:KJF589910 KTB589908:KTB589910 LCX589908:LCX589910 LMT589908:LMT589910 LWP589908:LWP589910 MGL589908:MGL589910 MQH589908:MQH589910 NAD589908:NAD589910 NJZ589908:NJZ589910 NTV589908:NTV589910 ODR589908:ODR589910 ONN589908:ONN589910 OXJ589908:OXJ589910 PHF589908:PHF589910 PRB589908:PRB589910 QAX589908:QAX589910 QKT589908:QKT589910 QUP589908:QUP589910 REL589908:REL589910 ROH589908:ROH589910 RYD589908:RYD589910 SHZ589908:SHZ589910 SRV589908:SRV589910 TBR589908:TBR589910 TLN589908:TLN589910 TVJ589908:TVJ589910 UFF589908:UFF589910 UPB589908:UPB589910 UYX589908:UYX589910 VIT589908:VIT589910 VSP589908:VSP589910 WCL589908:WCL589910 WMH589908:WMH589910 WWD589908:WWD589910 V655444:V655446 JR655444:JR655446 TN655444:TN655446 ADJ655444:ADJ655446 ANF655444:ANF655446 AXB655444:AXB655446 BGX655444:BGX655446 BQT655444:BQT655446 CAP655444:CAP655446 CKL655444:CKL655446 CUH655444:CUH655446 DED655444:DED655446 DNZ655444:DNZ655446 DXV655444:DXV655446 EHR655444:EHR655446 ERN655444:ERN655446 FBJ655444:FBJ655446 FLF655444:FLF655446 FVB655444:FVB655446 GEX655444:GEX655446 GOT655444:GOT655446 GYP655444:GYP655446 HIL655444:HIL655446 HSH655444:HSH655446 ICD655444:ICD655446 ILZ655444:ILZ655446 IVV655444:IVV655446 JFR655444:JFR655446 JPN655444:JPN655446 JZJ655444:JZJ655446 KJF655444:KJF655446 KTB655444:KTB655446 LCX655444:LCX655446 LMT655444:LMT655446 LWP655444:LWP655446 MGL655444:MGL655446 MQH655444:MQH655446 NAD655444:NAD655446 NJZ655444:NJZ655446 NTV655444:NTV655446 ODR655444:ODR655446 ONN655444:ONN655446 OXJ655444:OXJ655446 PHF655444:PHF655446 PRB655444:PRB655446 QAX655444:QAX655446 QKT655444:QKT655446 QUP655444:QUP655446 REL655444:REL655446 ROH655444:ROH655446 RYD655444:RYD655446 SHZ655444:SHZ655446 SRV655444:SRV655446 TBR655444:TBR655446 TLN655444:TLN655446 TVJ655444:TVJ655446 UFF655444:UFF655446 UPB655444:UPB655446 UYX655444:UYX655446 VIT655444:VIT655446 VSP655444:VSP655446 WCL655444:WCL655446 WMH655444:WMH655446 WWD655444:WWD655446 V720980:V720982 JR720980:JR720982 TN720980:TN720982 ADJ720980:ADJ720982 ANF720980:ANF720982 AXB720980:AXB720982 BGX720980:BGX720982 BQT720980:BQT720982 CAP720980:CAP720982 CKL720980:CKL720982 CUH720980:CUH720982 DED720980:DED720982 DNZ720980:DNZ720982 DXV720980:DXV720982 EHR720980:EHR720982 ERN720980:ERN720982 FBJ720980:FBJ720982 FLF720980:FLF720982 FVB720980:FVB720982 GEX720980:GEX720982 GOT720980:GOT720982 GYP720980:GYP720982 HIL720980:HIL720982 HSH720980:HSH720982 ICD720980:ICD720982 ILZ720980:ILZ720982 IVV720980:IVV720982 JFR720980:JFR720982 JPN720980:JPN720982 JZJ720980:JZJ720982 KJF720980:KJF720982 KTB720980:KTB720982 LCX720980:LCX720982 LMT720980:LMT720982 LWP720980:LWP720982 MGL720980:MGL720982 MQH720980:MQH720982 NAD720980:NAD720982 NJZ720980:NJZ720982 NTV720980:NTV720982 ODR720980:ODR720982 ONN720980:ONN720982 OXJ720980:OXJ720982 PHF720980:PHF720982 PRB720980:PRB720982 QAX720980:QAX720982 QKT720980:QKT720982 QUP720980:QUP720982 REL720980:REL720982 ROH720980:ROH720982 RYD720980:RYD720982 SHZ720980:SHZ720982 SRV720980:SRV720982 TBR720980:TBR720982 TLN720980:TLN720982 TVJ720980:TVJ720982 UFF720980:UFF720982 UPB720980:UPB720982 UYX720980:UYX720982 VIT720980:VIT720982 VSP720980:VSP720982 WCL720980:WCL720982 WMH720980:WMH720982 WWD720980:WWD720982 V786516:V786518 JR786516:JR786518 TN786516:TN786518 ADJ786516:ADJ786518 ANF786516:ANF786518 AXB786516:AXB786518 BGX786516:BGX786518 BQT786516:BQT786518 CAP786516:CAP786518 CKL786516:CKL786518 CUH786516:CUH786518 DED786516:DED786518 DNZ786516:DNZ786518 DXV786516:DXV786518 EHR786516:EHR786518 ERN786516:ERN786518 FBJ786516:FBJ786518 FLF786516:FLF786518 FVB786516:FVB786518 GEX786516:GEX786518 GOT786516:GOT786518 GYP786516:GYP786518 HIL786516:HIL786518 HSH786516:HSH786518 ICD786516:ICD786518 ILZ786516:ILZ786518 IVV786516:IVV786518 JFR786516:JFR786518 JPN786516:JPN786518 JZJ786516:JZJ786518 KJF786516:KJF786518 KTB786516:KTB786518 LCX786516:LCX786518 LMT786516:LMT786518 LWP786516:LWP786518 MGL786516:MGL786518 MQH786516:MQH786518 NAD786516:NAD786518 NJZ786516:NJZ786518 NTV786516:NTV786518 ODR786516:ODR786518 ONN786516:ONN786518 OXJ786516:OXJ786518 PHF786516:PHF786518 PRB786516:PRB786518 QAX786516:QAX786518 QKT786516:QKT786518 QUP786516:QUP786518 REL786516:REL786518 ROH786516:ROH786518 RYD786516:RYD786518 SHZ786516:SHZ786518 SRV786516:SRV786518 TBR786516:TBR786518 TLN786516:TLN786518 TVJ786516:TVJ786518 UFF786516:UFF786518 UPB786516:UPB786518 UYX786516:UYX786518 VIT786516:VIT786518 VSP786516:VSP786518 WCL786516:WCL786518 WMH786516:WMH786518 WWD786516:WWD786518 V852052:V852054 JR852052:JR852054 TN852052:TN852054 ADJ852052:ADJ852054 ANF852052:ANF852054 AXB852052:AXB852054 BGX852052:BGX852054 BQT852052:BQT852054 CAP852052:CAP852054 CKL852052:CKL852054 CUH852052:CUH852054 DED852052:DED852054 DNZ852052:DNZ852054 DXV852052:DXV852054 EHR852052:EHR852054 ERN852052:ERN852054 FBJ852052:FBJ852054 FLF852052:FLF852054 FVB852052:FVB852054 GEX852052:GEX852054 GOT852052:GOT852054 GYP852052:GYP852054 HIL852052:HIL852054 HSH852052:HSH852054 ICD852052:ICD852054 ILZ852052:ILZ852054 IVV852052:IVV852054 JFR852052:JFR852054 JPN852052:JPN852054 JZJ852052:JZJ852054 KJF852052:KJF852054 KTB852052:KTB852054 LCX852052:LCX852054 LMT852052:LMT852054 LWP852052:LWP852054 MGL852052:MGL852054 MQH852052:MQH852054 NAD852052:NAD852054 NJZ852052:NJZ852054 NTV852052:NTV852054 ODR852052:ODR852054 ONN852052:ONN852054 OXJ852052:OXJ852054 PHF852052:PHF852054 PRB852052:PRB852054 QAX852052:QAX852054 QKT852052:QKT852054 QUP852052:QUP852054 REL852052:REL852054 ROH852052:ROH852054 RYD852052:RYD852054 SHZ852052:SHZ852054 SRV852052:SRV852054 TBR852052:TBR852054 TLN852052:TLN852054 TVJ852052:TVJ852054 UFF852052:UFF852054 UPB852052:UPB852054 UYX852052:UYX852054 VIT852052:VIT852054 VSP852052:VSP852054 WCL852052:WCL852054 WMH852052:WMH852054 WWD852052:WWD852054 V917588:V917590 JR917588:JR917590 TN917588:TN917590 ADJ917588:ADJ917590 ANF917588:ANF917590 AXB917588:AXB917590 BGX917588:BGX917590 BQT917588:BQT917590 CAP917588:CAP917590 CKL917588:CKL917590 CUH917588:CUH917590 DED917588:DED917590 DNZ917588:DNZ917590 DXV917588:DXV917590 EHR917588:EHR917590 ERN917588:ERN917590 FBJ917588:FBJ917590 FLF917588:FLF917590 FVB917588:FVB917590 GEX917588:GEX917590 GOT917588:GOT917590 GYP917588:GYP917590 HIL917588:HIL917590 HSH917588:HSH917590 ICD917588:ICD917590 ILZ917588:ILZ917590 IVV917588:IVV917590 JFR917588:JFR917590 JPN917588:JPN917590 JZJ917588:JZJ917590 KJF917588:KJF917590 KTB917588:KTB917590 LCX917588:LCX917590 LMT917588:LMT917590 LWP917588:LWP917590 MGL917588:MGL917590 MQH917588:MQH917590 NAD917588:NAD917590 NJZ917588:NJZ917590 NTV917588:NTV917590 ODR917588:ODR917590 ONN917588:ONN917590 OXJ917588:OXJ917590 PHF917588:PHF917590 PRB917588:PRB917590 QAX917588:QAX917590 QKT917588:QKT917590 QUP917588:QUP917590 REL917588:REL917590 ROH917588:ROH917590 RYD917588:RYD917590 SHZ917588:SHZ917590 SRV917588:SRV917590 TBR917588:TBR917590 TLN917588:TLN917590 TVJ917588:TVJ917590 UFF917588:UFF917590 UPB917588:UPB917590 UYX917588:UYX917590 VIT917588:VIT917590 VSP917588:VSP917590 WCL917588:WCL917590 WMH917588:WMH917590 WWD917588:WWD917590 V983124:V983126 JR983124:JR983126 TN983124:TN983126 ADJ983124:ADJ983126 ANF983124:ANF983126 AXB983124:AXB983126 BGX983124:BGX983126 BQT983124:BQT983126 CAP983124:CAP983126 CKL983124:CKL983126 CUH983124:CUH983126 DED983124:DED983126 DNZ983124:DNZ983126 DXV983124:DXV983126 EHR983124:EHR983126 ERN983124:ERN983126 FBJ983124:FBJ983126 FLF983124:FLF983126 FVB983124:FVB983126 GEX983124:GEX983126 GOT983124:GOT983126 GYP983124:GYP983126 HIL983124:HIL983126 HSH983124:HSH983126 ICD983124:ICD983126 ILZ983124:ILZ983126 IVV983124:IVV983126 JFR983124:JFR983126 JPN983124:JPN983126 JZJ983124:JZJ983126 KJF983124:KJF983126 KTB983124:KTB983126 LCX983124:LCX983126 LMT983124:LMT983126 LWP983124:LWP983126 MGL983124:MGL983126 MQH983124:MQH983126 NAD983124:NAD983126 NJZ983124:NJZ983126 NTV983124:NTV983126 ODR983124:ODR983126 ONN983124:ONN983126 OXJ983124:OXJ983126 PHF983124:PHF983126 PRB983124:PRB983126 QAX983124:QAX983126 QKT983124:QKT983126 QUP983124:QUP983126 REL983124:REL983126 ROH983124:ROH983126 RYD983124:RYD983126 SHZ983124:SHZ983126 SRV983124:SRV983126 TBR983124:TBR983126 TLN983124:TLN983126 TVJ983124:TVJ983126 UFF983124:UFF983126 UPB983124:UPB983126 UYX983124:UYX983126 VIT983124:VIT983126 VSP983124:VSP983126 WCL983124:WCL983126 WMH983124:WMH983126</xm:sqref>
        </x14:dataValidation>
        <x14:dataValidation type="list" allowBlank="1" showInputMessage="1" showErrorMessage="1">
          <x14:formula1>
            <xm:f>BDD!$O$127:$Q$127</xm:f>
          </x14:formula1>
          <xm:sqref>F4</xm:sqref>
        </x14:dataValidation>
        <x14:dataValidation type="list" allowBlank="1" showInputMessage="1" showErrorMessage="1">
          <x14:formula1>
            <xm:f>BDD!$K$127:$N$127</xm:f>
          </x14:formula1>
          <xm:sqref>G7:G9</xm:sqref>
        </x14:dataValidation>
        <x14:dataValidation type="list" allowBlank="1" showInputMessage="1" showErrorMessage="1">
          <x14:formula1>
            <xm:f>BDD!$M$27:$M$28</xm:f>
          </x14:formula1>
          <xm:sqref>H7:H13</xm:sqref>
        </x14:dataValidation>
        <x14:dataValidation type="list" allowBlank="1" showInputMessage="1" showErrorMessage="1">
          <x14:formula1>
            <xm:f>BDD!$K$164:$N$164</xm:f>
          </x14:formula1>
          <xm:sqref>F10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328"/>
  <sheetViews>
    <sheetView zoomScaleNormal="100" workbookViewId="0">
      <pane xSplit="2" topLeftCell="C1" activePane="topRight" state="frozenSplit"/>
      <selection pane="topRight"/>
    </sheetView>
  </sheetViews>
  <sheetFormatPr baseColWidth="10" defaultColWidth="10.140625" defaultRowHeight="12.75" x14ac:dyDescent="0.2"/>
  <cols>
    <col min="1" max="1" width="21.85546875" style="3" customWidth="1"/>
    <col min="2" max="2" width="17" style="3" customWidth="1"/>
    <col min="3" max="3" width="13" style="3" customWidth="1"/>
    <col min="4" max="4" width="10.140625" style="3" customWidth="1"/>
    <col min="5" max="5" width="14" style="3" customWidth="1"/>
    <col min="6" max="7" width="11.28515625" style="3" customWidth="1"/>
    <col min="8" max="11" width="10.140625" style="3" customWidth="1"/>
    <col min="12" max="12" width="13" style="3" customWidth="1"/>
    <col min="13" max="13" width="11.28515625" style="3" customWidth="1"/>
    <col min="14" max="30" width="10.140625" style="3" customWidth="1"/>
    <col min="31" max="51" width="10.140625" style="462" customWidth="1"/>
    <col min="52" max="245" width="10.140625" style="3"/>
    <col min="246" max="246" width="21.85546875" style="3" customWidth="1"/>
    <col min="247" max="247" width="17" style="3" customWidth="1"/>
    <col min="248" max="248" width="13" style="3" customWidth="1"/>
    <col min="249" max="249" width="10.140625" style="3" customWidth="1"/>
    <col min="250" max="250" width="14" style="3" customWidth="1"/>
    <col min="251" max="251" width="11.28515625" style="3" customWidth="1"/>
    <col min="252" max="256" width="10.140625" style="3" customWidth="1"/>
    <col min="257" max="257" width="13" style="3" customWidth="1"/>
    <col min="258" max="258" width="11.28515625" style="3" customWidth="1"/>
    <col min="259" max="307" width="10.140625" style="3" customWidth="1"/>
    <col min="308" max="501" width="10.140625" style="3"/>
    <col min="502" max="502" width="21.85546875" style="3" customWidth="1"/>
    <col min="503" max="503" width="17" style="3" customWidth="1"/>
    <col min="504" max="504" width="13" style="3" customWidth="1"/>
    <col min="505" max="505" width="10.140625" style="3" customWidth="1"/>
    <col min="506" max="506" width="14" style="3" customWidth="1"/>
    <col min="507" max="507" width="11.28515625" style="3" customWidth="1"/>
    <col min="508" max="512" width="10.140625" style="3" customWidth="1"/>
    <col min="513" max="513" width="13" style="3" customWidth="1"/>
    <col min="514" max="514" width="11.28515625" style="3" customWidth="1"/>
    <col min="515" max="563" width="10.140625" style="3" customWidth="1"/>
    <col min="564" max="757" width="10.140625" style="3"/>
    <col min="758" max="758" width="21.85546875" style="3" customWidth="1"/>
    <col min="759" max="759" width="17" style="3" customWidth="1"/>
    <col min="760" max="760" width="13" style="3" customWidth="1"/>
    <col min="761" max="761" width="10.140625" style="3" customWidth="1"/>
    <col min="762" max="762" width="14" style="3" customWidth="1"/>
    <col min="763" max="763" width="11.28515625" style="3" customWidth="1"/>
    <col min="764" max="768" width="10.140625" style="3" customWidth="1"/>
    <col min="769" max="769" width="13" style="3" customWidth="1"/>
    <col min="770" max="770" width="11.28515625" style="3" customWidth="1"/>
    <col min="771" max="819" width="10.140625" style="3" customWidth="1"/>
    <col min="820" max="1013" width="10.140625" style="3"/>
    <col min="1014" max="1014" width="21.85546875" style="3" customWidth="1"/>
    <col min="1015" max="1015" width="17" style="3" customWidth="1"/>
    <col min="1016" max="1016" width="13" style="3" customWidth="1"/>
    <col min="1017" max="1017" width="10.140625" style="3" customWidth="1"/>
    <col min="1018" max="1018" width="14" style="3" customWidth="1"/>
    <col min="1019" max="1019" width="11.28515625" style="3" customWidth="1"/>
    <col min="1020" max="1024" width="10.140625" style="3" customWidth="1"/>
    <col min="1025" max="1025" width="13" style="3" customWidth="1"/>
    <col min="1026" max="1026" width="11.28515625" style="3" customWidth="1"/>
    <col min="1027" max="1075" width="10.140625" style="3" customWidth="1"/>
    <col min="1076" max="1269" width="10.140625" style="3"/>
    <col min="1270" max="1270" width="21.85546875" style="3" customWidth="1"/>
    <col min="1271" max="1271" width="17" style="3" customWidth="1"/>
    <col min="1272" max="1272" width="13" style="3" customWidth="1"/>
    <col min="1273" max="1273" width="10.140625" style="3" customWidth="1"/>
    <col min="1274" max="1274" width="14" style="3" customWidth="1"/>
    <col min="1275" max="1275" width="11.28515625" style="3" customWidth="1"/>
    <col min="1276" max="1280" width="10.140625" style="3" customWidth="1"/>
    <col min="1281" max="1281" width="13" style="3" customWidth="1"/>
    <col min="1282" max="1282" width="11.28515625" style="3" customWidth="1"/>
    <col min="1283" max="1331" width="10.140625" style="3" customWidth="1"/>
    <col min="1332" max="1525" width="10.140625" style="3"/>
    <col min="1526" max="1526" width="21.85546875" style="3" customWidth="1"/>
    <col min="1527" max="1527" width="17" style="3" customWidth="1"/>
    <col min="1528" max="1528" width="13" style="3" customWidth="1"/>
    <col min="1529" max="1529" width="10.140625" style="3" customWidth="1"/>
    <col min="1530" max="1530" width="14" style="3" customWidth="1"/>
    <col min="1531" max="1531" width="11.28515625" style="3" customWidth="1"/>
    <col min="1532" max="1536" width="10.140625" style="3" customWidth="1"/>
    <col min="1537" max="1537" width="13" style="3" customWidth="1"/>
    <col min="1538" max="1538" width="11.28515625" style="3" customWidth="1"/>
    <col min="1539" max="1587" width="10.140625" style="3" customWidth="1"/>
    <col min="1588" max="1781" width="10.140625" style="3"/>
    <col min="1782" max="1782" width="21.85546875" style="3" customWidth="1"/>
    <col min="1783" max="1783" width="17" style="3" customWidth="1"/>
    <col min="1784" max="1784" width="13" style="3" customWidth="1"/>
    <col min="1785" max="1785" width="10.140625" style="3" customWidth="1"/>
    <col min="1786" max="1786" width="14" style="3" customWidth="1"/>
    <col min="1787" max="1787" width="11.28515625" style="3" customWidth="1"/>
    <col min="1788" max="1792" width="10.140625" style="3" customWidth="1"/>
    <col min="1793" max="1793" width="13" style="3" customWidth="1"/>
    <col min="1794" max="1794" width="11.28515625" style="3" customWidth="1"/>
    <col min="1795" max="1843" width="10.140625" style="3" customWidth="1"/>
    <col min="1844" max="2037" width="10.140625" style="3"/>
    <col min="2038" max="2038" width="21.85546875" style="3" customWidth="1"/>
    <col min="2039" max="2039" width="17" style="3" customWidth="1"/>
    <col min="2040" max="2040" width="13" style="3" customWidth="1"/>
    <col min="2041" max="2041" width="10.140625" style="3" customWidth="1"/>
    <col min="2042" max="2042" width="14" style="3" customWidth="1"/>
    <col min="2043" max="2043" width="11.28515625" style="3" customWidth="1"/>
    <col min="2044" max="2048" width="10.140625" style="3" customWidth="1"/>
    <col min="2049" max="2049" width="13" style="3" customWidth="1"/>
    <col min="2050" max="2050" width="11.28515625" style="3" customWidth="1"/>
    <col min="2051" max="2099" width="10.140625" style="3" customWidth="1"/>
    <col min="2100" max="2293" width="10.140625" style="3"/>
    <col min="2294" max="2294" width="21.85546875" style="3" customWidth="1"/>
    <col min="2295" max="2295" width="17" style="3" customWidth="1"/>
    <col min="2296" max="2296" width="13" style="3" customWidth="1"/>
    <col min="2297" max="2297" width="10.140625" style="3" customWidth="1"/>
    <col min="2298" max="2298" width="14" style="3" customWidth="1"/>
    <col min="2299" max="2299" width="11.28515625" style="3" customWidth="1"/>
    <col min="2300" max="2304" width="10.140625" style="3" customWidth="1"/>
    <col min="2305" max="2305" width="13" style="3" customWidth="1"/>
    <col min="2306" max="2306" width="11.28515625" style="3" customWidth="1"/>
    <col min="2307" max="2355" width="10.140625" style="3" customWidth="1"/>
    <col min="2356" max="2549" width="10.140625" style="3"/>
    <col min="2550" max="2550" width="21.85546875" style="3" customWidth="1"/>
    <col min="2551" max="2551" width="17" style="3" customWidth="1"/>
    <col min="2552" max="2552" width="13" style="3" customWidth="1"/>
    <col min="2553" max="2553" width="10.140625" style="3" customWidth="1"/>
    <col min="2554" max="2554" width="14" style="3" customWidth="1"/>
    <col min="2555" max="2555" width="11.28515625" style="3" customWidth="1"/>
    <col min="2556" max="2560" width="10.140625" style="3" customWidth="1"/>
    <col min="2561" max="2561" width="13" style="3" customWidth="1"/>
    <col min="2562" max="2562" width="11.28515625" style="3" customWidth="1"/>
    <col min="2563" max="2611" width="10.140625" style="3" customWidth="1"/>
    <col min="2612" max="2805" width="10.140625" style="3"/>
    <col min="2806" max="2806" width="21.85546875" style="3" customWidth="1"/>
    <col min="2807" max="2807" width="17" style="3" customWidth="1"/>
    <col min="2808" max="2808" width="13" style="3" customWidth="1"/>
    <col min="2809" max="2809" width="10.140625" style="3" customWidth="1"/>
    <col min="2810" max="2810" width="14" style="3" customWidth="1"/>
    <col min="2811" max="2811" width="11.28515625" style="3" customWidth="1"/>
    <col min="2812" max="2816" width="10.140625" style="3" customWidth="1"/>
    <col min="2817" max="2817" width="13" style="3" customWidth="1"/>
    <col min="2818" max="2818" width="11.28515625" style="3" customWidth="1"/>
    <col min="2819" max="2867" width="10.140625" style="3" customWidth="1"/>
    <col min="2868" max="3061" width="10.140625" style="3"/>
    <col min="3062" max="3062" width="21.85546875" style="3" customWidth="1"/>
    <col min="3063" max="3063" width="17" style="3" customWidth="1"/>
    <col min="3064" max="3064" width="13" style="3" customWidth="1"/>
    <col min="3065" max="3065" width="10.140625" style="3" customWidth="1"/>
    <col min="3066" max="3066" width="14" style="3" customWidth="1"/>
    <col min="3067" max="3067" width="11.28515625" style="3" customWidth="1"/>
    <col min="3068" max="3072" width="10.140625" style="3" customWidth="1"/>
    <col min="3073" max="3073" width="13" style="3" customWidth="1"/>
    <col min="3074" max="3074" width="11.28515625" style="3" customWidth="1"/>
    <col min="3075" max="3123" width="10.140625" style="3" customWidth="1"/>
    <col min="3124" max="3317" width="10.140625" style="3"/>
    <col min="3318" max="3318" width="21.85546875" style="3" customWidth="1"/>
    <col min="3319" max="3319" width="17" style="3" customWidth="1"/>
    <col min="3320" max="3320" width="13" style="3" customWidth="1"/>
    <col min="3321" max="3321" width="10.140625" style="3" customWidth="1"/>
    <col min="3322" max="3322" width="14" style="3" customWidth="1"/>
    <col min="3323" max="3323" width="11.28515625" style="3" customWidth="1"/>
    <col min="3324" max="3328" width="10.140625" style="3" customWidth="1"/>
    <col min="3329" max="3329" width="13" style="3" customWidth="1"/>
    <col min="3330" max="3330" width="11.28515625" style="3" customWidth="1"/>
    <col min="3331" max="3379" width="10.140625" style="3" customWidth="1"/>
    <col min="3380" max="3573" width="10.140625" style="3"/>
    <col min="3574" max="3574" width="21.85546875" style="3" customWidth="1"/>
    <col min="3575" max="3575" width="17" style="3" customWidth="1"/>
    <col min="3576" max="3576" width="13" style="3" customWidth="1"/>
    <col min="3577" max="3577" width="10.140625" style="3" customWidth="1"/>
    <col min="3578" max="3578" width="14" style="3" customWidth="1"/>
    <col min="3579" max="3579" width="11.28515625" style="3" customWidth="1"/>
    <col min="3580" max="3584" width="10.140625" style="3" customWidth="1"/>
    <col min="3585" max="3585" width="13" style="3" customWidth="1"/>
    <col min="3586" max="3586" width="11.28515625" style="3" customWidth="1"/>
    <col min="3587" max="3635" width="10.140625" style="3" customWidth="1"/>
    <col min="3636" max="3829" width="10.140625" style="3"/>
    <col min="3830" max="3830" width="21.85546875" style="3" customWidth="1"/>
    <col min="3831" max="3831" width="17" style="3" customWidth="1"/>
    <col min="3832" max="3832" width="13" style="3" customWidth="1"/>
    <col min="3833" max="3833" width="10.140625" style="3" customWidth="1"/>
    <col min="3834" max="3834" width="14" style="3" customWidth="1"/>
    <col min="3835" max="3835" width="11.28515625" style="3" customWidth="1"/>
    <col min="3836" max="3840" width="10.140625" style="3" customWidth="1"/>
    <col min="3841" max="3841" width="13" style="3" customWidth="1"/>
    <col min="3842" max="3842" width="11.28515625" style="3" customWidth="1"/>
    <col min="3843" max="3891" width="10.140625" style="3" customWidth="1"/>
    <col min="3892" max="4085" width="10.140625" style="3"/>
    <col min="4086" max="4086" width="21.85546875" style="3" customWidth="1"/>
    <col min="4087" max="4087" width="17" style="3" customWidth="1"/>
    <col min="4088" max="4088" width="13" style="3" customWidth="1"/>
    <col min="4089" max="4089" width="10.140625" style="3" customWidth="1"/>
    <col min="4090" max="4090" width="14" style="3" customWidth="1"/>
    <col min="4091" max="4091" width="11.28515625" style="3" customWidth="1"/>
    <col min="4092" max="4096" width="10.140625" style="3" customWidth="1"/>
    <col min="4097" max="4097" width="13" style="3" customWidth="1"/>
    <col min="4098" max="4098" width="11.28515625" style="3" customWidth="1"/>
    <col min="4099" max="4147" width="10.140625" style="3" customWidth="1"/>
    <col min="4148" max="4341" width="10.140625" style="3"/>
    <col min="4342" max="4342" width="21.85546875" style="3" customWidth="1"/>
    <col min="4343" max="4343" width="17" style="3" customWidth="1"/>
    <col min="4344" max="4344" width="13" style="3" customWidth="1"/>
    <col min="4345" max="4345" width="10.140625" style="3" customWidth="1"/>
    <col min="4346" max="4346" width="14" style="3" customWidth="1"/>
    <col min="4347" max="4347" width="11.28515625" style="3" customWidth="1"/>
    <col min="4348" max="4352" width="10.140625" style="3" customWidth="1"/>
    <col min="4353" max="4353" width="13" style="3" customWidth="1"/>
    <col min="4354" max="4354" width="11.28515625" style="3" customWidth="1"/>
    <col min="4355" max="4403" width="10.140625" style="3" customWidth="1"/>
    <col min="4404" max="4597" width="10.140625" style="3"/>
    <col min="4598" max="4598" width="21.85546875" style="3" customWidth="1"/>
    <col min="4599" max="4599" width="17" style="3" customWidth="1"/>
    <col min="4600" max="4600" width="13" style="3" customWidth="1"/>
    <col min="4601" max="4601" width="10.140625" style="3" customWidth="1"/>
    <col min="4602" max="4602" width="14" style="3" customWidth="1"/>
    <col min="4603" max="4603" width="11.28515625" style="3" customWidth="1"/>
    <col min="4604" max="4608" width="10.140625" style="3" customWidth="1"/>
    <col min="4609" max="4609" width="13" style="3" customWidth="1"/>
    <col min="4610" max="4610" width="11.28515625" style="3" customWidth="1"/>
    <col min="4611" max="4659" width="10.140625" style="3" customWidth="1"/>
    <col min="4660" max="4853" width="10.140625" style="3"/>
    <col min="4854" max="4854" width="21.85546875" style="3" customWidth="1"/>
    <col min="4855" max="4855" width="17" style="3" customWidth="1"/>
    <col min="4856" max="4856" width="13" style="3" customWidth="1"/>
    <col min="4857" max="4857" width="10.140625" style="3" customWidth="1"/>
    <col min="4858" max="4858" width="14" style="3" customWidth="1"/>
    <col min="4859" max="4859" width="11.28515625" style="3" customWidth="1"/>
    <col min="4860" max="4864" width="10.140625" style="3" customWidth="1"/>
    <col min="4865" max="4865" width="13" style="3" customWidth="1"/>
    <col min="4866" max="4866" width="11.28515625" style="3" customWidth="1"/>
    <col min="4867" max="4915" width="10.140625" style="3" customWidth="1"/>
    <col min="4916" max="5109" width="10.140625" style="3"/>
    <col min="5110" max="5110" width="21.85546875" style="3" customWidth="1"/>
    <col min="5111" max="5111" width="17" style="3" customWidth="1"/>
    <col min="5112" max="5112" width="13" style="3" customWidth="1"/>
    <col min="5113" max="5113" width="10.140625" style="3" customWidth="1"/>
    <col min="5114" max="5114" width="14" style="3" customWidth="1"/>
    <col min="5115" max="5115" width="11.28515625" style="3" customWidth="1"/>
    <col min="5116" max="5120" width="10.140625" style="3" customWidth="1"/>
    <col min="5121" max="5121" width="13" style="3" customWidth="1"/>
    <col min="5122" max="5122" width="11.28515625" style="3" customWidth="1"/>
    <col min="5123" max="5171" width="10.140625" style="3" customWidth="1"/>
    <col min="5172" max="5365" width="10.140625" style="3"/>
    <col min="5366" max="5366" width="21.85546875" style="3" customWidth="1"/>
    <col min="5367" max="5367" width="17" style="3" customWidth="1"/>
    <col min="5368" max="5368" width="13" style="3" customWidth="1"/>
    <col min="5369" max="5369" width="10.140625" style="3" customWidth="1"/>
    <col min="5370" max="5370" width="14" style="3" customWidth="1"/>
    <col min="5371" max="5371" width="11.28515625" style="3" customWidth="1"/>
    <col min="5372" max="5376" width="10.140625" style="3" customWidth="1"/>
    <col min="5377" max="5377" width="13" style="3" customWidth="1"/>
    <col min="5378" max="5378" width="11.28515625" style="3" customWidth="1"/>
    <col min="5379" max="5427" width="10.140625" style="3" customWidth="1"/>
    <col min="5428" max="5621" width="10.140625" style="3"/>
    <col min="5622" max="5622" width="21.85546875" style="3" customWidth="1"/>
    <col min="5623" max="5623" width="17" style="3" customWidth="1"/>
    <col min="5624" max="5624" width="13" style="3" customWidth="1"/>
    <col min="5625" max="5625" width="10.140625" style="3" customWidth="1"/>
    <col min="5626" max="5626" width="14" style="3" customWidth="1"/>
    <col min="5627" max="5627" width="11.28515625" style="3" customWidth="1"/>
    <col min="5628" max="5632" width="10.140625" style="3" customWidth="1"/>
    <col min="5633" max="5633" width="13" style="3" customWidth="1"/>
    <col min="5634" max="5634" width="11.28515625" style="3" customWidth="1"/>
    <col min="5635" max="5683" width="10.140625" style="3" customWidth="1"/>
    <col min="5684" max="5877" width="10.140625" style="3"/>
    <col min="5878" max="5878" width="21.85546875" style="3" customWidth="1"/>
    <col min="5879" max="5879" width="17" style="3" customWidth="1"/>
    <col min="5880" max="5880" width="13" style="3" customWidth="1"/>
    <col min="5881" max="5881" width="10.140625" style="3" customWidth="1"/>
    <col min="5882" max="5882" width="14" style="3" customWidth="1"/>
    <col min="5883" max="5883" width="11.28515625" style="3" customWidth="1"/>
    <col min="5884" max="5888" width="10.140625" style="3" customWidth="1"/>
    <col min="5889" max="5889" width="13" style="3" customWidth="1"/>
    <col min="5890" max="5890" width="11.28515625" style="3" customWidth="1"/>
    <col min="5891" max="5939" width="10.140625" style="3" customWidth="1"/>
    <col min="5940" max="6133" width="10.140625" style="3"/>
    <col min="6134" max="6134" width="21.85546875" style="3" customWidth="1"/>
    <col min="6135" max="6135" width="17" style="3" customWidth="1"/>
    <col min="6136" max="6136" width="13" style="3" customWidth="1"/>
    <col min="6137" max="6137" width="10.140625" style="3" customWidth="1"/>
    <col min="6138" max="6138" width="14" style="3" customWidth="1"/>
    <col min="6139" max="6139" width="11.28515625" style="3" customWidth="1"/>
    <col min="6140" max="6144" width="10.140625" style="3" customWidth="1"/>
    <col min="6145" max="6145" width="13" style="3" customWidth="1"/>
    <col min="6146" max="6146" width="11.28515625" style="3" customWidth="1"/>
    <col min="6147" max="6195" width="10.140625" style="3" customWidth="1"/>
    <col min="6196" max="6389" width="10.140625" style="3"/>
    <col min="6390" max="6390" width="21.85546875" style="3" customWidth="1"/>
    <col min="6391" max="6391" width="17" style="3" customWidth="1"/>
    <col min="6392" max="6392" width="13" style="3" customWidth="1"/>
    <col min="6393" max="6393" width="10.140625" style="3" customWidth="1"/>
    <col min="6394" max="6394" width="14" style="3" customWidth="1"/>
    <col min="6395" max="6395" width="11.28515625" style="3" customWidth="1"/>
    <col min="6396" max="6400" width="10.140625" style="3" customWidth="1"/>
    <col min="6401" max="6401" width="13" style="3" customWidth="1"/>
    <col min="6402" max="6402" width="11.28515625" style="3" customWidth="1"/>
    <col min="6403" max="6451" width="10.140625" style="3" customWidth="1"/>
    <col min="6452" max="6645" width="10.140625" style="3"/>
    <col min="6646" max="6646" width="21.85546875" style="3" customWidth="1"/>
    <col min="6647" max="6647" width="17" style="3" customWidth="1"/>
    <col min="6648" max="6648" width="13" style="3" customWidth="1"/>
    <col min="6649" max="6649" width="10.140625" style="3" customWidth="1"/>
    <col min="6650" max="6650" width="14" style="3" customWidth="1"/>
    <col min="6651" max="6651" width="11.28515625" style="3" customWidth="1"/>
    <col min="6652" max="6656" width="10.140625" style="3" customWidth="1"/>
    <col min="6657" max="6657" width="13" style="3" customWidth="1"/>
    <col min="6658" max="6658" width="11.28515625" style="3" customWidth="1"/>
    <col min="6659" max="6707" width="10.140625" style="3" customWidth="1"/>
    <col min="6708" max="6901" width="10.140625" style="3"/>
    <col min="6902" max="6902" width="21.85546875" style="3" customWidth="1"/>
    <col min="6903" max="6903" width="17" style="3" customWidth="1"/>
    <col min="6904" max="6904" width="13" style="3" customWidth="1"/>
    <col min="6905" max="6905" width="10.140625" style="3" customWidth="1"/>
    <col min="6906" max="6906" width="14" style="3" customWidth="1"/>
    <col min="6907" max="6907" width="11.28515625" style="3" customWidth="1"/>
    <col min="6908" max="6912" width="10.140625" style="3" customWidth="1"/>
    <col min="6913" max="6913" width="13" style="3" customWidth="1"/>
    <col min="6914" max="6914" width="11.28515625" style="3" customWidth="1"/>
    <col min="6915" max="6963" width="10.140625" style="3" customWidth="1"/>
    <col min="6964" max="7157" width="10.140625" style="3"/>
    <col min="7158" max="7158" width="21.85546875" style="3" customWidth="1"/>
    <col min="7159" max="7159" width="17" style="3" customWidth="1"/>
    <col min="7160" max="7160" width="13" style="3" customWidth="1"/>
    <col min="7161" max="7161" width="10.140625" style="3" customWidth="1"/>
    <col min="7162" max="7162" width="14" style="3" customWidth="1"/>
    <col min="7163" max="7163" width="11.28515625" style="3" customWidth="1"/>
    <col min="7164" max="7168" width="10.140625" style="3" customWidth="1"/>
    <col min="7169" max="7169" width="13" style="3" customWidth="1"/>
    <col min="7170" max="7170" width="11.28515625" style="3" customWidth="1"/>
    <col min="7171" max="7219" width="10.140625" style="3" customWidth="1"/>
    <col min="7220" max="7413" width="10.140625" style="3"/>
    <col min="7414" max="7414" width="21.85546875" style="3" customWidth="1"/>
    <col min="7415" max="7415" width="17" style="3" customWidth="1"/>
    <col min="7416" max="7416" width="13" style="3" customWidth="1"/>
    <col min="7417" max="7417" width="10.140625" style="3" customWidth="1"/>
    <col min="7418" max="7418" width="14" style="3" customWidth="1"/>
    <col min="7419" max="7419" width="11.28515625" style="3" customWidth="1"/>
    <col min="7420" max="7424" width="10.140625" style="3" customWidth="1"/>
    <col min="7425" max="7425" width="13" style="3" customWidth="1"/>
    <col min="7426" max="7426" width="11.28515625" style="3" customWidth="1"/>
    <col min="7427" max="7475" width="10.140625" style="3" customWidth="1"/>
    <col min="7476" max="7669" width="10.140625" style="3"/>
    <col min="7670" max="7670" width="21.85546875" style="3" customWidth="1"/>
    <col min="7671" max="7671" width="17" style="3" customWidth="1"/>
    <col min="7672" max="7672" width="13" style="3" customWidth="1"/>
    <col min="7673" max="7673" width="10.140625" style="3" customWidth="1"/>
    <col min="7674" max="7674" width="14" style="3" customWidth="1"/>
    <col min="7675" max="7675" width="11.28515625" style="3" customWidth="1"/>
    <col min="7676" max="7680" width="10.140625" style="3" customWidth="1"/>
    <col min="7681" max="7681" width="13" style="3" customWidth="1"/>
    <col min="7682" max="7682" width="11.28515625" style="3" customWidth="1"/>
    <col min="7683" max="7731" width="10.140625" style="3" customWidth="1"/>
    <col min="7732" max="7925" width="10.140625" style="3"/>
    <col min="7926" max="7926" width="21.85546875" style="3" customWidth="1"/>
    <col min="7927" max="7927" width="17" style="3" customWidth="1"/>
    <col min="7928" max="7928" width="13" style="3" customWidth="1"/>
    <col min="7929" max="7929" width="10.140625" style="3" customWidth="1"/>
    <col min="7930" max="7930" width="14" style="3" customWidth="1"/>
    <col min="7931" max="7931" width="11.28515625" style="3" customWidth="1"/>
    <col min="7932" max="7936" width="10.140625" style="3" customWidth="1"/>
    <col min="7937" max="7937" width="13" style="3" customWidth="1"/>
    <col min="7938" max="7938" width="11.28515625" style="3" customWidth="1"/>
    <col min="7939" max="7987" width="10.140625" style="3" customWidth="1"/>
    <col min="7988" max="8181" width="10.140625" style="3"/>
    <col min="8182" max="8182" width="21.85546875" style="3" customWidth="1"/>
    <col min="8183" max="8183" width="17" style="3" customWidth="1"/>
    <col min="8184" max="8184" width="13" style="3" customWidth="1"/>
    <col min="8185" max="8185" width="10.140625" style="3" customWidth="1"/>
    <col min="8186" max="8186" width="14" style="3" customWidth="1"/>
    <col min="8187" max="8187" width="11.28515625" style="3" customWidth="1"/>
    <col min="8188" max="8192" width="10.140625" style="3" customWidth="1"/>
    <col min="8193" max="8193" width="13" style="3" customWidth="1"/>
    <col min="8194" max="8194" width="11.28515625" style="3" customWidth="1"/>
    <col min="8195" max="8243" width="10.140625" style="3" customWidth="1"/>
    <col min="8244" max="8437" width="10.140625" style="3"/>
    <col min="8438" max="8438" width="21.85546875" style="3" customWidth="1"/>
    <col min="8439" max="8439" width="17" style="3" customWidth="1"/>
    <col min="8440" max="8440" width="13" style="3" customWidth="1"/>
    <col min="8441" max="8441" width="10.140625" style="3" customWidth="1"/>
    <col min="8442" max="8442" width="14" style="3" customWidth="1"/>
    <col min="8443" max="8443" width="11.28515625" style="3" customWidth="1"/>
    <col min="8444" max="8448" width="10.140625" style="3" customWidth="1"/>
    <col min="8449" max="8449" width="13" style="3" customWidth="1"/>
    <col min="8450" max="8450" width="11.28515625" style="3" customWidth="1"/>
    <col min="8451" max="8499" width="10.140625" style="3" customWidth="1"/>
    <col min="8500" max="8693" width="10.140625" style="3"/>
    <col min="8694" max="8694" width="21.85546875" style="3" customWidth="1"/>
    <col min="8695" max="8695" width="17" style="3" customWidth="1"/>
    <col min="8696" max="8696" width="13" style="3" customWidth="1"/>
    <col min="8697" max="8697" width="10.140625" style="3" customWidth="1"/>
    <col min="8698" max="8698" width="14" style="3" customWidth="1"/>
    <col min="8699" max="8699" width="11.28515625" style="3" customWidth="1"/>
    <col min="8700" max="8704" width="10.140625" style="3" customWidth="1"/>
    <col min="8705" max="8705" width="13" style="3" customWidth="1"/>
    <col min="8706" max="8706" width="11.28515625" style="3" customWidth="1"/>
    <col min="8707" max="8755" width="10.140625" style="3" customWidth="1"/>
    <col min="8756" max="8949" width="10.140625" style="3"/>
    <col min="8950" max="8950" width="21.85546875" style="3" customWidth="1"/>
    <col min="8951" max="8951" width="17" style="3" customWidth="1"/>
    <col min="8952" max="8952" width="13" style="3" customWidth="1"/>
    <col min="8953" max="8953" width="10.140625" style="3" customWidth="1"/>
    <col min="8954" max="8954" width="14" style="3" customWidth="1"/>
    <col min="8955" max="8955" width="11.28515625" style="3" customWidth="1"/>
    <col min="8956" max="8960" width="10.140625" style="3" customWidth="1"/>
    <col min="8961" max="8961" width="13" style="3" customWidth="1"/>
    <col min="8962" max="8962" width="11.28515625" style="3" customWidth="1"/>
    <col min="8963" max="9011" width="10.140625" style="3" customWidth="1"/>
    <col min="9012" max="9205" width="10.140625" style="3"/>
    <col min="9206" max="9206" width="21.85546875" style="3" customWidth="1"/>
    <col min="9207" max="9207" width="17" style="3" customWidth="1"/>
    <col min="9208" max="9208" width="13" style="3" customWidth="1"/>
    <col min="9209" max="9209" width="10.140625" style="3" customWidth="1"/>
    <col min="9210" max="9210" width="14" style="3" customWidth="1"/>
    <col min="9211" max="9211" width="11.28515625" style="3" customWidth="1"/>
    <col min="9212" max="9216" width="10.140625" style="3" customWidth="1"/>
    <col min="9217" max="9217" width="13" style="3" customWidth="1"/>
    <col min="9218" max="9218" width="11.28515625" style="3" customWidth="1"/>
    <col min="9219" max="9267" width="10.140625" style="3" customWidth="1"/>
    <col min="9268" max="9461" width="10.140625" style="3"/>
    <col min="9462" max="9462" width="21.85546875" style="3" customWidth="1"/>
    <col min="9463" max="9463" width="17" style="3" customWidth="1"/>
    <col min="9464" max="9464" width="13" style="3" customWidth="1"/>
    <col min="9465" max="9465" width="10.140625" style="3" customWidth="1"/>
    <col min="9466" max="9466" width="14" style="3" customWidth="1"/>
    <col min="9467" max="9467" width="11.28515625" style="3" customWidth="1"/>
    <col min="9468" max="9472" width="10.140625" style="3" customWidth="1"/>
    <col min="9473" max="9473" width="13" style="3" customWidth="1"/>
    <col min="9474" max="9474" width="11.28515625" style="3" customWidth="1"/>
    <col min="9475" max="9523" width="10.140625" style="3" customWidth="1"/>
    <col min="9524" max="9717" width="10.140625" style="3"/>
    <col min="9718" max="9718" width="21.85546875" style="3" customWidth="1"/>
    <col min="9719" max="9719" width="17" style="3" customWidth="1"/>
    <col min="9720" max="9720" width="13" style="3" customWidth="1"/>
    <col min="9721" max="9721" width="10.140625" style="3" customWidth="1"/>
    <col min="9722" max="9722" width="14" style="3" customWidth="1"/>
    <col min="9723" max="9723" width="11.28515625" style="3" customWidth="1"/>
    <col min="9724" max="9728" width="10.140625" style="3" customWidth="1"/>
    <col min="9729" max="9729" width="13" style="3" customWidth="1"/>
    <col min="9730" max="9730" width="11.28515625" style="3" customWidth="1"/>
    <col min="9731" max="9779" width="10.140625" style="3" customWidth="1"/>
    <col min="9780" max="9973" width="10.140625" style="3"/>
    <col min="9974" max="9974" width="21.85546875" style="3" customWidth="1"/>
    <col min="9975" max="9975" width="17" style="3" customWidth="1"/>
    <col min="9976" max="9976" width="13" style="3" customWidth="1"/>
    <col min="9977" max="9977" width="10.140625" style="3" customWidth="1"/>
    <col min="9978" max="9978" width="14" style="3" customWidth="1"/>
    <col min="9979" max="9979" width="11.28515625" style="3" customWidth="1"/>
    <col min="9980" max="9984" width="10.140625" style="3" customWidth="1"/>
    <col min="9985" max="9985" width="13" style="3" customWidth="1"/>
    <col min="9986" max="9986" width="11.28515625" style="3" customWidth="1"/>
    <col min="9987" max="10035" width="10.140625" style="3" customWidth="1"/>
    <col min="10036" max="10229" width="10.140625" style="3"/>
    <col min="10230" max="10230" width="21.85546875" style="3" customWidth="1"/>
    <col min="10231" max="10231" width="17" style="3" customWidth="1"/>
    <col min="10232" max="10232" width="13" style="3" customWidth="1"/>
    <col min="10233" max="10233" width="10.140625" style="3" customWidth="1"/>
    <col min="10234" max="10234" width="14" style="3" customWidth="1"/>
    <col min="10235" max="10235" width="11.28515625" style="3" customWidth="1"/>
    <col min="10236" max="10240" width="10.140625" style="3" customWidth="1"/>
    <col min="10241" max="10241" width="13" style="3" customWidth="1"/>
    <col min="10242" max="10242" width="11.28515625" style="3" customWidth="1"/>
    <col min="10243" max="10291" width="10.140625" style="3" customWidth="1"/>
    <col min="10292" max="10485" width="10.140625" style="3"/>
    <col min="10486" max="10486" width="21.85546875" style="3" customWidth="1"/>
    <col min="10487" max="10487" width="17" style="3" customWidth="1"/>
    <col min="10488" max="10488" width="13" style="3" customWidth="1"/>
    <col min="10489" max="10489" width="10.140625" style="3" customWidth="1"/>
    <col min="10490" max="10490" width="14" style="3" customWidth="1"/>
    <col min="10491" max="10491" width="11.28515625" style="3" customWidth="1"/>
    <col min="10492" max="10496" width="10.140625" style="3" customWidth="1"/>
    <col min="10497" max="10497" width="13" style="3" customWidth="1"/>
    <col min="10498" max="10498" width="11.28515625" style="3" customWidth="1"/>
    <col min="10499" max="10547" width="10.140625" style="3" customWidth="1"/>
    <col min="10548" max="10741" width="10.140625" style="3"/>
    <col min="10742" max="10742" width="21.85546875" style="3" customWidth="1"/>
    <col min="10743" max="10743" width="17" style="3" customWidth="1"/>
    <col min="10744" max="10744" width="13" style="3" customWidth="1"/>
    <col min="10745" max="10745" width="10.140625" style="3" customWidth="1"/>
    <col min="10746" max="10746" width="14" style="3" customWidth="1"/>
    <col min="10747" max="10747" width="11.28515625" style="3" customWidth="1"/>
    <col min="10748" max="10752" width="10.140625" style="3" customWidth="1"/>
    <col min="10753" max="10753" width="13" style="3" customWidth="1"/>
    <col min="10754" max="10754" width="11.28515625" style="3" customWidth="1"/>
    <col min="10755" max="10803" width="10.140625" style="3" customWidth="1"/>
    <col min="10804" max="10997" width="10.140625" style="3"/>
    <col min="10998" max="10998" width="21.85546875" style="3" customWidth="1"/>
    <col min="10999" max="10999" width="17" style="3" customWidth="1"/>
    <col min="11000" max="11000" width="13" style="3" customWidth="1"/>
    <col min="11001" max="11001" width="10.140625" style="3" customWidth="1"/>
    <col min="11002" max="11002" width="14" style="3" customWidth="1"/>
    <col min="11003" max="11003" width="11.28515625" style="3" customWidth="1"/>
    <col min="11004" max="11008" width="10.140625" style="3" customWidth="1"/>
    <col min="11009" max="11009" width="13" style="3" customWidth="1"/>
    <col min="11010" max="11010" width="11.28515625" style="3" customWidth="1"/>
    <col min="11011" max="11059" width="10.140625" style="3" customWidth="1"/>
    <col min="11060" max="11253" width="10.140625" style="3"/>
    <col min="11254" max="11254" width="21.85546875" style="3" customWidth="1"/>
    <col min="11255" max="11255" width="17" style="3" customWidth="1"/>
    <col min="11256" max="11256" width="13" style="3" customWidth="1"/>
    <col min="11257" max="11257" width="10.140625" style="3" customWidth="1"/>
    <col min="11258" max="11258" width="14" style="3" customWidth="1"/>
    <col min="11259" max="11259" width="11.28515625" style="3" customWidth="1"/>
    <col min="11260" max="11264" width="10.140625" style="3" customWidth="1"/>
    <col min="11265" max="11265" width="13" style="3" customWidth="1"/>
    <col min="11266" max="11266" width="11.28515625" style="3" customWidth="1"/>
    <col min="11267" max="11315" width="10.140625" style="3" customWidth="1"/>
    <col min="11316" max="11509" width="10.140625" style="3"/>
    <col min="11510" max="11510" width="21.85546875" style="3" customWidth="1"/>
    <col min="11511" max="11511" width="17" style="3" customWidth="1"/>
    <col min="11512" max="11512" width="13" style="3" customWidth="1"/>
    <col min="11513" max="11513" width="10.140625" style="3" customWidth="1"/>
    <col min="11514" max="11514" width="14" style="3" customWidth="1"/>
    <col min="11515" max="11515" width="11.28515625" style="3" customWidth="1"/>
    <col min="11516" max="11520" width="10.140625" style="3" customWidth="1"/>
    <col min="11521" max="11521" width="13" style="3" customWidth="1"/>
    <col min="11522" max="11522" width="11.28515625" style="3" customWidth="1"/>
    <col min="11523" max="11571" width="10.140625" style="3" customWidth="1"/>
    <col min="11572" max="11765" width="10.140625" style="3"/>
    <col min="11766" max="11766" width="21.85546875" style="3" customWidth="1"/>
    <col min="11767" max="11767" width="17" style="3" customWidth="1"/>
    <col min="11768" max="11768" width="13" style="3" customWidth="1"/>
    <col min="11769" max="11769" width="10.140625" style="3" customWidth="1"/>
    <col min="11770" max="11770" width="14" style="3" customWidth="1"/>
    <col min="11771" max="11771" width="11.28515625" style="3" customWidth="1"/>
    <col min="11772" max="11776" width="10.140625" style="3" customWidth="1"/>
    <col min="11777" max="11777" width="13" style="3" customWidth="1"/>
    <col min="11778" max="11778" width="11.28515625" style="3" customWidth="1"/>
    <col min="11779" max="11827" width="10.140625" style="3" customWidth="1"/>
    <col min="11828" max="12021" width="10.140625" style="3"/>
    <col min="12022" max="12022" width="21.85546875" style="3" customWidth="1"/>
    <col min="12023" max="12023" width="17" style="3" customWidth="1"/>
    <col min="12024" max="12024" width="13" style="3" customWidth="1"/>
    <col min="12025" max="12025" width="10.140625" style="3" customWidth="1"/>
    <col min="12026" max="12026" width="14" style="3" customWidth="1"/>
    <col min="12027" max="12027" width="11.28515625" style="3" customWidth="1"/>
    <col min="12028" max="12032" width="10.140625" style="3" customWidth="1"/>
    <col min="12033" max="12033" width="13" style="3" customWidth="1"/>
    <col min="12034" max="12034" width="11.28515625" style="3" customWidth="1"/>
    <col min="12035" max="12083" width="10.140625" style="3" customWidth="1"/>
    <col min="12084" max="12277" width="10.140625" style="3"/>
    <col min="12278" max="12278" width="21.85546875" style="3" customWidth="1"/>
    <col min="12279" max="12279" width="17" style="3" customWidth="1"/>
    <col min="12280" max="12280" width="13" style="3" customWidth="1"/>
    <col min="12281" max="12281" width="10.140625" style="3" customWidth="1"/>
    <col min="12282" max="12282" width="14" style="3" customWidth="1"/>
    <col min="12283" max="12283" width="11.28515625" style="3" customWidth="1"/>
    <col min="12284" max="12288" width="10.140625" style="3" customWidth="1"/>
    <col min="12289" max="12289" width="13" style="3" customWidth="1"/>
    <col min="12290" max="12290" width="11.28515625" style="3" customWidth="1"/>
    <col min="12291" max="12339" width="10.140625" style="3" customWidth="1"/>
    <col min="12340" max="12533" width="10.140625" style="3"/>
    <col min="12534" max="12534" width="21.85546875" style="3" customWidth="1"/>
    <col min="12535" max="12535" width="17" style="3" customWidth="1"/>
    <col min="12536" max="12536" width="13" style="3" customWidth="1"/>
    <col min="12537" max="12537" width="10.140625" style="3" customWidth="1"/>
    <col min="12538" max="12538" width="14" style="3" customWidth="1"/>
    <col min="12539" max="12539" width="11.28515625" style="3" customWidth="1"/>
    <col min="12540" max="12544" width="10.140625" style="3" customWidth="1"/>
    <col min="12545" max="12545" width="13" style="3" customWidth="1"/>
    <col min="12546" max="12546" width="11.28515625" style="3" customWidth="1"/>
    <col min="12547" max="12595" width="10.140625" style="3" customWidth="1"/>
    <col min="12596" max="12789" width="10.140625" style="3"/>
    <col min="12790" max="12790" width="21.85546875" style="3" customWidth="1"/>
    <col min="12791" max="12791" width="17" style="3" customWidth="1"/>
    <col min="12792" max="12792" width="13" style="3" customWidth="1"/>
    <col min="12793" max="12793" width="10.140625" style="3" customWidth="1"/>
    <col min="12794" max="12794" width="14" style="3" customWidth="1"/>
    <col min="12795" max="12795" width="11.28515625" style="3" customWidth="1"/>
    <col min="12796" max="12800" width="10.140625" style="3" customWidth="1"/>
    <col min="12801" max="12801" width="13" style="3" customWidth="1"/>
    <col min="12802" max="12802" width="11.28515625" style="3" customWidth="1"/>
    <col min="12803" max="12851" width="10.140625" style="3" customWidth="1"/>
    <col min="12852" max="13045" width="10.140625" style="3"/>
    <col min="13046" max="13046" width="21.85546875" style="3" customWidth="1"/>
    <col min="13047" max="13047" width="17" style="3" customWidth="1"/>
    <col min="13048" max="13048" width="13" style="3" customWidth="1"/>
    <col min="13049" max="13049" width="10.140625" style="3" customWidth="1"/>
    <col min="13050" max="13050" width="14" style="3" customWidth="1"/>
    <col min="13051" max="13051" width="11.28515625" style="3" customWidth="1"/>
    <col min="13052" max="13056" width="10.140625" style="3" customWidth="1"/>
    <col min="13057" max="13057" width="13" style="3" customWidth="1"/>
    <col min="13058" max="13058" width="11.28515625" style="3" customWidth="1"/>
    <col min="13059" max="13107" width="10.140625" style="3" customWidth="1"/>
    <col min="13108" max="13301" width="10.140625" style="3"/>
    <col min="13302" max="13302" width="21.85546875" style="3" customWidth="1"/>
    <col min="13303" max="13303" width="17" style="3" customWidth="1"/>
    <col min="13304" max="13304" width="13" style="3" customWidth="1"/>
    <col min="13305" max="13305" width="10.140625" style="3" customWidth="1"/>
    <col min="13306" max="13306" width="14" style="3" customWidth="1"/>
    <col min="13307" max="13307" width="11.28515625" style="3" customWidth="1"/>
    <col min="13308" max="13312" width="10.140625" style="3" customWidth="1"/>
    <col min="13313" max="13313" width="13" style="3" customWidth="1"/>
    <col min="13314" max="13314" width="11.28515625" style="3" customWidth="1"/>
    <col min="13315" max="13363" width="10.140625" style="3" customWidth="1"/>
    <col min="13364" max="13557" width="10.140625" style="3"/>
    <col min="13558" max="13558" width="21.85546875" style="3" customWidth="1"/>
    <col min="13559" max="13559" width="17" style="3" customWidth="1"/>
    <col min="13560" max="13560" width="13" style="3" customWidth="1"/>
    <col min="13561" max="13561" width="10.140625" style="3" customWidth="1"/>
    <col min="13562" max="13562" width="14" style="3" customWidth="1"/>
    <col min="13563" max="13563" width="11.28515625" style="3" customWidth="1"/>
    <col min="13564" max="13568" width="10.140625" style="3" customWidth="1"/>
    <col min="13569" max="13569" width="13" style="3" customWidth="1"/>
    <col min="13570" max="13570" width="11.28515625" style="3" customWidth="1"/>
    <col min="13571" max="13619" width="10.140625" style="3" customWidth="1"/>
    <col min="13620" max="13813" width="10.140625" style="3"/>
    <col min="13814" max="13814" width="21.85546875" style="3" customWidth="1"/>
    <col min="13815" max="13815" width="17" style="3" customWidth="1"/>
    <col min="13816" max="13816" width="13" style="3" customWidth="1"/>
    <col min="13817" max="13817" width="10.140625" style="3" customWidth="1"/>
    <col min="13818" max="13818" width="14" style="3" customWidth="1"/>
    <col min="13819" max="13819" width="11.28515625" style="3" customWidth="1"/>
    <col min="13820" max="13824" width="10.140625" style="3" customWidth="1"/>
    <col min="13825" max="13825" width="13" style="3" customWidth="1"/>
    <col min="13826" max="13826" width="11.28515625" style="3" customWidth="1"/>
    <col min="13827" max="13875" width="10.140625" style="3" customWidth="1"/>
    <col min="13876" max="14069" width="10.140625" style="3"/>
    <col min="14070" max="14070" width="21.85546875" style="3" customWidth="1"/>
    <col min="14071" max="14071" width="17" style="3" customWidth="1"/>
    <col min="14072" max="14072" width="13" style="3" customWidth="1"/>
    <col min="14073" max="14073" width="10.140625" style="3" customWidth="1"/>
    <col min="14074" max="14074" width="14" style="3" customWidth="1"/>
    <col min="14075" max="14075" width="11.28515625" style="3" customWidth="1"/>
    <col min="14076" max="14080" width="10.140625" style="3" customWidth="1"/>
    <col min="14081" max="14081" width="13" style="3" customWidth="1"/>
    <col min="14082" max="14082" width="11.28515625" style="3" customWidth="1"/>
    <col min="14083" max="14131" width="10.140625" style="3" customWidth="1"/>
    <col min="14132" max="14325" width="10.140625" style="3"/>
    <col min="14326" max="14326" width="21.85546875" style="3" customWidth="1"/>
    <col min="14327" max="14327" width="17" style="3" customWidth="1"/>
    <col min="14328" max="14328" width="13" style="3" customWidth="1"/>
    <col min="14329" max="14329" width="10.140625" style="3" customWidth="1"/>
    <col min="14330" max="14330" width="14" style="3" customWidth="1"/>
    <col min="14331" max="14331" width="11.28515625" style="3" customWidth="1"/>
    <col min="14332" max="14336" width="10.140625" style="3" customWidth="1"/>
    <col min="14337" max="14337" width="13" style="3" customWidth="1"/>
    <col min="14338" max="14338" width="11.28515625" style="3" customWidth="1"/>
    <col min="14339" max="14387" width="10.140625" style="3" customWidth="1"/>
    <col min="14388" max="14581" width="10.140625" style="3"/>
    <col min="14582" max="14582" width="21.85546875" style="3" customWidth="1"/>
    <col min="14583" max="14583" width="17" style="3" customWidth="1"/>
    <col min="14584" max="14584" width="13" style="3" customWidth="1"/>
    <col min="14585" max="14585" width="10.140625" style="3" customWidth="1"/>
    <col min="14586" max="14586" width="14" style="3" customWidth="1"/>
    <col min="14587" max="14587" width="11.28515625" style="3" customWidth="1"/>
    <col min="14588" max="14592" width="10.140625" style="3" customWidth="1"/>
    <col min="14593" max="14593" width="13" style="3" customWidth="1"/>
    <col min="14594" max="14594" width="11.28515625" style="3" customWidth="1"/>
    <col min="14595" max="14643" width="10.140625" style="3" customWidth="1"/>
    <col min="14644" max="14837" width="10.140625" style="3"/>
    <col min="14838" max="14838" width="21.85546875" style="3" customWidth="1"/>
    <col min="14839" max="14839" width="17" style="3" customWidth="1"/>
    <col min="14840" max="14840" width="13" style="3" customWidth="1"/>
    <col min="14841" max="14841" width="10.140625" style="3" customWidth="1"/>
    <col min="14842" max="14842" width="14" style="3" customWidth="1"/>
    <col min="14843" max="14843" width="11.28515625" style="3" customWidth="1"/>
    <col min="14844" max="14848" width="10.140625" style="3" customWidth="1"/>
    <col min="14849" max="14849" width="13" style="3" customWidth="1"/>
    <col min="14850" max="14850" width="11.28515625" style="3" customWidth="1"/>
    <col min="14851" max="14899" width="10.140625" style="3" customWidth="1"/>
    <col min="14900" max="15093" width="10.140625" style="3"/>
    <col min="15094" max="15094" width="21.85546875" style="3" customWidth="1"/>
    <col min="15095" max="15095" width="17" style="3" customWidth="1"/>
    <col min="15096" max="15096" width="13" style="3" customWidth="1"/>
    <col min="15097" max="15097" width="10.140625" style="3" customWidth="1"/>
    <col min="15098" max="15098" width="14" style="3" customWidth="1"/>
    <col min="15099" max="15099" width="11.28515625" style="3" customWidth="1"/>
    <col min="15100" max="15104" width="10.140625" style="3" customWidth="1"/>
    <col min="15105" max="15105" width="13" style="3" customWidth="1"/>
    <col min="15106" max="15106" width="11.28515625" style="3" customWidth="1"/>
    <col min="15107" max="15155" width="10.140625" style="3" customWidth="1"/>
    <col min="15156" max="15349" width="10.140625" style="3"/>
    <col min="15350" max="15350" width="21.85546875" style="3" customWidth="1"/>
    <col min="15351" max="15351" width="17" style="3" customWidth="1"/>
    <col min="15352" max="15352" width="13" style="3" customWidth="1"/>
    <col min="15353" max="15353" width="10.140625" style="3" customWidth="1"/>
    <col min="15354" max="15354" width="14" style="3" customWidth="1"/>
    <col min="15355" max="15355" width="11.28515625" style="3" customWidth="1"/>
    <col min="15356" max="15360" width="10.140625" style="3" customWidth="1"/>
    <col min="15361" max="15361" width="13" style="3" customWidth="1"/>
    <col min="15362" max="15362" width="11.28515625" style="3" customWidth="1"/>
    <col min="15363" max="15411" width="10.140625" style="3" customWidth="1"/>
    <col min="15412" max="15605" width="10.140625" style="3"/>
    <col min="15606" max="15606" width="21.85546875" style="3" customWidth="1"/>
    <col min="15607" max="15607" width="17" style="3" customWidth="1"/>
    <col min="15608" max="15608" width="13" style="3" customWidth="1"/>
    <col min="15609" max="15609" width="10.140625" style="3" customWidth="1"/>
    <col min="15610" max="15610" width="14" style="3" customWidth="1"/>
    <col min="15611" max="15611" width="11.28515625" style="3" customWidth="1"/>
    <col min="15612" max="15616" width="10.140625" style="3" customWidth="1"/>
    <col min="15617" max="15617" width="13" style="3" customWidth="1"/>
    <col min="15618" max="15618" width="11.28515625" style="3" customWidth="1"/>
    <col min="15619" max="15667" width="10.140625" style="3" customWidth="1"/>
    <col min="15668" max="15861" width="10.140625" style="3"/>
    <col min="15862" max="15862" width="21.85546875" style="3" customWidth="1"/>
    <col min="15863" max="15863" width="17" style="3" customWidth="1"/>
    <col min="15864" max="15864" width="13" style="3" customWidth="1"/>
    <col min="15865" max="15865" width="10.140625" style="3" customWidth="1"/>
    <col min="15866" max="15866" width="14" style="3" customWidth="1"/>
    <col min="15867" max="15867" width="11.28515625" style="3" customWidth="1"/>
    <col min="15868" max="15872" width="10.140625" style="3" customWidth="1"/>
    <col min="15873" max="15873" width="13" style="3" customWidth="1"/>
    <col min="15874" max="15874" width="11.28515625" style="3" customWidth="1"/>
    <col min="15875" max="15923" width="10.140625" style="3" customWidth="1"/>
    <col min="15924" max="16117" width="10.140625" style="3"/>
    <col min="16118" max="16118" width="21.85546875" style="3" customWidth="1"/>
    <col min="16119" max="16119" width="17" style="3" customWidth="1"/>
    <col min="16120" max="16120" width="13" style="3" customWidth="1"/>
    <col min="16121" max="16121" width="10.140625" style="3" customWidth="1"/>
    <col min="16122" max="16122" width="14" style="3" customWidth="1"/>
    <col min="16123" max="16123" width="11.28515625" style="3" customWidth="1"/>
    <col min="16124" max="16128" width="10.140625" style="3" customWidth="1"/>
    <col min="16129" max="16129" width="13" style="3" customWidth="1"/>
    <col min="16130" max="16130" width="11.28515625" style="3" customWidth="1"/>
    <col min="16131" max="16179" width="10.140625" style="3" customWidth="1"/>
    <col min="16180" max="16384" width="10.140625" style="3"/>
  </cols>
  <sheetData>
    <row r="1" spans="1:55" x14ac:dyDescent="0.2">
      <c r="A1" s="1127"/>
      <c r="B1" s="1542" t="str">
        <f>'pâtures et foin'!B1</f>
        <v>RETOUR AU SOMMAIRE</v>
      </c>
      <c r="C1" s="1543"/>
      <c r="D1" s="1543"/>
      <c r="E1" s="1477" t="s">
        <v>162</v>
      </c>
      <c r="F1" s="1478"/>
      <c r="G1" s="606"/>
      <c r="H1" s="595"/>
      <c r="I1" s="595"/>
      <c r="J1" s="607"/>
      <c r="K1" s="595"/>
      <c r="L1" s="595"/>
      <c r="M1" s="595"/>
      <c r="N1" s="595"/>
      <c r="O1" s="595"/>
      <c r="P1" s="595"/>
      <c r="Q1" s="595"/>
      <c r="R1" s="595"/>
      <c r="S1" s="595"/>
      <c r="T1" s="595"/>
      <c r="U1" s="595"/>
      <c r="V1" s="595"/>
      <c r="W1" s="595"/>
      <c r="X1" s="595"/>
      <c r="Y1" s="595"/>
      <c r="Z1" s="595"/>
      <c r="AA1" s="595"/>
      <c r="AB1" s="595"/>
      <c r="AC1" s="595"/>
      <c r="AD1" s="597"/>
      <c r="AE1" s="2"/>
      <c r="AF1" s="2"/>
      <c r="AG1" s="2"/>
      <c r="AH1" s="2"/>
      <c r="AZ1" s="462"/>
      <c r="BA1" s="462"/>
      <c r="BB1" s="462"/>
      <c r="BC1" s="462"/>
    </row>
    <row r="2" spans="1:55" s="463" customFormat="1" x14ac:dyDescent="0.2">
      <c r="A2" s="576"/>
      <c r="B2" s="578"/>
      <c r="C2" s="578"/>
      <c r="D2" s="578"/>
      <c r="E2" s="578"/>
      <c r="F2" s="578"/>
      <c r="G2" s="578"/>
      <c r="H2" s="578"/>
      <c r="I2" s="1576" t="s">
        <v>1503</v>
      </c>
      <c r="J2" s="1577"/>
      <c r="K2" s="7"/>
      <c r="L2" s="578"/>
      <c r="M2" s="578"/>
      <c r="N2" s="578"/>
      <c r="O2" s="578"/>
      <c r="P2" s="578"/>
      <c r="Q2" s="578"/>
      <c r="R2" s="578"/>
      <c r="S2" s="578"/>
      <c r="T2" s="578"/>
      <c r="U2" s="578"/>
      <c r="V2" s="578"/>
      <c r="W2" s="583"/>
      <c r="X2" s="583"/>
      <c r="Y2" s="583"/>
      <c r="Z2" s="583"/>
      <c r="AA2" s="583"/>
      <c r="AB2" s="583"/>
      <c r="AC2" s="583"/>
      <c r="AD2" s="590"/>
      <c r="AE2" s="2"/>
      <c r="AF2" s="2"/>
      <c r="AG2" s="2"/>
      <c r="AH2" s="2"/>
      <c r="AI2" s="462"/>
      <c r="AJ2" s="462"/>
      <c r="AK2" s="462"/>
      <c r="AL2" s="462"/>
      <c r="AM2" s="462"/>
      <c r="AN2" s="462"/>
      <c r="AO2" s="462"/>
      <c r="AP2" s="462"/>
      <c r="AQ2" s="462"/>
      <c r="AR2" s="462"/>
      <c r="AS2" s="462"/>
      <c r="AT2" s="462"/>
      <c r="AU2" s="462"/>
      <c r="AV2" s="462"/>
      <c r="AW2" s="462"/>
      <c r="AX2" s="462"/>
      <c r="AY2" s="462"/>
      <c r="AZ2" s="462"/>
      <c r="BA2" s="462"/>
      <c r="BB2" s="462"/>
      <c r="BC2" s="462"/>
    </row>
    <row r="3" spans="1:55" x14ac:dyDescent="0.2">
      <c r="A3" s="576"/>
      <c r="B3" s="1578" t="s">
        <v>1504</v>
      </c>
      <c r="C3" s="1579"/>
      <c r="D3" s="1579"/>
      <c r="E3" s="1579"/>
      <c r="F3" s="1580"/>
      <c r="G3" s="578"/>
      <c r="H3" s="578"/>
      <c r="I3" s="578"/>
      <c r="J3" s="578"/>
      <c r="K3" s="578"/>
      <c r="L3" s="578"/>
      <c r="M3" s="578"/>
      <c r="N3" s="578"/>
      <c r="O3" s="578"/>
      <c r="P3" s="578"/>
      <c r="Q3" s="578"/>
      <c r="R3" s="578"/>
      <c r="S3" s="578"/>
      <c r="T3" s="578"/>
      <c r="U3" s="578"/>
      <c r="V3" s="578"/>
      <c r="W3" s="968"/>
      <c r="X3" s="968"/>
      <c r="Y3" s="968"/>
      <c r="Z3" s="968"/>
      <c r="AA3" s="968"/>
      <c r="AB3" s="968"/>
      <c r="AC3" s="968"/>
      <c r="AD3" s="590"/>
      <c r="AE3" s="2"/>
      <c r="AF3" s="2"/>
      <c r="AG3" s="2"/>
      <c r="AH3" s="2"/>
      <c r="AZ3" s="462"/>
      <c r="BA3" s="462"/>
      <c r="BB3" s="462"/>
      <c r="BC3" s="462"/>
    </row>
    <row r="4" spans="1:55" x14ac:dyDescent="0.2">
      <c r="A4" s="576"/>
      <c r="B4" s="578"/>
      <c r="C4" s="578"/>
      <c r="D4" s="578"/>
      <c r="E4" s="578"/>
      <c r="F4" s="578"/>
      <c r="G4" s="578"/>
      <c r="H4" s="578"/>
      <c r="I4" s="578"/>
      <c r="J4" s="578"/>
      <c r="K4" s="578"/>
      <c r="L4" s="578"/>
      <c r="M4" s="578"/>
      <c r="N4" s="578"/>
      <c r="O4" s="578"/>
      <c r="P4" s="578"/>
      <c r="Q4" s="578"/>
      <c r="R4" s="578"/>
      <c r="S4" s="578"/>
      <c r="T4" s="578"/>
      <c r="U4" s="578"/>
      <c r="V4" s="578"/>
      <c r="W4" s="968"/>
      <c r="X4" s="968"/>
      <c r="Y4" s="968"/>
      <c r="Z4" s="968"/>
      <c r="AA4" s="968"/>
      <c r="AB4" s="968"/>
      <c r="AC4" s="968"/>
      <c r="AD4" s="590"/>
      <c r="AE4" s="2"/>
      <c r="AF4" s="2"/>
      <c r="AG4" s="2"/>
      <c r="AH4" s="2"/>
      <c r="AZ4" s="462"/>
      <c r="BA4" s="462"/>
      <c r="BB4" s="462"/>
      <c r="BC4" s="462"/>
    </row>
    <row r="5" spans="1:55" x14ac:dyDescent="0.2">
      <c r="A5" s="576"/>
      <c r="B5" s="578"/>
      <c r="C5" s="578"/>
      <c r="D5" s="578"/>
      <c r="E5" s="578"/>
      <c r="F5" s="578"/>
      <c r="G5" s="578"/>
      <c r="H5" s="578"/>
      <c r="I5" s="578"/>
      <c r="J5" s="578"/>
      <c r="K5" s="578"/>
      <c r="L5" s="578"/>
      <c r="M5" s="578"/>
      <c r="N5" s="578"/>
      <c r="O5" s="578"/>
      <c r="P5" s="578"/>
      <c r="Q5" s="578"/>
      <c r="R5" s="578"/>
      <c r="S5" s="578"/>
      <c r="T5" s="578"/>
      <c r="U5" s="578"/>
      <c r="V5" s="578"/>
      <c r="W5" s="968"/>
      <c r="X5" s="968"/>
      <c r="Y5" s="968"/>
      <c r="Z5" s="968"/>
      <c r="AA5" s="968"/>
      <c r="AB5" s="968"/>
      <c r="AC5" s="968"/>
      <c r="AD5" s="590"/>
      <c r="AE5" s="2"/>
      <c r="AF5" s="2"/>
      <c r="AG5" s="2"/>
      <c r="AH5" s="2"/>
      <c r="AZ5" s="462"/>
      <c r="BA5" s="462"/>
      <c r="BB5" s="462"/>
      <c r="BC5" s="462"/>
    </row>
    <row r="6" spans="1:55" x14ac:dyDescent="0.2">
      <c r="A6" s="576"/>
      <c r="B6" s="605"/>
      <c r="C6" s="464" t="s">
        <v>1505</v>
      </c>
      <c r="D6" s="464" t="s">
        <v>118</v>
      </c>
      <c r="E6" s="464" t="s">
        <v>119</v>
      </c>
      <c r="F6" s="464" t="s">
        <v>120</v>
      </c>
      <c r="G6" s="464" t="s">
        <v>121</v>
      </c>
      <c r="H6" s="464" t="s">
        <v>277</v>
      </c>
      <c r="I6" s="464" t="s">
        <v>278</v>
      </c>
      <c r="J6" s="464" t="s">
        <v>279</v>
      </c>
      <c r="K6" s="464" t="s">
        <v>280</v>
      </c>
      <c r="L6" s="464" t="s">
        <v>281</v>
      </c>
      <c r="M6" s="464" t="s">
        <v>282</v>
      </c>
      <c r="N6" s="464" t="s">
        <v>283</v>
      </c>
      <c r="O6" s="464" t="s">
        <v>284</v>
      </c>
      <c r="P6" s="578"/>
      <c r="Q6" s="578"/>
      <c r="R6" s="578"/>
      <c r="S6" s="578"/>
      <c r="T6" s="578"/>
      <c r="U6" s="578"/>
      <c r="V6" s="578"/>
      <c r="W6" s="968"/>
      <c r="X6" s="968"/>
      <c r="Y6" s="968"/>
      <c r="Z6" s="968"/>
      <c r="AA6" s="968"/>
      <c r="AB6" s="968"/>
      <c r="AC6" s="968"/>
      <c r="AD6" s="590"/>
      <c r="AE6" s="2"/>
      <c r="AF6" s="2"/>
      <c r="AG6" s="2"/>
      <c r="AH6" s="2"/>
      <c r="AZ6" s="462"/>
      <c r="BA6" s="462"/>
      <c r="BB6" s="462"/>
      <c r="BC6" s="462"/>
    </row>
    <row r="7" spans="1:55" ht="25.5" x14ac:dyDescent="0.2">
      <c r="A7" s="576"/>
      <c r="B7" s="464" t="s">
        <v>285</v>
      </c>
      <c r="C7" s="465" t="s">
        <v>1506</v>
      </c>
      <c r="D7" s="466"/>
      <c r="E7" s="467"/>
      <c r="F7" s="467"/>
      <c r="G7" s="467"/>
      <c r="H7" s="467"/>
      <c r="I7" s="467"/>
      <c r="J7" s="468"/>
      <c r="K7" s="469"/>
      <c r="L7" s="470"/>
      <c r="M7" s="471"/>
      <c r="N7" s="472"/>
      <c r="O7" s="473"/>
      <c r="P7" s="578"/>
      <c r="Q7" s="578"/>
      <c r="R7" s="578"/>
      <c r="S7" s="578"/>
      <c r="T7" s="578"/>
      <c r="U7" s="578"/>
      <c r="V7" s="578"/>
      <c r="W7" s="968"/>
      <c r="X7" s="968"/>
      <c r="Y7" s="968"/>
      <c r="Z7" s="968"/>
      <c r="AA7" s="968"/>
      <c r="AB7" s="968"/>
      <c r="AC7" s="968"/>
      <c r="AD7" s="590"/>
      <c r="AE7" s="2"/>
      <c r="AF7" s="2"/>
      <c r="AG7" s="2"/>
      <c r="AH7" s="2"/>
      <c r="AZ7" s="462"/>
      <c r="BA7" s="462"/>
      <c r="BB7" s="462"/>
      <c r="BC7" s="462"/>
    </row>
    <row r="8" spans="1:55" ht="25.5" x14ac:dyDescent="0.2">
      <c r="A8" s="576"/>
      <c r="B8" s="464" t="s">
        <v>1507</v>
      </c>
      <c r="C8" s="465" t="s">
        <v>1508</v>
      </c>
      <c r="D8" s="466"/>
      <c r="E8" s="467"/>
      <c r="F8" s="467"/>
      <c r="G8" s="467"/>
      <c r="H8" s="467"/>
      <c r="I8" s="468"/>
      <c r="J8" s="469"/>
      <c r="K8" s="470"/>
      <c r="L8" s="470"/>
      <c r="M8" s="471"/>
      <c r="N8" s="472"/>
      <c r="O8" s="473"/>
      <c r="P8" s="578"/>
      <c r="Q8" s="578"/>
      <c r="R8" s="578"/>
      <c r="S8" s="578"/>
      <c r="T8" s="578"/>
      <c r="U8" s="578"/>
      <c r="V8" s="578"/>
      <c r="W8" s="968"/>
      <c r="X8" s="968"/>
      <c r="Y8" s="968"/>
      <c r="Z8" s="968"/>
      <c r="AA8" s="968"/>
      <c r="AB8" s="968"/>
      <c r="AC8" s="968"/>
      <c r="AD8" s="590"/>
      <c r="AE8" s="2"/>
      <c r="AF8" s="2"/>
      <c r="AG8" s="2"/>
      <c r="AH8" s="2"/>
      <c r="AZ8" s="462"/>
      <c r="BA8" s="462"/>
      <c r="BB8" s="462"/>
      <c r="BC8" s="462"/>
    </row>
    <row r="9" spans="1:55" ht="25.5" x14ac:dyDescent="0.2">
      <c r="A9" s="576"/>
      <c r="B9" s="464" t="s">
        <v>498</v>
      </c>
      <c r="C9" s="465" t="s">
        <v>1508</v>
      </c>
      <c r="D9" s="474"/>
      <c r="E9" s="471"/>
      <c r="F9" s="472"/>
      <c r="G9" s="467"/>
      <c r="H9" s="467"/>
      <c r="I9" s="467"/>
      <c r="J9" s="468"/>
      <c r="K9" s="469"/>
      <c r="L9" s="470"/>
      <c r="M9" s="470"/>
      <c r="N9" s="470"/>
      <c r="O9" s="475"/>
      <c r="P9" s="578"/>
      <c r="Q9" s="578"/>
      <c r="R9" s="578"/>
      <c r="S9" s="578"/>
      <c r="T9" s="578"/>
      <c r="U9" s="578"/>
      <c r="V9" s="578"/>
      <c r="W9" s="968"/>
      <c r="X9" s="968"/>
      <c r="Y9" s="968"/>
      <c r="Z9" s="968"/>
      <c r="AA9" s="968"/>
      <c r="AB9" s="968"/>
      <c r="AC9" s="968"/>
      <c r="AD9" s="590"/>
      <c r="AE9" s="2"/>
      <c r="AF9" s="2"/>
      <c r="AG9" s="2"/>
      <c r="AH9" s="2"/>
      <c r="AZ9" s="462"/>
      <c r="BA9" s="462"/>
      <c r="BB9" s="462"/>
      <c r="BC9" s="462"/>
    </row>
    <row r="10" spans="1:55" ht="25.5" x14ac:dyDescent="0.2">
      <c r="A10" s="576"/>
      <c r="B10" s="464" t="s">
        <v>1509</v>
      </c>
      <c r="C10" s="465" t="s">
        <v>1510</v>
      </c>
      <c r="D10" s="476"/>
      <c r="E10" s="477"/>
      <c r="F10" s="477"/>
      <c r="G10" s="477"/>
      <c r="H10" s="477"/>
      <c r="I10" s="477"/>
      <c r="J10" s="966"/>
      <c r="K10" s="469"/>
      <c r="L10" s="478"/>
      <c r="M10" s="479"/>
      <c r="N10" s="472"/>
      <c r="O10" s="480"/>
      <c r="P10" s="578"/>
      <c r="Q10" s="578"/>
      <c r="R10" s="578"/>
      <c r="S10" s="578"/>
      <c r="T10" s="578"/>
      <c r="U10" s="578"/>
      <c r="V10" s="578"/>
      <c r="W10" s="968"/>
      <c r="X10" s="968"/>
      <c r="Y10" s="968"/>
      <c r="Z10" s="968"/>
      <c r="AA10" s="968"/>
      <c r="AB10" s="968"/>
      <c r="AC10" s="968"/>
      <c r="AD10" s="590"/>
      <c r="AE10" s="2"/>
      <c r="AF10" s="2"/>
      <c r="AG10" s="2"/>
      <c r="AH10" s="2"/>
      <c r="AZ10" s="462"/>
      <c r="BA10" s="462"/>
      <c r="BB10" s="462"/>
      <c r="BC10" s="462"/>
    </row>
    <row r="11" spans="1:55" ht="25.5" x14ac:dyDescent="0.2">
      <c r="A11" s="576"/>
      <c r="B11" s="464" t="s">
        <v>499</v>
      </c>
      <c r="C11" s="465" t="s">
        <v>1510</v>
      </c>
      <c r="D11" s="474"/>
      <c r="E11" s="471"/>
      <c r="F11" s="472"/>
      <c r="G11" s="467"/>
      <c r="H11" s="467"/>
      <c r="I11" s="467"/>
      <c r="J11" s="468"/>
      <c r="K11" s="469"/>
      <c r="L11" s="470"/>
      <c r="M11" s="470"/>
      <c r="N11" s="470"/>
      <c r="O11" s="475"/>
      <c r="P11" s="578"/>
      <c r="Q11" s="578"/>
      <c r="R11" s="578"/>
      <c r="S11" s="578"/>
      <c r="T11" s="578"/>
      <c r="U11" s="578"/>
      <c r="V11" s="578"/>
      <c r="W11" s="968"/>
      <c r="X11" s="968"/>
      <c r="Y11" s="968"/>
      <c r="Z11" s="968"/>
      <c r="AA11" s="968"/>
      <c r="AB11" s="968"/>
      <c r="AC11" s="968"/>
      <c r="AD11" s="590"/>
      <c r="AE11" s="2"/>
      <c r="AF11" s="2"/>
      <c r="AG11" s="2"/>
      <c r="AH11" s="2"/>
      <c r="AZ11" s="462"/>
      <c r="BA11" s="462"/>
      <c r="BB11" s="462"/>
      <c r="BC11" s="462"/>
    </row>
    <row r="12" spans="1:55" ht="26.25" customHeight="1" thickBot="1" x14ac:dyDescent="0.25">
      <c r="A12" s="576"/>
      <c r="B12" s="464" t="s">
        <v>76</v>
      </c>
      <c r="C12" s="465" t="s">
        <v>1511</v>
      </c>
      <c r="D12" s="476"/>
      <c r="E12" s="477"/>
      <c r="F12" s="477"/>
      <c r="G12" s="477"/>
      <c r="H12" s="477"/>
      <c r="I12" s="477"/>
      <c r="J12" s="966"/>
      <c r="K12" s="469"/>
      <c r="L12" s="470"/>
      <c r="M12" s="479"/>
      <c r="N12" s="472"/>
      <c r="O12" s="480"/>
      <c r="P12" s="578"/>
      <c r="Q12" s="578"/>
      <c r="R12" s="578"/>
      <c r="S12" s="578"/>
      <c r="T12" s="578"/>
      <c r="U12" s="578"/>
      <c r="V12" s="578"/>
      <c r="W12" s="968"/>
      <c r="X12" s="968"/>
      <c r="Y12" s="968"/>
      <c r="Z12" s="968"/>
      <c r="AA12" s="968"/>
      <c r="AB12" s="968"/>
      <c r="AC12" s="968"/>
      <c r="AD12" s="590"/>
      <c r="AE12" s="2"/>
      <c r="AF12" s="2"/>
      <c r="AG12" s="2"/>
      <c r="AH12" s="2"/>
      <c r="AZ12" s="462"/>
      <c r="BA12" s="462"/>
      <c r="BB12" s="462"/>
      <c r="BC12" s="462"/>
    </row>
    <row r="13" spans="1:55" ht="26.25" customHeight="1" x14ac:dyDescent="0.2">
      <c r="A13" s="576"/>
      <c r="B13" s="464" t="s">
        <v>1512</v>
      </c>
      <c r="C13" s="465" t="s">
        <v>1513</v>
      </c>
      <c r="D13" s="481"/>
      <c r="E13" s="470"/>
      <c r="F13" s="470"/>
      <c r="G13" s="470"/>
      <c r="H13" s="470"/>
      <c r="I13" s="470"/>
      <c r="J13" s="470"/>
      <c r="K13" s="470"/>
      <c r="L13" s="471"/>
      <c r="M13" s="466"/>
      <c r="N13" s="467"/>
      <c r="O13" s="482"/>
      <c r="P13" s="1581" t="s">
        <v>1514</v>
      </c>
      <c r="Q13" s="1570" t="s">
        <v>1515</v>
      </c>
      <c r="R13" s="1571"/>
      <c r="S13" s="1571"/>
      <c r="T13" s="1571"/>
      <c r="U13" s="1572"/>
      <c r="V13" s="578"/>
      <c r="W13" s="968"/>
      <c r="X13" s="968"/>
      <c r="Y13" s="968"/>
      <c r="Z13" s="968"/>
      <c r="AA13" s="968"/>
      <c r="AB13" s="968"/>
      <c r="AC13" s="968"/>
      <c r="AD13" s="590"/>
      <c r="AE13" s="2"/>
      <c r="AF13" s="2"/>
      <c r="AG13" s="2"/>
      <c r="AH13" s="2"/>
      <c r="AZ13" s="462"/>
      <c r="BA13" s="462"/>
      <c r="BB13" s="462"/>
      <c r="BC13" s="462"/>
    </row>
    <row r="14" spans="1:55" ht="26.25" customHeight="1" thickBot="1" x14ac:dyDescent="0.25">
      <c r="A14" s="576"/>
      <c r="B14" s="464" t="s">
        <v>1516</v>
      </c>
      <c r="C14" s="465" t="s">
        <v>1513</v>
      </c>
      <c r="D14" s="481"/>
      <c r="E14" s="470"/>
      <c r="F14" s="470"/>
      <c r="G14" s="470"/>
      <c r="H14" s="470"/>
      <c r="I14" s="470"/>
      <c r="J14" s="470"/>
      <c r="K14" s="471"/>
      <c r="L14" s="467"/>
      <c r="M14" s="467"/>
      <c r="N14" s="467"/>
      <c r="O14" s="482"/>
      <c r="P14" s="1581"/>
      <c r="Q14" s="1573"/>
      <c r="R14" s="1574"/>
      <c r="S14" s="1574"/>
      <c r="T14" s="1574"/>
      <c r="U14" s="1575"/>
      <c r="V14" s="578"/>
      <c r="W14" s="968"/>
      <c r="X14" s="968"/>
      <c r="Y14" s="968"/>
      <c r="Z14" s="968"/>
      <c r="AA14" s="968"/>
      <c r="AB14" s="968"/>
      <c r="AC14" s="968"/>
      <c r="AD14" s="590"/>
      <c r="AE14" s="2"/>
      <c r="AF14" s="2"/>
      <c r="AG14" s="2"/>
      <c r="AH14" s="2"/>
      <c r="AZ14" s="462"/>
      <c r="BA14" s="462"/>
      <c r="BB14" s="462"/>
      <c r="BC14" s="462"/>
    </row>
    <row r="15" spans="1:55" ht="25.5" x14ac:dyDescent="0.2">
      <c r="A15" s="576"/>
      <c r="B15" s="464" t="s">
        <v>339</v>
      </c>
      <c r="C15" s="465" t="s">
        <v>1517</v>
      </c>
      <c r="D15" s="474"/>
      <c r="E15" s="470"/>
      <c r="F15" s="470"/>
      <c r="G15" s="471"/>
      <c r="H15" s="472"/>
      <c r="I15" s="467"/>
      <c r="J15" s="467"/>
      <c r="K15" s="467"/>
      <c r="L15" s="467"/>
      <c r="M15" s="468"/>
      <c r="N15" s="469"/>
      <c r="O15" s="475"/>
      <c r="P15" s="578"/>
      <c r="Q15" s="578"/>
      <c r="R15" s="578"/>
      <c r="S15" s="578"/>
      <c r="T15" s="578"/>
      <c r="U15" s="578"/>
      <c r="V15" s="578"/>
      <c r="W15" s="968"/>
      <c r="X15" s="968"/>
      <c r="Y15" s="968"/>
      <c r="Z15" s="968"/>
      <c r="AA15" s="968"/>
      <c r="AB15" s="968"/>
      <c r="AC15" s="968"/>
      <c r="AD15" s="590"/>
      <c r="AE15" s="2"/>
      <c r="AF15" s="2"/>
      <c r="AG15" s="2"/>
      <c r="AH15" s="2"/>
      <c r="AZ15" s="462"/>
      <c r="BA15" s="462"/>
      <c r="BB15" s="462"/>
      <c r="BC15" s="462"/>
    </row>
    <row r="16" spans="1:55" ht="25.5" x14ac:dyDescent="0.2">
      <c r="A16" s="576"/>
      <c r="B16" s="464" t="s">
        <v>340</v>
      </c>
      <c r="C16" s="465" t="s">
        <v>1518</v>
      </c>
      <c r="D16" s="474"/>
      <c r="E16" s="470"/>
      <c r="F16" s="470"/>
      <c r="G16" s="471"/>
      <c r="H16" s="472"/>
      <c r="I16" s="467"/>
      <c r="J16" s="467"/>
      <c r="K16" s="467"/>
      <c r="L16" s="467"/>
      <c r="M16" s="468"/>
      <c r="N16" s="469"/>
      <c r="O16" s="475"/>
      <c r="P16" s="578"/>
      <c r="Q16" s="578"/>
      <c r="R16" s="578"/>
      <c r="S16" s="578"/>
      <c r="T16" s="578"/>
      <c r="U16" s="578"/>
      <c r="V16" s="578"/>
      <c r="W16" s="968"/>
      <c r="X16" s="968"/>
      <c r="Y16" s="968"/>
      <c r="Z16" s="968"/>
      <c r="AA16" s="968"/>
      <c r="AB16" s="968"/>
      <c r="AC16" s="968"/>
      <c r="AD16" s="590"/>
      <c r="AE16" s="2"/>
      <c r="AF16" s="2"/>
      <c r="AG16" s="2"/>
      <c r="AH16" s="2"/>
      <c r="AZ16" s="462"/>
      <c r="BA16" s="462"/>
      <c r="BB16" s="462"/>
      <c r="BC16" s="462"/>
    </row>
    <row r="17" spans="1:55" ht="25.5" x14ac:dyDescent="0.2">
      <c r="A17" s="576"/>
      <c r="B17" s="464" t="s">
        <v>523</v>
      </c>
      <c r="C17" s="465" t="s">
        <v>1519</v>
      </c>
      <c r="D17" s="483"/>
      <c r="E17" s="23"/>
      <c r="F17" s="484"/>
      <c r="G17" s="472"/>
      <c r="H17" s="485"/>
      <c r="I17" s="485"/>
      <c r="J17" s="485"/>
      <c r="K17" s="485"/>
      <c r="L17" s="485"/>
      <c r="M17" s="486"/>
      <c r="N17" s="469"/>
      <c r="O17" s="487"/>
      <c r="P17" s="578"/>
      <c r="Q17" s="578"/>
      <c r="R17" s="578"/>
      <c r="S17" s="578"/>
      <c r="T17" s="578"/>
      <c r="U17" s="578"/>
      <c r="V17" s="578"/>
      <c r="W17" s="968"/>
      <c r="X17" s="968"/>
      <c r="Y17" s="968"/>
      <c r="Z17" s="968"/>
      <c r="AA17" s="968"/>
      <c r="AB17" s="968"/>
      <c r="AC17" s="968"/>
      <c r="AD17" s="590"/>
      <c r="AE17" s="2"/>
      <c r="AF17" s="2"/>
      <c r="AG17" s="2"/>
      <c r="AH17" s="2"/>
      <c r="AZ17" s="462"/>
      <c r="BA17" s="462"/>
      <c r="BB17" s="462"/>
      <c r="BC17" s="462"/>
    </row>
    <row r="18" spans="1:55" ht="26.25" customHeight="1" x14ac:dyDescent="0.2">
      <c r="A18" s="576"/>
      <c r="B18" s="464" t="str">
        <f>IF($K$2="","ERREUR",IF(OR($K$2=CANADA,$K$2=USA),"Canola","Colza"))</f>
        <v>ERREUR</v>
      </c>
      <c r="C18" s="465" t="str">
        <f>IF($B$18="ERREUR","","r = 3                 220€/t")</f>
        <v/>
      </c>
      <c r="D18" s="466"/>
      <c r="E18" s="467"/>
      <c r="F18" s="467"/>
      <c r="G18" s="467"/>
      <c r="H18" s="467"/>
      <c r="I18" s="468"/>
      <c r="J18" s="469"/>
      <c r="K18" s="471"/>
      <c r="L18" s="472"/>
      <c r="M18" s="467"/>
      <c r="N18" s="467"/>
      <c r="O18" s="473"/>
      <c r="P18" s="578"/>
      <c r="Q18" s="578"/>
      <c r="R18" s="578"/>
      <c r="S18" s="578"/>
      <c r="T18" s="578"/>
      <c r="U18" s="578"/>
      <c r="V18" s="578"/>
      <c r="W18" s="968"/>
      <c r="X18" s="968"/>
      <c r="Y18" s="968"/>
      <c r="Z18" s="968"/>
      <c r="AA18" s="968"/>
      <c r="AB18" s="968"/>
      <c r="AC18" s="968"/>
      <c r="AD18" s="590"/>
      <c r="AE18" s="2"/>
      <c r="AF18" s="2"/>
      <c r="AG18" s="2"/>
      <c r="AH18" s="2"/>
      <c r="AZ18" s="462"/>
      <c r="BA18" s="462"/>
      <c r="BB18" s="462"/>
      <c r="BC18" s="462"/>
    </row>
    <row r="19" spans="1:55" ht="25.5" x14ac:dyDescent="0.2">
      <c r="A19" s="576"/>
      <c r="B19" s="464" t="s">
        <v>296</v>
      </c>
      <c r="C19" s="465" t="s">
        <v>1520</v>
      </c>
      <c r="D19" s="483"/>
      <c r="E19" s="23"/>
      <c r="F19" s="484"/>
      <c r="G19" s="472"/>
      <c r="H19" s="485"/>
      <c r="I19" s="485"/>
      <c r="J19" s="485"/>
      <c r="K19" s="486"/>
      <c r="L19" s="469"/>
      <c r="M19" s="23"/>
      <c r="N19" s="23"/>
      <c r="O19" s="487"/>
      <c r="P19" s="578"/>
      <c r="Q19" s="578"/>
      <c r="R19" s="578"/>
      <c r="S19" s="578"/>
      <c r="T19" s="578"/>
      <c r="U19" s="578"/>
      <c r="V19" s="578"/>
      <c r="W19" s="968"/>
      <c r="X19" s="968"/>
      <c r="Y19" s="968"/>
      <c r="Z19" s="968"/>
      <c r="AA19" s="968"/>
      <c r="AB19" s="968"/>
      <c r="AC19" s="968"/>
      <c r="AD19" s="590"/>
      <c r="AE19" s="2"/>
      <c r="AF19" s="2"/>
      <c r="AG19" s="2"/>
      <c r="AH19" s="2"/>
      <c r="AZ19" s="462"/>
      <c r="BA19" s="462"/>
      <c r="BB19" s="462"/>
      <c r="BC19" s="462"/>
    </row>
    <row r="20" spans="1:55" ht="25.5" x14ac:dyDescent="0.2">
      <c r="A20" s="576"/>
      <c r="B20" s="464" t="s">
        <v>297</v>
      </c>
      <c r="C20" s="465" t="s">
        <v>1521</v>
      </c>
      <c r="D20" s="474"/>
      <c r="E20" s="471"/>
      <c r="F20" s="472"/>
      <c r="G20" s="467"/>
      <c r="H20" s="467"/>
      <c r="I20" s="467"/>
      <c r="J20" s="468"/>
      <c r="K20" s="469"/>
      <c r="L20" s="470"/>
      <c r="M20" s="470"/>
      <c r="N20" s="470"/>
      <c r="O20" s="475"/>
      <c r="P20" s="578"/>
      <c r="Q20" s="578"/>
      <c r="R20" s="578"/>
      <c r="S20" s="578"/>
      <c r="T20" s="578"/>
      <c r="U20" s="578"/>
      <c r="V20" s="578"/>
      <c r="W20" s="968"/>
      <c r="X20" s="968"/>
      <c r="Y20" s="968"/>
      <c r="Z20" s="968"/>
      <c r="AA20" s="968"/>
      <c r="AB20" s="968"/>
      <c r="AC20" s="968"/>
      <c r="AD20" s="590"/>
      <c r="AE20" s="2"/>
      <c r="AF20" s="2"/>
      <c r="AG20" s="2"/>
      <c r="AH20" s="2"/>
      <c r="AZ20" s="462"/>
      <c r="BA20" s="462"/>
      <c r="BB20" s="462"/>
      <c r="BC20" s="462"/>
    </row>
    <row r="21" spans="1:55" ht="25.5" x14ac:dyDescent="0.2">
      <c r="A21" s="576"/>
      <c r="B21" s="464" t="s">
        <v>298</v>
      </c>
      <c r="C21" s="488" t="s">
        <v>1522</v>
      </c>
      <c r="D21" s="467"/>
      <c r="E21" s="467"/>
      <c r="F21" s="467"/>
      <c r="G21" s="467"/>
      <c r="H21" s="467"/>
      <c r="I21" s="467"/>
      <c r="J21" s="468"/>
      <c r="K21" s="469"/>
      <c r="L21" s="470"/>
      <c r="M21" s="470"/>
      <c r="N21" s="471"/>
      <c r="O21" s="489"/>
      <c r="P21" s="578"/>
      <c r="Q21" s="578"/>
      <c r="R21" s="578"/>
      <c r="S21" s="578"/>
      <c r="T21" s="578"/>
      <c r="U21" s="578"/>
      <c r="V21" s="578"/>
      <c r="W21" s="968"/>
      <c r="X21" s="968"/>
      <c r="Y21" s="968"/>
      <c r="Z21" s="968"/>
      <c r="AA21" s="968"/>
      <c r="AB21" s="968"/>
      <c r="AC21" s="968"/>
      <c r="AD21" s="590"/>
      <c r="AE21" s="2"/>
      <c r="AF21" s="2"/>
      <c r="AG21" s="2"/>
      <c r="AH21" s="2"/>
      <c r="AZ21" s="462"/>
      <c r="BA21" s="462"/>
      <c r="BB21" s="462"/>
      <c r="BC21" s="462"/>
    </row>
    <row r="22" spans="1:55" ht="25.5" x14ac:dyDescent="0.2">
      <c r="A22" s="576"/>
      <c r="B22" s="464" t="s">
        <v>63</v>
      </c>
      <c r="C22" s="465" t="s">
        <v>1523</v>
      </c>
      <c r="D22" s="483"/>
      <c r="E22" s="23"/>
      <c r="F22" s="23"/>
      <c r="G22" s="484"/>
      <c r="H22" s="472"/>
      <c r="I22" s="485"/>
      <c r="J22" s="485"/>
      <c r="K22" s="485"/>
      <c r="L22" s="486"/>
      <c r="M22" s="469"/>
      <c r="N22" s="23"/>
      <c r="O22" s="487"/>
      <c r="P22" s="578"/>
      <c r="Q22" s="578"/>
      <c r="R22" s="578"/>
      <c r="S22" s="578"/>
      <c r="T22" s="578"/>
      <c r="U22" s="578"/>
      <c r="V22" s="578"/>
      <c r="W22" s="1582"/>
      <c r="X22" s="1582"/>
      <c r="Y22" s="1582"/>
      <c r="Z22" s="968"/>
      <c r="AA22" s="968"/>
      <c r="AB22" s="968"/>
      <c r="AC22" s="968"/>
      <c r="AD22" s="590"/>
      <c r="AE22" s="2"/>
      <c r="AF22" s="2"/>
      <c r="AG22" s="2"/>
      <c r="AH22" s="2"/>
      <c r="AZ22" s="462"/>
      <c r="BA22" s="462"/>
      <c r="BB22" s="462"/>
      <c r="BC22" s="462"/>
    </row>
    <row r="23" spans="1:55" ht="39" customHeight="1" x14ac:dyDescent="0.2">
      <c r="A23" s="576"/>
      <c r="B23" s="464" t="s">
        <v>300</v>
      </c>
      <c r="C23" s="465" t="s">
        <v>1524</v>
      </c>
      <c r="D23" s="474"/>
      <c r="E23" s="470"/>
      <c r="F23" s="470"/>
      <c r="G23" s="470"/>
      <c r="H23" s="484"/>
      <c r="I23" s="485"/>
      <c r="J23" s="485"/>
      <c r="K23" s="485"/>
      <c r="L23" s="469"/>
      <c r="M23" s="470"/>
      <c r="N23" s="470"/>
      <c r="O23" s="475"/>
      <c r="P23" s="578"/>
      <c r="Q23" s="578"/>
      <c r="R23" s="578"/>
      <c r="S23" s="578"/>
      <c r="T23" s="578"/>
      <c r="U23" s="578"/>
      <c r="V23" s="578"/>
      <c r="W23" s="1582"/>
      <c r="X23" s="1582"/>
      <c r="Y23" s="1582"/>
      <c r="Z23" s="968"/>
      <c r="AA23" s="968"/>
      <c r="AB23" s="968"/>
      <c r="AC23" s="968"/>
      <c r="AD23" s="590"/>
      <c r="AE23" s="2"/>
      <c r="AF23" s="2"/>
      <c r="AG23" s="2"/>
      <c r="AH23" s="2"/>
      <c r="AZ23" s="462"/>
      <c r="BA23" s="462"/>
      <c r="BB23" s="462"/>
      <c r="BC23" s="462"/>
    </row>
    <row r="24" spans="1:55" ht="25.5" x14ac:dyDescent="0.2">
      <c r="A24" s="576"/>
      <c r="B24" s="464" t="s">
        <v>64</v>
      </c>
      <c r="C24" s="465" t="s">
        <v>1525</v>
      </c>
      <c r="D24" s="474"/>
      <c r="E24" s="470"/>
      <c r="F24" s="471"/>
      <c r="G24" s="472"/>
      <c r="H24" s="467"/>
      <c r="I24" s="467"/>
      <c r="J24" s="468"/>
      <c r="K24" s="469"/>
      <c r="L24" s="470"/>
      <c r="M24" s="470"/>
      <c r="N24" s="470"/>
      <c r="O24" s="475"/>
      <c r="P24" s="578"/>
      <c r="Q24" s="578"/>
      <c r="R24" s="578"/>
      <c r="S24" s="578"/>
      <c r="T24" s="578"/>
      <c r="U24" s="578"/>
      <c r="V24" s="578"/>
      <c r="W24" s="596"/>
      <c r="X24" s="596"/>
      <c r="Y24" s="596"/>
      <c r="Z24" s="596"/>
      <c r="AA24" s="596"/>
      <c r="AB24" s="596"/>
      <c r="AC24" s="596"/>
      <c r="AD24" s="590"/>
      <c r="AE24" s="2"/>
      <c r="AF24" s="2"/>
      <c r="AG24" s="2"/>
      <c r="AH24" s="2"/>
      <c r="AZ24" s="462"/>
      <c r="BA24" s="462"/>
      <c r="BB24" s="462"/>
      <c r="BC24" s="462"/>
    </row>
    <row r="25" spans="1:55" ht="25.5" x14ac:dyDescent="0.2">
      <c r="A25" s="576"/>
      <c r="B25" s="464" t="s">
        <v>65</v>
      </c>
      <c r="C25" s="465" t="s">
        <v>1526</v>
      </c>
      <c r="D25" s="483"/>
      <c r="E25" s="23"/>
      <c r="F25" s="23"/>
      <c r="G25" s="484"/>
      <c r="H25" s="472"/>
      <c r="I25" s="485"/>
      <c r="J25" s="485"/>
      <c r="K25" s="485"/>
      <c r="L25" s="486"/>
      <c r="M25" s="469"/>
      <c r="N25" s="23"/>
      <c r="O25" s="487"/>
      <c r="P25" s="578"/>
      <c r="Q25" s="578"/>
      <c r="R25" s="578"/>
      <c r="S25" s="578"/>
      <c r="T25" s="578"/>
      <c r="U25" s="578"/>
      <c r="V25" s="578"/>
      <c r="W25" s="596"/>
      <c r="X25" s="596"/>
      <c r="Y25" s="596"/>
      <c r="Z25" s="596"/>
      <c r="AA25" s="596"/>
      <c r="AB25" s="596"/>
      <c r="AC25" s="596"/>
      <c r="AD25" s="590"/>
      <c r="AE25" s="2"/>
      <c r="AF25" s="2"/>
      <c r="AG25" s="2"/>
      <c r="AH25" s="2"/>
      <c r="AZ25" s="462"/>
      <c r="BA25" s="462"/>
      <c r="BB25" s="462"/>
      <c r="BC25" s="462"/>
    </row>
    <row r="26" spans="1:55" x14ac:dyDescent="0.2">
      <c r="A26" s="576"/>
      <c r="B26" s="1583" t="s">
        <v>1527</v>
      </c>
      <c r="C26" s="1585" t="s">
        <v>1528</v>
      </c>
      <c r="D26" s="490"/>
      <c r="E26" s="477"/>
      <c r="F26" s="479"/>
      <c r="G26" s="472"/>
      <c r="H26" s="477"/>
      <c r="I26" s="477"/>
      <c r="J26" s="477"/>
      <c r="K26" s="477"/>
      <c r="L26" s="479"/>
      <c r="M26" s="472"/>
      <c r="N26" s="478"/>
      <c r="O26" s="491"/>
      <c r="P26" s="578"/>
      <c r="Q26" s="578"/>
      <c r="R26" s="578"/>
      <c r="S26" s="578"/>
      <c r="T26" s="578"/>
      <c r="U26" s="578"/>
      <c r="V26" s="578"/>
      <c r="W26" s="596"/>
      <c r="X26" s="596"/>
      <c r="Y26" s="596"/>
      <c r="Z26" s="596"/>
      <c r="AA26" s="596"/>
      <c r="AB26" s="596"/>
      <c r="AC26" s="596"/>
      <c r="AD26" s="590"/>
      <c r="AE26" s="2"/>
      <c r="AF26" s="2"/>
      <c r="AG26" s="2"/>
      <c r="AH26" s="2"/>
      <c r="AZ26" s="462"/>
      <c r="BA26" s="462"/>
      <c r="BB26" s="462"/>
      <c r="BC26" s="462"/>
    </row>
    <row r="27" spans="1:55" x14ac:dyDescent="0.2">
      <c r="A27" s="576"/>
      <c r="B27" s="1584"/>
      <c r="C27" s="1586"/>
      <c r="D27" s="492"/>
      <c r="E27" s="493"/>
      <c r="F27" s="493"/>
      <c r="G27" s="493"/>
      <c r="H27" s="493"/>
      <c r="I27" s="493"/>
      <c r="J27" s="493"/>
      <c r="K27" s="493"/>
      <c r="L27" s="493"/>
      <c r="M27" s="493"/>
      <c r="N27" s="493"/>
      <c r="O27" s="494"/>
      <c r="P27" s="578"/>
      <c r="Q27" s="578"/>
      <c r="R27" s="578"/>
      <c r="S27" s="578"/>
      <c r="T27" s="578"/>
      <c r="U27" s="578"/>
      <c r="V27" s="578"/>
      <c r="W27" s="578"/>
      <c r="X27" s="578"/>
      <c r="Y27" s="578"/>
      <c r="Z27" s="578"/>
      <c r="AA27" s="578"/>
      <c r="AB27" s="578"/>
      <c r="AC27" s="578"/>
      <c r="AD27" s="590"/>
      <c r="AE27" s="2"/>
      <c r="AF27" s="2"/>
      <c r="AG27" s="2"/>
      <c r="AH27" s="2"/>
      <c r="AZ27" s="462"/>
      <c r="BA27" s="462"/>
      <c r="BB27" s="462"/>
      <c r="BC27" s="462"/>
    </row>
    <row r="28" spans="1:55" ht="26.25" customHeight="1" x14ac:dyDescent="0.2">
      <c r="A28" s="576"/>
      <c r="B28" s="967" t="str">
        <f>IF($K$2="","ERREUR",IF(OR($K$2=CANADA,$K$2=USA),"Seigle","N.C."))</f>
        <v>ERREUR</v>
      </c>
      <c r="C28" s="465" t="str">
        <f>IF(OR($K$2="Canada",$K$2="Etats-Unis"),"r = 2                  110€/t","")</f>
        <v/>
      </c>
      <c r="D28" s="474"/>
      <c r="E28" s="470"/>
      <c r="F28" s="470"/>
      <c r="G28" s="470"/>
      <c r="H28" s="470"/>
      <c r="I28" s="470"/>
      <c r="J28" s="470"/>
      <c r="K28" s="495"/>
      <c r="L28" s="470"/>
      <c r="M28" s="470"/>
      <c r="N28" s="470"/>
      <c r="O28" s="475"/>
      <c r="P28" s="578"/>
      <c r="Q28" s="578"/>
      <c r="R28" s="578"/>
      <c r="S28" s="578"/>
      <c r="T28" s="578"/>
      <c r="U28" s="578"/>
      <c r="V28" s="578"/>
      <c r="W28" s="578"/>
      <c r="X28" s="578"/>
      <c r="Y28" s="578"/>
      <c r="Z28" s="578"/>
      <c r="AA28" s="578"/>
      <c r="AB28" s="578"/>
      <c r="AC28" s="578"/>
      <c r="AD28" s="590"/>
      <c r="AE28" s="2"/>
      <c r="AF28" s="2"/>
      <c r="AG28" s="2"/>
      <c r="AH28" s="2"/>
      <c r="AZ28" s="462"/>
      <c r="BA28" s="462"/>
      <c r="BB28" s="462"/>
      <c r="BC28" s="462"/>
    </row>
    <row r="29" spans="1:55" ht="26.25" customHeight="1" x14ac:dyDescent="0.2">
      <c r="A29" s="576"/>
      <c r="B29" s="496" t="str">
        <f>IF($K$2="","ERREUR",IF($K$2=USA,"Coton","N.C."))</f>
        <v>ERREUR</v>
      </c>
      <c r="C29" s="465" t="str">
        <f>IF($K$2="Etats-Unis","r = 3                  1080€/t","")</f>
        <v/>
      </c>
      <c r="D29" s="490"/>
      <c r="E29" s="478"/>
      <c r="F29" s="478"/>
      <c r="G29" s="478"/>
      <c r="H29" s="23"/>
      <c r="I29" s="23"/>
      <c r="J29" s="23"/>
      <c r="K29" s="23"/>
      <c r="L29" s="23"/>
      <c r="M29" s="478"/>
      <c r="N29" s="478"/>
      <c r="O29" s="491"/>
      <c r="P29" s="578"/>
      <c r="Q29" s="578"/>
      <c r="R29" s="578"/>
      <c r="S29" s="578"/>
      <c r="T29" s="578"/>
      <c r="U29" s="578"/>
      <c r="V29" s="578"/>
      <c r="W29" s="578"/>
      <c r="X29" s="578"/>
      <c r="Y29" s="578"/>
      <c r="Z29" s="578"/>
      <c r="AA29" s="578"/>
      <c r="AB29" s="578"/>
      <c r="AC29" s="578"/>
      <c r="AD29" s="590"/>
      <c r="AE29" s="2"/>
      <c r="AF29" s="2"/>
      <c r="AG29" s="2"/>
      <c r="AH29" s="2"/>
      <c r="AZ29" s="462"/>
      <c r="BA29" s="462"/>
      <c r="BB29" s="462"/>
      <c r="BC29" s="462"/>
    </row>
    <row r="30" spans="1:55" ht="26.25" customHeight="1" x14ac:dyDescent="0.2">
      <c r="A30" s="576"/>
      <c r="B30" s="967" t="s">
        <v>1529</v>
      </c>
      <c r="C30" s="465" t="s">
        <v>1530</v>
      </c>
      <c r="D30" s="466"/>
      <c r="E30" s="467"/>
      <c r="F30" s="469"/>
      <c r="G30" s="470"/>
      <c r="H30" s="470"/>
      <c r="I30" s="470"/>
      <c r="J30" s="470"/>
      <c r="K30" s="470"/>
      <c r="L30" s="471"/>
      <c r="M30" s="467"/>
      <c r="N30" s="467"/>
      <c r="O30" s="473"/>
      <c r="P30" s="578"/>
      <c r="Q30" s="578"/>
      <c r="R30" s="578"/>
      <c r="S30" s="578"/>
      <c r="T30" s="578"/>
      <c r="U30" s="578"/>
      <c r="V30" s="578"/>
      <c r="W30" s="578"/>
      <c r="X30" s="578"/>
      <c r="Y30" s="578"/>
      <c r="Z30" s="578"/>
      <c r="AA30" s="578"/>
      <c r="AB30" s="578"/>
      <c r="AC30" s="578"/>
      <c r="AD30" s="590"/>
      <c r="AE30" s="2"/>
      <c r="AF30" s="2"/>
      <c r="AG30" s="2"/>
      <c r="AH30" s="2"/>
      <c r="AZ30" s="462"/>
      <c r="BA30" s="462"/>
      <c r="BB30" s="462"/>
      <c r="BC30" s="462"/>
    </row>
    <row r="31" spans="1:55" ht="12" customHeight="1" x14ac:dyDescent="0.2">
      <c r="A31" s="576"/>
      <c r="B31" s="1589" t="s">
        <v>331</v>
      </c>
      <c r="C31" s="1590" t="s">
        <v>1530</v>
      </c>
      <c r="D31" s="474"/>
      <c r="E31" s="470"/>
      <c r="F31" s="479"/>
      <c r="G31" s="485"/>
      <c r="H31" s="485"/>
      <c r="I31" s="479"/>
      <c r="J31" s="485"/>
      <c r="K31" s="479"/>
      <c r="L31" s="485"/>
      <c r="M31" s="1587"/>
      <c r="N31" s="470"/>
      <c r="O31" s="475"/>
      <c r="P31" s="578"/>
      <c r="Q31" s="578"/>
      <c r="R31" s="578"/>
      <c r="S31" s="578"/>
      <c r="T31" s="578"/>
      <c r="U31" s="578"/>
      <c r="V31" s="578"/>
      <c r="W31" s="578"/>
      <c r="X31" s="578"/>
      <c r="Y31" s="578"/>
      <c r="Z31" s="578"/>
      <c r="AA31" s="578"/>
      <c r="AB31" s="578"/>
      <c r="AC31" s="578"/>
      <c r="AD31" s="590"/>
      <c r="AE31" s="2"/>
      <c r="AF31" s="2"/>
      <c r="AG31" s="2"/>
      <c r="AH31" s="2"/>
      <c r="AZ31" s="462"/>
      <c r="BA31" s="462"/>
      <c r="BB31" s="462"/>
      <c r="BC31" s="462"/>
    </row>
    <row r="32" spans="1:55" ht="12" customHeight="1" x14ac:dyDescent="0.2">
      <c r="A32" s="576"/>
      <c r="B32" s="1589"/>
      <c r="C32" s="1591"/>
      <c r="D32" s="474"/>
      <c r="E32" s="470"/>
      <c r="F32" s="497"/>
      <c r="G32" s="485"/>
      <c r="H32" s="469"/>
      <c r="I32" s="497"/>
      <c r="J32" s="485"/>
      <c r="K32" s="469"/>
      <c r="L32" s="485"/>
      <c r="M32" s="1588"/>
      <c r="N32" s="470"/>
      <c r="O32" s="475"/>
      <c r="P32" s="578"/>
      <c r="Q32" s="578"/>
      <c r="R32" s="578"/>
      <c r="S32" s="578"/>
      <c r="T32" s="578"/>
      <c r="U32" s="578"/>
      <c r="V32" s="578"/>
      <c r="W32" s="578"/>
      <c r="X32" s="578"/>
      <c r="Y32" s="578"/>
      <c r="Z32" s="578"/>
      <c r="AA32" s="578"/>
      <c r="AB32" s="578"/>
      <c r="AC32" s="578"/>
      <c r="AD32" s="590"/>
      <c r="AE32" s="2"/>
      <c r="AF32" s="2"/>
      <c r="AG32" s="2"/>
      <c r="AH32" s="2"/>
      <c r="AZ32" s="462"/>
      <c r="BA32" s="462"/>
      <c r="BB32" s="462"/>
      <c r="BC32" s="462"/>
    </row>
    <row r="33" spans="1:55" ht="12" customHeight="1" x14ac:dyDescent="0.2">
      <c r="A33" s="576"/>
      <c r="B33" s="1589" t="s">
        <v>332</v>
      </c>
      <c r="C33" s="1590" t="s">
        <v>1531</v>
      </c>
      <c r="D33" s="474"/>
      <c r="E33" s="470"/>
      <c r="F33" s="498"/>
      <c r="G33" s="472"/>
      <c r="H33" s="472"/>
      <c r="I33" s="499"/>
      <c r="J33" s="472"/>
      <c r="K33" s="499"/>
      <c r="L33" s="472"/>
      <c r="M33" s="470"/>
      <c r="N33" s="470"/>
      <c r="O33" s="475"/>
      <c r="P33" s="578"/>
      <c r="Q33" s="578"/>
      <c r="R33" s="578"/>
      <c r="S33" s="578"/>
      <c r="T33" s="578"/>
      <c r="U33" s="578"/>
      <c r="V33" s="578"/>
      <c r="W33" s="578"/>
      <c r="X33" s="578"/>
      <c r="Y33" s="578"/>
      <c r="Z33" s="578"/>
      <c r="AA33" s="578"/>
      <c r="AB33" s="578"/>
      <c r="AC33" s="578"/>
      <c r="AD33" s="590"/>
      <c r="AE33" s="2"/>
      <c r="AF33" s="2"/>
      <c r="AG33" s="2"/>
      <c r="AH33" s="2"/>
      <c r="AZ33" s="462"/>
      <c r="BA33" s="462"/>
      <c r="BB33" s="462"/>
      <c r="BC33" s="462"/>
    </row>
    <row r="34" spans="1:55" ht="12.75" customHeight="1" x14ac:dyDescent="0.2">
      <c r="A34" s="576"/>
      <c r="B34" s="1589"/>
      <c r="C34" s="1591"/>
      <c r="D34" s="474"/>
      <c r="E34" s="470"/>
      <c r="F34" s="470"/>
      <c r="G34" s="470"/>
      <c r="H34" s="485"/>
      <c r="I34" s="469"/>
      <c r="J34" s="469"/>
      <c r="K34" s="469"/>
      <c r="L34" s="469"/>
      <c r="M34" s="469"/>
      <c r="N34" s="469"/>
      <c r="O34" s="475"/>
      <c r="P34" s="578"/>
      <c r="Q34" s="578"/>
      <c r="R34" s="578"/>
      <c r="S34" s="578"/>
      <c r="T34" s="578"/>
      <c r="U34" s="578"/>
      <c r="V34" s="578"/>
      <c r="W34" s="578"/>
      <c r="X34" s="578"/>
      <c r="Y34" s="578"/>
      <c r="Z34" s="578"/>
      <c r="AA34" s="578"/>
      <c r="AB34" s="578"/>
      <c r="AC34" s="578"/>
      <c r="AD34" s="590"/>
      <c r="AE34" s="2"/>
      <c r="AF34" s="2"/>
      <c r="AG34" s="2"/>
      <c r="AH34" s="2"/>
      <c r="AZ34" s="462"/>
      <c r="BA34" s="462"/>
      <c r="BB34" s="462"/>
      <c r="BC34" s="462"/>
    </row>
    <row r="35" spans="1:55" ht="26.25" customHeight="1" x14ac:dyDescent="0.2">
      <c r="A35" s="576"/>
      <c r="B35" s="967" t="s">
        <v>333</v>
      </c>
      <c r="C35" s="465" t="s">
        <v>1532</v>
      </c>
      <c r="D35" s="483"/>
      <c r="E35" s="23"/>
      <c r="F35" s="23"/>
      <c r="G35" s="472"/>
      <c r="H35" s="472"/>
      <c r="I35" s="485"/>
      <c r="J35" s="485"/>
      <c r="K35" s="469"/>
      <c r="L35" s="469"/>
      <c r="M35" s="23"/>
      <c r="N35" s="23"/>
      <c r="O35" s="487"/>
      <c r="P35" s="578"/>
      <c r="Q35" s="578"/>
      <c r="R35" s="578"/>
      <c r="S35" s="578"/>
      <c r="T35" s="578"/>
      <c r="U35" s="578"/>
      <c r="V35" s="578"/>
      <c r="W35" s="578"/>
      <c r="X35" s="578"/>
      <c r="Y35" s="578"/>
      <c r="Z35" s="578"/>
      <c r="AA35" s="578"/>
      <c r="AB35" s="578"/>
      <c r="AC35" s="578"/>
      <c r="AD35" s="590"/>
      <c r="AE35" s="2"/>
      <c r="AF35" s="2"/>
      <c r="AG35" s="2"/>
      <c r="AH35" s="2"/>
      <c r="AZ35" s="462"/>
      <c r="BA35" s="462"/>
      <c r="BB35" s="462"/>
      <c r="BC35" s="462"/>
    </row>
    <row r="36" spans="1:55" ht="26.25" customHeight="1" x14ac:dyDescent="0.2">
      <c r="A36" s="576"/>
      <c r="B36" s="967" t="str">
        <f>IF($K$2="","ERREUR","Tabac")</f>
        <v>ERREUR</v>
      </c>
      <c r="C36" s="465" t="str">
        <f>IF($B$36="ERREUR","","r = 3                  4500€/t")</f>
        <v/>
      </c>
      <c r="D36" s="474"/>
      <c r="E36" s="470"/>
      <c r="F36" s="471"/>
      <c r="G36" s="472"/>
      <c r="H36" s="472"/>
      <c r="I36" s="467"/>
      <c r="J36" s="467"/>
      <c r="K36" s="468"/>
      <c r="L36" s="469"/>
      <c r="M36" s="470"/>
      <c r="N36" s="470"/>
      <c r="O36" s="475"/>
      <c r="P36" s="578"/>
      <c r="Q36" s="578"/>
      <c r="R36" s="578"/>
      <c r="S36" s="578"/>
      <c r="T36" s="578"/>
      <c r="U36" s="578"/>
      <c r="V36" s="578"/>
      <c r="W36" s="578"/>
      <c r="X36" s="578"/>
      <c r="Y36" s="578"/>
      <c r="Z36" s="578"/>
      <c r="AA36" s="578"/>
      <c r="AB36" s="578"/>
      <c r="AC36" s="578"/>
      <c r="AD36" s="590"/>
      <c r="AE36" s="2"/>
      <c r="AF36" s="2"/>
      <c r="AG36" s="2"/>
      <c r="AH36" s="2"/>
      <c r="AZ36" s="462"/>
      <c r="BA36" s="462"/>
      <c r="BB36" s="462"/>
      <c r="BC36" s="462"/>
    </row>
    <row r="37" spans="1:55" ht="26.25" customHeight="1" x14ac:dyDescent="0.2">
      <c r="A37" s="576"/>
      <c r="B37" s="967" t="s">
        <v>191</v>
      </c>
      <c r="C37" s="465" t="str">
        <f>IF($B$37="ERREUR","","r = 6                  75€/t")</f>
        <v>r = 6                  75€/t</v>
      </c>
      <c r="D37" s="490"/>
      <c r="E37" s="478"/>
      <c r="F37" s="479"/>
      <c r="G37" s="479"/>
      <c r="H37" s="478"/>
      <c r="I37" s="478"/>
      <c r="J37" s="478"/>
      <c r="K37" s="478"/>
      <c r="L37" s="478"/>
      <c r="M37" s="478"/>
      <c r="N37" s="478"/>
      <c r="O37" s="491"/>
      <c r="P37" s="578"/>
      <c r="Q37" s="578"/>
      <c r="R37" s="578"/>
      <c r="S37" s="578"/>
      <c r="T37" s="578"/>
      <c r="U37" s="578"/>
      <c r="V37" s="578"/>
      <c r="W37" s="578"/>
      <c r="X37" s="578"/>
      <c r="Y37" s="578"/>
      <c r="Z37" s="578"/>
      <c r="AA37" s="578"/>
      <c r="AB37" s="578"/>
      <c r="AC37" s="578"/>
      <c r="AD37" s="590"/>
      <c r="AE37" s="2"/>
      <c r="AF37" s="2"/>
      <c r="AG37" s="2"/>
      <c r="AH37" s="2"/>
      <c r="AZ37" s="462"/>
      <c r="BA37" s="462"/>
      <c r="BB37" s="462"/>
      <c r="BC37" s="462"/>
    </row>
    <row r="38" spans="1:55" ht="26.25" customHeight="1" x14ac:dyDescent="0.2">
      <c r="A38" s="576"/>
      <c r="B38" s="967" t="s">
        <v>192</v>
      </c>
      <c r="C38" s="500" t="str">
        <f>IF($B$38="ERREUR","","75€/t")</f>
        <v>75€/t</v>
      </c>
      <c r="D38" s="467"/>
      <c r="E38" s="468"/>
      <c r="F38" s="468"/>
      <c r="G38" s="471"/>
      <c r="H38" s="471"/>
      <c r="I38" s="467"/>
      <c r="J38" s="467"/>
      <c r="K38" s="467"/>
      <c r="L38" s="467"/>
      <c r="M38" s="467"/>
      <c r="N38" s="467"/>
      <c r="O38" s="473"/>
      <c r="P38" s="578"/>
      <c r="Q38" s="578"/>
      <c r="R38" s="578"/>
      <c r="S38" s="578"/>
      <c r="T38" s="578"/>
      <c r="U38" s="578"/>
      <c r="V38" s="578"/>
      <c r="W38" s="578"/>
      <c r="X38" s="578"/>
      <c r="Y38" s="578"/>
      <c r="Z38" s="578"/>
      <c r="AA38" s="578"/>
      <c r="AB38" s="578"/>
      <c r="AC38" s="578"/>
      <c r="AD38" s="590"/>
      <c r="AE38" s="2"/>
      <c r="AF38" s="2"/>
      <c r="AG38" s="2"/>
      <c r="AH38" s="2"/>
      <c r="AZ38" s="462"/>
      <c r="BA38" s="462"/>
      <c r="BB38" s="462"/>
      <c r="BC38" s="462"/>
    </row>
    <row r="39" spans="1:55" x14ac:dyDescent="0.2">
      <c r="A39" s="576"/>
      <c r="B39" s="578"/>
      <c r="C39" s="578"/>
      <c r="D39" s="578"/>
      <c r="E39" s="578"/>
      <c r="F39" s="578"/>
      <c r="G39" s="578"/>
      <c r="H39" s="578"/>
      <c r="I39" s="578"/>
      <c r="J39" s="578"/>
      <c r="K39" s="578"/>
      <c r="L39" s="578"/>
      <c r="M39" s="578"/>
      <c r="N39" s="578"/>
      <c r="O39" s="578"/>
      <c r="P39" s="578"/>
      <c r="Q39" s="578"/>
      <c r="R39" s="578"/>
      <c r="S39" s="578"/>
      <c r="T39" s="578"/>
      <c r="U39" s="578"/>
      <c r="V39" s="578"/>
      <c r="W39" s="578"/>
      <c r="X39" s="578"/>
      <c r="Y39" s="578"/>
      <c r="Z39" s="578"/>
      <c r="AA39" s="578"/>
      <c r="AB39" s="578"/>
      <c r="AC39" s="578"/>
      <c r="AD39" s="590"/>
      <c r="AE39" s="2"/>
      <c r="AF39" s="2"/>
      <c r="AG39" s="2"/>
      <c r="AH39" s="2"/>
      <c r="AZ39" s="462"/>
      <c r="BA39" s="462"/>
      <c r="BB39" s="462"/>
      <c r="BC39" s="462"/>
    </row>
    <row r="40" spans="1:55" x14ac:dyDescent="0.2">
      <c r="A40" s="576"/>
      <c r="B40" s="501"/>
      <c r="C40" s="1592" t="s">
        <v>1533</v>
      </c>
      <c r="D40" s="1593"/>
      <c r="E40" s="578"/>
      <c r="F40" s="502" t="s">
        <v>1534</v>
      </c>
      <c r="G40" s="1592" t="s">
        <v>1535</v>
      </c>
      <c r="H40" s="1593"/>
      <c r="I40" s="604"/>
      <c r="J40" s="578"/>
      <c r="K40" s="578" t="s">
        <v>1536</v>
      </c>
      <c r="L40" s="578"/>
      <c r="M40" s="578"/>
      <c r="N40" s="578"/>
      <c r="O40" s="578"/>
      <c r="P40" s="578"/>
      <c r="Q40" s="578"/>
      <c r="R40" s="578"/>
      <c r="S40" s="578"/>
      <c r="T40" s="578"/>
      <c r="U40" s="578"/>
      <c r="V40" s="578"/>
      <c r="W40" s="578"/>
      <c r="X40" s="578"/>
      <c r="Y40" s="578"/>
      <c r="Z40" s="578"/>
      <c r="AA40" s="578"/>
      <c r="AB40" s="578"/>
      <c r="AC40" s="578"/>
      <c r="AD40" s="590"/>
      <c r="AE40" s="2"/>
      <c r="AF40" s="2"/>
      <c r="AG40" s="2"/>
      <c r="AH40" s="2"/>
      <c r="AZ40" s="462"/>
      <c r="BA40" s="462"/>
      <c r="BB40" s="462"/>
      <c r="BC40" s="462"/>
    </row>
    <row r="41" spans="1:55" x14ac:dyDescent="0.2">
      <c r="A41" s="576"/>
      <c r="B41" s="503"/>
      <c r="C41" s="1592" t="s">
        <v>1537</v>
      </c>
      <c r="D41" s="1593"/>
      <c r="E41" s="578"/>
      <c r="F41" s="502" t="s">
        <v>1538</v>
      </c>
      <c r="G41" s="1592" t="s">
        <v>1539</v>
      </c>
      <c r="H41" s="1593"/>
      <c r="I41" s="604"/>
      <c r="J41" s="578"/>
      <c r="K41" s="578" t="s">
        <v>1540</v>
      </c>
      <c r="L41" s="578"/>
      <c r="M41" s="578"/>
      <c r="N41" s="578"/>
      <c r="O41" s="578"/>
      <c r="P41" s="578"/>
      <c r="Q41" s="578"/>
      <c r="R41" s="578"/>
      <c r="S41" s="578"/>
      <c r="T41" s="578"/>
      <c r="U41" s="578"/>
      <c r="V41" s="578"/>
      <c r="W41" s="578"/>
      <c r="X41" s="578"/>
      <c r="Y41" s="578"/>
      <c r="Z41" s="578"/>
      <c r="AA41" s="578"/>
      <c r="AB41" s="578"/>
      <c r="AC41" s="578"/>
      <c r="AD41" s="590"/>
      <c r="AE41" s="2"/>
      <c r="AF41" s="2"/>
      <c r="AG41" s="2"/>
      <c r="AH41" s="2"/>
      <c r="AZ41" s="462"/>
      <c r="BA41" s="462"/>
      <c r="BB41" s="462"/>
      <c r="BC41" s="462"/>
    </row>
    <row r="42" spans="1:55" x14ac:dyDescent="0.2">
      <c r="A42" s="576"/>
      <c r="B42" s="504"/>
      <c r="C42" s="1592" t="s">
        <v>1541</v>
      </c>
      <c r="D42" s="1593"/>
      <c r="E42" s="578"/>
      <c r="F42" s="578"/>
      <c r="G42" s="578"/>
      <c r="H42" s="578"/>
      <c r="I42" s="578"/>
      <c r="J42" s="578"/>
      <c r="K42" s="578" t="s">
        <v>1542</v>
      </c>
      <c r="L42" s="578"/>
      <c r="M42" s="578"/>
      <c r="N42" s="578"/>
      <c r="O42" s="578"/>
      <c r="P42" s="578"/>
      <c r="Q42" s="578"/>
      <c r="R42" s="578"/>
      <c r="S42" s="578"/>
      <c r="T42" s="578"/>
      <c r="U42" s="578"/>
      <c r="V42" s="578"/>
      <c r="W42" s="578"/>
      <c r="X42" s="578"/>
      <c r="Y42" s="578"/>
      <c r="Z42" s="578"/>
      <c r="AA42" s="578"/>
      <c r="AB42" s="578"/>
      <c r="AC42" s="578"/>
      <c r="AD42" s="590"/>
      <c r="AE42" s="2"/>
      <c r="AF42" s="2"/>
      <c r="AG42" s="2"/>
      <c r="AH42" s="2"/>
      <c r="AZ42" s="462"/>
      <c r="BA42" s="462"/>
      <c r="BB42" s="462"/>
      <c r="BC42" s="462"/>
    </row>
    <row r="43" spans="1:55" x14ac:dyDescent="0.2">
      <c r="A43" s="576"/>
      <c r="B43" s="578"/>
      <c r="C43" s="578"/>
      <c r="D43" s="578"/>
      <c r="E43" s="578"/>
      <c r="F43" s="578"/>
      <c r="G43" s="578"/>
      <c r="H43" s="578"/>
      <c r="I43" s="578"/>
      <c r="J43" s="578"/>
      <c r="K43" s="578" t="s">
        <v>1543</v>
      </c>
      <c r="L43" s="578"/>
      <c r="M43" s="578"/>
      <c r="N43" s="578"/>
      <c r="O43" s="578"/>
      <c r="P43" s="578"/>
      <c r="Q43" s="578"/>
      <c r="R43" s="578"/>
      <c r="S43" s="578"/>
      <c r="T43" s="578"/>
      <c r="U43" s="578"/>
      <c r="V43" s="578"/>
      <c r="W43" s="578"/>
      <c r="X43" s="578"/>
      <c r="Y43" s="578"/>
      <c r="Z43" s="578"/>
      <c r="AA43" s="578"/>
      <c r="AB43" s="578"/>
      <c r="AC43" s="578"/>
      <c r="AD43" s="590"/>
      <c r="AE43" s="2"/>
      <c r="AF43" s="2"/>
      <c r="AG43" s="2"/>
      <c r="AH43" s="2"/>
      <c r="AZ43" s="462"/>
      <c r="BA43" s="462"/>
      <c r="BB43" s="462"/>
      <c r="BC43" s="462"/>
    </row>
    <row r="44" spans="1:55" x14ac:dyDescent="0.2">
      <c r="A44" s="576"/>
      <c r="B44" s="578"/>
      <c r="C44" s="578"/>
      <c r="D44" s="578"/>
      <c r="E44" s="578"/>
      <c r="F44" s="578"/>
      <c r="G44" s="578"/>
      <c r="H44" s="578"/>
      <c r="I44" s="578"/>
      <c r="J44" s="578"/>
      <c r="K44" s="578" t="s">
        <v>1544</v>
      </c>
      <c r="L44" s="578"/>
      <c r="M44" s="578"/>
      <c r="N44" s="578"/>
      <c r="O44" s="578"/>
      <c r="P44" s="578"/>
      <c r="Q44" s="578"/>
      <c r="R44" s="578"/>
      <c r="S44" s="578"/>
      <c r="T44" s="578"/>
      <c r="U44" s="578"/>
      <c r="V44" s="578"/>
      <c r="W44" s="578"/>
      <c r="X44" s="578"/>
      <c r="Y44" s="578"/>
      <c r="Z44" s="578"/>
      <c r="AA44" s="578"/>
      <c r="AB44" s="578"/>
      <c r="AC44" s="578"/>
      <c r="AD44" s="590"/>
      <c r="AE44" s="2"/>
      <c r="AF44" s="2"/>
      <c r="AG44" s="2"/>
      <c r="AH44" s="2"/>
      <c r="AZ44" s="462"/>
      <c r="BA44" s="462"/>
      <c r="BB44" s="462"/>
      <c r="BC44" s="462"/>
    </row>
    <row r="45" spans="1:55" x14ac:dyDescent="0.2">
      <c r="A45" s="576"/>
      <c r="B45" s="1594"/>
      <c r="C45" s="1594"/>
      <c r="D45" s="1595"/>
      <c r="E45" s="1595"/>
      <c r="F45" s="578"/>
      <c r="G45" s="578"/>
      <c r="H45" s="578"/>
      <c r="I45" s="578"/>
      <c r="J45" s="578"/>
      <c r="K45" s="578" t="s">
        <v>1545</v>
      </c>
      <c r="L45" s="578"/>
      <c r="M45" s="578"/>
      <c r="N45" s="578"/>
      <c r="O45" s="578"/>
      <c r="P45" s="578"/>
      <c r="Q45" s="578"/>
      <c r="R45" s="578"/>
      <c r="S45" s="578"/>
      <c r="T45" s="578"/>
      <c r="U45" s="578"/>
      <c r="V45" s="578"/>
      <c r="W45" s="578"/>
      <c r="X45" s="578"/>
      <c r="Y45" s="578"/>
      <c r="Z45" s="578"/>
      <c r="AA45" s="578"/>
      <c r="AB45" s="578"/>
      <c r="AC45" s="578"/>
      <c r="AD45" s="590"/>
      <c r="AE45" s="2"/>
      <c r="AF45" s="2"/>
      <c r="AG45" s="2"/>
      <c r="AH45" s="2"/>
      <c r="AZ45" s="462"/>
      <c r="BA45" s="462"/>
      <c r="BB45" s="462"/>
      <c r="BC45" s="462"/>
    </row>
    <row r="46" spans="1:55" x14ac:dyDescent="0.2">
      <c r="A46" s="576"/>
      <c r="B46" s="578"/>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c r="AD46" s="590"/>
      <c r="AE46" s="2"/>
      <c r="AF46" s="2"/>
      <c r="AG46" s="2"/>
      <c r="AH46" s="2"/>
      <c r="AZ46" s="462"/>
      <c r="BA46" s="462"/>
      <c r="BB46" s="462"/>
      <c r="BC46" s="462"/>
    </row>
    <row r="47" spans="1:55" x14ac:dyDescent="0.2">
      <c r="A47" s="576"/>
      <c r="B47" s="578"/>
      <c r="C47" s="578"/>
      <c r="D47" s="578"/>
      <c r="E47" s="578"/>
      <c r="F47" s="578"/>
      <c r="G47" s="578"/>
      <c r="H47" s="578"/>
      <c r="I47" s="578"/>
      <c r="J47" s="578"/>
      <c r="K47" s="578"/>
      <c r="L47" s="578"/>
      <c r="M47" s="578"/>
      <c r="N47" s="578"/>
      <c r="O47" s="578"/>
      <c r="P47" s="578"/>
      <c r="Q47" s="578"/>
      <c r="R47" s="578"/>
      <c r="S47" s="578"/>
      <c r="T47" s="578"/>
      <c r="U47" s="578"/>
      <c r="V47" s="578"/>
      <c r="W47" s="578"/>
      <c r="X47" s="578"/>
      <c r="Y47" s="578"/>
      <c r="Z47" s="578"/>
      <c r="AA47" s="578"/>
      <c r="AB47" s="578"/>
      <c r="AC47" s="578"/>
      <c r="AD47" s="590"/>
      <c r="AE47" s="2"/>
      <c r="AF47" s="2"/>
      <c r="AG47" s="2"/>
      <c r="AH47" s="2"/>
      <c r="AZ47" s="462"/>
      <c r="BA47" s="462"/>
      <c r="BB47" s="462"/>
      <c r="BC47" s="462"/>
    </row>
    <row r="48" spans="1:55" x14ac:dyDescent="0.2">
      <c r="A48" s="576"/>
      <c r="B48" s="1597" t="s">
        <v>1546</v>
      </c>
      <c r="C48" s="1598"/>
      <c r="D48" s="1599" t="s">
        <v>162</v>
      </c>
      <c r="E48" s="1600"/>
      <c r="F48" s="578"/>
      <c r="G48" s="578"/>
      <c r="H48" s="578"/>
      <c r="I48" s="578"/>
      <c r="J48" s="578"/>
      <c r="K48" s="578"/>
      <c r="L48" s="578"/>
      <c r="M48" s="578"/>
      <c r="N48" s="578"/>
      <c r="O48" s="578"/>
      <c r="P48" s="578"/>
      <c r="Q48" s="578"/>
      <c r="R48" s="578"/>
      <c r="S48" s="578"/>
      <c r="T48" s="578"/>
      <c r="U48" s="578"/>
      <c r="V48" s="578"/>
      <c r="W48" s="578"/>
      <c r="X48" s="578"/>
      <c r="Y48" s="578"/>
      <c r="Z48" s="578"/>
      <c r="AA48" s="578"/>
      <c r="AB48" s="578"/>
      <c r="AC48" s="578"/>
      <c r="AD48" s="590"/>
      <c r="AE48" s="2"/>
      <c r="AF48" s="2"/>
      <c r="AG48" s="2"/>
      <c r="AH48" s="2"/>
      <c r="AZ48" s="462"/>
      <c r="BA48" s="462"/>
      <c r="BB48" s="462"/>
      <c r="BC48" s="462"/>
    </row>
    <row r="49" spans="1:55" x14ac:dyDescent="0.2">
      <c r="A49" s="576"/>
      <c r="B49" s="602"/>
      <c r="C49" s="602"/>
      <c r="D49" s="603"/>
      <c r="E49" s="603"/>
      <c r="F49" s="578"/>
      <c r="G49" s="578"/>
      <c r="H49" s="578"/>
      <c r="I49" s="578"/>
      <c r="J49" s="578"/>
      <c r="K49" s="578"/>
      <c r="L49" s="578"/>
      <c r="M49" s="578"/>
      <c r="N49" s="578"/>
      <c r="O49" s="578"/>
      <c r="P49" s="578"/>
      <c r="Q49" s="578"/>
      <c r="R49" s="578"/>
      <c r="S49" s="578"/>
      <c r="T49" s="578"/>
      <c r="U49" s="578"/>
      <c r="V49" s="578"/>
      <c r="W49" s="578"/>
      <c r="X49" s="578"/>
      <c r="Y49" s="578"/>
      <c r="Z49" s="578"/>
      <c r="AA49" s="578"/>
      <c r="AB49" s="578"/>
      <c r="AC49" s="578"/>
      <c r="AD49" s="590"/>
      <c r="AE49" s="2"/>
      <c r="AF49" s="2"/>
      <c r="AG49" s="2"/>
      <c r="AH49" s="2"/>
      <c r="AZ49" s="462"/>
      <c r="BA49" s="462"/>
      <c r="BB49" s="462"/>
      <c r="BC49" s="462"/>
    </row>
    <row r="50" spans="1:55" x14ac:dyDescent="0.2">
      <c r="A50" s="576"/>
      <c r="B50" s="1544" t="s">
        <v>1887</v>
      </c>
      <c r="C50" s="1606"/>
      <c r="D50" s="1606"/>
      <c r="E50" s="1545"/>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c r="AD50" s="590"/>
      <c r="AE50" s="2"/>
      <c r="AF50" s="2"/>
      <c r="AG50" s="2"/>
      <c r="AH50" s="2"/>
      <c r="AZ50" s="462"/>
      <c r="BA50" s="462"/>
      <c r="BB50" s="462"/>
      <c r="BC50" s="462"/>
    </row>
    <row r="51" spans="1:55" x14ac:dyDescent="0.2">
      <c r="A51" s="576"/>
      <c r="B51" s="578"/>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c r="AD51" s="590"/>
      <c r="AE51" s="2"/>
      <c r="AF51" s="2"/>
      <c r="AG51" s="2"/>
      <c r="AH51" s="2"/>
      <c r="AZ51" s="462"/>
      <c r="BA51" s="462"/>
      <c r="BB51" s="462"/>
      <c r="BC51" s="462"/>
    </row>
    <row r="52" spans="1:55" x14ac:dyDescent="0.2">
      <c r="A52" s="576"/>
      <c r="B52" s="578"/>
      <c r="C52" s="578"/>
      <c r="D52" s="578"/>
      <c r="E52" s="578"/>
      <c r="F52" s="578"/>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90"/>
      <c r="AE52" s="2"/>
      <c r="AF52" s="2"/>
      <c r="AG52" s="2"/>
      <c r="AH52" s="2"/>
      <c r="AZ52" s="462"/>
      <c r="BA52" s="462"/>
      <c r="BB52" s="462"/>
      <c r="BC52" s="462"/>
    </row>
    <row r="53" spans="1:55" ht="25.5" x14ac:dyDescent="0.2">
      <c r="A53" s="576"/>
      <c r="B53" s="505" t="str">
        <f>IF($K$2="Canada","Provinces","Régions")</f>
        <v>Régions</v>
      </c>
      <c r="C53" s="505" t="str">
        <f>B7</f>
        <v>Blé</v>
      </c>
      <c r="D53" s="505" t="str">
        <f>B8</f>
        <v>Orge d'hiver</v>
      </c>
      <c r="E53" s="505" t="str">
        <f>B9</f>
        <v>Orge de printemps</v>
      </c>
      <c r="F53" s="505" t="str">
        <f>B10</f>
        <v>Avoine d'hiver</v>
      </c>
      <c r="G53" s="505" t="str">
        <f>B11</f>
        <v>Avoine de printemps</v>
      </c>
      <c r="H53" s="505" t="str">
        <f>B12</f>
        <v>Triticale</v>
      </c>
      <c r="I53" s="505" t="str">
        <f>B15</f>
        <v>Maïs grain</v>
      </c>
      <c r="J53" s="505" t="str">
        <f>B16</f>
        <v>Maïs ensilé</v>
      </c>
      <c r="K53" s="505" t="str">
        <f>B17</f>
        <v>Betterave</v>
      </c>
      <c r="L53" s="505" t="str">
        <f>IF(K2="","ERREUR",IF(OR(K2=CANADA,K2=USA),"Canola","Colza"))</f>
        <v>ERREUR</v>
      </c>
      <c r="M53" s="505" t="str">
        <f>B19</f>
        <v>Tournesol</v>
      </c>
      <c r="N53" s="505" t="str">
        <f>B20</f>
        <v>Pois</v>
      </c>
      <c r="O53" s="505" t="str">
        <f>B21</f>
        <v>Féverole</v>
      </c>
      <c r="P53" s="505" t="str">
        <f>B22</f>
        <v>Soja</v>
      </c>
      <c r="Q53" s="505" t="str">
        <f>B23</f>
        <v>Chanvre industriel</v>
      </c>
      <c r="R53" s="505" t="str">
        <f>B24</f>
        <v>Lin</v>
      </c>
      <c r="S53" s="505" t="str">
        <f>B25</f>
        <v>Pomme de terre</v>
      </c>
      <c r="T53" s="505" t="str">
        <f>IF(OR($K$2="Canada",$K$2="Etats-Unis"),"Seigle","N.C.")</f>
        <v>N.C.</v>
      </c>
      <c r="U53" s="505" t="str">
        <f>B29</f>
        <v>ERREUR</v>
      </c>
      <c r="V53" s="505" t="str">
        <f>B36</f>
        <v>ERREUR</v>
      </c>
      <c r="W53" s="505" t="str">
        <f>B31</f>
        <v>Epinard</v>
      </c>
      <c r="X53" s="505" t="str">
        <f>B33</f>
        <v>Haricot vert</v>
      </c>
      <c r="Y53" s="505" t="str">
        <f>B35</f>
        <v>Lentille</v>
      </c>
      <c r="Z53" s="578"/>
      <c r="AA53" s="578"/>
      <c r="AB53" s="578"/>
      <c r="AC53" s="578"/>
      <c r="AD53" s="590"/>
      <c r="AE53" s="2"/>
      <c r="AF53" s="2"/>
      <c r="AG53" s="2"/>
      <c r="AH53" s="2"/>
      <c r="AZ53" s="462"/>
      <c r="BA53" s="462"/>
      <c r="BB53" s="462"/>
      <c r="BC53" s="462"/>
    </row>
    <row r="54" spans="1:55" x14ac:dyDescent="0.2">
      <c r="A54" s="576"/>
      <c r="B54" s="506"/>
      <c r="C54" s="506"/>
      <c r="D54" s="507"/>
      <c r="E54" s="507"/>
      <c r="F54" s="508"/>
      <c r="G54" s="508"/>
      <c r="H54" s="508"/>
      <c r="I54" s="508"/>
      <c r="J54" s="508"/>
      <c r="K54" s="507"/>
      <c r="L54" s="507"/>
      <c r="M54" s="507"/>
      <c r="N54" s="508"/>
      <c r="O54" s="508"/>
      <c r="P54" s="508"/>
      <c r="Q54" s="508"/>
      <c r="R54" s="508"/>
      <c r="S54" s="508"/>
      <c r="T54" s="508"/>
      <c r="U54" s="508"/>
      <c r="V54" s="508"/>
      <c r="W54" s="508"/>
      <c r="X54" s="508"/>
      <c r="Y54" s="509"/>
      <c r="Z54" s="578"/>
      <c r="AA54" s="578"/>
      <c r="AB54" s="578"/>
      <c r="AC54" s="578"/>
      <c r="AD54" s="590"/>
      <c r="AE54" s="2"/>
      <c r="AF54" s="2"/>
      <c r="AG54" s="2"/>
      <c r="AH54" s="2"/>
      <c r="AZ54" s="462"/>
      <c r="BA54" s="462"/>
      <c r="BB54" s="462"/>
      <c r="BC54" s="462"/>
    </row>
    <row r="55" spans="1:55" x14ac:dyDescent="0.2">
      <c r="A55" s="576"/>
      <c r="B55" s="510" t="str">
        <f>IF(K2="","",K2)</f>
        <v/>
      </c>
      <c r="C55" s="511"/>
      <c r="D55" s="511"/>
      <c r="E55" s="511"/>
      <c r="F55" s="5"/>
      <c r="G55" s="5"/>
      <c r="H55" s="5"/>
      <c r="I55" s="5"/>
      <c r="J55" s="5"/>
      <c r="K55" s="511"/>
      <c r="L55" s="511"/>
      <c r="M55" s="511"/>
      <c r="N55" s="5"/>
      <c r="O55" s="5"/>
      <c r="P55" s="5"/>
      <c r="Q55" s="5"/>
      <c r="R55" s="5"/>
      <c r="S55" s="512"/>
      <c r="T55" s="512"/>
      <c r="U55" s="5"/>
      <c r="V55" s="512"/>
      <c r="W55" s="5"/>
      <c r="X55" s="5"/>
      <c r="Y55" s="5"/>
      <c r="Z55" s="578"/>
      <c r="AA55" s="578"/>
      <c r="AB55" s="578"/>
      <c r="AC55" s="578"/>
      <c r="AD55" s="590"/>
      <c r="AE55" s="2"/>
      <c r="AF55" s="2"/>
      <c r="AG55" s="2"/>
      <c r="AH55" s="2"/>
      <c r="AZ55" s="462"/>
      <c r="BA55" s="462"/>
      <c r="BB55" s="462"/>
      <c r="BC55" s="462"/>
    </row>
    <row r="56" spans="1:55" ht="25.5" customHeight="1" x14ac:dyDescent="0.2">
      <c r="A56" s="576"/>
      <c r="B56" s="514" t="str">
        <f>IF(K$2="","",IF(K$2=France,BDD!O41,IF(K$2=CANADA,BDD!O13,IF(K$2=Belgique,BDD!O65,IF(K$2=Suisse,BDD!O69,IF(K$2=USA,BDD!O25))))))</f>
        <v/>
      </c>
      <c r="C56" s="515" t="str">
        <f>IF($K$2="","",IF(B56="N.C.","N.C.",VLOOKUP(B56,BDD!$O$13:$AN$72,2,FALSE)))</f>
        <v/>
      </c>
      <c r="D56" s="515" t="str">
        <f>IF($K$2="","",IF(B56="N.C.","N.C.",VLOOKUP(B56,BDD!$O$13:$AN$72,3,FALSE)))</f>
        <v/>
      </c>
      <c r="E56" s="515" t="str">
        <f>IF($K$2="","",IF(B56="N.C.","N.C.",VLOOKUP(B56,BDD!$O$13:$AN$72,4,FALSE)))</f>
        <v/>
      </c>
      <c r="F56" s="515" t="str">
        <f>IF($K$2="","",IF(B56="N.C.","N.C.",VLOOKUP(B56,BDD!$O$13:$AN$72,5,FALSE)))</f>
        <v/>
      </c>
      <c r="G56" s="515" t="str">
        <f>IF($K$2="","",IF(B56="N.C.","N.C.",VLOOKUP(B56,BDD!$O$13:$AN$72,6,FALSE)))</f>
        <v/>
      </c>
      <c r="H56" s="515" t="str">
        <f>IF($K$2="","",IF(B56="N.C.","N.C.",VLOOKUP(B56,BDD!$O$13:$AN$72,7,FALSE)))</f>
        <v/>
      </c>
      <c r="I56" s="515" t="str">
        <f>IF($K$2="","",IF(B56="N.C.","N.C.",VLOOKUP(B56,BDD!$O$13:$AN$72,9,FALSE)))</f>
        <v/>
      </c>
      <c r="J56" s="515" t="str">
        <f>IF($K$2="","",IF(B56="N.C.","N.C.",VLOOKUP(B56,BDD!$O$13:$AN$72,10,FALSE)))</f>
        <v/>
      </c>
      <c r="K56" s="515" t="str">
        <f>IF($K$2="","",IF(B56="N.C.","N.C.",VLOOKUP(B56,BDD!$O$13:$AN$72,11,FALSE)))</f>
        <v/>
      </c>
      <c r="L56" s="515" t="str">
        <f>IF($K$2="","",IF(B56="N.C.","N.C.",VLOOKUP(B56,BDD!$O$13:$AN$72,12,FALSE)))</f>
        <v/>
      </c>
      <c r="M56" s="515" t="str">
        <f>IF($K$2="","",IF(B56="N.C.","N.C.",VLOOKUP(B56,BDD!$O$13:$AN$72,13,FALSE)))</f>
        <v/>
      </c>
      <c r="N56" s="515" t="str">
        <f>IF($K$2="","",IF(B56="N.C.","N.C.",VLOOKUP(B56,BDD!$O$13:$AN$72,14,FALSE)))</f>
        <v/>
      </c>
      <c r="O56" s="515" t="str">
        <f>IF($K$2="","",IF(B56="N.C.","N.C.",VLOOKUP(B56,BDD!$O$13:$AN$72,15,FALSE)))</f>
        <v/>
      </c>
      <c r="P56" s="515" t="str">
        <f>IF($K$2="","",IF(B56="N.C.","N.C.",VLOOKUP(B56,BDD!$O$13:$AN$72,16,FALSE)))</f>
        <v/>
      </c>
      <c r="Q56" s="515" t="str">
        <f>IF($K$2="","",IF(B56="N.C.","N.C.",VLOOKUP(B56,BDD!$O$13:$AN$72,19,FALSE)))</f>
        <v/>
      </c>
      <c r="R56" s="515" t="str">
        <f>IF($K$2="","",IF(B56="N.C.","N.C.",VLOOKUP(B56,BDD!$O$13:$AN$72,17,FALSE)))</f>
        <v/>
      </c>
      <c r="S56" s="515" t="str">
        <f>IF($K$2="","",IF(B56="N.C.","N.C.",VLOOKUP(B56,BDD!$O$13:$AN$72,18,FALSE)))</f>
        <v/>
      </c>
      <c r="T56" s="515" t="str">
        <f>IF($K$2="","",IF(B56="N.C.","N.C.",VLOOKUP(B56,BDD!$O$13:$AN$72,8,FALSE)))</f>
        <v/>
      </c>
      <c r="U56" s="515" t="str">
        <f>IF($K$2="","",IF(B56="N.C.","N.C.",VLOOKUP(B56,BDD!$O$13:$AN$72,25,FALSE)))</f>
        <v/>
      </c>
      <c r="V56" s="515" t="str">
        <f>IF($K$2="","",IF(B56="N.C.","N.C.",VLOOKUP(B56,BDD!$O$13:$AN$72,26,FALSE)))</f>
        <v/>
      </c>
      <c r="W56" s="515" t="str">
        <f>IF($K$2="","",IF(B56="N.C.","N.C.",VLOOKUP(B56,BDD!$O$13:$AN$72,21,FALSE)))</f>
        <v/>
      </c>
      <c r="X56" s="515" t="str">
        <f>IF($K$2="","",IF(B56="N.C.","N.C.",VLOOKUP(B56,BDD!$O$13:$AN$72,22,FALSE)))</f>
        <v/>
      </c>
      <c r="Y56" s="515" t="str">
        <f>IF($K$2="","",IF(B56="N.C.","N.C.",VLOOKUP(B56,BDD!$O$13:$AN$72,23,FALSE)))</f>
        <v/>
      </c>
      <c r="Z56" s="578"/>
      <c r="AA56" s="578"/>
      <c r="AB56" s="578"/>
      <c r="AC56" s="578"/>
      <c r="AD56" s="590"/>
      <c r="AE56" s="2"/>
      <c r="AF56" s="2"/>
      <c r="AG56" s="2"/>
      <c r="AH56" s="2"/>
      <c r="AZ56" s="462"/>
      <c r="BA56" s="462"/>
      <c r="BB56" s="462"/>
      <c r="BC56" s="462"/>
    </row>
    <row r="57" spans="1:55" ht="25.5" customHeight="1" x14ac:dyDescent="0.2">
      <c r="A57" s="576"/>
      <c r="B57" s="514" t="str">
        <f>IF(K$2="","",IF(K$2=France,BDD!O42,IF(K$2=CANADA,BDD!O14,IF(K$2=Belgique,BDD!O66,IF(K$2=Suisse,BDD!O70,IF(K$2=USA,BDD!O26))))))</f>
        <v/>
      </c>
      <c r="C57" s="515" t="str">
        <f>IF($K$2="","",IF(B57="N.C.","N.C.",VLOOKUP(B57,BDD!$O$13:$AN$72,2,FALSE)))</f>
        <v/>
      </c>
      <c r="D57" s="515" t="str">
        <f>IF($K$2="","",IF(B57="N.C.","N.C.",VLOOKUP(B57,BDD!$O$13:$AN$72,3,FALSE)))</f>
        <v/>
      </c>
      <c r="E57" s="515" t="str">
        <f>IF($K$2="","",IF(B57="N.C.","N.C.",VLOOKUP(B57,BDD!$O$13:$AN$72,4,FALSE)))</f>
        <v/>
      </c>
      <c r="F57" s="515" t="str">
        <f>IF($K$2="","",IF(B57="N.C.","N.C.",VLOOKUP(B57,BDD!$O$13:$AN$72,5,FALSE)))</f>
        <v/>
      </c>
      <c r="G57" s="515" t="str">
        <f>IF($K$2="","",IF(B57="N.C.","N.C.",VLOOKUP(B57,BDD!$O$13:$AN$72,6,FALSE)))</f>
        <v/>
      </c>
      <c r="H57" s="515" t="str">
        <f>IF($K$2="","",IF(B57="N.C.","N.C.",VLOOKUP(B57,BDD!$O$13:$AN$72,7,FALSE)))</f>
        <v/>
      </c>
      <c r="I57" s="515" t="str">
        <f>IF($K$2="","",IF(B57="N.C.","N.C.",VLOOKUP(B57,BDD!$O$13:$AN$72,9,FALSE)))</f>
        <v/>
      </c>
      <c r="J57" s="515" t="str">
        <f>IF($K$2="","",IF(B57="N.C.","N.C.",VLOOKUP(B57,BDD!$O$13:$AN$72,10,FALSE)))</f>
        <v/>
      </c>
      <c r="K57" s="515" t="str">
        <f>IF($K$2="","",IF(B57="N.C.","N.C.",VLOOKUP(B57,BDD!$O$13:$AN$72,11,FALSE)))</f>
        <v/>
      </c>
      <c r="L57" s="515" t="str">
        <f>IF($K$2="","",IF(B57="N.C.","N.C.",VLOOKUP(B57,BDD!$O$13:$AN$72,12,FALSE)))</f>
        <v/>
      </c>
      <c r="M57" s="515" t="str">
        <f>IF($K$2="","",IF(B57="N.C.","N.C.",VLOOKUP(B57,BDD!$O$13:$AN$72,13,FALSE)))</f>
        <v/>
      </c>
      <c r="N57" s="515" t="str">
        <f>IF($K$2="","",IF(B57="N.C.","N.C.",VLOOKUP(B57,BDD!$O$13:$AN$72,14,FALSE)))</f>
        <v/>
      </c>
      <c r="O57" s="515" t="str">
        <f>IF($K$2="","",IF(B57="N.C.","N.C.",VLOOKUP(B57,BDD!$O$13:$AN$72,15,FALSE)))</f>
        <v/>
      </c>
      <c r="P57" s="515" t="str">
        <f>IF($K$2="","",IF(B57="N.C.","N.C.",VLOOKUP(B57,BDD!$O$13:$AN$72,16,FALSE)))</f>
        <v/>
      </c>
      <c r="Q57" s="515" t="str">
        <f>IF($K$2="","",IF(B57="N.C.","N.C.",VLOOKUP(B57,BDD!$O$13:$AN$72,19,FALSE)))</f>
        <v/>
      </c>
      <c r="R57" s="515" t="str">
        <f>IF($K$2="","",IF(B57="N.C.","N.C.",VLOOKUP(B57,BDD!$O$13:$AN$72,17,FALSE)))</f>
        <v/>
      </c>
      <c r="S57" s="515" t="str">
        <f>IF($K$2="","",IF(B57="N.C.","N.C.",VLOOKUP(B57,BDD!$O$13:$AN$72,18,FALSE)))</f>
        <v/>
      </c>
      <c r="T57" s="515" t="str">
        <f>IF($K$2="","",IF(B57="N.C.","N.C.",VLOOKUP(B57,BDD!$O$13:$AN$72,8,FALSE)))</f>
        <v/>
      </c>
      <c r="U57" s="515" t="str">
        <f>IF($K$2="","",IF(B57="N.C.","N.C.",VLOOKUP(B57,BDD!$O$13:$AN$72,25,FALSE)))</f>
        <v/>
      </c>
      <c r="V57" s="515" t="str">
        <f>IF($K$2="","",IF(B57="N.C.","N.C.",VLOOKUP(B57,BDD!$O$13:$AN$72,26,FALSE)))</f>
        <v/>
      </c>
      <c r="W57" s="515" t="str">
        <f>IF($K$2="","",IF(B57="N.C.","N.C.",VLOOKUP(B57,BDD!$O$13:$AN$72,21,FALSE)))</f>
        <v/>
      </c>
      <c r="X57" s="515" t="str">
        <f>IF($K$2="","",IF(B57="N.C.","N.C.",VLOOKUP(B57,BDD!$O$13:$AN$72,22,FALSE)))</f>
        <v/>
      </c>
      <c r="Y57" s="515" t="str">
        <f>IF($K$2="","",IF(B57="N.C.","N.C.",VLOOKUP(B57,BDD!$O$13:$AN$72,23,FALSE)))</f>
        <v/>
      </c>
      <c r="Z57" s="578"/>
      <c r="AA57" s="578"/>
      <c r="AB57" s="578"/>
      <c r="AC57" s="578"/>
      <c r="AD57" s="590"/>
      <c r="AE57" s="2"/>
      <c r="AF57" s="2"/>
      <c r="AG57" s="2"/>
      <c r="AH57" s="2"/>
      <c r="AZ57" s="462"/>
      <c r="BA57" s="462"/>
      <c r="BB57" s="462"/>
      <c r="BC57" s="462"/>
    </row>
    <row r="58" spans="1:55" x14ac:dyDescent="0.2">
      <c r="A58" s="576"/>
      <c r="B58" s="514" t="str">
        <f>IF(K$2="","",IF(K$2=France,BDD!O43,IF(K$2=CANADA,BDD!O15,IF(K$2=Belgique,"",IF(K$2=Suisse,BDD!O71,IF(K$2=USA,BDD!O27))))))</f>
        <v/>
      </c>
      <c r="C58" s="515" t="str">
        <f>IF(B58="","",IF($K$2="","",IF(B58="N.C.","N.C.",VLOOKUP(B58,BDD!$O$13:$AN$72,2,FALSE))))</f>
        <v/>
      </c>
      <c r="D58" s="515" t="str">
        <f>IF(B58="","",IF($K$2="","",IF(B58="N.C.","N.C.",VLOOKUP(B58,BDD!$O$13:$AN$72,3,FALSE))))</f>
        <v/>
      </c>
      <c r="E58" s="515" t="str">
        <f>IF(B58="","",IF($K$2="","",IF(B58="N.C.","N.C.",VLOOKUP(B58,BDD!$O$13:$AN$72,4,FALSE))))</f>
        <v/>
      </c>
      <c r="F58" s="515" t="str">
        <f>IF(B58="","",IF($K$2="","",IF(B58="N.C.","N.C.",VLOOKUP(B58,BDD!$O$13:$AN$72,5,FALSE))))</f>
        <v/>
      </c>
      <c r="G58" s="515" t="str">
        <f>IF(B58="","",IF($K$2="","",IF(B58="N.C.","N.C.",VLOOKUP(B58,BDD!$O$13:$AN$72,6,FALSE))))</f>
        <v/>
      </c>
      <c r="H58" s="515" t="str">
        <f>IF(B58="","",IF($K$2="","",IF(B58="N.C.","N.C.",VLOOKUP(B58,BDD!$O$13:$AN$72,7,FALSE))))</f>
        <v/>
      </c>
      <c r="I58" s="515" t="str">
        <f>IF(B58="","",IF($K$2="","",IF(B58="N.C.","N.C.",VLOOKUP(B58,BDD!$O$13:$AN$72,9,FALSE))))</f>
        <v/>
      </c>
      <c r="J58" s="515" t="str">
        <f>IF(B58="","",IF($K$2="","",IF(B58="N.C.","N.C.",VLOOKUP(B58,BDD!$O$13:$AN$72,10,FALSE))))</f>
        <v/>
      </c>
      <c r="K58" s="515" t="str">
        <f>IF(B58="","",IF($K$2="","",IF(B58="N.C.","N.C.",VLOOKUP(B58,BDD!$O$13:$AN$72,11,FALSE))))</f>
        <v/>
      </c>
      <c r="L58" s="515" t="str">
        <f>IF(B58="","",IF($K$2="","",IF(B58="N.C.","N.C.",VLOOKUP(B58,BDD!$O$13:$AN$72,12,FALSE))))</f>
        <v/>
      </c>
      <c r="M58" s="515" t="str">
        <f>IF(B58="","",IF($K$2="","",IF(B58="N.C.","N.C.",VLOOKUP(B58,BDD!$O$13:$AN$72,13,FALSE))))</f>
        <v/>
      </c>
      <c r="N58" s="515" t="str">
        <f>IF(B58="","",IF($K$2="","",IF(B58="N.C.","N.C.",VLOOKUP(B58,BDD!$O$13:$AN$72,14,FALSE))))</f>
        <v/>
      </c>
      <c r="O58" s="515" t="str">
        <f>IF(B58="","",IF($K$2="","",IF(B58="N.C.","N.C.",VLOOKUP(B58,BDD!$O$13:$AN$72,15,FALSE))))</f>
        <v/>
      </c>
      <c r="P58" s="515" t="str">
        <f>IF(B58="","",IF($K$2="","",IF(B58="N.C.","N.C.",VLOOKUP(B58,BDD!$O$13:$AN$72,16,FALSE))))</f>
        <v/>
      </c>
      <c r="Q58" s="515" t="str">
        <f>IF(B58="","",IF($K$2="","",IF(B58="N.C.","N.C.",VLOOKUP(B58,BDD!$O$13:$AN$72,19,FALSE))))</f>
        <v/>
      </c>
      <c r="R58" s="515" t="str">
        <f>IF(B58="","",IF($K$2="","",IF(B58="N.C.","N.C.",VLOOKUP(B58,BDD!$O$13:$AN$72,17,FALSE))))</f>
        <v/>
      </c>
      <c r="S58" s="515" t="str">
        <f>IF(B58="","",IF($K$2="","",IF(B58="N.C.","N.C.",VLOOKUP(B58,BDD!$O$13:$AN$72,18,FALSE))))</f>
        <v/>
      </c>
      <c r="T58" s="515" t="str">
        <f>IF(B58="","",IF($K$2="","",IF(B58="N.C.","N.C.",VLOOKUP(B58,BDD!$O$13:$AN$72,8,FALSE))))</f>
        <v/>
      </c>
      <c r="U58" s="515" t="str">
        <f>IF(B58="","",IF($K$2="","",IF(B58="N.C.","N.C.",VLOOKUP(B58,BDD!$O$13:$AN$72,25,FALSE))))</f>
        <v/>
      </c>
      <c r="V58" s="515" t="str">
        <f>IF(B58="","",IF($K$2="","",IF(B58="N.C.","N.C.",VLOOKUP(B58,BDD!$O$13:$AN$72,26,FALSE))))</f>
        <v/>
      </c>
      <c r="W58" s="515" t="str">
        <f>IF(B58="","",IF($K$2="","",IF(B58="N.C.","N.C.",VLOOKUP(B58,BDD!$O$13:$AN$72,21,FALSE))))</f>
        <v/>
      </c>
      <c r="X58" s="515" t="str">
        <f>IF(B58="","",IF($K$2="","",IF(B58="N.C.","N.C.",VLOOKUP(B58,BDD!$O$13:$AN$72,22,FALSE))))</f>
        <v/>
      </c>
      <c r="Y58" s="515" t="str">
        <f>IF(B58="","",IF($K$2="","",IF(B58="N.C.","N.C.",VLOOKUP(B58,BDD!$O$13:$AN$72,23,FALSE))))</f>
        <v/>
      </c>
      <c r="Z58" s="578"/>
      <c r="AA58" s="578"/>
      <c r="AB58" s="578"/>
      <c r="AC58" s="578"/>
      <c r="AD58" s="590"/>
      <c r="AE58" s="2"/>
      <c r="AF58" s="2"/>
      <c r="AG58" s="2"/>
      <c r="AH58" s="2"/>
      <c r="AZ58" s="462"/>
      <c r="BA58" s="462"/>
      <c r="BB58" s="462"/>
      <c r="BC58" s="462"/>
    </row>
    <row r="59" spans="1:55" ht="25.5" customHeight="1" x14ac:dyDescent="0.2">
      <c r="A59" s="576"/>
      <c r="B59" s="514" t="str">
        <f>IF(K$2="","",IF(K$2=France,BDD!O44,IF(K$2=CANADA,BDD!O16,IF(K$2=Belgique,"",IF(K$2=Suisse,"",IF(K$2=USA,BDD!O28))))))</f>
        <v/>
      </c>
      <c r="C59" s="515" t="str">
        <f>IF(B59="","",IF($K$2="","",IF(B59="N.C.","N.C.",VLOOKUP(B59,BDD!$O$13:$AN$72,2,FALSE))))</f>
        <v/>
      </c>
      <c r="D59" s="515" t="str">
        <f>IF(B59="","",IF($K$2="","",IF(B59="N.C.","N.C.",VLOOKUP(B59,BDD!$O$13:$AN$72,3,FALSE))))</f>
        <v/>
      </c>
      <c r="E59" s="515" t="str">
        <f>IF(B59="","",IF($K$2="","",IF(B59="N.C.","N.C.",VLOOKUP(B59,BDD!$O$13:$AN$72,4,FALSE))))</f>
        <v/>
      </c>
      <c r="F59" s="515" t="str">
        <f>IF(B59="","",IF($K$2="","",IF(B59="N.C.","N.C.",VLOOKUP(B59,BDD!$O$13:$AN$72,5,FALSE))))</f>
        <v/>
      </c>
      <c r="G59" s="515" t="str">
        <f>IF(B59="","",IF($K$2="","",IF(B59="N.C.","N.C.",VLOOKUP(B59,BDD!$O$13:$AN$72,6,FALSE))))</f>
        <v/>
      </c>
      <c r="H59" s="515" t="str">
        <f>IF(B59="","",IF($K$2="","",IF(B59="N.C.","N.C.",VLOOKUP(B59,BDD!$O$13:$AN$72,7,FALSE))))</f>
        <v/>
      </c>
      <c r="I59" s="515" t="str">
        <f>IF(B59="","",IF($K$2="","",IF(B59="N.C.","N.C.",VLOOKUP(B59,BDD!$O$13:$AN$72,9,FALSE))))</f>
        <v/>
      </c>
      <c r="J59" s="515" t="str">
        <f>IF(B59="","",IF($K$2="","",IF(B59="N.C.","N.C.",VLOOKUP(B59,BDD!$O$13:$AN$72,10,FALSE))))</f>
        <v/>
      </c>
      <c r="K59" s="515" t="str">
        <f>IF(B59="","",IF($K$2="","",IF(B59="N.C.","N.C.",VLOOKUP(B59,BDD!$O$13:$AN$72,11,FALSE))))</f>
        <v/>
      </c>
      <c r="L59" s="515" t="str">
        <f>IF(B59="","",IF($K$2="","",IF(B59="N.C.","N.C.",VLOOKUP(B59,BDD!$O$13:$AN$72,12,FALSE))))</f>
        <v/>
      </c>
      <c r="M59" s="515" t="str">
        <f>IF(B59="","",IF($K$2="","",IF(B59="N.C.","N.C.",VLOOKUP(B59,BDD!$O$13:$AN$72,13,FALSE))))</f>
        <v/>
      </c>
      <c r="N59" s="515" t="str">
        <f>IF(B59="","",IF($K$2="","",IF(B59="N.C.","N.C.",VLOOKUP(B59,BDD!$O$13:$AN$72,14,FALSE))))</f>
        <v/>
      </c>
      <c r="O59" s="515" t="str">
        <f>IF(B59="","",IF($K$2="","",IF(B59="N.C.","N.C.",VLOOKUP(B59,BDD!$O$13:$AN$72,15,FALSE))))</f>
        <v/>
      </c>
      <c r="P59" s="515" t="str">
        <f>IF(B59="","",IF($K$2="","",IF(B59="N.C.","N.C.",VLOOKUP(B59,BDD!$O$13:$AN$72,16,FALSE))))</f>
        <v/>
      </c>
      <c r="Q59" s="515" t="str">
        <f>IF(B59="","",IF($K$2="","",IF(B59="N.C.","N.C.",VLOOKUP(B59,BDD!$O$13:$AN$72,19,FALSE))))</f>
        <v/>
      </c>
      <c r="R59" s="515" t="str">
        <f>IF(B59="","",IF($K$2="","",IF(B59="N.C.","N.C.",VLOOKUP(B59,BDD!$O$13:$AN$72,17,FALSE))))</f>
        <v/>
      </c>
      <c r="S59" s="515" t="str">
        <f>IF(B59="","",IF($K$2="","",IF(B59="N.C.","N.C.",VLOOKUP(B59,BDD!$O$13:$AN$72,18,FALSE))))</f>
        <v/>
      </c>
      <c r="T59" s="515" t="str">
        <f>IF(B59="","",IF($K$2="","",IF(B59="N.C.","N.C.",VLOOKUP(B59,BDD!$O$13:$AN$72,8,FALSE))))</f>
        <v/>
      </c>
      <c r="U59" s="515" t="str">
        <f>IF(B59="","",IF($K$2="","",IF(B59="N.C.","N.C.",VLOOKUP(B59,BDD!$O$13:$AN$72,25,FALSE))))</f>
        <v/>
      </c>
      <c r="V59" s="515" t="str">
        <f>IF(B59="","",IF($K$2="","",IF(B59="N.C.","N.C.",VLOOKUP(B59,BDD!$O$13:$AN$72,26,FALSE))))</f>
        <v/>
      </c>
      <c r="W59" s="515" t="str">
        <f>IF(B59="","",IF($K$2="","",IF(B59="N.C.","N.C.",VLOOKUP(B59,BDD!$O$13:$AN$72,21,FALSE))))</f>
        <v/>
      </c>
      <c r="X59" s="515" t="str">
        <f>IF(B59="","",IF($K$2="","",IF(B59="N.C.","N.C.",VLOOKUP(B59,BDD!$O$13:$AN$72,22,FALSE))))</f>
        <v/>
      </c>
      <c r="Y59" s="515" t="str">
        <f>IF(B59="","",IF($K$2="","",IF(B59="N.C.","N.C.",VLOOKUP(B59,BDD!$O$13:$AN$72,23,FALSE))))</f>
        <v/>
      </c>
      <c r="Z59" s="578"/>
      <c r="AA59" s="578"/>
      <c r="AB59" s="578"/>
      <c r="AC59" s="578"/>
      <c r="AD59" s="590"/>
      <c r="AE59" s="2"/>
      <c r="AF59" s="2"/>
      <c r="AG59" s="2"/>
      <c r="AH59" s="2"/>
      <c r="AZ59" s="462"/>
      <c r="BA59" s="462"/>
      <c r="BB59" s="462"/>
      <c r="BC59" s="462"/>
    </row>
    <row r="60" spans="1:55" x14ac:dyDescent="0.2">
      <c r="A60" s="576"/>
      <c r="B60" s="514" t="str">
        <f>IF(K$2="","",IF(K$2=France,BDD!O45,IF(K$2=CANADA,BDD!O17,IF(K$2=Belgique,"",IF(K$2=Suisse,"",IF(K$2=USA,BDD!O29))))))</f>
        <v/>
      </c>
      <c r="C60" s="515" t="str">
        <f>IF(B60="","",IF($K$2="","",IF(B60="N.C.","N.C.",VLOOKUP(B60,BDD!$O$13:$AN$72,2,FALSE))))</f>
        <v/>
      </c>
      <c r="D60" s="515" t="str">
        <f>IF(B60="","",IF($K$2="","",IF(B60="N.C.","N.C.",VLOOKUP(B60,BDD!$O$13:$AN$72,3,FALSE))))</f>
        <v/>
      </c>
      <c r="E60" s="515" t="str">
        <f>IF(B60="","",IF($K$2="","",IF(B60="N.C.","N.C.",VLOOKUP(B60,BDD!$O$13:$AN$72,4,FALSE))))</f>
        <v/>
      </c>
      <c r="F60" s="515" t="str">
        <f>IF(B60="","",IF($K$2="","",IF(B60="N.C.","N.C.",VLOOKUP(B60,BDD!$O$13:$AN$72,5,FALSE))))</f>
        <v/>
      </c>
      <c r="G60" s="515" t="str">
        <f>IF(B60="","",IF($K$2="","",IF(B60="N.C.","N.C.",VLOOKUP(B60,BDD!$O$13:$AN$72,6,FALSE))))</f>
        <v/>
      </c>
      <c r="H60" s="515" t="str">
        <f>IF(B60="","",IF($K$2="","",IF(B60="N.C.","N.C.",VLOOKUP(B60,BDD!$O$13:$AN$72,7,FALSE))))</f>
        <v/>
      </c>
      <c r="I60" s="515" t="str">
        <f>IF(B60="","",IF($K$2="","",IF(B60="N.C.","N.C.",VLOOKUP(B60,BDD!$O$13:$AN$72,9,FALSE))))</f>
        <v/>
      </c>
      <c r="J60" s="515" t="str">
        <f>IF(B60="","",IF($K$2="","",IF(B60="N.C.","N.C.",VLOOKUP(B60,BDD!$O$13:$AN$72,10,FALSE))))</f>
        <v/>
      </c>
      <c r="K60" s="515" t="str">
        <f>IF(B60="","",IF($K$2="","",IF(B60="N.C.","N.C.",VLOOKUP(B60,BDD!$O$13:$AN$72,11,FALSE))))</f>
        <v/>
      </c>
      <c r="L60" s="515" t="str">
        <f>IF(B60="","",IF($K$2="","",IF(B60="N.C.","N.C.",VLOOKUP(B60,BDD!$O$13:$AN$72,12,FALSE))))</f>
        <v/>
      </c>
      <c r="M60" s="515" t="str">
        <f>IF(B60="","",IF($K$2="","",IF(B60="N.C.","N.C.",VLOOKUP(B60,BDD!$O$13:$AN$72,13,FALSE))))</f>
        <v/>
      </c>
      <c r="N60" s="515" t="str">
        <f>IF(B60="","",IF($K$2="","",IF(B60="N.C.","N.C.",VLOOKUP(B60,BDD!$O$13:$AN$72,14,FALSE))))</f>
        <v/>
      </c>
      <c r="O60" s="515" t="str">
        <f>IF(B60="","",IF($K$2="","",IF(B60="N.C.","N.C.",VLOOKUP(B60,BDD!$O$13:$AN$72,15,FALSE))))</f>
        <v/>
      </c>
      <c r="P60" s="515" t="str">
        <f>IF(B60="","",IF($K$2="","",IF(B60="N.C.","N.C.",VLOOKUP(B60,BDD!$O$13:$AN$72,16,FALSE))))</f>
        <v/>
      </c>
      <c r="Q60" s="515" t="str">
        <f>IF(B60="","",IF($K$2="","",IF(B60="N.C.","N.C.",VLOOKUP(B60,BDD!$O$13:$AN$72,19,FALSE))))</f>
        <v/>
      </c>
      <c r="R60" s="515" t="str">
        <f>IF(B60="","",IF($K$2="","",IF(B60="N.C.","N.C.",VLOOKUP(B60,BDD!$O$13:$AN$72,17,FALSE))))</f>
        <v/>
      </c>
      <c r="S60" s="515" t="str">
        <f>IF(B60="","",IF($K$2="","",IF(B60="N.C.","N.C.",VLOOKUP(B60,BDD!$O$13:$AN$72,18,FALSE))))</f>
        <v/>
      </c>
      <c r="T60" s="515" t="str">
        <f>IF(B60="","",IF($K$2="","",IF(B60="N.C.","N.C.",VLOOKUP(B60,BDD!$O$13:$AN$72,8,FALSE))))</f>
        <v/>
      </c>
      <c r="U60" s="515" t="str">
        <f>IF(B60="","",IF($K$2="","",IF(B60="N.C.","N.C.",VLOOKUP(B60,BDD!$O$13:$AN$72,25,FALSE))))</f>
        <v/>
      </c>
      <c r="V60" s="515" t="str">
        <f>IF(B60="","",IF($K$2="","",IF(B60="N.C.","N.C.",VLOOKUP(B60,BDD!$O$13:$AN$72,26,FALSE))))</f>
        <v/>
      </c>
      <c r="W60" s="515" t="str">
        <f>IF(B60="","",IF($K$2="","",IF(B60="N.C.","N.C.",VLOOKUP(B60,BDD!$O$13:$AN$72,21,FALSE))))</f>
        <v/>
      </c>
      <c r="X60" s="515" t="str">
        <f>IF(B60="","",IF($K$2="","",IF(B60="N.C.","N.C.",VLOOKUP(B60,BDD!$O$13:$AN$72,22,FALSE))))</f>
        <v/>
      </c>
      <c r="Y60" s="515" t="str">
        <f>IF(B60="","",IF($K$2="","",IF(B60="N.C.","N.C.",VLOOKUP(B60,BDD!$O$13:$AN$72,23,FALSE))))</f>
        <v/>
      </c>
      <c r="Z60" s="578"/>
      <c r="AA60" s="578"/>
      <c r="AB60" s="578"/>
      <c r="AC60" s="578"/>
      <c r="AD60" s="590"/>
      <c r="AE60" s="2"/>
      <c r="AF60" s="2"/>
      <c r="AG60" s="2"/>
      <c r="AH60" s="2"/>
      <c r="AZ60" s="462"/>
      <c r="BA60" s="462"/>
      <c r="BB60" s="462"/>
      <c r="BC60" s="462"/>
    </row>
    <row r="61" spans="1:55" ht="25.5" customHeight="1" x14ac:dyDescent="0.2">
      <c r="A61" s="576"/>
      <c r="B61" s="514" t="str">
        <f>IF(K$2="","",IF(K$2=France,BDD!O46,IF(K$2=CANADA,BDD!O18,IF(K$2=Belgique,"",IF(K$2=Suisse,"",IF(K$2=USA,BDD!O30))))))</f>
        <v/>
      </c>
      <c r="C61" s="515" t="str">
        <f>IF(B61="","",IF($K$2="","",IF(B61="N.C.","N.C.",VLOOKUP(B61,BDD!$O$13:$AN$72,2,FALSE))))</f>
        <v/>
      </c>
      <c r="D61" s="515" t="str">
        <f>IF(B61="","",IF($K$2="","",IF(B61="N.C.","N.C.",VLOOKUP(B61,BDD!$O$13:$AN$72,3,FALSE))))</f>
        <v/>
      </c>
      <c r="E61" s="515" t="str">
        <f>IF(B61="","",IF($K$2="","",IF(B61="N.C.","N.C.",VLOOKUP(B61,BDD!$O$13:$AN$72,4,FALSE))))</f>
        <v/>
      </c>
      <c r="F61" s="515" t="str">
        <f>IF(B61="","",IF($K$2="","",IF(B61="N.C.","N.C.",VLOOKUP(B61,BDD!$O$13:$AN$72,5,FALSE))))</f>
        <v/>
      </c>
      <c r="G61" s="515" t="str">
        <f>IF(B61="","",IF($K$2="","",IF(B61="N.C.","N.C.",VLOOKUP(B61,BDD!$O$13:$AN$72,6,FALSE))))</f>
        <v/>
      </c>
      <c r="H61" s="515" t="str">
        <f>IF(B61="","",IF($K$2="","",IF(B61="N.C.","N.C.",VLOOKUP(B61,BDD!$O$13:$AN$72,7,FALSE))))</f>
        <v/>
      </c>
      <c r="I61" s="515" t="str">
        <f>IF(B61="","",IF($K$2="","",IF(B61="N.C.","N.C.",VLOOKUP(B61,BDD!$O$13:$AN$72,9,FALSE))))</f>
        <v/>
      </c>
      <c r="J61" s="515" t="str">
        <f>IF(B61="","",IF($K$2="","",IF(B61="N.C.","N.C.",VLOOKUP(B61,BDD!$O$13:$AN$72,10,FALSE))))</f>
        <v/>
      </c>
      <c r="K61" s="515" t="str">
        <f>IF(B61="","",IF($K$2="","",IF(B61="N.C.","N.C.",VLOOKUP(B61,BDD!$O$13:$AN$72,11,FALSE))))</f>
        <v/>
      </c>
      <c r="L61" s="515" t="str">
        <f>IF(B61="","",IF($K$2="","",IF(B61="N.C.","N.C.",VLOOKUP(B61,BDD!$O$13:$AN$72,12,FALSE))))</f>
        <v/>
      </c>
      <c r="M61" s="515" t="str">
        <f>IF(B61="","",IF($K$2="","",IF(B61="N.C.","N.C.",VLOOKUP(B61,BDD!$O$13:$AN$72,13,FALSE))))</f>
        <v/>
      </c>
      <c r="N61" s="515" t="str">
        <f>IF(B61="","",IF($K$2="","",IF(B61="N.C.","N.C.",VLOOKUP(B61,BDD!$O$13:$AN$72,14,FALSE))))</f>
        <v/>
      </c>
      <c r="O61" s="515" t="str">
        <f>IF(B61="","",IF($K$2="","",IF(B61="N.C.","N.C.",VLOOKUP(B61,BDD!$O$13:$AN$72,15,FALSE))))</f>
        <v/>
      </c>
      <c r="P61" s="515" t="str">
        <f>IF(B61="","",IF($K$2="","",IF(B61="N.C.","N.C.",VLOOKUP(B61,BDD!$O$13:$AN$72,16,FALSE))))</f>
        <v/>
      </c>
      <c r="Q61" s="515" t="str">
        <f>IF(B61="","",IF($K$2="","",IF(B61="N.C.","N.C.",VLOOKUP(B61,BDD!$O$13:$AN$72,19,FALSE))))</f>
        <v/>
      </c>
      <c r="R61" s="515" t="str">
        <f>IF(B61="","",IF($K$2="","",IF(B61="N.C.","N.C.",VLOOKUP(B61,BDD!$O$13:$AN$72,17,FALSE))))</f>
        <v/>
      </c>
      <c r="S61" s="515" t="str">
        <f>IF(B61="","",IF($K$2="","",IF(B61="N.C.","N.C.",VLOOKUP(B61,BDD!$O$13:$AN$72,18,FALSE))))</f>
        <v/>
      </c>
      <c r="T61" s="515" t="str">
        <f>IF(B61="","",IF($K$2="","",IF(B61="N.C.","N.C.",VLOOKUP(B61,BDD!$O$13:$AN$72,8,FALSE))))</f>
        <v/>
      </c>
      <c r="U61" s="515" t="str">
        <f>IF(B61="","",IF($K$2="","",IF(B61="N.C.","N.C.",VLOOKUP(B61,BDD!$O$13:$AN$72,25,FALSE))))</f>
        <v/>
      </c>
      <c r="V61" s="515" t="str">
        <f>IF(B61="","",IF($K$2="","",IF(B61="N.C.","N.C.",VLOOKUP(B61,BDD!$O$13:$AN$72,26,FALSE))))</f>
        <v/>
      </c>
      <c r="W61" s="515" t="str">
        <f>IF(B61="","",IF($K$2="","",IF(B61="N.C.","N.C.",VLOOKUP(B61,BDD!$O$13:$AN$72,21,FALSE))))</f>
        <v/>
      </c>
      <c r="X61" s="515" t="str">
        <f>IF(B61="","",IF($K$2="","",IF(B61="N.C.","N.C.",VLOOKUP(B61,BDD!$O$13:$AN$72,22,FALSE))))</f>
        <v/>
      </c>
      <c r="Y61" s="515" t="str">
        <f>IF(B61="","",IF($K$2="","",IF(B61="N.C.","N.C.",VLOOKUP(B61,BDD!$O$13:$AN$72,23,FALSE))))</f>
        <v/>
      </c>
      <c r="Z61" s="578"/>
      <c r="AA61" s="578"/>
      <c r="AB61" s="578"/>
      <c r="AC61" s="578"/>
      <c r="AD61" s="590"/>
      <c r="AE61" s="2"/>
      <c r="AF61" s="2"/>
      <c r="AG61" s="2"/>
      <c r="AH61" s="2"/>
      <c r="AZ61" s="462"/>
      <c r="BA61" s="462"/>
      <c r="BB61" s="462"/>
      <c r="BC61" s="462"/>
    </row>
    <row r="62" spans="1:55" ht="26.25" customHeight="1" x14ac:dyDescent="0.2">
      <c r="A62" s="576"/>
      <c r="B62" s="514" t="str">
        <f>IF(K$2="","",IF(K$2=France,BDD!O47,IF(K$2=CANADA,BDD!O19,IF(K$2=Belgique,"",IF(K$2=Suisse,"",IF(K$2=USA,BDD!O31))))))</f>
        <v/>
      </c>
      <c r="C62" s="515" t="str">
        <f>IF(B62="","",IF($K$2="","",IF(B62="N.C.","N.C.",VLOOKUP(B62,BDD!$O$13:$AN$72,2,FALSE))))</f>
        <v/>
      </c>
      <c r="D62" s="515" t="str">
        <f>IF(B62="","",IF($K$2="","",IF(B62="N.C.","N.C.",VLOOKUP(B62,BDD!$O$13:$AN$72,3,FALSE))))</f>
        <v/>
      </c>
      <c r="E62" s="515" t="str">
        <f>IF(B62="","",IF($K$2="","",IF(B62="N.C.","N.C.",VLOOKUP(B62,BDD!$O$13:$AN$72,4,FALSE))))</f>
        <v/>
      </c>
      <c r="F62" s="515" t="str">
        <f>IF(B62="","",IF($K$2="","",IF(B62="N.C.","N.C.",VLOOKUP(B62,BDD!$O$13:$AN$72,5,FALSE))))</f>
        <v/>
      </c>
      <c r="G62" s="515" t="str">
        <f>IF(B62="","",IF($K$2="","",IF(B62="N.C.","N.C.",VLOOKUP(B62,BDD!$O$13:$AN$72,6,FALSE))))</f>
        <v/>
      </c>
      <c r="H62" s="515" t="str">
        <f>IF(B62="","",IF($K$2="","",IF(B62="N.C.","N.C.",VLOOKUP(B62,BDD!$O$13:$AN$72,7,FALSE))))</f>
        <v/>
      </c>
      <c r="I62" s="515" t="str">
        <f>IF(B62="","",IF($K$2="","",IF(B62="N.C.","N.C.",VLOOKUP(B62,BDD!$O$13:$AN$72,9,FALSE))))</f>
        <v/>
      </c>
      <c r="J62" s="515" t="str">
        <f>IF(B62="","",IF($K$2="","",IF(B62="N.C.","N.C.",VLOOKUP(B62,BDD!$O$13:$AN$72,10,FALSE))))</f>
        <v/>
      </c>
      <c r="K62" s="515" t="str">
        <f>IF(B62="","",IF($K$2="","",IF(B62="N.C.","N.C.",VLOOKUP(B62,BDD!$O$13:$AN$72,11,FALSE))))</f>
        <v/>
      </c>
      <c r="L62" s="515" t="str">
        <f>IF(B62="","",IF($K$2="","",IF(B62="N.C.","N.C.",VLOOKUP(B62,BDD!$O$13:$AN$72,12,FALSE))))</f>
        <v/>
      </c>
      <c r="M62" s="515" t="str">
        <f>IF(B62="","",IF($K$2="","",IF(B62="N.C.","N.C.",VLOOKUP(B62,BDD!$O$13:$AN$72,13,FALSE))))</f>
        <v/>
      </c>
      <c r="N62" s="515" t="str">
        <f>IF(B62="","",IF($K$2="","",IF(B62="N.C.","N.C.",VLOOKUP(B62,BDD!$O$13:$AN$72,14,FALSE))))</f>
        <v/>
      </c>
      <c r="O62" s="515" t="str">
        <f>IF(B62="","",IF($K$2="","",IF(B62="N.C.","N.C.",VLOOKUP(B62,BDD!$O$13:$AN$72,15,FALSE))))</f>
        <v/>
      </c>
      <c r="P62" s="515" t="str">
        <f>IF(B62="","",IF($K$2="","",IF(B62="N.C.","N.C.",VLOOKUP(B62,BDD!$O$13:$AN$72,16,FALSE))))</f>
        <v/>
      </c>
      <c r="Q62" s="515" t="str">
        <f>IF(B62="","",IF($K$2="","",IF(B62="N.C.","N.C.",VLOOKUP(B62,BDD!$O$13:$AN$72,19,FALSE))))</f>
        <v/>
      </c>
      <c r="R62" s="515" t="str">
        <f>IF(B62="","",IF($K$2="","",IF(B62="N.C.","N.C.",VLOOKUP(B62,BDD!$O$13:$AN$72,17,FALSE))))</f>
        <v/>
      </c>
      <c r="S62" s="515" t="str">
        <f>IF(B62="","",IF($K$2="","",IF(B62="N.C.","N.C.",VLOOKUP(B62,BDD!$O$13:$AN$72,18,FALSE))))</f>
        <v/>
      </c>
      <c r="T62" s="515" t="str">
        <f>IF(B62="","",IF($K$2="","",IF(B62="N.C.","N.C.",VLOOKUP(B62,BDD!$O$13:$AN$72,8,FALSE))))</f>
        <v/>
      </c>
      <c r="U62" s="515" t="str">
        <f>IF(B62="","",IF($K$2="","",IF(B62="N.C.","N.C.",VLOOKUP(B62,BDD!$O$13:$AN$72,25,FALSE))))</f>
        <v/>
      </c>
      <c r="V62" s="515" t="str">
        <f>IF(B62="","",IF($K$2="","",IF(B62="N.C.","N.C.",VLOOKUP(B62,BDD!$O$13:$AN$72,26,FALSE))))</f>
        <v/>
      </c>
      <c r="W62" s="515" t="str">
        <f>IF(B62="","",IF($K$2="","",IF(B62="N.C.","N.C.",VLOOKUP(B62,BDD!$O$13:$AN$72,21,FALSE))))</f>
        <v/>
      </c>
      <c r="X62" s="515" t="str">
        <f>IF(B62="","",IF($K$2="","",IF(B62="N.C.","N.C.",VLOOKUP(B62,BDD!$O$13:$AN$72,22,FALSE))))</f>
        <v/>
      </c>
      <c r="Y62" s="515" t="str">
        <f>IF(B62="","",IF($K$2="","",IF(B62="N.C.","N.C.",VLOOKUP(B62,BDD!$O$13:$AN$72,23,FALSE))))</f>
        <v/>
      </c>
      <c r="Z62" s="578"/>
      <c r="AA62" s="578"/>
      <c r="AB62" s="578"/>
      <c r="AC62" s="578"/>
      <c r="AD62" s="590"/>
      <c r="AE62" s="2"/>
      <c r="AF62" s="2"/>
      <c r="AG62" s="2"/>
      <c r="AH62" s="2"/>
      <c r="AZ62" s="462"/>
      <c r="BA62" s="462"/>
      <c r="BB62" s="462"/>
      <c r="BC62" s="462"/>
    </row>
    <row r="63" spans="1:55" ht="25.5" customHeight="1" x14ac:dyDescent="0.2">
      <c r="A63" s="576"/>
      <c r="B63" s="514" t="str">
        <f>IF(K$2="","",IF(K$2=France,BDD!O48,IF(K$2=CANADA,BDD!O20,IF(K$2=Belgique,"",IF(K$2=Suisse,"",IF(K$2=USA,""))))))</f>
        <v/>
      </c>
      <c r="C63" s="515" t="str">
        <f>IF(B63="","",IF($K$2="","",IF(B63="N.C.","N.C.",VLOOKUP(B63,BDD!$O$13:$AN$72,2,FALSE))))</f>
        <v/>
      </c>
      <c r="D63" s="515" t="str">
        <f>IF(B63="","",IF($K$2="","",IF(B63="N.C.","N.C.",VLOOKUP(B63,BDD!$O$13:$AN$72,3,FALSE))))</f>
        <v/>
      </c>
      <c r="E63" s="515" t="str">
        <f>IF(B63="","",IF($K$2="","",IF(B63="N.C.","N.C.",VLOOKUP(B63,BDD!$O$13:$AN$72,4,FALSE))))</f>
        <v/>
      </c>
      <c r="F63" s="515" t="str">
        <f>IF(B63="","",IF($K$2="","",IF(B63="N.C.","N.C.",VLOOKUP(B63,BDD!$O$13:$AN$72,5,FALSE))))</f>
        <v/>
      </c>
      <c r="G63" s="515" t="str">
        <f>IF(B63="","",IF($K$2="","",IF(B63="N.C.","N.C.",VLOOKUP(B63,BDD!$O$13:$AN$72,6,FALSE))))</f>
        <v/>
      </c>
      <c r="H63" s="515" t="str">
        <f>IF(B63="","",IF($K$2="","",IF(B63="N.C.","N.C.",VLOOKUP(B63,BDD!$O$13:$AN$72,7,FALSE))))</f>
        <v/>
      </c>
      <c r="I63" s="515" t="str">
        <f>IF(B63="","",IF($K$2="","",IF(B63="N.C.","N.C.",VLOOKUP(B63,BDD!$O$13:$AN$72,9,FALSE))))</f>
        <v/>
      </c>
      <c r="J63" s="515" t="str">
        <f>IF(B63="","",IF($K$2="","",IF(B63="N.C.","N.C.",VLOOKUP(B63,BDD!$O$13:$AN$72,10,FALSE))))</f>
        <v/>
      </c>
      <c r="K63" s="515" t="str">
        <f>IF(B63="","",IF($K$2="","",IF(B63="N.C.","N.C.",VLOOKUP(B63,BDD!$O$13:$AN$72,11,FALSE))))</f>
        <v/>
      </c>
      <c r="L63" s="515" t="str">
        <f>IF(B63="","",IF($K$2="","",IF(B63="N.C.","N.C.",VLOOKUP(B63,BDD!$O$13:$AN$72,12,FALSE))))</f>
        <v/>
      </c>
      <c r="M63" s="515" t="str">
        <f>IF(B63="","",IF($K$2="","",IF(B63="N.C.","N.C.",VLOOKUP(B63,BDD!$O$13:$AN$72,13,FALSE))))</f>
        <v/>
      </c>
      <c r="N63" s="515" t="str">
        <f>IF(B63="","",IF($K$2="","",IF(B63="N.C.","N.C.",VLOOKUP(B63,BDD!$O$13:$AN$72,14,FALSE))))</f>
        <v/>
      </c>
      <c r="O63" s="515" t="str">
        <f>IF(B63="","",IF($K$2="","",IF(B63="N.C.","N.C.",VLOOKUP(B63,BDD!$O$13:$AN$72,15,FALSE))))</f>
        <v/>
      </c>
      <c r="P63" s="515" t="str">
        <f>IF(B63="","",IF($K$2="","",IF(B63="N.C.","N.C.",VLOOKUP(B63,BDD!$O$13:$AN$72,16,FALSE))))</f>
        <v/>
      </c>
      <c r="Q63" s="515" t="str">
        <f>IF(B63="","",IF($K$2="","",IF(B63="N.C.","N.C.",VLOOKUP(B63,BDD!$O$13:$AN$72,19,FALSE))))</f>
        <v/>
      </c>
      <c r="R63" s="515" t="str">
        <f>IF(B63="","",IF($K$2="","",IF(B63="N.C.","N.C.",VLOOKUP(B63,BDD!$O$13:$AN$72,17,FALSE))))</f>
        <v/>
      </c>
      <c r="S63" s="515" t="str">
        <f>IF(B63="","",IF($K$2="","",IF(B63="N.C.","N.C.",VLOOKUP(B63,BDD!$O$13:$AN$72,18,FALSE))))</f>
        <v/>
      </c>
      <c r="T63" s="515" t="str">
        <f>IF(B63="","",IF($K$2="","",IF(B63="N.C.","N.C.",VLOOKUP(B63,BDD!$O$13:$AN$72,8,FALSE))))</f>
        <v/>
      </c>
      <c r="U63" s="515" t="str">
        <f>IF(B63="","",IF($K$2="","",IF(B63="N.C.","N.C.",VLOOKUP(B63,BDD!$O$13:$AN$72,25,FALSE))))</f>
        <v/>
      </c>
      <c r="V63" s="515" t="str">
        <f>IF(B63="","",IF($K$2="","",IF(B63="N.C.","N.C.",VLOOKUP(B63,BDD!$O$13:$AN$72,26,FALSE))))</f>
        <v/>
      </c>
      <c r="W63" s="515" t="str">
        <f>IF(B63="","",IF($K$2="","",IF(B63="N.C.","N.C.",VLOOKUP(B63,BDD!$O$13:$AN$72,21,FALSE))))</f>
        <v/>
      </c>
      <c r="X63" s="515" t="str">
        <f>IF(B63="","",IF($K$2="","",IF(B63="N.C.","N.C.",VLOOKUP(B63,BDD!$O$13:$AN$72,22,FALSE))))</f>
        <v/>
      </c>
      <c r="Y63" s="515" t="str">
        <f>IF(B63="","",IF($K$2="","",IF(B63="N.C.","N.C.",VLOOKUP(B63,BDD!$O$13:$AN$72,23,FALSE))))</f>
        <v/>
      </c>
      <c r="Z63" s="578"/>
      <c r="AA63" s="578"/>
      <c r="AB63" s="578"/>
      <c r="AC63" s="578"/>
      <c r="AD63" s="590"/>
      <c r="AE63" s="2"/>
      <c r="AF63" s="2"/>
      <c r="AG63" s="2"/>
      <c r="AH63" s="2"/>
      <c r="AZ63" s="462"/>
      <c r="BA63" s="462"/>
      <c r="BB63" s="462"/>
      <c r="BC63" s="462"/>
    </row>
    <row r="64" spans="1:55" x14ac:dyDescent="0.2">
      <c r="A64" s="576"/>
      <c r="B64" s="514" t="str">
        <f>IF(K$2="","",IF(K$2=France,BDD!O49,IF(K$2=CANADA,BDD!O21,IF(K$2=Belgique,"",IF(K$2=Suisse,"",IF(K$2=USA,""))))))</f>
        <v/>
      </c>
      <c r="C64" s="515" t="str">
        <f>IF(B64="","",IF($K$2="","",IF(B64="N.C.","N.C.",VLOOKUP(B64,BDD!$O$13:$AN$72,2,FALSE))))</f>
        <v/>
      </c>
      <c r="D64" s="515" t="str">
        <f>IF(B64="","",IF($K$2="","",IF(B64="N.C.","N.C.",VLOOKUP(B64,BDD!$O$13:$AN$72,3,FALSE))))</f>
        <v/>
      </c>
      <c r="E64" s="515" t="str">
        <f>IF(B64="","",IF($K$2="","",IF(B64="N.C.","N.C.",VLOOKUP(B64,BDD!$O$13:$AN$72,4,FALSE))))</f>
        <v/>
      </c>
      <c r="F64" s="515" t="str">
        <f>IF(B64="","",IF($K$2="","",IF(B64="N.C.","N.C.",VLOOKUP(B64,BDD!$O$13:$AN$72,5,FALSE))))</f>
        <v/>
      </c>
      <c r="G64" s="515" t="str">
        <f>IF(B64="","",IF($K$2="","",IF(B64="N.C.","N.C.",VLOOKUP(B64,BDD!$O$13:$AN$72,6,FALSE))))</f>
        <v/>
      </c>
      <c r="H64" s="515" t="str">
        <f>IF(B64="","",IF($K$2="","",IF(B64="N.C.","N.C.",VLOOKUP(B64,BDD!$O$13:$AN$72,7,FALSE))))</f>
        <v/>
      </c>
      <c r="I64" s="515" t="str">
        <f>IF(B64="","",IF($K$2="","",IF(B64="N.C.","N.C.",VLOOKUP(B64,BDD!$O$13:$AN$72,9,FALSE))))</f>
        <v/>
      </c>
      <c r="J64" s="515" t="str">
        <f>IF(B64="","",IF($K$2="","",IF(B64="N.C.","N.C.",VLOOKUP(B64,BDD!$O$13:$AN$72,10,FALSE))))</f>
        <v/>
      </c>
      <c r="K64" s="515" t="str">
        <f>IF(B64="","",IF($K$2="","",IF(B64="N.C.","N.C.",VLOOKUP(B64,BDD!$O$13:$AN$72,11,FALSE))))</f>
        <v/>
      </c>
      <c r="L64" s="515" t="str">
        <f>IF(B64="","",IF($K$2="","",IF(B64="N.C.","N.C.",VLOOKUP(B64,BDD!$O$13:$AN$72,12,FALSE))))</f>
        <v/>
      </c>
      <c r="M64" s="515" t="str">
        <f>IF(B64="","",IF($K$2="","",IF(B64="N.C.","N.C.",VLOOKUP(B64,BDD!$O$13:$AN$72,13,FALSE))))</f>
        <v/>
      </c>
      <c r="N64" s="515" t="str">
        <f>IF(B64="","",IF($K$2="","",IF(B64="N.C.","N.C.",VLOOKUP(B64,BDD!$O$13:$AN$72,14,FALSE))))</f>
        <v/>
      </c>
      <c r="O64" s="515" t="str">
        <f>IF(B64="","",IF($K$2="","",IF(B64="N.C.","N.C.",VLOOKUP(B64,BDD!$O$13:$AN$72,15,FALSE))))</f>
        <v/>
      </c>
      <c r="P64" s="515" t="str">
        <f>IF(B64="","",IF($K$2="","",IF(B64="N.C.","N.C.",VLOOKUP(B64,BDD!$O$13:$AN$72,16,FALSE))))</f>
        <v/>
      </c>
      <c r="Q64" s="515" t="str">
        <f>IF(B64="","",IF($K$2="","",IF(B64="N.C.","N.C.",VLOOKUP(B64,BDD!$O$13:$AN$72,19,FALSE))))</f>
        <v/>
      </c>
      <c r="R64" s="515" t="str">
        <f>IF(B64="","",IF($K$2="","",IF(B64="N.C.","N.C.",VLOOKUP(B64,BDD!$O$13:$AN$72,17,FALSE))))</f>
        <v/>
      </c>
      <c r="S64" s="515" t="str">
        <f>IF(B64="","",IF($K$2="","",IF(B64="N.C.","N.C.",VLOOKUP(B64,BDD!$O$13:$AN$72,18,FALSE))))</f>
        <v/>
      </c>
      <c r="T64" s="515" t="str">
        <f>IF(B64="","",IF($K$2="","",IF(B64="N.C.","N.C.",VLOOKUP(B64,BDD!$O$13:$AN$72,8,FALSE))))</f>
        <v/>
      </c>
      <c r="U64" s="515" t="str">
        <f>IF(B64="","",IF($K$2="","",IF(B64="N.C.","N.C.",VLOOKUP(B64,BDD!$O$13:$AN$72,25,FALSE))))</f>
        <v/>
      </c>
      <c r="V64" s="515" t="str">
        <f>IF(B64="","",IF($K$2="","",IF(B64="N.C.","N.C.",VLOOKUP(B64,BDD!$O$13:$AN$72,26,FALSE))))</f>
        <v/>
      </c>
      <c r="W64" s="515" t="str">
        <f>IF(B64="","",IF($K$2="","",IF(B64="N.C.","N.C.",VLOOKUP(B64,BDD!$O$13:$AN$72,21,FALSE))))</f>
        <v/>
      </c>
      <c r="X64" s="515" t="str">
        <f>IF(B64="","",IF($K$2="","",IF(B64="N.C.","N.C.",VLOOKUP(B64,BDD!$O$13:$AN$72,22,FALSE))))</f>
        <v/>
      </c>
      <c r="Y64" s="515" t="str">
        <f>IF(B64="","",IF($K$2="","",IF(B64="N.C.","N.C.",VLOOKUP(B64,BDD!$O$13:$AN$72,23,FALSE))))</f>
        <v/>
      </c>
      <c r="Z64" s="578"/>
      <c r="AA64" s="578"/>
      <c r="AB64" s="578"/>
      <c r="AC64" s="578"/>
      <c r="AD64" s="590"/>
      <c r="AE64" s="2"/>
      <c r="AF64" s="2"/>
      <c r="AG64" s="2"/>
      <c r="AH64" s="2"/>
      <c r="AZ64" s="462"/>
      <c r="BA64" s="462"/>
      <c r="BB64" s="462"/>
      <c r="BC64" s="462"/>
    </row>
    <row r="65" spans="1:55" ht="25.5" customHeight="1" x14ac:dyDescent="0.2">
      <c r="A65" s="576"/>
      <c r="B65" s="514" t="str">
        <f>IF(K$2="","",IF(K$2=France,BDD!O50,IF(K$2=CANADA,BDD!O22,IF(K$2=Belgique,"",IF(K$2=Suisse,"",IF(K$2=USA,""))))))</f>
        <v/>
      </c>
      <c r="C65" s="515" t="str">
        <f>IF(B65="","",IF($K$2="","",IF(B65="N.C.","N.C.",VLOOKUP(B65,BDD!$O$13:$AN$72,2,FALSE))))</f>
        <v/>
      </c>
      <c r="D65" s="515" t="str">
        <f>IF(B65="","",IF($K$2="","",IF(B65="N.C.","N.C.",VLOOKUP(B65,BDD!$O$13:$AN$72,3,FALSE))))</f>
        <v/>
      </c>
      <c r="E65" s="515" t="str">
        <f>IF(B65="","",IF($K$2="","",IF(B65="N.C.","N.C.",VLOOKUP(B65,BDD!$O$13:$AN$72,4,FALSE))))</f>
        <v/>
      </c>
      <c r="F65" s="515" t="str">
        <f>IF(B65="","",IF($K$2="","",IF(B65="N.C.","N.C.",VLOOKUP(B65,BDD!$O$13:$AN$72,5,FALSE))))</f>
        <v/>
      </c>
      <c r="G65" s="515" t="str">
        <f>IF(B65="","",IF($K$2="","",IF(B65="N.C.","N.C.",VLOOKUP(B65,BDD!$O$13:$AN$72,6,FALSE))))</f>
        <v/>
      </c>
      <c r="H65" s="515" t="str">
        <f>IF(B65="","",IF($K$2="","",IF(B65="N.C.","N.C.",VLOOKUP(B65,BDD!$O$13:$AN$72,7,FALSE))))</f>
        <v/>
      </c>
      <c r="I65" s="515" t="str">
        <f>IF(B65="","",IF($K$2="","",IF(B65="N.C.","N.C.",VLOOKUP(B65,BDD!$O$13:$AN$72,9,FALSE))))</f>
        <v/>
      </c>
      <c r="J65" s="515" t="str">
        <f>IF(B65="","",IF($K$2="","",IF(B65="N.C.","N.C.",VLOOKUP(B65,BDD!$O$13:$AN$72,10,FALSE))))</f>
        <v/>
      </c>
      <c r="K65" s="515" t="str">
        <f>IF(B65="","",IF($K$2="","",IF(B65="N.C.","N.C.",VLOOKUP(B65,BDD!$O$13:$AN$72,11,FALSE))))</f>
        <v/>
      </c>
      <c r="L65" s="515" t="str">
        <f>IF(B65="","",IF($K$2="","",IF(B65="N.C.","N.C.",VLOOKUP(B65,BDD!$O$13:$AN$72,12,FALSE))))</f>
        <v/>
      </c>
      <c r="M65" s="515" t="str">
        <f>IF(B65="","",IF($K$2="","",IF(B65="N.C.","N.C.",VLOOKUP(B65,BDD!$O$13:$AN$72,13,FALSE))))</f>
        <v/>
      </c>
      <c r="N65" s="515" t="str">
        <f>IF(B65="","",IF($K$2="","",IF(B65="N.C.","N.C.",VLOOKUP(B65,BDD!$O$13:$AN$72,14,FALSE))))</f>
        <v/>
      </c>
      <c r="O65" s="515" t="str">
        <f>IF(B65="","",IF($K$2="","",IF(B65="N.C.","N.C.",VLOOKUP(B65,BDD!$O$13:$AN$72,15,FALSE))))</f>
        <v/>
      </c>
      <c r="P65" s="515" t="str">
        <f>IF(B65="","",IF($K$2="","",IF(B65="N.C.","N.C.",VLOOKUP(B65,BDD!$O$13:$AN$72,16,FALSE))))</f>
        <v/>
      </c>
      <c r="Q65" s="515" t="str">
        <f>IF(B65="","",IF($K$2="","",IF(B65="N.C.","N.C.",VLOOKUP(B65,BDD!$O$13:$AN$72,19,FALSE))))</f>
        <v/>
      </c>
      <c r="R65" s="515" t="str">
        <f>IF(B65="","",IF($K$2="","",IF(B65="N.C.","N.C.",VLOOKUP(B65,BDD!$O$13:$AN$72,17,FALSE))))</f>
        <v/>
      </c>
      <c r="S65" s="515" t="str">
        <f>IF(B65="","",IF($K$2="","",IF(B65="N.C.","N.C.",VLOOKUP(B65,BDD!$O$13:$AN$72,18,FALSE))))</f>
        <v/>
      </c>
      <c r="T65" s="515" t="str">
        <f>IF(B65="","",IF($K$2="","",IF(B65="N.C.","N.C.",VLOOKUP(B65,BDD!$O$13:$AN$72,8,FALSE))))</f>
        <v/>
      </c>
      <c r="U65" s="515" t="str">
        <f>IF(B65="","",IF($K$2="","",IF(B65="N.C.","N.C.",VLOOKUP(B65,BDD!$O$13:$AN$72,25,FALSE))))</f>
        <v/>
      </c>
      <c r="V65" s="515" t="str">
        <f>IF(B65="","",IF($K$2="","",IF(B65="N.C.","N.C.",VLOOKUP(B65,BDD!$O$13:$AN$72,26,FALSE))))</f>
        <v/>
      </c>
      <c r="W65" s="515" t="str">
        <f>IF(B65="","",IF($K$2="","",IF(B65="N.C.","N.C.",VLOOKUP(B65,BDD!$O$13:$AN$72,21,FALSE))))</f>
        <v/>
      </c>
      <c r="X65" s="515" t="str">
        <f>IF(B65="","",IF($K$2="","",IF(B65="N.C.","N.C.",VLOOKUP(B65,BDD!$O$13:$AN$72,22,FALSE))))</f>
        <v/>
      </c>
      <c r="Y65" s="515" t="str">
        <f>IF(B65="","",IF($K$2="","",IF(B65="N.C.","N.C.",VLOOKUP(B65,BDD!$O$13:$AN$72,23,FALSE))))</f>
        <v/>
      </c>
      <c r="Z65" s="578"/>
      <c r="AA65" s="578"/>
      <c r="AB65" s="578"/>
      <c r="AC65" s="578"/>
      <c r="AD65" s="590"/>
      <c r="AE65" s="2"/>
      <c r="AF65" s="2"/>
      <c r="AG65" s="2"/>
      <c r="AH65" s="2"/>
      <c r="AZ65" s="462"/>
      <c r="BA65" s="462"/>
      <c r="BB65" s="462"/>
      <c r="BC65" s="462"/>
    </row>
    <row r="66" spans="1:55" ht="25.5" customHeight="1" x14ac:dyDescent="0.2">
      <c r="A66" s="576"/>
      <c r="B66" s="514" t="str">
        <f>IF(K$2="","",IF(K$2=France,BDD!O51,IF(K$2=CANADA,BDD!O23,IF(K$2=Belgique,"",IF(K$2=Suisse,"",IF(K$2=USA,""))))))</f>
        <v/>
      </c>
      <c r="C66" s="515" t="str">
        <f>IF(B66="","",IF($K$2="","",IF(B66="N.C.","N.C.",VLOOKUP(B66,BDD!$O$13:$AN$72,2,FALSE))))</f>
        <v/>
      </c>
      <c r="D66" s="515" t="str">
        <f>IF(B66="","",IF($K$2="","",IF(B66="N.C.","N.C.",VLOOKUP(B66,BDD!$O$13:$AN$72,3,FALSE))))</f>
        <v/>
      </c>
      <c r="E66" s="515" t="str">
        <f>IF(B66="","",IF($K$2="","",IF(B66="N.C.","N.C.",VLOOKUP(B66,BDD!$O$13:$AN$72,4,FALSE))))</f>
        <v/>
      </c>
      <c r="F66" s="515" t="str">
        <f>IF(B66="","",IF($K$2="","",IF(B66="N.C.","N.C.",VLOOKUP(B66,BDD!$O$13:$AN$72,5,FALSE))))</f>
        <v/>
      </c>
      <c r="G66" s="515" t="str">
        <f>IF(B66="","",IF($K$2="","",IF(B66="N.C.","N.C.",VLOOKUP(B66,BDD!$O$13:$AN$72,6,FALSE))))</f>
        <v/>
      </c>
      <c r="H66" s="515" t="str">
        <f>IF(B66="","",IF($K$2="","",IF(B66="N.C.","N.C.",VLOOKUP(B66,BDD!$O$13:$AN$72,7,FALSE))))</f>
        <v/>
      </c>
      <c r="I66" s="515" t="str">
        <f>IF(B66="","",IF($K$2="","",IF(B66="N.C.","N.C.",VLOOKUP(B66,BDD!$O$13:$AN$72,9,FALSE))))</f>
        <v/>
      </c>
      <c r="J66" s="515" t="str">
        <f>IF(B66="","",IF($K$2="","",IF(B66="N.C.","N.C.",VLOOKUP(B66,BDD!$O$13:$AN$72,10,FALSE))))</f>
        <v/>
      </c>
      <c r="K66" s="515" t="str">
        <f>IF(B66="","",IF($K$2="","",IF(B66="N.C.","N.C.",VLOOKUP(B66,BDD!$O$13:$AN$72,11,FALSE))))</f>
        <v/>
      </c>
      <c r="L66" s="515" t="str">
        <f>IF(B66="","",IF($K$2="","",IF(B66="N.C.","N.C.",VLOOKUP(B66,BDD!$O$13:$AN$72,12,FALSE))))</f>
        <v/>
      </c>
      <c r="M66" s="515" t="str">
        <f>IF(B66="","",IF($K$2="","",IF(B66="N.C.","N.C.",VLOOKUP(B66,BDD!$O$13:$AN$72,13,FALSE))))</f>
        <v/>
      </c>
      <c r="N66" s="515" t="str">
        <f>IF(B66="","",IF($K$2="","",IF(B66="N.C.","N.C.",VLOOKUP(B66,BDD!$O$13:$AN$72,14,FALSE))))</f>
        <v/>
      </c>
      <c r="O66" s="515" t="str">
        <f>IF(B66="","",IF($K$2="","",IF(B66="N.C.","N.C.",VLOOKUP(B66,BDD!$O$13:$AN$72,15,FALSE))))</f>
        <v/>
      </c>
      <c r="P66" s="515" t="str">
        <f>IF(B66="","",IF($K$2="","",IF(B66="N.C.","N.C.",VLOOKUP(B66,BDD!$O$13:$AN$72,16,FALSE))))</f>
        <v/>
      </c>
      <c r="Q66" s="515" t="str">
        <f>IF(B66="","",IF($K$2="","",IF(B66="N.C.","N.C.",VLOOKUP(B66,BDD!$O$13:$AN$72,19,FALSE))))</f>
        <v/>
      </c>
      <c r="R66" s="515" t="str">
        <f>IF(B66="","",IF($K$2="","",IF(B66="N.C.","N.C.",VLOOKUP(B66,BDD!$O$13:$AN$72,17,FALSE))))</f>
        <v/>
      </c>
      <c r="S66" s="515" t="str">
        <f>IF(B66="","",IF($K$2="","",IF(B66="N.C.","N.C.",VLOOKUP(B66,BDD!$O$13:$AN$72,18,FALSE))))</f>
        <v/>
      </c>
      <c r="T66" s="515" t="str">
        <f>IF(B66="","",IF($K$2="","",IF(B66="N.C.","N.C.",VLOOKUP(B66,BDD!$O$13:$AN$72,8,FALSE))))</f>
        <v/>
      </c>
      <c r="U66" s="515" t="str">
        <f>IF(B66="","",IF($K$2="","",IF(B66="N.C.","N.C.",VLOOKUP(B66,BDD!$O$13:$AN$72,25,FALSE))))</f>
        <v/>
      </c>
      <c r="V66" s="515" t="str">
        <f>IF(B66="","",IF($K$2="","",IF(B66="N.C.","N.C.",VLOOKUP(B66,BDD!$O$13:$AN$72,26,FALSE))))</f>
        <v/>
      </c>
      <c r="W66" s="515" t="str">
        <f>IF(B66="","",IF($K$2="","",IF(B66="N.C.","N.C.",VLOOKUP(B66,BDD!$O$13:$AN$72,21,FALSE))))</f>
        <v/>
      </c>
      <c r="X66" s="515" t="str">
        <f>IF(B66="","",IF($K$2="","",IF(B66="N.C.","N.C.",VLOOKUP(B66,BDD!$O$13:$AN$72,22,FALSE))))</f>
        <v/>
      </c>
      <c r="Y66" s="515" t="str">
        <f>IF(B66="","",IF($K$2="","",IF(B66="N.C.","N.C.",VLOOKUP(B66,BDD!$O$13:$AN$72,23,FALSE))))</f>
        <v/>
      </c>
      <c r="Z66" s="578"/>
      <c r="AA66" s="578"/>
      <c r="AB66" s="578"/>
      <c r="AC66" s="578"/>
      <c r="AD66" s="590"/>
      <c r="AE66" s="2"/>
      <c r="AF66" s="2"/>
      <c r="AG66" s="2"/>
      <c r="AH66" s="2"/>
      <c r="AZ66" s="462"/>
      <c r="BA66" s="462"/>
      <c r="BB66" s="462"/>
      <c r="BC66" s="462"/>
    </row>
    <row r="67" spans="1:55" x14ac:dyDescent="0.2">
      <c r="A67" s="576"/>
      <c r="B67" s="514" t="str">
        <f>IF(K$2="","",IF(K$2=France,BDD!O52,IF(K$2=CANADA,BDD!O24,IF(K$2=Belgique,"",IF(K$2=Suisse,"",IF(K$2=USA,""))))))</f>
        <v/>
      </c>
      <c r="C67" s="515" t="str">
        <f>IF(B67="","",IF($K$2="","",IF(B67="N.C.","N.C.",VLOOKUP(B67,BDD!$O$13:$AN$72,2,FALSE))))</f>
        <v/>
      </c>
      <c r="D67" s="515" t="str">
        <f>IF(B67="","",IF($K$2="","",IF(B67="N.C.","N.C.",VLOOKUP(B67,BDD!$O$13:$AN$72,3,FALSE))))</f>
        <v/>
      </c>
      <c r="E67" s="515" t="str">
        <f>IF(B67="","",IF($K$2="","",IF(B67="N.C.","N.C.",VLOOKUP(B67,BDD!$O$13:$AN$72,4,FALSE))))</f>
        <v/>
      </c>
      <c r="F67" s="515" t="str">
        <f>IF(B67="","",IF($K$2="","",IF(B67="N.C.","N.C.",VLOOKUP(B67,BDD!$O$13:$AN$72,5,FALSE))))</f>
        <v/>
      </c>
      <c r="G67" s="515" t="str">
        <f>IF(B67="","",IF($K$2="","",IF(B67="N.C.","N.C.",VLOOKUP(B67,BDD!$O$13:$AN$72,6,FALSE))))</f>
        <v/>
      </c>
      <c r="H67" s="515" t="str">
        <f>IF(B67="","",IF($K$2="","",IF(B67="N.C.","N.C.",VLOOKUP(B67,BDD!$O$13:$AN$72,7,FALSE))))</f>
        <v/>
      </c>
      <c r="I67" s="515" t="str">
        <f>IF(B67="","",IF($K$2="","",IF(B67="N.C.","N.C.",VLOOKUP(B67,BDD!$O$13:$AN$72,9,FALSE))))</f>
        <v/>
      </c>
      <c r="J67" s="515" t="str">
        <f>IF(B67="","",IF($K$2="","",IF(B67="N.C.","N.C.",VLOOKUP(B67,BDD!$O$13:$AN$72,10,FALSE))))</f>
        <v/>
      </c>
      <c r="K67" s="515" t="str">
        <f>IF(B67="","",IF($K$2="","",IF(B67="N.C.","N.C.",VLOOKUP(B67,BDD!$O$13:$AN$72,11,FALSE))))</f>
        <v/>
      </c>
      <c r="L67" s="515" t="str">
        <f>IF(B67="","",IF($K$2="","",IF(B67="N.C.","N.C.",VLOOKUP(B67,BDD!$O$13:$AN$72,12,FALSE))))</f>
        <v/>
      </c>
      <c r="M67" s="515" t="str">
        <f>IF(B67="","",IF($K$2="","",IF(B67="N.C.","N.C.",VLOOKUP(B67,BDD!$O$13:$AN$72,13,FALSE))))</f>
        <v/>
      </c>
      <c r="N67" s="515" t="str">
        <f>IF(B67="","",IF($K$2="","",IF(B67="N.C.","N.C.",VLOOKUP(B67,BDD!$O$13:$AN$72,14,FALSE))))</f>
        <v/>
      </c>
      <c r="O67" s="515" t="str">
        <f>IF(B67="","",IF($K$2="","",IF(B67="N.C.","N.C.",VLOOKUP(B67,BDD!$O$13:$AN$72,15,FALSE))))</f>
        <v/>
      </c>
      <c r="P67" s="515" t="str">
        <f>IF(B67="","",IF($K$2="","",IF(B67="N.C.","N.C.",VLOOKUP(B67,BDD!$O$13:$AN$72,16,FALSE))))</f>
        <v/>
      </c>
      <c r="Q67" s="515" t="str">
        <f>IF(B67="","",IF($K$2="","",IF(B67="N.C.","N.C.",VLOOKUP(B67,BDD!$O$13:$AN$72,19,FALSE))))</f>
        <v/>
      </c>
      <c r="R67" s="515" t="str">
        <f>IF(B67="","",IF($K$2="","",IF(B67="N.C.","N.C.",VLOOKUP(B67,BDD!$O$13:$AN$72,17,FALSE))))</f>
        <v/>
      </c>
      <c r="S67" s="515" t="str">
        <f>IF(B67="","",IF($K$2="","",IF(B67="N.C.","N.C.",VLOOKUP(B67,BDD!$O$13:$AN$72,18,FALSE))))</f>
        <v/>
      </c>
      <c r="T67" s="515" t="str">
        <f>IF(B67="","",IF($K$2="","",IF(B67="N.C.","N.C.",VLOOKUP(B67,BDD!$O$13:$AN$72,8,FALSE))))</f>
        <v/>
      </c>
      <c r="U67" s="515" t="str">
        <f>IF(B67="","",IF($K$2="","",IF(B67="N.C.","N.C.",VLOOKUP(B67,BDD!$O$13:$AN$72,25,FALSE))))</f>
        <v/>
      </c>
      <c r="V67" s="515" t="str">
        <f>IF(B67="","",IF($K$2="","",IF(B67="N.C.","N.C.",VLOOKUP(B67,BDD!$O$13:$AN$72,26,FALSE))))</f>
        <v/>
      </c>
      <c r="W67" s="515" t="str">
        <f>IF(B67="","",IF($K$2="","",IF(B67="N.C.","N.C.",VLOOKUP(B67,BDD!$O$13:$AN$72,21,FALSE))))</f>
        <v/>
      </c>
      <c r="X67" s="515" t="str">
        <f>IF(B67="","",IF($K$2="","",IF(B67="N.C.","N.C.",VLOOKUP(B67,BDD!$O$13:$AN$72,22,FALSE))))</f>
        <v/>
      </c>
      <c r="Y67" s="515" t="str">
        <f>IF(B67="","",IF($K$2="","",IF(B67="N.C.","N.C.",VLOOKUP(B67,BDD!$O$13:$AN$72,23,FALSE))))</f>
        <v/>
      </c>
      <c r="Z67" s="578"/>
      <c r="AA67" s="578"/>
      <c r="AB67" s="578"/>
      <c r="AC67" s="578"/>
      <c r="AD67" s="590"/>
      <c r="AE67" s="2"/>
      <c r="AF67" s="2"/>
      <c r="AG67" s="2"/>
      <c r="AH67" s="2"/>
      <c r="AZ67" s="462"/>
      <c r="BA67" s="462"/>
      <c r="BB67" s="462"/>
      <c r="BC67" s="462"/>
    </row>
    <row r="68" spans="1:55" ht="25.5" customHeight="1" x14ac:dyDescent="0.2">
      <c r="A68" s="576"/>
      <c r="B68" s="514" t="str">
        <f>IF(K$2="","",IF(K$2=France,BDD!O53,IF(K$2=CANADA,BDD!O25,IF(K$2=Belgique,"",IF(K$2=Suisse,"",IF(K$2=USA,""))))))</f>
        <v/>
      </c>
      <c r="C68" s="515" t="str">
        <f>IF(B68="","",IF($K$2="","",IF(B68="N.C.","N.C.",VLOOKUP(B68,BDD!$O$13:$AN$72,2,FALSE))))</f>
        <v/>
      </c>
      <c r="D68" s="515" t="str">
        <f>IF(B68="","",IF($K$2="","",IF(B68="N.C.","N.C.",VLOOKUP(B68,BDD!$O$13:$AN$72,3,FALSE))))</f>
        <v/>
      </c>
      <c r="E68" s="515" t="str">
        <f>IF(B68="","",IF($K$2="","",IF(B68="N.C.","N.C.",VLOOKUP(B68,BDD!$O$13:$AN$72,4,FALSE))))</f>
        <v/>
      </c>
      <c r="F68" s="515" t="str">
        <f>IF(B68="","",IF($K$2="","",IF(B68="N.C.","N.C.",VLOOKUP(B68,BDD!$O$13:$AN$72,5,FALSE))))</f>
        <v/>
      </c>
      <c r="G68" s="515" t="str">
        <f>IF(B68="","",IF($K$2="","",IF(B68="N.C.","N.C.",VLOOKUP(B68,BDD!$O$13:$AN$72,6,FALSE))))</f>
        <v/>
      </c>
      <c r="H68" s="515" t="str">
        <f>IF(B68="","",IF($K$2="","",IF(B68="N.C.","N.C.",VLOOKUP(B68,BDD!$O$13:$AN$72,7,FALSE))))</f>
        <v/>
      </c>
      <c r="I68" s="515" t="str">
        <f>IF(B68="","",IF($K$2="","",IF(B68="N.C.","N.C.",VLOOKUP(B68,BDD!$O$13:$AN$72,9,FALSE))))</f>
        <v/>
      </c>
      <c r="J68" s="515" t="str">
        <f>IF(B68="","",IF($K$2="","",IF(B68="N.C.","N.C.",VLOOKUP(B68,BDD!$O$13:$AN$72,10,FALSE))))</f>
        <v/>
      </c>
      <c r="K68" s="515" t="str">
        <f>IF(B68="","",IF($K$2="","",IF(B68="N.C.","N.C.",VLOOKUP(B68,BDD!$O$13:$AN$72,11,FALSE))))</f>
        <v/>
      </c>
      <c r="L68" s="515" t="str">
        <f>IF(B68="","",IF($K$2="","",IF(B68="N.C.","N.C.",VLOOKUP(B68,BDD!$O$13:$AN$72,12,FALSE))))</f>
        <v/>
      </c>
      <c r="M68" s="515" t="str">
        <f>IF(B68="","",IF($K$2="","",IF(B68="N.C.","N.C.",VLOOKUP(B68,BDD!$O$13:$AN$72,13,FALSE))))</f>
        <v/>
      </c>
      <c r="N68" s="515" t="str">
        <f>IF(B68="","",IF($K$2="","",IF(B68="N.C.","N.C.",VLOOKUP(B68,BDD!$O$13:$AN$72,14,FALSE))))</f>
        <v/>
      </c>
      <c r="O68" s="515" t="str">
        <f>IF(B68="","",IF($K$2="","",IF(B68="N.C.","N.C.",VLOOKUP(B68,BDD!$O$13:$AN$72,15,FALSE))))</f>
        <v/>
      </c>
      <c r="P68" s="515" t="str">
        <f>IF(B68="","",IF($K$2="","",IF(B68="N.C.","N.C.",VLOOKUP(B68,BDD!$O$13:$AN$72,16,FALSE))))</f>
        <v/>
      </c>
      <c r="Q68" s="515" t="str">
        <f>IF(B68="","",IF($K$2="","",IF(B68="N.C.","N.C.",VLOOKUP(B68,BDD!$O$13:$AN$72,19,FALSE))))</f>
        <v/>
      </c>
      <c r="R68" s="515" t="str">
        <f>IF(B68="","",IF($K$2="","",IF(B68="N.C.","N.C.",VLOOKUP(B68,BDD!$O$13:$AN$72,17,FALSE))))</f>
        <v/>
      </c>
      <c r="S68" s="515" t="str">
        <f>IF(B68="","",IF($K$2="","",IF(B68="N.C.","N.C.",VLOOKUP(B68,BDD!$O$13:$AN$72,18,FALSE))))</f>
        <v/>
      </c>
      <c r="T68" s="515" t="str">
        <f>IF(B68="","",IF($K$2="","",IF(B68="N.C.","N.C.",VLOOKUP(B68,BDD!$O$13:$AN$72,8,FALSE))))</f>
        <v/>
      </c>
      <c r="U68" s="515" t="str">
        <f>IF(B68="","",IF($K$2="","",IF(B68="N.C.","N.C.",VLOOKUP(B68,BDD!$O$13:$AN$72,25,FALSE))))</f>
        <v/>
      </c>
      <c r="V68" s="515" t="str">
        <f>IF(B68="","",IF($K$2="","",IF(B68="N.C.","N.C.",VLOOKUP(B68,BDD!$O$13:$AN$72,26,FALSE))))</f>
        <v/>
      </c>
      <c r="W68" s="515" t="str">
        <f>IF(B68="","",IF($K$2="","",IF(B68="N.C.","N.C.",VLOOKUP(B68,BDD!$O$13:$AN$72,21,FALSE))))</f>
        <v/>
      </c>
      <c r="X68" s="515" t="str">
        <f>IF(B68="","",IF($K$2="","",IF(B68="N.C.","N.C.",VLOOKUP(B68,BDD!$O$13:$AN$72,22,FALSE))))</f>
        <v/>
      </c>
      <c r="Y68" s="515" t="str">
        <f>IF(B68="","",IF($K$2="","",IF(B68="N.C.","N.C.",VLOOKUP(B68,BDD!$O$13:$AN$72,23,FALSE))))</f>
        <v/>
      </c>
      <c r="Z68" s="578"/>
      <c r="AA68" s="578"/>
      <c r="AB68" s="578"/>
      <c r="AC68" s="578"/>
      <c r="AD68" s="590"/>
      <c r="AE68" s="2"/>
      <c r="AF68" s="2"/>
      <c r="AG68" s="2"/>
      <c r="AH68" s="2"/>
      <c r="AZ68" s="462"/>
      <c r="BA68" s="462"/>
      <c r="BB68" s="462"/>
      <c r="BC68" s="462"/>
    </row>
    <row r="69" spans="1:55" x14ac:dyDescent="0.2">
      <c r="A69" s="576"/>
      <c r="B69" s="514" t="str">
        <f>IF(K$2="","",IF(K$2=France,BDD!O54,IF(K$2=CANADA,BDD!O26,IF(K$2=Belgique,"",IF(K$2=Suisse,"",IF(K$2=USA,""))))))</f>
        <v/>
      </c>
      <c r="C69" s="515" t="str">
        <f>IF(B69="","",IF($K$2="","",IF(B69="N.C.","N.C.",VLOOKUP(B69,BDD!$O$13:$AN$72,2,FALSE))))</f>
        <v/>
      </c>
      <c r="D69" s="515" t="str">
        <f>IF(B69="","",IF($K$2="","",IF(B69="N.C.","N.C.",VLOOKUP(B69,BDD!$O$13:$AN$72,3,FALSE))))</f>
        <v/>
      </c>
      <c r="E69" s="515" t="str">
        <f>IF(B69="","",IF($K$2="","",IF(B69="N.C.","N.C.",VLOOKUP(B69,BDD!$O$13:$AN$72,4,FALSE))))</f>
        <v/>
      </c>
      <c r="F69" s="515" t="str">
        <f>IF(B69="","",IF($K$2="","",IF(B69="N.C.","N.C.",VLOOKUP(B69,BDD!$O$13:$AN$72,5,FALSE))))</f>
        <v/>
      </c>
      <c r="G69" s="515" t="str">
        <f>IF(B69="","",IF($K$2="","",IF(B69="N.C.","N.C.",VLOOKUP(B69,BDD!$O$13:$AN$72,6,FALSE))))</f>
        <v/>
      </c>
      <c r="H69" s="515" t="str">
        <f>IF(B69="","",IF($K$2="","",IF(B69="N.C.","N.C.",VLOOKUP(B69,BDD!$O$13:$AN$72,7,FALSE))))</f>
        <v/>
      </c>
      <c r="I69" s="515" t="str">
        <f>IF(B69="","",IF($K$2="","",IF(B69="N.C.","N.C.",VLOOKUP(B69,BDD!$O$13:$AN$72,9,FALSE))))</f>
        <v/>
      </c>
      <c r="J69" s="515" t="str">
        <f>IF(B69="","",IF($K$2="","",IF(B69="N.C.","N.C.",VLOOKUP(B69,BDD!$O$13:$AN$72,10,FALSE))))</f>
        <v/>
      </c>
      <c r="K69" s="515" t="str">
        <f>IF(B69="","",IF($K$2="","",IF(B69="N.C.","N.C.",VLOOKUP(B69,BDD!$O$13:$AN$72,11,FALSE))))</f>
        <v/>
      </c>
      <c r="L69" s="515" t="str">
        <f>IF(B69="","",IF($K$2="","",IF(B69="N.C.","N.C.",VLOOKUP(B69,BDD!$O$13:$AN$72,12,FALSE))))</f>
        <v/>
      </c>
      <c r="M69" s="515" t="str">
        <f>IF(B69="","",IF($K$2="","",IF(B69="N.C.","N.C.",VLOOKUP(B69,BDD!$O$13:$AN$72,13,FALSE))))</f>
        <v/>
      </c>
      <c r="N69" s="515" t="str">
        <f>IF(B69="","",IF($K$2="","",IF(B69="N.C.","N.C.",VLOOKUP(B69,BDD!$O$13:$AN$72,14,FALSE))))</f>
        <v/>
      </c>
      <c r="O69" s="515" t="str">
        <f>IF(B69="","",IF($K$2="","",IF(B69="N.C.","N.C.",VLOOKUP(B69,BDD!$O$13:$AN$72,15,FALSE))))</f>
        <v/>
      </c>
      <c r="P69" s="515" t="str">
        <f>IF(B69="","",IF($K$2="","",IF(B69="N.C.","N.C.",VLOOKUP(B69,BDD!$O$13:$AN$72,16,FALSE))))</f>
        <v/>
      </c>
      <c r="Q69" s="515" t="str">
        <f>IF(B69="","",IF($K$2="","",IF(B69="N.C.","N.C.",VLOOKUP(B69,BDD!$O$13:$AN$72,19,FALSE))))</f>
        <v/>
      </c>
      <c r="R69" s="515" t="str">
        <f>IF(B69="","",IF($K$2="","",IF(B69="N.C.","N.C.",VLOOKUP(B69,BDD!$O$13:$AN$72,17,FALSE))))</f>
        <v/>
      </c>
      <c r="S69" s="515" t="str">
        <f>IF(B69="","",IF($K$2="","",IF(B69="N.C.","N.C.",VLOOKUP(B69,BDD!$O$13:$AN$72,18,FALSE))))</f>
        <v/>
      </c>
      <c r="T69" s="515" t="str">
        <f>IF(B69="","",IF($K$2="","",IF(B69="N.C.","N.C.",VLOOKUP(B69,BDD!$O$13:$AN$72,8,FALSE))))</f>
        <v/>
      </c>
      <c r="U69" s="515" t="str">
        <f>IF(B69="","",IF($K$2="","",IF(B69="N.C.","N.C.",VLOOKUP(B69,BDD!$O$13:$AN$72,25,FALSE))))</f>
        <v/>
      </c>
      <c r="V69" s="515" t="str">
        <f>IF(B69="","",IF($K$2="","",IF(B69="N.C.","N.C.",VLOOKUP(B69,BDD!$O$13:$AN$72,26,FALSE))))</f>
        <v/>
      </c>
      <c r="W69" s="515" t="str">
        <f>IF(B69="","",IF($K$2="","",IF(B69="N.C.","N.C.",VLOOKUP(B69,BDD!$O$13:$AN$72,21,FALSE))))</f>
        <v/>
      </c>
      <c r="X69" s="515" t="str">
        <f>IF(B69="","",IF($K$2="","",IF(B69="N.C.","N.C.",VLOOKUP(B69,BDD!$O$13:$AN$72,22,FALSE))))</f>
        <v/>
      </c>
      <c r="Y69" s="515" t="str">
        <f>IF(B69="","",IF($K$2="","",IF(B69="N.C.","N.C.",VLOOKUP(B69,BDD!$O$13:$AN$72,23,FALSE))))</f>
        <v/>
      </c>
      <c r="Z69" s="578"/>
      <c r="AA69" s="578"/>
      <c r="AB69" s="578"/>
      <c r="AC69" s="578"/>
      <c r="AD69" s="590"/>
      <c r="AE69" s="2"/>
      <c r="AF69" s="2"/>
      <c r="AG69" s="2"/>
      <c r="AH69" s="2"/>
      <c r="AZ69" s="462"/>
      <c r="BA69" s="462"/>
      <c r="BB69" s="462"/>
      <c r="BC69" s="462"/>
    </row>
    <row r="70" spans="1:55" x14ac:dyDescent="0.2">
      <c r="A70" s="576"/>
      <c r="B70" s="514" t="str">
        <f>IF(K$2="","",IF(K$2=France,BDD!O55,IF(K$2=CANADA,BDD!O27,IF(K$2=Belgique,"",IF(K$2=Suisse,"",IF(K$2=USA,""))))))</f>
        <v/>
      </c>
      <c r="C70" s="515" t="str">
        <f>IF(B70="","",IF($K$2="","",IF(B70="N.C.","N.C.",VLOOKUP(B70,BDD!$O$13:$AN$72,2,FALSE))))</f>
        <v/>
      </c>
      <c r="D70" s="515" t="str">
        <f>IF(B70="","",IF($K$2="","",IF(B70="N.C.","N.C.",VLOOKUP(B70,BDD!$O$13:$AN$72,3,FALSE))))</f>
        <v/>
      </c>
      <c r="E70" s="515" t="str">
        <f>IF(B70="","",IF($K$2="","",IF(B70="N.C.","N.C.",VLOOKUP(B70,BDD!$O$13:$AN$72,4,FALSE))))</f>
        <v/>
      </c>
      <c r="F70" s="515" t="str">
        <f>IF(B70="","",IF($K$2="","",IF(B70="N.C.","N.C.",VLOOKUP(B70,BDD!$O$13:$AN$72,5,FALSE))))</f>
        <v/>
      </c>
      <c r="G70" s="515" t="str">
        <f>IF(B70="","",IF($K$2="","",IF(B70="N.C.","N.C.",VLOOKUP(B70,BDD!$O$13:$AN$72,6,FALSE))))</f>
        <v/>
      </c>
      <c r="H70" s="515" t="str">
        <f>IF(B70="","",IF($K$2="","",IF(B70="N.C.","N.C.",VLOOKUP(B70,BDD!$O$13:$AN$72,7,FALSE))))</f>
        <v/>
      </c>
      <c r="I70" s="515" t="str">
        <f>IF(B70="","",IF($K$2="","",IF(B70="N.C.","N.C.",VLOOKUP(B70,BDD!$O$13:$AN$72,9,FALSE))))</f>
        <v/>
      </c>
      <c r="J70" s="515" t="str">
        <f>IF(B70="","",IF($K$2="","",IF(B70="N.C.","N.C.",VLOOKUP(B70,BDD!$O$13:$AN$72,10,FALSE))))</f>
        <v/>
      </c>
      <c r="K70" s="515" t="str">
        <f>IF(B70="","",IF($K$2="","",IF(B70="N.C.","N.C.",VLOOKUP(B70,BDD!$O$13:$AN$72,11,FALSE))))</f>
        <v/>
      </c>
      <c r="L70" s="515" t="str">
        <f>IF(B70="","",IF($K$2="","",IF(B70="N.C.","N.C.",VLOOKUP(B70,BDD!$O$13:$AN$72,12,FALSE))))</f>
        <v/>
      </c>
      <c r="M70" s="515" t="str">
        <f>IF(B70="","",IF($K$2="","",IF(B70="N.C.","N.C.",VLOOKUP(B70,BDD!$O$13:$AN$72,13,FALSE))))</f>
        <v/>
      </c>
      <c r="N70" s="515" t="str">
        <f>IF(B70="","",IF($K$2="","",IF(B70="N.C.","N.C.",VLOOKUP(B70,BDD!$O$13:$AN$72,14,FALSE))))</f>
        <v/>
      </c>
      <c r="O70" s="515" t="str">
        <f>IF(B70="","",IF($K$2="","",IF(B70="N.C.","N.C.",VLOOKUP(B70,BDD!$O$13:$AN$72,15,FALSE))))</f>
        <v/>
      </c>
      <c r="P70" s="515" t="str">
        <f>IF(B70="","",IF($K$2="","",IF(B70="N.C.","N.C.",VLOOKUP(B70,BDD!$O$13:$AN$72,16,FALSE))))</f>
        <v/>
      </c>
      <c r="Q70" s="515" t="str">
        <f>IF(B70="","",IF($K$2="","",IF(B70="N.C.","N.C.",VLOOKUP(B70,BDD!$O$13:$AN$72,19,FALSE))))</f>
        <v/>
      </c>
      <c r="R70" s="515" t="str">
        <f>IF(B70="","",IF($K$2="","",IF(B70="N.C.","N.C.",VLOOKUP(B70,BDD!$O$13:$AN$72,17,FALSE))))</f>
        <v/>
      </c>
      <c r="S70" s="515" t="str">
        <f>IF(B70="","",IF($K$2="","",IF(B70="N.C.","N.C.",VLOOKUP(B70,BDD!$O$13:$AN$72,18,FALSE))))</f>
        <v/>
      </c>
      <c r="T70" s="515" t="str">
        <f>IF(B70="","",IF($K$2="","",IF(B70="N.C.","N.C.",VLOOKUP(B70,BDD!$O$13:$AN$72,8,FALSE))))</f>
        <v/>
      </c>
      <c r="U70" s="515" t="str">
        <f>IF(B70="","",IF($K$2="","",IF(B70="N.C.","N.C.",VLOOKUP(B70,BDD!$O$13:$AN$72,25,FALSE))))</f>
        <v/>
      </c>
      <c r="V70" s="515" t="str">
        <f>IF(B70="","",IF($K$2="","",IF(B70="N.C.","N.C.",VLOOKUP(B70,BDD!$O$13:$AN$72,26,FALSE))))</f>
        <v/>
      </c>
      <c r="W70" s="515" t="str">
        <f>IF(B70="","",IF($K$2="","",IF(B70="N.C.","N.C.",VLOOKUP(B70,BDD!$O$13:$AN$72,21,FALSE))))</f>
        <v/>
      </c>
      <c r="X70" s="515" t="str">
        <f>IF(B70="","",IF($K$2="","",IF(B70="N.C.","N.C.",VLOOKUP(B70,BDD!$O$13:$AN$72,22,FALSE))))</f>
        <v/>
      </c>
      <c r="Y70" s="515" t="str">
        <f>IF(B70="","",IF($K$2="","",IF(B70="N.C.","N.C.",VLOOKUP(B70,BDD!$O$13:$AN$72,23,FALSE))))</f>
        <v/>
      </c>
      <c r="Z70" s="578"/>
      <c r="AA70" s="578"/>
      <c r="AB70" s="578"/>
      <c r="AC70" s="578"/>
      <c r="AD70" s="590"/>
      <c r="AE70" s="2"/>
      <c r="AF70" s="2"/>
      <c r="AG70" s="2"/>
      <c r="AH70" s="2"/>
      <c r="AZ70" s="462"/>
      <c r="BA70" s="462"/>
      <c r="BB70" s="462"/>
      <c r="BC70" s="462"/>
    </row>
    <row r="71" spans="1:55" x14ac:dyDescent="0.2">
      <c r="A71" s="576"/>
      <c r="B71" s="514" t="str">
        <f>IF(K$2="","",IF(K$2=France,BDD!O56,IF(K$2=CANADA,BDD!O28,IF(K$2=Belgique,"",IF(K$2=Suisse,"",IF(K$2=USA,""))))))</f>
        <v/>
      </c>
      <c r="C71" s="515" t="str">
        <f>IF(B71="","",IF($K$2="","",IF(B71="N.C.","N.C.",VLOOKUP(B71,BDD!$O$13:$AN$72,2,FALSE))))</f>
        <v/>
      </c>
      <c r="D71" s="515" t="str">
        <f>IF(B71="","",IF($K$2="","",IF(B71="N.C.","N.C.",VLOOKUP(B71,BDD!$O$13:$AN$72,3,FALSE))))</f>
        <v/>
      </c>
      <c r="E71" s="515" t="str">
        <f>IF(B71="","",IF($K$2="","",IF(B71="N.C.","N.C.",VLOOKUP(B71,BDD!$O$13:$AN$72,4,FALSE))))</f>
        <v/>
      </c>
      <c r="F71" s="515" t="str">
        <f>IF(B71="","",IF($K$2="","",IF(B71="N.C.","N.C.",VLOOKUP(B71,BDD!$O$13:$AN$72,5,FALSE))))</f>
        <v/>
      </c>
      <c r="G71" s="515" t="str">
        <f>IF(B71="","",IF($K$2="","",IF(B71="N.C.","N.C.",VLOOKUP(B71,BDD!$O$13:$AN$72,6,FALSE))))</f>
        <v/>
      </c>
      <c r="H71" s="515" t="str">
        <f>IF(B71="","",IF($K$2="","",IF(B71="N.C.","N.C.",VLOOKUP(B71,BDD!$O$13:$AN$72,7,FALSE))))</f>
        <v/>
      </c>
      <c r="I71" s="515" t="str">
        <f>IF(B71="","",IF($K$2="","",IF(B71="N.C.","N.C.",VLOOKUP(B71,BDD!$O$13:$AN$72,9,FALSE))))</f>
        <v/>
      </c>
      <c r="J71" s="515" t="str">
        <f>IF(B71="","",IF($K$2="","",IF(B71="N.C.","N.C.",VLOOKUP(B71,BDD!$O$13:$AN$72,10,FALSE))))</f>
        <v/>
      </c>
      <c r="K71" s="515" t="str">
        <f>IF(B71="","",IF($K$2="","",IF(B71="N.C.","N.C.",VLOOKUP(B71,BDD!$O$13:$AN$72,11,FALSE))))</f>
        <v/>
      </c>
      <c r="L71" s="515" t="str">
        <f>IF(B71="","",IF($K$2="","",IF(B71="N.C.","N.C.",VLOOKUP(B71,BDD!$O$13:$AN$72,12,FALSE))))</f>
        <v/>
      </c>
      <c r="M71" s="515" t="str">
        <f>IF(B71="","",IF($K$2="","",IF(B71="N.C.","N.C.",VLOOKUP(B71,BDD!$O$13:$AN$72,13,FALSE))))</f>
        <v/>
      </c>
      <c r="N71" s="515" t="str">
        <f>IF(B71="","",IF($K$2="","",IF(B71="N.C.","N.C.",VLOOKUP(B71,BDD!$O$13:$AN$72,14,FALSE))))</f>
        <v/>
      </c>
      <c r="O71" s="515" t="str">
        <f>IF(B71="","",IF($K$2="","",IF(B71="N.C.","N.C.",VLOOKUP(B71,BDD!$O$13:$AN$72,15,FALSE))))</f>
        <v/>
      </c>
      <c r="P71" s="515" t="str">
        <f>IF(B71="","",IF($K$2="","",IF(B71="N.C.","N.C.",VLOOKUP(B71,BDD!$O$13:$AN$72,16,FALSE))))</f>
        <v/>
      </c>
      <c r="Q71" s="515" t="str">
        <f>IF(B71="","",IF($K$2="","",IF(B71="N.C.","N.C.",VLOOKUP(B71,BDD!$O$13:$AN$72,19,FALSE))))</f>
        <v/>
      </c>
      <c r="R71" s="515" t="str">
        <f>IF(B71="","",IF($K$2="","",IF(B71="N.C.","N.C.",VLOOKUP(B71,BDD!$O$13:$AN$72,17,FALSE))))</f>
        <v/>
      </c>
      <c r="S71" s="515" t="str">
        <f>IF(B71="","",IF($K$2="","",IF(B71="N.C.","N.C.",VLOOKUP(B71,BDD!$O$13:$AN$72,18,FALSE))))</f>
        <v/>
      </c>
      <c r="T71" s="515" t="str">
        <f>IF(B71="","",IF($K$2="","",IF(B71="N.C.","N.C.",VLOOKUP(B71,BDD!$O$13:$AN$72,8,FALSE))))</f>
        <v/>
      </c>
      <c r="U71" s="515" t="str">
        <f>IF(B71="","",IF($K$2="","",IF(B71="N.C.","N.C.",VLOOKUP(B71,BDD!$O$13:$AN$72,25,FALSE))))</f>
        <v/>
      </c>
      <c r="V71" s="515" t="str">
        <f>IF(B71="","",IF($K$2="","",IF(B71="N.C.","N.C.",VLOOKUP(B71,BDD!$O$13:$AN$72,26,FALSE))))</f>
        <v/>
      </c>
      <c r="W71" s="515" t="str">
        <f>IF(B71="","",IF($K$2="","",IF(B71="N.C.","N.C.",VLOOKUP(B71,BDD!$O$13:$AN$72,21,FALSE))))</f>
        <v/>
      </c>
      <c r="X71" s="515" t="str">
        <f>IF(B71="","",IF($K$2="","",IF(B71="N.C.","N.C.",VLOOKUP(B71,BDD!$O$13:$AN$72,22,FALSE))))</f>
        <v/>
      </c>
      <c r="Y71" s="515" t="str">
        <f>IF(B71="","",IF($K$2="","",IF(B71="N.C.","N.C.",VLOOKUP(B71,BDD!$O$13:$AN$72,23,FALSE))))</f>
        <v/>
      </c>
      <c r="Z71" s="578"/>
      <c r="AA71" s="578"/>
      <c r="AB71" s="578"/>
      <c r="AC71" s="578"/>
      <c r="AD71" s="590"/>
      <c r="AE71" s="2"/>
      <c r="AF71" s="2"/>
      <c r="AG71" s="2"/>
      <c r="AH71" s="2"/>
      <c r="AZ71" s="462"/>
      <c r="BA71" s="462"/>
      <c r="BB71" s="462"/>
      <c r="BC71" s="462"/>
    </row>
    <row r="72" spans="1:55" x14ac:dyDescent="0.2">
      <c r="A72" s="576"/>
      <c r="B72" s="514" t="str">
        <f>IF(K$2="","",IF(K$2=France,BDD!O57,IF(K$2=CANADA,BDD!O29,IF(K$2=Belgique,"",IF(K$2=Suisse,"",IF(K$2=USA,""))))))</f>
        <v/>
      </c>
      <c r="C72" s="515" t="str">
        <f>IF(B72="","",IF($K$2="","",IF(B72="N.C.","N.C.",VLOOKUP(B72,BDD!$O$13:$AN$72,2,FALSE))))</f>
        <v/>
      </c>
      <c r="D72" s="515" t="str">
        <f>IF(B72="","",IF($K$2="","",IF(B72="N.C.","N.C.",VLOOKUP(B72,BDD!$O$13:$AN$72,3,FALSE))))</f>
        <v/>
      </c>
      <c r="E72" s="515" t="str">
        <f>IF(B72="","",IF($K$2="","",IF(B72="N.C.","N.C.",VLOOKUP(B72,BDD!$O$13:$AN$72,4,FALSE))))</f>
        <v/>
      </c>
      <c r="F72" s="515" t="str">
        <f>IF(B72="","",IF($K$2="","",IF(B72="N.C.","N.C.",VLOOKUP(B72,BDD!$O$13:$AN$72,5,FALSE))))</f>
        <v/>
      </c>
      <c r="G72" s="515" t="str">
        <f>IF(B72="","",IF($K$2="","",IF(B72="N.C.","N.C.",VLOOKUP(B72,BDD!$O$13:$AN$72,6,FALSE))))</f>
        <v/>
      </c>
      <c r="H72" s="515" t="str">
        <f>IF(B72="","",IF($K$2="","",IF(B72="N.C.","N.C.",VLOOKUP(B72,BDD!$O$13:$AN$72,7,FALSE))))</f>
        <v/>
      </c>
      <c r="I72" s="515" t="str">
        <f>IF(B72="","",IF($K$2="","",IF(B72="N.C.","N.C.",VLOOKUP(B72,BDD!$O$13:$AN$72,9,FALSE))))</f>
        <v/>
      </c>
      <c r="J72" s="515" t="str">
        <f>IF(B72="","",IF($K$2="","",IF(B72="N.C.","N.C.",VLOOKUP(B72,BDD!$O$13:$AN$72,10,FALSE))))</f>
        <v/>
      </c>
      <c r="K72" s="515" t="str">
        <f>IF(B72="","",IF($K$2="","",IF(B72="N.C.","N.C.",VLOOKUP(B72,BDD!$O$13:$AN$72,11,FALSE))))</f>
        <v/>
      </c>
      <c r="L72" s="515" t="str">
        <f>IF(B72="","",IF($K$2="","",IF(B72="N.C.","N.C.",VLOOKUP(B72,BDD!$O$13:$AN$72,12,FALSE))))</f>
        <v/>
      </c>
      <c r="M72" s="515" t="str">
        <f>IF(B72="","",IF($K$2="","",IF(B72="N.C.","N.C.",VLOOKUP(B72,BDD!$O$13:$AN$72,13,FALSE))))</f>
        <v/>
      </c>
      <c r="N72" s="515" t="str">
        <f>IF(B72="","",IF($K$2="","",IF(B72="N.C.","N.C.",VLOOKUP(B72,BDD!$O$13:$AN$72,14,FALSE))))</f>
        <v/>
      </c>
      <c r="O72" s="515" t="str">
        <f>IF(B72="","",IF($K$2="","",IF(B72="N.C.","N.C.",VLOOKUP(B72,BDD!$O$13:$AN$72,15,FALSE))))</f>
        <v/>
      </c>
      <c r="P72" s="515" t="str">
        <f>IF(B72="","",IF($K$2="","",IF(B72="N.C.","N.C.",VLOOKUP(B72,BDD!$O$13:$AN$72,16,FALSE))))</f>
        <v/>
      </c>
      <c r="Q72" s="515" t="str">
        <f>IF(B72="","",IF($K$2="","",IF(B72="N.C.","N.C.",VLOOKUP(B72,BDD!$O$13:$AN$72,19,FALSE))))</f>
        <v/>
      </c>
      <c r="R72" s="515" t="str">
        <f>IF(B72="","",IF($K$2="","",IF(B72="N.C.","N.C.",VLOOKUP(B72,BDD!$O$13:$AN$72,17,FALSE))))</f>
        <v/>
      </c>
      <c r="S72" s="515" t="str">
        <f>IF(B72="","",IF($K$2="","",IF(B72="N.C.","N.C.",VLOOKUP(B72,BDD!$O$13:$AN$72,18,FALSE))))</f>
        <v/>
      </c>
      <c r="T72" s="515" t="str">
        <f>IF(B72="","",IF($K$2="","",IF(B72="N.C.","N.C.",VLOOKUP(B72,BDD!$O$13:$AN$72,8,FALSE))))</f>
        <v/>
      </c>
      <c r="U72" s="515" t="str">
        <f>IF(B72="","",IF($K$2="","",IF(B72="N.C.","N.C.",VLOOKUP(B72,BDD!$O$13:$AN$72,25,FALSE))))</f>
        <v/>
      </c>
      <c r="V72" s="515" t="str">
        <f>IF(B72="","",IF($K$2="","",IF(B72="N.C.","N.C.",VLOOKUP(B72,BDD!$O$13:$AN$72,26,FALSE))))</f>
        <v/>
      </c>
      <c r="W72" s="515" t="str">
        <f>IF(B72="","",IF($K$2="","",IF(B72="N.C.","N.C.",VLOOKUP(B72,BDD!$O$13:$AN$72,21,FALSE))))</f>
        <v/>
      </c>
      <c r="X72" s="515" t="str">
        <f>IF(B72="","",IF($K$2="","",IF(B72="N.C.","N.C.",VLOOKUP(B72,BDD!$O$13:$AN$72,22,FALSE))))</f>
        <v/>
      </c>
      <c r="Y72" s="515" t="str">
        <f>IF(B72="","",IF($K$2="","",IF(B72="N.C.","N.C.",VLOOKUP(B72,BDD!$O$13:$AN$72,23,FALSE))))</f>
        <v/>
      </c>
      <c r="Z72" s="578"/>
      <c r="AA72" s="578"/>
      <c r="AB72" s="578"/>
      <c r="AC72" s="578"/>
      <c r="AD72" s="590"/>
      <c r="AE72" s="2"/>
      <c r="AF72" s="2"/>
      <c r="AG72" s="2"/>
      <c r="AH72" s="2"/>
      <c r="AZ72" s="462"/>
      <c r="BA72" s="462"/>
      <c r="BB72" s="462"/>
      <c r="BC72" s="462"/>
    </row>
    <row r="73" spans="1:55" ht="14.25" customHeight="1" x14ac:dyDescent="0.2">
      <c r="A73" s="576"/>
      <c r="B73" s="514" t="str">
        <f>IF(K$2="","",IF(K$2=France,BDD!O58,IF(K$2=CANADA,BDD!O30,IF(K$2=Belgique,"",IF(K$2=Suisse,"",IF(K$2=USA,""))))))</f>
        <v/>
      </c>
      <c r="C73" s="515" t="str">
        <f>IF(B73="","",IF($K$2="","",IF(B73="N.C.","N.C.",VLOOKUP(B73,BDD!$O$13:$AN$72,2,FALSE))))</f>
        <v/>
      </c>
      <c r="D73" s="515" t="str">
        <f>IF(B73="","",IF($K$2="","",IF(B73="N.C.","N.C.",VLOOKUP(B73,BDD!$O$13:$AN$72,3,FALSE))))</f>
        <v/>
      </c>
      <c r="E73" s="515" t="str">
        <f>IF(B73="","",IF($K$2="","",IF(B73="N.C.","N.C.",VLOOKUP(B73,BDD!$O$13:$AN$72,4,FALSE))))</f>
        <v/>
      </c>
      <c r="F73" s="515" t="str">
        <f>IF(B73="","",IF($K$2="","",IF(B73="N.C.","N.C.",VLOOKUP(B73,BDD!$O$13:$AN$72,5,FALSE))))</f>
        <v/>
      </c>
      <c r="G73" s="515" t="str">
        <f>IF(B73="","",IF($K$2="","",IF(B73="N.C.","N.C.",VLOOKUP(B73,BDD!$O$13:$AN$72,6,FALSE))))</f>
        <v/>
      </c>
      <c r="H73" s="515" t="str">
        <f>IF(B73="","",IF($K$2="","",IF(B73="N.C.","N.C.",VLOOKUP(B73,BDD!$O$13:$AN$72,7,FALSE))))</f>
        <v/>
      </c>
      <c r="I73" s="515" t="str">
        <f>IF(B73="","",IF($K$2="","",IF(B73="N.C.","N.C.",VLOOKUP(B73,BDD!$O$13:$AN$72,9,FALSE))))</f>
        <v/>
      </c>
      <c r="J73" s="515" t="str">
        <f>IF(B73="","",IF($K$2="","",IF(B73="N.C.","N.C.",VLOOKUP(B73,BDD!$O$13:$AN$72,10,FALSE))))</f>
        <v/>
      </c>
      <c r="K73" s="515" t="str">
        <f>IF(B73="","",IF($K$2="","",IF(B73="N.C.","N.C.",VLOOKUP(B73,BDD!$O$13:$AN$72,11,FALSE))))</f>
        <v/>
      </c>
      <c r="L73" s="515" t="str">
        <f>IF(B73="","",IF($K$2="","",IF(B73="N.C.","N.C.",VLOOKUP(B73,BDD!$O$13:$AN$72,12,FALSE))))</f>
        <v/>
      </c>
      <c r="M73" s="515" t="str">
        <f>IF(B73="","",IF($K$2="","",IF(B73="N.C.","N.C.",VLOOKUP(B73,BDD!$O$13:$AN$72,13,FALSE))))</f>
        <v/>
      </c>
      <c r="N73" s="515" t="str">
        <f>IF(B73="","",IF($K$2="","",IF(B73="N.C.","N.C.",VLOOKUP(B73,BDD!$O$13:$AN$72,14,FALSE))))</f>
        <v/>
      </c>
      <c r="O73" s="515" t="str">
        <f>IF(B73="","",IF($K$2="","",IF(B73="N.C.","N.C.",VLOOKUP(B73,BDD!$O$13:$AN$72,15,FALSE))))</f>
        <v/>
      </c>
      <c r="P73" s="515" t="str">
        <f>IF(B73="","",IF($K$2="","",IF(B73="N.C.","N.C.",VLOOKUP(B73,BDD!$O$13:$AN$72,16,FALSE))))</f>
        <v/>
      </c>
      <c r="Q73" s="515" t="str">
        <f>IF(B73="","",IF($K$2="","",IF(B73="N.C.","N.C.",VLOOKUP(B73,BDD!$O$13:$AN$72,19,FALSE))))</f>
        <v/>
      </c>
      <c r="R73" s="515" t="str">
        <f>IF(B73="","",IF($K$2="","",IF(B73="N.C.","N.C.",VLOOKUP(B73,BDD!$O$13:$AN$72,17,FALSE))))</f>
        <v/>
      </c>
      <c r="S73" s="515" t="str">
        <f>IF(B73="","",IF($K$2="","",IF(B73="N.C.","N.C.",VLOOKUP(B73,BDD!$O$13:$AN$72,18,FALSE))))</f>
        <v/>
      </c>
      <c r="T73" s="515" t="str">
        <f>IF(B73="","",IF($K$2="","",IF(B73="N.C.","N.C.",VLOOKUP(B73,BDD!$O$13:$AN$72,8,FALSE))))</f>
        <v/>
      </c>
      <c r="U73" s="515" t="str">
        <f>IF(B73="","",IF($K$2="","",IF(B73="N.C.","N.C.",VLOOKUP(B73,BDD!$O$13:$AN$72,25,FALSE))))</f>
        <v/>
      </c>
      <c r="V73" s="515" t="str">
        <f>IF(B73="","",IF($K$2="","",IF(B73="N.C.","N.C.",VLOOKUP(B73,BDD!$O$13:$AN$72,26,FALSE))))</f>
        <v/>
      </c>
      <c r="W73" s="515" t="str">
        <f>IF(B73="","",IF($K$2="","",IF(B73="N.C.","N.C.",VLOOKUP(B73,BDD!$O$13:$AN$72,21,FALSE))))</f>
        <v/>
      </c>
      <c r="X73" s="515" t="str">
        <f>IF(B73="","",IF($K$2="","",IF(B73="N.C.","N.C.",VLOOKUP(B73,BDD!$O$13:$AN$72,22,FALSE))))</f>
        <v/>
      </c>
      <c r="Y73" s="515" t="str">
        <f>IF(B73="","",IF($K$2="","",IF(B73="N.C.","N.C.",VLOOKUP(B73,BDD!$O$13:$AN$72,23,FALSE))))</f>
        <v/>
      </c>
      <c r="Z73" s="578"/>
      <c r="AA73" s="578"/>
      <c r="AB73" s="578"/>
      <c r="AC73" s="578"/>
      <c r="AD73" s="590"/>
      <c r="AE73" s="2"/>
      <c r="AF73" s="2"/>
      <c r="AG73" s="2"/>
      <c r="AH73" s="2"/>
      <c r="AZ73" s="462"/>
      <c r="BA73" s="462"/>
      <c r="BB73" s="462"/>
      <c r="BC73" s="462"/>
    </row>
    <row r="74" spans="1:55" x14ac:dyDescent="0.2">
      <c r="A74" s="576"/>
      <c r="B74" s="514" t="str">
        <f>IF(K$2="","",IF(K$2=France,BDD!O59,IF(K$2=CANADA,BDD!O31,IF(K$2=Belgique,"",IF(K$2=Suisse,"",IF(K$2=USA,""))))))</f>
        <v/>
      </c>
      <c r="C74" s="515" t="str">
        <f>IF(B74="","",IF($K$2="","",IF(B74="N.C.","N.C.",VLOOKUP(B74,BDD!$O$13:$AN$72,2,FALSE))))</f>
        <v/>
      </c>
      <c r="D74" s="515" t="str">
        <f>IF(B74="","",IF($K$2="","",IF(B74="N.C.","N.C.",VLOOKUP(B74,BDD!$O$13:$AN$72,3,FALSE))))</f>
        <v/>
      </c>
      <c r="E74" s="515" t="str">
        <f>IF(B74="","",IF($K$2="","",IF(B74="N.C.","N.C.",VLOOKUP(B74,BDD!$O$13:$AN$72,4,FALSE))))</f>
        <v/>
      </c>
      <c r="F74" s="515" t="str">
        <f>IF(B74="","",IF($K$2="","",IF(B74="N.C.","N.C.",VLOOKUP(B74,BDD!$O$13:$AN$72,5,FALSE))))</f>
        <v/>
      </c>
      <c r="G74" s="515" t="str">
        <f>IF(B74="","",IF($K$2="","",IF(B74="N.C.","N.C.",VLOOKUP(B74,BDD!$O$13:$AN$72,6,FALSE))))</f>
        <v/>
      </c>
      <c r="H74" s="515" t="str">
        <f>IF(B74="","",IF($K$2="","",IF(B74="N.C.","N.C.",VLOOKUP(B74,BDD!$O$13:$AN$72,7,FALSE))))</f>
        <v/>
      </c>
      <c r="I74" s="515" t="str">
        <f>IF(B74="","",IF($K$2="","",IF(B74="N.C.","N.C.",VLOOKUP(B74,BDD!$O$13:$AN$72,9,FALSE))))</f>
        <v/>
      </c>
      <c r="J74" s="515" t="str">
        <f>IF(B74="","",IF($K$2="","",IF(B74="N.C.","N.C.",VLOOKUP(B74,BDD!$O$13:$AN$72,10,FALSE))))</f>
        <v/>
      </c>
      <c r="K74" s="515" t="str">
        <f>IF(B74="","",IF($K$2="","",IF(B74="N.C.","N.C.",VLOOKUP(B74,BDD!$O$13:$AN$72,11,FALSE))))</f>
        <v/>
      </c>
      <c r="L74" s="515" t="str">
        <f>IF(B74="","",IF($K$2="","",IF(B74="N.C.","N.C.",VLOOKUP(B74,BDD!$O$13:$AN$72,12,FALSE))))</f>
        <v/>
      </c>
      <c r="M74" s="515" t="str">
        <f>IF(B74="","",IF($K$2="","",IF(B74="N.C.","N.C.",VLOOKUP(B74,BDD!$O$13:$AN$72,13,FALSE))))</f>
        <v/>
      </c>
      <c r="N74" s="515" t="str">
        <f>IF(B74="","",IF($K$2="","",IF(B74="N.C.","N.C.",VLOOKUP(B74,BDD!$O$13:$AN$72,14,FALSE))))</f>
        <v/>
      </c>
      <c r="O74" s="515" t="str">
        <f>IF(B74="","",IF($K$2="","",IF(B74="N.C.","N.C.",VLOOKUP(B74,BDD!$O$13:$AN$72,15,FALSE))))</f>
        <v/>
      </c>
      <c r="P74" s="515" t="str">
        <f>IF(B74="","",IF($K$2="","",IF(B74="N.C.","N.C.",VLOOKUP(B74,BDD!$O$13:$AN$72,16,FALSE))))</f>
        <v/>
      </c>
      <c r="Q74" s="515" t="str">
        <f>IF(B74="","",IF($K$2="","",IF(B74="N.C.","N.C.",VLOOKUP(B74,BDD!$O$13:$AN$72,19,FALSE))))</f>
        <v/>
      </c>
      <c r="R74" s="515" t="str">
        <f>IF(B74="","",IF($K$2="","",IF(B74="N.C.","N.C.",VLOOKUP(B74,BDD!$O$13:$AN$72,17,FALSE))))</f>
        <v/>
      </c>
      <c r="S74" s="515" t="str">
        <f>IF(B74="","",IF($K$2="","",IF(B74="N.C.","N.C.",VLOOKUP(B74,BDD!$O$13:$AN$72,18,FALSE))))</f>
        <v/>
      </c>
      <c r="T74" s="515" t="str">
        <f>IF(B74="","",IF($K$2="","",IF(B74="N.C.","N.C.",VLOOKUP(B74,BDD!$O$13:$AN$72,8,FALSE))))</f>
        <v/>
      </c>
      <c r="U74" s="515" t="str">
        <f>IF(B74="","",IF($K$2="","",IF(B74="N.C.","N.C.",VLOOKUP(B74,BDD!$O$13:$AN$72,25,FALSE))))</f>
        <v/>
      </c>
      <c r="V74" s="515" t="str">
        <f>IF(B74="","",IF($K$2="","",IF(B74="N.C.","N.C.",VLOOKUP(B74,BDD!$O$13:$AN$72,26,FALSE))))</f>
        <v/>
      </c>
      <c r="W74" s="515" t="str">
        <f>IF(B74="","",IF($K$2="","",IF(B74="N.C.","N.C.",VLOOKUP(B74,BDD!$O$13:$AN$72,21,FALSE))))</f>
        <v/>
      </c>
      <c r="X74" s="515" t="str">
        <f>IF(B74="","",IF($K$2="","",IF(B74="N.C.","N.C.",VLOOKUP(B74,BDD!$O$13:$AN$72,22,FALSE))))</f>
        <v/>
      </c>
      <c r="Y74" s="515" t="str">
        <f>IF(B74="","",IF($K$2="","",IF(B74="N.C.","N.C.",VLOOKUP(B74,BDD!$O$13:$AN$72,23,FALSE))))</f>
        <v/>
      </c>
      <c r="Z74" s="578"/>
      <c r="AA74" s="578"/>
      <c r="AB74" s="578"/>
      <c r="AC74" s="578"/>
      <c r="AD74" s="590"/>
      <c r="AE74" s="2"/>
      <c r="AF74" s="2"/>
      <c r="AG74" s="2"/>
      <c r="AH74" s="2"/>
      <c r="AZ74" s="462"/>
      <c r="BA74" s="462"/>
      <c r="BB74" s="462"/>
      <c r="BC74" s="462"/>
    </row>
    <row r="75" spans="1:55" ht="25.5" customHeight="1" x14ac:dyDescent="0.2">
      <c r="A75" s="576"/>
      <c r="B75" s="514" t="str">
        <f>IF(K$2="","",IF(K$2=France,BDD!O60,IF(K$2=CANADA,BDD!O32,IF(K$2=Belgique,"",IF(K$2=Suisse,"",IF(K$2=USA,""))))))</f>
        <v/>
      </c>
      <c r="C75" s="515" t="str">
        <f>IF(B75="","",IF($K$2="","",IF(B75="N.C.","N.C.",VLOOKUP(B75,BDD!$O$13:$AN$72,2,FALSE))))</f>
        <v/>
      </c>
      <c r="D75" s="515" t="str">
        <f>IF(B75="","",IF($K$2="","",IF(B75="N.C.","N.C.",VLOOKUP(B75,BDD!$O$13:$AN$72,3,FALSE))))</f>
        <v/>
      </c>
      <c r="E75" s="515" t="str">
        <f>IF(B75="","",IF($K$2="","",IF(B75="N.C.","N.C.",VLOOKUP(B75,BDD!$O$13:$AN$72,4,FALSE))))</f>
        <v/>
      </c>
      <c r="F75" s="515" t="str">
        <f>IF(B75="","",IF($K$2="","",IF(B75="N.C.","N.C.",VLOOKUP(B75,BDD!$O$13:$AN$72,5,FALSE))))</f>
        <v/>
      </c>
      <c r="G75" s="515" t="str">
        <f>IF(B75="","",IF($K$2="","",IF(B75="N.C.","N.C.",VLOOKUP(B75,BDD!$O$13:$AN$72,6,FALSE))))</f>
        <v/>
      </c>
      <c r="H75" s="515" t="str">
        <f>IF(B75="","",IF($K$2="","",IF(B75="N.C.","N.C.",VLOOKUP(B75,BDD!$O$13:$AN$72,7,FALSE))))</f>
        <v/>
      </c>
      <c r="I75" s="515" t="str">
        <f>IF(B75="","",IF($K$2="","",IF(B75="N.C.","N.C.",VLOOKUP(B75,BDD!$O$13:$AN$72,9,FALSE))))</f>
        <v/>
      </c>
      <c r="J75" s="515" t="str">
        <f>IF(B75="","",IF($K$2="","",IF(B75="N.C.","N.C.",VLOOKUP(B75,BDD!$O$13:$AN$72,10,FALSE))))</f>
        <v/>
      </c>
      <c r="K75" s="515" t="str">
        <f>IF(B75="","",IF($K$2="","",IF(B75="N.C.","N.C.",VLOOKUP(B75,BDD!$O$13:$AN$72,11,FALSE))))</f>
        <v/>
      </c>
      <c r="L75" s="515" t="str">
        <f>IF(B75="","",IF($K$2="","",IF(B75="N.C.","N.C.",VLOOKUP(B75,BDD!$O$13:$AN$72,12,FALSE))))</f>
        <v/>
      </c>
      <c r="M75" s="515" t="str">
        <f>IF(B75="","",IF($K$2="","",IF(B75="N.C.","N.C.",VLOOKUP(B75,BDD!$O$13:$AN$72,13,FALSE))))</f>
        <v/>
      </c>
      <c r="N75" s="515" t="str">
        <f>IF(B75="","",IF($K$2="","",IF(B75="N.C.","N.C.",VLOOKUP(B75,BDD!$O$13:$AN$72,14,FALSE))))</f>
        <v/>
      </c>
      <c r="O75" s="515" t="str">
        <f>IF(B75="","",IF($K$2="","",IF(B75="N.C.","N.C.",VLOOKUP(B75,BDD!$O$13:$AN$72,15,FALSE))))</f>
        <v/>
      </c>
      <c r="P75" s="515" t="str">
        <f>IF(B75="","",IF($K$2="","",IF(B75="N.C.","N.C.",VLOOKUP(B75,BDD!$O$13:$AN$72,16,FALSE))))</f>
        <v/>
      </c>
      <c r="Q75" s="515" t="str">
        <f>IF(B75="","",IF($K$2="","",IF(B75="N.C.","N.C.",VLOOKUP(B75,BDD!$O$13:$AN$72,19,FALSE))))</f>
        <v/>
      </c>
      <c r="R75" s="515" t="str">
        <f>IF(B75="","",IF($K$2="","",IF(B75="N.C.","N.C.",VLOOKUP(B75,BDD!$O$13:$AN$72,17,FALSE))))</f>
        <v/>
      </c>
      <c r="S75" s="515" t="str">
        <f>IF(B75="","",IF($K$2="","",IF(B75="N.C.","N.C.",VLOOKUP(B75,BDD!$O$13:$AN$72,18,FALSE))))</f>
        <v/>
      </c>
      <c r="T75" s="515" t="str">
        <f>IF(B75="","",IF($K$2="","",IF(B75="N.C.","N.C.",VLOOKUP(B75,BDD!$O$13:$AN$72,8,FALSE))))</f>
        <v/>
      </c>
      <c r="U75" s="515" t="str">
        <f>IF(B75="","",IF($K$2="","",IF(B75="N.C.","N.C.",VLOOKUP(B75,BDD!$O$13:$AN$72,25,FALSE))))</f>
        <v/>
      </c>
      <c r="V75" s="515" t="str">
        <f>IF(B75="","",IF($K$2="","",IF(B75="N.C.","N.C.",VLOOKUP(B75,BDD!$O$13:$AN$72,26,FALSE))))</f>
        <v/>
      </c>
      <c r="W75" s="515" t="str">
        <f>IF(B75="","",IF($K$2="","",IF(B75="N.C.","N.C.",VLOOKUP(B75,BDD!$O$13:$AN$72,21,FALSE))))</f>
        <v/>
      </c>
      <c r="X75" s="515" t="str">
        <f>IF(B75="","",IF($K$2="","",IF(B75="N.C.","N.C.",VLOOKUP(B75,BDD!$O$13:$AN$72,22,FALSE))))</f>
        <v/>
      </c>
      <c r="Y75" s="515" t="str">
        <f>IF(B75="","",IF($K$2="","",IF(B75="N.C.","N.C.",VLOOKUP(B75,BDD!$O$13:$AN$72,23,FALSE))))</f>
        <v/>
      </c>
      <c r="Z75" s="578"/>
      <c r="AA75" s="578"/>
      <c r="AB75" s="578"/>
      <c r="AC75" s="578"/>
      <c r="AD75" s="590"/>
      <c r="AE75" s="2"/>
      <c r="AF75" s="2"/>
      <c r="AG75" s="2"/>
      <c r="AH75" s="2"/>
      <c r="AZ75" s="462"/>
      <c r="BA75" s="462"/>
      <c r="BB75" s="462"/>
      <c r="BC75" s="462"/>
    </row>
    <row r="76" spans="1:55" ht="25.5" customHeight="1" x14ac:dyDescent="0.2">
      <c r="A76" s="576"/>
      <c r="B76" s="514" t="str">
        <f>IF(K$2="","",IF(K$2=France,BDD!O61,IF(K$2=CANADA,BDD!O33,IF(K$2=Belgique,"",IF(K$2=Suisse,"",IF(K$2=USA,""))))))</f>
        <v/>
      </c>
      <c r="C76" s="515" t="str">
        <f>IF(B76="","",IF($K$2="","",IF(B76="N.C.","N.C.",VLOOKUP(B76,BDD!$O$13:$AN$72,2,FALSE))))</f>
        <v/>
      </c>
      <c r="D76" s="515" t="str">
        <f>IF(B76="","",IF($K$2="","",IF(B76="N.C.","N.C.",VLOOKUP(B76,BDD!$O$13:$AN$72,3,FALSE))))</f>
        <v/>
      </c>
      <c r="E76" s="515" t="str">
        <f>IF(B76="","",IF($K$2="","",IF(B76="N.C.","N.C.",VLOOKUP(B76,BDD!$O$13:$AN$72,4,FALSE))))</f>
        <v/>
      </c>
      <c r="F76" s="515" t="str">
        <f>IF(B76="","",IF($K$2="","",IF(B76="N.C.","N.C.",VLOOKUP(B76,BDD!$O$13:$AN$72,5,FALSE))))</f>
        <v/>
      </c>
      <c r="G76" s="515" t="str">
        <f>IF(B76="","",IF($K$2="","",IF(B76="N.C.","N.C.",VLOOKUP(B76,BDD!$O$13:$AN$72,6,FALSE))))</f>
        <v/>
      </c>
      <c r="H76" s="515" t="str">
        <f>IF(B76="","",IF($K$2="","",IF(B76="N.C.","N.C.",VLOOKUP(B76,BDD!$O$13:$AN$72,7,FALSE))))</f>
        <v/>
      </c>
      <c r="I76" s="515" t="str">
        <f>IF(B76="","",IF($K$2="","",IF(B76="N.C.","N.C.",VLOOKUP(B76,BDD!$O$13:$AN$72,9,FALSE))))</f>
        <v/>
      </c>
      <c r="J76" s="515" t="str">
        <f>IF(B76="","",IF($K$2="","",IF(B76="N.C.","N.C.",VLOOKUP(B76,BDD!$O$13:$AN$72,10,FALSE))))</f>
        <v/>
      </c>
      <c r="K76" s="515" t="str">
        <f>IF(B76="","",IF($K$2="","",IF(B76="N.C.","N.C.",VLOOKUP(B76,BDD!$O$13:$AN$72,11,FALSE))))</f>
        <v/>
      </c>
      <c r="L76" s="515" t="str">
        <f>IF(B76="","",IF($K$2="","",IF(B76="N.C.","N.C.",VLOOKUP(B76,BDD!$O$13:$AN$72,12,FALSE))))</f>
        <v/>
      </c>
      <c r="M76" s="515" t="str">
        <f>IF(B76="","",IF($K$2="","",IF(B76="N.C.","N.C.",VLOOKUP(B76,BDD!$O$13:$AN$72,13,FALSE))))</f>
        <v/>
      </c>
      <c r="N76" s="515" t="str">
        <f>IF(B76="","",IF($K$2="","",IF(B76="N.C.","N.C.",VLOOKUP(B76,BDD!$O$13:$AN$72,14,FALSE))))</f>
        <v/>
      </c>
      <c r="O76" s="515" t="str">
        <f>IF(B76="","",IF($K$2="","",IF(B76="N.C.","N.C.",VLOOKUP(B76,BDD!$O$13:$AN$72,15,FALSE))))</f>
        <v/>
      </c>
      <c r="P76" s="515" t="str">
        <f>IF(B76="","",IF($K$2="","",IF(B76="N.C.","N.C.",VLOOKUP(B76,BDD!$O$13:$AN$72,16,FALSE))))</f>
        <v/>
      </c>
      <c r="Q76" s="515" t="str">
        <f>IF(B76="","",IF($K$2="","",IF(B76="N.C.","N.C.",VLOOKUP(B76,BDD!$O$13:$AN$72,19,FALSE))))</f>
        <v/>
      </c>
      <c r="R76" s="515" t="str">
        <f>IF(B76="","",IF($K$2="","",IF(B76="N.C.","N.C.",VLOOKUP(B76,BDD!$O$13:$AN$72,17,FALSE))))</f>
        <v/>
      </c>
      <c r="S76" s="515" t="str">
        <f>IF(B76="","",IF($K$2="","",IF(B76="N.C.","N.C.",VLOOKUP(B76,BDD!$O$13:$AN$72,18,FALSE))))</f>
        <v/>
      </c>
      <c r="T76" s="515" t="str">
        <f>IF(B76="","",IF($K$2="","",IF(B76="N.C.","N.C.",VLOOKUP(B76,BDD!$O$13:$AN$72,8,FALSE))))</f>
        <v/>
      </c>
      <c r="U76" s="515" t="str">
        <f>IF(B76="","",IF($K$2="","",IF(B76="N.C.","N.C.",VLOOKUP(B76,BDD!$O$13:$AN$72,25,FALSE))))</f>
        <v/>
      </c>
      <c r="V76" s="515" t="str">
        <f>IF(B76="","",IF($K$2="","",IF(B76="N.C.","N.C.",VLOOKUP(B76,BDD!$O$13:$AN$72,26,FALSE))))</f>
        <v/>
      </c>
      <c r="W76" s="515" t="str">
        <f>IF(B76="","",IF($K$2="","",IF(B76="N.C.","N.C.",VLOOKUP(B76,BDD!$O$13:$AN$72,21,FALSE))))</f>
        <v/>
      </c>
      <c r="X76" s="515" t="str">
        <f>IF(B76="","",IF($K$2="","",IF(B76="N.C.","N.C.",VLOOKUP(B76,BDD!$O$13:$AN$72,22,FALSE))))</f>
        <v/>
      </c>
      <c r="Y76" s="515" t="str">
        <f>IF(B76="","",IF($K$2="","",IF(B76="N.C.","N.C.",VLOOKUP(B76,BDD!$O$13:$AN$72,23,FALSE))))</f>
        <v/>
      </c>
      <c r="Z76" s="578"/>
      <c r="AA76" s="578"/>
      <c r="AB76" s="578"/>
      <c r="AC76" s="578"/>
      <c r="AD76" s="590"/>
      <c r="AE76" s="2"/>
      <c r="AF76" s="2"/>
      <c r="AG76" s="2"/>
      <c r="AH76" s="2"/>
      <c r="AZ76" s="462"/>
      <c r="BA76" s="462"/>
      <c r="BB76" s="462"/>
      <c r="BC76" s="462"/>
    </row>
    <row r="77" spans="1:55" x14ac:dyDescent="0.2">
      <c r="A77" s="576"/>
      <c r="B77" s="514" t="str">
        <f>IF(K$2="","",IF(K$2=France,BDD!O62,IF(K$2=CANADA,BDD!O34,IF(K$2=Belgique,"",IF(K$2=Suisse,"",IF(K$2=USA,""))))))</f>
        <v/>
      </c>
      <c r="C77" s="515" t="str">
        <f>IF(B77="","",IF($K$2="","",IF(B77="N.C.","N.C.",VLOOKUP(B77,BDD!$O$13:$AN$72,2,FALSE))))</f>
        <v/>
      </c>
      <c r="D77" s="515" t="str">
        <f>IF(B77="","",IF($K$2="","",IF(B77="N.C.","N.C.",VLOOKUP(B77,BDD!$O$13:$AN$72,3,FALSE))))</f>
        <v/>
      </c>
      <c r="E77" s="515" t="str">
        <f>IF(B77="","",IF($K$2="","",IF(B77="N.C.","N.C.",VLOOKUP(B77,BDD!$O$13:$AN$72,4,FALSE))))</f>
        <v/>
      </c>
      <c r="F77" s="515" t="str">
        <f>IF(B77="","",IF($K$2="","",IF(B77="N.C.","N.C.",VLOOKUP(B77,BDD!$O$13:$AN$72,5,FALSE))))</f>
        <v/>
      </c>
      <c r="G77" s="515" t="str">
        <f>IF(B77="","",IF($K$2="","",IF(B77="N.C.","N.C.",VLOOKUP(B77,BDD!$O$13:$AN$72,6,FALSE))))</f>
        <v/>
      </c>
      <c r="H77" s="515" t="str">
        <f>IF(B77="","",IF($K$2="","",IF(B77="N.C.","N.C.",VLOOKUP(B77,BDD!$O$13:$AN$72,7,FALSE))))</f>
        <v/>
      </c>
      <c r="I77" s="515" t="str">
        <f>IF(B77="","",IF($K$2="","",IF(B77="N.C.","N.C.",VLOOKUP(B77,BDD!$O$13:$AN$72,9,FALSE))))</f>
        <v/>
      </c>
      <c r="J77" s="515" t="str">
        <f>IF(B77="","",IF($K$2="","",IF(B77="N.C.","N.C.",VLOOKUP(B77,BDD!$O$13:$AN$72,10,FALSE))))</f>
        <v/>
      </c>
      <c r="K77" s="515" t="str">
        <f>IF(B77="","",IF($K$2="","",IF(B77="N.C.","N.C.",VLOOKUP(B77,BDD!$O$13:$AN$72,11,FALSE))))</f>
        <v/>
      </c>
      <c r="L77" s="515" t="str">
        <f>IF(B77="","",IF($K$2="","",IF(B77="N.C.","N.C.",VLOOKUP(B77,BDD!$O$13:$AN$72,12,FALSE))))</f>
        <v/>
      </c>
      <c r="M77" s="515" t="str">
        <f>IF(B77="","",IF($K$2="","",IF(B77="N.C.","N.C.",VLOOKUP(B77,BDD!$O$13:$AN$72,13,FALSE))))</f>
        <v/>
      </c>
      <c r="N77" s="515" t="str">
        <f>IF(B77="","",IF($K$2="","",IF(B77="N.C.","N.C.",VLOOKUP(B77,BDD!$O$13:$AN$72,14,FALSE))))</f>
        <v/>
      </c>
      <c r="O77" s="515" t="str">
        <f>IF(B77="","",IF($K$2="","",IF(B77="N.C.","N.C.",VLOOKUP(B77,BDD!$O$13:$AN$72,15,FALSE))))</f>
        <v/>
      </c>
      <c r="P77" s="515" t="str">
        <f>IF(B77="","",IF($K$2="","",IF(B77="N.C.","N.C.",VLOOKUP(B77,BDD!$O$13:$AN$72,16,FALSE))))</f>
        <v/>
      </c>
      <c r="Q77" s="515" t="str">
        <f>IF(B77="","",IF($K$2="","",IF(B77="N.C.","N.C.",VLOOKUP(B77,BDD!$O$13:$AN$72,19,FALSE))))</f>
        <v/>
      </c>
      <c r="R77" s="515" t="str">
        <f>IF(B77="","",IF($K$2="","",IF(B77="N.C.","N.C.",VLOOKUP(B77,BDD!$O$13:$AN$72,17,FALSE))))</f>
        <v/>
      </c>
      <c r="S77" s="515" t="str">
        <f>IF(B77="","",IF($K$2="","",IF(B77="N.C.","N.C.",VLOOKUP(B77,BDD!$O$13:$AN$72,18,FALSE))))</f>
        <v/>
      </c>
      <c r="T77" s="515" t="str">
        <f>IF(B77="","",IF($K$2="","",IF(B77="N.C.","N.C.",VLOOKUP(B77,BDD!$O$13:$AN$72,8,FALSE))))</f>
        <v/>
      </c>
      <c r="U77" s="515" t="str">
        <f>IF(B77="","",IF($K$2="","",IF(B77="N.C.","N.C.",VLOOKUP(B77,BDD!$O$13:$AN$72,25,FALSE))))</f>
        <v/>
      </c>
      <c r="V77" s="515" t="str">
        <f>IF(B77="","",IF($K$2="","",IF(B77="N.C.","N.C.",VLOOKUP(B77,BDD!$O$13:$AN$72,26,FALSE))))</f>
        <v/>
      </c>
      <c r="W77" s="515" t="str">
        <f>IF(B77="","",IF($K$2="","",IF(B77="N.C.","N.C.",VLOOKUP(B77,BDD!$O$13:$AN$72,21,FALSE))))</f>
        <v/>
      </c>
      <c r="X77" s="515" t="str">
        <f>IF(B77="","",IF($K$2="","",IF(B77="N.C.","N.C.",VLOOKUP(B77,BDD!$O$13:$AN$72,22,FALSE))))</f>
        <v/>
      </c>
      <c r="Y77" s="515" t="str">
        <f>IF(B77="","",IF($K$2="","",IF(B77="N.C.","N.C.",VLOOKUP(B77,BDD!$O$13:$AN$72,23,FALSE))))</f>
        <v/>
      </c>
      <c r="Z77" s="578"/>
      <c r="AA77" s="578"/>
      <c r="AB77" s="578"/>
      <c r="AC77" s="578"/>
      <c r="AD77" s="590"/>
      <c r="AE77" s="2"/>
      <c r="AF77" s="2"/>
      <c r="AG77" s="2"/>
      <c r="AH77" s="2"/>
      <c r="AZ77" s="462"/>
      <c r="BA77" s="462"/>
      <c r="BB77" s="462"/>
      <c r="BC77" s="462"/>
    </row>
    <row r="78" spans="1:55" x14ac:dyDescent="0.2">
      <c r="A78" s="576"/>
      <c r="B78" s="600"/>
      <c r="C78" s="599"/>
      <c r="D78" s="599"/>
      <c r="E78" s="599"/>
      <c r="F78" s="599"/>
      <c r="G78" s="599"/>
      <c r="H78" s="599"/>
      <c r="I78" s="599"/>
      <c r="J78" s="599"/>
      <c r="K78" s="599"/>
      <c r="L78" s="598"/>
      <c r="M78" s="598"/>
      <c r="N78" s="598"/>
      <c r="O78" s="598"/>
      <c r="P78" s="598"/>
      <c r="Q78" s="599"/>
      <c r="R78" s="578"/>
      <c r="S78" s="578"/>
      <c r="T78" s="578"/>
      <c r="U78" s="578"/>
      <c r="V78" s="578"/>
      <c r="W78" s="578"/>
      <c r="X78" s="578"/>
      <c r="Y78" s="578"/>
      <c r="Z78" s="578"/>
      <c r="AA78" s="578"/>
      <c r="AB78" s="578"/>
      <c r="AC78" s="578"/>
      <c r="AD78" s="590"/>
      <c r="AE78" s="2"/>
      <c r="AF78" s="2"/>
      <c r="AG78" s="2"/>
      <c r="AH78" s="2"/>
      <c r="AZ78" s="462"/>
      <c r="BA78" s="462"/>
      <c r="BB78" s="462"/>
      <c r="BC78" s="462"/>
    </row>
    <row r="79" spans="1:55" x14ac:dyDescent="0.2">
      <c r="A79" s="576"/>
      <c r="B79" s="578"/>
      <c r="C79" s="578"/>
      <c r="D79" s="578"/>
      <c r="E79" s="578"/>
      <c r="F79" s="578"/>
      <c r="G79" s="578"/>
      <c r="H79" s="578"/>
      <c r="I79" s="578"/>
      <c r="J79" s="578"/>
      <c r="K79" s="578"/>
      <c r="L79" s="578"/>
      <c r="M79" s="578"/>
      <c r="N79" s="578"/>
      <c r="O79" s="578"/>
      <c r="P79" s="578"/>
      <c r="Q79" s="578"/>
      <c r="R79" s="578"/>
      <c r="S79" s="578"/>
      <c r="T79" s="578"/>
      <c r="U79" s="578"/>
      <c r="V79" s="578"/>
      <c r="W79" s="578"/>
      <c r="X79" s="578"/>
      <c r="Y79" s="578"/>
      <c r="Z79" s="578"/>
      <c r="AA79" s="578"/>
      <c r="AB79" s="578"/>
      <c r="AC79" s="578"/>
      <c r="AD79" s="590"/>
      <c r="AE79" s="2"/>
      <c r="AF79" s="2"/>
      <c r="AG79" s="2"/>
      <c r="AH79" s="2"/>
      <c r="AZ79" s="462"/>
      <c r="BA79" s="462"/>
      <c r="BB79" s="462"/>
      <c r="BC79" s="462"/>
    </row>
    <row r="80" spans="1:55" s="462" customFormat="1" x14ac:dyDescent="0.2">
      <c r="A80" s="576"/>
      <c r="B80" s="578"/>
      <c r="C80" s="1597" t="s">
        <v>1550</v>
      </c>
      <c r="D80" s="1598"/>
      <c r="E80" s="1598"/>
      <c r="F80" s="1599" t="s">
        <v>162</v>
      </c>
      <c r="G80" s="1600"/>
      <c r="H80" s="578"/>
      <c r="I80" s="578"/>
      <c r="J80" s="578"/>
      <c r="K80" s="578"/>
      <c r="L80" s="578"/>
      <c r="M80" s="578"/>
      <c r="N80" s="578"/>
      <c r="O80" s="578"/>
      <c r="P80" s="578"/>
      <c r="Q80" s="578"/>
      <c r="R80" s="578"/>
      <c r="S80" s="578"/>
      <c r="T80" s="578"/>
      <c r="U80" s="578"/>
      <c r="V80" s="578"/>
      <c r="W80" s="578"/>
      <c r="X80" s="578"/>
      <c r="Y80" s="578"/>
      <c r="Z80" s="578"/>
      <c r="AA80" s="578"/>
      <c r="AB80" s="578"/>
      <c r="AC80" s="578"/>
      <c r="AD80" s="590"/>
      <c r="AE80" s="2"/>
      <c r="AF80" s="2"/>
      <c r="AG80" s="2"/>
      <c r="AH80" s="2"/>
    </row>
    <row r="81" spans="1:55" s="462" customFormat="1" x14ac:dyDescent="0.2">
      <c r="A81" s="576"/>
      <c r="B81" s="578"/>
      <c r="C81" s="578"/>
      <c r="D81" s="578"/>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90"/>
      <c r="AE81" s="2"/>
      <c r="AF81" s="2"/>
      <c r="AG81" s="2"/>
      <c r="AH81" s="2"/>
    </row>
    <row r="82" spans="1:55" s="462" customFormat="1" x14ac:dyDescent="0.2">
      <c r="A82" s="576"/>
      <c r="B82" s="578"/>
      <c r="C82" s="578"/>
      <c r="D82" s="578"/>
      <c r="E82" s="578"/>
      <c r="F82" s="578"/>
      <c r="G82" s="578"/>
      <c r="H82" s="578"/>
      <c r="I82" s="578"/>
      <c r="J82" s="578"/>
      <c r="K82" s="578"/>
      <c r="L82" s="578"/>
      <c r="M82" s="578"/>
      <c r="N82" s="578"/>
      <c r="O82" s="578"/>
      <c r="P82" s="578"/>
      <c r="Q82" s="578"/>
      <c r="R82" s="578"/>
      <c r="S82" s="578"/>
      <c r="T82" s="578"/>
      <c r="U82" s="578"/>
      <c r="V82" s="578"/>
      <c r="W82" s="578"/>
      <c r="X82" s="578"/>
      <c r="Y82" s="578"/>
      <c r="Z82" s="578"/>
      <c r="AA82" s="578"/>
      <c r="AB82" s="578"/>
      <c r="AC82" s="578"/>
      <c r="AD82" s="590"/>
      <c r="AE82" s="2"/>
      <c r="AF82" s="2"/>
      <c r="AG82" s="2"/>
      <c r="AH82" s="2"/>
    </row>
    <row r="83" spans="1:55" s="462" customFormat="1" x14ac:dyDescent="0.2">
      <c r="A83" s="576"/>
      <c r="B83" s="578"/>
      <c r="C83" s="578"/>
      <c r="D83" s="578"/>
      <c r="E83" s="578"/>
      <c r="F83" s="516"/>
      <c r="G83" s="578"/>
      <c r="H83" s="578"/>
      <c r="I83" s="578"/>
      <c r="J83" s="578"/>
      <c r="K83" s="578"/>
      <c r="L83" s="578"/>
      <c r="M83" s="578"/>
      <c r="N83" s="578"/>
      <c r="O83" s="578"/>
      <c r="P83" s="578"/>
      <c r="Q83" s="578"/>
      <c r="R83" s="578"/>
      <c r="S83" s="578"/>
      <c r="T83" s="578"/>
      <c r="U83" s="578"/>
      <c r="V83" s="578"/>
      <c r="W83" s="578"/>
      <c r="X83" s="578"/>
      <c r="Y83" s="578"/>
      <c r="Z83" s="578"/>
      <c r="AA83" s="578"/>
      <c r="AB83" s="578"/>
      <c r="AC83" s="578"/>
      <c r="AD83" s="590"/>
      <c r="AE83" s="2"/>
      <c r="AF83" s="2"/>
      <c r="AG83" s="2"/>
      <c r="AH83" s="2"/>
    </row>
    <row r="84" spans="1:55" s="462" customFormat="1" x14ac:dyDescent="0.2">
      <c r="A84" s="576"/>
      <c r="B84" s="578"/>
      <c r="C84" s="578"/>
      <c r="D84" s="578"/>
      <c r="E84" s="578"/>
      <c r="F84" s="578"/>
      <c r="G84" s="578"/>
      <c r="H84" s="578"/>
      <c r="I84" s="578"/>
      <c r="J84" s="578"/>
      <c r="K84" s="578"/>
      <c r="L84" s="578"/>
      <c r="M84" s="578"/>
      <c r="N84" s="578"/>
      <c r="O84" s="578"/>
      <c r="P84" s="578"/>
      <c r="Q84" s="578"/>
      <c r="R84" s="578"/>
      <c r="S84" s="578"/>
      <c r="T84" s="578"/>
      <c r="U84" s="578"/>
      <c r="V84" s="578"/>
      <c r="W84" s="578"/>
      <c r="X84" s="578"/>
      <c r="Y84" s="578"/>
      <c r="Z84" s="578"/>
      <c r="AA84" s="578"/>
      <c r="AB84" s="578"/>
      <c r="AC84" s="578"/>
      <c r="AD84" s="590"/>
      <c r="AE84" s="2"/>
      <c r="AF84" s="2"/>
      <c r="AG84" s="2"/>
      <c r="AH84" s="2"/>
    </row>
    <row r="85" spans="1:55" x14ac:dyDescent="0.2">
      <c r="A85" s="576"/>
      <c r="B85" s="578"/>
      <c r="C85" s="578"/>
      <c r="D85" s="578"/>
      <c r="E85" s="578"/>
      <c r="F85" s="578"/>
      <c r="G85" s="578"/>
      <c r="H85" s="578"/>
      <c r="I85" s="578"/>
      <c r="J85" s="578"/>
      <c r="K85" s="578"/>
      <c r="L85" s="578"/>
      <c r="M85" s="578"/>
      <c r="N85" s="578"/>
      <c r="O85" s="578"/>
      <c r="P85" s="578"/>
      <c r="Q85" s="578"/>
      <c r="R85" s="578"/>
      <c r="S85" s="578"/>
      <c r="T85" s="578"/>
      <c r="U85" s="578"/>
      <c r="V85" s="578"/>
      <c r="W85" s="578"/>
      <c r="X85" s="578"/>
      <c r="Y85" s="578"/>
      <c r="Z85" s="578"/>
      <c r="AA85" s="578"/>
      <c r="AB85" s="578"/>
      <c r="AC85" s="578"/>
      <c r="AD85" s="590"/>
      <c r="AE85" s="2"/>
      <c r="AF85" s="2"/>
      <c r="AG85" s="2"/>
      <c r="AH85" s="2"/>
      <c r="AZ85" s="462"/>
      <c r="BA85" s="462"/>
      <c r="BB85" s="462"/>
      <c r="BC85" s="462"/>
    </row>
    <row r="86" spans="1:55" x14ac:dyDescent="0.2">
      <c r="A86" s="576"/>
      <c r="B86" s="578"/>
      <c r="C86" s="578"/>
      <c r="D86" s="578"/>
      <c r="E86" s="578"/>
      <c r="F86" s="578"/>
      <c r="G86" s="578"/>
      <c r="H86" s="578"/>
      <c r="I86" s="578"/>
      <c r="J86" s="578"/>
      <c r="K86" s="578"/>
      <c r="L86" s="578"/>
      <c r="M86" s="578"/>
      <c r="N86" s="578"/>
      <c r="O86" s="578"/>
      <c r="P86" s="578"/>
      <c r="Q86" s="578"/>
      <c r="R86" s="578"/>
      <c r="S86" s="578"/>
      <c r="T86" s="578"/>
      <c r="U86" s="578"/>
      <c r="V86" s="578"/>
      <c r="W86" s="578"/>
      <c r="X86" s="578"/>
      <c r="Y86" s="578"/>
      <c r="Z86" s="578"/>
      <c r="AA86" s="578"/>
      <c r="AB86" s="578"/>
      <c r="AC86" s="578"/>
      <c r="AD86" s="590"/>
      <c r="AE86" s="2"/>
      <c r="AF86" s="2"/>
      <c r="AG86" s="2"/>
      <c r="AH86" s="2"/>
      <c r="AZ86" s="462"/>
      <c r="BA86" s="462"/>
      <c r="BB86" s="462"/>
      <c r="BC86" s="462"/>
    </row>
    <row r="87" spans="1:55" x14ac:dyDescent="0.2">
      <c r="A87" s="576"/>
      <c r="B87" s="517" t="s">
        <v>1551</v>
      </c>
      <c r="C87" s="1601">
        <f>SUM(F94:F141)+SUM(P94:P141)</f>
        <v>0</v>
      </c>
      <c r="D87" s="1602"/>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90"/>
      <c r="AE87" s="2"/>
      <c r="AF87" s="2"/>
      <c r="AG87" s="2"/>
      <c r="AH87" s="2"/>
      <c r="AZ87" s="462"/>
      <c r="BA87" s="462"/>
      <c r="BB87" s="462"/>
      <c r="BC87" s="462"/>
    </row>
    <row r="88" spans="1:55" x14ac:dyDescent="0.2">
      <c r="A88" s="576"/>
      <c r="B88" s="578"/>
      <c r="C88" s="578"/>
      <c r="D88" s="578"/>
      <c r="E88" s="578"/>
      <c r="F88" s="578"/>
      <c r="G88" s="578"/>
      <c r="H88" s="578"/>
      <c r="I88" s="578"/>
      <c r="J88" s="578"/>
      <c r="K88" s="578"/>
      <c r="L88" s="578"/>
      <c r="M88" s="578"/>
      <c r="N88" s="578"/>
      <c r="O88" s="578"/>
      <c r="P88" s="583"/>
      <c r="Q88" s="591"/>
      <c r="R88" s="591"/>
      <c r="S88" s="591"/>
      <c r="T88" s="591"/>
      <c r="U88" s="591"/>
      <c r="V88" s="591"/>
      <c r="W88" s="591"/>
      <c r="X88" s="591"/>
      <c r="Y88" s="591"/>
      <c r="Z88" s="591"/>
      <c r="AA88" s="591"/>
      <c r="AB88" s="591"/>
      <c r="AC88" s="591"/>
      <c r="AD88" s="584"/>
      <c r="AE88" s="2"/>
      <c r="AF88" s="2"/>
      <c r="AG88" s="2"/>
      <c r="AH88" s="2"/>
      <c r="AZ88" s="462"/>
      <c r="BA88" s="462"/>
      <c r="BB88" s="462"/>
      <c r="BC88" s="462"/>
    </row>
    <row r="89" spans="1:55" ht="12.75" customHeight="1" x14ac:dyDescent="0.2">
      <c r="A89" s="576"/>
      <c r="B89" s="1603" t="s">
        <v>1552</v>
      </c>
      <c r="C89" s="1604"/>
      <c r="D89" s="1605"/>
      <c r="E89" s="583"/>
      <c r="F89" s="578"/>
      <c r="G89" s="578"/>
      <c r="H89" s="578"/>
      <c r="I89" s="578"/>
      <c r="J89" s="578"/>
      <c r="K89" s="578"/>
      <c r="L89" s="578"/>
      <c r="M89" s="578"/>
      <c r="N89" s="578"/>
      <c r="O89" s="578"/>
      <c r="P89" s="583"/>
      <c r="Q89" s="591"/>
      <c r="R89" s="591"/>
      <c r="S89" s="591"/>
      <c r="T89" s="591"/>
      <c r="U89" s="591"/>
      <c r="V89" s="591"/>
      <c r="W89" s="591"/>
      <c r="X89" s="591"/>
      <c r="Y89" s="591"/>
      <c r="Z89" s="591"/>
      <c r="AA89" s="591"/>
      <c r="AB89" s="591"/>
      <c r="AC89" s="591"/>
      <c r="AD89" s="584"/>
      <c r="AE89" s="2"/>
      <c r="AF89" s="2"/>
      <c r="AG89" s="2"/>
      <c r="AH89" s="2"/>
      <c r="AZ89" s="462"/>
      <c r="BA89" s="462"/>
      <c r="BB89" s="462"/>
      <c r="BC89" s="462"/>
    </row>
    <row r="90" spans="1:55" x14ac:dyDescent="0.2">
      <c r="A90" s="576"/>
      <c r="B90" s="578"/>
      <c r="C90" s="578"/>
      <c r="D90" s="578"/>
      <c r="E90" s="578"/>
      <c r="F90" s="578"/>
      <c r="G90" s="578"/>
      <c r="H90" s="578"/>
      <c r="I90" s="578"/>
      <c r="J90" s="578"/>
      <c r="K90" s="578"/>
      <c r="L90" s="578"/>
      <c r="M90" s="578"/>
      <c r="N90" s="578"/>
      <c r="O90" s="578"/>
      <c r="P90" s="583"/>
      <c r="Q90" s="592"/>
      <c r="R90" s="592"/>
      <c r="S90" s="592"/>
      <c r="T90" s="592"/>
      <c r="U90" s="592"/>
      <c r="V90" s="592"/>
      <c r="W90" s="592"/>
      <c r="X90" s="592"/>
      <c r="Y90" s="592"/>
      <c r="Z90" s="592"/>
      <c r="AA90" s="592"/>
      <c r="AB90" s="592"/>
      <c r="AC90" s="592"/>
      <c r="AD90" s="584"/>
      <c r="AE90" s="2"/>
      <c r="AF90" s="2"/>
      <c r="AG90" s="2"/>
      <c r="AH90" s="2"/>
      <c r="AZ90" s="462"/>
      <c r="BA90" s="462"/>
      <c r="BB90" s="462"/>
      <c r="BC90" s="462"/>
    </row>
    <row r="91" spans="1:55" ht="31.5" customHeight="1" x14ac:dyDescent="0.2">
      <c r="A91" s="576"/>
      <c r="B91" s="518" t="str">
        <f>B53</f>
        <v>Régions</v>
      </c>
      <c r="C91" s="518" t="s">
        <v>1547</v>
      </c>
      <c r="D91" s="518" t="s">
        <v>1888</v>
      </c>
      <c r="E91" s="519" t="s">
        <v>1555</v>
      </c>
      <c r="F91" s="520" t="s">
        <v>1556</v>
      </c>
      <c r="G91" s="578"/>
      <c r="H91" s="578"/>
      <c r="I91" s="578"/>
      <c r="J91" s="578"/>
      <c r="K91" s="578"/>
      <c r="L91" s="518" t="str">
        <f>B91</f>
        <v>Régions</v>
      </c>
      <c r="M91" s="518" t="str">
        <f>C91</f>
        <v>Culture</v>
      </c>
      <c r="N91" s="518" t="str">
        <f>D91</f>
        <v>Type de parcelle</v>
      </c>
      <c r="O91" s="519" t="str">
        <f>E91</f>
        <v>Hectares cultivés</v>
      </c>
      <c r="P91" s="520" t="str">
        <f>F91</f>
        <v>Gains</v>
      </c>
      <c r="Q91" s="593"/>
      <c r="R91" s="583"/>
      <c r="S91" s="592"/>
      <c r="T91" s="592"/>
      <c r="U91" s="592"/>
      <c r="V91" s="592"/>
      <c r="W91" s="592"/>
      <c r="X91" s="592"/>
      <c r="Y91" s="592"/>
      <c r="Z91" s="592"/>
      <c r="AA91" s="592"/>
      <c r="AB91" s="592"/>
      <c r="AC91" s="592"/>
      <c r="AD91" s="584"/>
      <c r="AE91" s="2"/>
      <c r="AF91" s="2"/>
      <c r="AG91" s="2"/>
      <c r="AH91" s="2"/>
      <c r="AU91" s="625"/>
      <c r="AV91" s="626"/>
      <c r="AW91" s="626"/>
      <c r="AX91" s="626"/>
      <c r="AY91" s="626"/>
      <c r="AZ91" s="626"/>
      <c r="BA91" s="626"/>
      <c r="BB91" s="626"/>
      <c r="BC91" s="522"/>
    </row>
    <row r="92" spans="1:55" x14ac:dyDescent="0.2">
      <c r="A92" s="576"/>
      <c r="B92" s="523"/>
      <c r="C92" s="523"/>
      <c r="D92" s="524"/>
      <c r="E92" s="524"/>
      <c r="F92" s="525"/>
      <c r="G92" s="579"/>
      <c r="H92" s="579"/>
      <c r="I92" s="579"/>
      <c r="J92" s="578"/>
      <c r="K92" s="578"/>
      <c r="L92" s="523"/>
      <c r="M92" s="523"/>
      <c r="N92" s="524"/>
      <c r="O92" s="524"/>
      <c r="P92" s="525"/>
      <c r="Q92" s="600"/>
      <c r="R92" s="583"/>
      <c r="S92" s="592"/>
      <c r="T92" s="592"/>
      <c r="U92" s="592"/>
      <c r="V92" s="592"/>
      <c r="W92" s="592"/>
      <c r="X92" s="592"/>
      <c r="Y92" s="592"/>
      <c r="Z92" s="592"/>
      <c r="AA92" s="592"/>
      <c r="AB92" s="592"/>
      <c r="AC92" s="592"/>
      <c r="AD92" s="584"/>
      <c r="AE92" s="2"/>
      <c r="AF92" s="2"/>
      <c r="AG92" s="2"/>
      <c r="AH92" s="2"/>
      <c r="AU92" s="625"/>
      <c r="AV92" s="626"/>
      <c r="AW92" s="626"/>
      <c r="AX92" s="626"/>
      <c r="AY92" s="626"/>
      <c r="AZ92" s="626"/>
      <c r="BA92" s="626"/>
      <c r="BB92" s="626"/>
      <c r="BC92" s="522"/>
    </row>
    <row r="93" spans="1:55" ht="12" customHeight="1" x14ac:dyDescent="0.2">
      <c r="A93" s="574" t="s">
        <v>1565</v>
      </c>
      <c r="B93" s="526" t="str">
        <f>B55</f>
        <v/>
      </c>
      <c r="C93" s="527"/>
      <c r="D93" s="528"/>
      <c r="E93" s="528"/>
      <c r="F93" s="529"/>
      <c r="G93" s="579"/>
      <c r="H93" s="579"/>
      <c r="I93" s="579"/>
      <c r="J93" s="1607" t="str">
        <f>A93</f>
        <v>nom de la parcelle</v>
      </c>
      <c r="K93" s="1607"/>
      <c r="L93" s="526" t="str">
        <f>B93</f>
        <v/>
      </c>
      <c r="M93" s="527"/>
      <c r="N93" s="528"/>
      <c r="O93" s="528"/>
      <c r="P93" s="529"/>
      <c r="Q93" s="600"/>
      <c r="R93" s="583"/>
      <c r="S93" s="592"/>
      <c r="T93" s="592"/>
      <c r="U93" s="592"/>
      <c r="V93" s="592"/>
      <c r="W93" s="592"/>
      <c r="X93" s="592"/>
      <c r="Y93" s="592"/>
      <c r="Z93" s="592"/>
      <c r="AA93" s="592"/>
      <c r="AB93" s="592"/>
      <c r="AC93" s="592"/>
      <c r="AD93" s="584"/>
      <c r="AE93" s="5"/>
      <c r="AF93" s="2"/>
      <c r="AG93" s="2"/>
      <c r="AH93" s="2"/>
      <c r="AU93" s="969"/>
      <c r="AV93" s="627"/>
      <c r="AW93" s="628"/>
      <c r="AX93" s="629"/>
      <c r="AY93" s="629"/>
      <c r="AZ93" s="629"/>
      <c r="BA93" s="629"/>
      <c r="BB93" s="629"/>
      <c r="BC93" s="522"/>
    </row>
    <row r="94" spans="1:55" ht="24" customHeight="1" x14ac:dyDescent="0.2">
      <c r="A94" s="575"/>
      <c r="B94" s="530"/>
      <c r="C94" s="531"/>
      <c r="D94" s="531"/>
      <c r="E94" s="532"/>
      <c r="F94" s="533" t="str">
        <f>IF(D94="","",IF(D94=conventionnel,BDD!HX46,BDD!HX46*1.2))</f>
        <v/>
      </c>
      <c r="G94" s="601" t="str">
        <f>IF(D94="","",IF(D94=conventionnel,BDD!HY46,BDD!HZ46))</f>
        <v/>
      </c>
      <c r="H94" s="601"/>
      <c r="I94" s="601"/>
      <c r="J94" s="1608"/>
      <c r="K94" s="1609"/>
      <c r="L94" s="530"/>
      <c r="M94" s="531"/>
      <c r="N94" s="531"/>
      <c r="O94" s="532"/>
      <c r="P94" s="533" t="str">
        <f>IF(N94="","",IF(N94=conventionnel,BDD!IH46,BDD!IH46*1.2))</f>
        <v/>
      </c>
      <c r="Q94" s="601" t="str">
        <f>IF(N94="","",IF(N94=conventionnel,BDD!II46,BDD!IJ46))</f>
        <v/>
      </c>
      <c r="R94" s="583"/>
      <c r="S94" s="592"/>
      <c r="T94" s="592"/>
      <c r="U94" s="592"/>
      <c r="V94" s="592"/>
      <c r="W94" s="592"/>
      <c r="X94" s="592"/>
      <c r="Y94" s="592"/>
      <c r="Z94" s="592"/>
      <c r="AA94" s="592"/>
      <c r="AB94" s="592"/>
      <c r="AC94" s="592"/>
      <c r="AD94" s="594"/>
      <c r="AE94" s="534"/>
      <c r="AF94" s="2"/>
      <c r="AG94" s="2"/>
      <c r="AH94" s="2"/>
      <c r="AU94" s="630"/>
      <c r="AV94" s="627"/>
      <c r="AW94" s="631"/>
      <c r="AX94" s="631"/>
      <c r="AY94" s="631"/>
      <c r="AZ94" s="631"/>
      <c r="BA94" s="631"/>
      <c r="BB94" s="632"/>
      <c r="BC94" s="522"/>
    </row>
    <row r="95" spans="1:55" ht="24" customHeight="1" x14ac:dyDescent="0.2">
      <c r="A95" s="575"/>
      <c r="B95" s="530"/>
      <c r="C95" s="531"/>
      <c r="D95" s="531"/>
      <c r="E95" s="532"/>
      <c r="F95" s="533" t="str">
        <f>IF(D95="","",IF(D95=conventionnel,BDD!HX47,BDD!HX47*1.2))</f>
        <v/>
      </c>
      <c r="G95" s="601" t="str">
        <f>IF(D95="","",IF(D95=conventionnel,BDD!HY47,BDD!HZ47))</f>
        <v/>
      </c>
      <c r="H95" s="601"/>
      <c r="I95" s="601"/>
      <c r="J95" s="1608"/>
      <c r="K95" s="1609"/>
      <c r="L95" s="530"/>
      <c r="M95" s="531"/>
      <c r="N95" s="531"/>
      <c r="O95" s="532"/>
      <c r="P95" s="533" t="str">
        <f>IF(N95="","",IF(N95=conventionnel,BDD!IH47,BDD!IH47*1.2))</f>
        <v/>
      </c>
      <c r="Q95" s="601" t="str">
        <f>IF(N95="","",IF(N95=conventionnel,BDD!II47,BDD!IJ47))</f>
        <v/>
      </c>
      <c r="R95" s="583"/>
      <c r="S95" s="592"/>
      <c r="T95" s="592"/>
      <c r="U95" s="592"/>
      <c r="V95" s="592"/>
      <c r="W95" s="592"/>
      <c r="X95" s="592"/>
      <c r="Y95" s="592"/>
      <c r="Z95" s="592"/>
      <c r="AA95" s="592"/>
      <c r="AB95" s="592"/>
      <c r="AC95" s="592"/>
      <c r="AD95" s="594"/>
      <c r="AE95" s="534"/>
      <c r="AF95" s="2"/>
      <c r="AG95" s="2"/>
      <c r="AH95" s="2"/>
      <c r="AU95" s="630"/>
      <c r="AV95" s="633"/>
      <c r="AW95" s="631"/>
      <c r="AX95" s="631"/>
      <c r="AY95" s="631"/>
      <c r="AZ95" s="631"/>
      <c r="BA95" s="631"/>
      <c r="BB95" s="632"/>
      <c r="BC95" s="522"/>
    </row>
    <row r="96" spans="1:55" ht="24" customHeight="1" x14ac:dyDescent="0.2">
      <c r="A96" s="575"/>
      <c r="B96" s="530"/>
      <c r="C96" s="531"/>
      <c r="D96" s="531"/>
      <c r="E96" s="532"/>
      <c r="F96" s="533" t="str">
        <f>IF(D96="","",IF(D96=conventionnel,BDD!HX48,BDD!HX48*1.2))</f>
        <v/>
      </c>
      <c r="G96" s="601" t="str">
        <f>IF(D96="","",IF(D96=conventionnel,BDD!HY48,BDD!HZ48))</f>
        <v/>
      </c>
      <c r="H96" s="601"/>
      <c r="I96" s="601"/>
      <c r="J96" s="1608"/>
      <c r="K96" s="1609"/>
      <c r="L96" s="530"/>
      <c r="M96" s="531"/>
      <c r="N96" s="531"/>
      <c r="O96" s="532"/>
      <c r="P96" s="533" t="str">
        <f>IF(N96="","",IF(N96=conventionnel,BDD!IH48,BDD!IH48*1.2))</f>
        <v/>
      </c>
      <c r="Q96" s="601" t="str">
        <f>IF(N96="","",IF(N96=conventionnel,BDD!II48,BDD!IJ48))</f>
        <v/>
      </c>
      <c r="R96" s="583"/>
      <c r="S96" s="592"/>
      <c r="T96" s="592"/>
      <c r="U96" s="592"/>
      <c r="V96" s="592"/>
      <c r="W96" s="592"/>
      <c r="X96" s="592"/>
      <c r="Y96" s="592"/>
      <c r="Z96" s="592"/>
      <c r="AA96" s="592"/>
      <c r="AB96" s="592"/>
      <c r="AC96" s="592"/>
      <c r="AD96" s="594"/>
      <c r="AE96" s="534"/>
      <c r="AF96" s="2"/>
      <c r="AG96" s="2"/>
      <c r="AH96" s="2"/>
      <c r="AU96" s="630"/>
      <c r="AV96" s="633"/>
      <c r="AW96" s="631"/>
      <c r="AX96" s="631"/>
      <c r="AY96" s="631"/>
      <c r="AZ96" s="631"/>
      <c r="BA96" s="631"/>
      <c r="BB96" s="632"/>
      <c r="BC96" s="522"/>
    </row>
    <row r="97" spans="1:55" ht="24" customHeight="1" x14ac:dyDescent="0.2">
      <c r="A97" s="575"/>
      <c r="B97" s="530"/>
      <c r="C97" s="531"/>
      <c r="D97" s="531"/>
      <c r="E97" s="532"/>
      <c r="F97" s="533" t="str">
        <f>IF(D97="","",IF(D97=conventionnel,BDD!HX49,BDD!HX49*1.2))</f>
        <v/>
      </c>
      <c r="G97" s="601" t="str">
        <f>IF(D97="","",IF(D97=conventionnel,BDD!HY49,BDD!HZ49))</f>
        <v/>
      </c>
      <c r="H97" s="601"/>
      <c r="I97" s="601"/>
      <c r="J97" s="1608"/>
      <c r="K97" s="1609"/>
      <c r="L97" s="530"/>
      <c r="M97" s="531"/>
      <c r="N97" s="531"/>
      <c r="O97" s="532"/>
      <c r="P97" s="533" t="str">
        <f>IF(N97="","",IF(N97=conventionnel,BDD!IH49,BDD!IH49*1.2))</f>
        <v/>
      </c>
      <c r="Q97" s="601" t="str">
        <f>IF(N97="","",IF(N97=conventionnel,BDD!II49,BDD!IJ49))</f>
        <v/>
      </c>
      <c r="R97" s="583"/>
      <c r="S97" s="592"/>
      <c r="T97" s="592"/>
      <c r="U97" s="592"/>
      <c r="V97" s="592"/>
      <c r="W97" s="592"/>
      <c r="X97" s="592"/>
      <c r="Y97" s="592"/>
      <c r="Z97" s="592"/>
      <c r="AA97" s="592"/>
      <c r="AB97" s="592"/>
      <c r="AC97" s="592"/>
      <c r="AD97" s="594"/>
      <c r="AE97" s="534"/>
      <c r="AF97" s="2"/>
      <c r="AG97" s="2"/>
      <c r="AH97" s="2"/>
      <c r="AU97" s="630"/>
      <c r="AV97" s="627"/>
      <c r="AW97" s="631"/>
      <c r="AX97" s="631"/>
      <c r="AY97" s="631"/>
      <c r="AZ97" s="631"/>
      <c r="BA97" s="631"/>
      <c r="BB97" s="631"/>
      <c r="BC97" s="522"/>
    </row>
    <row r="98" spans="1:55" ht="24" customHeight="1" x14ac:dyDescent="0.2">
      <c r="A98" s="575"/>
      <c r="B98" s="530"/>
      <c r="C98" s="531"/>
      <c r="D98" s="531"/>
      <c r="E98" s="532"/>
      <c r="F98" s="533" t="str">
        <f>IF(D98="","",IF(D98=conventionnel,BDD!HX50,BDD!HX50*1.2))</f>
        <v/>
      </c>
      <c r="G98" s="601" t="str">
        <f>IF(D98="","",IF(D98=conventionnel,BDD!HY50,BDD!HZ50))</f>
        <v/>
      </c>
      <c r="H98" s="601"/>
      <c r="I98" s="601"/>
      <c r="J98" s="1596"/>
      <c r="K98" s="1596"/>
      <c r="L98" s="530"/>
      <c r="M98" s="531"/>
      <c r="N98" s="531"/>
      <c r="O98" s="532"/>
      <c r="P98" s="533" t="str">
        <f>IF(N98="","",IF(N98=conventionnel,BDD!IH50,BDD!IH50*1.2))</f>
        <v/>
      </c>
      <c r="Q98" s="601" t="str">
        <f>IF(N98="","",IF(N98=conventionnel,BDD!II50,BDD!IJ50))</f>
        <v/>
      </c>
      <c r="R98" s="583"/>
      <c r="S98" s="592"/>
      <c r="T98" s="592"/>
      <c r="U98" s="592"/>
      <c r="V98" s="592"/>
      <c r="W98" s="592"/>
      <c r="X98" s="592"/>
      <c r="Y98" s="592"/>
      <c r="Z98" s="592"/>
      <c r="AA98" s="592"/>
      <c r="AB98" s="592"/>
      <c r="AC98" s="592"/>
      <c r="AD98" s="594"/>
      <c r="AE98" s="534"/>
      <c r="AF98" s="2"/>
      <c r="AG98" s="2"/>
      <c r="AH98" s="2"/>
      <c r="AU98" s="630"/>
      <c r="AV98" s="627"/>
      <c r="AW98" s="631"/>
      <c r="AX98" s="631"/>
      <c r="AY98" s="631"/>
      <c r="AZ98" s="631"/>
      <c r="BA98" s="631"/>
      <c r="BB98" s="631"/>
      <c r="BC98" s="522"/>
    </row>
    <row r="99" spans="1:55" ht="24" customHeight="1" x14ac:dyDescent="0.2">
      <c r="A99" s="575"/>
      <c r="B99" s="530"/>
      <c r="C99" s="531"/>
      <c r="D99" s="531"/>
      <c r="E99" s="532"/>
      <c r="F99" s="533" t="str">
        <f>IF(D99="","",IF(D99=conventionnel,BDD!HX51,BDD!HX51*1.2))</f>
        <v/>
      </c>
      <c r="G99" s="601" t="str">
        <f>IF(D99="","",IF(D99=conventionnel,BDD!HY51,BDD!HZ51))</f>
        <v/>
      </c>
      <c r="H99" s="601"/>
      <c r="I99" s="601"/>
      <c r="J99" s="1596"/>
      <c r="K99" s="1596"/>
      <c r="L99" s="530"/>
      <c r="M99" s="531"/>
      <c r="N99" s="531"/>
      <c r="O99" s="532"/>
      <c r="P99" s="533" t="str">
        <f>IF(N99="","",IF(N99=conventionnel,BDD!IH51,BDD!IH51*1.2))</f>
        <v/>
      </c>
      <c r="Q99" s="601" t="str">
        <f>IF(N99="","",IF(N99=conventionnel,BDD!II51,BDD!IJ51))</f>
        <v/>
      </c>
      <c r="R99" s="583"/>
      <c r="S99" s="592"/>
      <c r="T99" s="592"/>
      <c r="U99" s="592"/>
      <c r="V99" s="592"/>
      <c r="W99" s="592"/>
      <c r="X99" s="592"/>
      <c r="Y99" s="592"/>
      <c r="Z99" s="592"/>
      <c r="AA99" s="592"/>
      <c r="AB99" s="592"/>
      <c r="AC99" s="592"/>
      <c r="AD99" s="594"/>
      <c r="AE99" s="534"/>
      <c r="AF99" s="2"/>
      <c r="AG99" s="2"/>
      <c r="AH99" s="2"/>
      <c r="AU99" s="625"/>
      <c r="AV99" s="627"/>
      <c r="AW99" s="631"/>
      <c r="AX99" s="631"/>
      <c r="AY99" s="631"/>
      <c r="AZ99" s="631"/>
      <c r="BA99" s="631"/>
      <c r="BB99" s="631"/>
      <c r="BC99" s="522"/>
    </row>
    <row r="100" spans="1:55" ht="24" customHeight="1" x14ac:dyDescent="0.2">
      <c r="A100" s="575"/>
      <c r="B100" s="530"/>
      <c r="C100" s="531"/>
      <c r="D100" s="531"/>
      <c r="E100" s="532"/>
      <c r="F100" s="533" t="str">
        <f>IF(D100="","",IF(D100=conventionnel,BDD!HX52,BDD!HX52*1.2))</f>
        <v/>
      </c>
      <c r="G100" s="601" t="str">
        <f>IF(D100="","",IF(D100=conventionnel,BDD!HY52,BDD!HZ52))</f>
        <v/>
      </c>
      <c r="H100" s="601"/>
      <c r="I100" s="601"/>
      <c r="J100" s="1596"/>
      <c r="K100" s="1596"/>
      <c r="L100" s="530"/>
      <c r="M100" s="531"/>
      <c r="N100" s="531"/>
      <c r="O100" s="532"/>
      <c r="P100" s="533" t="str">
        <f>IF(N100="","",IF(N100=conventionnel,BDD!IH52,BDD!IH52*1.2))</f>
        <v/>
      </c>
      <c r="Q100" s="601" t="str">
        <f>IF(N100="","",IF(N100=conventionnel,BDD!II52,BDD!IJ52))</f>
        <v/>
      </c>
      <c r="R100" s="583"/>
      <c r="S100" s="592"/>
      <c r="T100" s="592"/>
      <c r="U100" s="592"/>
      <c r="V100" s="592"/>
      <c r="W100" s="592"/>
      <c r="X100" s="592"/>
      <c r="Y100" s="592"/>
      <c r="Z100" s="592"/>
      <c r="AA100" s="592"/>
      <c r="AB100" s="592"/>
      <c r="AC100" s="592"/>
      <c r="AD100" s="594"/>
      <c r="AE100" s="534"/>
      <c r="AF100" s="2"/>
      <c r="AG100" s="2"/>
      <c r="AH100" s="2"/>
      <c r="AU100" s="625"/>
      <c r="AV100" s="633"/>
      <c r="AW100" s="631"/>
      <c r="AX100" s="631"/>
      <c r="AY100" s="631"/>
      <c r="AZ100" s="631"/>
      <c r="BA100" s="631"/>
      <c r="BB100" s="631"/>
      <c r="BC100" s="522"/>
    </row>
    <row r="101" spans="1:55" ht="24" customHeight="1" x14ac:dyDescent="0.2">
      <c r="A101" s="575"/>
      <c r="B101" s="530"/>
      <c r="C101" s="531"/>
      <c r="D101" s="531"/>
      <c r="E101" s="532"/>
      <c r="F101" s="533" t="str">
        <f>IF(D101="","",IF(D101=conventionnel,BDD!HX53,BDD!HX53*1.2))</f>
        <v/>
      </c>
      <c r="G101" s="601" t="str">
        <f>IF(D101="","",IF(D101=conventionnel,BDD!HY53,BDD!HZ53))</f>
        <v/>
      </c>
      <c r="H101" s="601"/>
      <c r="I101" s="601"/>
      <c r="J101" s="1596"/>
      <c r="K101" s="1596"/>
      <c r="L101" s="530"/>
      <c r="M101" s="531"/>
      <c r="N101" s="531"/>
      <c r="O101" s="532"/>
      <c r="P101" s="533" t="str">
        <f>IF(N101="","",IF(N101=conventionnel,BDD!IH53,BDD!IH53*1.2))</f>
        <v/>
      </c>
      <c r="Q101" s="601" t="str">
        <f>IF(N101="","",IF(N101=conventionnel,BDD!II53,BDD!IJ53))</f>
        <v/>
      </c>
      <c r="R101" s="583"/>
      <c r="S101" s="592"/>
      <c r="T101" s="592"/>
      <c r="U101" s="592"/>
      <c r="V101" s="592"/>
      <c r="W101" s="592"/>
      <c r="X101" s="592"/>
      <c r="Y101" s="592"/>
      <c r="Z101" s="592"/>
      <c r="AA101" s="592"/>
      <c r="AB101" s="592"/>
      <c r="AC101" s="592"/>
      <c r="AD101" s="594"/>
      <c r="AE101" s="534"/>
      <c r="AF101" s="2"/>
      <c r="AG101" s="2"/>
      <c r="AH101" s="2"/>
      <c r="AU101" s="625"/>
      <c r="AV101" s="633"/>
      <c r="AW101" s="631"/>
      <c r="AX101" s="631"/>
      <c r="AY101" s="631"/>
      <c r="AZ101" s="631"/>
      <c r="BA101" s="631"/>
      <c r="BB101" s="631"/>
      <c r="BC101" s="522"/>
    </row>
    <row r="102" spans="1:55" ht="24" customHeight="1" x14ac:dyDescent="0.2">
      <c r="A102" s="575"/>
      <c r="B102" s="530"/>
      <c r="C102" s="531"/>
      <c r="D102" s="531"/>
      <c r="E102" s="532"/>
      <c r="F102" s="533" t="str">
        <f>IF(D102="","",IF(D102=conventionnel,BDD!HX54,BDD!HX54*1.2))</f>
        <v/>
      </c>
      <c r="G102" s="601" t="str">
        <f>IF(D102="","",IF(D102=conventionnel,BDD!HY54,BDD!HZ54))</f>
        <v/>
      </c>
      <c r="H102" s="601"/>
      <c r="I102" s="601"/>
      <c r="J102" s="1596"/>
      <c r="K102" s="1596"/>
      <c r="L102" s="530"/>
      <c r="M102" s="531"/>
      <c r="N102" s="531"/>
      <c r="O102" s="532"/>
      <c r="P102" s="533" t="str">
        <f>IF(N102="","",IF(N102=conventionnel,BDD!IH54,BDD!IH54*1.2))</f>
        <v/>
      </c>
      <c r="Q102" s="601" t="str">
        <f>IF(N102="","",IF(N102=conventionnel,BDD!II54,BDD!IJ54))</f>
        <v/>
      </c>
      <c r="R102" s="583"/>
      <c r="S102" s="592"/>
      <c r="T102" s="592"/>
      <c r="U102" s="592"/>
      <c r="V102" s="592"/>
      <c r="W102" s="592"/>
      <c r="X102" s="592"/>
      <c r="Y102" s="592"/>
      <c r="Z102" s="592"/>
      <c r="AA102" s="592"/>
      <c r="AB102" s="592"/>
      <c r="AC102" s="592"/>
      <c r="AD102" s="594"/>
      <c r="AE102" s="534"/>
      <c r="AF102" s="2"/>
      <c r="AG102" s="2"/>
      <c r="AH102" s="2"/>
      <c r="AU102" s="630"/>
      <c r="AV102" s="627"/>
      <c r="AW102" s="631"/>
      <c r="AX102" s="631"/>
      <c r="AY102" s="631"/>
      <c r="AZ102" s="631"/>
      <c r="BA102" s="631"/>
      <c r="BB102" s="632"/>
      <c r="BC102" s="522"/>
    </row>
    <row r="103" spans="1:55" ht="24" customHeight="1" x14ac:dyDescent="0.2">
      <c r="A103" s="575"/>
      <c r="B103" s="530"/>
      <c r="C103" s="531"/>
      <c r="D103" s="531"/>
      <c r="E103" s="532"/>
      <c r="F103" s="533" t="str">
        <f>IF(D103="","",IF(D103=conventionnel,BDD!HX55,BDD!HX55*1.2))</f>
        <v/>
      </c>
      <c r="G103" s="601" t="str">
        <f>IF(D103="","",IF(D103=conventionnel,BDD!HY55,BDD!HZ55))</f>
        <v/>
      </c>
      <c r="H103" s="601"/>
      <c r="I103" s="601"/>
      <c r="J103" s="1596"/>
      <c r="K103" s="1596"/>
      <c r="L103" s="530"/>
      <c r="M103" s="531"/>
      <c r="N103" s="531"/>
      <c r="O103" s="532"/>
      <c r="P103" s="533" t="str">
        <f>IF(N103="","",IF(N103=conventionnel,BDD!IH55,BDD!IH55*1.2))</f>
        <v/>
      </c>
      <c r="Q103" s="601" t="str">
        <f>IF(N103="","",IF(N103=conventionnel,BDD!II55,BDD!IJ55))</f>
        <v/>
      </c>
      <c r="R103" s="583"/>
      <c r="S103" s="592"/>
      <c r="T103" s="592"/>
      <c r="U103" s="592"/>
      <c r="V103" s="592"/>
      <c r="W103" s="592"/>
      <c r="X103" s="592"/>
      <c r="Y103" s="592"/>
      <c r="Z103" s="592"/>
      <c r="AA103" s="592"/>
      <c r="AB103" s="592"/>
      <c r="AC103" s="592"/>
      <c r="AD103" s="594"/>
      <c r="AE103" s="534"/>
      <c r="AF103" s="2"/>
      <c r="AG103" s="2"/>
      <c r="AH103" s="2"/>
      <c r="AU103" s="625"/>
      <c r="AV103" s="627"/>
      <c r="AW103" s="632"/>
      <c r="AX103" s="631"/>
      <c r="AY103" s="631"/>
      <c r="AZ103" s="631"/>
      <c r="BA103" s="631"/>
      <c r="BB103" s="631"/>
      <c r="BC103" s="522"/>
    </row>
    <row r="104" spans="1:55" ht="24" customHeight="1" x14ac:dyDescent="0.2">
      <c r="A104" s="575"/>
      <c r="B104" s="530"/>
      <c r="C104" s="531"/>
      <c r="D104" s="531"/>
      <c r="E104" s="532"/>
      <c r="F104" s="533" t="str">
        <f>IF(D104="","",IF(D104=conventionnel,BDD!HX56,BDD!HX56*1.2))</f>
        <v/>
      </c>
      <c r="G104" s="601" t="str">
        <f>IF(D104="","",IF(D104=conventionnel,BDD!HY56,BDD!HZ56))</f>
        <v/>
      </c>
      <c r="H104" s="601"/>
      <c r="I104" s="601"/>
      <c r="J104" s="1596"/>
      <c r="K104" s="1596"/>
      <c r="L104" s="530"/>
      <c r="M104" s="531"/>
      <c r="N104" s="531"/>
      <c r="O104" s="532"/>
      <c r="P104" s="533" t="str">
        <f>IF(N104="","",IF(N104=conventionnel,BDD!IH56,BDD!IH56*1.2))</f>
        <v/>
      </c>
      <c r="Q104" s="601" t="str">
        <f>IF(N104="","",IF(N104=conventionnel,BDD!II56,BDD!IJ56))</f>
        <v/>
      </c>
      <c r="R104" s="583"/>
      <c r="S104" s="592"/>
      <c r="T104" s="592"/>
      <c r="U104" s="592"/>
      <c r="V104" s="592"/>
      <c r="W104" s="592"/>
      <c r="X104" s="592"/>
      <c r="Y104" s="592"/>
      <c r="Z104" s="592"/>
      <c r="AA104" s="592"/>
      <c r="AB104" s="592"/>
      <c r="AC104" s="592"/>
      <c r="AD104" s="594"/>
      <c r="AE104" s="534"/>
      <c r="AF104" s="2"/>
      <c r="AG104" s="2"/>
      <c r="AH104" s="2"/>
      <c r="AU104" s="625"/>
      <c r="AV104" s="633"/>
      <c r="AW104" s="631"/>
      <c r="AX104" s="631"/>
      <c r="AY104" s="631"/>
      <c r="AZ104" s="631"/>
      <c r="BA104" s="631"/>
      <c r="BB104" s="631"/>
      <c r="BC104" s="522"/>
    </row>
    <row r="105" spans="1:55" ht="24" customHeight="1" x14ac:dyDescent="0.2">
      <c r="A105" s="575"/>
      <c r="B105" s="530"/>
      <c r="C105" s="531"/>
      <c r="D105" s="531"/>
      <c r="E105" s="532"/>
      <c r="F105" s="533" t="str">
        <f>IF(D105="","",IF(D105=conventionnel,BDD!HX57,BDD!HX57*1.2))</f>
        <v/>
      </c>
      <c r="G105" s="601" t="str">
        <f>IF(D105="","",IF(D105=conventionnel,BDD!HY57,BDD!HZ57))</f>
        <v/>
      </c>
      <c r="H105" s="601"/>
      <c r="I105" s="601"/>
      <c r="J105" s="1596"/>
      <c r="K105" s="1596"/>
      <c r="L105" s="530"/>
      <c r="M105" s="531"/>
      <c r="N105" s="531"/>
      <c r="O105" s="532"/>
      <c r="P105" s="533" t="str">
        <f>IF(N105="","",IF(N105=conventionnel,BDD!IH57,BDD!IH57*1.2))</f>
        <v/>
      </c>
      <c r="Q105" s="601" t="str">
        <f>IF(N105="","",IF(N105=conventionnel,BDD!II57,BDD!IJ57))</f>
        <v/>
      </c>
      <c r="R105" s="583"/>
      <c r="S105" s="592"/>
      <c r="T105" s="592"/>
      <c r="U105" s="592"/>
      <c r="V105" s="592"/>
      <c r="W105" s="592"/>
      <c r="X105" s="592"/>
      <c r="Y105" s="592"/>
      <c r="Z105" s="592"/>
      <c r="AA105" s="592"/>
      <c r="AB105" s="592"/>
      <c r="AC105" s="592"/>
      <c r="AD105" s="594"/>
      <c r="AE105" s="534"/>
      <c r="AF105" s="2"/>
      <c r="AG105" s="2"/>
      <c r="AH105" s="2"/>
      <c r="AU105" s="625"/>
      <c r="AV105" s="633"/>
      <c r="AW105" s="631"/>
      <c r="AX105" s="631"/>
      <c r="AY105" s="631"/>
      <c r="AZ105" s="631"/>
      <c r="BA105" s="631"/>
      <c r="BB105" s="631"/>
      <c r="BC105" s="522"/>
    </row>
    <row r="106" spans="1:55" ht="24" customHeight="1" x14ac:dyDescent="0.2">
      <c r="A106" s="575"/>
      <c r="B106" s="530"/>
      <c r="C106" s="531"/>
      <c r="D106" s="531"/>
      <c r="E106" s="532"/>
      <c r="F106" s="533" t="str">
        <f>IF(D106="","",IF(D106=conventionnel,BDD!HX58,BDD!HX58*1.2))</f>
        <v/>
      </c>
      <c r="G106" s="601" t="str">
        <f>IF(D106="","",IF(D106=conventionnel,BDD!HY58,BDD!HZ58))</f>
        <v/>
      </c>
      <c r="H106" s="601"/>
      <c r="I106" s="601"/>
      <c r="J106" s="1596"/>
      <c r="K106" s="1596"/>
      <c r="L106" s="530"/>
      <c r="M106" s="531"/>
      <c r="N106" s="531"/>
      <c r="O106" s="532"/>
      <c r="P106" s="533" t="str">
        <f>IF(N106="","",IF(N106=conventionnel,BDD!IH58,BDD!IH58*1.2))</f>
        <v/>
      </c>
      <c r="Q106" s="601" t="str">
        <f>IF(N106="","",IF(N106=conventionnel,BDD!II58,BDD!IJ58))</f>
        <v/>
      </c>
      <c r="R106" s="583"/>
      <c r="S106" s="592"/>
      <c r="T106" s="592"/>
      <c r="U106" s="592"/>
      <c r="V106" s="592"/>
      <c r="W106" s="592"/>
      <c r="X106" s="592"/>
      <c r="Y106" s="592"/>
      <c r="Z106" s="592"/>
      <c r="AA106" s="592"/>
      <c r="AB106" s="592"/>
      <c r="AC106" s="592"/>
      <c r="AD106" s="584"/>
      <c r="AE106" s="2"/>
      <c r="AF106" s="2"/>
      <c r="AG106" s="2"/>
      <c r="AH106" s="2"/>
      <c r="AU106" s="625"/>
      <c r="AV106" s="627"/>
      <c r="AW106" s="632"/>
      <c r="AX106" s="631"/>
      <c r="AY106" s="631"/>
      <c r="AZ106" s="631"/>
      <c r="BA106" s="631"/>
      <c r="BB106" s="631"/>
      <c r="BC106" s="522"/>
    </row>
    <row r="107" spans="1:55" ht="24" customHeight="1" x14ac:dyDescent="0.2">
      <c r="A107" s="575"/>
      <c r="B107" s="530"/>
      <c r="C107" s="531"/>
      <c r="D107" s="531"/>
      <c r="E107" s="532"/>
      <c r="F107" s="533" t="str">
        <f>IF(D107="","",IF(D107=conventionnel,BDD!HX59,BDD!HX59*1.2))</f>
        <v/>
      </c>
      <c r="G107" s="601" t="str">
        <f>IF(D107="","",IF(D107=conventionnel,BDD!HY59,BDD!HZ59))</f>
        <v/>
      </c>
      <c r="H107" s="601"/>
      <c r="I107" s="601"/>
      <c r="J107" s="1596"/>
      <c r="K107" s="1596"/>
      <c r="L107" s="530"/>
      <c r="M107" s="531"/>
      <c r="N107" s="531"/>
      <c r="O107" s="532"/>
      <c r="P107" s="533" t="str">
        <f>IF(N107="","",IF(N107=conventionnel,BDD!IH59,BDD!IH59*1.2))</f>
        <v/>
      </c>
      <c r="Q107" s="601" t="str">
        <f>IF(N107="","",IF(N107=conventionnel,BDD!II59,BDD!IJ59))</f>
        <v/>
      </c>
      <c r="R107" s="583"/>
      <c r="S107" s="592"/>
      <c r="T107" s="592"/>
      <c r="U107" s="592"/>
      <c r="V107" s="592"/>
      <c r="W107" s="592"/>
      <c r="X107" s="592"/>
      <c r="Y107" s="592"/>
      <c r="Z107" s="592"/>
      <c r="AA107" s="592"/>
      <c r="AB107" s="592"/>
      <c r="AC107" s="592"/>
      <c r="AD107" s="584"/>
      <c r="AE107" s="2"/>
      <c r="AF107" s="2"/>
      <c r="AG107" s="2"/>
      <c r="AH107" s="2"/>
      <c r="AU107" s="630"/>
      <c r="AV107" s="627"/>
      <c r="AW107" s="631"/>
      <c r="AX107" s="631"/>
      <c r="AY107" s="631"/>
      <c r="AZ107" s="631"/>
      <c r="BA107" s="631"/>
      <c r="BB107" s="631"/>
      <c r="BC107" s="522"/>
    </row>
    <row r="108" spans="1:55" ht="24" customHeight="1" x14ac:dyDescent="0.2">
      <c r="A108" s="575"/>
      <c r="B108" s="530"/>
      <c r="C108" s="531"/>
      <c r="D108" s="531"/>
      <c r="E108" s="532"/>
      <c r="F108" s="533" t="str">
        <f>IF(D108="","",IF(D108=conventionnel,BDD!HX60,BDD!HX60*1.2))</f>
        <v/>
      </c>
      <c r="G108" s="601" t="str">
        <f>IF(D108="","",IF(D108=conventionnel,BDD!HY60,BDD!HZ60))</f>
        <v/>
      </c>
      <c r="H108" s="601"/>
      <c r="I108" s="601"/>
      <c r="J108" s="1596"/>
      <c r="K108" s="1596"/>
      <c r="L108" s="530"/>
      <c r="M108" s="531"/>
      <c r="N108" s="531"/>
      <c r="O108" s="532"/>
      <c r="P108" s="533" t="str">
        <f>IF(N108="","",IF(N108=conventionnel,BDD!IH60,BDD!IH60*1.2))</f>
        <v/>
      </c>
      <c r="Q108" s="601" t="str">
        <f>IF(N108="","",IF(N108=conventionnel,BDD!II60,BDD!IJ60))</f>
        <v/>
      </c>
      <c r="R108" s="583"/>
      <c r="S108" s="592"/>
      <c r="T108" s="592"/>
      <c r="U108" s="592"/>
      <c r="V108" s="592"/>
      <c r="W108" s="592"/>
      <c r="X108" s="592"/>
      <c r="Y108" s="592"/>
      <c r="Z108" s="592"/>
      <c r="AA108" s="592"/>
      <c r="AB108" s="592"/>
      <c r="AC108" s="592"/>
      <c r="AD108" s="584"/>
      <c r="AE108" s="2"/>
      <c r="AF108" s="2"/>
      <c r="AG108" s="2"/>
      <c r="AH108" s="2"/>
      <c r="AU108" s="625"/>
      <c r="AV108" s="627"/>
      <c r="AW108" s="631"/>
      <c r="AX108" s="631"/>
      <c r="AY108" s="634"/>
      <c r="AZ108" s="634"/>
      <c r="BA108" s="634"/>
      <c r="BB108" s="631"/>
      <c r="BC108" s="522"/>
    </row>
    <row r="109" spans="1:55" ht="24" customHeight="1" x14ac:dyDescent="0.2">
      <c r="A109" s="575"/>
      <c r="B109" s="530"/>
      <c r="C109" s="531"/>
      <c r="D109" s="531"/>
      <c r="E109" s="532"/>
      <c r="F109" s="533" t="str">
        <f>IF(D109="","",IF(D109=conventionnel,BDD!HX61,BDD!HX61*1.2))</f>
        <v/>
      </c>
      <c r="G109" s="601" t="str">
        <f>IF(D109="","",IF(D109=conventionnel,BDD!HY61,BDD!HZ61))</f>
        <v/>
      </c>
      <c r="H109" s="601"/>
      <c r="I109" s="601"/>
      <c r="J109" s="1596"/>
      <c r="K109" s="1596"/>
      <c r="L109" s="530"/>
      <c r="M109" s="531"/>
      <c r="N109" s="531"/>
      <c r="O109" s="532"/>
      <c r="P109" s="533" t="str">
        <f>IF(N109="","",IF(N109=conventionnel,BDD!IH61,BDD!IH61*1.2))</f>
        <v/>
      </c>
      <c r="Q109" s="601" t="str">
        <f>IF(N109="","",IF(N109=conventionnel,BDD!II61,BDD!IJ61))</f>
        <v/>
      </c>
      <c r="R109" s="583"/>
      <c r="S109" s="592"/>
      <c r="T109" s="592"/>
      <c r="U109" s="592"/>
      <c r="V109" s="592"/>
      <c r="W109" s="592"/>
      <c r="X109" s="592"/>
      <c r="Y109" s="592"/>
      <c r="Z109" s="592"/>
      <c r="AA109" s="592"/>
      <c r="AB109" s="592"/>
      <c r="AC109" s="592"/>
      <c r="AD109" s="584"/>
      <c r="AE109" s="21"/>
      <c r="AF109" s="21"/>
      <c r="AG109" s="21"/>
      <c r="AH109" s="21"/>
      <c r="AU109" s="625"/>
      <c r="AV109" s="627"/>
      <c r="AW109" s="631"/>
      <c r="AX109" s="631"/>
      <c r="AY109" s="631"/>
      <c r="AZ109" s="631"/>
      <c r="BA109" s="631"/>
      <c r="BB109" s="631"/>
      <c r="BC109" s="522"/>
    </row>
    <row r="110" spans="1:55" ht="24" customHeight="1" x14ac:dyDescent="0.2">
      <c r="A110" s="575"/>
      <c r="B110" s="530"/>
      <c r="C110" s="531"/>
      <c r="D110" s="531"/>
      <c r="E110" s="532"/>
      <c r="F110" s="533" t="str">
        <f>IF(D110="","",IF(D110=conventionnel,BDD!HX62,BDD!HX62*1.2))</f>
        <v/>
      </c>
      <c r="G110" s="601" t="str">
        <f>IF(D110="","",IF(D110=conventionnel,BDD!HY62,BDD!HZ62))</f>
        <v/>
      </c>
      <c r="H110" s="601"/>
      <c r="I110" s="601"/>
      <c r="J110" s="1596"/>
      <c r="K110" s="1596"/>
      <c r="L110" s="530"/>
      <c r="M110" s="531"/>
      <c r="N110" s="531"/>
      <c r="O110" s="532"/>
      <c r="P110" s="533" t="str">
        <f>IF(N110="","",IF(N110=conventionnel,BDD!IH62,BDD!IH62*1.2))</f>
        <v/>
      </c>
      <c r="Q110" s="601" t="str">
        <f>IF(N110="","",IF(N110=conventionnel,BDD!II62,BDD!IJ62))</f>
        <v/>
      </c>
      <c r="R110" s="583"/>
      <c r="S110" s="592"/>
      <c r="T110" s="592"/>
      <c r="U110" s="592"/>
      <c r="V110" s="592"/>
      <c r="W110" s="592"/>
      <c r="X110" s="592"/>
      <c r="Y110" s="592"/>
      <c r="Z110" s="592"/>
      <c r="AA110" s="592"/>
      <c r="AB110" s="592"/>
      <c r="AC110" s="592"/>
      <c r="AD110" s="584"/>
      <c r="AE110" s="21"/>
      <c r="AF110" s="21"/>
      <c r="AG110" s="21"/>
      <c r="AH110" s="21"/>
      <c r="AU110" s="625"/>
      <c r="AV110" s="627"/>
      <c r="AW110" s="631"/>
      <c r="AX110" s="631"/>
      <c r="AY110" s="631"/>
      <c r="AZ110" s="631"/>
      <c r="BA110" s="631"/>
      <c r="BB110" s="631"/>
      <c r="BC110" s="522"/>
    </row>
    <row r="111" spans="1:55" ht="24" customHeight="1" x14ac:dyDescent="0.2">
      <c r="A111" s="575"/>
      <c r="B111" s="530"/>
      <c r="C111" s="531"/>
      <c r="D111" s="531"/>
      <c r="E111" s="532"/>
      <c r="F111" s="533" t="str">
        <f>IF(D111="","",IF(D111=conventionnel,BDD!HX63,BDD!HX63*1.2))</f>
        <v/>
      </c>
      <c r="G111" s="601" t="str">
        <f>IF(D111="","",IF(D111=conventionnel,BDD!HY63,BDD!HZ63))</f>
        <v/>
      </c>
      <c r="H111" s="601"/>
      <c r="I111" s="601"/>
      <c r="J111" s="1596"/>
      <c r="K111" s="1596"/>
      <c r="L111" s="530"/>
      <c r="M111" s="531"/>
      <c r="N111" s="531"/>
      <c r="O111" s="532"/>
      <c r="P111" s="533" t="str">
        <f>IF(N111="","",IF(N111=conventionnel,BDD!IH63,BDD!IH63*1.2))</f>
        <v/>
      </c>
      <c r="Q111" s="601" t="str">
        <f>IF(N111="","",IF(N111=conventionnel,BDD!II63,BDD!IJ63))</f>
        <v/>
      </c>
      <c r="R111" s="583"/>
      <c r="S111" s="592"/>
      <c r="T111" s="592"/>
      <c r="U111" s="592"/>
      <c r="V111" s="592"/>
      <c r="W111" s="592"/>
      <c r="X111" s="592"/>
      <c r="Y111" s="592"/>
      <c r="Z111" s="592"/>
      <c r="AA111" s="592"/>
      <c r="AB111" s="592"/>
      <c r="AC111" s="592"/>
      <c r="AD111" s="584"/>
      <c r="AE111" s="21"/>
      <c r="AF111" s="21"/>
      <c r="AG111" s="21"/>
      <c r="AH111" s="21"/>
      <c r="AU111" s="625"/>
      <c r="AV111" s="627"/>
      <c r="AW111" s="631"/>
      <c r="AX111" s="631"/>
      <c r="AY111" s="631"/>
      <c r="AZ111" s="631"/>
      <c r="BA111" s="631"/>
      <c r="BB111" s="631"/>
      <c r="BC111" s="522"/>
    </row>
    <row r="112" spans="1:55" ht="24" customHeight="1" x14ac:dyDescent="0.2">
      <c r="A112" s="575"/>
      <c r="B112" s="530"/>
      <c r="C112" s="531"/>
      <c r="D112" s="531"/>
      <c r="E112" s="532"/>
      <c r="F112" s="533" t="str">
        <f>IF(D112="","",IF(D112=conventionnel,BDD!HX64,BDD!HX64*1.2))</f>
        <v/>
      </c>
      <c r="G112" s="601" t="str">
        <f>IF(D112="","",IF(D112=conventionnel,BDD!HY64,BDD!HZ64))</f>
        <v/>
      </c>
      <c r="H112" s="601"/>
      <c r="I112" s="601"/>
      <c r="J112" s="1596"/>
      <c r="K112" s="1596"/>
      <c r="L112" s="530"/>
      <c r="M112" s="531"/>
      <c r="N112" s="531"/>
      <c r="O112" s="532"/>
      <c r="P112" s="533" t="str">
        <f>IF(N112="","",IF(N112=conventionnel,BDD!IH64,BDD!IH64*1.2))</f>
        <v/>
      </c>
      <c r="Q112" s="601" t="str">
        <f>IF(N112="","",IF(N112=conventionnel,BDD!II64,BDD!IJ64))</f>
        <v/>
      </c>
      <c r="R112" s="583"/>
      <c r="S112" s="592"/>
      <c r="T112" s="592"/>
      <c r="U112" s="592"/>
      <c r="V112" s="592"/>
      <c r="W112" s="592"/>
      <c r="X112" s="592"/>
      <c r="Y112" s="592"/>
      <c r="Z112" s="592"/>
      <c r="AA112" s="592"/>
      <c r="AB112" s="592"/>
      <c r="AC112" s="592"/>
      <c r="AD112" s="584"/>
      <c r="AE112" s="21"/>
      <c r="AF112" s="21"/>
      <c r="AG112" s="21"/>
      <c r="AH112" s="21"/>
      <c r="AU112" s="625"/>
      <c r="AV112" s="627"/>
      <c r="AW112" s="631"/>
      <c r="AX112" s="631"/>
      <c r="AY112" s="631"/>
      <c r="AZ112" s="631"/>
      <c r="BA112" s="631"/>
      <c r="BB112" s="631"/>
      <c r="BC112" s="522"/>
    </row>
    <row r="113" spans="1:55" ht="24" customHeight="1" x14ac:dyDescent="0.2">
      <c r="A113" s="575"/>
      <c r="B113" s="530"/>
      <c r="C113" s="531"/>
      <c r="D113" s="531"/>
      <c r="E113" s="532"/>
      <c r="F113" s="533" t="str">
        <f>IF(D113="","",IF(D113=conventionnel,BDD!HX65,BDD!HX65*1.2))</f>
        <v/>
      </c>
      <c r="G113" s="601" t="str">
        <f>IF(D113="","",IF(D113=conventionnel,BDD!HY65,BDD!HZ65))</f>
        <v/>
      </c>
      <c r="H113" s="601"/>
      <c r="I113" s="601"/>
      <c r="J113" s="1596"/>
      <c r="K113" s="1596"/>
      <c r="L113" s="530"/>
      <c r="M113" s="531"/>
      <c r="N113" s="531"/>
      <c r="O113" s="532"/>
      <c r="P113" s="533" t="str">
        <f>IF(N113="","",IF(N113=conventionnel,BDD!IH65,BDD!IH65*1.2))</f>
        <v/>
      </c>
      <c r="Q113" s="601" t="str">
        <f>IF(N113="","",IF(N113=conventionnel,BDD!II65,BDD!IJ65))</f>
        <v/>
      </c>
      <c r="R113" s="583"/>
      <c r="S113" s="592"/>
      <c r="T113" s="592"/>
      <c r="U113" s="592"/>
      <c r="V113" s="592"/>
      <c r="W113" s="592"/>
      <c r="X113" s="592"/>
      <c r="Y113" s="592"/>
      <c r="Z113" s="592"/>
      <c r="AA113" s="592"/>
      <c r="AB113" s="592"/>
      <c r="AC113" s="592"/>
      <c r="AD113" s="584"/>
      <c r="AE113" s="21"/>
      <c r="AF113" s="21"/>
      <c r="AG113" s="21"/>
      <c r="AH113" s="21"/>
      <c r="AU113" s="625"/>
      <c r="AV113" s="627"/>
      <c r="AW113" s="632"/>
      <c r="AX113" s="632"/>
      <c r="AY113" s="632"/>
      <c r="AZ113" s="632"/>
      <c r="BA113" s="632"/>
      <c r="BB113" s="632"/>
      <c r="BC113" s="522"/>
    </row>
    <row r="114" spans="1:55" ht="24" customHeight="1" x14ac:dyDescent="0.2">
      <c r="A114" s="575"/>
      <c r="B114" s="530"/>
      <c r="C114" s="531"/>
      <c r="D114" s="531"/>
      <c r="E114" s="532"/>
      <c r="F114" s="533" t="str">
        <f>IF(D114="","",IF(D114=conventionnel,BDD!HX66,BDD!HX66*1.2))</f>
        <v/>
      </c>
      <c r="G114" s="601" t="str">
        <f>IF(D114="","",IF(D114=conventionnel,BDD!HY66,BDD!HZ66))</f>
        <v/>
      </c>
      <c r="H114" s="601"/>
      <c r="I114" s="601"/>
      <c r="J114" s="1596"/>
      <c r="K114" s="1596"/>
      <c r="L114" s="530"/>
      <c r="M114" s="531"/>
      <c r="N114" s="531"/>
      <c r="O114" s="532"/>
      <c r="P114" s="533" t="str">
        <f>IF(N114="","",IF(N114=conventionnel,BDD!IH66,BDD!IH66*1.2))</f>
        <v/>
      </c>
      <c r="Q114" s="601" t="str">
        <f>IF(N114="","",IF(N114=conventionnel,BDD!II66,BDD!IJ66))</f>
        <v/>
      </c>
      <c r="R114" s="583"/>
      <c r="S114" s="592"/>
      <c r="T114" s="592"/>
      <c r="U114" s="592"/>
      <c r="V114" s="592"/>
      <c r="W114" s="592"/>
      <c r="X114" s="592"/>
      <c r="Y114" s="592"/>
      <c r="Z114" s="592"/>
      <c r="AA114" s="592"/>
      <c r="AB114" s="592"/>
      <c r="AC114" s="592"/>
      <c r="AD114" s="584"/>
      <c r="AE114" s="21"/>
      <c r="AF114" s="21"/>
      <c r="AG114" s="21"/>
      <c r="AH114" s="21"/>
      <c r="AU114" s="625"/>
      <c r="AV114" s="627"/>
      <c r="AW114" s="632"/>
      <c r="AX114" s="632"/>
      <c r="AY114" s="632"/>
      <c r="AZ114" s="632"/>
      <c r="BA114" s="632"/>
      <c r="BB114" s="632"/>
      <c r="BC114" s="522"/>
    </row>
    <row r="115" spans="1:55" ht="24" customHeight="1" x14ac:dyDescent="0.2">
      <c r="A115" s="575"/>
      <c r="B115" s="530"/>
      <c r="C115" s="531"/>
      <c r="D115" s="531"/>
      <c r="E115" s="532"/>
      <c r="F115" s="533" t="str">
        <f>IF(D115="","",IF(D115=conventionnel,BDD!HX67,BDD!HX67*1.2))</f>
        <v/>
      </c>
      <c r="G115" s="601" t="str">
        <f>IF(D115="","",IF(D115=conventionnel,BDD!HY67,BDD!HZ67))</f>
        <v/>
      </c>
      <c r="H115" s="601"/>
      <c r="I115" s="601"/>
      <c r="J115" s="1596"/>
      <c r="K115" s="1596"/>
      <c r="L115" s="530"/>
      <c r="M115" s="531"/>
      <c r="N115" s="531"/>
      <c r="O115" s="532"/>
      <c r="P115" s="533" t="str">
        <f>IF(N115="","",IF(N115=conventionnel,BDD!IH67,BDD!IH67*1.2))</f>
        <v/>
      </c>
      <c r="Q115" s="601" t="str">
        <f>IF(N115="","",IF(N115=conventionnel,BDD!II67,BDD!IJ67))</f>
        <v/>
      </c>
      <c r="R115" s="583"/>
      <c r="S115" s="592"/>
      <c r="T115" s="592"/>
      <c r="U115" s="592"/>
      <c r="V115" s="592"/>
      <c r="W115" s="592"/>
      <c r="X115" s="592"/>
      <c r="Y115" s="592"/>
      <c r="Z115" s="592"/>
      <c r="AA115" s="592"/>
      <c r="AB115" s="592"/>
      <c r="AC115" s="592"/>
      <c r="AD115" s="584"/>
      <c r="AE115" s="21"/>
      <c r="AF115" s="21"/>
      <c r="AG115" s="21"/>
      <c r="AH115" s="21"/>
      <c r="AU115" s="625"/>
      <c r="AV115" s="633"/>
      <c r="AW115" s="631"/>
      <c r="AX115" s="631"/>
      <c r="AY115" s="631"/>
      <c r="AZ115" s="631"/>
      <c r="BA115" s="631"/>
      <c r="BB115" s="631"/>
      <c r="BC115" s="522"/>
    </row>
    <row r="116" spans="1:55" ht="24" customHeight="1" x14ac:dyDescent="0.2">
      <c r="A116" s="575"/>
      <c r="B116" s="530"/>
      <c r="C116" s="531"/>
      <c r="D116" s="531"/>
      <c r="E116" s="532"/>
      <c r="F116" s="533" t="str">
        <f>IF(D116="","",IF(D116=conventionnel,BDD!HX68,BDD!HX68*1.2))</f>
        <v/>
      </c>
      <c r="G116" s="601" t="str">
        <f>IF(D116="","",IF(D116=conventionnel,BDD!HY68,BDD!HZ68))</f>
        <v/>
      </c>
      <c r="H116" s="601"/>
      <c r="I116" s="601"/>
      <c r="J116" s="1596"/>
      <c r="K116" s="1596"/>
      <c r="L116" s="530"/>
      <c r="M116" s="531"/>
      <c r="N116" s="531"/>
      <c r="O116" s="532"/>
      <c r="P116" s="533" t="str">
        <f>IF(N116="","",IF(N116=conventionnel,BDD!IH68,BDD!IH68*1.2))</f>
        <v/>
      </c>
      <c r="Q116" s="601" t="str">
        <f>IF(N116="","",IF(N116=conventionnel,BDD!II68,BDD!IJ68))</f>
        <v/>
      </c>
      <c r="R116" s="583"/>
      <c r="S116" s="592"/>
      <c r="T116" s="592"/>
      <c r="U116" s="592"/>
      <c r="V116" s="592"/>
      <c r="W116" s="592"/>
      <c r="X116" s="592"/>
      <c r="Y116" s="592"/>
      <c r="Z116" s="592"/>
      <c r="AA116" s="592"/>
      <c r="AB116" s="592"/>
      <c r="AC116" s="592"/>
      <c r="AD116" s="584"/>
      <c r="AE116" s="21"/>
      <c r="AF116" s="21"/>
      <c r="AG116" s="21"/>
      <c r="AH116" s="21"/>
      <c r="AU116" s="625"/>
      <c r="AV116" s="633"/>
      <c r="AW116" s="631"/>
      <c r="AX116" s="631"/>
      <c r="AY116" s="631"/>
      <c r="AZ116" s="631"/>
      <c r="BA116" s="631"/>
      <c r="BB116" s="631"/>
      <c r="BC116" s="522"/>
    </row>
    <row r="117" spans="1:55" ht="24" customHeight="1" x14ac:dyDescent="0.2">
      <c r="A117" s="575"/>
      <c r="B117" s="530"/>
      <c r="C117" s="531"/>
      <c r="D117" s="531"/>
      <c r="E117" s="532"/>
      <c r="F117" s="533" t="str">
        <f>IF(D117="","",IF(D117=conventionnel,BDD!HX69,BDD!HX69*1.2))</f>
        <v/>
      </c>
      <c r="G117" s="601" t="str">
        <f>IF(D117="","",IF(D117=conventionnel,BDD!HY69,BDD!HZ69))</f>
        <v/>
      </c>
      <c r="H117" s="601"/>
      <c r="I117" s="601"/>
      <c r="J117" s="1596"/>
      <c r="K117" s="1596"/>
      <c r="L117" s="530"/>
      <c r="M117" s="531"/>
      <c r="N117" s="531"/>
      <c r="O117" s="532"/>
      <c r="P117" s="533" t="str">
        <f>IF(N117="","",IF(N117=conventionnel,BDD!IH69,BDD!IH69*1.2))</f>
        <v/>
      </c>
      <c r="Q117" s="601" t="str">
        <f>IF(N117="","",IF(N117=conventionnel,BDD!II69,BDD!IJ69))</f>
        <v/>
      </c>
      <c r="R117" s="583"/>
      <c r="S117" s="592"/>
      <c r="T117" s="592"/>
      <c r="U117" s="592"/>
      <c r="V117" s="592"/>
      <c r="W117" s="592"/>
      <c r="X117" s="592"/>
      <c r="Y117" s="592"/>
      <c r="Z117" s="592"/>
      <c r="AA117" s="592"/>
      <c r="AB117" s="592"/>
      <c r="AC117" s="592"/>
      <c r="AD117" s="584"/>
      <c r="AE117" s="21"/>
      <c r="AF117" s="21"/>
      <c r="AG117" s="21"/>
      <c r="AH117" s="21"/>
      <c r="AU117" s="625"/>
      <c r="AV117" s="627"/>
      <c r="AW117" s="631"/>
      <c r="AX117" s="631"/>
      <c r="AY117" s="631"/>
      <c r="AZ117" s="631"/>
      <c r="BA117" s="631"/>
      <c r="BB117" s="631"/>
      <c r="BC117" s="522"/>
    </row>
    <row r="118" spans="1:55" ht="24.75" customHeight="1" x14ac:dyDescent="0.2">
      <c r="A118" s="575"/>
      <c r="B118" s="530"/>
      <c r="C118" s="531"/>
      <c r="D118" s="531"/>
      <c r="E118" s="532"/>
      <c r="F118" s="533" t="str">
        <f>IF(D118="","",IF(D118=conventionnel,BDD!HX70,BDD!HX70*1.2))</f>
        <v/>
      </c>
      <c r="G118" s="601" t="str">
        <f>IF(D118="","",IF(D118=conventionnel,BDD!HY70,BDD!HZ70))</f>
        <v/>
      </c>
      <c r="H118" s="601"/>
      <c r="I118" s="601"/>
      <c r="J118" s="1596"/>
      <c r="K118" s="1596"/>
      <c r="L118" s="530"/>
      <c r="M118" s="531"/>
      <c r="N118" s="531"/>
      <c r="O118" s="532"/>
      <c r="P118" s="533" t="str">
        <f>IF(N118="","",IF(N118=conventionnel,BDD!IH70,BDD!IH70*1.2))</f>
        <v/>
      </c>
      <c r="Q118" s="601" t="str">
        <f>IF(N118="","",IF(N118=conventionnel,BDD!II70,BDD!IJ70))</f>
        <v/>
      </c>
      <c r="R118" s="583"/>
      <c r="S118" s="592"/>
      <c r="T118" s="592"/>
      <c r="U118" s="592"/>
      <c r="V118" s="592"/>
      <c r="W118" s="592"/>
      <c r="X118" s="592"/>
      <c r="Y118" s="592"/>
      <c r="Z118" s="592"/>
      <c r="AA118" s="592"/>
      <c r="AB118" s="592"/>
      <c r="AC118" s="592"/>
      <c r="AD118" s="584"/>
      <c r="AE118" s="21"/>
      <c r="AF118" s="21"/>
      <c r="AG118" s="21"/>
      <c r="AH118" s="21"/>
      <c r="AU118" s="625"/>
      <c r="AV118" s="627"/>
      <c r="AW118" s="631"/>
      <c r="AX118" s="631"/>
      <c r="AY118" s="631"/>
      <c r="AZ118" s="631"/>
      <c r="BA118" s="631"/>
      <c r="BB118" s="631"/>
      <c r="BC118" s="522"/>
    </row>
    <row r="119" spans="1:55" ht="24.75" customHeight="1" x14ac:dyDescent="0.2">
      <c r="A119" s="575"/>
      <c r="B119" s="530"/>
      <c r="C119" s="531"/>
      <c r="D119" s="531"/>
      <c r="E119" s="532"/>
      <c r="F119" s="533" t="str">
        <f>IF(D119="","",IF(D119=conventionnel,BDD!HX71,BDD!HX71*1.2))</f>
        <v/>
      </c>
      <c r="G119" s="601" t="str">
        <f>IF(D119="","",IF(D119=conventionnel,BDD!HY71,BDD!HZ71))</f>
        <v/>
      </c>
      <c r="H119" s="601"/>
      <c r="I119" s="601"/>
      <c r="J119" s="1596"/>
      <c r="K119" s="1596"/>
      <c r="L119" s="530"/>
      <c r="M119" s="531"/>
      <c r="N119" s="531"/>
      <c r="O119" s="532"/>
      <c r="P119" s="533" t="str">
        <f>IF(N119="","",IF(N119=conventionnel,BDD!IH71,BDD!IH71*1.2))</f>
        <v/>
      </c>
      <c r="Q119" s="601" t="str">
        <f>IF(N119="","",IF(N119=conventionnel,BDD!II71,BDD!IJ71))</f>
        <v/>
      </c>
      <c r="R119" s="583"/>
      <c r="S119" s="592"/>
      <c r="T119" s="592"/>
      <c r="U119" s="592"/>
      <c r="V119" s="592"/>
      <c r="W119" s="592"/>
      <c r="X119" s="592"/>
      <c r="Y119" s="592"/>
      <c r="Z119" s="592"/>
      <c r="AA119" s="592"/>
      <c r="AB119" s="592"/>
      <c r="AC119" s="592"/>
      <c r="AD119" s="584"/>
      <c r="AE119" s="21"/>
      <c r="AF119" s="21"/>
      <c r="AG119" s="21"/>
      <c r="AH119" s="21"/>
      <c r="AU119" s="635"/>
      <c r="AV119" s="635"/>
      <c r="AW119" s="631"/>
      <c r="AX119" s="631"/>
      <c r="AY119" s="631"/>
      <c r="AZ119" s="631"/>
      <c r="BA119" s="631"/>
      <c r="BB119" s="631"/>
      <c r="BC119" s="522"/>
    </row>
    <row r="120" spans="1:55" ht="24.75" customHeight="1" x14ac:dyDescent="0.2">
      <c r="A120" s="575"/>
      <c r="B120" s="530"/>
      <c r="C120" s="531"/>
      <c r="D120" s="531"/>
      <c r="E120" s="532"/>
      <c r="F120" s="533" t="str">
        <f>IF(D120="","",IF(D120=conventionnel,BDD!HX72,BDD!HX72*1.2))</f>
        <v/>
      </c>
      <c r="G120" s="601" t="str">
        <f>IF(D120="","",IF(D120=conventionnel,BDD!HY72,BDD!HZ72))</f>
        <v/>
      </c>
      <c r="H120" s="601"/>
      <c r="I120" s="601"/>
      <c r="J120" s="1596"/>
      <c r="K120" s="1596"/>
      <c r="L120" s="530"/>
      <c r="M120" s="531"/>
      <c r="N120" s="531"/>
      <c r="O120" s="532"/>
      <c r="P120" s="533" t="str">
        <f>IF(N120="","",IF(N120=conventionnel,BDD!IH72,BDD!IH72*1.2))</f>
        <v/>
      </c>
      <c r="Q120" s="601" t="str">
        <f>IF(N120="","",IF(N120=conventionnel,BDD!II72,BDD!IJ72))</f>
        <v/>
      </c>
      <c r="R120" s="583"/>
      <c r="S120" s="592"/>
      <c r="T120" s="592"/>
      <c r="U120" s="592"/>
      <c r="V120" s="592"/>
      <c r="W120" s="592"/>
      <c r="X120" s="592"/>
      <c r="Y120" s="592"/>
      <c r="Z120" s="592"/>
      <c r="AA120" s="592"/>
      <c r="AB120" s="592"/>
      <c r="AC120" s="592"/>
      <c r="AD120" s="584"/>
      <c r="AE120" s="21"/>
      <c r="AF120" s="21"/>
      <c r="AG120" s="21"/>
      <c r="AH120" s="21"/>
      <c r="AU120" s="635"/>
      <c r="AV120" s="635"/>
      <c r="AW120" s="631"/>
      <c r="AX120" s="631"/>
      <c r="AY120" s="631"/>
      <c r="AZ120" s="631"/>
      <c r="BA120" s="631"/>
      <c r="BB120" s="631"/>
      <c r="BC120" s="522"/>
    </row>
    <row r="121" spans="1:55" ht="24.75" customHeight="1" x14ac:dyDescent="0.2">
      <c r="A121" s="575"/>
      <c r="B121" s="530"/>
      <c r="C121" s="531"/>
      <c r="D121" s="531"/>
      <c r="E121" s="532"/>
      <c r="F121" s="533" t="str">
        <f>IF(D121="","",IF(D121=conventionnel,BDD!HX73,BDD!HX73*1.2))</f>
        <v/>
      </c>
      <c r="G121" s="601" t="str">
        <f>IF(D121="","",IF(D121=conventionnel,BDD!HY73,BDD!HZ73))</f>
        <v/>
      </c>
      <c r="H121" s="601"/>
      <c r="I121" s="601"/>
      <c r="J121" s="1596"/>
      <c r="K121" s="1596"/>
      <c r="L121" s="530"/>
      <c r="M121" s="531"/>
      <c r="N121" s="531"/>
      <c r="O121" s="532"/>
      <c r="P121" s="533" t="str">
        <f>IF(N121="","",IF(N121=conventionnel,BDD!IH73,BDD!IH73*1.2))</f>
        <v/>
      </c>
      <c r="Q121" s="601" t="str">
        <f>IF(N121="","",IF(N121=conventionnel,BDD!II73,BDD!IJ73))</f>
        <v/>
      </c>
      <c r="R121" s="583"/>
      <c r="S121" s="592"/>
      <c r="T121" s="592"/>
      <c r="U121" s="592"/>
      <c r="V121" s="592"/>
      <c r="W121" s="592"/>
      <c r="X121" s="592"/>
      <c r="Y121" s="592"/>
      <c r="Z121" s="592"/>
      <c r="AA121" s="592"/>
      <c r="AB121" s="592"/>
      <c r="AC121" s="592"/>
      <c r="AD121" s="584"/>
      <c r="AE121" s="21"/>
      <c r="AF121" s="21"/>
      <c r="AG121" s="21"/>
      <c r="AH121" s="21"/>
      <c r="AU121" s="635"/>
      <c r="AV121" s="635"/>
      <c r="AW121" s="631"/>
      <c r="AX121" s="631"/>
      <c r="AY121" s="631"/>
      <c r="AZ121" s="631"/>
      <c r="BA121" s="631"/>
      <c r="BB121" s="631"/>
      <c r="BC121" s="522"/>
    </row>
    <row r="122" spans="1:55" ht="24.75" customHeight="1" x14ac:dyDescent="0.2">
      <c r="A122" s="575"/>
      <c r="B122" s="530"/>
      <c r="C122" s="531"/>
      <c r="D122" s="531"/>
      <c r="E122" s="532"/>
      <c r="F122" s="533" t="str">
        <f>IF(D122="","",IF(D122=conventionnel,BDD!HX74,BDD!HX74*1.2))</f>
        <v/>
      </c>
      <c r="G122" s="601" t="str">
        <f>IF(D122="","",IF(D122=conventionnel,BDD!HY74,BDD!HZ74))</f>
        <v/>
      </c>
      <c r="H122" s="601"/>
      <c r="I122" s="601"/>
      <c r="J122" s="1596"/>
      <c r="K122" s="1596"/>
      <c r="L122" s="530"/>
      <c r="M122" s="531"/>
      <c r="N122" s="531"/>
      <c r="O122" s="532"/>
      <c r="P122" s="533" t="str">
        <f>IF(N122="","",IF(N122=conventionnel,BDD!IH74,BDD!IH74*1.2))</f>
        <v/>
      </c>
      <c r="Q122" s="601" t="str">
        <f>IF(N122="","",IF(N122=conventionnel,BDD!II74,BDD!IJ74))</f>
        <v/>
      </c>
      <c r="R122" s="583"/>
      <c r="S122" s="592"/>
      <c r="T122" s="592"/>
      <c r="U122" s="592"/>
      <c r="V122" s="592"/>
      <c r="W122" s="592"/>
      <c r="X122" s="592"/>
      <c r="Y122" s="592"/>
      <c r="Z122" s="592"/>
      <c r="AA122" s="592"/>
      <c r="AB122" s="592"/>
      <c r="AC122" s="592"/>
      <c r="AD122" s="584"/>
      <c r="AE122" s="21"/>
      <c r="AF122" s="21"/>
      <c r="AG122" s="21"/>
      <c r="AH122" s="21"/>
      <c r="AU122" s="635"/>
      <c r="AV122" s="635"/>
      <c r="AW122" s="631"/>
      <c r="AX122" s="631"/>
      <c r="AY122" s="631"/>
      <c r="AZ122" s="631"/>
      <c r="BA122" s="631"/>
      <c r="BB122" s="631"/>
      <c r="BC122" s="522"/>
    </row>
    <row r="123" spans="1:55" ht="24.75" customHeight="1" x14ac:dyDescent="0.2">
      <c r="A123" s="575"/>
      <c r="B123" s="530"/>
      <c r="C123" s="531"/>
      <c r="D123" s="531"/>
      <c r="E123" s="532"/>
      <c r="F123" s="533" t="str">
        <f>IF(D123="","",IF(D123=conventionnel,BDD!HX75,BDD!HX75*1.2))</f>
        <v/>
      </c>
      <c r="G123" s="601" t="str">
        <f>IF(D123="","",IF(D123=conventionnel,BDD!HY75,BDD!HZ75))</f>
        <v/>
      </c>
      <c r="H123" s="601"/>
      <c r="I123" s="601"/>
      <c r="J123" s="1596"/>
      <c r="K123" s="1596"/>
      <c r="L123" s="530"/>
      <c r="M123" s="531"/>
      <c r="N123" s="531"/>
      <c r="O123" s="532"/>
      <c r="P123" s="533" t="str">
        <f>IF(N123="","",IF(N123=conventionnel,BDD!IH75,BDD!IH75*1.2))</f>
        <v/>
      </c>
      <c r="Q123" s="601" t="str">
        <f>IF(N123="","",IF(N123=conventionnel,BDD!II75,BDD!IJ75))</f>
        <v/>
      </c>
      <c r="R123" s="583"/>
      <c r="S123" s="592"/>
      <c r="T123" s="592"/>
      <c r="U123" s="592"/>
      <c r="V123" s="592"/>
      <c r="W123" s="592"/>
      <c r="X123" s="592"/>
      <c r="Y123" s="592"/>
      <c r="Z123" s="592"/>
      <c r="AA123" s="592"/>
      <c r="AB123" s="592"/>
      <c r="AC123" s="592"/>
      <c r="AD123" s="584"/>
      <c r="AE123" s="21"/>
      <c r="AF123" s="21"/>
      <c r="AG123" s="21"/>
      <c r="AH123" s="21"/>
      <c r="AU123" s="635"/>
      <c r="AV123" s="635"/>
      <c r="AW123" s="631"/>
      <c r="AX123" s="631"/>
      <c r="AY123" s="631"/>
      <c r="AZ123" s="631"/>
      <c r="BA123" s="631"/>
      <c r="BB123" s="631"/>
      <c r="BC123" s="522"/>
    </row>
    <row r="124" spans="1:55" ht="24.75" customHeight="1" x14ac:dyDescent="0.2">
      <c r="A124" s="575"/>
      <c r="B124" s="530"/>
      <c r="C124" s="531"/>
      <c r="D124" s="531"/>
      <c r="E124" s="532"/>
      <c r="F124" s="533" t="str">
        <f>IF(D124="","",IF(D124=conventionnel,BDD!HX76,BDD!HX76*1.2))</f>
        <v/>
      </c>
      <c r="G124" s="601" t="str">
        <f>IF(D124="","",IF(D124=conventionnel,BDD!HY76,BDD!HZ76))</f>
        <v/>
      </c>
      <c r="H124" s="601"/>
      <c r="I124" s="601"/>
      <c r="J124" s="1596"/>
      <c r="K124" s="1596"/>
      <c r="L124" s="530"/>
      <c r="M124" s="531"/>
      <c r="N124" s="531"/>
      <c r="O124" s="532"/>
      <c r="P124" s="533" t="str">
        <f>IF(N124="","",IF(N124=conventionnel,BDD!IH76,BDD!IH76*1.2))</f>
        <v/>
      </c>
      <c r="Q124" s="601" t="str">
        <f>IF(N124="","",IF(N124=conventionnel,BDD!II76,BDD!IJ76))</f>
        <v/>
      </c>
      <c r="R124" s="583"/>
      <c r="S124" s="592"/>
      <c r="T124" s="592"/>
      <c r="U124" s="592"/>
      <c r="V124" s="592"/>
      <c r="W124" s="592"/>
      <c r="X124" s="592"/>
      <c r="Y124" s="592"/>
      <c r="Z124" s="592"/>
      <c r="AA124" s="592"/>
      <c r="AB124" s="592"/>
      <c r="AC124" s="592"/>
      <c r="AD124" s="584"/>
      <c r="AE124" s="21"/>
      <c r="AF124" s="21"/>
      <c r="AG124" s="21"/>
      <c r="AH124" s="21"/>
      <c r="AU124" s="635"/>
      <c r="AV124" s="635"/>
      <c r="AW124" s="631"/>
      <c r="AX124" s="631"/>
      <c r="AY124" s="631"/>
      <c r="AZ124" s="631"/>
      <c r="BA124" s="631"/>
      <c r="BB124" s="631"/>
      <c r="BC124" s="522"/>
    </row>
    <row r="125" spans="1:55" ht="24.75" customHeight="1" x14ac:dyDescent="0.2">
      <c r="A125" s="575"/>
      <c r="B125" s="530"/>
      <c r="C125" s="531"/>
      <c r="D125" s="531"/>
      <c r="E125" s="532"/>
      <c r="F125" s="533" t="str">
        <f>IF(D125="","",IF(D125=conventionnel,BDD!HX77,BDD!HX77*1.2))</f>
        <v/>
      </c>
      <c r="G125" s="601" t="str">
        <f>IF(D125="","",IF(D125=conventionnel,BDD!HY77,BDD!HZ77))</f>
        <v/>
      </c>
      <c r="H125" s="601"/>
      <c r="I125" s="601"/>
      <c r="J125" s="1596"/>
      <c r="K125" s="1596"/>
      <c r="L125" s="530"/>
      <c r="M125" s="531"/>
      <c r="N125" s="531"/>
      <c r="O125" s="532"/>
      <c r="P125" s="533" t="str">
        <f>IF(N125="","",IF(N125=conventionnel,BDD!IH77,BDD!IH77*1.2))</f>
        <v/>
      </c>
      <c r="Q125" s="601" t="str">
        <f>IF(N125="","",IF(N125=conventionnel,BDD!II77,BDD!IJ77))</f>
        <v/>
      </c>
      <c r="R125" s="583"/>
      <c r="S125" s="592"/>
      <c r="T125" s="592"/>
      <c r="U125" s="592"/>
      <c r="V125" s="592"/>
      <c r="W125" s="592"/>
      <c r="X125" s="592"/>
      <c r="Y125" s="592"/>
      <c r="Z125" s="592"/>
      <c r="AA125" s="592"/>
      <c r="AB125" s="592"/>
      <c r="AC125" s="592"/>
      <c r="AD125" s="584"/>
      <c r="AE125" s="21"/>
      <c r="AF125" s="21"/>
      <c r="AG125" s="21"/>
      <c r="AH125" s="21"/>
      <c r="AU125" s="635"/>
      <c r="AV125" s="635"/>
      <c r="AW125" s="632"/>
      <c r="AX125" s="631"/>
      <c r="AY125" s="631"/>
      <c r="AZ125" s="631"/>
      <c r="BA125" s="631"/>
      <c r="BB125" s="631"/>
      <c r="BC125" s="522"/>
    </row>
    <row r="126" spans="1:55" ht="24.75" customHeight="1" x14ac:dyDescent="0.2">
      <c r="A126" s="575"/>
      <c r="B126" s="530"/>
      <c r="C126" s="531"/>
      <c r="D126" s="531"/>
      <c r="E126" s="532"/>
      <c r="F126" s="533" t="str">
        <f>IF(D126="","",IF(D126=conventionnel,BDD!HX78,BDD!HX78*1.2))</f>
        <v/>
      </c>
      <c r="G126" s="601" t="str">
        <f>IF(D126="","",IF(D126=conventionnel,BDD!HY78,BDD!HZ78))</f>
        <v/>
      </c>
      <c r="H126" s="601"/>
      <c r="I126" s="601"/>
      <c r="J126" s="1596"/>
      <c r="K126" s="1596"/>
      <c r="L126" s="530"/>
      <c r="M126" s="531"/>
      <c r="N126" s="531"/>
      <c r="O126" s="532"/>
      <c r="P126" s="533" t="str">
        <f>IF(N126="","",IF(N126=conventionnel,BDD!IH78,BDD!IH78*1.2))</f>
        <v/>
      </c>
      <c r="Q126" s="601" t="str">
        <f>IF(N126="","",IF(N126=conventionnel,BDD!II78,BDD!IJ78))</f>
        <v/>
      </c>
      <c r="R126" s="583"/>
      <c r="S126" s="592"/>
      <c r="T126" s="592"/>
      <c r="U126" s="592"/>
      <c r="V126" s="592"/>
      <c r="W126" s="592"/>
      <c r="X126" s="592"/>
      <c r="Y126" s="592"/>
      <c r="Z126" s="592"/>
      <c r="AA126" s="592"/>
      <c r="AB126" s="592"/>
      <c r="AC126" s="592"/>
      <c r="AD126" s="584"/>
      <c r="AE126" s="21"/>
      <c r="AF126" s="21"/>
      <c r="AG126" s="21"/>
      <c r="AH126" s="21"/>
      <c r="AU126" s="635"/>
      <c r="AV126" s="635"/>
      <c r="AW126" s="631"/>
      <c r="AX126" s="631"/>
      <c r="AY126" s="631"/>
      <c r="AZ126" s="631"/>
      <c r="BA126" s="632"/>
      <c r="BB126" s="632"/>
      <c r="BC126" s="522"/>
    </row>
    <row r="127" spans="1:55" ht="24.75" customHeight="1" x14ac:dyDescent="0.2">
      <c r="A127" s="575"/>
      <c r="B127" s="530"/>
      <c r="C127" s="531"/>
      <c r="D127" s="531"/>
      <c r="E127" s="532"/>
      <c r="F127" s="533" t="str">
        <f>IF(D127="","",IF(D127=conventionnel,BDD!HX79,BDD!HX79*1.2))</f>
        <v/>
      </c>
      <c r="G127" s="601" t="str">
        <f>IF(D127="","",IF(D127=conventionnel,BDD!HY79,BDD!HZ79))</f>
        <v/>
      </c>
      <c r="H127" s="601"/>
      <c r="I127" s="601"/>
      <c r="J127" s="1596"/>
      <c r="K127" s="1596"/>
      <c r="L127" s="530"/>
      <c r="M127" s="531"/>
      <c r="N127" s="531"/>
      <c r="O127" s="532"/>
      <c r="P127" s="533" t="str">
        <f>IF(N127="","",IF(N127=conventionnel,BDD!IH79,BDD!IH79*1.2))</f>
        <v/>
      </c>
      <c r="Q127" s="601" t="str">
        <f>IF(N127="","",IF(N127=conventionnel,BDD!II79,BDD!IJ79))</f>
        <v/>
      </c>
      <c r="R127" s="583"/>
      <c r="S127" s="592"/>
      <c r="T127" s="592"/>
      <c r="U127" s="592"/>
      <c r="V127" s="592"/>
      <c r="W127" s="592"/>
      <c r="X127" s="592"/>
      <c r="Y127" s="592"/>
      <c r="Z127" s="592"/>
      <c r="AA127" s="592"/>
      <c r="AB127" s="592"/>
      <c r="AC127" s="592"/>
      <c r="AD127" s="584"/>
      <c r="AE127" s="21"/>
      <c r="AF127" s="21"/>
      <c r="AG127" s="21"/>
      <c r="AH127" s="21"/>
      <c r="AU127" s="522"/>
      <c r="AV127" s="522"/>
      <c r="AW127" s="522"/>
      <c r="AX127" s="522"/>
      <c r="AY127" s="522"/>
      <c r="AZ127" s="522"/>
      <c r="BA127" s="522"/>
      <c r="BB127" s="522"/>
      <c r="BC127" s="522"/>
    </row>
    <row r="128" spans="1:55" ht="24.75" customHeight="1" x14ac:dyDescent="0.2">
      <c r="A128" s="575"/>
      <c r="B128" s="530"/>
      <c r="C128" s="531"/>
      <c r="D128" s="531"/>
      <c r="E128" s="532"/>
      <c r="F128" s="533" t="str">
        <f>IF(D128="","",IF(D128=conventionnel,BDD!HX80,BDD!HX80*1.2))</f>
        <v/>
      </c>
      <c r="G128" s="601" t="str">
        <f>IF(D128="","",IF(D128=conventionnel,BDD!HY80,BDD!HZ80))</f>
        <v/>
      </c>
      <c r="H128" s="601"/>
      <c r="I128" s="601"/>
      <c r="J128" s="1596"/>
      <c r="K128" s="1596"/>
      <c r="L128" s="530"/>
      <c r="M128" s="531"/>
      <c r="N128" s="531"/>
      <c r="O128" s="532"/>
      <c r="P128" s="533" t="str">
        <f>IF(N128="","",IF(N128=conventionnel,BDD!IH80,BDD!IH80*1.2))</f>
        <v/>
      </c>
      <c r="Q128" s="601" t="str">
        <f>IF(N128="","",IF(N128=conventionnel,BDD!II80,BDD!IJ80))</f>
        <v/>
      </c>
      <c r="R128" s="583"/>
      <c r="S128" s="592"/>
      <c r="T128" s="592"/>
      <c r="U128" s="592"/>
      <c r="V128" s="592"/>
      <c r="W128" s="592"/>
      <c r="X128" s="592"/>
      <c r="Y128" s="592"/>
      <c r="Z128" s="592"/>
      <c r="AA128" s="592"/>
      <c r="AB128" s="592"/>
      <c r="AC128" s="592"/>
      <c r="AD128" s="584"/>
      <c r="AE128" s="21"/>
      <c r="AF128" s="21"/>
      <c r="AG128" s="21"/>
      <c r="AH128" s="21"/>
      <c r="AU128" s="522"/>
      <c r="AV128" s="522"/>
      <c r="AW128" s="522"/>
      <c r="AX128" s="522"/>
      <c r="AY128" s="522"/>
      <c r="AZ128" s="522"/>
      <c r="BA128" s="522"/>
      <c r="BB128" s="522"/>
      <c r="BC128" s="522"/>
    </row>
    <row r="129" spans="1:55" ht="24.75" customHeight="1" x14ac:dyDescent="0.2">
      <c r="A129" s="575"/>
      <c r="B129" s="530"/>
      <c r="C129" s="531"/>
      <c r="D129" s="531"/>
      <c r="E129" s="532"/>
      <c r="F129" s="533" t="str">
        <f>IF(D129="","",IF(D129=conventionnel,BDD!HX81,BDD!HX81*1.2))</f>
        <v/>
      </c>
      <c r="G129" s="601" t="str">
        <f>IF(D129="","",IF(D129=conventionnel,BDD!HY81,BDD!HZ81))</f>
        <v/>
      </c>
      <c r="H129" s="601"/>
      <c r="I129" s="601"/>
      <c r="J129" s="1596"/>
      <c r="K129" s="1596"/>
      <c r="L129" s="530"/>
      <c r="M129" s="531"/>
      <c r="N129" s="531"/>
      <c r="O129" s="532"/>
      <c r="P129" s="533" t="str">
        <f>IF(N129="","",IF(N129=conventionnel,BDD!IH81,BDD!IH81*1.2))</f>
        <v/>
      </c>
      <c r="Q129" s="601" t="str">
        <f>IF(N129="","",IF(N129=conventionnel,BDD!II81,BDD!IJ81))</f>
        <v/>
      </c>
      <c r="R129" s="583"/>
      <c r="S129" s="592"/>
      <c r="T129" s="592"/>
      <c r="U129" s="592"/>
      <c r="V129" s="592"/>
      <c r="W129" s="592"/>
      <c r="X129" s="592"/>
      <c r="Y129" s="592"/>
      <c r="Z129" s="592"/>
      <c r="AA129" s="592"/>
      <c r="AB129" s="592"/>
      <c r="AC129" s="592"/>
      <c r="AD129" s="584"/>
      <c r="AE129" s="21"/>
      <c r="AF129" s="21"/>
      <c r="AG129" s="21"/>
      <c r="AH129" s="21"/>
      <c r="AU129" s="535"/>
      <c r="AV129" s="522"/>
      <c r="AW129" s="522"/>
      <c r="AX129" s="522"/>
      <c r="AY129" s="522"/>
      <c r="AZ129" s="522"/>
      <c r="BA129" s="522"/>
      <c r="BB129" s="522"/>
      <c r="BC129" s="522"/>
    </row>
    <row r="130" spans="1:55" ht="24.75" customHeight="1" x14ac:dyDescent="0.2">
      <c r="A130" s="575"/>
      <c r="B130" s="530"/>
      <c r="C130" s="531"/>
      <c r="D130" s="531"/>
      <c r="E130" s="532"/>
      <c r="F130" s="533" t="str">
        <f>IF(D130="","",IF(D130=conventionnel,BDD!HX82,BDD!HX82*1.2))</f>
        <v/>
      </c>
      <c r="G130" s="601" t="str">
        <f>IF(D130="","",IF(D130=conventionnel,BDD!HY82,BDD!HZ82))</f>
        <v/>
      </c>
      <c r="H130" s="601"/>
      <c r="I130" s="601"/>
      <c r="J130" s="1596"/>
      <c r="K130" s="1596"/>
      <c r="L130" s="530"/>
      <c r="M130" s="531"/>
      <c r="N130" s="531"/>
      <c r="O130" s="532"/>
      <c r="P130" s="533" t="str">
        <f>IF(N130="","",IF(N130=conventionnel,BDD!IH82,BDD!IH82*1.2))</f>
        <v/>
      </c>
      <c r="Q130" s="601" t="str">
        <f>IF(N130="","",IF(N130=conventionnel,BDD!II82,BDD!IJ82))</f>
        <v/>
      </c>
      <c r="R130" s="583"/>
      <c r="S130" s="592"/>
      <c r="T130" s="592"/>
      <c r="U130" s="592"/>
      <c r="V130" s="592"/>
      <c r="W130" s="592"/>
      <c r="X130" s="592"/>
      <c r="Y130" s="592"/>
      <c r="Z130" s="592"/>
      <c r="AA130" s="592"/>
      <c r="AB130" s="592"/>
      <c r="AC130" s="592"/>
      <c r="AD130" s="584"/>
      <c r="AE130" s="21"/>
      <c r="AF130" s="21"/>
      <c r="AG130" s="21"/>
      <c r="AH130" s="21"/>
      <c r="AZ130" s="462"/>
      <c r="BA130" s="462"/>
      <c r="BB130" s="462"/>
      <c r="BC130" s="462"/>
    </row>
    <row r="131" spans="1:55" ht="24.75" customHeight="1" x14ac:dyDescent="0.2">
      <c r="A131" s="575"/>
      <c r="B131" s="530"/>
      <c r="C131" s="531"/>
      <c r="D131" s="531"/>
      <c r="E131" s="532"/>
      <c r="F131" s="533" t="str">
        <f>IF(D131="","",IF(D131=conventionnel,BDD!HX83,BDD!HX83*1.2))</f>
        <v/>
      </c>
      <c r="G131" s="601" t="str">
        <f>IF(D131="","",IF(D131=conventionnel,BDD!HY83,BDD!HZ83))</f>
        <v/>
      </c>
      <c r="H131" s="601"/>
      <c r="I131" s="601"/>
      <c r="J131" s="1596"/>
      <c r="K131" s="1596"/>
      <c r="L131" s="530"/>
      <c r="M131" s="531"/>
      <c r="N131" s="531"/>
      <c r="O131" s="532"/>
      <c r="P131" s="533" t="str">
        <f>IF(N131="","",IF(N131=conventionnel,BDD!IH83,BDD!IH83*1.2))</f>
        <v/>
      </c>
      <c r="Q131" s="601" t="str">
        <f>IF(N131="","",IF(N131=conventionnel,BDD!II83,BDD!IJ83))</f>
        <v/>
      </c>
      <c r="R131" s="583"/>
      <c r="S131" s="592"/>
      <c r="T131" s="592"/>
      <c r="U131" s="592"/>
      <c r="V131" s="592"/>
      <c r="W131" s="592"/>
      <c r="X131" s="592"/>
      <c r="Y131" s="592"/>
      <c r="Z131" s="592"/>
      <c r="AA131" s="592"/>
      <c r="AB131" s="592"/>
      <c r="AC131" s="592"/>
      <c r="AD131" s="584"/>
      <c r="AE131" s="21"/>
      <c r="AF131" s="21"/>
      <c r="AG131" s="21"/>
      <c r="AH131" s="21"/>
      <c r="AZ131" s="462"/>
      <c r="BA131" s="462"/>
      <c r="BB131" s="462"/>
      <c r="BC131" s="462"/>
    </row>
    <row r="132" spans="1:55" ht="24.75" customHeight="1" x14ac:dyDescent="0.2">
      <c r="A132" s="575"/>
      <c r="B132" s="530"/>
      <c r="C132" s="531"/>
      <c r="D132" s="531"/>
      <c r="E132" s="532"/>
      <c r="F132" s="533" t="str">
        <f>IF(D132="","",IF(D132=conventionnel,BDD!HX84,BDD!HX84*1.2))</f>
        <v/>
      </c>
      <c r="G132" s="601" t="str">
        <f>IF(D132="","",IF(D132=conventionnel,BDD!HY84,BDD!HZ84))</f>
        <v/>
      </c>
      <c r="H132" s="601"/>
      <c r="I132" s="601"/>
      <c r="J132" s="1596"/>
      <c r="K132" s="1596"/>
      <c r="L132" s="530"/>
      <c r="M132" s="531"/>
      <c r="N132" s="531"/>
      <c r="O132" s="532"/>
      <c r="P132" s="533" t="str">
        <f>IF(N132="","",IF(N132=conventionnel,BDD!IH84,BDD!IH84*1.2))</f>
        <v/>
      </c>
      <c r="Q132" s="601" t="str">
        <f>IF(N132="","",IF(N132=conventionnel,BDD!II84,BDD!IJ84))</f>
        <v/>
      </c>
      <c r="R132" s="583"/>
      <c r="S132" s="592"/>
      <c r="T132" s="592"/>
      <c r="U132" s="592"/>
      <c r="V132" s="592"/>
      <c r="W132" s="592"/>
      <c r="X132" s="592"/>
      <c r="Y132" s="592"/>
      <c r="Z132" s="592"/>
      <c r="AA132" s="592"/>
      <c r="AB132" s="592"/>
      <c r="AC132" s="592"/>
      <c r="AD132" s="584"/>
      <c r="AE132" s="21"/>
      <c r="AF132" s="21"/>
      <c r="AG132" s="21"/>
      <c r="AH132" s="21"/>
      <c r="AZ132" s="462"/>
      <c r="BA132" s="462"/>
      <c r="BB132" s="462"/>
      <c r="BC132" s="462"/>
    </row>
    <row r="133" spans="1:55" s="462" customFormat="1" ht="24.75" customHeight="1" x14ac:dyDescent="0.2">
      <c r="A133" s="575"/>
      <c r="B133" s="530"/>
      <c r="C133" s="531"/>
      <c r="D133" s="531"/>
      <c r="E133" s="532"/>
      <c r="F133" s="533" t="str">
        <f>IF(D133="","",IF(D133=conventionnel,BDD!HX85,BDD!HX85*1.2))</f>
        <v/>
      </c>
      <c r="G133" s="601" t="str">
        <f>IF(D133="","",IF(D133=conventionnel,BDD!HY85,BDD!HZ85))</f>
        <v/>
      </c>
      <c r="H133" s="601"/>
      <c r="I133" s="601"/>
      <c r="J133" s="1596"/>
      <c r="K133" s="1596"/>
      <c r="L133" s="530"/>
      <c r="M133" s="531"/>
      <c r="N133" s="531"/>
      <c r="O133" s="532"/>
      <c r="P133" s="533" t="str">
        <f>IF(N133="","",IF(N133=conventionnel,BDD!IH85,BDD!IH85*1.2))</f>
        <v/>
      </c>
      <c r="Q133" s="601" t="str">
        <f>IF(N133="","",IF(N133=conventionnel,BDD!II85,BDD!IJ85))</f>
        <v/>
      </c>
      <c r="R133" s="583"/>
      <c r="S133" s="592"/>
      <c r="T133" s="592"/>
      <c r="U133" s="592"/>
      <c r="V133" s="592"/>
      <c r="W133" s="592"/>
      <c r="X133" s="592"/>
      <c r="Y133" s="592"/>
      <c r="Z133" s="592"/>
      <c r="AA133" s="592"/>
      <c r="AB133" s="592"/>
      <c r="AC133" s="592"/>
      <c r="AD133" s="584"/>
      <c r="AE133" s="21"/>
      <c r="AF133" s="21"/>
      <c r="AG133" s="21"/>
      <c r="AH133" s="21"/>
    </row>
    <row r="134" spans="1:55" s="462" customFormat="1" ht="24.75" customHeight="1" x14ac:dyDescent="0.2">
      <c r="A134" s="575"/>
      <c r="B134" s="530"/>
      <c r="C134" s="531"/>
      <c r="D134" s="531"/>
      <c r="E134" s="532"/>
      <c r="F134" s="533" t="str">
        <f>IF(D134="","",IF(D134=conventionnel,BDD!HX86,BDD!HX86*1.2))</f>
        <v/>
      </c>
      <c r="G134" s="601" t="str">
        <f>IF(D134="","",IF(D134=conventionnel,BDD!HY86,BDD!HZ86))</f>
        <v/>
      </c>
      <c r="H134" s="601"/>
      <c r="I134" s="601"/>
      <c r="J134" s="1596"/>
      <c r="K134" s="1596"/>
      <c r="L134" s="530"/>
      <c r="M134" s="531"/>
      <c r="N134" s="531"/>
      <c r="O134" s="532"/>
      <c r="P134" s="533" t="str">
        <f>IF(N134="","",IF(N134=conventionnel,BDD!IH86,BDD!IH86*1.2))</f>
        <v/>
      </c>
      <c r="Q134" s="601" t="str">
        <f>IF(N134="","",IF(N134=conventionnel,BDD!II86,BDD!IJ86))</f>
        <v/>
      </c>
      <c r="R134" s="583"/>
      <c r="S134" s="592"/>
      <c r="T134" s="592"/>
      <c r="U134" s="592"/>
      <c r="V134" s="592"/>
      <c r="W134" s="592"/>
      <c r="X134" s="592"/>
      <c r="Y134" s="592"/>
      <c r="Z134" s="592"/>
      <c r="AA134" s="592"/>
      <c r="AB134" s="592"/>
      <c r="AC134" s="592"/>
      <c r="AD134" s="584"/>
      <c r="AE134" s="21"/>
      <c r="AF134" s="21"/>
      <c r="AG134" s="21"/>
      <c r="AH134" s="21"/>
    </row>
    <row r="135" spans="1:55" s="462" customFormat="1" ht="24.75" customHeight="1" x14ac:dyDescent="0.2">
      <c r="A135" s="575"/>
      <c r="B135" s="530"/>
      <c r="C135" s="531"/>
      <c r="D135" s="531"/>
      <c r="E135" s="532"/>
      <c r="F135" s="533" t="str">
        <f>IF(D135="","",IF(D135=conventionnel,BDD!HX87,BDD!HX87*1.2))</f>
        <v/>
      </c>
      <c r="G135" s="601" t="str">
        <f>IF(D135="","",IF(D135=conventionnel,BDD!HY87,BDD!HZ87))</f>
        <v/>
      </c>
      <c r="H135" s="601"/>
      <c r="I135" s="601"/>
      <c r="J135" s="1596"/>
      <c r="K135" s="1596"/>
      <c r="L135" s="530"/>
      <c r="M135" s="531"/>
      <c r="N135" s="531"/>
      <c r="O135" s="532"/>
      <c r="P135" s="533" t="str">
        <f>IF(N135="","",IF(N135=conventionnel,BDD!IH87,BDD!IH87*1.2))</f>
        <v/>
      </c>
      <c r="Q135" s="601" t="str">
        <f>IF(N135="","",IF(N135=conventionnel,BDD!II87,BDD!IJ87))</f>
        <v/>
      </c>
      <c r="R135" s="583"/>
      <c r="S135" s="592"/>
      <c r="T135" s="592"/>
      <c r="U135" s="592"/>
      <c r="V135" s="592"/>
      <c r="W135" s="592"/>
      <c r="X135" s="592"/>
      <c r="Y135" s="592"/>
      <c r="Z135" s="592"/>
      <c r="AA135" s="592"/>
      <c r="AB135" s="592"/>
      <c r="AC135" s="592"/>
      <c r="AD135" s="584"/>
      <c r="AE135" s="21"/>
      <c r="AF135" s="21"/>
      <c r="AG135" s="21"/>
      <c r="AH135" s="21"/>
    </row>
    <row r="136" spans="1:55" s="462" customFormat="1" ht="24.75" customHeight="1" x14ac:dyDescent="0.2">
      <c r="A136" s="575"/>
      <c r="B136" s="530"/>
      <c r="C136" s="531"/>
      <c r="D136" s="531"/>
      <c r="E136" s="532"/>
      <c r="F136" s="533" t="str">
        <f>IF(D136="","",IF(D136=conventionnel,BDD!HX88,BDD!HX88*1.2))</f>
        <v/>
      </c>
      <c r="G136" s="601" t="str">
        <f>IF(D136="","",IF(D136=conventionnel,BDD!HY88,BDD!HZ88))</f>
        <v/>
      </c>
      <c r="H136" s="601"/>
      <c r="I136" s="601"/>
      <c r="J136" s="1596"/>
      <c r="K136" s="1596"/>
      <c r="L136" s="530"/>
      <c r="M136" s="531"/>
      <c r="N136" s="531"/>
      <c r="O136" s="532"/>
      <c r="P136" s="533" t="str">
        <f>IF(N136="","",IF(N136=conventionnel,BDD!IH88,BDD!IH88*1.2))</f>
        <v/>
      </c>
      <c r="Q136" s="601" t="str">
        <f>IF(N136="","",IF(N136=conventionnel,BDD!II88,BDD!IJ88))</f>
        <v/>
      </c>
      <c r="R136" s="583"/>
      <c r="S136" s="592"/>
      <c r="T136" s="592"/>
      <c r="U136" s="592"/>
      <c r="V136" s="592"/>
      <c r="W136" s="592"/>
      <c r="X136" s="592"/>
      <c r="Y136" s="592"/>
      <c r="Z136" s="592"/>
      <c r="AA136" s="592"/>
      <c r="AB136" s="592"/>
      <c r="AC136" s="592"/>
      <c r="AD136" s="584"/>
      <c r="AE136" s="21"/>
      <c r="AF136" s="21"/>
      <c r="AG136" s="21"/>
      <c r="AH136" s="21"/>
    </row>
    <row r="137" spans="1:55" s="462" customFormat="1" ht="24.75" customHeight="1" x14ac:dyDescent="0.2">
      <c r="A137" s="575"/>
      <c r="B137" s="530"/>
      <c r="C137" s="531"/>
      <c r="D137" s="531"/>
      <c r="E137" s="532"/>
      <c r="F137" s="533" t="str">
        <f>IF(D137="","",IF(D137=conventionnel,BDD!HX89,BDD!HX89*1.2))</f>
        <v/>
      </c>
      <c r="G137" s="601" t="str">
        <f>IF(D137="","",IF(D137=conventionnel,BDD!HY89,BDD!HZ89))</f>
        <v/>
      </c>
      <c r="H137" s="601"/>
      <c r="I137" s="601"/>
      <c r="J137" s="1596"/>
      <c r="K137" s="1596"/>
      <c r="L137" s="530"/>
      <c r="M137" s="531"/>
      <c r="N137" s="531"/>
      <c r="O137" s="532"/>
      <c r="P137" s="533" t="str">
        <f>IF(N137="","",IF(N137=conventionnel,BDD!IH89,BDD!IH89*1.2))</f>
        <v/>
      </c>
      <c r="Q137" s="601" t="str">
        <f>IF(N137="","",IF(N137=conventionnel,BDD!II89,BDD!IJ89))</f>
        <v/>
      </c>
      <c r="R137" s="583"/>
      <c r="S137" s="592"/>
      <c r="T137" s="592"/>
      <c r="U137" s="592"/>
      <c r="V137" s="592"/>
      <c r="W137" s="592"/>
      <c r="X137" s="592"/>
      <c r="Y137" s="592"/>
      <c r="Z137" s="592"/>
      <c r="AA137" s="592"/>
      <c r="AB137" s="592"/>
      <c r="AC137" s="592"/>
      <c r="AD137" s="584"/>
      <c r="AE137" s="21"/>
      <c r="AF137" s="21"/>
      <c r="AG137" s="21"/>
      <c r="AH137" s="21"/>
    </row>
    <row r="138" spans="1:55" s="462" customFormat="1" ht="24.75" customHeight="1" x14ac:dyDescent="0.2">
      <c r="A138" s="575"/>
      <c r="B138" s="530"/>
      <c r="C138" s="531"/>
      <c r="D138" s="531"/>
      <c r="E138" s="532"/>
      <c r="F138" s="533" t="str">
        <f>IF(D138="","",IF(D138=conventionnel,BDD!HX90,BDD!HX90*1.2))</f>
        <v/>
      </c>
      <c r="G138" s="601" t="str">
        <f>IF(D138="","",IF(D138=conventionnel,BDD!HY90,BDD!HZ90))</f>
        <v/>
      </c>
      <c r="H138" s="601"/>
      <c r="I138" s="601"/>
      <c r="J138" s="1596"/>
      <c r="K138" s="1596"/>
      <c r="L138" s="530"/>
      <c r="M138" s="531"/>
      <c r="N138" s="531"/>
      <c r="O138" s="532"/>
      <c r="P138" s="533" t="str">
        <f>IF(N138="","",IF(N138=conventionnel,BDD!IH90,BDD!IH90*1.2))</f>
        <v/>
      </c>
      <c r="Q138" s="601" t="str">
        <f>IF(N138="","",IF(N138=conventionnel,BDD!II90,BDD!IJ90))</f>
        <v/>
      </c>
      <c r="R138" s="583"/>
      <c r="S138" s="592"/>
      <c r="T138" s="592"/>
      <c r="U138" s="592"/>
      <c r="V138" s="592"/>
      <c r="W138" s="592"/>
      <c r="X138" s="592"/>
      <c r="Y138" s="592"/>
      <c r="Z138" s="592"/>
      <c r="AA138" s="592"/>
      <c r="AB138" s="592"/>
      <c r="AC138" s="592"/>
      <c r="AD138" s="584"/>
      <c r="AE138" s="21"/>
      <c r="AF138" s="21"/>
      <c r="AG138" s="21"/>
      <c r="AH138" s="21"/>
    </row>
    <row r="139" spans="1:55" s="462" customFormat="1" ht="24.75" customHeight="1" x14ac:dyDescent="0.2">
      <c r="A139" s="575"/>
      <c r="B139" s="530"/>
      <c r="C139" s="531"/>
      <c r="D139" s="531"/>
      <c r="E139" s="532"/>
      <c r="F139" s="533" t="str">
        <f>IF(D139="","",IF(D139=conventionnel,BDD!HX91,BDD!HX91*1.2))</f>
        <v/>
      </c>
      <c r="G139" s="601" t="str">
        <f>IF(D139="","",IF(D139=conventionnel,BDD!HY91,BDD!HZ91))</f>
        <v/>
      </c>
      <c r="H139" s="601"/>
      <c r="I139" s="601"/>
      <c r="J139" s="1596"/>
      <c r="K139" s="1596"/>
      <c r="L139" s="530"/>
      <c r="M139" s="531"/>
      <c r="N139" s="531"/>
      <c r="O139" s="532"/>
      <c r="P139" s="533" t="str">
        <f>IF(N139="","",IF(N139=conventionnel,BDD!IH91,BDD!IH91*1.2))</f>
        <v/>
      </c>
      <c r="Q139" s="601" t="str">
        <f>IF(N139="","",IF(N139=conventionnel,BDD!II91,BDD!IJ91))</f>
        <v/>
      </c>
      <c r="R139" s="583"/>
      <c r="S139" s="592"/>
      <c r="T139" s="592"/>
      <c r="U139" s="592"/>
      <c r="V139" s="592"/>
      <c r="W139" s="592"/>
      <c r="X139" s="592"/>
      <c r="Y139" s="592"/>
      <c r="Z139" s="592"/>
      <c r="AA139" s="592"/>
      <c r="AB139" s="592"/>
      <c r="AC139" s="592"/>
      <c r="AD139" s="584"/>
      <c r="AE139" s="21"/>
      <c r="AF139" s="21"/>
      <c r="AG139" s="21"/>
      <c r="AH139" s="21"/>
    </row>
    <row r="140" spans="1:55" s="462" customFormat="1" ht="24.75" customHeight="1" x14ac:dyDescent="0.2">
      <c r="A140" s="575"/>
      <c r="B140" s="530"/>
      <c r="C140" s="531"/>
      <c r="D140" s="531"/>
      <c r="E140" s="532"/>
      <c r="F140" s="533" t="str">
        <f>IF(D140="","",IF(D140=conventionnel,BDD!HX92,BDD!HX92*1.2))</f>
        <v/>
      </c>
      <c r="G140" s="601" t="str">
        <f>IF(D140="","",IF(D140=conventionnel,BDD!HY92,BDD!HZ92))</f>
        <v/>
      </c>
      <c r="H140" s="601"/>
      <c r="I140" s="601"/>
      <c r="J140" s="1596"/>
      <c r="K140" s="1596"/>
      <c r="L140" s="530"/>
      <c r="M140" s="531"/>
      <c r="N140" s="531"/>
      <c r="O140" s="532"/>
      <c r="P140" s="533" t="str">
        <f>IF(N140="","",IF(N140=conventionnel,BDD!IH92,BDD!IH92*1.2))</f>
        <v/>
      </c>
      <c r="Q140" s="601" t="str">
        <f>IF(N140="","",IF(N140=conventionnel,BDD!II92,BDD!IJ92))</f>
        <v/>
      </c>
      <c r="R140" s="583"/>
      <c r="S140" s="592"/>
      <c r="T140" s="592"/>
      <c r="U140" s="592"/>
      <c r="V140" s="592"/>
      <c r="W140" s="592"/>
      <c r="X140" s="592"/>
      <c r="Y140" s="592"/>
      <c r="Z140" s="592"/>
      <c r="AA140" s="592"/>
      <c r="AB140" s="592"/>
      <c r="AC140" s="592"/>
      <c r="AD140" s="584"/>
      <c r="AE140" s="21"/>
      <c r="AF140" s="21"/>
      <c r="AG140" s="21"/>
      <c r="AH140" s="21"/>
    </row>
    <row r="141" spans="1:55" s="462" customFormat="1" ht="24.75" customHeight="1" x14ac:dyDescent="0.2">
      <c r="A141" s="575"/>
      <c r="B141" s="530"/>
      <c r="C141" s="531"/>
      <c r="D141" s="531"/>
      <c r="E141" s="532"/>
      <c r="F141" s="533" t="str">
        <f>IF(D141="","",IF(D141=conventionnel,BDD!HX93,BDD!HX93*1.2))</f>
        <v/>
      </c>
      <c r="G141" s="601" t="str">
        <f>IF(D141="","",IF(D141=conventionnel,BDD!HY93,BDD!HZ93))</f>
        <v/>
      </c>
      <c r="H141" s="601"/>
      <c r="I141" s="601"/>
      <c r="J141" s="1596"/>
      <c r="K141" s="1596"/>
      <c r="L141" s="530"/>
      <c r="M141" s="531"/>
      <c r="N141" s="531"/>
      <c r="O141" s="532"/>
      <c r="P141" s="533" t="str">
        <f>IF(N141="","",IF(N141=conventionnel,BDD!IH93,BDD!IH93*1.2))</f>
        <v/>
      </c>
      <c r="Q141" s="601" t="str">
        <f>IF(N141="","",IF(N141=conventionnel,BDD!II93,BDD!IJ93))</f>
        <v/>
      </c>
      <c r="R141" s="583"/>
      <c r="S141" s="592"/>
      <c r="T141" s="592"/>
      <c r="U141" s="592"/>
      <c r="V141" s="592"/>
      <c r="W141" s="592"/>
      <c r="X141" s="592"/>
      <c r="Y141" s="592"/>
      <c r="Z141" s="592"/>
      <c r="AA141" s="592"/>
      <c r="AB141" s="592"/>
      <c r="AC141" s="592"/>
      <c r="AD141" s="584"/>
      <c r="AE141" s="21"/>
      <c r="AF141" s="21"/>
      <c r="AG141" s="21"/>
      <c r="AH141" s="21"/>
    </row>
    <row r="142" spans="1:55" s="462" customFormat="1" x14ac:dyDescent="0.2">
      <c r="A142" s="1128"/>
      <c r="B142" s="577"/>
      <c r="C142" s="577"/>
      <c r="D142" s="577"/>
      <c r="E142" s="577"/>
      <c r="F142" s="578"/>
      <c r="G142" s="579"/>
      <c r="H142" s="579"/>
      <c r="I142" s="579"/>
      <c r="J142" s="577"/>
      <c r="K142" s="581"/>
      <c r="L142" s="581"/>
      <c r="M142" s="581"/>
      <c r="N142" s="581"/>
      <c r="O142" s="581"/>
      <c r="P142" s="580"/>
      <c r="Q142" s="580"/>
      <c r="R142" s="582"/>
      <c r="S142" s="582"/>
      <c r="T142" s="582"/>
      <c r="U142" s="582"/>
      <c r="V142" s="583"/>
      <c r="W142" s="583"/>
      <c r="X142" s="583"/>
      <c r="Y142" s="583"/>
      <c r="Z142" s="583"/>
      <c r="AA142" s="583"/>
      <c r="AB142" s="583"/>
      <c r="AC142" s="583"/>
      <c r="AD142" s="584"/>
      <c r="AE142" s="21"/>
      <c r="AF142" s="21"/>
      <c r="AG142" s="21"/>
      <c r="AH142" s="21"/>
    </row>
    <row r="143" spans="1:55" s="462" customFormat="1" x14ac:dyDescent="0.2">
      <c r="A143" s="31" t="s">
        <v>575</v>
      </c>
      <c r="B143" s="960" t="s">
        <v>162</v>
      </c>
      <c r="C143" s="578"/>
      <c r="D143" s="578"/>
      <c r="E143" s="578"/>
      <c r="F143" s="578"/>
      <c r="G143" s="579"/>
      <c r="H143" s="579"/>
      <c r="I143" s="579"/>
      <c r="J143" s="578"/>
      <c r="K143" s="580"/>
      <c r="L143" s="580"/>
      <c r="M143" s="580"/>
      <c r="N143" s="580"/>
      <c r="O143" s="580"/>
      <c r="P143" s="580"/>
      <c r="Q143" s="580"/>
      <c r="R143" s="582"/>
      <c r="S143" s="582"/>
      <c r="T143" s="582"/>
      <c r="U143" s="582"/>
      <c r="V143" s="583"/>
      <c r="W143" s="583"/>
      <c r="X143" s="583"/>
      <c r="Y143" s="583"/>
      <c r="Z143" s="583"/>
      <c r="AA143" s="583"/>
      <c r="AB143" s="583"/>
      <c r="AC143" s="583"/>
      <c r="AD143" s="584"/>
      <c r="AE143" s="21"/>
      <c r="AF143" s="21"/>
      <c r="AG143" s="21"/>
      <c r="AH143" s="21"/>
    </row>
    <row r="144" spans="1:55" s="462" customFormat="1" ht="13.5" thickBot="1" x14ac:dyDescent="0.25">
      <c r="A144" s="585"/>
      <c r="B144" s="586"/>
      <c r="C144" s="587"/>
      <c r="D144" s="587"/>
      <c r="E144" s="586"/>
      <c r="F144" s="586"/>
      <c r="G144" s="586"/>
      <c r="H144" s="586"/>
      <c r="I144" s="586"/>
      <c r="J144" s="586"/>
      <c r="K144" s="586"/>
      <c r="L144" s="586"/>
      <c r="M144" s="586"/>
      <c r="N144" s="586"/>
      <c r="O144" s="586"/>
      <c r="P144" s="588"/>
      <c r="Q144" s="588"/>
      <c r="R144" s="588"/>
      <c r="S144" s="588"/>
      <c r="T144" s="588"/>
      <c r="U144" s="588"/>
      <c r="V144" s="588"/>
      <c r="W144" s="588"/>
      <c r="X144" s="588"/>
      <c r="Y144" s="588"/>
      <c r="Z144" s="588"/>
      <c r="AA144" s="588"/>
      <c r="AB144" s="589"/>
      <c r="AC144" s="2"/>
      <c r="AD144" s="2"/>
      <c r="AE144" s="2"/>
      <c r="AF144" s="2"/>
    </row>
    <row r="145" spans="1:51" s="462" customFormat="1" x14ac:dyDescent="0.2">
      <c r="A145" s="2"/>
      <c r="B145" s="2"/>
      <c r="C145" s="536"/>
      <c r="D145" s="2"/>
      <c r="E145" s="2"/>
      <c r="F145" s="2"/>
      <c r="G145" s="2"/>
      <c r="H145" s="2"/>
      <c r="I145" s="2"/>
      <c r="J145" s="2"/>
      <c r="K145" s="2"/>
      <c r="L145" s="2"/>
      <c r="M145" s="2"/>
      <c r="N145" s="21"/>
      <c r="O145" s="21"/>
      <c r="P145" s="21"/>
      <c r="Q145" s="21"/>
      <c r="R145" s="21"/>
      <c r="S145" s="21"/>
      <c r="T145" s="21"/>
      <c r="U145" s="21"/>
      <c r="V145" s="21"/>
      <c r="W145" s="21"/>
      <c r="X145" s="21"/>
      <c r="Y145" s="21"/>
      <c r="Z145" s="21"/>
      <c r="AA145" s="2"/>
      <c r="AB145" s="2"/>
      <c r="AC145" s="2"/>
      <c r="AD145" s="2"/>
    </row>
    <row r="146" spans="1:51" s="463" customFormat="1" x14ac:dyDescent="0.2">
      <c r="AE146" s="624"/>
      <c r="AF146" s="624"/>
      <c r="AG146" s="624"/>
      <c r="AH146" s="624"/>
      <c r="AI146" s="624"/>
      <c r="AJ146" s="624"/>
      <c r="AK146" s="624"/>
      <c r="AL146" s="624"/>
      <c r="AM146" s="624"/>
      <c r="AN146" s="624"/>
      <c r="AO146" s="624"/>
      <c r="AP146" s="624"/>
      <c r="AQ146" s="624"/>
      <c r="AR146" s="624"/>
      <c r="AS146" s="624"/>
      <c r="AT146" s="624"/>
      <c r="AU146" s="624"/>
      <c r="AV146" s="624"/>
      <c r="AW146" s="624"/>
      <c r="AX146" s="624"/>
      <c r="AY146" s="624"/>
    </row>
    <row r="147" spans="1:51" s="463" customFormat="1" x14ac:dyDescent="0.2">
      <c r="AE147" s="624"/>
      <c r="AF147" s="624"/>
      <c r="AG147" s="624"/>
      <c r="AH147" s="624"/>
      <c r="AI147" s="624"/>
      <c r="AJ147" s="624"/>
      <c r="AK147" s="624"/>
      <c r="AL147" s="624"/>
      <c r="AM147" s="624"/>
      <c r="AN147" s="624"/>
      <c r="AO147" s="624"/>
      <c r="AP147" s="624"/>
      <c r="AQ147" s="624"/>
      <c r="AR147" s="624"/>
      <c r="AS147" s="624"/>
      <c r="AT147" s="624"/>
      <c r="AU147" s="624"/>
      <c r="AV147" s="624"/>
      <c r="AW147" s="624"/>
      <c r="AX147" s="624"/>
      <c r="AY147" s="624"/>
    </row>
    <row r="148" spans="1:51" s="463" customFormat="1" x14ac:dyDescent="0.2">
      <c r="AE148" s="624"/>
      <c r="AF148" s="624"/>
      <c r="AG148" s="624"/>
      <c r="AH148" s="624"/>
      <c r="AI148" s="624"/>
      <c r="AJ148" s="624"/>
      <c r="AK148" s="624"/>
      <c r="AL148" s="624"/>
      <c r="AM148" s="624"/>
      <c r="AN148" s="624"/>
      <c r="AO148" s="624"/>
      <c r="AP148" s="624"/>
      <c r="AQ148" s="624"/>
      <c r="AR148" s="624"/>
      <c r="AS148" s="624"/>
      <c r="AT148" s="624"/>
      <c r="AU148" s="624"/>
      <c r="AV148" s="624"/>
      <c r="AW148" s="624"/>
      <c r="AX148" s="624"/>
      <c r="AY148" s="624"/>
    </row>
    <row r="149" spans="1:51" s="463" customFormat="1" x14ac:dyDescent="0.2">
      <c r="AE149" s="624"/>
      <c r="AF149" s="624"/>
      <c r="AG149" s="624"/>
      <c r="AH149" s="624"/>
      <c r="AI149" s="624"/>
      <c r="AJ149" s="624"/>
      <c r="AK149" s="624"/>
      <c r="AL149" s="624"/>
      <c r="AM149" s="624"/>
      <c r="AN149" s="624"/>
      <c r="AO149" s="624"/>
      <c r="AP149" s="624"/>
      <c r="AQ149" s="624"/>
      <c r="AR149" s="624"/>
      <c r="AS149" s="624"/>
      <c r="AT149" s="624"/>
      <c r="AU149" s="624"/>
      <c r="AV149" s="624"/>
      <c r="AW149" s="624"/>
      <c r="AX149" s="624"/>
      <c r="AY149" s="624"/>
    </row>
    <row r="150" spans="1:51" s="463" customFormat="1" x14ac:dyDescent="0.2">
      <c r="AE150" s="624"/>
      <c r="AF150" s="624"/>
      <c r="AG150" s="624"/>
      <c r="AH150" s="624"/>
      <c r="AI150" s="624"/>
      <c r="AJ150" s="624"/>
      <c r="AK150" s="624"/>
      <c r="AL150" s="624"/>
      <c r="AM150" s="624"/>
      <c r="AN150" s="624"/>
      <c r="AO150" s="624"/>
      <c r="AP150" s="624"/>
      <c r="AQ150" s="624"/>
      <c r="AR150" s="624"/>
      <c r="AS150" s="624"/>
      <c r="AT150" s="624"/>
      <c r="AU150" s="624"/>
      <c r="AV150" s="624"/>
      <c r="AW150" s="624"/>
      <c r="AX150" s="624"/>
      <c r="AY150" s="624"/>
    </row>
    <row r="151" spans="1:51" s="463" customFormat="1" x14ac:dyDescent="0.2">
      <c r="AE151" s="624"/>
      <c r="AF151" s="624"/>
      <c r="AG151" s="624"/>
      <c r="AH151" s="624"/>
      <c r="AI151" s="624"/>
      <c r="AJ151" s="624"/>
      <c r="AK151" s="624"/>
      <c r="AL151" s="624"/>
      <c r="AM151" s="624"/>
      <c r="AN151" s="624"/>
      <c r="AO151" s="624"/>
      <c r="AP151" s="624"/>
      <c r="AQ151" s="624"/>
      <c r="AR151" s="624"/>
      <c r="AS151" s="624"/>
      <c r="AT151" s="624"/>
      <c r="AU151" s="624"/>
      <c r="AV151" s="624"/>
      <c r="AW151" s="624"/>
      <c r="AX151" s="624"/>
      <c r="AY151" s="624"/>
    </row>
    <row r="152" spans="1:51" s="463" customFormat="1" x14ac:dyDescent="0.2">
      <c r="AE152" s="624"/>
      <c r="AF152" s="624"/>
      <c r="AG152" s="624"/>
      <c r="AH152" s="624"/>
      <c r="AI152" s="624"/>
      <c r="AJ152" s="624"/>
      <c r="AK152" s="624"/>
      <c r="AL152" s="624"/>
      <c r="AM152" s="624"/>
      <c r="AN152" s="624"/>
      <c r="AO152" s="624"/>
      <c r="AP152" s="624"/>
      <c r="AQ152" s="624"/>
      <c r="AR152" s="624"/>
      <c r="AS152" s="624"/>
      <c r="AT152" s="624"/>
      <c r="AU152" s="624"/>
      <c r="AV152" s="624"/>
      <c r="AW152" s="624"/>
      <c r="AX152" s="624"/>
      <c r="AY152" s="624"/>
    </row>
    <row r="153" spans="1:51" s="463" customFormat="1" x14ac:dyDescent="0.2">
      <c r="AE153" s="624"/>
      <c r="AF153" s="624"/>
      <c r="AG153" s="624"/>
      <c r="AH153" s="624"/>
      <c r="AI153" s="624"/>
      <c r="AJ153" s="624"/>
      <c r="AK153" s="624"/>
      <c r="AL153" s="624"/>
      <c r="AM153" s="624"/>
      <c r="AN153" s="624"/>
      <c r="AO153" s="624"/>
      <c r="AP153" s="624"/>
      <c r="AQ153" s="624"/>
      <c r="AR153" s="624"/>
      <c r="AS153" s="624"/>
      <c r="AT153" s="624"/>
      <c r="AU153" s="624"/>
      <c r="AV153" s="624"/>
      <c r="AW153" s="624"/>
      <c r="AX153" s="624"/>
      <c r="AY153" s="624"/>
    </row>
    <row r="154" spans="1:51" s="463" customFormat="1" x14ac:dyDescent="0.2">
      <c r="AE154" s="624"/>
      <c r="AF154" s="624"/>
      <c r="AG154" s="624"/>
      <c r="AH154" s="624"/>
      <c r="AI154" s="624"/>
      <c r="AJ154" s="624"/>
      <c r="AK154" s="624"/>
      <c r="AL154" s="624"/>
      <c r="AM154" s="624"/>
      <c r="AN154" s="624"/>
      <c r="AO154" s="624"/>
      <c r="AP154" s="624"/>
      <c r="AQ154" s="624"/>
      <c r="AR154" s="624"/>
      <c r="AS154" s="624"/>
      <c r="AT154" s="624"/>
      <c r="AU154" s="624"/>
      <c r="AV154" s="624"/>
      <c r="AW154" s="624"/>
      <c r="AX154" s="624"/>
      <c r="AY154" s="624"/>
    </row>
    <row r="155" spans="1:51" s="463" customFormat="1" x14ac:dyDescent="0.2">
      <c r="AE155" s="624"/>
      <c r="AF155" s="624"/>
      <c r="AG155" s="624"/>
      <c r="AH155" s="624"/>
      <c r="AI155" s="624"/>
      <c r="AJ155" s="624"/>
      <c r="AK155" s="624"/>
      <c r="AL155" s="624"/>
      <c r="AM155" s="624"/>
      <c r="AN155" s="624"/>
      <c r="AO155" s="624"/>
      <c r="AP155" s="624"/>
      <c r="AQ155" s="624"/>
      <c r="AR155" s="624"/>
      <c r="AS155" s="624"/>
      <c r="AT155" s="624"/>
      <c r="AU155" s="624"/>
      <c r="AV155" s="624"/>
      <c r="AW155" s="624"/>
      <c r="AX155" s="624"/>
      <c r="AY155" s="624"/>
    </row>
    <row r="156" spans="1:51" s="463" customFormat="1" x14ac:dyDescent="0.2">
      <c r="AE156" s="624"/>
      <c r="AF156" s="624"/>
      <c r="AG156" s="624"/>
      <c r="AH156" s="624"/>
      <c r="AI156" s="624"/>
      <c r="AJ156" s="624"/>
      <c r="AK156" s="624"/>
      <c r="AL156" s="624"/>
      <c r="AM156" s="624"/>
      <c r="AN156" s="624"/>
      <c r="AO156" s="624"/>
      <c r="AP156" s="624"/>
      <c r="AQ156" s="624"/>
      <c r="AR156" s="624"/>
      <c r="AS156" s="624"/>
      <c r="AT156" s="624"/>
      <c r="AU156" s="624"/>
      <c r="AV156" s="624"/>
      <c r="AW156" s="624"/>
      <c r="AX156" s="624"/>
      <c r="AY156" s="624"/>
    </row>
    <row r="157" spans="1:51" s="463" customFormat="1" x14ac:dyDescent="0.2">
      <c r="AE157" s="624"/>
      <c r="AF157" s="624"/>
      <c r="AG157" s="624"/>
      <c r="AH157" s="624"/>
      <c r="AI157" s="624"/>
      <c r="AJ157" s="624"/>
      <c r="AK157" s="624"/>
      <c r="AL157" s="624"/>
      <c r="AM157" s="624"/>
      <c r="AN157" s="624"/>
      <c r="AO157" s="624"/>
      <c r="AP157" s="624"/>
      <c r="AQ157" s="624"/>
      <c r="AR157" s="624"/>
      <c r="AS157" s="624"/>
      <c r="AT157" s="624"/>
      <c r="AU157" s="624"/>
      <c r="AV157" s="624"/>
      <c r="AW157" s="624"/>
      <c r="AX157" s="624"/>
      <c r="AY157" s="624"/>
    </row>
    <row r="158" spans="1:51" s="463" customFormat="1" x14ac:dyDescent="0.2">
      <c r="AE158" s="624"/>
      <c r="AF158" s="624"/>
      <c r="AG158" s="624"/>
      <c r="AH158" s="624"/>
      <c r="AI158" s="624"/>
      <c r="AJ158" s="624"/>
      <c r="AK158" s="624"/>
      <c r="AL158" s="624"/>
      <c r="AM158" s="624"/>
      <c r="AN158" s="624"/>
      <c r="AO158" s="624"/>
      <c r="AP158" s="624"/>
      <c r="AQ158" s="624"/>
      <c r="AR158" s="624"/>
      <c r="AS158" s="624"/>
      <c r="AT158" s="624"/>
      <c r="AU158" s="624"/>
      <c r="AV158" s="624"/>
      <c r="AW158" s="624"/>
      <c r="AX158" s="624"/>
      <c r="AY158" s="624"/>
    </row>
    <row r="159" spans="1:51" s="463" customFormat="1" x14ac:dyDescent="0.2">
      <c r="AE159" s="624"/>
      <c r="AF159" s="624"/>
      <c r="AG159" s="624"/>
      <c r="AH159" s="624"/>
      <c r="AI159" s="624"/>
      <c r="AJ159" s="624"/>
      <c r="AK159" s="624"/>
      <c r="AL159" s="624"/>
      <c r="AM159" s="624"/>
      <c r="AN159" s="624"/>
      <c r="AO159" s="624"/>
      <c r="AP159" s="624"/>
      <c r="AQ159" s="624"/>
      <c r="AR159" s="624"/>
      <c r="AS159" s="624"/>
      <c r="AT159" s="624"/>
      <c r="AU159" s="624"/>
      <c r="AV159" s="624"/>
      <c r="AW159" s="624"/>
      <c r="AX159" s="624"/>
      <c r="AY159" s="624"/>
    </row>
    <row r="160" spans="1:51" s="463" customFormat="1" x14ac:dyDescent="0.2">
      <c r="AE160" s="624"/>
      <c r="AF160" s="624"/>
      <c r="AG160" s="624"/>
      <c r="AH160" s="624"/>
      <c r="AI160" s="624"/>
      <c r="AJ160" s="624"/>
      <c r="AK160" s="624"/>
      <c r="AL160" s="624"/>
      <c r="AM160" s="624"/>
      <c r="AN160" s="624"/>
      <c r="AO160" s="624"/>
      <c r="AP160" s="624"/>
      <c r="AQ160" s="624"/>
      <c r="AR160" s="624"/>
      <c r="AS160" s="624"/>
      <c r="AT160" s="624"/>
      <c r="AU160" s="624"/>
      <c r="AV160" s="624"/>
      <c r="AW160" s="624"/>
      <c r="AX160" s="624"/>
      <c r="AY160" s="624"/>
    </row>
    <row r="161" spans="31:51" s="463" customFormat="1" x14ac:dyDescent="0.2">
      <c r="AE161" s="624"/>
      <c r="AF161" s="624"/>
      <c r="AG161" s="624"/>
      <c r="AH161" s="624"/>
      <c r="AI161" s="624"/>
      <c r="AJ161" s="624"/>
      <c r="AK161" s="624"/>
      <c r="AL161" s="624"/>
      <c r="AM161" s="624"/>
      <c r="AN161" s="624"/>
      <c r="AO161" s="624"/>
      <c r="AP161" s="624"/>
      <c r="AQ161" s="624"/>
      <c r="AR161" s="624"/>
      <c r="AS161" s="624"/>
      <c r="AT161" s="624"/>
      <c r="AU161" s="624"/>
      <c r="AV161" s="624"/>
      <c r="AW161" s="624"/>
      <c r="AX161" s="624"/>
      <c r="AY161" s="624"/>
    </row>
    <row r="162" spans="31:51" s="463" customFormat="1" x14ac:dyDescent="0.2">
      <c r="AE162" s="624"/>
      <c r="AF162" s="624"/>
      <c r="AG162" s="624"/>
      <c r="AH162" s="624"/>
      <c r="AI162" s="624"/>
      <c r="AJ162" s="624"/>
      <c r="AK162" s="624"/>
      <c r="AL162" s="624"/>
      <c r="AM162" s="624"/>
      <c r="AN162" s="624"/>
      <c r="AO162" s="624"/>
      <c r="AP162" s="624"/>
      <c r="AQ162" s="624"/>
      <c r="AR162" s="624"/>
      <c r="AS162" s="624"/>
      <c r="AT162" s="624"/>
      <c r="AU162" s="624"/>
      <c r="AV162" s="624"/>
      <c r="AW162" s="624"/>
      <c r="AX162" s="624"/>
      <c r="AY162" s="624"/>
    </row>
    <row r="163" spans="31:51" s="463" customFormat="1" x14ac:dyDescent="0.2">
      <c r="AE163" s="624"/>
      <c r="AF163" s="624"/>
      <c r="AG163" s="624"/>
      <c r="AH163" s="624"/>
      <c r="AI163" s="624"/>
      <c r="AJ163" s="624"/>
      <c r="AK163" s="624"/>
      <c r="AL163" s="624"/>
      <c r="AM163" s="624"/>
      <c r="AN163" s="624"/>
      <c r="AO163" s="624"/>
      <c r="AP163" s="624"/>
      <c r="AQ163" s="624"/>
      <c r="AR163" s="624"/>
      <c r="AS163" s="624"/>
      <c r="AT163" s="624"/>
      <c r="AU163" s="624"/>
      <c r="AV163" s="624"/>
      <c r="AW163" s="624"/>
      <c r="AX163" s="624"/>
      <c r="AY163" s="624"/>
    </row>
    <row r="164" spans="31:51" s="463" customFormat="1" x14ac:dyDescent="0.2">
      <c r="AE164" s="624"/>
      <c r="AF164" s="624"/>
      <c r="AG164" s="624"/>
      <c r="AH164" s="624"/>
      <c r="AI164" s="624"/>
      <c r="AJ164" s="624"/>
      <c r="AK164" s="624"/>
      <c r="AL164" s="624"/>
      <c r="AM164" s="624"/>
      <c r="AN164" s="624"/>
      <c r="AO164" s="624"/>
      <c r="AP164" s="624"/>
      <c r="AQ164" s="624"/>
      <c r="AR164" s="624"/>
      <c r="AS164" s="624"/>
      <c r="AT164" s="624"/>
      <c r="AU164" s="624"/>
      <c r="AV164" s="624"/>
      <c r="AW164" s="624"/>
      <c r="AX164" s="624"/>
      <c r="AY164" s="624"/>
    </row>
    <row r="165" spans="31:51" s="463" customFormat="1" x14ac:dyDescent="0.2">
      <c r="AE165" s="624"/>
      <c r="AF165" s="624"/>
      <c r="AG165" s="624"/>
      <c r="AH165" s="624"/>
      <c r="AI165" s="624"/>
      <c r="AJ165" s="624"/>
      <c r="AK165" s="624"/>
      <c r="AL165" s="624"/>
      <c r="AM165" s="624"/>
      <c r="AN165" s="624"/>
      <c r="AO165" s="624"/>
      <c r="AP165" s="624"/>
      <c r="AQ165" s="624"/>
      <c r="AR165" s="624"/>
      <c r="AS165" s="624"/>
      <c r="AT165" s="624"/>
      <c r="AU165" s="624"/>
      <c r="AV165" s="624"/>
      <c r="AW165" s="624"/>
      <c r="AX165" s="624"/>
      <c r="AY165" s="624"/>
    </row>
    <row r="166" spans="31:51" s="463" customFormat="1" x14ac:dyDescent="0.2">
      <c r="AE166" s="624"/>
      <c r="AF166" s="624"/>
      <c r="AG166" s="624"/>
      <c r="AH166" s="624"/>
      <c r="AI166" s="624"/>
      <c r="AJ166" s="624"/>
      <c r="AK166" s="624"/>
      <c r="AL166" s="624"/>
      <c r="AM166" s="624"/>
      <c r="AN166" s="624"/>
      <c r="AO166" s="624"/>
      <c r="AP166" s="624"/>
      <c r="AQ166" s="624"/>
      <c r="AR166" s="624"/>
      <c r="AS166" s="624"/>
      <c r="AT166" s="624"/>
      <c r="AU166" s="624"/>
      <c r="AV166" s="624"/>
      <c r="AW166" s="624"/>
      <c r="AX166" s="624"/>
      <c r="AY166" s="624"/>
    </row>
    <row r="167" spans="31:51" s="463" customFormat="1" x14ac:dyDescent="0.2">
      <c r="AE167" s="624"/>
      <c r="AF167" s="624"/>
      <c r="AG167" s="624"/>
      <c r="AH167" s="624"/>
      <c r="AI167" s="624"/>
      <c r="AJ167" s="624"/>
      <c r="AK167" s="624"/>
      <c r="AL167" s="624"/>
      <c r="AM167" s="624"/>
      <c r="AN167" s="624"/>
      <c r="AO167" s="624"/>
      <c r="AP167" s="624"/>
      <c r="AQ167" s="624"/>
      <c r="AR167" s="624"/>
      <c r="AS167" s="624"/>
      <c r="AT167" s="624"/>
      <c r="AU167" s="624"/>
      <c r="AV167" s="624"/>
      <c r="AW167" s="624"/>
      <c r="AX167" s="624"/>
      <c r="AY167" s="624"/>
    </row>
    <row r="168" spans="31:51" s="463" customFormat="1" x14ac:dyDescent="0.2">
      <c r="AE168" s="624"/>
      <c r="AF168" s="624"/>
      <c r="AG168" s="624"/>
      <c r="AH168" s="624"/>
      <c r="AI168" s="624"/>
      <c r="AJ168" s="624"/>
      <c r="AK168" s="624"/>
      <c r="AL168" s="624"/>
      <c r="AM168" s="624"/>
      <c r="AN168" s="624"/>
      <c r="AO168" s="624"/>
      <c r="AP168" s="624"/>
      <c r="AQ168" s="624"/>
      <c r="AR168" s="624"/>
      <c r="AS168" s="624"/>
      <c r="AT168" s="624"/>
      <c r="AU168" s="624"/>
      <c r="AV168" s="624"/>
      <c r="AW168" s="624"/>
      <c r="AX168" s="624"/>
      <c r="AY168" s="624"/>
    </row>
    <row r="169" spans="31:51" s="463" customFormat="1" x14ac:dyDescent="0.2">
      <c r="AE169" s="624"/>
      <c r="AF169" s="624"/>
      <c r="AG169" s="624"/>
      <c r="AH169" s="624"/>
      <c r="AI169" s="624"/>
      <c r="AJ169" s="624"/>
      <c r="AK169" s="624"/>
      <c r="AL169" s="624"/>
      <c r="AM169" s="624"/>
      <c r="AN169" s="624"/>
      <c r="AO169" s="624"/>
      <c r="AP169" s="624"/>
      <c r="AQ169" s="624"/>
      <c r="AR169" s="624"/>
      <c r="AS169" s="624"/>
      <c r="AT169" s="624"/>
      <c r="AU169" s="624"/>
      <c r="AV169" s="624"/>
      <c r="AW169" s="624"/>
      <c r="AX169" s="624"/>
      <c r="AY169" s="624"/>
    </row>
    <row r="170" spans="31:51" s="463" customFormat="1" x14ac:dyDescent="0.2">
      <c r="AE170" s="624"/>
      <c r="AF170" s="624"/>
      <c r="AG170" s="624"/>
      <c r="AH170" s="624"/>
      <c r="AI170" s="624"/>
      <c r="AJ170" s="624"/>
      <c r="AK170" s="624"/>
      <c r="AL170" s="624"/>
      <c r="AM170" s="624"/>
      <c r="AN170" s="624"/>
      <c r="AO170" s="624"/>
      <c r="AP170" s="624"/>
      <c r="AQ170" s="624"/>
      <c r="AR170" s="624"/>
      <c r="AS170" s="624"/>
      <c r="AT170" s="624"/>
      <c r="AU170" s="624"/>
      <c r="AV170" s="624"/>
      <c r="AW170" s="624"/>
      <c r="AX170" s="624"/>
      <c r="AY170" s="624"/>
    </row>
    <row r="171" spans="31:51" s="463" customFormat="1" x14ac:dyDescent="0.2">
      <c r="AE171" s="624"/>
      <c r="AF171" s="624"/>
      <c r="AG171" s="624"/>
      <c r="AH171" s="624"/>
      <c r="AI171" s="624"/>
      <c r="AJ171" s="624"/>
      <c r="AK171" s="624"/>
      <c r="AL171" s="624"/>
      <c r="AM171" s="624"/>
      <c r="AN171" s="624"/>
      <c r="AO171" s="624"/>
      <c r="AP171" s="624"/>
      <c r="AQ171" s="624"/>
      <c r="AR171" s="624"/>
      <c r="AS171" s="624"/>
      <c r="AT171" s="624"/>
      <c r="AU171" s="624"/>
      <c r="AV171" s="624"/>
      <c r="AW171" s="624"/>
      <c r="AX171" s="624"/>
      <c r="AY171" s="624"/>
    </row>
    <row r="172" spans="31:51" s="463" customFormat="1" x14ac:dyDescent="0.2">
      <c r="AE172" s="624"/>
      <c r="AF172" s="624"/>
      <c r="AG172" s="624"/>
      <c r="AH172" s="624"/>
      <c r="AI172" s="624"/>
      <c r="AJ172" s="624"/>
      <c r="AK172" s="624"/>
      <c r="AL172" s="624"/>
      <c r="AM172" s="624"/>
      <c r="AN172" s="624"/>
      <c r="AO172" s="624"/>
      <c r="AP172" s="624"/>
      <c r="AQ172" s="624"/>
      <c r="AR172" s="624"/>
      <c r="AS172" s="624"/>
      <c r="AT172" s="624"/>
      <c r="AU172" s="624"/>
      <c r="AV172" s="624"/>
      <c r="AW172" s="624"/>
      <c r="AX172" s="624"/>
      <c r="AY172" s="624"/>
    </row>
    <row r="173" spans="31:51" s="463" customFormat="1" x14ac:dyDescent="0.2">
      <c r="AE173" s="624"/>
      <c r="AF173" s="624"/>
      <c r="AG173" s="624"/>
      <c r="AH173" s="624"/>
      <c r="AI173" s="624"/>
      <c r="AJ173" s="624"/>
      <c r="AK173" s="624"/>
      <c r="AL173" s="624"/>
      <c r="AM173" s="624"/>
      <c r="AN173" s="624"/>
      <c r="AO173" s="624"/>
      <c r="AP173" s="624"/>
      <c r="AQ173" s="624"/>
      <c r="AR173" s="624"/>
      <c r="AS173" s="624"/>
      <c r="AT173" s="624"/>
      <c r="AU173" s="624"/>
      <c r="AV173" s="624"/>
      <c r="AW173" s="624"/>
      <c r="AX173" s="624"/>
      <c r="AY173" s="624"/>
    </row>
    <row r="174" spans="31:51" s="463" customFormat="1" x14ac:dyDescent="0.2">
      <c r="AE174" s="624"/>
      <c r="AF174" s="624"/>
      <c r="AG174" s="624"/>
      <c r="AH174" s="624"/>
      <c r="AI174" s="624"/>
      <c r="AJ174" s="624"/>
      <c r="AK174" s="624"/>
      <c r="AL174" s="624"/>
      <c r="AM174" s="624"/>
      <c r="AN174" s="624"/>
      <c r="AO174" s="624"/>
      <c r="AP174" s="624"/>
      <c r="AQ174" s="624"/>
      <c r="AR174" s="624"/>
      <c r="AS174" s="624"/>
      <c r="AT174" s="624"/>
      <c r="AU174" s="624"/>
      <c r="AV174" s="624"/>
      <c r="AW174" s="624"/>
      <c r="AX174" s="624"/>
      <c r="AY174" s="624"/>
    </row>
    <row r="175" spans="31:51" s="463" customFormat="1" x14ac:dyDescent="0.2">
      <c r="AE175" s="624"/>
      <c r="AF175" s="624"/>
      <c r="AG175" s="624"/>
      <c r="AH175" s="624"/>
      <c r="AI175" s="624"/>
      <c r="AJ175" s="624"/>
      <c r="AK175" s="624"/>
      <c r="AL175" s="624"/>
      <c r="AM175" s="624"/>
      <c r="AN175" s="624"/>
      <c r="AO175" s="624"/>
      <c r="AP175" s="624"/>
      <c r="AQ175" s="624"/>
      <c r="AR175" s="624"/>
      <c r="AS175" s="624"/>
      <c r="AT175" s="624"/>
      <c r="AU175" s="624"/>
      <c r="AV175" s="624"/>
      <c r="AW175" s="624"/>
      <c r="AX175" s="624"/>
      <c r="AY175" s="624"/>
    </row>
    <row r="176" spans="31:51" s="463" customFormat="1" x14ac:dyDescent="0.2">
      <c r="AE176" s="624"/>
      <c r="AF176" s="624"/>
      <c r="AG176" s="624"/>
      <c r="AH176" s="624"/>
      <c r="AI176" s="624"/>
      <c r="AJ176" s="624"/>
      <c r="AK176" s="624"/>
      <c r="AL176" s="624"/>
      <c r="AM176" s="624"/>
      <c r="AN176" s="624"/>
      <c r="AO176" s="624"/>
      <c r="AP176" s="624"/>
      <c r="AQ176" s="624"/>
      <c r="AR176" s="624"/>
      <c r="AS176" s="624"/>
      <c r="AT176" s="624"/>
      <c r="AU176" s="624"/>
      <c r="AV176" s="624"/>
      <c r="AW176" s="624"/>
      <c r="AX176" s="624"/>
      <c r="AY176" s="624"/>
    </row>
    <row r="177" spans="31:51" s="463" customFormat="1" x14ac:dyDescent="0.2">
      <c r="AE177" s="624"/>
      <c r="AF177" s="624"/>
      <c r="AG177" s="624"/>
      <c r="AH177" s="624"/>
      <c r="AI177" s="624"/>
      <c r="AJ177" s="624"/>
      <c r="AK177" s="624"/>
      <c r="AL177" s="624"/>
      <c r="AM177" s="624"/>
      <c r="AN177" s="624"/>
      <c r="AO177" s="624"/>
      <c r="AP177" s="624"/>
      <c r="AQ177" s="624"/>
      <c r="AR177" s="624"/>
      <c r="AS177" s="624"/>
      <c r="AT177" s="624"/>
      <c r="AU177" s="624"/>
      <c r="AV177" s="624"/>
      <c r="AW177" s="624"/>
      <c r="AX177" s="624"/>
      <c r="AY177" s="624"/>
    </row>
    <row r="178" spans="31:51" s="463" customFormat="1" x14ac:dyDescent="0.2">
      <c r="AE178" s="624"/>
      <c r="AF178" s="624"/>
      <c r="AG178" s="624"/>
      <c r="AH178" s="624"/>
      <c r="AI178" s="624"/>
      <c r="AJ178" s="624"/>
      <c r="AK178" s="624"/>
      <c r="AL178" s="624"/>
      <c r="AM178" s="624"/>
      <c r="AN178" s="624"/>
      <c r="AO178" s="624"/>
      <c r="AP178" s="624"/>
      <c r="AQ178" s="624"/>
      <c r="AR178" s="624"/>
      <c r="AS178" s="624"/>
      <c r="AT178" s="624"/>
      <c r="AU178" s="624"/>
      <c r="AV178" s="624"/>
      <c r="AW178" s="624"/>
      <c r="AX178" s="624"/>
      <c r="AY178" s="624"/>
    </row>
    <row r="179" spans="31:51" s="463" customFormat="1" x14ac:dyDescent="0.2">
      <c r="AE179" s="624"/>
      <c r="AF179" s="624"/>
      <c r="AG179" s="624"/>
      <c r="AH179" s="624"/>
      <c r="AI179" s="624"/>
      <c r="AJ179" s="624"/>
      <c r="AK179" s="624"/>
      <c r="AL179" s="624"/>
      <c r="AM179" s="624"/>
      <c r="AN179" s="624"/>
      <c r="AO179" s="624"/>
      <c r="AP179" s="624"/>
      <c r="AQ179" s="624"/>
      <c r="AR179" s="624"/>
      <c r="AS179" s="624"/>
      <c r="AT179" s="624"/>
      <c r="AU179" s="624"/>
      <c r="AV179" s="624"/>
      <c r="AW179" s="624"/>
      <c r="AX179" s="624"/>
      <c r="AY179" s="624"/>
    </row>
    <row r="180" spans="31:51" s="463" customFormat="1" x14ac:dyDescent="0.2">
      <c r="AE180" s="624"/>
      <c r="AF180" s="624"/>
      <c r="AG180" s="624"/>
      <c r="AH180" s="624"/>
      <c r="AI180" s="624"/>
      <c r="AJ180" s="624"/>
      <c r="AK180" s="624"/>
      <c r="AL180" s="624"/>
      <c r="AM180" s="624"/>
      <c r="AN180" s="624"/>
      <c r="AO180" s="624"/>
      <c r="AP180" s="624"/>
      <c r="AQ180" s="624"/>
      <c r="AR180" s="624"/>
      <c r="AS180" s="624"/>
      <c r="AT180" s="624"/>
      <c r="AU180" s="624"/>
      <c r="AV180" s="624"/>
      <c r="AW180" s="624"/>
      <c r="AX180" s="624"/>
      <c r="AY180" s="624"/>
    </row>
    <row r="181" spans="31:51" s="463" customFormat="1" x14ac:dyDescent="0.2">
      <c r="AE181" s="624"/>
      <c r="AF181" s="624"/>
      <c r="AG181" s="624"/>
      <c r="AH181" s="624"/>
      <c r="AI181" s="624"/>
      <c r="AJ181" s="624"/>
      <c r="AK181" s="624"/>
      <c r="AL181" s="624"/>
      <c r="AM181" s="624"/>
      <c r="AN181" s="624"/>
      <c r="AO181" s="624"/>
      <c r="AP181" s="624"/>
      <c r="AQ181" s="624"/>
      <c r="AR181" s="624"/>
      <c r="AS181" s="624"/>
      <c r="AT181" s="624"/>
      <c r="AU181" s="624"/>
      <c r="AV181" s="624"/>
      <c r="AW181" s="624"/>
      <c r="AX181" s="624"/>
      <c r="AY181" s="624"/>
    </row>
    <row r="182" spans="31:51" s="463" customFormat="1" x14ac:dyDescent="0.2">
      <c r="AE182" s="624"/>
      <c r="AF182" s="624"/>
      <c r="AG182" s="624"/>
      <c r="AH182" s="624"/>
      <c r="AI182" s="624"/>
      <c r="AJ182" s="624"/>
      <c r="AK182" s="624"/>
      <c r="AL182" s="624"/>
      <c r="AM182" s="624"/>
      <c r="AN182" s="624"/>
      <c r="AO182" s="624"/>
      <c r="AP182" s="624"/>
      <c r="AQ182" s="624"/>
      <c r="AR182" s="624"/>
      <c r="AS182" s="624"/>
      <c r="AT182" s="624"/>
      <c r="AU182" s="624"/>
      <c r="AV182" s="624"/>
      <c r="AW182" s="624"/>
      <c r="AX182" s="624"/>
      <c r="AY182" s="624"/>
    </row>
    <row r="183" spans="31:51" s="463" customFormat="1" x14ac:dyDescent="0.2">
      <c r="AE183" s="624"/>
      <c r="AF183" s="624"/>
      <c r="AG183" s="624"/>
      <c r="AH183" s="624"/>
      <c r="AI183" s="624"/>
      <c r="AJ183" s="624"/>
      <c r="AK183" s="624"/>
      <c r="AL183" s="624"/>
      <c r="AM183" s="624"/>
      <c r="AN183" s="624"/>
      <c r="AO183" s="624"/>
      <c r="AP183" s="624"/>
      <c r="AQ183" s="624"/>
      <c r="AR183" s="624"/>
      <c r="AS183" s="624"/>
      <c r="AT183" s="624"/>
      <c r="AU183" s="624"/>
      <c r="AV183" s="624"/>
      <c r="AW183" s="624"/>
      <c r="AX183" s="624"/>
      <c r="AY183" s="624"/>
    </row>
    <row r="184" spans="31:51" s="463" customFormat="1" x14ac:dyDescent="0.2">
      <c r="AE184" s="624"/>
      <c r="AF184" s="624"/>
      <c r="AG184" s="624"/>
      <c r="AH184" s="624"/>
      <c r="AI184" s="624"/>
      <c r="AJ184" s="624"/>
      <c r="AK184" s="624"/>
      <c r="AL184" s="624"/>
      <c r="AM184" s="624"/>
      <c r="AN184" s="624"/>
      <c r="AO184" s="624"/>
      <c r="AP184" s="624"/>
      <c r="AQ184" s="624"/>
      <c r="AR184" s="624"/>
      <c r="AS184" s="624"/>
      <c r="AT184" s="624"/>
      <c r="AU184" s="624"/>
      <c r="AV184" s="624"/>
      <c r="AW184" s="624"/>
      <c r="AX184" s="624"/>
      <c r="AY184" s="624"/>
    </row>
    <row r="185" spans="31:51" s="463" customFormat="1" x14ac:dyDescent="0.2">
      <c r="AE185" s="624"/>
      <c r="AF185" s="624"/>
      <c r="AG185" s="624"/>
      <c r="AH185" s="624"/>
      <c r="AI185" s="624"/>
      <c r="AJ185" s="624"/>
      <c r="AK185" s="624"/>
      <c r="AL185" s="624"/>
      <c r="AM185" s="624"/>
      <c r="AN185" s="624"/>
      <c r="AO185" s="624"/>
      <c r="AP185" s="624"/>
      <c r="AQ185" s="624"/>
      <c r="AR185" s="624"/>
      <c r="AS185" s="624"/>
      <c r="AT185" s="624"/>
      <c r="AU185" s="624"/>
      <c r="AV185" s="624"/>
      <c r="AW185" s="624"/>
      <c r="AX185" s="624"/>
      <c r="AY185" s="624"/>
    </row>
    <row r="186" spans="31:51" s="463" customFormat="1" x14ac:dyDescent="0.2">
      <c r="AE186" s="624"/>
      <c r="AF186" s="624"/>
      <c r="AG186" s="624"/>
      <c r="AH186" s="624"/>
      <c r="AI186" s="624"/>
      <c r="AJ186" s="624"/>
      <c r="AK186" s="624"/>
      <c r="AL186" s="624"/>
      <c r="AM186" s="624"/>
      <c r="AN186" s="624"/>
      <c r="AO186" s="624"/>
      <c r="AP186" s="624"/>
      <c r="AQ186" s="624"/>
      <c r="AR186" s="624"/>
      <c r="AS186" s="624"/>
      <c r="AT186" s="624"/>
      <c r="AU186" s="624"/>
      <c r="AV186" s="624"/>
      <c r="AW186" s="624"/>
      <c r="AX186" s="624"/>
      <c r="AY186" s="624"/>
    </row>
    <row r="187" spans="31:51" s="463" customFormat="1" x14ac:dyDescent="0.2">
      <c r="AE187" s="624"/>
      <c r="AF187" s="624"/>
      <c r="AG187" s="624"/>
      <c r="AH187" s="624"/>
      <c r="AI187" s="624"/>
      <c r="AJ187" s="624"/>
      <c r="AK187" s="624"/>
      <c r="AL187" s="624"/>
      <c r="AM187" s="624"/>
      <c r="AN187" s="624"/>
      <c r="AO187" s="624"/>
      <c r="AP187" s="624"/>
      <c r="AQ187" s="624"/>
      <c r="AR187" s="624"/>
      <c r="AS187" s="624"/>
      <c r="AT187" s="624"/>
      <c r="AU187" s="624"/>
      <c r="AV187" s="624"/>
      <c r="AW187" s="624"/>
      <c r="AX187" s="624"/>
      <c r="AY187" s="624"/>
    </row>
    <row r="188" spans="31:51" s="463" customFormat="1" x14ac:dyDescent="0.2">
      <c r="AE188" s="624"/>
      <c r="AF188" s="624"/>
      <c r="AG188" s="624"/>
      <c r="AH188" s="624"/>
      <c r="AI188" s="624"/>
      <c r="AJ188" s="624"/>
      <c r="AK188" s="624"/>
      <c r="AL188" s="624"/>
      <c r="AM188" s="624"/>
      <c r="AN188" s="624"/>
      <c r="AO188" s="624"/>
      <c r="AP188" s="624"/>
      <c r="AQ188" s="624"/>
      <c r="AR188" s="624"/>
      <c r="AS188" s="624"/>
      <c r="AT188" s="624"/>
      <c r="AU188" s="624"/>
      <c r="AV188" s="624"/>
      <c r="AW188" s="624"/>
      <c r="AX188" s="624"/>
      <c r="AY188" s="624"/>
    </row>
    <row r="189" spans="31:51" s="463" customFormat="1" x14ac:dyDescent="0.2">
      <c r="AE189" s="624"/>
      <c r="AF189" s="624"/>
      <c r="AG189" s="624"/>
      <c r="AH189" s="624"/>
      <c r="AI189" s="624"/>
      <c r="AJ189" s="624"/>
      <c r="AK189" s="624"/>
      <c r="AL189" s="624"/>
      <c r="AM189" s="624"/>
      <c r="AN189" s="624"/>
      <c r="AO189" s="624"/>
      <c r="AP189" s="624"/>
      <c r="AQ189" s="624"/>
      <c r="AR189" s="624"/>
      <c r="AS189" s="624"/>
      <c r="AT189" s="624"/>
      <c r="AU189" s="624"/>
      <c r="AV189" s="624"/>
      <c r="AW189" s="624"/>
      <c r="AX189" s="624"/>
      <c r="AY189" s="624"/>
    </row>
    <row r="190" spans="31:51" s="463" customFormat="1" x14ac:dyDescent="0.2">
      <c r="AE190" s="624"/>
      <c r="AF190" s="624"/>
      <c r="AG190" s="624"/>
      <c r="AH190" s="624"/>
      <c r="AI190" s="624"/>
      <c r="AJ190" s="624"/>
      <c r="AK190" s="624"/>
      <c r="AL190" s="624"/>
      <c r="AM190" s="624"/>
      <c r="AN190" s="624"/>
      <c r="AO190" s="624"/>
      <c r="AP190" s="624"/>
      <c r="AQ190" s="624"/>
      <c r="AR190" s="624"/>
      <c r="AS190" s="624"/>
      <c r="AT190" s="624"/>
      <c r="AU190" s="624"/>
      <c r="AV190" s="624"/>
      <c r="AW190" s="624"/>
      <c r="AX190" s="624"/>
      <c r="AY190" s="624"/>
    </row>
    <row r="191" spans="31:51" s="463" customFormat="1" x14ac:dyDescent="0.2">
      <c r="AE191" s="624"/>
      <c r="AF191" s="624"/>
      <c r="AG191" s="624"/>
      <c r="AH191" s="624"/>
      <c r="AI191" s="624"/>
      <c r="AJ191" s="624"/>
      <c r="AK191" s="624"/>
      <c r="AL191" s="624"/>
      <c r="AM191" s="624"/>
      <c r="AN191" s="624"/>
      <c r="AO191" s="624"/>
      <c r="AP191" s="624"/>
      <c r="AQ191" s="624"/>
      <c r="AR191" s="624"/>
      <c r="AS191" s="624"/>
      <c r="AT191" s="624"/>
      <c r="AU191" s="624"/>
      <c r="AV191" s="624"/>
      <c r="AW191" s="624"/>
      <c r="AX191" s="624"/>
      <c r="AY191" s="624"/>
    </row>
    <row r="192" spans="31:51" s="463" customFormat="1" x14ac:dyDescent="0.2">
      <c r="AE192" s="624"/>
      <c r="AF192" s="624"/>
      <c r="AG192" s="624"/>
      <c r="AH192" s="624"/>
      <c r="AI192" s="624"/>
      <c r="AJ192" s="624"/>
      <c r="AK192" s="624"/>
      <c r="AL192" s="624"/>
      <c r="AM192" s="624"/>
      <c r="AN192" s="624"/>
      <c r="AO192" s="624"/>
      <c r="AP192" s="624"/>
      <c r="AQ192" s="624"/>
      <c r="AR192" s="624"/>
      <c r="AS192" s="624"/>
      <c r="AT192" s="624"/>
      <c r="AU192" s="624"/>
      <c r="AV192" s="624"/>
      <c r="AW192" s="624"/>
      <c r="AX192" s="624"/>
      <c r="AY192" s="624"/>
    </row>
    <row r="193" spans="31:51" s="463" customFormat="1" x14ac:dyDescent="0.2">
      <c r="AE193" s="624"/>
      <c r="AF193" s="624"/>
      <c r="AG193" s="624"/>
      <c r="AH193" s="624"/>
      <c r="AI193" s="624"/>
      <c r="AJ193" s="624"/>
      <c r="AK193" s="624"/>
      <c r="AL193" s="624"/>
      <c r="AM193" s="624"/>
      <c r="AN193" s="624"/>
      <c r="AO193" s="624"/>
      <c r="AP193" s="624"/>
      <c r="AQ193" s="624"/>
      <c r="AR193" s="624"/>
      <c r="AS193" s="624"/>
      <c r="AT193" s="624"/>
      <c r="AU193" s="624"/>
      <c r="AV193" s="624"/>
      <c r="AW193" s="624"/>
      <c r="AX193" s="624"/>
      <c r="AY193" s="624"/>
    </row>
    <row r="194" spans="31:51" s="463" customFormat="1" x14ac:dyDescent="0.2">
      <c r="AE194" s="624"/>
      <c r="AF194" s="624"/>
      <c r="AG194" s="624"/>
      <c r="AH194" s="624"/>
      <c r="AI194" s="624"/>
      <c r="AJ194" s="624"/>
      <c r="AK194" s="624"/>
      <c r="AL194" s="624"/>
      <c r="AM194" s="624"/>
      <c r="AN194" s="624"/>
      <c r="AO194" s="624"/>
      <c r="AP194" s="624"/>
      <c r="AQ194" s="624"/>
      <c r="AR194" s="624"/>
      <c r="AS194" s="624"/>
      <c r="AT194" s="624"/>
      <c r="AU194" s="624"/>
      <c r="AV194" s="624"/>
      <c r="AW194" s="624"/>
      <c r="AX194" s="624"/>
      <c r="AY194" s="624"/>
    </row>
    <row r="195" spans="31:51" s="463" customFormat="1" x14ac:dyDescent="0.2">
      <c r="AE195" s="624"/>
      <c r="AF195" s="624"/>
      <c r="AG195" s="624"/>
      <c r="AH195" s="624"/>
      <c r="AI195" s="624"/>
      <c r="AJ195" s="624"/>
      <c r="AK195" s="624"/>
      <c r="AL195" s="624"/>
      <c r="AM195" s="624"/>
      <c r="AN195" s="624"/>
      <c r="AO195" s="624"/>
      <c r="AP195" s="624"/>
      <c r="AQ195" s="624"/>
      <c r="AR195" s="624"/>
      <c r="AS195" s="624"/>
      <c r="AT195" s="624"/>
      <c r="AU195" s="624"/>
      <c r="AV195" s="624"/>
      <c r="AW195" s="624"/>
      <c r="AX195" s="624"/>
      <c r="AY195" s="624"/>
    </row>
    <row r="196" spans="31:51" s="463" customFormat="1" x14ac:dyDescent="0.2">
      <c r="AE196" s="624"/>
      <c r="AF196" s="624"/>
      <c r="AG196" s="624"/>
      <c r="AH196" s="624"/>
      <c r="AI196" s="624"/>
      <c r="AJ196" s="624"/>
      <c r="AK196" s="624"/>
      <c r="AL196" s="624"/>
      <c r="AM196" s="624"/>
      <c r="AN196" s="624"/>
      <c r="AO196" s="624"/>
      <c r="AP196" s="624"/>
      <c r="AQ196" s="624"/>
      <c r="AR196" s="624"/>
      <c r="AS196" s="624"/>
      <c r="AT196" s="624"/>
      <c r="AU196" s="624"/>
      <c r="AV196" s="624"/>
      <c r="AW196" s="624"/>
      <c r="AX196" s="624"/>
      <c r="AY196" s="624"/>
    </row>
    <row r="197" spans="31:51" s="463" customFormat="1" x14ac:dyDescent="0.2">
      <c r="AE197" s="624"/>
      <c r="AF197" s="624"/>
      <c r="AG197" s="624"/>
      <c r="AH197" s="624"/>
      <c r="AI197" s="624"/>
      <c r="AJ197" s="624"/>
      <c r="AK197" s="624"/>
      <c r="AL197" s="624"/>
      <c r="AM197" s="624"/>
      <c r="AN197" s="624"/>
      <c r="AO197" s="624"/>
      <c r="AP197" s="624"/>
      <c r="AQ197" s="624"/>
      <c r="AR197" s="624"/>
      <c r="AS197" s="624"/>
      <c r="AT197" s="624"/>
      <c r="AU197" s="624"/>
      <c r="AV197" s="624"/>
      <c r="AW197" s="624"/>
      <c r="AX197" s="624"/>
      <c r="AY197" s="624"/>
    </row>
    <row r="198" spans="31:51" s="463" customFormat="1" x14ac:dyDescent="0.2">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row>
    <row r="199" spans="31:51" s="463" customFormat="1" x14ac:dyDescent="0.2">
      <c r="AE199" s="624"/>
      <c r="AF199" s="624"/>
      <c r="AG199" s="624"/>
      <c r="AH199" s="624"/>
      <c r="AI199" s="624"/>
      <c r="AJ199" s="624"/>
      <c r="AK199" s="624"/>
      <c r="AL199" s="624"/>
      <c r="AM199" s="624"/>
      <c r="AN199" s="624"/>
      <c r="AO199" s="624"/>
      <c r="AP199" s="624"/>
      <c r="AQ199" s="624"/>
      <c r="AR199" s="624"/>
      <c r="AS199" s="624"/>
      <c r="AT199" s="624"/>
      <c r="AU199" s="624"/>
      <c r="AV199" s="624"/>
      <c r="AW199" s="624"/>
      <c r="AX199" s="624"/>
      <c r="AY199" s="624"/>
    </row>
    <row r="200" spans="31:51" s="463" customFormat="1" x14ac:dyDescent="0.2">
      <c r="AE200" s="624"/>
      <c r="AF200" s="624"/>
      <c r="AG200" s="624"/>
      <c r="AH200" s="624"/>
      <c r="AI200" s="624"/>
      <c r="AJ200" s="624"/>
      <c r="AK200" s="624"/>
      <c r="AL200" s="624"/>
      <c r="AM200" s="624"/>
      <c r="AN200" s="624"/>
      <c r="AO200" s="624"/>
      <c r="AP200" s="624"/>
      <c r="AQ200" s="624"/>
      <c r="AR200" s="624"/>
      <c r="AS200" s="624"/>
      <c r="AT200" s="624"/>
      <c r="AU200" s="624"/>
      <c r="AV200" s="624"/>
      <c r="AW200" s="624"/>
      <c r="AX200" s="624"/>
      <c r="AY200" s="624"/>
    </row>
    <row r="201" spans="31:51" s="463" customFormat="1" x14ac:dyDescent="0.2">
      <c r="AE201" s="624"/>
      <c r="AF201" s="624"/>
      <c r="AG201" s="624"/>
      <c r="AH201" s="624"/>
      <c r="AI201" s="624"/>
      <c r="AJ201" s="624"/>
      <c r="AK201" s="624"/>
      <c r="AL201" s="624"/>
      <c r="AM201" s="624"/>
      <c r="AN201" s="624"/>
      <c r="AO201" s="624"/>
      <c r="AP201" s="624"/>
      <c r="AQ201" s="624"/>
      <c r="AR201" s="624"/>
      <c r="AS201" s="624"/>
      <c r="AT201" s="624"/>
      <c r="AU201" s="624"/>
      <c r="AV201" s="624"/>
      <c r="AW201" s="624"/>
      <c r="AX201" s="624"/>
      <c r="AY201" s="624"/>
    </row>
    <row r="202" spans="31:51" s="463" customFormat="1" x14ac:dyDescent="0.2">
      <c r="AE202" s="624"/>
      <c r="AF202" s="624"/>
      <c r="AG202" s="624"/>
      <c r="AH202" s="624"/>
      <c r="AI202" s="624"/>
      <c r="AJ202" s="624"/>
      <c r="AK202" s="624"/>
      <c r="AL202" s="624"/>
      <c r="AM202" s="624"/>
      <c r="AN202" s="624"/>
      <c r="AO202" s="624"/>
      <c r="AP202" s="624"/>
      <c r="AQ202" s="624"/>
      <c r="AR202" s="624"/>
      <c r="AS202" s="624"/>
      <c r="AT202" s="624"/>
      <c r="AU202" s="624"/>
      <c r="AV202" s="624"/>
      <c r="AW202" s="624"/>
      <c r="AX202" s="624"/>
      <c r="AY202" s="624"/>
    </row>
    <row r="203" spans="31:51" s="463" customFormat="1" x14ac:dyDescent="0.2">
      <c r="AE203" s="624"/>
      <c r="AF203" s="624"/>
      <c r="AG203" s="624"/>
      <c r="AH203" s="624"/>
      <c r="AI203" s="624"/>
      <c r="AJ203" s="624"/>
      <c r="AK203" s="624"/>
      <c r="AL203" s="624"/>
      <c r="AM203" s="624"/>
      <c r="AN203" s="624"/>
      <c r="AO203" s="624"/>
      <c r="AP203" s="624"/>
      <c r="AQ203" s="624"/>
      <c r="AR203" s="624"/>
      <c r="AS203" s="624"/>
      <c r="AT203" s="624"/>
      <c r="AU203" s="624"/>
      <c r="AV203" s="624"/>
      <c r="AW203" s="624"/>
      <c r="AX203" s="624"/>
      <c r="AY203" s="624"/>
    </row>
    <row r="204" spans="31:51" s="463" customFormat="1" x14ac:dyDescent="0.2">
      <c r="AE204" s="624"/>
      <c r="AF204" s="624"/>
      <c r="AG204" s="624"/>
      <c r="AH204" s="624"/>
      <c r="AI204" s="624"/>
      <c r="AJ204" s="624"/>
      <c r="AK204" s="624"/>
      <c r="AL204" s="624"/>
      <c r="AM204" s="624"/>
      <c r="AN204" s="624"/>
      <c r="AO204" s="624"/>
      <c r="AP204" s="624"/>
      <c r="AQ204" s="624"/>
      <c r="AR204" s="624"/>
      <c r="AS204" s="624"/>
      <c r="AT204" s="624"/>
      <c r="AU204" s="624"/>
      <c r="AV204" s="624"/>
      <c r="AW204" s="624"/>
      <c r="AX204" s="624"/>
      <c r="AY204" s="624"/>
    </row>
    <row r="205" spans="31:51" s="463" customFormat="1" x14ac:dyDescent="0.2">
      <c r="AE205" s="624"/>
      <c r="AF205" s="624"/>
      <c r="AG205" s="624"/>
      <c r="AH205" s="624"/>
      <c r="AI205" s="624"/>
      <c r="AJ205" s="624"/>
      <c r="AK205" s="624"/>
      <c r="AL205" s="624"/>
      <c r="AM205" s="624"/>
      <c r="AN205" s="624"/>
      <c r="AO205" s="624"/>
      <c r="AP205" s="624"/>
      <c r="AQ205" s="624"/>
      <c r="AR205" s="624"/>
      <c r="AS205" s="624"/>
      <c r="AT205" s="624"/>
      <c r="AU205" s="624"/>
      <c r="AV205" s="624"/>
      <c r="AW205" s="624"/>
      <c r="AX205" s="624"/>
      <c r="AY205" s="624"/>
    </row>
    <row r="206" spans="31:51" s="463" customFormat="1" x14ac:dyDescent="0.2">
      <c r="AE206" s="624"/>
      <c r="AF206" s="624"/>
      <c r="AG206" s="624"/>
      <c r="AH206" s="624"/>
      <c r="AI206" s="624"/>
      <c r="AJ206" s="624"/>
      <c r="AK206" s="624"/>
      <c r="AL206" s="624"/>
      <c r="AM206" s="624"/>
      <c r="AN206" s="624"/>
      <c r="AO206" s="624"/>
      <c r="AP206" s="624"/>
      <c r="AQ206" s="624"/>
      <c r="AR206" s="624"/>
      <c r="AS206" s="624"/>
      <c r="AT206" s="624"/>
      <c r="AU206" s="624"/>
      <c r="AV206" s="624"/>
      <c r="AW206" s="624"/>
      <c r="AX206" s="624"/>
      <c r="AY206" s="624"/>
    </row>
    <row r="207" spans="31:51" s="463" customFormat="1" x14ac:dyDescent="0.2">
      <c r="AE207" s="624"/>
      <c r="AF207" s="624"/>
      <c r="AG207" s="624"/>
      <c r="AH207" s="624"/>
      <c r="AI207" s="624"/>
      <c r="AJ207" s="624"/>
      <c r="AK207" s="624"/>
      <c r="AL207" s="624"/>
      <c r="AM207" s="624"/>
      <c r="AN207" s="624"/>
      <c r="AO207" s="624"/>
      <c r="AP207" s="624"/>
      <c r="AQ207" s="624"/>
      <c r="AR207" s="624"/>
      <c r="AS207" s="624"/>
      <c r="AT207" s="624"/>
      <c r="AU207" s="624"/>
      <c r="AV207" s="624"/>
      <c r="AW207" s="624"/>
      <c r="AX207" s="624"/>
      <c r="AY207" s="624"/>
    </row>
    <row r="208" spans="31:51" s="463" customFormat="1" x14ac:dyDescent="0.2">
      <c r="AE208" s="624"/>
      <c r="AF208" s="624"/>
      <c r="AG208" s="624"/>
      <c r="AH208" s="624"/>
      <c r="AI208" s="624"/>
      <c r="AJ208" s="624"/>
      <c r="AK208" s="624"/>
      <c r="AL208" s="624"/>
      <c r="AM208" s="624"/>
      <c r="AN208" s="624"/>
      <c r="AO208" s="624"/>
      <c r="AP208" s="624"/>
      <c r="AQ208" s="624"/>
      <c r="AR208" s="624"/>
      <c r="AS208" s="624"/>
      <c r="AT208" s="624"/>
      <c r="AU208" s="624"/>
      <c r="AV208" s="624"/>
      <c r="AW208" s="624"/>
      <c r="AX208" s="624"/>
      <c r="AY208" s="624"/>
    </row>
    <row r="209" spans="31:51" s="463" customFormat="1" x14ac:dyDescent="0.2">
      <c r="AE209" s="624"/>
      <c r="AF209" s="624"/>
      <c r="AG209" s="624"/>
      <c r="AH209" s="624"/>
      <c r="AI209" s="624"/>
      <c r="AJ209" s="624"/>
      <c r="AK209" s="624"/>
      <c r="AL209" s="624"/>
      <c r="AM209" s="624"/>
      <c r="AN209" s="624"/>
      <c r="AO209" s="624"/>
      <c r="AP209" s="624"/>
      <c r="AQ209" s="624"/>
      <c r="AR209" s="624"/>
      <c r="AS209" s="624"/>
      <c r="AT209" s="624"/>
      <c r="AU209" s="624"/>
      <c r="AV209" s="624"/>
      <c r="AW209" s="624"/>
      <c r="AX209" s="624"/>
      <c r="AY209" s="624"/>
    </row>
    <row r="210" spans="31:51" s="463" customFormat="1" x14ac:dyDescent="0.2">
      <c r="AE210" s="624"/>
      <c r="AF210" s="624"/>
      <c r="AG210" s="624"/>
      <c r="AH210" s="624"/>
      <c r="AI210" s="624"/>
      <c r="AJ210" s="624"/>
      <c r="AK210" s="624"/>
      <c r="AL210" s="624"/>
      <c r="AM210" s="624"/>
      <c r="AN210" s="624"/>
      <c r="AO210" s="624"/>
      <c r="AP210" s="624"/>
      <c r="AQ210" s="624"/>
      <c r="AR210" s="624"/>
      <c r="AS210" s="624"/>
      <c r="AT210" s="624"/>
      <c r="AU210" s="624"/>
      <c r="AV210" s="624"/>
      <c r="AW210" s="624"/>
      <c r="AX210" s="624"/>
      <c r="AY210" s="624"/>
    </row>
    <row r="211" spans="31:51" s="463" customFormat="1" x14ac:dyDescent="0.2">
      <c r="AE211" s="624"/>
      <c r="AF211" s="624"/>
      <c r="AG211" s="624"/>
      <c r="AH211" s="624"/>
      <c r="AI211" s="624"/>
      <c r="AJ211" s="624"/>
      <c r="AK211" s="624"/>
      <c r="AL211" s="624"/>
      <c r="AM211" s="624"/>
      <c r="AN211" s="624"/>
      <c r="AO211" s="624"/>
      <c r="AP211" s="624"/>
      <c r="AQ211" s="624"/>
      <c r="AR211" s="624"/>
      <c r="AS211" s="624"/>
      <c r="AT211" s="624"/>
      <c r="AU211" s="624"/>
      <c r="AV211" s="624"/>
      <c r="AW211" s="624"/>
      <c r="AX211" s="624"/>
      <c r="AY211" s="624"/>
    </row>
    <row r="212" spans="31:51" s="463" customFormat="1" x14ac:dyDescent="0.2">
      <c r="AE212" s="624"/>
      <c r="AF212" s="624"/>
      <c r="AG212" s="624"/>
      <c r="AH212" s="624"/>
      <c r="AI212" s="624"/>
      <c r="AJ212" s="624"/>
      <c r="AK212" s="624"/>
      <c r="AL212" s="624"/>
      <c r="AM212" s="624"/>
      <c r="AN212" s="624"/>
      <c r="AO212" s="624"/>
      <c r="AP212" s="624"/>
      <c r="AQ212" s="624"/>
      <c r="AR212" s="624"/>
      <c r="AS212" s="624"/>
      <c r="AT212" s="624"/>
      <c r="AU212" s="624"/>
      <c r="AV212" s="624"/>
      <c r="AW212" s="624"/>
      <c r="AX212" s="624"/>
      <c r="AY212" s="624"/>
    </row>
    <row r="213" spans="31:51" s="463" customFormat="1" x14ac:dyDescent="0.2">
      <c r="AE213" s="624"/>
      <c r="AF213" s="624"/>
      <c r="AG213" s="624"/>
      <c r="AH213" s="624"/>
      <c r="AI213" s="624"/>
      <c r="AJ213" s="624"/>
      <c r="AK213" s="624"/>
      <c r="AL213" s="624"/>
      <c r="AM213" s="624"/>
      <c r="AN213" s="624"/>
      <c r="AO213" s="624"/>
      <c r="AP213" s="624"/>
      <c r="AQ213" s="624"/>
      <c r="AR213" s="624"/>
      <c r="AS213" s="624"/>
      <c r="AT213" s="624"/>
      <c r="AU213" s="624"/>
      <c r="AV213" s="624"/>
      <c r="AW213" s="624"/>
      <c r="AX213" s="624"/>
      <c r="AY213" s="624"/>
    </row>
    <row r="214" spans="31:51" s="463" customFormat="1" x14ac:dyDescent="0.2">
      <c r="AE214" s="624"/>
      <c r="AF214" s="624"/>
      <c r="AG214" s="624"/>
      <c r="AH214" s="624"/>
      <c r="AI214" s="624"/>
      <c r="AJ214" s="624"/>
      <c r="AK214" s="624"/>
      <c r="AL214" s="624"/>
      <c r="AM214" s="624"/>
      <c r="AN214" s="624"/>
      <c r="AO214" s="624"/>
      <c r="AP214" s="624"/>
      <c r="AQ214" s="624"/>
      <c r="AR214" s="624"/>
      <c r="AS214" s="624"/>
      <c r="AT214" s="624"/>
      <c r="AU214" s="624"/>
      <c r="AV214" s="624"/>
      <c r="AW214" s="624"/>
      <c r="AX214" s="624"/>
      <c r="AY214" s="624"/>
    </row>
    <row r="215" spans="31:51" s="463" customFormat="1" x14ac:dyDescent="0.2">
      <c r="AE215" s="624"/>
      <c r="AF215" s="624"/>
      <c r="AG215" s="624"/>
      <c r="AH215" s="624"/>
      <c r="AI215" s="624"/>
      <c r="AJ215" s="624"/>
      <c r="AK215" s="624"/>
      <c r="AL215" s="624"/>
      <c r="AM215" s="624"/>
      <c r="AN215" s="624"/>
      <c r="AO215" s="624"/>
      <c r="AP215" s="624"/>
      <c r="AQ215" s="624"/>
      <c r="AR215" s="624"/>
      <c r="AS215" s="624"/>
      <c r="AT215" s="624"/>
      <c r="AU215" s="624"/>
      <c r="AV215" s="624"/>
      <c r="AW215" s="624"/>
      <c r="AX215" s="624"/>
      <c r="AY215" s="624"/>
    </row>
    <row r="216" spans="31:51" s="463" customFormat="1" x14ac:dyDescent="0.2">
      <c r="AE216" s="624"/>
      <c r="AF216" s="624"/>
      <c r="AG216" s="624"/>
      <c r="AH216" s="624"/>
      <c r="AI216" s="624"/>
      <c r="AJ216" s="624"/>
      <c r="AK216" s="624"/>
      <c r="AL216" s="624"/>
      <c r="AM216" s="624"/>
      <c r="AN216" s="624"/>
      <c r="AO216" s="624"/>
      <c r="AP216" s="624"/>
      <c r="AQ216" s="624"/>
      <c r="AR216" s="624"/>
      <c r="AS216" s="624"/>
      <c r="AT216" s="624"/>
      <c r="AU216" s="624"/>
      <c r="AV216" s="624"/>
      <c r="AW216" s="624"/>
      <c r="AX216" s="624"/>
      <c r="AY216" s="624"/>
    </row>
    <row r="217" spans="31:51" s="463" customFormat="1" x14ac:dyDescent="0.2">
      <c r="AE217" s="624"/>
      <c r="AF217" s="624"/>
      <c r="AG217" s="624"/>
      <c r="AH217" s="624"/>
      <c r="AI217" s="624"/>
      <c r="AJ217" s="624"/>
      <c r="AK217" s="624"/>
      <c r="AL217" s="624"/>
      <c r="AM217" s="624"/>
      <c r="AN217" s="624"/>
      <c r="AO217" s="624"/>
      <c r="AP217" s="624"/>
      <c r="AQ217" s="624"/>
      <c r="AR217" s="624"/>
      <c r="AS217" s="624"/>
      <c r="AT217" s="624"/>
      <c r="AU217" s="624"/>
      <c r="AV217" s="624"/>
      <c r="AW217" s="624"/>
      <c r="AX217" s="624"/>
      <c r="AY217" s="624"/>
    </row>
    <row r="218" spans="31:51" s="463" customFormat="1" x14ac:dyDescent="0.2">
      <c r="AE218" s="624"/>
      <c r="AF218" s="624"/>
      <c r="AG218" s="624"/>
      <c r="AH218" s="624"/>
      <c r="AI218" s="624"/>
      <c r="AJ218" s="624"/>
      <c r="AK218" s="624"/>
      <c r="AL218" s="624"/>
      <c r="AM218" s="624"/>
      <c r="AN218" s="624"/>
      <c r="AO218" s="624"/>
      <c r="AP218" s="624"/>
      <c r="AQ218" s="624"/>
      <c r="AR218" s="624"/>
      <c r="AS218" s="624"/>
      <c r="AT218" s="624"/>
      <c r="AU218" s="624"/>
      <c r="AV218" s="624"/>
      <c r="AW218" s="624"/>
      <c r="AX218" s="624"/>
      <c r="AY218" s="624"/>
    </row>
    <row r="219" spans="31:51" s="463" customFormat="1" x14ac:dyDescent="0.2">
      <c r="AE219" s="624"/>
      <c r="AF219" s="624"/>
      <c r="AG219" s="624"/>
      <c r="AH219" s="624"/>
      <c r="AI219" s="624"/>
      <c r="AJ219" s="624"/>
      <c r="AK219" s="624"/>
      <c r="AL219" s="624"/>
      <c r="AM219" s="624"/>
      <c r="AN219" s="624"/>
      <c r="AO219" s="624"/>
      <c r="AP219" s="624"/>
      <c r="AQ219" s="624"/>
      <c r="AR219" s="624"/>
      <c r="AS219" s="624"/>
      <c r="AT219" s="624"/>
      <c r="AU219" s="624"/>
      <c r="AV219" s="624"/>
      <c r="AW219" s="624"/>
      <c r="AX219" s="624"/>
      <c r="AY219" s="624"/>
    </row>
    <row r="220" spans="31:51" s="463" customFormat="1" x14ac:dyDescent="0.2">
      <c r="AE220" s="624"/>
      <c r="AF220" s="624"/>
      <c r="AG220" s="624"/>
      <c r="AH220" s="624"/>
      <c r="AI220" s="624"/>
      <c r="AJ220" s="624"/>
      <c r="AK220" s="624"/>
      <c r="AL220" s="624"/>
      <c r="AM220" s="624"/>
      <c r="AN220" s="624"/>
      <c r="AO220" s="624"/>
      <c r="AP220" s="624"/>
      <c r="AQ220" s="624"/>
      <c r="AR220" s="624"/>
      <c r="AS220" s="624"/>
      <c r="AT220" s="624"/>
      <c r="AU220" s="624"/>
      <c r="AV220" s="624"/>
      <c r="AW220" s="624"/>
      <c r="AX220" s="624"/>
      <c r="AY220" s="624"/>
    </row>
    <row r="221" spans="31:51" s="463" customFormat="1" x14ac:dyDescent="0.2">
      <c r="AE221" s="624"/>
      <c r="AF221" s="624"/>
      <c r="AG221" s="624"/>
      <c r="AH221" s="624"/>
      <c r="AI221" s="624"/>
      <c r="AJ221" s="624"/>
      <c r="AK221" s="624"/>
      <c r="AL221" s="624"/>
      <c r="AM221" s="624"/>
      <c r="AN221" s="624"/>
      <c r="AO221" s="624"/>
      <c r="AP221" s="624"/>
      <c r="AQ221" s="624"/>
      <c r="AR221" s="624"/>
      <c r="AS221" s="624"/>
      <c r="AT221" s="624"/>
      <c r="AU221" s="624"/>
      <c r="AV221" s="624"/>
      <c r="AW221" s="624"/>
      <c r="AX221" s="624"/>
      <c r="AY221" s="624"/>
    </row>
    <row r="222" spans="31:51" s="463" customFormat="1" x14ac:dyDescent="0.2">
      <c r="AE222" s="624"/>
      <c r="AF222" s="624"/>
      <c r="AG222" s="624"/>
      <c r="AH222" s="624"/>
      <c r="AI222" s="624"/>
      <c r="AJ222" s="624"/>
      <c r="AK222" s="624"/>
      <c r="AL222" s="624"/>
      <c r="AM222" s="624"/>
      <c r="AN222" s="624"/>
      <c r="AO222" s="624"/>
      <c r="AP222" s="624"/>
      <c r="AQ222" s="624"/>
      <c r="AR222" s="624"/>
      <c r="AS222" s="624"/>
      <c r="AT222" s="624"/>
      <c r="AU222" s="624"/>
      <c r="AV222" s="624"/>
      <c r="AW222" s="624"/>
      <c r="AX222" s="624"/>
      <c r="AY222" s="624"/>
    </row>
    <row r="223" spans="31:51" s="463" customFormat="1" x14ac:dyDescent="0.2">
      <c r="AE223" s="624"/>
      <c r="AF223" s="624"/>
      <c r="AG223" s="624"/>
      <c r="AH223" s="624"/>
      <c r="AI223" s="624"/>
      <c r="AJ223" s="624"/>
      <c r="AK223" s="624"/>
      <c r="AL223" s="624"/>
      <c r="AM223" s="624"/>
      <c r="AN223" s="624"/>
      <c r="AO223" s="624"/>
      <c r="AP223" s="624"/>
      <c r="AQ223" s="624"/>
      <c r="AR223" s="624"/>
      <c r="AS223" s="624"/>
      <c r="AT223" s="624"/>
      <c r="AU223" s="624"/>
      <c r="AV223" s="624"/>
      <c r="AW223" s="624"/>
      <c r="AX223" s="624"/>
      <c r="AY223" s="624"/>
    </row>
    <row r="224" spans="31:51" s="463" customFormat="1" x14ac:dyDescent="0.2">
      <c r="AE224" s="624"/>
      <c r="AF224" s="624"/>
      <c r="AG224" s="624"/>
      <c r="AH224" s="624"/>
      <c r="AI224" s="624"/>
      <c r="AJ224" s="624"/>
      <c r="AK224" s="624"/>
      <c r="AL224" s="624"/>
      <c r="AM224" s="624"/>
      <c r="AN224" s="624"/>
      <c r="AO224" s="624"/>
      <c r="AP224" s="624"/>
      <c r="AQ224" s="624"/>
      <c r="AR224" s="624"/>
      <c r="AS224" s="624"/>
      <c r="AT224" s="624"/>
      <c r="AU224" s="624"/>
      <c r="AV224" s="624"/>
      <c r="AW224" s="624"/>
      <c r="AX224" s="624"/>
      <c r="AY224" s="624"/>
    </row>
    <row r="225" spans="31:51" s="463" customFormat="1" x14ac:dyDescent="0.2">
      <c r="AE225" s="624"/>
      <c r="AF225" s="624"/>
      <c r="AG225" s="624"/>
      <c r="AH225" s="624"/>
      <c r="AI225" s="624"/>
      <c r="AJ225" s="624"/>
      <c r="AK225" s="624"/>
      <c r="AL225" s="624"/>
      <c r="AM225" s="624"/>
      <c r="AN225" s="624"/>
      <c r="AO225" s="624"/>
      <c r="AP225" s="624"/>
      <c r="AQ225" s="624"/>
      <c r="AR225" s="624"/>
      <c r="AS225" s="624"/>
      <c r="AT225" s="624"/>
      <c r="AU225" s="624"/>
      <c r="AV225" s="624"/>
      <c r="AW225" s="624"/>
      <c r="AX225" s="624"/>
      <c r="AY225" s="624"/>
    </row>
    <row r="226" spans="31:51" s="463" customFormat="1" x14ac:dyDescent="0.2">
      <c r="AE226" s="624"/>
      <c r="AF226" s="624"/>
      <c r="AG226" s="624"/>
      <c r="AH226" s="624"/>
      <c r="AI226" s="624"/>
      <c r="AJ226" s="624"/>
      <c r="AK226" s="624"/>
      <c r="AL226" s="624"/>
      <c r="AM226" s="624"/>
      <c r="AN226" s="624"/>
      <c r="AO226" s="624"/>
      <c r="AP226" s="624"/>
      <c r="AQ226" s="624"/>
      <c r="AR226" s="624"/>
      <c r="AS226" s="624"/>
      <c r="AT226" s="624"/>
      <c r="AU226" s="624"/>
      <c r="AV226" s="624"/>
      <c r="AW226" s="624"/>
      <c r="AX226" s="624"/>
      <c r="AY226" s="624"/>
    </row>
    <row r="227" spans="31:51" s="463" customFormat="1" x14ac:dyDescent="0.2">
      <c r="AE227" s="624"/>
      <c r="AF227" s="624"/>
      <c r="AG227" s="624"/>
      <c r="AH227" s="624"/>
      <c r="AI227" s="624"/>
      <c r="AJ227" s="624"/>
      <c r="AK227" s="624"/>
      <c r="AL227" s="624"/>
      <c r="AM227" s="624"/>
      <c r="AN227" s="624"/>
      <c r="AO227" s="624"/>
      <c r="AP227" s="624"/>
      <c r="AQ227" s="624"/>
      <c r="AR227" s="624"/>
      <c r="AS227" s="624"/>
      <c r="AT227" s="624"/>
      <c r="AU227" s="624"/>
      <c r="AV227" s="624"/>
      <c r="AW227" s="624"/>
      <c r="AX227" s="624"/>
      <c r="AY227" s="624"/>
    </row>
    <row r="228" spans="31:51" s="463" customFormat="1" x14ac:dyDescent="0.2">
      <c r="AE228" s="624"/>
      <c r="AF228" s="624"/>
      <c r="AG228" s="624"/>
      <c r="AH228" s="624"/>
      <c r="AI228" s="624"/>
      <c r="AJ228" s="624"/>
      <c r="AK228" s="624"/>
      <c r="AL228" s="624"/>
      <c r="AM228" s="624"/>
      <c r="AN228" s="624"/>
      <c r="AO228" s="624"/>
      <c r="AP228" s="624"/>
      <c r="AQ228" s="624"/>
      <c r="AR228" s="624"/>
      <c r="AS228" s="624"/>
      <c r="AT228" s="624"/>
      <c r="AU228" s="624"/>
      <c r="AV228" s="624"/>
      <c r="AW228" s="624"/>
      <c r="AX228" s="624"/>
      <c r="AY228" s="624"/>
    </row>
    <row r="229" spans="31:51" s="463" customFormat="1" x14ac:dyDescent="0.2">
      <c r="AE229" s="624"/>
      <c r="AF229" s="624"/>
      <c r="AG229" s="624"/>
      <c r="AH229" s="624"/>
      <c r="AI229" s="624"/>
      <c r="AJ229" s="624"/>
      <c r="AK229" s="624"/>
      <c r="AL229" s="624"/>
      <c r="AM229" s="624"/>
      <c r="AN229" s="624"/>
      <c r="AO229" s="624"/>
      <c r="AP229" s="624"/>
      <c r="AQ229" s="624"/>
      <c r="AR229" s="624"/>
      <c r="AS229" s="624"/>
      <c r="AT229" s="624"/>
      <c r="AU229" s="624"/>
      <c r="AV229" s="624"/>
      <c r="AW229" s="624"/>
      <c r="AX229" s="624"/>
      <c r="AY229" s="624"/>
    </row>
    <row r="230" spans="31:51" s="463" customFormat="1" x14ac:dyDescent="0.2">
      <c r="AE230" s="624"/>
      <c r="AF230" s="624"/>
      <c r="AG230" s="624"/>
      <c r="AH230" s="624"/>
      <c r="AI230" s="624"/>
      <c r="AJ230" s="624"/>
      <c r="AK230" s="624"/>
      <c r="AL230" s="624"/>
      <c r="AM230" s="624"/>
      <c r="AN230" s="624"/>
      <c r="AO230" s="624"/>
      <c r="AP230" s="624"/>
      <c r="AQ230" s="624"/>
      <c r="AR230" s="624"/>
      <c r="AS230" s="624"/>
      <c r="AT230" s="624"/>
      <c r="AU230" s="624"/>
      <c r="AV230" s="624"/>
      <c r="AW230" s="624"/>
      <c r="AX230" s="624"/>
      <c r="AY230" s="624"/>
    </row>
    <row r="231" spans="31:51" s="463" customFormat="1" x14ac:dyDescent="0.2">
      <c r="AE231" s="624"/>
      <c r="AF231" s="624"/>
      <c r="AG231" s="624"/>
      <c r="AH231" s="624"/>
      <c r="AI231" s="624"/>
      <c r="AJ231" s="624"/>
      <c r="AK231" s="624"/>
      <c r="AL231" s="624"/>
      <c r="AM231" s="624"/>
      <c r="AN231" s="624"/>
      <c r="AO231" s="624"/>
      <c r="AP231" s="624"/>
      <c r="AQ231" s="624"/>
      <c r="AR231" s="624"/>
      <c r="AS231" s="624"/>
      <c r="AT231" s="624"/>
      <c r="AU231" s="624"/>
      <c r="AV231" s="624"/>
      <c r="AW231" s="624"/>
      <c r="AX231" s="624"/>
      <c r="AY231" s="624"/>
    </row>
    <row r="232" spans="31:51" s="463" customFormat="1" x14ac:dyDescent="0.2">
      <c r="AE232" s="624"/>
      <c r="AF232" s="624"/>
      <c r="AG232" s="624"/>
      <c r="AH232" s="624"/>
      <c r="AI232" s="624"/>
      <c r="AJ232" s="624"/>
      <c r="AK232" s="624"/>
      <c r="AL232" s="624"/>
      <c r="AM232" s="624"/>
      <c r="AN232" s="624"/>
      <c r="AO232" s="624"/>
      <c r="AP232" s="624"/>
      <c r="AQ232" s="624"/>
      <c r="AR232" s="624"/>
      <c r="AS232" s="624"/>
      <c r="AT232" s="624"/>
      <c r="AU232" s="624"/>
      <c r="AV232" s="624"/>
      <c r="AW232" s="624"/>
      <c r="AX232" s="624"/>
      <c r="AY232" s="624"/>
    </row>
    <row r="233" spans="31:51" s="463" customFormat="1" x14ac:dyDescent="0.2">
      <c r="AE233" s="624"/>
      <c r="AF233" s="624"/>
      <c r="AG233" s="624"/>
      <c r="AH233" s="624"/>
      <c r="AI233" s="624"/>
      <c r="AJ233" s="624"/>
      <c r="AK233" s="624"/>
      <c r="AL233" s="624"/>
      <c r="AM233" s="624"/>
      <c r="AN233" s="624"/>
      <c r="AO233" s="624"/>
      <c r="AP233" s="624"/>
      <c r="AQ233" s="624"/>
      <c r="AR233" s="624"/>
      <c r="AS233" s="624"/>
      <c r="AT233" s="624"/>
      <c r="AU233" s="624"/>
      <c r="AV233" s="624"/>
      <c r="AW233" s="624"/>
      <c r="AX233" s="624"/>
      <c r="AY233" s="624"/>
    </row>
    <row r="234" spans="31:51" s="463" customFormat="1" x14ac:dyDescent="0.2">
      <c r="AE234" s="624"/>
      <c r="AF234" s="624"/>
      <c r="AG234" s="624"/>
      <c r="AH234" s="624"/>
      <c r="AI234" s="624"/>
      <c r="AJ234" s="624"/>
      <c r="AK234" s="624"/>
      <c r="AL234" s="624"/>
      <c r="AM234" s="624"/>
      <c r="AN234" s="624"/>
      <c r="AO234" s="624"/>
      <c r="AP234" s="624"/>
      <c r="AQ234" s="624"/>
      <c r="AR234" s="624"/>
      <c r="AS234" s="624"/>
      <c r="AT234" s="624"/>
      <c r="AU234" s="624"/>
      <c r="AV234" s="624"/>
      <c r="AW234" s="624"/>
      <c r="AX234" s="624"/>
      <c r="AY234" s="624"/>
    </row>
    <row r="235" spans="31:51" s="463" customFormat="1" x14ac:dyDescent="0.2">
      <c r="AE235" s="624"/>
      <c r="AF235" s="624"/>
      <c r="AG235" s="624"/>
      <c r="AH235" s="624"/>
      <c r="AI235" s="624"/>
      <c r="AJ235" s="624"/>
      <c r="AK235" s="624"/>
      <c r="AL235" s="624"/>
      <c r="AM235" s="624"/>
      <c r="AN235" s="624"/>
      <c r="AO235" s="624"/>
      <c r="AP235" s="624"/>
      <c r="AQ235" s="624"/>
      <c r="AR235" s="624"/>
      <c r="AS235" s="624"/>
      <c r="AT235" s="624"/>
      <c r="AU235" s="624"/>
      <c r="AV235" s="624"/>
      <c r="AW235" s="624"/>
      <c r="AX235" s="624"/>
      <c r="AY235" s="624"/>
    </row>
    <row r="236" spans="31:51" s="463" customFormat="1" x14ac:dyDescent="0.2">
      <c r="AE236" s="624"/>
      <c r="AF236" s="624"/>
      <c r="AG236" s="624"/>
      <c r="AH236" s="624"/>
      <c r="AI236" s="624"/>
      <c r="AJ236" s="624"/>
      <c r="AK236" s="624"/>
      <c r="AL236" s="624"/>
      <c r="AM236" s="624"/>
      <c r="AN236" s="624"/>
      <c r="AO236" s="624"/>
      <c r="AP236" s="624"/>
      <c r="AQ236" s="624"/>
      <c r="AR236" s="624"/>
      <c r="AS236" s="624"/>
      <c r="AT236" s="624"/>
      <c r="AU236" s="624"/>
      <c r="AV236" s="624"/>
      <c r="AW236" s="624"/>
      <c r="AX236" s="624"/>
      <c r="AY236" s="624"/>
    </row>
    <row r="237" spans="31:51" s="463" customFormat="1" x14ac:dyDescent="0.2">
      <c r="AE237" s="624"/>
      <c r="AF237" s="624"/>
      <c r="AG237" s="624"/>
      <c r="AH237" s="624"/>
      <c r="AI237" s="624"/>
      <c r="AJ237" s="624"/>
      <c r="AK237" s="624"/>
      <c r="AL237" s="624"/>
      <c r="AM237" s="624"/>
      <c r="AN237" s="624"/>
      <c r="AO237" s="624"/>
      <c r="AP237" s="624"/>
      <c r="AQ237" s="624"/>
      <c r="AR237" s="624"/>
      <c r="AS237" s="624"/>
      <c r="AT237" s="624"/>
      <c r="AU237" s="624"/>
      <c r="AV237" s="624"/>
      <c r="AW237" s="624"/>
      <c r="AX237" s="624"/>
      <c r="AY237" s="624"/>
    </row>
    <row r="238" spans="31:51" s="463" customFormat="1" x14ac:dyDescent="0.2">
      <c r="AE238" s="624"/>
      <c r="AF238" s="624"/>
      <c r="AG238" s="624"/>
      <c r="AH238" s="624"/>
      <c r="AI238" s="624"/>
      <c r="AJ238" s="624"/>
      <c r="AK238" s="624"/>
      <c r="AL238" s="624"/>
      <c r="AM238" s="624"/>
      <c r="AN238" s="624"/>
      <c r="AO238" s="624"/>
      <c r="AP238" s="624"/>
      <c r="AQ238" s="624"/>
      <c r="AR238" s="624"/>
      <c r="AS238" s="624"/>
      <c r="AT238" s="624"/>
      <c r="AU238" s="624"/>
      <c r="AV238" s="624"/>
      <c r="AW238" s="624"/>
      <c r="AX238" s="624"/>
      <c r="AY238" s="624"/>
    </row>
    <row r="239" spans="31:51" s="463" customFormat="1" x14ac:dyDescent="0.2">
      <c r="AE239" s="624"/>
      <c r="AF239" s="624"/>
      <c r="AG239" s="624"/>
      <c r="AH239" s="624"/>
      <c r="AI239" s="624"/>
      <c r="AJ239" s="624"/>
      <c r="AK239" s="624"/>
      <c r="AL239" s="624"/>
      <c r="AM239" s="624"/>
      <c r="AN239" s="624"/>
      <c r="AO239" s="624"/>
      <c r="AP239" s="624"/>
      <c r="AQ239" s="624"/>
      <c r="AR239" s="624"/>
      <c r="AS239" s="624"/>
      <c r="AT239" s="624"/>
      <c r="AU239" s="624"/>
      <c r="AV239" s="624"/>
      <c r="AW239" s="624"/>
      <c r="AX239" s="624"/>
      <c r="AY239" s="624"/>
    </row>
    <row r="240" spans="31:51" s="463" customFormat="1" x14ac:dyDescent="0.2">
      <c r="AE240" s="624"/>
      <c r="AF240" s="624"/>
      <c r="AG240" s="624"/>
      <c r="AH240" s="624"/>
      <c r="AI240" s="624"/>
      <c r="AJ240" s="624"/>
      <c r="AK240" s="624"/>
      <c r="AL240" s="624"/>
      <c r="AM240" s="624"/>
      <c r="AN240" s="624"/>
      <c r="AO240" s="624"/>
      <c r="AP240" s="624"/>
      <c r="AQ240" s="624"/>
      <c r="AR240" s="624"/>
      <c r="AS240" s="624"/>
      <c r="AT240" s="624"/>
      <c r="AU240" s="624"/>
      <c r="AV240" s="624"/>
      <c r="AW240" s="624"/>
      <c r="AX240" s="624"/>
      <c r="AY240" s="624"/>
    </row>
    <row r="241" spans="31:51" s="463" customFormat="1" x14ac:dyDescent="0.2">
      <c r="AE241" s="624"/>
      <c r="AF241" s="624"/>
      <c r="AG241" s="624"/>
      <c r="AH241" s="624"/>
      <c r="AI241" s="624"/>
      <c r="AJ241" s="624"/>
      <c r="AK241" s="624"/>
      <c r="AL241" s="624"/>
      <c r="AM241" s="624"/>
      <c r="AN241" s="624"/>
      <c r="AO241" s="624"/>
      <c r="AP241" s="624"/>
      <c r="AQ241" s="624"/>
      <c r="AR241" s="624"/>
      <c r="AS241" s="624"/>
      <c r="AT241" s="624"/>
      <c r="AU241" s="624"/>
      <c r="AV241" s="624"/>
      <c r="AW241" s="624"/>
      <c r="AX241" s="624"/>
      <c r="AY241" s="624"/>
    </row>
    <row r="242" spans="31:51" s="463" customFormat="1" x14ac:dyDescent="0.2">
      <c r="AE242" s="624"/>
      <c r="AF242" s="624"/>
      <c r="AG242" s="624"/>
      <c r="AH242" s="624"/>
      <c r="AI242" s="624"/>
      <c r="AJ242" s="624"/>
      <c r="AK242" s="624"/>
      <c r="AL242" s="624"/>
      <c r="AM242" s="624"/>
      <c r="AN242" s="624"/>
      <c r="AO242" s="624"/>
      <c r="AP242" s="624"/>
      <c r="AQ242" s="624"/>
      <c r="AR242" s="624"/>
      <c r="AS242" s="624"/>
      <c r="AT242" s="624"/>
      <c r="AU242" s="624"/>
      <c r="AV242" s="624"/>
      <c r="AW242" s="624"/>
      <c r="AX242" s="624"/>
      <c r="AY242" s="624"/>
    </row>
    <row r="243" spans="31:51" s="463" customFormat="1" x14ac:dyDescent="0.2">
      <c r="AE243" s="624"/>
      <c r="AF243" s="624"/>
      <c r="AG243" s="624"/>
      <c r="AH243" s="624"/>
      <c r="AI243" s="624"/>
      <c r="AJ243" s="624"/>
      <c r="AK243" s="624"/>
      <c r="AL243" s="624"/>
      <c r="AM243" s="624"/>
      <c r="AN243" s="624"/>
      <c r="AO243" s="624"/>
      <c r="AP243" s="624"/>
      <c r="AQ243" s="624"/>
      <c r="AR243" s="624"/>
      <c r="AS243" s="624"/>
      <c r="AT243" s="624"/>
      <c r="AU243" s="624"/>
      <c r="AV243" s="624"/>
      <c r="AW243" s="624"/>
      <c r="AX243" s="624"/>
      <c r="AY243" s="624"/>
    </row>
    <row r="244" spans="31:51" s="463" customFormat="1" x14ac:dyDescent="0.2">
      <c r="AE244" s="624"/>
      <c r="AF244" s="624"/>
      <c r="AG244" s="624"/>
      <c r="AH244" s="624"/>
      <c r="AI244" s="624"/>
      <c r="AJ244" s="624"/>
      <c r="AK244" s="624"/>
      <c r="AL244" s="624"/>
      <c r="AM244" s="624"/>
      <c r="AN244" s="624"/>
      <c r="AO244" s="624"/>
      <c r="AP244" s="624"/>
      <c r="AQ244" s="624"/>
      <c r="AR244" s="624"/>
      <c r="AS244" s="624"/>
      <c r="AT244" s="624"/>
      <c r="AU244" s="624"/>
      <c r="AV244" s="624"/>
      <c r="AW244" s="624"/>
      <c r="AX244" s="624"/>
      <c r="AY244" s="624"/>
    </row>
    <row r="245" spans="31:51" s="463" customFormat="1" x14ac:dyDescent="0.2">
      <c r="AE245" s="624"/>
      <c r="AF245" s="624"/>
      <c r="AG245" s="624"/>
      <c r="AH245" s="624"/>
      <c r="AI245" s="624"/>
      <c r="AJ245" s="624"/>
      <c r="AK245" s="624"/>
      <c r="AL245" s="624"/>
      <c r="AM245" s="624"/>
      <c r="AN245" s="624"/>
      <c r="AO245" s="624"/>
      <c r="AP245" s="624"/>
      <c r="AQ245" s="624"/>
      <c r="AR245" s="624"/>
      <c r="AS245" s="624"/>
      <c r="AT245" s="624"/>
      <c r="AU245" s="624"/>
      <c r="AV245" s="624"/>
      <c r="AW245" s="624"/>
      <c r="AX245" s="624"/>
      <c r="AY245" s="624"/>
    </row>
    <row r="246" spans="31:51" s="463" customFormat="1" x14ac:dyDescent="0.2">
      <c r="AE246" s="624"/>
      <c r="AF246" s="624"/>
      <c r="AG246" s="624"/>
      <c r="AH246" s="624"/>
      <c r="AI246" s="624"/>
      <c r="AJ246" s="624"/>
      <c r="AK246" s="624"/>
      <c r="AL246" s="624"/>
      <c r="AM246" s="624"/>
      <c r="AN246" s="624"/>
      <c r="AO246" s="624"/>
      <c r="AP246" s="624"/>
      <c r="AQ246" s="624"/>
      <c r="AR246" s="624"/>
      <c r="AS246" s="624"/>
      <c r="AT246" s="624"/>
      <c r="AU246" s="624"/>
      <c r="AV246" s="624"/>
      <c r="AW246" s="624"/>
      <c r="AX246" s="624"/>
      <c r="AY246" s="624"/>
    </row>
    <row r="247" spans="31:51" s="463" customFormat="1" x14ac:dyDescent="0.2">
      <c r="AE247" s="624"/>
      <c r="AF247" s="624"/>
      <c r="AG247" s="624"/>
      <c r="AH247" s="624"/>
      <c r="AI247" s="624"/>
      <c r="AJ247" s="624"/>
      <c r="AK247" s="624"/>
      <c r="AL247" s="624"/>
      <c r="AM247" s="624"/>
      <c r="AN247" s="624"/>
      <c r="AO247" s="624"/>
      <c r="AP247" s="624"/>
      <c r="AQ247" s="624"/>
      <c r="AR247" s="624"/>
      <c r="AS247" s="624"/>
      <c r="AT247" s="624"/>
      <c r="AU247" s="624"/>
      <c r="AV247" s="624"/>
      <c r="AW247" s="624"/>
      <c r="AX247" s="624"/>
      <c r="AY247" s="624"/>
    </row>
    <row r="248" spans="31:51" s="463" customFormat="1" x14ac:dyDescent="0.2">
      <c r="AE248" s="624"/>
      <c r="AF248" s="624"/>
      <c r="AG248" s="624"/>
      <c r="AH248" s="624"/>
      <c r="AI248" s="624"/>
      <c r="AJ248" s="624"/>
      <c r="AK248" s="624"/>
      <c r="AL248" s="624"/>
      <c r="AM248" s="624"/>
      <c r="AN248" s="624"/>
      <c r="AO248" s="624"/>
      <c r="AP248" s="624"/>
      <c r="AQ248" s="624"/>
      <c r="AR248" s="624"/>
      <c r="AS248" s="624"/>
      <c r="AT248" s="624"/>
      <c r="AU248" s="624"/>
      <c r="AV248" s="624"/>
      <c r="AW248" s="624"/>
      <c r="AX248" s="624"/>
      <c r="AY248" s="624"/>
    </row>
    <row r="249" spans="31:51" s="463" customFormat="1" x14ac:dyDescent="0.2">
      <c r="AE249" s="624"/>
      <c r="AF249" s="624"/>
      <c r="AG249" s="624"/>
      <c r="AH249" s="624"/>
      <c r="AI249" s="624"/>
      <c r="AJ249" s="624"/>
      <c r="AK249" s="624"/>
      <c r="AL249" s="624"/>
      <c r="AM249" s="624"/>
      <c r="AN249" s="624"/>
      <c r="AO249" s="624"/>
      <c r="AP249" s="624"/>
      <c r="AQ249" s="624"/>
      <c r="AR249" s="624"/>
      <c r="AS249" s="624"/>
      <c r="AT249" s="624"/>
      <c r="AU249" s="624"/>
      <c r="AV249" s="624"/>
      <c r="AW249" s="624"/>
      <c r="AX249" s="624"/>
      <c r="AY249" s="624"/>
    </row>
    <row r="250" spans="31:51" s="463" customFormat="1" x14ac:dyDescent="0.2">
      <c r="AE250" s="624"/>
      <c r="AF250" s="624"/>
      <c r="AG250" s="624"/>
      <c r="AH250" s="624"/>
      <c r="AI250" s="624"/>
      <c r="AJ250" s="624"/>
      <c r="AK250" s="624"/>
      <c r="AL250" s="624"/>
      <c r="AM250" s="624"/>
      <c r="AN250" s="624"/>
      <c r="AO250" s="624"/>
      <c r="AP250" s="624"/>
      <c r="AQ250" s="624"/>
      <c r="AR250" s="624"/>
      <c r="AS250" s="624"/>
      <c r="AT250" s="624"/>
      <c r="AU250" s="624"/>
      <c r="AV250" s="624"/>
      <c r="AW250" s="624"/>
      <c r="AX250" s="624"/>
      <c r="AY250" s="624"/>
    </row>
    <row r="251" spans="31:51" s="463" customFormat="1" x14ac:dyDescent="0.2">
      <c r="AE251" s="624"/>
      <c r="AF251" s="624"/>
      <c r="AG251" s="624"/>
      <c r="AH251" s="624"/>
      <c r="AI251" s="624"/>
      <c r="AJ251" s="624"/>
      <c r="AK251" s="624"/>
      <c r="AL251" s="624"/>
      <c r="AM251" s="624"/>
      <c r="AN251" s="624"/>
      <c r="AO251" s="624"/>
      <c r="AP251" s="624"/>
      <c r="AQ251" s="624"/>
      <c r="AR251" s="624"/>
      <c r="AS251" s="624"/>
      <c r="AT251" s="624"/>
      <c r="AU251" s="624"/>
      <c r="AV251" s="624"/>
      <c r="AW251" s="624"/>
      <c r="AX251" s="624"/>
      <c r="AY251" s="624"/>
    </row>
    <row r="252" spans="31:51" s="463" customFormat="1" x14ac:dyDescent="0.2">
      <c r="AE252" s="624"/>
      <c r="AF252" s="624"/>
      <c r="AG252" s="624"/>
      <c r="AH252" s="624"/>
      <c r="AI252" s="624"/>
      <c r="AJ252" s="624"/>
      <c r="AK252" s="624"/>
      <c r="AL252" s="624"/>
      <c r="AM252" s="624"/>
      <c r="AN252" s="624"/>
      <c r="AO252" s="624"/>
      <c r="AP252" s="624"/>
      <c r="AQ252" s="624"/>
      <c r="AR252" s="624"/>
      <c r="AS252" s="624"/>
      <c r="AT252" s="624"/>
      <c r="AU252" s="624"/>
      <c r="AV252" s="624"/>
      <c r="AW252" s="624"/>
      <c r="AX252" s="624"/>
      <c r="AY252" s="624"/>
    </row>
    <row r="253" spans="31:51" s="463" customFormat="1" x14ac:dyDescent="0.2">
      <c r="AE253" s="624"/>
      <c r="AF253" s="624"/>
      <c r="AG253" s="624"/>
      <c r="AH253" s="624"/>
      <c r="AI253" s="624"/>
      <c r="AJ253" s="624"/>
      <c r="AK253" s="624"/>
      <c r="AL253" s="624"/>
      <c r="AM253" s="624"/>
      <c r="AN253" s="624"/>
      <c r="AO253" s="624"/>
      <c r="AP253" s="624"/>
      <c r="AQ253" s="624"/>
      <c r="AR253" s="624"/>
      <c r="AS253" s="624"/>
      <c r="AT253" s="624"/>
      <c r="AU253" s="624"/>
      <c r="AV253" s="624"/>
      <c r="AW253" s="624"/>
      <c r="AX253" s="624"/>
      <c r="AY253" s="624"/>
    </row>
    <row r="254" spans="31:51" s="463" customFormat="1" x14ac:dyDescent="0.2">
      <c r="AE254" s="624"/>
      <c r="AF254" s="624"/>
      <c r="AG254" s="624"/>
      <c r="AH254" s="624"/>
      <c r="AI254" s="624"/>
      <c r="AJ254" s="624"/>
      <c r="AK254" s="624"/>
      <c r="AL254" s="624"/>
      <c r="AM254" s="624"/>
      <c r="AN254" s="624"/>
      <c r="AO254" s="624"/>
      <c r="AP254" s="624"/>
      <c r="AQ254" s="624"/>
      <c r="AR254" s="624"/>
      <c r="AS254" s="624"/>
      <c r="AT254" s="624"/>
      <c r="AU254" s="624"/>
      <c r="AV254" s="624"/>
      <c r="AW254" s="624"/>
      <c r="AX254" s="624"/>
      <c r="AY254" s="624"/>
    </row>
    <row r="255" spans="31:51" s="463" customFormat="1" x14ac:dyDescent="0.2">
      <c r="AE255" s="624"/>
      <c r="AF255" s="624"/>
      <c r="AG255" s="624"/>
      <c r="AH255" s="624"/>
      <c r="AI255" s="624"/>
      <c r="AJ255" s="624"/>
      <c r="AK255" s="624"/>
      <c r="AL255" s="624"/>
      <c r="AM255" s="624"/>
      <c r="AN255" s="624"/>
      <c r="AO255" s="624"/>
      <c r="AP255" s="624"/>
      <c r="AQ255" s="624"/>
      <c r="AR255" s="624"/>
      <c r="AS255" s="624"/>
      <c r="AT255" s="624"/>
      <c r="AU255" s="624"/>
      <c r="AV255" s="624"/>
      <c r="AW255" s="624"/>
      <c r="AX255" s="624"/>
      <c r="AY255" s="624"/>
    </row>
    <row r="256" spans="31:51" s="463" customFormat="1" x14ac:dyDescent="0.2">
      <c r="AE256" s="624"/>
      <c r="AF256" s="624"/>
      <c r="AG256" s="624"/>
      <c r="AH256" s="624"/>
      <c r="AI256" s="624"/>
      <c r="AJ256" s="624"/>
      <c r="AK256" s="624"/>
      <c r="AL256" s="624"/>
      <c r="AM256" s="624"/>
      <c r="AN256" s="624"/>
      <c r="AO256" s="624"/>
      <c r="AP256" s="624"/>
      <c r="AQ256" s="624"/>
      <c r="AR256" s="624"/>
      <c r="AS256" s="624"/>
      <c r="AT256" s="624"/>
      <c r="AU256" s="624"/>
      <c r="AV256" s="624"/>
      <c r="AW256" s="624"/>
      <c r="AX256" s="624"/>
      <c r="AY256" s="624"/>
    </row>
    <row r="257" spans="31:51" s="463" customFormat="1" x14ac:dyDescent="0.2">
      <c r="AE257" s="624"/>
      <c r="AF257" s="624"/>
      <c r="AG257" s="624"/>
      <c r="AH257" s="624"/>
      <c r="AI257" s="624"/>
      <c r="AJ257" s="624"/>
      <c r="AK257" s="624"/>
      <c r="AL257" s="624"/>
      <c r="AM257" s="624"/>
      <c r="AN257" s="624"/>
      <c r="AO257" s="624"/>
      <c r="AP257" s="624"/>
      <c r="AQ257" s="624"/>
      <c r="AR257" s="624"/>
      <c r="AS257" s="624"/>
      <c r="AT257" s="624"/>
      <c r="AU257" s="624"/>
      <c r="AV257" s="624"/>
      <c r="AW257" s="624"/>
      <c r="AX257" s="624"/>
      <c r="AY257" s="624"/>
    </row>
    <row r="258" spans="31:51" s="463" customFormat="1" x14ac:dyDescent="0.2">
      <c r="AE258" s="624"/>
      <c r="AF258" s="624"/>
      <c r="AG258" s="624"/>
      <c r="AH258" s="624"/>
      <c r="AI258" s="624"/>
      <c r="AJ258" s="624"/>
      <c r="AK258" s="624"/>
      <c r="AL258" s="624"/>
      <c r="AM258" s="624"/>
      <c r="AN258" s="624"/>
      <c r="AO258" s="624"/>
      <c r="AP258" s="624"/>
      <c r="AQ258" s="624"/>
      <c r="AR258" s="624"/>
      <c r="AS258" s="624"/>
      <c r="AT258" s="624"/>
      <c r="AU258" s="624"/>
      <c r="AV258" s="624"/>
      <c r="AW258" s="624"/>
      <c r="AX258" s="624"/>
      <c r="AY258" s="624"/>
    </row>
    <row r="259" spans="31:51" s="463" customFormat="1" x14ac:dyDescent="0.2">
      <c r="AE259" s="624"/>
      <c r="AF259" s="624"/>
      <c r="AG259" s="624"/>
      <c r="AH259" s="624"/>
      <c r="AI259" s="624"/>
      <c r="AJ259" s="624"/>
      <c r="AK259" s="624"/>
      <c r="AL259" s="624"/>
      <c r="AM259" s="624"/>
      <c r="AN259" s="624"/>
      <c r="AO259" s="624"/>
      <c r="AP259" s="624"/>
      <c r="AQ259" s="624"/>
      <c r="AR259" s="624"/>
      <c r="AS259" s="624"/>
      <c r="AT259" s="624"/>
      <c r="AU259" s="624"/>
      <c r="AV259" s="624"/>
      <c r="AW259" s="624"/>
      <c r="AX259" s="624"/>
      <c r="AY259" s="624"/>
    </row>
    <row r="260" spans="31:51" s="463" customFormat="1" x14ac:dyDescent="0.2">
      <c r="AE260" s="624"/>
      <c r="AF260" s="624"/>
      <c r="AG260" s="624"/>
      <c r="AH260" s="624"/>
      <c r="AI260" s="624"/>
      <c r="AJ260" s="624"/>
      <c r="AK260" s="624"/>
      <c r="AL260" s="624"/>
      <c r="AM260" s="624"/>
      <c r="AN260" s="624"/>
      <c r="AO260" s="624"/>
      <c r="AP260" s="624"/>
      <c r="AQ260" s="624"/>
      <c r="AR260" s="624"/>
      <c r="AS260" s="624"/>
      <c r="AT260" s="624"/>
      <c r="AU260" s="624"/>
      <c r="AV260" s="624"/>
      <c r="AW260" s="624"/>
      <c r="AX260" s="624"/>
      <c r="AY260" s="624"/>
    </row>
    <row r="261" spans="31:51" s="463" customFormat="1" x14ac:dyDescent="0.2">
      <c r="AE261" s="624"/>
      <c r="AF261" s="624"/>
      <c r="AG261" s="624"/>
      <c r="AH261" s="624"/>
      <c r="AI261" s="624"/>
      <c r="AJ261" s="624"/>
      <c r="AK261" s="624"/>
      <c r="AL261" s="624"/>
      <c r="AM261" s="624"/>
      <c r="AN261" s="624"/>
      <c r="AO261" s="624"/>
      <c r="AP261" s="624"/>
      <c r="AQ261" s="624"/>
      <c r="AR261" s="624"/>
      <c r="AS261" s="624"/>
      <c r="AT261" s="624"/>
      <c r="AU261" s="624"/>
      <c r="AV261" s="624"/>
      <c r="AW261" s="624"/>
      <c r="AX261" s="624"/>
      <c r="AY261" s="624"/>
    </row>
    <row r="262" spans="31:51" s="463" customFormat="1" x14ac:dyDescent="0.2">
      <c r="AE262" s="624"/>
      <c r="AF262" s="624"/>
      <c r="AG262" s="624"/>
      <c r="AH262" s="624"/>
      <c r="AI262" s="624"/>
      <c r="AJ262" s="624"/>
      <c r="AK262" s="624"/>
      <c r="AL262" s="624"/>
      <c r="AM262" s="624"/>
      <c r="AN262" s="624"/>
      <c r="AO262" s="624"/>
      <c r="AP262" s="624"/>
      <c r="AQ262" s="624"/>
      <c r="AR262" s="624"/>
      <c r="AS262" s="624"/>
      <c r="AT262" s="624"/>
      <c r="AU262" s="624"/>
      <c r="AV262" s="624"/>
      <c r="AW262" s="624"/>
      <c r="AX262" s="624"/>
      <c r="AY262" s="624"/>
    </row>
    <row r="263" spans="31:51" s="463" customFormat="1" x14ac:dyDescent="0.2">
      <c r="AE263" s="624"/>
      <c r="AF263" s="624"/>
      <c r="AG263" s="624"/>
      <c r="AH263" s="624"/>
      <c r="AI263" s="624"/>
      <c r="AJ263" s="624"/>
      <c r="AK263" s="624"/>
      <c r="AL263" s="624"/>
      <c r="AM263" s="624"/>
      <c r="AN263" s="624"/>
      <c r="AO263" s="624"/>
      <c r="AP263" s="624"/>
      <c r="AQ263" s="624"/>
      <c r="AR263" s="624"/>
      <c r="AS263" s="624"/>
      <c r="AT263" s="624"/>
      <c r="AU263" s="624"/>
      <c r="AV263" s="624"/>
      <c r="AW263" s="624"/>
      <c r="AX263" s="624"/>
      <c r="AY263" s="624"/>
    </row>
    <row r="264" spans="31:51" s="463" customFormat="1" x14ac:dyDescent="0.2">
      <c r="AE264" s="624"/>
      <c r="AF264" s="624"/>
      <c r="AG264" s="624"/>
      <c r="AH264" s="624"/>
      <c r="AI264" s="624"/>
      <c r="AJ264" s="624"/>
      <c r="AK264" s="624"/>
      <c r="AL264" s="624"/>
      <c r="AM264" s="624"/>
      <c r="AN264" s="624"/>
      <c r="AO264" s="624"/>
      <c r="AP264" s="624"/>
      <c r="AQ264" s="624"/>
      <c r="AR264" s="624"/>
      <c r="AS264" s="624"/>
      <c r="AT264" s="624"/>
      <c r="AU264" s="624"/>
      <c r="AV264" s="624"/>
      <c r="AW264" s="624"/>
      <c r="AX264" s="624"/>
      <c r="AY264" s="624"/>
    </row>
    <row r="265" spans="31:51" s="463" customFormat="1" x14ac:dyDescent="0.2">
      <c r="AE265" s="624"/>
      <c r="AF265" s="624"/>
      <c r="AG265" s="624"/>
      <c r="AH265" s="624"/>
      <c r="AI265" s="624"/>
      <c r="AJ265" s="624"/>
      <c r="AK265" s="624"/>
      <c r="AL265" s="624"/>
      <c r="AM265" s="624"/>
      <c r="AN265" s="624"/>
      <c r="AO265" s="624"/>
      <c r="AP265" s="624"/>
      <c r="AQ265" s="624"/>
      <c r="AR265" s="624"/>
      <c r="AS265" s="624"/>
      <c r="AT265" s="624"/>
      <c r="AU265" s="624"/>
      <c r="AV265" s="624"/>
      <c r="AW265" s="624"/>
      <c r="AX265" s="624"/>
      <c r="AY265" s="624"/>
    </row>
    <row r="266" spans="31:51" s="463" customFormat="1" x14ac:dyDescent="0.2">
      <c r="AE266" s="624"/>
      <c r="AF266" s="624"/>
      <c r="AG266" s="624"/>
      <c r="AH266" s="624"/>
      <c r="AI266" s="624"/>
      <c r="AJ266" s="624"/>
      <c r="AK266" s="624"/>
      <c r="AL266" s="624"/>
      <c r="AM266" s="624"/>
      <c r="AN266" s="624"/>
      <c r="AO266" s="624"/>
      <c r="AP266" s="624"/>
      <c r="AQ266" s="624"/>
      <c r="AR266" s="624"/>
      <c r="AS266" s="624"/>
      <c r="AT266" s="624"/>
      <c r="AU266" s="624"/>
      <c r="AV266" s="624"/>
      <c r="AW266" s="624"/>
      <c r="AX266" s="624"/>
      <c r="AY266" s="624"/>
    </row>
    <row r="267" spans="31:51" s="463" customFormat="1" x14ac:dyDescent="0.2">
      <c r="AE267" s="624"/>
      <c r="AF267" s="624"/>
      <c r="AG267" s="624"/>
      <c r="AH267" s="624"/>
      <c r="AI267" s="624"/>
      <c r="AJ267" s="624"/>
      <c r="AK267" s="624"/>
      <c r="AL267" s="624"/>
      <c r="AM267" s="624"/>
      <c r="AN267" s="624"/>
      <c r="AO267" s="624"/>
      <c r="AP267" s="624"/>
      <c r="AQ267" s="624"/>
      <c r="AR267" s="624"/>
      <c r="AS267" s="624"/>
      <c r="AT267" s="624"/>
      <c r="AU267" s="624"/>
      <c r="AV267" s="624"/>
      <c r="AW267" s="624"/>
      <c r="AX267" s="624"/>
      <c r="AY267" s="624"/>
    </row>
    <row r="268" spans="31:51" s="463" customFormat="1" x14ac:dyDescent="0.2">
      <c r="AE268" s="624"/>
      <c r="AF268" s="624"/>
      <c r="AG268" s="624"/>
      <c r="AH268" s="624"/>
      <c r="AI268" s="624"/>
      <c r="AJ268" s="624"/>
      <c r="AK268" s="624"/>
      <c r="AL268" s="624"/>
      <c r="AM268" s="624"/>
      <c r="AN268" s="624"/>
      <c r="AO268" s="624"/>
      <c r="AP268" s="624"/>
      <c r="AQ268" s="624"/>
      <c r="AR268" s="624"/>
      <c r="AS268" s="624"/>
      <c r="AT268" s="624"/>
      <c r="AU268" s="624"/>
      <c r="AV268" s="624"/>
      <c r="AW268" s="624"/>
      <c r="AX268" s="624"/>
      <c r="AY268" s="624"/>
    </row>
    <row r="269" spans="31:51" s="463" customFormat="1" x14ac:dyDescent="0.2">
      <c r="AE269" s="624"/>
      <c r="AF269" s="624"/>
      <c r="AG269" s="624"/>
      <c r="AH269" s="624"/>
      <c r="AI269" s="624"/>
      <c r="AJ269" s="624"/>
      <c r="AK269" s="624"/>
      <c r="AL269" s="624"/>
      <c r="AM269" s="624"/>
      <c r="AN269" s="624"/>
      <c r="AO269" s="624"/>
      <c r="AP269" s="624"/>
      <c r="AQ269" s="624"/>
      <c r="AR269" s="624"/>
      <c r="AS269" s="624"/>
      <c r="AT269" s="624"/>
      <c r="AU269" s="624"/>
      <c r="AV269" s="624"/>
      <c r="AW269" s="624"/>
      <c r="AX269" s="624"/>
      <c r="AY269" s="624"/>
    </row>
    <row r="270" spans="31:51" s="463" customFormat="1" x14ac:dyDescent="0.2">
      <c r="AE270" s="624"/>
      <c r="AF270" s="624"/>
      <c r="AG270" s="624"/>
      <c r="AH270" s="624"/>
      <c r="AI270" s="624"/>
      <c r="AJ270" s="624"/>
      <c r="AK270" s="624"/>
      <c r="AL270" s="624"/>
      <c r="AM270" s="624"/>
      <c r="AN270" s="624"/>
      <c r="AO270" s="624"/>
      <c r="AP270" s="624"/>
      <c r="AQ270" s="624"/>
      <c r="AR270" s="624"/>
      <c r="AS270" s="624"/>
      <c r="AT270" s="624"/>
      <c r="AU270" s="624"/>
      <c r="AV270" s="624"/>
      <c r="AW270" s="624"/>
      <c r="AX270" s="624"/>
      <c r="AY270" s="624"/>
    </row>
    <row r="271" spans="31:51" s="463" customFormat="1" x14ac:dyDescent="0.2">
      <c r="AE271" s="624"/>
      <c r="AF271" s="624"/>
      <c r="AG271" s="624"/>
      <c r="AH271" s="624"/>
      <c r="AI271" s="624"/>
      <c r="AJ271" s="624"/>
      <c r="AK271" s="624"/>
      <c r="AL271" s="624"/>
      <c r="AM271" s="624"/>
      <c r="AN271" s="624"/>
      <c r="AO271" s="624"/>
      <c r="AP271" s="624"/>
      <c r="AQ271" s="624"/>
      <c r="AR271" s="624"/>
      <c r="AS271" s="624"/>
      <c r="AT271" s="624"/>
      <c r="AU271" s="624"/>
      <c r="AV271" s="624"/>
      <c r="AW271" s="624"/>
      <c r="AX271" s="624"/>
      <c r="AY271" s="624"/>
    </row>
    <row r="272" spans="31:51" s="463" customFormat="1" x14ac:dyDescent="0.2">
      <c r="AE272" s="624"/>
      <c r="AF272" s="624"/>
      <c r="AG272" s="624"/>
      <c r="AH272" s="624"/>
      <c r="AI272" s="624"/>
      <c r="AJ272" s="624"/>
      <c r="AK272" s="624"/>
      <c r="AL272" s="624"/>
      <c r="AM272" s="624"/>
      <c r="AN272" s="624"/>
      <c r="AO272" s="624"/>
      <c r="AP272" s="624"/>
      <c r="AQ272" s="624"/>
      <c r="AR272" s="624"/>
      <c r="AS272" s="624"/>
      <c r="AT272" s="624"/>
      <c r="AU272" s="624"/>
      <c r="AV272" s="624"/>
      <c r="AW272" s="624"/>
      <c r="AX272" s="624"/>
      <c r="AY272" s="624"/>
    </row>
    <row r="273" spans="31:51" s="463" customFormat="1" x14ac:dyDescent="0.2">
      <c r="AE273" s="624"/>
      <c r="AF273" s="624"/>
      <c r="AG273" s="624"/>
      <c r="AH273" s="624"/>
      <c r="AI273" s="624"/>
      <c r="AJ273" s="624"/>
      <c r="AK273" s="624"/>
      <c r="AL273" s="624"/>
      <c r="AM273" s="624"/>
      <c r="AN273" s="624"/>
      <c r="AO273" s="624"/>
      <c r="AP273" s="624"/>
      <c r="AQ273" s="624"/>
      <c r="AR273" s="624"/>
      <c r="AS273" s="624"/>
      <c r="AT273" s="624"/>
      <c r="AU273" s="624"/>
      <c r="AV273" s="624"/>
      <c r="AW273" s="624"/>
      <c r="AX273" s="624"/>
      <c r="AY273" s="624"/>
    </row>
    <row r="274" spans="31:51" s="463" customFormat="1" x14ac:dyDescent="0.2">
      <c r="AE274" s="624"/>
      <c r="AF274" s="624"/>
      <c r="AG274" s="624"/>
      <c r="AH274" s="624"/>
      <c r="AI274" s="624"/>
      <c r="AJ274" s="624"/>
      <c r="AK274" s="624"/>
      <c r="AL274" s="624"/>
      <c r="AM274" s="624"/>
      <c r="AN274" s="624"/>
      <c r="AO274" s="624"/>
      <c r="AP274" s="624"/>
      <c r="AQ274" s="624"/>
      <c r="AR274" s="624"/>
      <c r="AS274" s="624"/>
      <c r="AT274" s="624"/>
      <c r="AU274" s="624"/>
      <c r="AV274" s="624"/>
      <c r="AW274" s="624"/>
      <c r="AX274" s="624"/>
      <c r="AY274" s="624"/>
    </row>
    <row r="275" spans="31:51" s="463" customFormat="1" x14ac:dyDescent="0.2">
      <c r="AE275" s="624"/>
      <c r="AF275" s="624"/>
      <c r="AG275" s="624"/>
      <c r="AH275" s="624"/>
      <c r="AI275" s="624"/>
      <c r="AJ275" s="624"/>
      <c r="AK275" s="624"/>
      <c r="AL275" s="624"/>
      <c r="AM275" s="624"/>
      <c r="AN275" s="624"/>
      <c r="AO275" s="624"/>
      <c r="AP275" s="624"/>
      <c r="AQ275" s="624"/>
      <c r="AR275" s="624"/>
      <c r="AS275" s="624"/>
      <c r="AT275" s="624"/>
      <c r="AU275" s="624"/>
      <c r="AV275" s="624"/>
      <c r="AW275" s="624"/>
      <c r="AX275" s="624"/>
      <c r="AY275" s="624"/>
    </row>
    <row r="276" spans="31:51" s="463" customFormat="1" x14ac:dyDescent="0.2">
      <c r="AE276" s="624"/>
      <c r="AF276" s="624"/>
      <c r="AG276" s="624"/>
      <c r="AH276" s="624"/>
      <c r="AI276" s="624"/>
      <c r="AJ276" s="624"/>
      <c r="AK276" s="624"/>
      <c r="AL276" s="624"/>
      <c r="AM276" s="624"/>
      <c r="AN276" s="624"/>
      <c r="AO276" s="624"/>
      <c r="AP276" s="624"/>
      <c r="AQ276" s="624"/>
      <c r="AR276" s="624"/>
      <c r="AS276" s="624"/>
      <c r="AT276" s="624"/>
      <c r="AU276" s="624"/>
      <c r="AV276" s="624"/>
      <c r="AW276" s="624"/>
      <c r="AX276" s="624"/>
      <c r="AY276" s="624"/>
    </row>
    <row r="277" spans="31:51" s="463" customFormat="1" x14ac:dyDescent="0.2">
      <c r="AE277" s="624"/>
      <c r="AF277" s="624"/>
      <c r="AG277" s="624"/>
      <c r="AH277" s="624"/>
      <c r="AI277" s="624"/>
      <c r="AJ277" s="624"/>
      <c r="AK277" s="624"/>
      <c r="AL277" s="624"/>
      <c r="AM277" s="624"/>
      <c r="AN277" s="624"/>
      <c r="AO277" s="624"/>
      <c r="AP277" s="624"/>
      <c r="AQ277" s="624"/>
      <c r="AR277" s="624"/>
      <c r="AS277" s="624"/>
      <c r="AT277" s="624"/>
      <c r="AU277" s="624"/>
      <c r="AV277" s="624"/>
      <c r="AW277" s="624"/>
      <c r="AX277" s="624"/>
      <c r="AY277" s="624"/>
    </row>
    <row r="278" spans="31:51" s="463" customFormat="1" x14ac:dyDescent="0.2">
      <c r="AE278" s="624"/>
      <c r="AF278" s="624"/>
      <c r="AG278" s="624"/>
      <c r="AH278" s="624"/>
      <c r="AI278" s="624"/>
      <c r="AJ278" s="624"/>
      <c r="AK278" s="624"/>
      <c r="AL278" s="624"/>
      <c r="AM278" s="624"/>
      <c r="AN278" s="624"/>
      <c r="AO278" s="624"/>
      <c r="AP278" s="624"/>
      <c r="AQ278" s="624"/>
      <c r="AR278" s="624"/>
      <c r="AS278" s="624"/>
      <c r="AT278" s="624"/>
      <c r="AU278" s="624"/>
      <c r="AV278" s="624"/>
      <c r="AW278" s="624"/>
      <c r="AX278" s="624"/>
      <c r="AY278" s="624"/>
    </row>
    <row r="279" spans="31:51" s="463" customFormat="1" x14ac:dyDescent="0.2">
      <c r="AE279" s="624"/>
      <c r="AF279" s="624"/>
      <c r="AG279" s="624"/>
      <c r="AH279" s="624"/>
      <c r="AI279" s="624"/>
      <c r="AJ279" s="624"/>
      <c r="AK279" s="624"/>
      <c r="AL279" s="624"/>
      <c r="AM279" s="624"/>
      <c r="AN279" s="624"/>
      <c r="AO279" s="624"/>
      <c r="AP279" s="624"/>
      <c r="AQ279" s="624"/>
      <c r="AR279" s="624"/>
      <c r="AS279" s="624"/>
      <c r="AT279" s="624"/>
      <c r="AU279" s="624"/>
      <c r="AV279" s="624"/>
      <c r="AW279" s="624"/>
      <c r="AX279" s="624"/>
      <c r="AY279" s="624"/>
    </row>
    <row r="280" spans="31:51" s="463" customFormat="1" x14ac:dyDescent="0.2">
      <c r="AE280" s="624"/>
      <c r="AF280" s="624"/>
      <c r="AG280" s="624"/>
      <c r="AH280" s="624"/>
      <c r="AI280" s="624"/>
      <c r="AJ280" s="624"/>
      <c r="AK280" s="624"/>
      <c r="AL280" s="624"/>
      <c r="AM280" s="624"/>
      <c r="AN280" s="624"/>
      <c r="AO280" s="624"/>
      <c r="AP280" s="624"/>
      <c r="AQ280" s="624"/>
      <c r="AR280" s="624"/>
      <c r="AS280" s="624"/>
      <c r="AT280" s="624"/>
      <c r="AU280" s="624"/>
      <c r="AV280" s="624"/>
      <c r="AW280" s="624"/>
      <c r="AX280" s="624"/>
      <c r="AY280" s="624"/>
    </row>
    <row r="281" spans="31:51" s="463" customFormat="1" x14ac:dyDescent="0.2">
      <c r="AE281" s="624"/>
      <c r="AF281" s="624"/>
      <c r="AG281" s="624"/>
      <c r="AH281" s="624"/>
      <c r="AI281" s="624"/>
      <c r="AJ281" s="624"/>
      <c r="AK281" s="624"/>
      <c r="AL281" s="624"/>
      <c r="AM281" s="624"/>
      <c r="AN281" s="624"/>
      <c r="AO281" s="624"/>
      <c r="AP281" s="624"/>
      <c r="AQ281" s="624"/>
      <c r="AR281" s="624"/>
      <c r="AS281" s="624"/>
      <c r="AT281" s="624"/>
      <c r="AU281" s="624"/>
      <c r="AV281" s="624"/>
      <c r="AW281" s="624"/>
      <c r="AX281" s="624"/>
      <c r="AY281" s="624"/>
    </row>
    <row r="282" spans="31:51" s="463" customFormat="1" x14ac:dyDescent="0.2">
      <c r="AE282" s="624"/>
      <c r="AF282" s="624"/>
      <c r="AG282" s="624"/>
      <c r="AH282" s="624"/>
      <c r="AI282" s="624"/>
      <c r="AJ282" s="624"/>
      <c r="AK282" s="624"/>
      <c r="AL282" s="624"/>
      <c r="AM282" s="624"/>
      <c r="AN282" s="624"/>
      <c r="AO282" s="624"/>
      <c r="AP282" s="624"/>
      <c r="AQ282" s="624"/>
      <c r="AR282" s="624"/>
      <c r="AS282" s="624"/>
      <c r="AT282" s="624"/>
      <c r="AU282" s="624"/>
      <c r="AV282" s="624"/>
      <c r="AW282" s="624"/>
      <c r="AX282" s="624"/>
      <c r="AY282" s="624"/>
    </row>
    <row r="283" spans="31:51" s="463" customFormat="1" x14ac:dyDescent="0.2">
      <c r="AE283" s="624"/>
      <c r="AF283" s="624"/>
      <c r="AG283" s="624"/>
      <c r="AH283" s="624"/>
      <c r="AI283" s="624"/>
      <c r="AJ283" s="624"/>
      <c r="AK283" s="624"/>
      <c r="AL283" s="624"/>
      <c r="AM283" s="624"/>
      <c r="AN283" s="624"/>
      <c r="AO283" s="624"/>
      <c r="AP283" s="624"/>
      <c r="AQ283" s="624"/>
      <c r="AR283" s="624"/>
      <c r="AS283" s="624"/>
      <c r="AT283" s="624"/>
      <c r="AU283" s="624"/>
      <c r="AV283" s="624"/>
      <c r="AW283" s="624"/>
      <c r="AX283" s="624"/>
      <c r="AY283" s="624"/>
    </row>
    <row r="284" spans="31:51" s="463" customFormat="1" x14ac:dyDescent="0.2">
      <c r="AE284" s="624"/>
      <c r="AF284" s="624"/>
      <c r="AG284" s="624"/>
      <c r="AH284" s="624"/>
      <c r="AI284" s="624"/>
      <c r="AJ284" s="624"/>
      <c r="AK284" s="624"/>
      <c r="AL284" s="624"/>
      <c r="AM284" s="624"/>
      <c r="AN284" s="624"/>
      <c r="AO284" s="624"/>
      <c r="AP284" s="624"/>
      <c r="AQ284" s="624"/>
      <c r="AR284" s="624"/>
      <c r="AS284" s="624"/>
      <c r="AT284" s="624"/>
      <c r="AU284" s="624"/>
      <c r="AV284" s="624"/>
      <c r="AW284" s="624"/>
      <c r="AX284" s="624"/>
      <c r="AY284" s="624"/>
    </row>
    <row r="285" spans="31:51" s="463" customFormat="1" x14ac:dyDescent="0.2">
      <c r="AE285" s="624"/>
      <c r="AF285" s="624"/>
      <c r="AG285" s="624"/>
      <c r="AH285" s="624"/>
      <c r="AI285" s="624"/>
      <c r="AJ285" s="624"/>
      <c r="AK285" s="624"/>
      <c r="AL285" s="624"/>
      <c r="AM285" s="624"/>
      <c r="AN285" s="624"/>
      <c r="AO285" s="624"/>
      <c r="AP285" s="624"/>
      <c r="AQ285" s="624"/>
      <c r="AR285" s="624"/>
      <c r="AS285" s="624"/>
      <c r="AT285" s="624"/>
      <c r="AU285" s="624"/>
      <c r="AV285" s="624"/>
      <c r="AW285" s="624"/>
      <c r="AX285" s="624"/>
      <c r="AY285" s="624"/>
    </row>
    <row r="286" spans="31:51" s="463" customFormat="1" x14ac:dyDescent="0.2">
      <c r="AE286" s="624"/>
      <c r="AF286" s="624"/>
      <c r="AG286" s="624"/>
      <c r="AH286" s="624"/>
      <c r="AI286" s="624"/>
      <c r="AJ286" s="624"/>
      <c r="AK286" s="624"/>
      <c r="AL286" s="624"/>
      <c r="AM286" s="624"/>
      <c r="AN286" s="624"/>
      <c r="AO286" s="624"/>
      <c r="AP286" s="624"/>
      <c r="AQ286" s="624"/>
      <c r="AR286" s="624"/>
      <c r="AS286" s="624"/>
      <c r="AT286" s="624"/>
      <c r="AU286" s="624"/>
      <c r="AV286" s="624"/>
      <c r="AW286" s="624"/>
      <c r="AX286" s="624"/>
      <c r="AY286" s="624"/>
    </row>
    <row r="287" spans="31:51" s="463" customFormat="1" x14ac:dyDescent="0.2">
      <c r="AE287" s="624"/>
      <c r="AF287" s="624"/>
      <c r="AG287" s="624"/>
      <c r="AH287" s="624"/>
      <c r="AI287" s="624"/>
      <c r="AJ287" s="624"/>
      <c r="AK287" s="624"/>
      <c r="AL287" s="624"/>
      <c r="AM287" s="624"/>
      <c r="AN287" s="624"/>
      <c r="AO287" s="624"/>
      <c r="AP287" s="624"/>
      <c r="AQ287" s="624"/>
      <c r="AR287" s="624"/>
      <c r="AS287" s="624"/>
      <c r="AT287" s="624"/>
      <c r="AU287" s="624"/>
      <c r="AV287" s="624"/>
      <c r="AW287" s="624"/>
      <c r="AX287" s="624"/>
      <c r="AY287" s="624"/>
    </row>
    <row r="288" spans="31:51" s="463" customFormat="1" x14ac:dyDescent="0.2">
      <c r="AE288" s="624"/>
      <c r="AF288" s="624"/>
      <c r="AG288" s="624"/>
      <c r="AH288" s="624"/>
      <c r="AI288" s="624"/>
      <c r="AJ288" s="624"/>
      <c r="AK288" s="624"/>
      <c r="AL288" s="624"/>
      <c r="AM288" s="624"/>
      <c r="AN288" s="624"/>
      <c r="AO288" s="624"/>
      <c r="AP288" s="624"/>
      <c r="AQ288" s="624"/>
      <c r="AR288" s="624"/>
      <c r="AS288" s="624"/>
      <c r="AT288" s="624"/>
      <c r="AU288" s="624"/>
      <c r="AV288" s="624"/>
      <c r="AW288" s="624"/>
      <c r="AX288" s="624"/>
      <c r="AY288" s="624"/>
    </row>
    <row r="289" spans="31:51" s="463" customFormat="1" x14ac:dyDescent="0.2">
      <c r="AE289" s="624"/>
      <c r="AF289" s="624"/>
      <c r="AG289" s="624"/>
      <c r="AH289" s="624"/>
      <c r="AI289" s="624"/>
      <c r="AJ289" s="624"/>
      <c r="AK289" s="624"/>
      <c r="AL289" s="624"/>
      <c r="AM289" s="624"/>
      <c r="AN289" s="624"/>
      <c r="AO289" s="624"/>
      <c r="AP289" s="624"/>
      <c r="AQ289" s="624"/>
      <c r="AR289" s="624"/>
      <c r="AS289" s="624"/>
      <c r="AT289" s="624"/>
      <c r="AU289" s="624"/>
      <c r="AV289" s="624"/>
      <c r="AW289" s="624"/>
      <c r="AX289" s="624"/>
      <c r="AY289" s="624"/>
    </row>
    <row r="290" spans="31:51" s="463" customFormat="1" x14ac:dyDescent="0.2">
      <c r="AE290" s="624"/>
      <c r="AF290" s="624"/>
      <c r="AG290" s="624"/>
      <c r="AH290" s="624"/>
      <c r="AI290" s="624"/>
      <c r="AJ290" s="624"/>
      <c r="AK290" s="624"/>
      <c r="AL290" s="624"/>
      <c r="AM290" s="624"/>
      <c r="AN290" s="624"/>
      <c r="AO290" s="624"/>
      <c r="AP290" s="624"/>
      <c r="AQ290" s="624"/>
      <c r="AR290" s="624"/>
      <c r="AS290" s="624"/>
      <c r="AT290" s="624"/>
      <c r="AU290" s="624"/>
      <c r="AV290" s="624"/>
      <c r="AW290" s="624"/>
      <c r="AX290" s="624"/>
      <c r="AY290" s="624"/>
    </row>
    <row r="291" spans="31:51" s="463" customFormat="1" x14ac:dyDescent="0.2">
      <c r="AE291" s="624"/>
      <c r="AF291" s="624"/>
      <c r="AG291" s="624"/>
      <c r="AH291" s="624"/>
      <c r="AI291" s="624"/>
      <c r="AJ291" s="624"/>
      <c r="AK291" s="624"/>
      <c r="AL291" s="624"/>
      <c r="AM291" s="624"/>
      <c r="AN291" s="624"/>
      <c r="AO291" s="624"/>
      <c r="AP291" s="624"/>
      <c r="AQ291" s="624"/>
      <c r="AR291" s="624"/>
      <c r="AS291" s="624"/>
      <c r="AT291" s="624"/>
      <c r="AU291" s="624"/>
      <c r="AV291" s="624"/>
      <c r="AW291" s="624"/>
      <c r="AX291" s="624"/>
      <c r="AY291" s="624"/>
    </row>
    <row r="292" spans="31:51" s="463" customFormat="1" x14ac:dyDescent="0.2">
      <c r="AE292" s="624"/>
      <c r="AF292" s="624"/>
      <c r="AG292" s="624"/>
      <c r="AH292" s="624"/>
      <c r="AI292" s="624"/>
      <c r="AJ292" s="624"/>
      <c r="AK292" s="624"/>
      <c r="AL292" s="624"/>
      <c r="AM292" s="624"/>
      <c r="AN292" s="624"/>
      <c r="AO292" s="624"/>
      <c r="AP292" s="624"/>
      <c r="AQ292" s="624"/>
      <c r="AR292" s="624"/>
      <c r="AS292" s="624"/>
      <c r="AT292" s="624"/>
      <c r="AU292" s="624"/>
      <c r="AV292" s="624"/>
      <c r="AW292" s="624"/>
      <c r="AX292" s="624"/>
      <c r="AY292" s="624"/>
    </row>
    <row r="293" spans="31:51" s="463" customFormat="1" x14ac:dyDescent="0.2">
      <c r="AE293" s="624"/>
      <c r="AF293" s="624"/>
      <c r="AG293" s="624"/>
      <c r="AH293" s="624"/>
      <c r="AI293" s="624"/>
      <c r="AJ293" s="624"/>
      <c r="AK293" s="624"/>
      <c r="AL293" s="624"/>
      <c r="AM293" s="624"/>
      <c r="AN293" s="624"/>
      <c r="AO293" s="624"/>
      <c r="AP293" s="624"/>
      <c r="AQ293" s="624"/>
      <c r="AR293" s="624"/>
      <c r="AS293" s="624"/>
      <c r="AT293" s="624"/>
      <c r="AU293" s="624"/>
      <c r="AV293" s="624"/>
      <c r="AW293" s="624"/>
      <c r="AX293" s="624"/>
      <c r="AY293" s="624"/>
    </row>
    <row r="294" spans="31:51" s="463" customFormat="1" x14ac:dyDescent="0.2">
      <c r="AE294" s="624"/>
      <c r="AF294" s="624"/>
      <c r="AG294" s="624"/>
      <c r="AH294" s="624"/>
      <c r="AI294" s="624"/>
      <c r="AJ294" s="624"/>
      <c r="AK294" s="624"/>
      <c r="AL294" s="624"/>
      <c r="AM294" s="624"/>
      <c r="AN294" s="624"/>
      <c r="AO294" s="624"/>
      <c r="AP294" s="624"/>
      <c r="AQ294" s="624"/>
      <c r="AR294" s="624"/>
      <c r="AS294" s="624"/>
      <c r="AT294" s="624"/>
      <c r="AU294" s="624"/>
      <c r="AV294" s="624"/>
      <c r="AW294" s="624"/>
      <c r="AX294" s="624"/>
      <c r="AY294" s="624"/>
    </row>
    <row r="295" spans="31:51" s="463" customFormat="1" x14ac:dyDescent="0.2">
      <c r="AE295" s="624"/>
      <c r="AF295" s="624"/>
      <c r="AG295" s="624"/>
      <c r="AH295" s="624"/>
      <c r="AI295" s="624"/>
      <c r="AJ295" s="624"/>
      <c r="AK295" s="624"/>
      <c r="AL295" s="624"/>
      <c r="AM295" s="624"/>
      <c r="AN295" s="624"/>
      <c r="AO295" s="624"/>
      <c r="AP295" s="624"/>
      <c r="AQ295" s="624"/>
      <c r="AR295" s="624"/>
      <c r="AS295" s="624"/>
      <c r="AT295" s="624"/>
      <c r="AU295" s="624"/>
      <c r="AV295" s="624"/>
      <c r="AW295" s="624"/>
      <c r="AX295" s="624"/>
      <c r="AY295" s="624"/>
    </row>
    <row r="296" spans="31:51" s="463" customFormat="1" x14ac:dyDescent="0.2">
      <c r="AE296" s="624"/>
      <c r="AF296" s="624"/>
      <c r="AG296" s="624"/>
      <c r="AH296" s="624"/>
      <c r="AI296" s="624"/>
      <c r="AJ296" s="624"/>
      <c r="AK296" s="624"/>
      <c r="AL296" s="624"/>
      <c r="AM296" s="624"/>
      <c r="AN296" s="624"/>
      <c r="AO296" s="624"/>
      <c r="AP296" s="624"/>
      <c r="AQ296" s="624"/>
      <c r="AR296" s="624"/>
      <c r="AS296" s="624"/>
      <c r="AT296" s="624"/>
      <c r="AU296" s="624"/>
      <c r="AV296" s="624"/>
      <c r="AW296" s="624"/>
      <c r="AX296" s="624"/>
      <c r="AY296" s="624"/>
    </row>
    <row r="297" spans="31:51" s="463" customFormat="1" x14ac:dyDescent="0.2">
      <c r="AE297" s="624"/>
      <c r="AF297" s="624"/>
      <c r="AG297" s="624"/>
      <c r="AH297" s="624"/>
      <c r="AI297" s="624"/>
      <c r="AJ297" s="624"/>
      <c r="AK297" s="624"/>
      <c r="AL297" s="624"/>
      <c r="AM297" s="624"/>
      <c r="AN297" s="624"/>
      <c r="AO297" s="624"/>
      <c r="AP297" s="624"/>
      <c r="AQ297" s="624"/>
      <c r="AR297" s="624"/>
      <c r="AS297" s="624"/>
      <c r="AT297" s="624"/>
      <c r="AU297" s="624"/>
      <c r="AV297" s="624"/>
      <c r="AW297" s="624"/>
      <c r="AX297" s="624"/>
      <c r="AY297" s="624"/>
    </row>
    <row r="298" spans="31:51" s="463" customFormat="1" x14ac:dyDescent="0.2">
      <c r="AE298" s="624"/>
      <c r="AF298" s="624"/>
      <c r="AG298" s="624"/>
      <c r="AH298" s="624"/>
      <c r="AI298" s="624"/>
      <c r="AJ298" s="624"/>
      <c r="AK298" s="624"/>
      <c r="AL298" s="624"/>
      <c r="AM298" s="624"/>
      <c r="AN298" s="624"/>
      <c r="AO298" s="624"/>
      <c r="AP298" s="624"/>
      <c r="AQ298" s="624"/>
      <c r="AR298" s="624"/>
      <c r="AS298" s="624"/>
      <c r="AT298" s="624"/>
      <c r="AU298" s="624"/>
      <c r="AV298" s="624"/>
      <c r="AW298" s="624"/>
      <c r="AX298" s="624"/>
      <c r="AY298" s="624"/>
    </row>
    <row r="299" spans="31:51" s="463" customFormat="1" x14ac:dyDescent="0.2">
      <c r="AE299" s="624"/>
      <c r="AF299" s="624"/>
      <c r="AG299" s="624"/>
      <c r="AH299" s="624"/>
      <c r="AI299" s="624"/>
      <c r="AJ299" s="624"/>
      <c r="AK299" s="624"/>
      <c r="AL299" s="624"/>
      <c r="AM299" s="624"/>
      <c r="AN299" s="624"/>
      <c r="AO299" s="624"/>
      <c r="AP299" s="624"/>
      <c r="AQ299" s="624"/>
      <c r="AR299" s="624"/>
      <c r="AS299" s="624"/>
      <c r="AT299" s="624"/>
      <c r="AU299" s="624"/>
      <c r="AV299" s="624"/>
      <c r="AW299" s="624"/>
      <c r="AX299" s="624"/>
      <c r="AY299" s="624"/>
    </row>
    <row r="300" spans="31:51" s="463" customFormat="1" x14ac:dyDescent="0.2">
      <c r="AE300" s="624"/>
      <c r="AF300" s="624"/>
      <c r="AG300" s="624"/>
      <c r="AH300" s="624"/>
      <c r="AI300" s="624"/>
      <c r="AJ300" s="624"/>
      <c r="AK300" s="624"/>
      <c r="AL300" s="624"/>
      <c r="AM300" s="624"/>
      <c r="AN300" s="624"/>
      <c r="AO300" s="624"/>
      <c r="AP300" s="624"/>
      <c r="AQ300" s="624"/>
      <c r="AR300" s="624"/>
      <c r="AS300" s="624"/>
      <c r="AT300" s="624"/>
      <c r="AU300" s="624"/>
      <c r="AV300" s="624"/>
      <c r="AW300" s="624"/>
      <c r="AX300" s="624"/>
      <c r="AY300" s="624"/>
    </row>
    <row r="301" spans="31:51" s="463" customFormat="1" x14ac:dyDescent="0.2">
      <c r="AE301" s="624"/>
      <c r="AF301" s="624"/>
      <c r="AG301" s="624"/>
      <c r="AH301" s="624"/>
      <c r="AI301" s="624"/>
      <c r="AJ301" s="624"/>
      <c r="AK301" s="624"/>
      <c r="AL301" s="624"/>
      <c r="AM301" s="624"/>
      <c r="AN301" s="624"/>
      <c r="AO301" s="624"/>
      <c r="AP301" s="624"/>
      <c r="AQ301" s="624"/>
      <c r="AR301" s="624"/>
      <c r="AS301" s="624"/>
      <c r="AT301" s="624"/>
      <c r="AU301" s="624"/>
      <c r="AV301" s="624"/>
      <c r="AW301" s="624"/>
      <c r="AX301" s="624"/>
      <c r="AY301" s="624"/>
    </row>
    <row r="302" spans="31:51" s="463" customFormat="1" x14ac:dyDescent="0.2">
      <c r="AE302" s="624"/>
      <c r="AF302" s="624"/>
      <c r="AG302" s="624"/>
      <c r="AH302" s="624"/>
      <c r="AI302" s="624"/>
      <c r="AJ302" s="624"/>
      <c r="AK302" s="624"/>
      <c r="AL302" s="624"/>
      <c r="AM302" s="624"/>
      <c r="AN302" s="624"/>
      <c r="AO302" s="624"/>
      <c r="AP302" s="624"/>
      <c r="AQ302" s="624"/>
      <c r="AR302" s="624"/>
      <c r="AS302" s="624"/>
      <c r="AT302" s="624"/>
      <c r="AU302" s="624"/>
      <c r="AV302" s="624"/>
      <c r="AW302" s="624"/>
      <c r="AX302" s="624"/>
      <c r="AY302" s="624"/>
    </row>
    <row r="303" spans="31:51" s="463" customFormat="1" x14ac:dyDescent="0.2">
      <c r="AE303" s="624"/>
      <c r="AF303" s="624"/>
      <c r="AG303" s="624"/>
      <c r="AH303" s="624"/>
      <c r="AI303" s="624"/>
      <c r="AJ303" s="624"/>
      <c r="AK303" s="624"/>
      <c r="AL303" s="624"/>
      <c r="AM303" s="624"/>
      <c r="AN303" s="624"/>
      <c r="AO303" s="624"/>
      <c r="AP303" s="624"/>
      <c r="AQ303" s="624"/>
      <c r="AR303" s="624"/>
      <c r="AS303" s="624"/>
      <c r="AT303" s="624"/>
      <c r="AU303" s="624"/>
      <c r="AV303" s="624"/>
      <c r="AW303" s="624"/>
      <c r="AX303" s="624"/>
      <c r="AY303" s="624"/>
    </row>
    <row r="304" spans="31:51" s="463" customFormat="1" x14ac:dyDescent="0.2">
      <c r="AE304" s="624"/>
      <c r="AF304" s="624"/>
      <c r="AG304" s="624"/>
      <c r="AH304" s="624"/>
      <c r="AI304" s="624"/>
      <c r="AJ304" s="624"/>
      <c r="AK304" s="624"/>
      <c r="AL304" s="624"/>
      <c r="AM304" s="624"/>
      <c r="AN304" s="624"/>
      <c r="AO304" s="624"/>
      <c r="AP304" s="624"/>
      <c r="AQ304" s="624"/>
      <c r="AR304" s="624"/>
      <c r="AS304" s="624"/>
      <c r="AT304" s="624"/>
      <c r="AU304" s="624"/>
      <c r="AV304" s="624"/>
      <c r="AW304" s="624"/>
      <c r="AX304" s="624"/>
      <c r="AY304" s="624"/>
    </row>
    <row r="305" spans="31:51" s="463" customFormat="1" x14ac:dyDescent="0.2">
      <c r="AE305" s="624"/>
      <c r="AF305" s="624"/>
      <c r="AG305" s="624"/>
      <c r="AH305" s="624"/>
      <c r="AI305" s="624"/>
      <c r="AJ305" s="624"/>
      <c r="AK305" s="624"/>
      <c r="AL305" s="624"/>
      <c r="AM305" s="624"/>
      <c r="AN305" s="624"/>
      <c r="AO305" s="624"/>
      <c r="AP305" s="624"/>
      <c r="AQ305" s="624"/>
      <c r="AR305" s="624"/>
      <c r="AS305" s="624"/>
      <c r="AT305" s="624"/>
      <c r="AU305" s="624"/>
      <c r="AV305" s="624"/>
      <c r="AW305" s="624"/>
      <c r="AX305" s="624"/>
      <c r="AY305" s="624"/>
    </row>
    <row r="306" spans="31:51" s="463" customFormat="1" x14ac:dyDescent="0.2">
      <c r="AE306" s="624"/>
      <c r="AF306" s="624"/>
      <c r="AG306" s="624"/>
      <c r="AH306" s="624"/>
      <c r="AI306" s="624"/>
      <c r="AJ306" s="624"/>
      <c r="AK306" s="624"/>
      <c r="AL306" s="624"/>
      <c r="AM306" s="624"/>
      <c r="AN306" s="624"/>
      <c r="AO306" s="624"/>
      <c r="AP306" s="624"/>
      <c r="AQ306" s="624"/>
      <c r="AR306" s="624"/>
      <c r="AS306" s="624"/>
      <c r="AT306" s="624"/>
      <c r="AU306" s="624"/>
      <c r="AV306" s="624"/>
      <c r="AW306" s="624"/>
      <c r="AX306" s="624"/>
      <c r="AY306" s="624"/>
    </row>
    <row r="307" spans="31:51" s="463" customFormat="1" x14ac:dyDescent="0.2">
      <c r="AE307" s="624"/>
      <c r="AF307" s="624"/>
      <c r="AG307" s="624"/>
      <c r="AH307" s="624"/>
      <c r="AI307" s="624"/>
      <c r="AJ307" s="624"/>
      <c r="AK307" s="624"/>
      <c r="AL307" s="624"/>
      <c r="AM307" s="624"/>
      <c r="AN307" s="624"/>
      <c r="AO307" s="624"/>
      <c r="AP307" s="624"/>
      <c r="AQ307" s="624"/>
      <c r="AR307" s="624"/>
      <c r="AS307" s="624"/>
      <c r="AT307" s="624"/>
      <c r="AU307" s="624"/>
      <c r="AV307" s="624"/>
      <c r="AW307" s="624"/>
      <c r="AX307" s="624"/>
      <c r="AY307" s="624"/>
    </row>
    <row r="308" spans="31:51" s="463" customFormat="1" x14ac:dyDescent="0.2">
      <c r="AE308" s="624"/>
      <c r="AF308" s="624"/>
      <c r="AG308" s="624"/>
      <c r="AH308" s="624"/>
      <c r="AI308" s="624"/>
      <c r="AJ308" s="624"/>
      <c r="AK308" s="624"/>
      <c r="AL308" s="624"/>
      <c r="AM308" s="624"/>
      <c r="AN308" s="624"/>
      <c r="AO308" s="624"/>
      <c r="AP308" s="624"/>
      <c r="AQ308" s="624"/>
      <c r="AR308" s="624"/>
      <c r="AS308" s="624"/>
      <c r="AT308" s="624"/>
      <c r="AU308" s="624"/>
      <c r="AV308" s="624"/>
      <c r="AW308" s="624"/>
      <c r="AX308" s="624"/>
      <c r="AY308" s="624"/>
    </row>
    <row r="309" spans="31:51" s="463" customFormat="1" x14ac:dyDescent="0.2">
      <c r="AE309" s="624"/>
      <c r="AF309" s="624"/>
      <c r="AG309" s="624"/>
      <c r="AH309" s="624"/>
      <c r="AI309" s="624"/>
      <c r="AJ309" s="624"/>
      <c r="AK309" s="624"/>
      <c r="AL309" s="624"/>
      <c r="AM309" s="624"/>
      <c r="AN309" s="624"/>
      <c r="AO309" s="624"/>
      <c r="AP309" s="624"/>
      <c r="AQ309" s="624"/>
      <c r="AR309" s="624"/>
      <c r="AS309" s="624"/>
      <c r="AT309" s="624"/>
      <c r="AU309" s="624"/>
      <c r="AV309" s="624"/>
      <c r="AW309" s="624"/>
      <c r="AX309" s="624"/>
      <c r="AY309" s="624"/>
    </row>
    <row r="310" spans="31:51" s="463" customFormat="1" x14ac:dyDescent="0.2">
      <c r="AE310" s="624"/>
      <c r="AF310" s="624"/>
      <c r="AG310" s="624"/>
      <c r="AH310" s="624"/>
      <c r="AI310" s="624"/>
      <c r="AJ310" s="624"/>
      <c r="AK310" s="624"/>
      <c r="AL310" s="624"/>
      <c r="AM310" s="624"/>
      <c r="AN310" s="624"/>
      <c r="AO310" s="624"/>
      <c r="AP310" s="624"/>
      <c r="AQ310" s="624"/>
      <c r="AR310" s="624"/>
      <c r="AS310" s="624"/>
      <c r="AT310" s="624"/>
      <c r="AU310" s="624"/>
      <c r="AV310" s="624"/>
      <c r="AW310" s="624"/>
      <c r="AX310" s="624"/>
      <c r="AY310" s="624"/>
    </row>
    <row r="311" spans="31:51" s="463" customFormat="1" x14ac:dyDescent="0.2">
      <c r="AE311" s="624"/>
      <c r="AF311" s="624"/>
      <c r="AG311" s="624"/>
      <c r="AH311" s="624"/>
      <c r="AI311" s="624"/>
      <c r="AJ311" s="624"/>
      <c r="AK311" s="624"/>
      <c r="AL311" s="624"/>
      <c r="AM311" s="624"/>
      <c r="AN311" s="624"/>
      <c r="AO311" s="624"/>
      <c r="AP311" s="624"/>
      <c r="AQ311" s="624"/>
      <c r="AR311" s="624"/>
      <c r="AS311" s="624"/>
      <c r="AT311" s="624"/>
      <c r="AU311" s="624"/>
      <c r="AV311" s="624"/>
      <c r="AW311" s="624"/>
      <c r="AX311" s="624"/>
      <c r="AY311" s="624"/>
    </row>
    <row r="312" spans="31:51" s="463" customFormat="1" x14ac:dyDescent="0.2">
      <c r="AE312" s="624"/>
      <c r="AF312" s="624"/>
      <c r="AG312" s="624"/>
      <c r="AH312" s="624"/>
      <c r="AI312" s="624"/>
      <c r="AJ312" s="624"/>
      <c r="AK312" s="624"/>
      <c r="AL312" s="624"/>
      <c r="AM312" s="624"/>
      <c r="AN312" s="624"/>
      <c r="AO312" s="624"/>
      <c r="AP312" s="624"/>
      <c r="AQ312" s="624"/>
      <c r="AR312" s="624"/>
      <c r="AS312" s="624"/>
      <c r="AT312" s="624"/>
      <c r="AU312" s="624"/>
      <c r="AV312" s="624"/>
      <c r="AW312" s="624"/>
      <c r="AX312" s="624"/>
      <c r="AY312" s="624"/>
    </row>
    <row r="313" spans="31:51" s="463" customFormat="1" x14ac:dyDescent="0.2">
      <c r="AE313" s="624"/>
      <c r="AF313" s="624"/>
      <c r="AG313" s="624"/>
      <c r="AH313" s="624"/>
      <c r="AI313" s="624"/>
      <c r="AJ313" s="624"/>
      <c r="AK313" s="624"/>
      <c r="AL313" s="624"/>
      <c r="AM313" s="624"/>
      <c r="AN313" s="624"/>
      <c r="AO313" s="624"/>
      <c r="AP313" s="624"/>
      <c r="AQ313" s="624"/>
      <c r="AR313" s="624"/>
      <c r="AS313" s="624"/>
      <c r="AT313" s="624"/>
      <c r="AU313" s="624"/>
      <c r="AV313" s="624"/>
      <c r="AW313" s="624"/>
      <c r="AX313" s="624"/>
      <c r="AY313" s="624"/>
    </row>
    <row r="314" spans="31:51" s="463" customFormat="1" x14ac:dyDescent="0.2">
      <c r="AE314" s="624"/>
      <c r="AF314" s="624"/>
      <c r="AG314" s="624"/>
      <c r="AH314" s="624"/>
      <c r="AI314" s="624"/>
      <c r="AJ314" s="624"/>
      <c r="AK314" s="624"/>
      <c r="AL314" s="624"/>
      <c r="AM314" s="624"/>
      <c r="AN314" s="624"/>
      <c r="AO314" s="624"/>
      <c r="AP314" s="624"/>
      <c r="AQ314" s="624"/>
      <c r="AR314" s="624"/>
      <c r="AS314" s="624"/>
      <c r="AT314" s="624"/>
      <c r="AU314" s="624"/>
      <c r="AV314" s="624"/>
      <c r="AW314" s="624"/>
      <c r="AX314" s="624"/>
      <c r="AY314" s="624"/>
    </row>
    <row r="315" spans="31:51" s="463" customFormat="1" x14ac:dyDescent="0.2">
      <c r="AE315" s="624"/>
      <c r="AF315" s="624"/>
      <c r="AG315" s="624"/>
      <c r="AH315" s="624"/>
      <c r="AI315" s="624"/>
      <c r="AJ315" s="624"/>
      <c r="AK315" s="624"/>
      <c r="AL315" s="624"/>
      <c r="AM315" s="624"/>
      <c r="AN315" s="624"/>
      <c r="AO315" s="624"/>
      <c r="AP315" s="624"/>
      <c r="AQ315" s="624"/>
      <c r="AR315" s="624"/>
      <c r="AS315" s="624"/>
      <c r="AT315" s="624"/>
      <c r="AU315" s="624"/>
      <c r="AV315" s="624"/>
      <c r="AW315" s="624"/>
      <c r="AX315" s="624"/>
      <c r="AY315" s="624"/>
    </row>
    <row r="316" spans="31:51" s="463" customFormat="1" x14ac:dyDescent="0.2">
      <c r="AE316" s="624"/>
      <c r="AF316" s="624"/>
      <c r="AG316" s="624"/>
      <c r="AH316" s="624"/>
      <c r="AI316" s="624"/>
      <c r="AJ316" s="624"/>
      <c r="AK316" s="624"/>
      <c r="AL316" s="624"/>
      <c r="AM316" s="624"/>
      <c r="AN316" s="624"/>
      <c r="AO316" s="624"/>
      <c r="AP316" s="624"/>
      <c r="AQ316" s="624"/>
      <c r="AR316" s="624"/>
      <c r="AS316" s="624"/>
      <c r="AT316" s="624"/>
      <c r="AU316" s="624"/>
      <c r="AV316" s="624"/>
      <c r="AW316" s="624"/>
      <c r="AX316" s="624"/>
      <c r="AY316" s="624"/>
    </row>
    <row r="317" spans="31:51" s="463" customFormat="1" x14ac:dyDescent="0.2">
      <c r="AE317" s="624"/>
      <c r="AF317" s="624"/>
      <c r="AG317" s="624"/>
      <c r="AH317" s="624"/>
      <c r="AI317" s="624"/>
      <c r="AJ317" s="624"/>
      <c r="AK317" s="624"/>
      <c r="AL317" s="624"/>
      <c r="AM317" s="624"/>
      <c r="AN317" s="624"/>
      <c r="AO317" s="624"/>
      <c r="AP317" s="624"/>
      <c r="AQ317" s="624"/>
      <c r="AR317" s="624"/>
      <c r="AS317" s="624"/>
      <c r="AT317" s="624"/>
      <c r="AU317" s="624"/>
      <c r="AV317" s="624"/>
      <c r="AW317" s="624"/>
      <c r="AX317" s="624"/>
      <c r="AY317" s="624"/>
    </row>
    <row r="318" spans="31:51" s="463" customFormat="1" x14ac:dyDescent="0.2">
      <c r="AE318" s="624"/>
      <c r="AF318" s="624"/>
      <c r="AG318" s="624"/>
      <c r="AH318" s="624"/>
      <c r="AI318" s="624"/>
      <c r="AJ318" s="624"/>
      <c r="AK318" s="624"/>
      <c r="AL318" s="624"/>
      <c r="AM318" s="624"/>
      <c r="AN318" s="624"/>
      <c r="AO318" s="624"/>
      <c r="AP318" s="624"/>
      <c r="AQ318" s="624"/>
      <c r="AR318" s="624"/>
      <c r="AS318" s="624"/>
      <c r="AT318" s="624"/>
      <c r="AU318" s="624"/>
      <c r="AV318" s="624"/>
      <c r="AW318" s="624"/>
      <c r="AX318" s="624"/>
      <c r="AY318" s="624"/>
    </row>
    <row r="319" spans="31:51" s="463" customFormat="1" x14ac:dyDescent="0.2">
      <c r="AE319" s="624"/>
      <c r="AF319" s="624"/>
      <c r="AG319" s="624"/>
      <c r="AH319" s="624"/>
      <c r="AI319" s="624"/>
      <c r="AJ319" s="624"/>
      <c r="AK319" s="624"/>
      <c r="AL319" s="624"/>
      <c r="AM319" s="624"/>
      <c r="AN319" s="624"/>
      <c r="AO319" s="624"/>
      <c r="AP319" s="624"/>
      <c r="AQ319" s="624"/>
      <c r="AR319" s="624"/>
      <c r="AS319" s="624"/>
      <c r="AT319" s="624"/>
      <c r="AU319" s="624"/>
      <c r="AV319" s="624"/>
      <c r="AW319" s="624"/>
      <c r="AX319" s="624"/>
      <c r="AY319" s="624"/>
    </row>
    <row r="320" spans="31:51" s="463" customFormat="1" x14ac:dyDescent="0.2">
      <c r="AE320" s="624"/>
      <c r="AF320" s="624"/>
      <c r="AG320" s="624"/>
      <c r="AH320" s="624"/>
      <c r="AI320" s="624"/>
      <c r="AJ320" s="624"/>
      <c r="AK320" s="624"/>
      <c r="AL320" s="624"/>
      <c r="AM320" s="624"/>
      <c r="AN320" s="624"/>
      <c r="AO320" s="624"/>
      <c r="AP320" s="624"/>
      <c r="AQ320" s="624"/>
      <c r="AR320" s="624"/>
      <c r="AS320" s="624"/>
      <c r="AT320" s="624"/>
      <c r="AU320" s="624"/>
      <c r="AV320" s="624"/>
      <c r="AW320" s="624"/>
      <c r="AX320" s="624"/>
      <c r="AY320" s="624"/>
    </row>
    <row r="321" spans="31:51" s="463" customFormat="1" x14ac:dyDescent="0.2">
      <c r="AE321" s="624"/>
      <c r="AF321" s="624"/>
      <c r="AG321" s="624"/>
      <c r="AH321" s="624"/>
      <c r="AI321" s="624"/>
      <c r="AJ321" s="624"/>
      <c r="AK321" s="624"/>
      <c r="AL321" s="624"/>
      <c r="AM321" s="624"/>
      <c r="AN321" s="624"/>
      <c r="AO321" s="624"/>
      <c r="AP321" s="624"/>
      <c r="AQ321" s="624"/>
      <c r="AR321" s="624"/>
      <c r="AS321" s="624"/>
      <c r="AT321" s="624"/>
      <c r="AU321" s="624"/>
      <c r="AV321" s="624"/>
      <c r="AW321" s="624"/>
      <c r="AX321" s="624"/>
      <c r="AY321" s="624"/>
    </row>
    <row r="322" spans="31:51" s="463" customFormat="1" x14ac:dyDescent="0.2">
      <c r="AE322" s="624"/>
      <c r="AF322" s="624"/>
      <c r="AG322" s="624"/>
      <c r="AH322" s="624"/>
      <c r="AI322" s="624"/>
      <c r="AJ322" s="624"/>
      <c r="AK322" s="624"/>
      <c r="AL322" s="624"/>
      <c r="AM322" s="624"/>
      <c r="AN322" s="624"/>
      <c r="AO322" s="624"/>
      <c r="AP322" s="624"/>
      <c r="AQ322" s="624"/>
      <c r="AR322" s="624"/>
      <c r="AS322" s="624"/>
      <c r="AT322" s="624"/>
      <c r="AU322" s="624"/>
      <c r="AV322" s="624"/>
      <c r="AW322" s="624"/>
      <c r="AX322" s="624"/>
      <c r="AY322" s="624"/>
    </row>
    <row r="323" spans="31:51" s="463" customFormat="1" x14ac:dyDescent="0.2">
      <c r="AE323" s="624"/>
      <c r="AF323" s="624"/>
      <c r="AG323" s="624"/>
      <c r="AH323" s="624"/>
      <c r="AI323" s="624"/>
      <c r="AJ323" s="624"/>
      <c r="AK323" s="624"/>
      <c r="AL323" s="624"/>
      <c r="AM323" s="624"/>
      <c r="AN323" s="624"/>
      <c r="AO323" s="624"/>
      <c r="AP323" s="624"/>
      <c r="AQ323" s="624"/>
      <c r="AR323" s="624"/>
      <c r="AS323" s="624"/>
      <c r="AT323" s="624"/>
      <c r="AU323" s="624"/>
      <c r="AV323" s="624"/>
      <c r="AW323" s="624"/>
      <c r="AX323" s="624"/>
      <c r="AY323" s="624"/>
    </row>
    <row r="324" spans="31:51" s="463" customFormat="1" x14ac:dyDescent="0.2">
      <c r="AE324" s="624"/>
      <c r="AF324" s="624"/>
      <c r="AG324" s="624"/>
      <c r="AH324" s="624"/>
      <c r="AI324" s="624"/>
      <c r="AJ324" s="624"/>
      <c r="AK324" s="624"/>
      <c r="AL324" s="624"/>
      <c r="AM324" s="624"/>
      <c r="AN324" s="624"/>
      <c r="AO324" s="624"/>
      <c r="AP324" s="624"/>
      <c r="AQ324" s="624"/>
      <c r="AR324" s="624"/>
      <c r="AS324" s="624"/>
      <c r="AT324" s="624"/>
      <c r="AU324" s="624"/>
      <c r="AV324" s="624"/>
      <c r="AW324" s="624"/>
      <c r="AX324" s="624"/>
      <c r="AY324" s="624"/>
    </row>
    <row r="325" spans="31:51" s="463" customFormat="1" x14ac:dyDescent="0.2">
      <c r="AE325" s="624"/>
      <c r="AF325" s="624"/>
      <c r="AG325" s="624"/>
      <c r="AH325" s="624"/>
      <c r="AI325" s="624"/>
      <c r="AJ325" s="624"/>
      <c r="AK325" s="624"/>
      <c r="AL325" s="624"/>
      <c r="AM325" s="624"/>
      <c r="AN325" s="624"/>
      <c r="AO325" s="624"/>
      <c r="AP325" s="624"/>
      <c r="AQ325" s="624"/>
      <c r="AR325" s="624"/>
      <c r="AS325" s="624"/>
      <c r="AT325" s="624"/>
      <c r="AU325" s="624"/>
      <c r="AV325" s="624"/>
      <c r="AW325" s="624"/>
      <c r="AX325" s="624"/>
      <c r="AY325" s="624"/>
    </row>
    <row r="326" spans="31:51" s="463" customFormat="1" x14ac:dyDescent="0.2">
      <c r="AE326" s="624"/>
      <c r="AF326" s="624"/>
      <c r="AG326" s="624"/>
      <c r="AH326" s="624"/>
      <c r="AI326" s="624"/>
      <c r="AJ326" s="624"/>
      <c r="AK326" s="624"/>
      <c r="AL326" s="624"/>
      <c r="AM326" s="624"/>
      <c r="AN326" s="624"/>
      <c r="AO326" s="624"/>
      <c r="AP326" s="624"/>
      <c r="AQ326" s="624"/>
      <c r="AR326" s="624"/>
      <c r="AS326" s="624"/>
      <c r="AT326" s="624"/>
      <c r="AU326" s="624"/>
      <c r="AV326" s="624"/>
      <c r="AW326" s="624"/>
      <c r="AX326" s="624"/>
      <c r="AY326" s="624"/>
    </row>
    <row r="327" spans="31:51" s="463" customFormat="1" x14ac:dyDescent="0.2">
      <c r="AE327" s="624"/>
      <c r="AF327" s="624"/>
      <c r="AG327" s="624"/>
      <c r="AH327" s="624"/>
      <c r="AI327" s="624"/>
      <c r="AJ327" s="624"/>
      <c r="AK327" s="624"/>
      <c r="AL327" s="624"/>
      <c r="AM327" s="624"/>
      <c r="AN327" s="624"/>
      <c r="AO327" s="624"/>
      <c r="AP327" s="624"/>
      <c r="AQ327" s="624"/>
      <c r="AR327" s="624"/>
      <c r="AS327" s="624"/>
      <c r="AT327" s="624"/>
      <c r="AU327" s="624"/>
      <c r="AV327" s="624"/>
      <c r="AW327" s="624"/>
      <c r="AX327" s="624"/>
      <c r="AY327" s="624"/>
    </row>
    <row r="328" spans="31:51" s="463" customFormat="1" x14ac:dyDescent="0.2">
      <c r="AE328" s="624"/>
      <c r="AF328" s="624"/>
      <c r="AG328" s="624"/>
      <c r="AH328" s="624"/>
      <c r="AI328" s="624"/>
      <c r="AJ328" s="624"/>
      <c r="AK328" s="624"/>
      <c r="AL328" s="624"/>
      <c r="AM328" s="624"/>
      <c r="AN328" s="624"/>
      <c r="AO328" s="624"/>
      <c r="AP328" s="624"/>
      <c r="AQ328" s="624"/>
      <c r="AR328" s="624"/>
      <c r="AS328" s="624"/>
      <c r="AT328" s="624"/>
      <c r="AU328" s="624"/>
      <c r="AV328" s="624"/>
      <c r="AW328" s="624"/>
      <c r="AX328" s="624"/>
      <c r="AY328" s="624"/>
    </row>
  </sheetData>
  <sheetProtection pivotTables="0"/>
  <mergeCells count="79">
    <mergeCell ref="J139:K139"/>
    <mergeCell ref="J140:K140"/>
    <mergeCell ref="J141:K141"/>
    <mergeCell ref="J133:K133"/>
    <mergeCell ref="J134:K134"/>
    <mergeCell ref="J135:K135"/>
    <mergeCell ref="J136:K136"/>
    <mergeCell ref="J137:K137"/>
    <mergeCell ref="J138:K138"/>
    <mergeCell ref="J132:K132"/>
    <mergeCell ref="J121:K121"/>
    <mergeCell ref="J122:K122"/>
    <mergeCell ref="J123:K123"/>
    <mergeCell ref="J124:K124"/>
    <mergeCell ref="J125:K125"/>
    <mergeCell ref="J126:K126"/>
    <mergeCell ref="J127:K127"/>
    <mergeCell ref="J128:K128"/>
    <mergeCell ref="J129:K129"/>
    <mergeCell ref="J130:K130"/>
    <mergeCell ref="J131:K131"/>
    <mergeCell ref="J108:K108"/>
    <mergeCell ref="J97:K97"/>
    <mergeCell ref="J98:K98"/>
    <mergeCell ref="J99:K99"/>
    <mergeCell ref="J100:K100"/>
    <mergeCell ref="J101:K101"/>
    <mergeCell ref="J102:K102"/>
    <mergeCell ref="J103:K103"/>
    <mergeCell ref="J104:K104"/>
    <mergeCell ref="J106:K106"/>
    <mergeCell ref="J107:K107"/>
    <mergeCell ref="J105:K105"/>
    <mergeCell ref="J93:K93"/>
    <mergeCell ref="J94:K94"/>
    <mergeCell ref="J95:K95"/>
    <mergeCell ref="J96:K96"/>
    <mergeCell ref="G41:H41"/>
    <mergeCell ref="C80:E80"/>
    <mergeCell ref="F80:G80"/>
    <mergeCell ref="C87:D87"/>
    <mergeCell ref="B89:D89"/>
    <mergeCell ref="B48:C48"/>
    <mergeCell ref="D48:E48"/>
    <mergeCell ref="B50:E50"/>
    <mergeCell ref="C41:D41"/>
    <mergeCell ref="C42:D42"/>
    <mergeCell ref="B45:C45"/>
    <mergeCell ref="D45:E45"/>
    <mergeCell ref="J120:K120"/>
    <mergeCell ref="J109:K109"/>
    <mergeCell ref="J110:K110"/>
    <mergeCell ref="J111:K111"/>
    <mergeCell ref="J112:K112"/>
    <mergeCell ref="J113:K113"/>
    <mergeCell ref="J114:K114"/>
    <mergeCell ref="J115:K115"/>
    <mergeCell ref="J116:K116"/>
    <mergeCell ref="J117:K117"/>
    <mergeCell ref="J118:K118"/>
    <mergeCell ref="J119:K119"/>
    <mergeCell ref="M31:M32"/>
    <mergeCell ref="B33:B34"/>
    <mergeCell ref="C33:C34"/>
    <mergeCell ref="C40:D40"/>
    <mergeCell ref="G40:H40"/>
    <mergeCell ref="B31:B32"/>
    <mergeCell ref="C31:C32"/>
    <mergeCell ref="W22:W23"/>
    <mergeCell ref="X22:X23"/>
    <mergeCell ref="Y22:Y23"/>
    <mergeCell ref="B26:B27"/>
    <mergeCell ref="C26:C27"/>
    <mergeCell ref="Q13:U14"/>
    <mergeCell ref="B1:D1"/>
    <mergeCell ref="E1:F1"/>
    <mergeCell ref="I2:J2"/>
    <mergeCell ref="B3:F3"/>
    <mergeCell ref="P13:P14"/>
  </mergeCells>
  <conditionalFormatting sqref="H37:L37 M36:M37">
    <cfRule type="expression" dxfId="252" priority="2" stopIfTrue="1">
      <formula>F4="Canada"</formula>
    </cfRule>
  </conditionalFormatting>
  <conditionalFormatting sqref="N36:N37">
    <cfRule type="expression" dxfId="251" priority="3" stopIfTrue="1">
      <formula>K4="Canada"</formula>
    </cfRule>
  </conditionalFormatting>
  <conditionalFormatting sqref="I18">
    <cfRule type="expression" dxfId="250" priority="4" stopIfTrue="1">
      <formula>K2=""</formula>
    </cfRule>
  </conditionalFormatting>
  <conditionalFormatting sqref="D18">
    <cfRule type="expression" dxfId="249" priority="5" stopIfTrue="1">
      <formula>K2=""</formula>
    </cfRule>
  </conditionalFormatting>
  <conditionalFormatting sqref="E18">
    <cfRule type="expression" dxfId="248" priority="6" stopIfTrue="1">
      <formula>K2=""</formula>
    </cfRule>
  </conditionalFormatting>
  <conditionalFormatting sqref="F18">
    <cfRule type="expression" dxfId="247" priority="7" stopIfTrue="1">
      <formula>K2=""</formula>
    </cfRule>
  </conditionalFormatting>
  <conditionalFormatting sqref="G18">
    <cfRule type="expression" dxfId="246" priority="8" stopIfTrue="1">
      <formula>K2=""</formula>
    </cfRule>
  </conditionalFormatting>
  <conditionalFormatting sqref="H18">
    <cfRule type="expression" dxfId="245" priority="9" stopIfTrue="1">
      <formula>K2=""</formula>
    </cfRule>
  </conditionalFormatting>
  <conditionalFormatting sqref="J18">
    <cfRule type="expression" dxfId="244" priority="10" stopIfTrue="1">
      <formula>K2=""</formula>
    </cfRule>
  </conditionalFormatting>
  <conditionalFormatting sqref="K18">
    <cfRule type="expression" dxfId="243" priority="11" stopIfTrue="1">
      <formula>K2=""</formula>
    </cfRule>
  </conditionalFormatting>
  <conditionalFormatting sqref="L18">
    <cfRule type="expression" dxfId="242" priority="12" stopIfTrue="1">
      <formula>K2=""</formula>
    </cfRule>
  </conditionalFormatting>
  <conditionalFormatting sqref="M18">
    <cfRule type="expression" dxfId="241" priority="13" stopIfTrue="1">
      <formula>K2=""</formula>
    </cfRule>
  </conditionalFormatting>
  <conditionalFormatting sqref="N18">
    <cfRule type="expression" dxfId="240" priority="14" stopIfTrue="1">
      <formula>K2=""</formula>
    </cfRule>
  </conditionalFormatting>
  <conditionalFormatting sqref="O18">
    <cfRule type="expression" dxfId="239" priority="15" stopIfTrue="1">
      <formula>K2=""</formula>
    </cfRule>
  </conditionalFormatting>
  <conditionalFormatting sqref="AU91:AV91 Q91 B91:D91 L91:N91">
    <cfRule type="cellIs" dxfId="238" priority="16" stopIfTrue="1" operator="equal">
      <formula>"N.A."</formula>
    </cfRule>
  </conditionalFormatting>
  <conditionalFormatting sqref="T53">
    <cfRule type="cellIs" dxfId="237" priority="17" stopIfTrue="1" operator="equal">
      <formula>"N.C."</formula>
    </cfRule>
  </conditionalFormatting>
  <conditionalFormatting sqref="AU111:AU112 AU109">
    <cfRule type="cellIs" dxfId="236" priority="18" stopIfTrue="1" operator="equal">
      <formula>"N.C."</formula>
    </cfRule>
  </conditionalFormatting>
  <conditionalFormatting sqref="B7:B17 B19:B26 B28:B31 B33:B38">
    <cfRule type="cellIs" dxfId="235" priority="19" stopIfTrue="1" operator="equal">
      <formula>"ERREUR"</formula>
    </cfRule>
    <cfRule type="cellIs" dxfId="234" priority="20" stopIfTrue="1" operator="equal">
      <formula>"N.C."</formula>
    </cfRule>
  </conditionalFormatting>
  <conditionalFormatting sqref="L53 V53:Y53">
    <cfRule type="cellIs" dxfId="233" priority="21" stopIfTrue="1" operator="equal">
      <formula>"ERREUR"</formula>
    </cfRule>
  </conditionalFormatting>
  <conditionalFormatting sqref="B18">
    <cfRule type="cellIs" dxfId="232" priority="22" stopIfTrue="1" operator="equal">
      <formula>"ERREUR"</formula>
    </cfRule>
    <cfRule type="cellIs" dxfId="231" priority="23" stopIfTrue="1" operator="equal">
      <formula>"N.C."</formula>
    </cfRule>
  </conditionalFormatting>
  <conditionalFormatting sqref="U53">
    <cfRule type="cellIs" dxfId="230" priority="24" stopIfTrue="1" operator="equal">
      <formula>"ERREUR"</formula>
    </cfRule>
    <cfRule type="cellIs" dxfId="229" priority="25" stopIfTrue="1" operator="equal">
      <formula>"N.C."</formula>
    </cfRule>
  </conditionalFormatting>
  <conditionalFormatting sqref="C56:Y77">
    <cfRule type="cellIs" dxfId="228" priority="26" stopIfTrue="1" operator="equal">
      <formula>0</formula>
    </cfRule>
    <cfRule type="cellIs" dxfId="227" priority="27" stopIfTrue="1" operator="equal">
      <formula>"N.C."</formula>
    </cfRule>
  </conditionalFormatting>
  <dataValidations count="5">
    <dataValidation type="list" allowBlank="1" showInputMessage="1" showErrorMessage="1" sqref="WLC982995:WLC983042 IX94:IX141 ST94:ST141 ACP94:ACP141 AML94:AML141 AWH94:AWH141 BGD94:BGD141 BPZ94:BPZ141 BZV94:BZV141 CJR94:CJR141 CTN94:CTN141 DDJ94:DDJ141 DNF94:DNF141 DXB94:DXB141 EGX94:EGX141 EQT94:EQT141 FAP94:FAP141 FKL94:FKL141 FUH94:FUH141 GED94:GED141 GNZ94:GNZ141 GXV94:GXV141 HHR94:HHR141 HRN94:HRN141 IBJ94:IBJ141 ILF94:ILF141 IVB94:IVB141 JEX94:JEX141 JOT94:JOT141 JYP94:JYP141 KIL94:KIL141 KSH94:KSH141 LCD94:LCD141 LLZ94:LLZ141 LVV94:LVV141 MFR94:MFR141 MPN94:MPN141 MZJ94:MZJ141 NJF94:NJF141 NTB94:NTB141 OCX94:OCX141 OMT94:OMT141 OWP94:OWP141 PGL94:PGL141 PQH94:PQH141 QAD94:QAD141 QJZ94:QJZ141 QTV94:QTV141 RDR94:RDR141 RNN94:RNN141 RXJ94:RXJ141 SHF94:SHF141 SRB94:SRB141 TAX94:TAX141 TKT94:TKT141 TUP94:TUP141 UEL94:UEL141 UOH94:UOH141 UYD94:UYD141 VHZ94:VHZ141 VRV94:VRV141 WBR94:WBR141 WLN94:WLN141 WVJ94:WVJ141 I65491:I65538 IT65491:IT65538 SP65491:SP65538 ACL65491:ACL65538 AMH65491:AMH65538 AWD65491:AWD65538 BFZ65491:BFZ65538 BPV65491:BPV65538 BZR65491:BZR65538 CJN65491:CJN65538 CTJ65491:CTJ65538 DDF65491:DDF65538 DNB65491:DNB65538 DWX65491:DWX65538 EGT65491:EGT65538 EQP65491:EQP65538 FAL65491:FAL65538 FKH65491:FKH65538 FUD65491:FUD65538 GDZ65491:GDZ65538 GNV65491:GNV65538 GXR65491:GXR65538 HHN65491:HHN65538 HRJ65491:HRJ65538 IBF65491:IBF65538 ILB65491:ILB65538 IUX65491:IUX65538 JET65491:JET65538 JOP65491:JOP65538 JYL65491:JYL65538 KIH65491:KIH65538 KSD65491:KSD65538 LBZ65491:LBZ65538 LLV65491:LLV65538 LVR65491:LVR65538 MFN65491:MFN65538 MPJ65491:MPJ65538 MZF65491:MZF65538 NJB65491:NJB65538 NSX65491:NSX65538 OCT65491:OCT65538 OMP65491:OMP65538 OWL65491:OWL65538 PGH65491:PGH65538 PQD65491:PQD65538 PZZ65491:PZZ65538 QJV65491:QJV65538 QTR65491:QTR65538 RDN65491:RDN65538 RNJ65491:RNJ65538 RXF65491:RXF65538 SHB65491:SHB65538 SQX65491:SQX65538 TAT65491:TAT65538 TKP65491:TKP65538 TUL65491:TUL65538 UEH65491:UEH65538 UOD65491:UOD65538 UXZ65491:UXZ65538 VHV65491:VHV65538 VRR65491:VRR65538 WBN65491:WBN65538 WLJ65491:WLJ65538 WVF65491:WVF65538 I131027:I131074 IT131027:IT131074 SP131027:SP131074 ACL131027:ACL131074 AMH131027:AMH131074 AWD131027:AWD131074 BFZ131027:BFZ131074 BPV131027:BPV131074 BZR131027:BZR131074 CJN131027:CJN131074 CTJ131027:CTJ131074 DDF131027:DDF131074 DNB131027:DNB131074 DWX131027:DWX131074 EGT131027:EGT131074 EQP131027:EQP131074 FAL131027:FAL131074 FKH131027:FKH131074 FUD131027:FUD131074 GDZ131027:GDZ131074 GNV131027:GNV131074 GXR131027:GXR131074 HHN131027:HHN131074 HRJ131027:HRJ131074 IBF131027:IBF131074 ILB131027:ILB131074 IUX131027:IUX131074 JET131027:JET131074 JOP131027:JOP131074 JYL131027:JYL131074 KIH131027:KIH131074 KSD131027:KSD131074 LBZ131027:LBZ131074 LLV131027:LLV131074 LVR131027:LVR131074 MFN131027:MFN131074 MPJ131027:MPJ131074 MZF131027:MZF131074 NJB131027:NJB131074 NSX131027:NSX131074 OCT131027:OCT131074 OMP131027:OMP131074 OWL131027:OWL131074 PGH131027:PGH131074 PQD131027:PQD131074 PZZ131027:PZZ131074 QJV131027:QJV131074 QTR131027:QTR131074 RDN131027:RDN131074 RNJ131027:RNJ131074 RXF131027:RXF131074 SHB131027:SHB131074 SQX131027:SQX131074 TAT131027:TAT131074 TKP131027:TKP131074 TUL131027:TUL131074 UEH131027:UEH131074 UOD131027:UOD131074 UXZ131027:UXZ131074 VHV131027:VHV131074 VRR131027:VRR131074 WBN131027:WBN131074 WLJ131027:WLJ131074 WVF131027:WVF131074 I196563:I196610 IT196563:IT196610 SP196563:SP196610 ACL196563:ACL196610 AMH196563:AMH196610 AWD196563:AWD196610 BFZ196563:BFZ196610 BPV196563:BPV196610 BZR196563:BZR196610 CJN196563:CJN196610 CTJ196563:CTJ196610 DDF196563:DDF196610 DNB196563:DNB196610 DWX196563:DWX196610 EGT196563:EGT196610 EQP196563:EQP196610 FAL196563:FAL196610 FKH196563:FKH196610 FUD196563:FUD196610 GDZ196563:GDZ196610 GNV196563:GNV196610 GXR196563:GXR196610 HHN196563:HHN196610 HRJ196563:HRJ196610 IBF196563:IBF196610 ILB196563:ILB196610 IUX196563:IUX196610 JET196563:JET196610 JOP196563:JOP196610 JYL196563:JYL196610 KIH196563:KIH196610 KSD196563:KSD196610 LBZ196563:LBZ196610 LLV196563:LLV196610 LVR196563:LVR196610 MFN196563:MFN196610 MPJ196563:MPJ196610 MZF196563:MZF196610 NJB196563:NJB196610 NSX196563:NSX196610 OCT196563:OCT196610 OMP196563:OMP196610 OWL196563:OWL196610 PGH196563:PGH196610 PQD196563:PQD196610 PZZ196563:PZZ196610 QJV196563:QJV196610 QTR196563:QTR196610 RDN196563:RDN196610 RNJ196563:RNJ196610 RXF196563:RXF196610 SHB196563:SHB196610 SQX196563:SQX196610 TAT196563:TAT196610 TKP196563:TKP196610 TUL196563:TUL196610 UEH196563:UEH196610 UOD196563:UOD196610 UXZ196563:UXZ196610 VHV196563:VHV196610 VRR196563:VRR196610 WBN196563:WBN196610 WLJ196563:WLJ196610 WVF196563:WVF196610 I262099:I262146 IT262099:IT262146 SP262099:SP262146 ACL262099:ACL262146 AMH262099:AMH262146 AWD262099:AWD262146 BFZ262099:BFZ262146 BPV262099:BPV262146 BZR262099:BZR262146 CJN262099:CJN262146 CTJ262099:CTJ262146 DDF262099:DDF262146 DNB262099:DNB262146 DWX262099:DWX262146 EGT262099:EGT262146 EQP262099:EQP262146 FAL262099:FAL262146 FKH262099:FKH262146 FUD262099:FUD262146 GDZ262099:GDZ262146 GNV262099:GNV262146 GXR262099:GXR262146 HHN262099:HHN262146 HRJ262099:HRJ262146 IBF262099:IBF262146 ILB262099:ILB262146 IUX262099:IUX262146 JET262099:JET262146 JOP262099:JOP262146 JYL262099:JYL262146 KIH262099:KIH262146 KSD262099:KSD262146 LBZ262099:LBZ262146 LLV262099:LLV262146 LVR262099:LVR262146 MFN262099:MFN262146 MPJ262099:MPJ262146 MZF262099:MZF262146 NJB262099:NJB262146 NSX262099:NSX262146 OCT262099:OCT262146 OMP262099:OMP262146 OWL262099:OWL262146 PGH262099:PGH262146 PQD262099:PQD262146 PZZ262099:PZZ262146 QJV262099:QJV262146 QTR262099:QTR262146 RDN262099:RDN262146 RNJ262099:RNJ262146 RXF262099:RXF262146 SHB262099:SHB262146 SQX262099:SQX262146 TAT262099:TAT262146 TKP262099:TKP262146 TUL262099:TUL262146 UEH262099:UEH262146 UOD262099:UOD262146 UXZ262099:UXZ262146 VHV262099:VHV262146 VRR262099:VRR262146 WBN262099:WBN262146 WLJ262099:WLJ262146 WVF262099:WVF262146 I327635:I327682 IT327635:IT327682 SP327635:SP327682 ACL327635:ACL327682 AMH327635:AMH327682 AWD327635:AWD327682 BFZ327635:BFZ327682 BPV327635:BPV327682 BZR327635:BZR327682 CJN327635:CJN327682 CTJ327635:CTJ327682 DDF327635:DDF327682 DNB327635:DNB327682 DWX327635:DWX327682 EGT327635:EGT327682 EQP327635:EQP327682 FAL327635:FAL327682 FKH327635:FKH327682 FUD327635:FUD327682 GDZ327635:GDZ327682 GNV327635:GNV327682 GXR327635:GXR327682 HHN327635:HHN327682 HRJ327635:HRJ327682 IBF327635:IBF327682 ILB327635:ILB327682 IUX327635:IUX327682 JET327635:JET327682 JOP327635:JOP327682 JYL327635:JYL327682 KIH327635:KIH327682 KSD327635:KSD327682 LBZ327635:LBZ327682 LLV327635:LLV327682 LVR327635:LVR327682 MFN327635:MFN327682 MPJ327635:MPJ327682 MZF327635:MZF327682 NJB327635:NJB327682 NSX327635:NSX327682 OCT327635:OCT327682 OMP327635:OMP327682 OWL327635:OWL327682 PGH327635:PGH327682 PQD327635:PQD327682 PZZ327635:PZZ327682 QJV327635:QJV327682 QTR327635:QTR327682 RDN327635:RDN327682 RNJ327635:RNJ327682 RXF327635:RXF327682 SHB327635:SHB327682 SQX327635:SQX327682 TAT327635:TAT327682 TKP327635:TKP327682 TUL327635:TUL327682 UEH327635:UEH327682 UOD327635:UOD327682 UXZ327635:UXZ327682 VHV327635:VHV327682 VRR327635:VRR327682 WBN327635:WBN327682 WLJ327635:WLJ327682 WVF327635:WVF327682 I393171:I393218 IT393171:IT393218 SP393171:SP393218 ACL393171:ACL393218 AMH393171:AMH393218 AWD393171:AWD393218 BFZ393171:BFZ393218 BPV393171:BPV393218 BZR393171:BZR393218 CJN393171:CJN393218 CTJ393171:CTJ393218 DDF393171:DDF393218 DNB393171:DNB393218 DWX393171:DWX393218 EGT393171:EGT393218 EQP393171:EQP393218 FAL393171:FAL393218 FKH393171:FKH393218 FUD393171:FUD393218 GDZ393171:GDZ393218 GNV393171:GNV393218 GXR393171:GXR393218 HHN393171:HHN393218 HRJ393171:HRJ393218 IBF393171:IBF393218 ILB393171:ILB393218 IUX393171:IUX393218 JET393171:JET393218 JOP393171:JOP393218 JYL393171:JYL393218 KIH393171:KIH393218 KSD393171:KSD393218 LBZ393171:LBZ393218 LLV393171:LLV393218 LVR393171:LVR393218 MFN393171:MFN393218 MPJ393171:MPJ393218 MZF393171:MZF393218 NJB393171:NJB393218 NSX393171:NSX393218 OCT393171:OCT393218 OMP393171:OMP393218 OWL393171:OWL393218 PGH393171:PGH393218 PQD393171:PQD393218 PZZ393171:PZZ393218 QJV393171:QJV393218 QTR393171:QTR393218 RDN393171:RDN393218 RNJ393171:RNJ393218 RXF393171:RXF393218 SHB393171:SHB393218 SQX393171:SQX393218 TAT393171:TAT393218 TKP393171:TKP393218 TUL393171:TUL393218 UEH393171:UEH393218 UOD393171:UOD393218 UXZ393171:UXZ393218 VHV393171:VHV393218 VRR393171:VRR393218 WBN393171:WBN393218 WLJ393171:WLJ393218 WVF393171:WVF393218 I458707:I458754 IT458707:IT458754 SP458707:SP458754 ACL458707:ACL458754 AMH458707:AMH458754 AWD458707:AWD458754 BFZ458707:BFZ458754 BPV458707:BPV458754 BZR458707:BZR458754 CJN458707:CJN458754 CTJ458707:CTJ458754 DDF458707:DDF458754 DNB458707:DNB458754 DWX458707:DWX458754 EGT458707:EGT458754 EQP458707:EQP458754 FAL458707:FAL458754 FKH458707:FKH458754 FUD458707:FUD458754 GDZ458707:GDZ458754 GNV458707:GNV458754 GXR458707:GXR458754 HHN458707:HHN458754 HRJ458707:HRJ458754 IBF458707:IBF458754 ILB458707:ILB458754 IUX458707:IUX458754 JET458707:JET458754 JOP458707:JOP458754 JYL458707:JYL458754 KIH458707:KIH458754 KSD458707:KSD458754 LBZ458707:LBZ458754 LLV458707:LLV458754 LVR458707:LVR458754 MFN458707:MFN458754 MPJ458707:MPJ458754 MZF458707:MZF458754 NJB458707:NJB458754 NSX458707:NSX458754 OCT458707:OCT458754 OMP458707:OMP458754 OWL458707:OWL458754 PGH458707:PGH458754 PQD458707:PQD458754 PZZ458707:PZZ458754 QJV458707:QJV458754 QTR458707:QTR458754 RDN458707:RDN458754 RNJ458707:RNJ458754 RXF458707:RXF458754 SHB458707:SHB458754 SQX458707:SQX458754 TAT458707:TAT458754 TKP458707:TKP458754 TUL458707:TUL458754 UEH458707:UEH458754 UOD458707:UOD458754 UXZ458707:UXZ458754 VHV458707:VHV458754 VRR458707:VRR458754 WBN458707:WBN458754 WLJ458707:WLJ458754 WVF458707:WVF458754 I524243:I524290 IT524243:IT524290 SP524243:SP524290 ACL524243:ACL524290 AMH524243:AMH524290 AWD524243:AWD524290 BFZ524243:BFZ524290 BPV524243:BPV524290 BZR524243:BZR524290 CJN524243:CJN524290 CTJ524243:CTJ524290 DDF524243:DDF524290 DNB524243:DNB524290 DWX524243:DWX524290 EGT524243:EGT524290 EQP524243:EQP524290 FAL524243:FAL524290 FKH524243:FKH524290 FUD524243:FUD524290 GDZ524243:GDZ524290 GNV524243:GNV524290 GXR524243:GXR524290 HHN524243:HHN524290 HRJ524243:HRJ524290 IBF524243:IBF524290 ILB524243:ILB524290 IUX524243:IUX524290 JET524243:JET524290 JOP524243:JOP524290 JYL524243:JYL524290 KIH524243:KIH524290 KSD524243:KSD524290 LBZ524243:LBZ524290 LLV524243:LLV524290 LVR524243:LVR524290 MFN524243:MFN524290 MPJ524243:MPJ524290 MZF524243:MZF524290 NJB524243:NJB524290 NSX524243:NSX524290 OCT524243:OCT524290 OMP524243:OMP524290 OWL524243:OWL524290 PGH524243:PGH524290 PQD524243:PQD524290 PZZ524243:PZZ524290 QJV524243:QJV524290 QTR524243:QTR524290 RDN524243:RDN524290 RNJ524243:RNJ524290 RXF524243:RXF524290 SHB524243:SHB524290 SQX524243:SQX524290 TAT524243:TAT524290 TKP524243:TKP524290 TUL524243:TUL524290 UEH524243:UEH524290 UOD524243:UOD524290 UXZ524243:UXZ524290 VHV524243:VHV524290 VRR524243:VRR524290 WBN524243:WBN524290 WLJ524243:WLJ524290 WVF524243:WVF524290 I589779:I589826 IT589779:IT589826 SP589779:SP589826 ACL589779:ACL589826 AMH589779:AMH589826 AWD589779:AWD589826 BFZ589779:BFZ589826 BPV589779:BPV589826 BZR589779:BZR589826 CJN589779:CJN589826 CTJ589779:CTJ589826 DDF589779:DDF589826 DNB589779:DNB589826 DWX589779:DWX589826 EGT589779:EGT589826 EQP589779:EQP589826 FAL589779:FAL589826 FKH589779:FKH589826 FUD589779:FUD589826 GDZ589779:GDZ589826 GNV589779:GNV589826 GXR589779:GXR589826 HHN589779:HHN589826 HRJ589779:HRJ589826 IBF589779:IBF589826 ILB589779:ILB589826 IUX589779:IUX589826 JET589779:JET589826 JOP589779:JOP589826 JYL589779:JYL589826 KIH589779:KIH589826 KSD589779:KSD589826 LBZ589779:LBZ589826 LLV589779:LLV589826 LVR589779:LVR589826 MFN589779:MFN589826 MPJ589779:MPJ589826 MZF589779:MZF589826 NJB589779:NJB589826 NSX589779:NSX589826 OCT589779:OCT589826 OMP589779:OMP589826 OWL589779:OWL589826 PGH589779:PGH589826 PQD589779:PQD589826 PZZ589779:PZZ589826 QJV589779:QJV589826 QTR589779:QTR589826 RDN589779:RDN589826 RNJ589779:RNJ589826 RXF589779:RXF589826 SHB589779:SHB589826 SQX589779:SQX589826 TAT589779:TAT589826 TKP589779:TKP589826 TUL589779:TUL589826 UEH589779:UEH589826 UOD589779:UOD589826 UXZ589779:UXZ589826 VHV589779:VHV589826 VRR589779:VRR589826 WBN589779:WBN589826 WLJ589779:WLJ589826 WVF589779:WVF589826 I655315:I655362 IT655315:IT655362 SP655315:SP655362 ACL655315:ACL655362 AMH655315:AMH655362 AWD655315:AWD655362 BFZ655315:BFZ655362 BPV655315:BPV655362 BZR655315:BZR655362 CJN655315:CJN655362 CTJ655315:CTJ655362 DDF655315:DDF655362 DNB655315:DNB655362 DWX655315:DWX655362 EGT655315:EGT655362 EQP655315:EQP655362 FAL655315:FAL655362 FKH655315:FKH655362 FUD655315:FUD655362 GDZ655315:GDZ655362 GNV655315:GNV655362 GXR655315:GXR655362 HHN655315:HHN655362 HRJ655315:HRJ655362 IBF655315:IBF655362 ILB655315:ILB655362 IUX655315:IUX655362 JET655315:JET655362 JOP655315:JOP655362 JYL655315:JYL655362 KIH655315:KIH655362 KSD655315:KSD655362 LBZ655315:LBZ655362 LLV655315:LLV655362 LVR655315:LVR655362 MFN655315:MFN655362 MPJ655315:MPJ655362 MZF655315:MZF655362 NJB655315:NJB655362 NSX655315:NSX655362 OCT655315:OCT655362 OMP655315:OMP655362 OWL655315:OWL655362 PGH655315:PGH655362 PQD655315:PQD655362 PZZ655315:PZZ655362 QJV655315:QJV655362 QTR655315:QTR655362 RDN655315:RDN655362 RNJ655315:RNJ655362 RXF655315:RXF655362 SHB655315:SHB655362 SQX655315:SQX655362 TAT655315:TAT655362 TKP655315:TKP655362 TUL655315:TUL655362 UEH655315:UEH655362 UOD655315:UOD655362 UXZ655315:UXZ655362 VHV655315:VHV655362 VRR655315:VRR655362 WBN655315:WBN655362 WLJ655315:WLJ655362 WVF655315:WVF655362 I720851:I720898 IT720851:IT720898 SP720851:SP720898 ACL720851:ACL720898 AMH720851:AMH720898 AWD720851:AWD720898 BFZ720851:BFZ720898 BPV720851:BPV720898 BZR720851:BZR720898 CJN720851:CJN720898 CTJ720851:CTJ720898 DDF720851:DDF720898 DNB720851:DNB720898 DWX720851:DWX720898 EGT720851:EGT720898 EQP720851:EQP720898 FAL720851:FAL720898 FKH720851:FKH720898 FUD720851:FUD720898 GDZ720851:GDZ720898 GNV720851:GNV720898 GXR720851:GXR720898 HHN720851:HHN720898 HRJ720851:HRJ720898 IBF720851:IBF720898 ILB720851:ILB720898 IUX720851:IUX720898 JET720851:JET720898 JOP720851:JOP720898 JYL720851:JYL720898 KIH720851:KIH720898 KSD720851:KSD720898 LBZ720851:LBZ720898 LLV720851:LLV720898 LVR720851:LVR720898 MFN720851:MFN720898 MPJ720851:MPJ720898 MZF720851:MZF720898 NJB720851:NJB720898 NSX720851:NSX720898 OCT720851:OCT720898 OMP720851:OMP720898 OWL720851:OWL720898 PGH720851:PGH720898 PQD720851:PQD720898 PZZ720851:PZZ720898 QJV720851:QJV720898 QTR720851:QTR720898 RDN720851:RDN720898 RNJ720851:RNJ720898 RXF720851:RXF720898 SHB720851:SHB720898 SQX720851:SQX720898 TAT720851:TAT720898 TKP720851:TKP720898 TUL720851:TUL720898 UEH720851:UEH720898 UOD720851:UOD720898 UXZ720851:UXZ720898 VHV720851:VHV720898 VRR720851:VRR720898 WBN720851:WBN720898 WLJ720851:WLJ720898 WVF720851:WVF720898 I786387:I786434 IT786387:IT786434 SP786387:SP786434 ACL786387:ACL786434 AMH786387:AMH786434 AWD786387:AWD786434 BFZ786387:BFZ786434 BPV786387:BPV786434 BZR786387:BZR786434 CJN786387:CJN786434 CTJ786387:CTJ786434 DDF786387:DDF786434 DNB786387:DNB786434 DWX786387:DWX786434 EGT786387:EGT786434 EQP786387:EQP786434 FAL786387:FAL786434 FKH786387:FKH786434 FUD786387:FUD786434 GDZ786387:GDZ786434 GNV786387:GNV786434 GXR786387:GXR786434 HHN786387:HHN786434 HRJ786387:HRJ786434 IBF786387:IBF786434 ILB786387:ILB786434 IUX786387:IUX786434 JET786387:JET786434 JOP786387:JOP786434 JYL786387:JYL786434 KIH786387:KIH786434 KSD786387:KSD786434 LBZ786387:LBZ786434 LLV786387:LLV786434 LVR786387:LVR786434 MFN786387:MFN786434 MPJ786387:MPJ786434 MZF786387:MZF786434 NJB786387:NJB786434 NSX786387:NSX786434 OCT786387:OCT786434 OMP786387:OMP786434 OWL786387:OWL786434 PGH786387:PGH786434 PQD786387:PQD786434 PZZ786387:PZZ786434 QJV786387:QJV786434 QTR786387:QTR786434 RDN786387:RDN786434 RNJ786387:RNJ786434 RXF786387:RXF786434 SHB786387:SHB786434 SQX786387:SQX786434 TAT786387:TAT786434 TKP786387:TKP786434 TUL786387:TUL786434 UEH786387:UEH786434 UOD786387:UOD786434 UXZ786387:UXZ786434 VHV786387:VHV786434 VRR786387:VRR786434 WBN786387:WBN786434 WLJ786387:WLJ786434 WVF786387:WVF786434 I851923:I851970 IT851923:IT851970 SP851923:SP851970 ACL851923:ACL851970 AMH851923:AMH851970 AWD851923:AWD851970 BFZ851923:BFZ851970 BPV851923:BPV851970 BZR851923:BZR851970 CJN851923:CJN851970 CTJ851923:CTJ851970 DDF851923:DDF851970 DNB851923:DNB851970 DWX851923:DWX851970 EGT851923:EGT851970 EQP851923:EQP851970 FAL851923:FAL851970 FKH851923:FKH851970 FUD851923:FUD851970 GDZ851923:GDZ851970 GNV851923:GNV851970 GXR851923:GXR851970 HHN851923:HHN851970 HRJ851923:HRJ851970 IBF851923:IBF851970 ILB851923:ILB851970 IUX851923:IUX851970 JET851923:JET851970 JOP851923:JOP851970 JYL851923:JYL851970 KIH851923:KIH851970 KSD851923:KSD851970 LBZ851923:LBZ851970 LLV851923:LLV851970 LVR851923:LVR851970 MFN851923:MFN851970 MPJ851923:MPJ851970 MZF851923:MZF851970 NJB851923:NJB851970 NSX851923:NSX851970 OCT851923:OCT851970 OMP851923:OMP851970 OWL851923:OWL851970 PGH851923:PGH851970 PQD851923:PQD851970 PZZ851923:PZZ851970 QJV851923:QJV851970 QTR851923:QTR851970 RDN851923:RDN851970 RNJ851923:RNJ851970 RXF851923:RXF851970 SHB851923:SHB851970 SQX851923:SQX851970 TAT851923:TAT851970 TKP851923:TKP851970 TUL851923:TUL851970 UEH851923:UEH851970 UOD851923:UOD851970 UXZ851923:UXZ851970 VHV851923:VHV851970 VRR851923:VRR851970 WBN851923:WBN851970 WLJ851923:WLJ851970 WVF851923:WVF851970 I917459:I917506 IT917459:IT917506 SP917459:SP917506 ACL917459:ACL917506 AMH917459:AMH917506 AWD917459:AWD917506 BFZ917459:BFZ917506 BPV917459:BPV917506 BZR917459:BZR917506 CJN917459:CJN917506 CTJ917459:CTJ917506 DDF917459:DDF917506 DNB917459:DNB917506 DWX917459:DWX917506 EGT917459:EGT917506 EQP917459:EQP917506 FAL917459:FAL917506 FKH917459:FKH917506 FUD917459:FUD917506 GDZ917459:GDZ917506 GNV917459:GNV917506 GXR917459:GXR917506 HHN917459:HHN917506 HRJ917459:HRJ917506 IBF917459:IBF917506 ILB917459:ILB917506 IUX917459:IUX917506 JET917459:JET917506 JOP917459:JOP917506 JYL917459:JYL917506 KIH917459:KIH917506 KSD917459:KSD917506 LBZ917459:LBZ917506 LLV917459:LLV917506 LVR917459:LVR917506 MFN917459:MFN917506 MPJ917459:MPJ917506 MZF917459:MZF917506 NJB917459:NJB917506 NSX917459:NSX917506 OCT917459:OCT917506 OMP917459:OMP917506 OWL917459:OWL917506 PGH917459:PGH917506 PQD917459:PQD917506 PZZ917459:PZZ917506 QJV917459:QJV917506 QTR917459:QTR917506 RDN917459:RDN917506 RNJ917459:RNJ917506 RXF917459:RXF917506 SHB917459:SHB917506 SQX917459:SQX917506 TAT917459:TAT917506 TKP917459:TKP917506 TUL917459:TUL917506 UEH917459:UEH917506 UOD917459:UOD917506 UXZ917459:UXZ917506 VHV917459:VHV917506 VRR917459:VRR917506 WBN917459:WBN917506 WLJ917459:WLJ917506 WVF917459:WVF917506 I982995:I983042 IT982995:IT983042 SP982995:SP983042 ACL982995:ACL983042 AMH982995:AMH983042 AWD982995:AWD983042 BFZ982995:BFZ983042 BPV982995:BPV983042 BZR982995:BZR983042 CJN982995:CJN983042 CTJ982995:CTJ983042 DDF982995:DDF983042 DNB982995:DNB983042 DWX982995:DWX983042 EGT982995:EGT983042 EQP982995:EQP983042 FAL982995:FAL983042 FKH982995:FKH983042 FUD982995:FUD983042 GDZ982995:GDZ983042 GNV982995:GNV983042 GXR982995:GXR983042 HHN982995:HHN983042 HRJ982995:HRJ983042 IBF982995:IBF983042 ILB982995:ILB983042 IUX982995:IUX983042 JET982995:JET983042 JOP982995:JOP983042 JYL982995:JYL983042 KIH982995:KIH983042 KSD982995:KSD983042 LBZ982995:LBZ983042 LLV982995:LLV983042 LVR982995:LVR983042 MFN982995:MFN983042 MPJ982995:MPJ983042 MZF982995:MZF983042 NJB982995:NJB983042 NSX982995:NSX983042 OCT982995:OCT983042 OMP982995:OMP983042 OWL982995:OWL983042 PGH982995:PGH983042 PQD982995:PQD983042 PZZ982995:PZZ983042 QJV982995:QJV983042 QTR982995:QTR983042 RDN982995:RDN983042 RNJ982995:RNJ983042 RXF982995:RXF983042 SHB982995:SHB983042 SQX982995:SQX983042 TAT982995:TAT983042 TKP982995:TKP983042 TUL982995:TUL983042 UEH982995:UEH983042 UOD982995:UOD983042 UXZ982995:UXZ983042 VHV982995:VHV983042 VRR982995:VRR983042 WBN982995:WBN983042 WLJ982995:WLJ983042 WVF982995:WVF983042 WUY982995:WUY983042 IQ94:IQ141 SM94:SM141 ACI94:ACI141 AME94:AME141 AWA94:AWA141 BFW94:BFW141 BPS94:BPS141 BZO94:BZO141 CJK94:CJK141 CTG94:CTG141 DDC94:DDC141 DMY94:DMY141 DWU94:DWU141 EGQ94:EGQ141 EQM94:EQM141 FAI94:FAI141 FKE94:FKE141 FUA94:FUA141 GDW94:GDW141 GNS94:GNS141 GXO94:GXO141 HHK94:HHK141 HRG94:HRG141 IBC94:IBC141 IKY94:IKY141 IUU94:IUU141 JEQ94:JEQ141 JOM94:JOM141 JYI94:JYI141 KIE94:KIE141 KSA94:KSA141 LBW94:LBW141 LLS94:LLS141 LVO94:LVO141 MFK94:MFK141 MPG94:MPG141 MZC94:MZC141 NIY94:NIY141 NSU94:NSU141 OCQ94:OCQ141 OMM94:OMM141 OWI94:OWI141 PGE94:PGE141 PQA94:PQA141 PZW94:PZW141 QJS94:QJS141 QTO94:QTO141 RDK94:RDK141 RNG94:RNG141 RXC94:RXC141 SGY94:SGY141 SQU94:SQU141 TAQ94:TAQ141 TKM94:TKM141 TUI94:TUI141 UEE94:UEE141 UOA94:UOA141 UXW94:UXW141 VHS94:VHS141 VRO94:VRO141 WBK94:WBK141 WLG94:WLG141 WVC94:WVC141 B65491:B65538 IM65491:IM65538 SI65491:SI65538 ACE65491:ACE65538 AMA65491:AMA65538 AVW65491:AVW65538 BFS65491:BFS65538 BPO65491:BPO65538 BZK65491:BZK65538 CJG65491:CJG65538 CTC65491:CTC65538 DCY65491:DCY65538 DMU65491:DMU65538 DWQ65491:DWQ65538 EGM65491:EGM65538 EQI65491:EQI65538 FAE65491:FAE65538 FKA65491:FKA65538 FTW65491:FTW65538 GDS65491:GDS65538 GNO65491:GNO65538 GXK65491:GXK65538 HHG65491:HHG65538 HRC65491:HRC65538 IAY65491:IAY65538 IKU65491:IKU65538 IUQ65491:IUQ65538 JEM65491:JEM65538 JOI65491:JOI65538 JYE65491:JYE65538 KIA65491:KIA65538 KRW65491:KRW65538 LBS65491:LBS65538 LLO65491:LLO65538 LVK65491:LVK65538 MFG65491:MFG65538 MPC65491:MPC65538 MYY65491:MYY65538 NIU65491:NIU65538 NSQ65491:NSQ65538 OCM65491:OCM65538 OMI65491:OMI65538 OWE65491:OWE65538 PGA65491:PGA65538 PPW65491:PPW65538 PZS65491:PZS65538 QJO65491:QJO65538 QTK65491:QTK65538 RDG65491:RDG65538 RNC65491:RNC65538 RWY65491:RWY65538 SGU65491:SGU65538 SQQ65491:SQQ65538 TAM65491:TAM65538 TKI65491:TKI65538 TUE65491:TUE65538 UEA65491:UEA65538 UNW65491:UNW65538 UXS65491:UXS65538 VHO65491:VHO65538 VRK65491:VRK65538 WBG65491:WBG65538 WLC65491:WLC65538 WUY65491:WUY65538 B131027:B131074 IM131027:IM131074 SI131027:SI131074 ACE131027:ACE131074 AMA131027:AMA131074 AVW131027:AVW131074 BFS131027:BFS131074 BPO131027:BPO131074 BZK131027:BZK131074 CJG131027:CJG131074 CTC131027:CTC131074 DCY131027:DCY131074 DMU131027:DMU131074 DWQ131027:DWQ131074 EGM131027:EGM131074 EQI131027:EQI131074 FAE131027:FAE131074 FKA131027:FKA131074 FTW131027:FTW131074 GDS131027:GDS131074 GNO131027:GNO131074 GXK131027:GXK131074 HHG131027:HHG131074 HRC131027:HRC131074 IAY131027:IAY131074 IKU131027:IKU131074 IUQ131027:IUQ131074 JEM131027:JEM131074 JOI131027:JOI131074 JYE131027:JYE131074 KIA131027:KIA131074 KRW131027:KRW131074 LBS131027:LBS131074 LLO131027:LLO131074 LVK131027:LVK131074 MFG131027:MFG131074 MPC131027:MPC131074 MYY131027:MYY131074 NIU131027:NIU131074 NSQ131027:NSQ131074 OCM131027:OCM131074 OMI131027:OMI131074 OWE131027:OWE131074 PGA131027:PGA131074 PPW131027:PPW131074 PZS131027:PZS131074 QJO131027:QJO131074 QTK131027:QTK131074 RDG131027:RDG131074 RNC131027:RNC131074 RWY131027:RWY131074 SGU131027:SGU131074 SQQ131027:SQQ131074 TAM131027:TAM131074 TKI131027:TKI131074 TUE131027:TUE131074 UEA131027:UEA131074 UNW131027:UNW131074 UXS131027:UXS131074 VHO131027:VHO131074 VRK131027:VRK131074 WBG131027:WBG131074 WLC131027:WLC131074 WUY131027:WUY131074 B196563:B196610 IM196563:IM196610 SI196563:SI196610 ACE196563:ACE196610 AMA196563:AMA196610 AVW196563:AVW196610 BFS196563:BFS196610 BPO196563:BPO196610 BZK196563:BZK196610 CJG196563:CJG196610 CTC196563:CTC196610 DCY196563:DCY196610 DMU196563:DMU196610 DWQ196563:DWQ196610 EGM196563:EGM196610 EQI196563:EQI196610 FAE196563:FAE196610 FKA196563:FKA196610 FTW196563:FTW196610 GDS196563:GDS196610 GNO196563:GNO196610 GXK196563:GXK196610 HHG196563:HHG196610 HRC196563:HRC196610 IAY196563:IAY196610 IKU196563:IKU196610 IUQ196563:IUQ196610 JEM196563:JEM196610 JOI196563:JOI196610 JYE196563:JYE196610 KIA196563:KIA196610 KRW196563:KRW196610 LBS196563:LBS196610 LLO196563:LLO196610 LVK196563:LVK196610 MFG196563:MFG196610 MPC196563:MPC196610 MYY196563:MYY196610 NIU196563:NIU196610 NSQ196563:NSQ196610 OCM196563:OCM196610 OMI196563:OMI196610 OWE196563:OWE196610 PGA196563:PGA196610 PPW196563:PPW196610 PZS196563:PZS196610 QJO196563:QJO196610 QTK196563:QTK196610 RDG196563:RDG196610 RNC196563:RNC196610 RWY196563:RWY196610 SGU196563:SGU196610 SQQ196563:SQQ196610 TAM196563:TAM196610 TKI196563:TKI196610 TUE196563:TUE196610 UEA196563:UEA196610 UNW196563:UNW196610 UXS196563:UXS196610 VHO196563:VHO196610 VRK196563:VRK196610 WBG196563:WBG196610 WLC196563:WLC196610 WUY196563:WUY196610 B262099:B262146 IM262099:IM262146 SI262099:SI262146 ACE262099:ACE262146 AMA262099:AMA262146 AVW262099:AVW262146 BFS262099:BFS262146 BPO262099:BPO262146 BZK262099:BZK262146 CJG262099:CJG262146 CTC262099:CTC262146 DCY262099:DCY262146 DMU262099:DMU262146 DWQ262099:DWQ262146 EGM262099:EGM262146 EQI262099:EQI262146 FAE262099:FAE262146 FKA262099:FKA262146 FTW262099:FTW262146 GDS262099:GDS262146 GNO262099:GNO262146 GXK262099:GXK262146 HHG262099:HHG262146 HRC262099:HRC262146 IAY262099:IAY262146 IKU262099:IKU262146 IUQ262099:IUQ262146 JEM262099:JEM262146 JOI262099:JOI262146 JYE262099:JYE262146 KIA262099:KIA262146 KRW262099:KRW262146 LBS262099:LBS262146 LLO262099:LLO262146 LVK262099:LVK262146 MFG262099:MFG262146 MPC262099:MPC262146 MYY262099:MYY262146 NIU262099:NIU262146 NSQ262099:NSQ262146 OCM262099:OCM262146 OMI262099:OMI262146 OWE262099:OWE262146 PGA262099:PGA262146 PPW262099:PPW262146 PZS262099:PZS262146 QJO262099:QJO262146 QTK262099:QTK262146 RDG262099:RDG262146 RNC262099:RNC262146 RWY262099:RWY262146 SGU262099:SGU262146 SQQ262099:SQQ262146 TAM262099:TAM262146 TKI262099:TKI262146 TUE262099:TUE262146 UEA262099:UEA262146 UNW262099:UNW262146 UXS262099:UXS262146 VHO262099:VHO262146 VRK262099:VRK262146 WBG262099:WBG262146 WLC262099:WLC262146 WUY262099:WUY262146 B327635:B327682 IM327635:IM327682 SI327635:SI327682 ACE327635:ACE327682 AMA327635:AMA327682 AVW327635:AVW327682 BFS327635:BFS327682 BPO327635:BPO327682 BZK327635:BZK327682 CJG327635:CJG327682 CTC327635:CTC327682 DCY327635:DCY327682 DMU327635:DMU327682 DWQ327635:DWQ327682 EGM327635:EGM327682 EQI327635:EQI327682 FAE327635:FAE327682 FKA327635:FKA327682 FTW327635:FTW327682 GDS327635:GDS327682 GNO327635:GNO327682 GXK327635:GXK327682 HHG327635:HHG327682 HRC327635:HRC327682 IAY327635:IAY327682 IKU327635:IKU327682 IUQ327635:IUQ327682 JEM327635:JEM327682 JOI327635:JOI327682 JYE327635:JYE327682 KIA327635:KIA327682 KRW327635:KRW327682 LBS327635:LBS327682 LLO327635:LLO327682 LVK327635:LVK327682 MFG327635:MFG327682 MPC327635:MPC327682 MYY327635:MYY327682 NIU327635:NIU327682 NSQ327635:NSQ327682 OCM327635:OCM327682 OMI327635:OMI327682 OWE327635:OWE327682 PGA327635:PGA327682 PPW327635:PPW327682 PZS327635:PZS327682 QJO327635:QJO327682 QTK327635:QTK327682 RDG327635:RDG327682 RNC327635:RNC327682 RWY327635:RWY327682 SGU327635:SGU327682 SQQ327635:SQQ327682 TAM327635:TAM327682 TKI327635:TKI327682 TUE327635:TUE327682 UEA327635:UEA327682 UNW327635:UNW327682 UXS327635:UXS327682 VHO327635:VHO327682 VRK327635:VRK327682 WBG327635:WBG327682 WLC327635:WLC327682 WUY327635:WUY327682 B393171:B393218 IM393171:IM393218 SI393171:SI393218 ACE393171:ACE393218 AMA393171:AMA393218 AVW393171:AVW393218 BFS393171:BFS393218 BPO393171:BPO393218 BZK393171:BZK393218 CJG393171:CJG393218 CTC393171:CTC393218 DCY393171:DCY393218 DMU393171:DMU393218 DWQ393171:DWQ393218 EGM393171:EGM393218 EQI393171:EQI393218 FAE393171:FAE393218 FKA393171:FKA393218 FTW393171:FTW393218 GDS393171:GDS393218 GNO393171:GNO393218 GXK393171:GXK393218 HHG393171:HHG393218 HRC393171:HRC393218 IAY393171:IAY393218 IKU393171:IKU393218 IUQ393171:IUQ393218 JEM393171:JEM393218 JOI393171:JOI393218 JYE393171:JYE393218 KIA393171:KIA393218 KRW393171:KRW393218 LBS393171:LBS393218 LLO393171:LLO393218 LVK393171:LVK393218 MFG393171:MFG393218 MPC393171:MPC393218 MYY393171:MYY393218 NIU393171:NIU393218 NSQ393171:NSQ393218 OCM393171:OCM393218 OMI393171:OMI393218 OWE393171:OWE393218 PGA393171:PGA393218 PPW393171:PPW393218 PZS393171:PZS393218 QJO393171:QJO393218 QTK393171:QTK393218 RDG393171:RDG393218 RNC393171:RNC393218 RWY393171:RWY393218 SGU393171:SGU393218 SQQ393171:SQQ393218 TAM393171:TAM393218 TKI393171:TKI393218 TUE393171:TUE393218 UEA393171:UEA393218 UNW393171:UNW393218 UXS393171:UXS393218 VHO393171:VHO393218 VRK393171:VRK393218 WBG393171:WBG393218 WLC393171:WLC393218 WUY393171:WUY393218 B458707:B458754 IM458707:IM458754 SI458707:SI458754 ACE458707:ACE458754 AMA458707:AMA458754 AVW458707:AVW458754 BFS458707:BFS458754 BPO458707:BPO458754 BZK458707:BZK458754 CJG458707:CJG458754 CTC458707:CTC458754 DCY458707:DCY458754 DMU458707:DMU458754 DWQ458707:DWQ458754 EGM458707:EGM458754 EQI458707:EQI458754 FAE458707:FAE458754 FKA458707:FKA458754 FTW458707:FTW458754 GDS458707:GDS458754 GNO458707:GNO458754 GXK458707:GXK458754 HHG458707:HHG458754 HRC458707:HRC458754 IAY458707:IAY458754 IKU458707:IKU458754 IUQ458707:IUQ458754 JEM458707:JEM458754 JOI458707:JOI458754 JYE458707:JYE458754 KIA458707:KIA458754 KRW458707:KRW458754 LBS458707:LBS458754 LLO458707:LLO458754 LVK458707:LVK458754 MFG458707:MFG458754 MPC458707:MPC458754 MYY458707:MYY458754 NIU458707:NIU458754 NSQ458707:NSQ458754 OCM458707:OCM458754 OMI458707:OMI458754 OWE458707:OWE458754 PGA458707:PGA458754 PPW458707:PPW458754 PZS458707:PZS458754 QJO458707:QJO458754 QTK458707:QTK458754 RDG458707:RDG458754 RNC458707:RNC458754 RWY458707:RWY458754 SGU458707:SGU458754 SQQ458707:SQQ458754 TAM458707:TAM458754 TKI458707:TKI458754 TUE458707:TUE458754 UEA458707:UEA458754 UNW458707:UNW458754 UXS458707:UXS458754 VHO458707:VHO458754 VRK458707:VRK458754 WBG458707:WBG458754 WLC458707:WLC458754 WUY458707:WUY458754 B524243:B524290 IM524243:IM524290 SI524243:SI524290 ACE524243:ACE524290 AMA524243:AMA524290 AVW524243:AVW524290 BFS524243:BFS524290 BPO524243:BPO524290 BZK524243:BZK524290 CJG524243:CJG524290 CTC524243:CTC524290 DCY524243:DCY524290 DMU524243:DMU524290 DWQ524243:DWQ524290 EGM524243:EGM524290 EQI524243:EQI524290 FAE524243:FAE524290 FKA524243:FKA524290 FTW524243:FTW524290 GDS524243:GDS524290 GNO524243:GNO524290 GXK524243:GXK524290 HHG524243:HHG524290 HRC524243:HRC524290 IAY524243:IAY524290 IKU524243:IKU524290 IUQ524243:IUQ524290 JEM524243:JEM524290 JOI524243:JOI524290 JYE524243:JYE524290 KIA524243:KIA524290 KRW524243:KRW524290 LBS524243:LBS524290 LLO524243:LLO524290 LVK524243:LVK524290 MFG524243:MFG524290 MPC524243:MPC524290 MYY524243:MYY524290 NIU524243:NIU524290 NSQ524243:NSQ524290 OCM524243:OCM524290 OMI524243:OMI524290 OWE524243:OWE524290 PGA524243:PGA524290 PPW524243:PPW524290 PZS524243:PZS524290 QJO524243:QJO524290 QTK524243:QTK524290 RDG524243:RDG524290 RNC524243:RNC524290 RWY524243:RWY524290 SGU524243:SGU524290 SQQ524243:SQQ524290 TAM524243:TAM524290 TKI524243:TKI524290 TUE524243:TUE524290 UEA524243:UEA524290 UNW524243:UNW524290 UXS524243:UXS524290 VHO524243:VHO524290 VRK524243:VRK524290 WBG524243:WBG524290 WLC524243:WLC524290 WUY524243:WUY524290 B589779:B589826 IM589779:IM589826 SI589779:SI589826 ACE589779:ACE589826 AMA589779:AMA589826 AVW589779:AVW589826 BFS589779:BFS589826 BPO589779:BPO589826 BZK589779:BZK589826 CJG589779:CJG589826 CTC589779:CTC589826 DCY589779:DCY589826 DMU589779:DMU589826 DWQ589779:DWQ589826 EGM589779:EGM589826 EQI589779:EQI589826 FAE589779:FAE589826 FKA589779:FKA589826 FTW589779:FTW589826 GDS589779:GDS589826 GNO589779:GNO589826 GXK589779:GXK589826 HHG589779:HHG589826 HRC589779:HRC589826 IAY589779:IAY589826 IKU589779:IKU589826 IUQ589779:IUQ589826 JEM589779:JEM589826 JOI589779:JOI589826 JYE589779:JYE589826 KIA589779:KIA589826 KRW589779:KRW589826 LBS589779:LBS589826 LLO589779:LLO589826 LVK589779:LVK589826 MFG589779:MFG589826 MPC589779:MPC589826 MYY589779:MYY589826 NIU589779:NIU589826 NSQ589779:NSQ589826 OCM589779:OCM589826 OMI589779:OMI589826 OWE589779:OWE589826 PGA589779:PGA589826 PPW589779:PPW589826 PZS589779:PZS589826 QJO589779:QJO589826 QTK589779:QTK589826 RDG589779:RDG589826 RNC589779:RNC589826 RWY589779:RWY589826 SGU589779:SGU589826 SQQ589779:SQQ589826 TAM589779:TAM589826 TKI589779:TKI589826 TUE589779:TUE589826 UEA589779:UEA589826 UNW589779:UNW589826 UXS589779:UXS589826 VHO589779:VHO589826 VRK589779:VRK589826 WBG589779:WBG589826 WLC589779:WLC589826 WUY589779:WUY589826 B655315:B655362 IM655315:IM655362 SI655315:SI655362 ACE655315:ACE655362 AMA655315:AMA655362 AVW655315:AVW655362 BFS655315:BFS655362 BPO655315:BPO655362 BZK655315:BZK655362 CJG655315:CJG655362 CTC655315:CTC655362 DCY655315:DCY655362 DMU655315:DMU655362 DWQ655315:DWQ655362 EGM655315:EGM655362 EQI655315:EQI655362 FAE655315:FAE655362 FKA655315:FKA655362 FTW655315:FTW655362 GDS655315:GDS655362 GNO655315:GNO655362 GXK655315:GXK655362 HHG655315:HHG655362 HRC655315:HRC655362 IAY655315:IAY655362 IKU655315:IKU655362 IUQ655315:IUQ655362 JEM655315:JEM655362 JOI655315:JOI655362 JYE655315:JYE655362 KIA655315:KIA655362 KRW655315:KRW655362 LBS655315:LBS655362 LLO655315:LLO655362 LVK655315:LVK655362 MFG655315:MFG655362 MPC655315:MPC655362 MYY655315:MYY655362 NIU655315:NIU655362 NSQ655315:NSQ655362 OCM655315:OCM655362 OMI655315:OMI655362 OWE655315:OWE655362 PGA655315:PGA655362 PPW655315:PPW655362 PZS655315:PZS655362 QJO655315:QJO655362 QTK655315:QTK655362 RDG655315:RDG655362 RNC655315:RNC655362 RWY655315:RWY655362 SGU655315:SGU655362 SQQ655315:SQQ655362 TAM655315:TAM655362 TKI655315:TKI655362 TUE655315:TUE655362 UEA655315:UEA655362 UNW655315:UNW655362 UXS655315:UXS655362 VHO655315:VHO655362 VRK655315:VRK655362 WBG655315:WBG655362 WLC655315:WLC655362 WUY655315:WUY655362 B720851:B720898 IM720851:IM720898 SI720851:SI720898 ACE720851:ACE720898 AMA720851:AMA720898 AVW720851:AVW720898 BFS720851:BFS720898 BPO720851:BPO720898 BZK720851:BZK720898 CJG720851:CJG720898 CTC720851:CTC720898 DCY720851:DCY720898 DMU720851:DMU720898 DWQ720851:DWQ720898 EGM720851:EGM720898 EQI720851:EQI720898 FAE720851:FAE720898 FKA720851:FKA720898 FTW720851:FTW720898 GDS720851:GDS720898 GNO720851:GNO720898 GXK720851:GXK720898 HHG720851:HHG720898 HRC720851:HRC720898 IAY720851:IAY720898 IKU720851:IKU720898 IUQ720851:IUQ720898 JEM720851:JEM720898 JOI720851:JOI720898 JYE720851:JYE720898 KIA720851:KIA720898 KRW720851:KRW720898 LBS720851:LBS720898 LLO720851:LLO720898 LVK720851:LVK720898 MFG720851:MFG720898 MPC720851:MPC720898 MYY720851:MYY720898 NIU720851:NIU720898 NSQ720851:NSQ720898 OCM720851:OCM720898 OMI720851:OMI720898 OWE720851:OWE720898 PGA720851:PGA720898 PPW720851:PPW720898 PZS720851:PZS720898 QJO720851:QJO720898 QTK720851:QTK720898 RDG720851:RDG720898 RNC720851:RNC720898 RWY720851:RWY720898 SGU720851:SGU720898 SQQ720851:SQQ720898 TAM720851:TAM720898 TKI720851:TKI720898 TUE720851:TUE720898 UEA720851:UEA720898 UNW720851:UNW720898 UXS720851:UXS720898 VHO720851:VHO720898 VRK720851:VRK720898 WBG720851:WBG720898 WLC720851:WLC720898 WUY720851:WUY720898 B786387:B786434 IM786387:IM786434 SI786387:SI786434 ACE786387:ACE786434 AMA786387:AMA786434 AVW786387:AVW786434 BFS786387:BFS786434 BPO786387:BPO786434 BZK786387:BZK786434 CJG786387:CJG786434 CTC786387:CTC786434 DCY786387:DCY786434 DMU786387:DMU786434 DWQ786387:DWQ786434 EGM786387:EGM786434 EQI786387:EQI786434 FAE786387:FAE786434 FKA786387:FKA786434 FTW786387:FTW786434 GDS786387:GDS786434 GNO786387:GNO786434 GXK786387:GXK786434 HHG786387:HHG786434 HRC786387:HRC786434 IAY786387:IAY786434 IKU786387:IKU786434 IUQ786387:IUQ786434 JEM786387:JEM786434 JOI786387:JOI786434 JYE786387:JYE786434 KIA786387:KIA786434 KRW786387:KRW786434 LBS786387:LBS786434 LLO786387:LLO786434 LVK786387:LVK786434 MFG786387:MFG786434 MPC786387:MPC786434 MYY786387:MYY786434 NIU786387:NIU786434 NSQ786387:NSQ786434 OCM786387:OCM786434 OMI786387:OMI786434 OWE786387:OWE786434 PGA786387:PGA786434 PPW786387:PPW786434 PZS786387:PZS786434 QJO786387:QJO786434 QTK786387:QTK786434 RDG786387:RDG786434 RNC786387:RNC786434 RWY786387:RWY786434 SGU786387:SGU786434 SQQ786387:SQQ786434 TAM786387:TAM786434 TKI786387:TKI786434 TUE786387:TUE786434 UEA786387:UEA786434 UNW786387:UNW786434 UXS786387:UXS786434 VHO786387:VHO786434 VRK786387:VRK786434 WBG786387:WBG786434 WLC786387:WLC786434 WUY786387:WUY786434 B851923:B851970 IM851923:IM851970 SI851923:SI851970 ACE851923:ACE851970 AMA851923:AMA851970 AVW851923:AVW851970 BFS851923:BFS851970 BPO851923:BPO851970 BZK851923:BZK851970 CJG851923:CJG851970 CTC851923:CTC851970 DCY851923:DCY851970 DMU851923:DMU851970 DWQ851923:DWQ851970 EGM851923:EGM851970 EQI851923:EQI851970 FAE851923:FAE851970 FKA851923:FKA851970 FTW851923:FTW851970 GDS851923:GDS851970 GNO851923:GNO851970 GXK851923:GXK851970 HHG851923:HHG851970 HRC851923:HRC851970 IAY851923:IAY851970 IKU851923:IKU851970 IUQ851923:IUQ851970 JEM851923:JEM851970 JOI851923:JOI851970 JYE851923:JYE851970 KIA851923:KIA851970 KRW851923:KRW851970 LBS851923:LBS851970 LLO851923:LLO851970 LVK851923:LVK851970 MFG851923:MFG851970 MPC851923:MPC851970 MYY851923:MYY851970 NIU851923:NIU851970 NSQ851923:NSQ851970 OCM851923:OCM851970 OMI851923:OMI851970 OWE851923:OWE851970 PGA851923:PGA851970 PPW851923:PPW851970 PZS851923:PZS851970 QJO851923:QJO851970 QTK851923:QTK851970 RDG851923:RDG851970 RNC851923:RNC851970 RWY851923:RWY851970 SGU851923:SGU851970 SQQ851923:SQQ851970 TAM851923:TAM851970 TKI851923:TKI851970 TUE851923:TUE851970 UEA851923:UEA851970 UNW851923:UNW851970 UXS851923:UXS851970 VHO851923:VHO851970 VRK851923:VRK851970 WBG851923:WBG851970 WLC851923:WLC851970 WUY851923:WUY851970 B917459:B917506 IM917459:IM917506 SI917459:SI917506 ACE917459:ACE917506 AMA917459:AMA917506 AVW917459:AVW917506 BFS917459:BFS917506 BPO917459:BPO917506 BZK917459:BZK917506 CJG917459:CJG917506 CTC917459:CTC917506 DCY917459:DCY917506 DMU917459:DMU917506 DWQ917459:DWQ917506 EGM917459:EGM917506 EQI917459:EQI917506 FAE917459:FAE917506 FKA917459:FKA917506 FTW917459:FTW917506 GDS917459:GDS917506 GNO917459:GNO917506 GXK917459:GXK917506 HHG917459:HHG917506 HRC917459:HRC917506 IAY917459:IAY917506 IKU917459:IKU917506 IUQ917459:IUQ917506 JEM917459:JEM917506 JOI917459:JOI917506 JYE917459:JYE917506 KIA917459:KIA917506 KRW917459:KRW917506 LBS917459:LBS917506 LLO917459:LLO917506 LVK917459:LVK917506 MFG917459:MFG917506 MPC917459:MPC917506 MYY917459:MYY917506 NIU917459:NIU917506 NSQ917459:NSQ917506 OCM917459:OCM917506 OMI917459:OMI917506 OWE917459:OWE917506 PGA917459:PGA917506 PPW917459:PPW917506 PZS917459:PZS917506 QJO917459:QJO917506 QTK917459:QTK917506 RDG917459:RDG917506 RNC917459:RNC917506 RWY917459:RWY917506 SGU917459:SGU917506 SQQ917459:SQQ917506 TAM917459:TAM917506 TKI917459:TKI917506 TUE917459:TUE917506 UEA917459:UEA917506 UNW917459:UNW917506 UXS917459:UXS917506 VHO917459:VHO917506 VRK917459:VRK917506 WBG917459:WBG917506 WLC917459:WLC917506 WUY917459:WUY917506 B982995:B983042 IM982995:IM983042 SI982995:SI983042 ACE982995:ACE983042 AMA982995:AMA983042 AVW982995:AVW983042 BFS982995:BFS983042 BPO982995:BPO983042 BZK982995:BZK983042 CJG982995:CJG983042 CTC982995:CTC983042 DCY982995:DCY983042 DMU982995:DMU983042 DWQ982995:DWQ983042 EGM982995:EGM983042 EQI982995:EQI983042 FAE982995:FAE983042 FKA982995:FKA983042 FTW982995:FTW983042 GDS982995:GDS983042 GNO982995:GNO983042 GXK982995:GXK983042 HHG982995:HHG983042 HRC982995:HRC983042 IAY982995:IAY983042 IKU982995:IKU983042 IUQ982995:IUQ983042 JEM982995:JEM983042 JOI982995:JOI983042 JYE982995:JYE983042 KIA982995:KIA983042 KRW982995:KRW983042 LBS982995:LBS983042 LLO982995:LLO983042 LVK982995:LVK983042 MFG982995:MFG983042 MPC982995:MPC983042 MYY982995:MYY983042 NIU982995:NIU983042 NSQ982995:NSQ983042 OCM982995:OCM983042 OMI982995:OMI983042 OWE982995:OWE983042 PGA982995:PGA983042 PPW982995:PPW983042 PZS982995:PZS983042 QJO982995:QJO983042 QTK982995:QTK983042 RDG982995:RDG983042 RNC982995:RNC983042 RWY982995:RWY983042 SGU982995:SGU983042 SQQ982995:SQQ983042 TAM982995:TAM983042 TKI982995:TKI983042 TUE982995:TUE983042 UEA982995:UEA983042 UNW982995:UNW983042 UXS982995:UXS983042 VHO982995:VHO983042 VRK982995:VRK983042 WBG982995:WBG983042">
      <formula1>OFFSET(ListeRegions,68,MATCH($K$2,ListePays,0)-1,COUNTA(OFFSET(ListeRegions,,MATCH($K$2,ListePays,0)-1))-1)</formula1>
    </dataValidation>
    <dataValidation type="list" allowBlank="1" showInputMessage="1" showErrorMessage="1" sqref="WUZ982995:WUZ983042 WBH982995:WBH983042 VRL982995:VRL983042 VHP982995:VHP983042 UXT982995:UXT983042 UNX982995:UNX983042 UEB982995:UEB983042 TUF982995:TUF983042 TKJ982995:TKJ983042 TAN982995:TAN983042 SQR982995:SQR983042 SGV982995:SGV983042 RWZ982995:RWZ983042 RND982995:RND983042 RDH982995:RDH983042 QTL982995:QTL983042 QJP982995:QJP983042 PZT982995:PZT983042 PPX982995:PPX983042 PGB982995:PGB983042 OWF982995:OWF983042 OMJ982995:OMJ983042 OCN982995:OCN983042 NSR982995:NSR983042 NIV982995:NIV983042 MYZ982995:MYZ983042 MPD982995:MPD983042 MFH982995:MFH983042 LVL982995:LVL983042 LLP982995:LLP983042 LBT982995:LBT983042 KRX982995:KRX983042 KIB982995:KIB983042 JYF982995:JYF983042 JOJ982995:JOJ983042 JEN982995:JEN983042 IUR982995:IUR983042 IKV982995:IKV983042 IAZ982995:IAZ983042 HRD982995:HRD983042 HHH982995:HHH983042 GXL982995:GXL983042 GNP982995:GNP983042 GDT982995:GDT983042 FTX982995:FTX983042 FKB982995:FKB983042 FAF982995:FAF983042 EQJ982995:EQJ983042 EGN982995:EGN983042 DWR982995:DWR983042 DMV982995:DMV983042 DCZ982995:DCZ983042 CTD982995:CTD983042 CJH982995:CJH983042 BZL982995:BZL983042 BPP982995:BPP983042 BFT982995:BFT983042 AVX982995:AVX983042 AMB982995:AMB983042 ACF982995:ACF983042 SJ982995:SJ983042 IN982995:IN983042 C982995:C983042 WUZ917459:WUZ917506 WLD917459:WLD917506 WBH917459:WBH917506 VRL917459:VRL917506 VHP917459:VHP917506 UXT917459:UXT917506 UNX917459:UNX917506 UEB917459:UEB917506 TUF917459:TUF917506 TKJ917459:TKJ917506 TAN917459:TAN917506 SQR917459:SQR917506 SGV917459:SGV917506 RWZ917459:RWZ917506 RND917459:RND917506 RDH917459:RDH917506 QTL917459:QTL917506 QJP917459:QJP917506 PZT917459:PZT917506 PPX917459:PPX917506 PGB917459:PGB917506 OWF917459:OWF917506 OMJ917459:OMJ917506 OCN917459:OCN917506 NSR917459:NSR917506 NIV917459:NIV917506 MYZ917459:MYZ917506 MPD917459:MPD917506 MFH917459:MFH917506 LVL917459:LVL917506 LLP917459:LLP917506 LBT917459:LBT917506 KRX917459:KRX917506 KIB917459:KIB917506 JYF917459:JYF917506 JOJ917459:JOJ917506 JEN917459:JEN917506 IUR917459:IUR917506 IKV917459:IKV917506 IAZ917459:IAZ917506 HRD917459:HRD917506 HHH917459:HHH917506 GXL917459:GXL917506 GNP917459:GNP917506 GDT917459:GDT917506 FTX917459:FTX917506 FKB917459:FKB917506 FAF917459:FAF917506 EQJ917459:EQJ917506 EGN917459:EGN917506 DWR917459:DWR917506 DMV917459:DMV917506 DCZ917459:DCZ917506 CTD917459:CTD917506 CJH917459:CJH917506 BZL917459:BZL917506 BPP917459:BPP917506 BFT917459:BFT917506 AVX917459:AVX917506 AMB917459:AMB917506 ACF917459:ACF917506 SJ917459:SJ917506 IN917459:IN917506 C917459:C917506 WUZ851923:WUZ851970 WLD851923:WLD851970 WBH851923:WBH851970 VRL851923:VRL851970 VHP851923:VHP851970 UXT851923:UXT851970 UNX851923:UNX851970 UEB851923:UEB851970 TUF851923:TUF851970 TKJ851923:TKJ851970 TAN851923:TAN851970 SQR851923:SQR851970 SGV851923:SGV851970 RWZ851923:RWZ851970 RND851923:RND851970 RDH851923:RDH851970 QTL851923:QTL851970 QJP851923:QJP851970 PZT851923:PZT851970 PPX851923:PPX851970 PGB851923:PGB851970 OWF851923:OWF851970 OMJ851923:OMJ851970 OCN851923:OCN851970 NSR851923:NSR851970 NIV851923:NIV851970 MYZ851923:MYZ851970 MPD851923:MPD851970 MFH851923:MFH851970 LVL851923:LVL851970 LLP851923:LLP851970 LBT851923:LBT851970 KRX851923:KRX851970 KIB851923:KIB851970 JYF851923:JYF851970 JOJ851923:JOJ851970 JEN851923:JEN851970 IUR851923:IUR851970 IKV851923:IKV851970 IAZ851923:IAZ851970 HRD851923:HRD851970 HHH851923:HHH851970 GXL851923:GXL851970 GNP851923:GNP851970 GDT851923:GDT851970 FTX851923:FTX851970 FKB851923:FKB851970 FAF851923:FAF851970 EQJ851923:EQJ851970 EGN851923:EGN851970 DWR851923:DWR851970 DMV851923:DMV851970 DCZ851923:DCZ851970 CTD851923:CTD851970 CJH851923:CJH851970 BZL851923:BZL851970 BPP851923:BPP851970 BFT851923:BFT851970 AVX851923:AVX851970 AMB851923:AMB851970 ACF851923:ACF851970 SJ851923:SJ851970 IN851923:IN851970 C851923:C851970 WUZ786387:WUZ786434 WLD786387:WLD786434 WBH786387:WBH786434 VRL786387:VRL786434 VHP786387:VHP786434 UXT786387:UXT786434 UNX786387:UNX786434 UEB786387:UEB786434 TUF786387:TUF786434 TKJ786387:TKJ786434 TAN786387:TAN786434 SQR786387:SQR786434 SGV786387:SGV786434 RWZ786387:RWZ786434 RND786387:RND786434 RDH786387:RDH786434 QTL786387:QTL786434 QJP786387:QJP786434 PZT786387:PZT786434 PPX786387:PPX786434 PGB786387:PGB786434 OWF786387:OWF786434 OMJ786387:OMJ786434 OCN786387:OCN786434 NSR786387:NSR786434 NIV786387:NIV786434 MYZ786387:MYZ786434 MPD786387:MPD786434 MFH786387:MFH786434 LVL786387:LVL786434 LLP786387:LLP786434 LBT786387:LBT786434 KRX786387:KRX786434 KIB786387:KIB786434 JYF786387:JYF786434 JOJ786387:JOJ786434 JEN786387:JEN786434 IUR786387:IUR786434 IKV786387:IKV786434 IAZ786387:IAZ786434 HRD786387:HRD786434 HHH786387:HHH786434 GXL786387:GXL786434 GNP786387:GNP786434 GDT786387:GDT786434 FTX786387:FTX786434 FKB786387:FKB786434 FAF786387:FAF786434 EQJ786387:EQJ786434 EGN786387:EGN786434 DWR786387:DWR786434 DMV786387:DMV786434 DCZ786387:DCZ786434 CTD786387:CTD786434 CJH786387:CJH786434 BZL786387:BZL786434 BPP786387:BPP786434 BFT786387:BFT786434 AVX786387:AVX786434 AMB786387:AMB786434 ACF786387:ACF786434 SJ786387:SJ786434 IN786387:IN786434 C786387:C786434 WUZ720851:WUZ720898 WLD720851:WLD720898 WBH720851:WBH720898 VRL720851:VRL720898 VHP720851:VHP720898 UXT720851:UXT720898 UNX720851:UNX720898 UEB720851:UEB720898 TUF720851:TUF720898 TKJ720851:TKJ720898 TAN720851:TAN720898 SQR720851:SQR720898 SGV720851:SGV720898 RWZ720851:RWZ720898 RND720851:RND720898 RDH720851:RDH720898 QTL720851:QTL720898 QJP720851:QJP720898 PZT720851:PZT720898 PPX720851:PPX720898 PGB720851:PGB720898 OWF720851:OWF720898 OMJ720851:OMJ720898 OCN720851:OCN720898 NSR720851:NSR720898 NIV720851:NIV720898 MYZ720851:MYZ720898 MPD720851:MPD720898 MFH720851:MFH720898 LVL720851:LVL720898 LLP720851:LLP720898 LBT720851:LBT720898 KRX720851:KRX720898 KIB720851:KIB720898 JYF720851:JYF720898 JOJ720851:JOJ720898 JEN720851:JEN720898 IUR720851:IUR720898 IKV720851:IKV720898 IAZ720851:IAZ720898 HRD720851:HRD720898 HHH720851:HHH720898 GXL720851:GXL720898 GNP720851:GNP720898 GDT720851:GDT720898 FTX720851:FTX720898 FKB720851:FKB720898 FAF720851:FAF720898 EQJ720851:EQJ720898 EGN720851:EGN720898 DWR720851:DWR720898 DMV720851:DMV720898 DCZ720851:DCZ720898 CTD720851:CTD720898 CJH720851:CJH720898 BZL720851:BZL720898 BPP720851:BPP720898 BFT720851:BFT720898 AVX720851:AVX720898 AMB720851:AMB720898 ACF720851:ACF720898 SJ720851:SJ720898 IN720851:IN720898 C720851:C720898 WUZ655315:WUZ655362 WLD655315:WLD655362 WBH655315:WBH655362 VRL655315:VRL655362 VHP655315:VHP655362 UXT655315:UXT655362 UNX655315:UNX655362 UEB655315:UEB655362 TUF655315:TUF655362 TKJ655315:TKJ655362 TAN655315:TAN655362 SQR655315:SQR655362 SGV655315:SGV655362 RWZ655315:RWZ655362 RND655315:RND655362 RDH655315:RDH655362 QTL655315:QTL655362 QJP655315:QJP655362 PZT655315:PZT655362 PPX655315:PPX655362 PGB655315:PGB655362 OWF655315:OWF655362 OMJ655315:OMJ655362 OCN655315:OCN655362 NSR655315:NSR655362 NIV655315:NIV655362 MYZ655315:MYZ655362 MPD655315:MPD655362 MFH655315:MFH655362 LVL655315:LVL655362 LLP655315:LLP655362 LBT655315:LBT655362 KRX655315:KRX655362 KIB655315:KIB655362 JYF655315:JYF655362 JOJ655315:JOJ655362 JEN655315:JEN655362 IUR655315:IUR655362 IKV655315:IKV655362 IAZ655315:IAZ655362 HRD655315:HRD655362 HHH655315:HHH655362 GXL655315:GXL655362 GNP655315:GNP655362 GDT655315:GDT655362 FTX655315:FTX655362 FKB655315:FKB655362 FAF655315:FAF655362 EQJ655315:EQJ655362 EGN655315:EGN655362 DWR655315:DWR655362 DMV655315:DMV655362 DCZ655315:DCZ655362 CTD655315:CTD655362 CJH655315:CJH655362 BZL655315:BZL655362 BPP655315:BPP655362 BFT655315:BFT655362 AVX655315:AVX655362 AMB655315:AMB655362 ACF655315:ACF655362 SJ655315:SJ655362 IN655315:IN655362 C655315:C655362 WUZ589779:WUZ589826 WLD589779:WLD589826 WBH589779:WBH589826 VRL589779:VRL589826 VHP589779:VHP589826 UXT589779:UXT589826 UNX589779:UNX589826 UEB589779:UEB589826 TUF589779:TUF589826 TKJ589779:TKJ589826 TAN589779:TAN589826 SQR589779:SQR589826 SGV589779:SGV589826 RWZ589779:RWZ589826 RND589779:RND589826 RDH589779:RDH589826 QTL589779:QTL589826 QJP589779:QJP589826 PZT589779:PZT589826 PPX589779:PPX589826 PGB589779:PGB589826 OWF589779:OWF589826 OMJ589779:OMJ589826 OCN589779:OCN589826 NSR589779:NSR589826 NIV589779:NIV589826 MYZ589779:MYZ589826 MPD589779:MPD589826 MFH589779:MFH589826 LVL589779:LVL589826 LLP589779:LLP589826 LBT589779:LBT589826 KRX589779:KRX589826 KIB589779:KIB589826 JYF589779:JYF589826 JOJ589779:JOJ589826 JEN589779:JEN589826 IUR589779:IUR589826 IKV589779:IKV589826 IAZ589779:IAZ589826 HRD589779:HRD589826 HHH589779:HHH589826 GXL589779:GXL589826 GNP589779:GNP589826 GDT589779:GDT589826 FTX589779:FTX589826 FKB589779:FKB589826 FAF589779:FAF589826 EQJ589779:EQJ589826 EGN589779:EGN589826 DWR589779:DWR589826 DMV589779:DMV589826 DCZ589779:DCZ589826 CTD589779:CTD589826 CJH589779:CJH589826 BZL589779:BZL589826 BPP589779:BPP589826 BFT589779:BFT589826 AVX589779:AVX589826 AMB589779:AMB589826 ACF589779:ACF589826 SJ589779:SJ589826 IN589779:IN589826 C589779:C589826 WUZ524243:WUZ524290 WLD524243:WLD524290 WBH524243:WBH524290 VRL524243:VRL524290 VHP524243:VHP524290 UXT524243:UXT524290 UNX524243:UNX524290 UEB524243:UEB524290 TUF524243:TUF524290 TKJ524243:TKJ524290 TAN524243:TAN524290 SQR524243:SQR524290 SGV524243:SGV524290 RWZ524243:RWZ524290 RND524243:RND524290 RDH524243:RDH524290 QTL524243:QTL524290 QJP524243:QJP524290 PZT524243:PZT524290 PPX524243:PPX524290 PGB524243:PGB524290 OWF524243:OWF524290 OMJ524243:OMJ524290 OCN524243:OCN524290 NSR524243:NSR524290 NIV524243:NIV524290 MYZ524243:MYZ524290 MPD524243:MPD524290 MFH524243:MFH524290 LVL524243:LVL524290 LLP524243:LLP524290 LBT524243:LBT524290 KRX524243:KRX524290 KIB524243:KIB524290 JYF524243:JYF524290 JOJ524243:JOJ524290 JEN524243:JEN524290 IUR524243:IUR524290 IKV524243:IKV524290 IAZ524243:IAZ524290 HRD524243:HRD524290 HHH524243:HHH524290 GXL524243:GXL524290 GNP524243:GNP524290 GDT524243:GDT524290 FTX524243:FTX524290 FKB524243:FKB524290 FAF524243:FAF524290 EQJ524243:EQJ524290 EGN524243:EGN524290 DWR524243:DWR524290 DMV524243:DMV524290 DCZ524243:DCZ524290 CTD524243:CTD524290 CJH524243:CJH524290 BZL524243:BZL524290 BPP524243:BPP524290 BFT524243:BFT524290 AVX524243:AVX524290 AMB524243:AMB524290 ACF524243:ACF524290 SJ524243:SJ524290 IN524243:IN524290 C524243:C524290 WUZ458707:WUZ458754 WLD458707:WLD458754 WBH458707:WBH458754 VRL458707:VRL458754 VHP458707:VHP458754 UXT458707:UXT458754 UNX458707:UNX458754 UEB458707:UEB458754 TUF458707:TUF458754 TKJ458707:TKJ458754 TAN458707:TAN458754 SQR458707:SQR458754 SGV458707:SGV458754 RWZ458707:RWZ458754 RND458707:RND458754 RDH458707:RDH458754 QTL458707:QTL458754 QJP458707:QJP458754 PZT458707:PZT458754 PPX458707:PPX458754 PGB458707:PGB458754 OWF458707:OWF458754 OMJ458707:OMJ458754 OCN458707:OCN458754 NSR458707:NSR458754 NIV458707:NIV458754 MYZ458707:MYZ458754 MPD458707:MPD458754 MFH458707:MFH458754 LVL458707:LVL458754 LLP458707:LLP458754 LBT458707:LBT458754 KRX458707:KRX458754 KIB458707:KIB458754 JYF458707:JYF458754 JOJ458707:JOJ458754 JEN458707:JEN458754 IUR458707:IUR458754 IKV458707:IKV458754 IAZ458707:IAZ458754 HRD458707:HRD458754 HHH458707:HHH458754 GXL458707:GXL458754 GNP458707:GNP458754 GDT458707:GDT458754 FTX458707:FTX458754 FKB458707:FKB458754 FAF458707:FAF458754 EQJ458707:EQJ458754 EGN458707:EGN458754 DWR458707:DWR458754 DMV458707:DMV458754 DCZ458707:DCZ458754 CTD458707:CTD458754 CJH458707:CJH458754 BZL458707:BZL458754 BPP458707:BPP458754 BFT458707:BFT458754 AVX458707:AVX458754 AMB458707:AMB458754 ACF458707:ACF458754 SJ458707:SJ458754 IN458707:IN458754 C458707:C458754 WUZ393171:WUZ393218 WLD393171:WLD393218 WBH393171:WBH393218 VRL393171:VRL393218 VHP393171:VHP393218 UXT393171:UXT393218 UNX393171:UNX393218 UEB393171:UEB393218 TUF393171:TUF393218 TKJ393171:TKJ393218 TAN393171:TAN393218 SQR393171:SQR393218 SGV393171:SGV393218 RWZ393171:RWZ393218 RND393171:RND393218 RDH393171:RDH393218 QTL393171:QTL393218 QJP393171:QJP393218 PZT393171:PZT393218 PPX393171:PPX393218 PGB393171:PGB393218 OWF393171:OWF393218 OMJ393171:OMJ393218 OCN393171:OCN393218 NSR393171:NSR393218 NIV393171:NIV393218 MYZ393171:MYZ393218 MPD393171:MPD393218 MFH393171:MFH393218 LVL393171:LVL393218 LLP393171:LLP393218 LBT393171:LBT393218 KRX393171:KRX393218 KIB393171:KIB393218 JYF393171:JYF393218 JOJ393171:JOJ393218 JEN393171:JEN393218 IUR393171:IUR393218 IKV393171:IKV393218 IAZ393171:IAZ393218 HRD393171:HRD393218 HHH393171:HHH393218 GXL393171:GXL393218 GNP393171:GNP393218 GDT393171:GDT393218 FTX393171:FTX393218 FKB393171:FKB393218 FAF393171:FAF393218 EQJ393171:EQJ393218 EGN393171:EGN393218 DWR393171:DWR393218 DMV393171:DMV393218 DCZ393171:DCZ393218 CTD393171:CTD393218 CJH393171:CJH393218 BZL393171:BZL393218 BPP393171:BPP393218 BFT393171:BFT393218 AVX393171:AVX393218 AMB393171:AMB393218 ACF393171:ACF393218 SJ393171:SJ393218 IN393171:IN393218 C393171:C393218 WUZ327635:WUZ327682 WLD327635:WLD327682 WBH327635:WBH327682 VRL327635:VRL327682 VHP327635:VHP327682 UXT327635:UXT327682 UNX327635:UNX327682 UEB327635:UEB327682 TUF327635:TUF327682 TKJ327635:TKJ327682 TAN327635:TAN327682 SQR327635:SQR327682 SGV327635:SGV327682 RWZ327635:RWZ327682 RND327635:RND327682 RDH327635:RDH327682 QTL327635:QTL327682 QJP327635:QJP327682 PZT327635:PZT327682 PPX327635:PPX327682 PGB327635:PGB327682 OWF327635:OWF327682 OMJ327635:OMJ327682 OCN327635:OCN327682 NSR327635:NSR327682 NIV327635:NIV327682 MYZ327635:MYZ327682 MPD327635:MPD327682 MFH327635:MFH327682 LVL327635:LVL327682 LLP327635:LLP327682 LBT327635:LBT327682 KRX327635:KRX327682 KIB327635:KIB327682 JYF327635:JYF327682 JOJ327635:JOJ327682 JEN327635:JEN327682 IUR327635:IUR327682 IKV327635:IKV327682 IAZ327635:IAZ327682 HRD327635:HRD327682 HHH327635:HHH327682 GXL327635:GXL327682 GNP327635:GNP327682 GDT327635:GDT327682 FTX327635:FTX327682 FKB327635:FKB327682 FAF327635:FAF327682 EQJ327635:EQJ327682 EGN327635:EGN327682 DWR327635:DWR327682 DMV327635:DMV327682 DCZ327635:DCZ327682 CTD327635:CTD327682 CJH327635:CJH327682 BZL327635:BZL327682 BPP327635:BPP327682 BFT327635:BFT327682 AVX327635:AVX327682 AMB327635:AMB327682 ACF327635:ACF327682 SJ327635:SJ327682 IN327635:IN327682 C327635:C327682 WUZ262099:WUZ262146 WLD262099:WLD262146 WBH262099:WBH262146 VRL262099:VRL262146 VHP262099:VHP262146 UXT262099:UXT262146 UNX262099:UNX262146 UEB262099:UEB262146 TUF262099:TUF262146 TKJ262099:TKJ262146 TAN262099:TAN262146 SQR262099:SQR262146 SGV262099:SGV262146 RWZ262099:RWZ262146 RND262099:RND262146 RDH262099:RDH262146 QTL262099:QTL262146 QJP262099:QJP262146 PZT262099:PZT262146 PPX262099:PPX262146 PGB262099:PGB262146 OWF262099:OWF262146 OMJ262099:OMJ262146 OCN262099:OCN262146 NSR262099:NSR262146 NIV262099:NIV262146 MYZ262099:MYZ262146 MPD262099:MPD262146 MFH262099:MFH262146 LVL262099:LVL262146 LLP262099:LLP262146 LBT262099:LBT262146 KRX262099:KRX262146 KIB262099:KIB262146 JYF262099:JYF262146 JOJ262099:JOJ262146 JEN262099:JEN262146 IUR262099:IUR262146 IKV262099:IKV262146 IAZ262099:IAZ262146 HRD262099:HRD262146 HHH262099:HHH262146 GXL262099:GXL262146 GNP262099:GNP262146 GDT262099:GDT262146 FTX262099:FTX262146 FKB262099:FKB262146 FAF262099:FAF262146 EQJ262099:EQJ262146 EGN262099:EGN262146 DWR262099:DWR262146 DMV262099:DMV262146 DCZ262099:DCZ262146 CTD262099:CTD262146 CJH262099:CJH262146 BZL262099:BZL262146 BPP262099:BPP262146 BFT262099:BFT262146 AVX262099:AVX262146 AMB262099:AMB262146 ACF262099:ACF262146 SJ262099:SJ262146 IN262099:IN262146 C262099:C262146 WUZ196563:WUZ196610 WLD196563:WLD196610 WBH196563:WBH196610 VRL196563:VRL196610 VHP196563:VHP196610 UXT196563:UXT196610 UNX196563:UNX196610 UEB196563:UEB196610 TUF196563:TUF196610 TKJ196563:TKJ196610 TAN196563:TAN196610 SQR196563:SQR196610 SGV196563:SGV196610 RWZ196563:RWZ196610 RND196563:RND196610 RDH196563:RDH196610 QTL196563:QTL196610 QJP196563:QJP196610 PZT196563:PZT196610 PPX196563:PPX196610 PGB196563:PGB196610 OWF196563:OWF196610 OMJ196563:OMJ196610 OCN196563:OCN196610 NSR196563:NSR196610 NIV196563:NIV196610 MYZ196563:MYZ196610 MPD196563:MPD196610 MFH196563:MFH196610 LVL196563:LVL196610 LLP196563:LLP196610 LBT196563:LBT196610 KRX196563:KRX196610 KIB196563:KIB196610 JYF196563:JYF196610 JOJ196563:JOJ196610 JEN196563:JEN196610 IUR196563:IUR196610 IKV196563:IKV196610 IAZ196563:IAZ196610 HRD196563:HRD196610 HHH196563:HHH196610 GXL196563:GXL196610 GNP196563:GNP196610 GDT196563:GDT196610 FTX196563:FTX196610 FKB196563:FKB196610 FAF196563:FAF196610 EQJ196563:EQJ196610 EGN196563:EGN196610 DWR196563:DWR196610 DMV196563:DMV196610 DCZ196563:DCZ196610 CTD196563:CTD196610 CJH196563:CJH196610 BZL196563:BZL196610 BPP196563:BPP196610 BFT196563:BFT196610 AVX196563:AVX196610 AMB196563:AMB196610 ACF196563:ACF196610 SJ196563:SJ196610 IN196563:IN196610 C196563:C196610 WUZ131027:WUZ131074 WLD131027:WLD131074 WBH131027:WBH131074 VRL131027:VRL131074 VHP131027:VHP131074 UXT131027:UXT131074 UNX131027:UNX131074 UEB131027:UEB131074 TUF131027:TUF131074 TKJ131027:TKJ131074 TAN131027:TAN131074 SQR131027:SQR131074 SGV131027:SGV131074 RWZ131027:RWZ131074 RND131027:RND131074 RDH131027:RDH131074 QTL131027:QTL131074 QJP131027:QJP131074 PZT131027:PZT131074 PPX131027:PPX131074 PGB131027:PGB131074 OWF131027:OWF131074 OMJ131027:OMJ131074 OCN131027:OCN131074 NSR131027:NSR131074 NIV131027:NIV131074 MYZ131027:MYZ131074 MPD131027:MPD131074 MFH131027:MFH131074 LVL131027:LVL131074 LLP131027:LLP131074 LBT131027:LBT131074 KRX131027:KRX131074 KIB131027:KIB131074 JYF131027:JYF131074 JOJ131027:JOJ131074 JEN131027:JEN131074 IUR131027:IUR131074 IKV131027:IKV131074 IAZ131027:IAZ131074 HRD131027:HRD131074 HHH131027:HHH131074 GXL131027:GXL131074 GNP131027:GNP131074 GDT131027:GDT131074 FTX131027:FTX131074 FKB131027:FKB131074 FAF131027:FAF131074 EQJ131027:EQJ131074 EGN131027:EGN131074 DWR131027:DWR131074 DMV131027:DMV131074 DCZ131027:DCZ131074 CTD131027:CTD131074 CJH131027:CJH131074 BZL131027:BZL131074 BPP131027:BPP131074 BFT131027:BFT131074 AVX131027:AVX131074 AMB131027:AMB131074 ACF131027:ACF131074 SJ131027:SJ131074 IN131027:IN131074 C131027:C131074 WUZ65491:WUZ65538 WLD65491:WLD65538 WBH65491:WBH65538 VRL65491:VRL65538 VHP65491:VHP65538 UXT65491:UXT65538 UNX65491:UNX65538 UEB65491:UEB65538 TUF65491:TUF65538 TKJ65491:TKJ65538 TAN65491:TAN65538 SQR65491:SQR65538 SGV65491:SGV65538 RWZ65491:RWZ65538 RND65491:RND65538 RDH65491:RDH65538 QTL65491:QTL65538 QJP65491:QJP65538 PZT65491:PZT65538 PPX65491:PPX65538 PGB65491:PGB65538 OWF65491:OWF65538 OMJ65491:OMJ65538 OCN65491:OCN65538 NSR65491:NSR65538 NIV65491:NIV65538 MYZ65491:MYZ65538 MPD65491:MPD65538 MFH65491:MFH65538 LVL65491:LVL65538 LLP65491:LLP65538 LBT65491:LBT65538 KRX65491:KRX65538 KIB65491:KIB65538 JYF65491:JYF65538 JOJ65491:JOJ65538 JEN65491:JEN65538 IUR65491:IUR65538 IKV65491:IKV65538 IAZ65491:IAZ65538 HRD65491:HRD65538 HHH65491:HHH65538 GXL65491:GXL65538 GNP65491:GNP65538 GDT65491:GDT65538 FTX65491:FTX65538 FKB65491:FKB65538 FAF65491:FAF65538 EQJ65491:EQJ65538 EGN65491:EGN65538 DWR65491:DWR65538 DMV65491:DMV65538 DCZ65491:DCZ65538 CTD65491:CTD65538 CJH65491:CJH65538 BZL65491:BZL65538 BPP65491:BPP65538 BFT65491:BFT65538 AVX65491:AVX65538 AMB65491:AMB65538 ACF65491:ACF65538 SJ65491:SJ65538 IN65491:IN65538 C65491:C65538 WVD94:WVD141 WLH94:WLH141 WBL94:WBL141 VRP94:VRP141 VHT94:VHT141 UXX94:UXX141 UOB94:UOB141 UEF94:UEF141 TUJ94:TUJ141 TKN94:TKN141 TAR94:TAR141 SQV94:SQV141 SGZ94:SGZ141 RXD94:RXD141 RNH94:RNH141 RDL94:RDL141 QTP94:QTP141 QJT94:QJT141 PZX94:PZX141 PQB94:PQB141 PGF94:PGF141 OWJ94:OWJ141 OMN94:OMN141 OCR94:OCR141 NSV94:NSV141 NIZ94:NIZ141 MZD94:MZD141 MPH94:MPH141 MFL94:MFL141 LVP94:LVP141 LLT94:LLT141 LBX94:LBX141 KSB94:KSB141 KIF94:KIF141 JYJ94:JYJ141 JON94:JON141 JER94:JER141 IUV94:IUV141 IKZ94:IKZ141 IBD94:IBD141 HRH94:HRH141 HHL94:HHL141 GXP94:GXP141 GNT94:GNT141 GDX94:GDX141 FUB94:FUB141 FKF94:FKF141 FAJ94:FAJ141 EQN94:EQN141 EGR94:EGR141 DWV94:DWV141 DMZ94:DMZ141 DDD94:DDD141 CTH94:CTH141 CJL94:CJL141 BZP94:BZP141 BPT94:BPT141 BFX94:BFX141 AWB94:AWB141 AMF94:AMF141 ACJ94:ACJ141 SN94:SN141 IR94:IR141 WLD982995:WLD983042 WVG982995:WVG983042 WLK982995:WLK983042 WBO982995:WBO983042 VRS982995:VRS983042 VHW982995:VHW983042 UYA982995:UYA983042 UOE982995:UOE983042 UEI982995:UEI983042 TUM982995:TUM983042 TKQ982995:TKQ983042 TAU982995:TAU983042 SQY982995:SQY983042 SHC982995:SHC983042 RXG982995:RXG983042 RNK982995:RNK983042 RDO982995:RDO983042 QTS982995:QTS983042 QJW982995:QJW983042 QAA982995:QAA983042 PQE982995:PQE983042 PGI982995:PGI983042 OWM982995:OWM983042 OMQ982995:OMQ983042 OCU982995:OCU983042 NSY982995:NSY983042 NJC982995:NJC983042 MZG982995:MZG983042 MPK982995:MPK983042 MFO982995:MFO983042 LVS982995:LVS983042 LLW982995:LLW983042 LCA982995:LCA983042 KSE982995:KSE983042 KII982995:KII983042 JYM982995:JYM983042 JOQ982995:JOQ983042 JEU982995:JEU983042 IUY982995:IUY983042 ILC982995:ILC983042 IBG982995:IBG983042 HRK982995:HRK983042 HHO982995:HHO983042 GXS982995:GXS983042 GNW982995:GNW983042 GEA982995:GEA983042 FUE982995:FUE983042 FKI982995:FKI983042 FAM982995:FAM983042 EQQ982995:EQQ983042 EGU982995:EGU983042 DWY982995:DWY983042 DNC982995:DNC983042 DDG982995:DDG983042 CTK982995:CTK983042 CJO982995:CJO983042 BZS982995:BZS983042 BPW982995:BPW983042 BGA982995:BGA983042 AWE982995:AWE983042 AMI982995:AMI983042 ACM982995:ACM983042 SQ982995:SQ983042 IU982995:IU983042 J982995:J983042 WVG917459:WVG917506 WLK917459:WLK917506 WBO917459:WBO917506 VRS917459:VRS917506 VHW917459:VHW917506 UYA917459:UYA917506 UOE917459:UOE917506 UEI917459:UEI917506 TUM917459:TUM917506 TKQ917459:TKQ917506 TAU917459:TAU917506 SQY917459:SQY917506 SHC917459:SHC917506 RXG917459:RXG917506 RNK917459:RNK917506 RDO917459:RDO917506 QTS917459:QTS917506 QJW917459:QJW917506 QAA917459:QAA917506 PQE917459:PQE917506 PGI917459:PGI917506 OWM917459:OWM917506 OMQ917459:OMQ917506 OCU917459:OCU917506 NSY917459:NSY917506 NJC917459:NJC917506 MZG917459:MZG917506 MPK917459:MPK917506 MFO917459:MFO917506 LVS917459:LVS917506 LLW917459:LLW917506 LCA917459:LCA917506 KSE917459:KSE917506 KII917459:KII917506 JYM917459:JYM917506 JOQ917459:JOQ917506 JEU917459:JEU917506 IUY917459:IUY917506 ILC917459:ILC917506 IBG917459:IBG917506 HRK917459:HRK917506 HHO917459:HHO917506 GXS917459:GXS917506 GNW917459:GNW917506 GEA917459:GEA917506 FUE917459:FUE917506 FKI917459:FKI917506 FAM917459:FAM917506 EQQ917459:EQQ917506 EGU917459:EGU917506 DWY917459:DWY917506 DNC917459:DNC917506 DDG917459:DDG917506 CTK917459:CTK917506 CJO917459:CJO917506 BZS917459:BZS917506 BPW917459:BPW917506 BGA917459:BGA917506 AWE917459:AWE917506 AMI917459:AMI917506 ACM917459:ACM917506 SQ917459:SQ917506 IU917459:IU917506 J917459:J917506 WVG851923:WVG851970 WLK851923:WLK851970 WBO851923:WBO851970 VRS851923:VRS851970 VHW851923:VHW851970 UYA851923:UYA851970 UOE851923:UOE851970 UEI851923:UEI851970 TUM851923:TUM851970 TKQ851923:TKQ851970 TAU851923:TAU851970 SQY851923:SQY851970 SHC851923:SHC851970 RXG851923:RXG851970 RNK851923:RNK851970 RDO851923:RDO851970 QTS851923:QTS851970 QJW851923:QJW851970 QAA851923:QAA851970 PQE851923:PQE851970 PGI851923:PGI851970 OWM851923:OWM851970 OMQ851923:OMQ851970 OCU851923:OCU851970 NSY851923:NSY851970 NJC851923:NJC851970 MZG851923:MZG851970 MPK851923:MPK851970 MFO851923:MFO851970 LVS851923:LVS851970 LLW851923:LLW851970 LCA851923:LCA851970 KSE851923:KSE851970 KII851923:KII851970 JYM851923:JYM851970 JOQ851923:JOQ851970 JEU851923:JEU851970 IUY851923:IUY851970 ILC851923:ILC851970 IBG851923:IBG851970 HRK851923:HRK851970 HHO851923:HHO851970 GXS851923:GXS851970 GNW851923:GNW851970 GEA851923:GEA851970 FUE851923:FUE851970 FKI851923:FKI851970 FAM851923:FAM851970 EQQ851923:EQQ851970 EGU851923:EGU851970 DWY851923:DWY851970 DNC851923:DNC851970 DDG851923:DDG851970 CTK851923:CTK851970 CJO851923:CJO851970 BZS851923:BZS851970 BPW851923:BPW851970 BGA851923:BGA851970 AWE851923:AWE851970 AMI851923:AMI851970 ACM851923:ACM851970 SQ851923:SQ851970 IU851923:IU851970 J851923:J851970 WVG786387:WVG786434 WLK786387:WLK786434 WBO786387:WBO786434 VRS786387:VRS786434 VHW786387:VHW786434 UYA786387:UYA786434 UOE786387:UOE786434 UEI786387:UEI786434 TUM786387:TUM786434 TKQ786387:TKQ786434 TAU786387:TAU786434 SQY786387:SQY786434 SHC786387:SHC786434 RXG786387:RXG786434 RNK786387:RNK786434 RDO786387:RDO786434 QTS786387:QTS786434 QJW786387:QJW786434 QAA786387:QAA786434 PQE786387:PQE786434 PGI786387:PGI786434 OWM786387:OWM786434 OMQ786387:OMQ786434 OCU786387:OCU786434 NSY786387:NSY786434 NJC786387:NJC786434 MZG786387:MZG786434 MPK786387:MPK786434 MFO786387:MFO786434 LVS786387:LVS786434 LLW786387:LLW786434 LCA786387:LCA786434 KSE786387:KSE786434 KII786387:KII786434 JYM786387:JYM786434 JOQ786387:JOQ786434 JEU786387:JEU786434 IUY786387:IUY786434 ILC786387:ILC786434 IBG786387:IBG786434 HRK786387:HRK786434 HHO786387:HHO786434 GXS786387:GXS786434 GNW786387:GNW786434 GEA786387:GEA786434 FUE786387:FUE786434 FKI786387:FKI786434 FAM786387:FAM786434 EQQ786387:EQQ786434 EGU786387:EGU786434 DWY786387:DWY786434 DNC786387:DNC786434 DDG786387:DDG786434 CTK786387:CTK786434 CJO786387:CJO786434 BZS786387:BZS786434 BPW786387:BPW786434 BGA786387:BGA786434 AWE786387:AWE786434 AMI786387:AMI786434 ACM786387:ACM786434 SQ786387:SQ786434 IU786387:IU786434 J786387:J786434 WVG720851:WVG720898 WLK720851:WLK720898 WBO720851:WBO720898 VRS720851:VRS720898 VHW720851:VHW720898 UYA720851:UYA720898 UOE720851:UOE720898 UEI720851:UEI720898 TUM720851:TUM720898 TKQ720851:TKQ720898 TAU720851:TAU720898 SQY720851:SQY720898 SHC720851:SHC720898 RXG720851:RXG720898 RNK720851:RNK720898 RDO720851:RDO720898 QTS720851:QTS720898 QJW720851:QJW720898 QAA720851:QAA720898 PQE720851:PQE720898 PGI720851:PGI720898 OWM720851:OWM720898 OMQ720851:OMQ720898 OCU720851:OCU720898 NSY720851:NSY720898 NJC720851:NJC720898 MZG720851:MZG720898 MPK720851:MPK720898 MFO720851:MFO720898 LVS720851:LVS720898 LLW720851:LLW720898 LCA720851:LCA720898 KSE720851:KSE720898 KII720851:KII720898 JYM720851:JYM720898 JOQ720851:JOQ720898 JEU720851:JEU720898 IUY720851:IUY720898 ILC720851:ILC720898 IBG720851:IBG720898 HRK720851:HRK720898 HHO720851:HHO720898 GXS720851:GXS720898 GNW720851:GNW720898 GEA720851:GEA720898 FUE720851:FUE720898 FKI720851:FKI720898 FAM720851:FAM720898 EQQ720851:EQQ720898 EGU720851:EGU720898 DWY720851:DWY720898 DNC720851:DNC720898 DDG720851:DDG720898 CTK720851:CTK720898 CJO720851:CJO720898 BZS720851:BZS720898 BPW720851:BPW720898 BGA720851:BGA720898 AWE720851:AWE720898 AMI720851:AMI720898 ACM720851:ACM720898 SQ720851:SQ720898 IU720851:IU720898 J720851:J720898 WVG655315:WVG655362 WLK655315:WLK655362 WBO655315:WBO655362 VRS655315:VRS655362 VHW655315:VHW655362 UYA655315:UYA655362 UOE655315:UOE655362 UEI655315:UEI655362 TUM655315:TUM655362 TKQ655315:TKQ655362 TAU655315:TAU655362 SQY655315:SQY655362 SHC655315:SHC655362 RXG655315:RXG655362 RNK655315:RNK655362 RDO655315:RDO655362 QTS655315:QTS655362 QJW655315:QJW655362 QAA655315:QAA655362 PQE655315:PQE655362 PGI655315:PGI655362 OWM655315:OWM655362 OMQ655315:OMQ655362 OCU655315:OCU655362 NSY655315:NSY655362 NJC655315:NJC655362 MZG655315:MZG655362 MPK655315:MPK655362 MFO655315:MFO655362 LVS655315:LVS655362 LLW655315:LLW655362 LCA655315:LCA655362 KSE655315:KSE655362 KII655315:KII655362 JYM655315:JYM655362 JOQ655315:JOQ655362 JEU655315:JEU655362 IUY655315:IUY655362 ILC655315:ILC655362 IBG655315:IBG655362 HRK655315:HRK655362 HHO655315:HHO655362 GXS655315:GXS655362 GNW655315:GNW655362 GEA655315:GEA655362 FUE655315:FUE655362 FKI655315:FKI655362 FAM655315:FAM655362 EQQ655315:EQQ655362 EGU655315:EGU655362 DWY655315:DWY655362 DNC655315:DNC655362 DDG655315:DDG655362 CTK655315:CTK655362 CJO655315:CJO655362 BZS655315:BZS655362 BPW655315:BPW655362 BGA655315:BGA655362 AWE655315:AWE655362 AMI655315:AMI655362 ACM655315:ACM655362 SQ655315:SQ655362 IU655315:IU655362 J655315:J655362 WVG589779:WVG589826 WLK589779:WLK589826 WBO589779:WBO589826 VRS589779:VRS589826 VHW589779:VHW589826 UYA589779:UYA589826 UOE589779:UOE589826 UEI589779:UEI589826 TUM589779:TUM589826 TKQ589779:TKQ589826 TAU589779:TAU589826 SQY589779:SQY589826 SHC589779:SHC589826 RXG589779:RXG589826 RNK589779:RNK589826 RDO589779:RDO589826 QTS589779:QTS589826 QJW589779:QJW589826 QAA589779:QAA589826 PQE589779:PQE589826 PGI589779:PGI589826 OWM589779:OWM589826 OMQ589779:OMQ589826 OCU589779:OCU589826 NSY589779:NSY589826 NJC589779:NJC589826 MZG589779:MZG589826 MPK589779:MPK589826 MFO589779:MFO589826 LVS589779:LVS589826 LLW589779:LLW589826 LCA589779:LCA589826 KSE589779:KSE589826 KII589779:KII589826 JYM589779:JYM589826 JOQ589779:JOQ589826 JEU589779:JEU589826 IUY589779:IUY589826 ILC589779:ILC589826 IBG589779:IBG589826 HRK589779:HRK589826 HHO589779:HHO589826 GXS589779:GXS589826 GNW589779:GNW589826 GEA589779:GEA589826 FUE589779:FUE589826 FKI589779:FKI589826 FAM589779:FAM589826 EQQ589779:EQQ589826 EGU589779:EGU589826 DWY589779:DWY589826 DNC589779:DNC589826 DDG589779:DDG589826 CTK589779:CTK589826 CJO589779:CJO589826 BZS589779:BZS589826 BPW589779:BPW589826 BGA589779:BGA589826 AWE589779:AWE589826 AMI589779:AMI589826 ACM589779:ACM589826 SQ589779:SQ589826 IU589779:IU589826 J589779:J589826 WVG524243:WVG524290 WLK524243:WLK524290 WBO524243:WBO524290 VRS524243:VRS524290 VHW524243:VHW524290 UYA524243:UYA524290 UOE524243:UOE524290 UEI524243:UEI524290 TUM524243:TUM524290 TKQ524243:TKQ524290 TAU524243:TAU524290 SQY524243:SQY524290 SHC524243:SHC524290 RXG524243:RXG524290 RNK524243:RNK524290 RDO524243:RDO524290 QTS524243:QTS524290 QJW524243:QJW524290 QAA524243:QAA524290 PQE524243:PQE524290 PGI524243:PGI524290 OWM524243:OWM524290 OMQ524243:OMQ524290 OCU524243:OCU524290 NSY524243:NSY524290 NJC524243:NJC524290 MZG524243:MZG524290 MPK524243:MPK524290 MFO524243:MFO524290 LVS524243:LVS524290 LLW524243:LLW524290 LCA524243:LCA524290 KSE524243:KSE524290 KII524243:KII524290 JYM524243:JYM524290 JOQ524243:JOQ524290 JEU524243:JEU524290 IUY524243:IUY524290 ILC524243:ILC524290 IBG524243:IBG524290 HRK524243:HRK524290 HHO524243:HHO524290 GXS524243:GXS524290 GNW524243:GNW524290 GEA524243:GEA524290 FUE524243:FUE524290 FKI524243:FKI524290 FAM524243:FAM524290 EQQ524243:EQQ524290 EGU524243:EGU524290 DWY524243:DWY524290 DNC524243:DNC524290 DDG524243:DDG524290 CTK524243:CTK524290 CJO524243:CJO524290 BZS524243:BZS524290 BPW524243:BPW524290 BGA524243:BGA524290 AWE524243:AWE524290 AMI524243:AMI524290 ACM524243:ACM524290 SQ524243:SQ524290 IU524243:IU524290 J524243:J524290 WVG458707:WVG458754 WLK458707:WLK458754 WBO458707:WBO458754 VRS458707:VRS458754 VHW458707:VHW458754 UYA458707:UYA458754 UOE458707:UOE458754 UEI458707:UEI458754 TUM458707:TUM458754 TKQ458707:TKQ458754 TAU458707:TAU458754 SQY458707:SQY458754 SHC458707:SHC458754 RXG458707:RXG458754 RNK458707:RNK458754 RDO458707:RDO458754 QTS458707:QTS458754 QJW458707:QJW458754 QAA458707:QAA458754 PQE458707:PQE458754 PGI458707:PGI458754 OWM458707:OWM458754 OMQ458707:OMQ458754 OCU458707:OCU458754 NSY458707:NSY458754 NJC458707:NJC458754 MZG458707:MZG458754 MPK458707:MPK458754 MFO458707:MFO458754 LVS458707:LVS458754 LLW458707:LLW458754 LCA458707:LCA458754 KSE458707:KSE458754 KII458707:KII458754 JYM458707:JYM458754 JOQ458707:JOQ458754 JEU458707:JEU458754 IUY458707:IUY458754 ILC458707:ILC458754 IBG458707:IBG458754 HRK458707:HRK458754 HHO458707:HHO458754 GXS458707:GXS458754 GNW458707:GNW458754 GEA458707:GEA458754 FUE458707:FUE458754 FKI458707:FKI458754 FAM458707:FAM458754 EQQ458707:EQQ458754 EGU458707:EGU458754 DWY458707:DWY458754 DNC458707:DNC458754 DDG458707:DDG458754 CTK458707:CTK458754 CJO458707:CJO458754 BZS458707:BZS458754 BPW458707:BPW458754 BGA458707:BGA458754 AWE458707:AWE458754 AMI458707:AMI458754 ACM458707:ACM458754 SQ458707:SQ458754 IU458707:IU458754 J458707:J458754 WVG393171:WVG393218 WLK393171:WLK393218 WBO393171:WBO393218 VRS393171:VRS393218 VHW393171:VHW393218 UYA393171:UYA393218 UOE393171:UOE393218 UEI393171:UEI393218 TUM393171:TUM393218 TKQ393171:TKQ393218 TAU393171:TAU393218 SQY393171:SQY393218 SHC393171:SHC393218 RXG393171:RXG393218 RNK393171:RNK393218 RDO393171:RDO393218 QTS393171:QTS393218 QJW393171:QJW393218 QAA393171:QAA393218 PQE393171:PQE393218 PGI393171:PGI393218 OWM393171:OWM393218 OMQ393171:OMQ393218 OCU393171:OCU393218 NSY393171:NSY393218 NJC393171:NJC393218 MZG393171:MZG393218 MPK393171:MPK393218 MFO393171:MFO393218 LVS393171:LVS393218 LLW393171:LLW393218 LCA393171:LCA393218 KSE393171:KSE393218 KII393171:KII393218 JYM393171:JYM393218 JOQ393171:JOQ393218 JEU393171:JEU393218 IUY393171:IUY393218 ILC393171:ILC393218 IBG393171:IBG393218 HRK393171:HRK393218 HHO393171:HHO393218 GXS393171:GXS393218 GNW393171:GNW393218 GEA393171:GEA393218 FUE393171:FUE393218 FKI393171:FKI393218 FAM393171:FAM393218 EQQ393171:EQQ393218 EGU393171:EGU393218 DWY393171:DWY393218 DNC393171:DNC393218 DDG393171:DDG393218 CTK393171:CTK393218 CJO393171:CJO393218 BZS393171:BZS393218 BPW393171:BPW393218 BGA393171:BGA393218 AWE393171:AWE393218 AMI393171:AMI393218 ACM393171:ACM393218 SQ393171:SQ393218 IU393171:IU393218 J393171:J393218 WVG327635:WVG327682 WLK327635:WLK327682 WBO327635:WBO327682 VRS327635:VRS327682 VHW327635:VHW327682 UYA327635:UYA327682 UOE327635:UOE327682 UEI327635:UEI327682 TUM327635:TUM327682 TKQ327635:TKQ327682 TAU327635:TAU327682 SQY327635:SQY327682 SHC327635:SHC327682 RXG327635:RXG327682 RNK327635:RNK327682 RDO327635:RDO327682 QTS327635:QTS327682 QJW327635:QJW327682 QAA327635:QAA327682 PQE327635:PQE327682 PGI327635:PGI327682 OWM327635:OWM327682 OMQ327635:OMQ327682 OCU327635:OCU327682 NSY327635:NSY327682 NJC327635:NJC327682 MZG327635:MZG327682 MPK327635:MPK327682 MFO327635:MFO327682 LVS327635:LVS327682 LLW327635:LLW327682 LCA327635:LCA327682 KSE327635:KSE327682 KII327635:KII327682 JYM327635:JYM327682 JOQ327635:JOQ327682 JEU327635:JEU327682 IUY327635:IUY327682 ILC327635:ILC327682 IBG327635:IBG327682 HRK327635:HRK327682 HHO327635:HHO327682 GXS327635:GXS327682 GNW327635:GNW327682 GEA327635:GEA327682 FUE327635:FUE327682 FKI327635:FKI327682 FAM327635:FAM327682 EQQ327635:EQQ327682 EGU327635:EGU327682 DWY327635:DWY327682 DNC327635:DNC327682 DDG327635:DDG327682 CTK327635:CTK327682 CJO327635:CJO327682 BZS327635:BZS327682 BPW327635:BPW327682 BGA327635:BGA327682 AWE327635:AWE327682 AMI327635:AMI327682 ACM327635:ACM327682 SQ327635:SQ327682 IU327635:IU327682 J327635:J327682 WVG262099:WVG262146 WLK262099:WLK262146 WBO262099:WBO262146 VRS262099:VRS262146 VHW262099:VHW262146 UYA262099:UYA262146 UOE262099:UOE262146 UEI262099:UEI262146 TUM262099:TUM262146 TKQ262099:TKQ262146 TAU262099:TAU262146 SQY262099:SQY262146 SHC262099:SHC262146 RXG262099:RXG262146 RNK262099:RNK262146 RDO262099:RDO262146 QTS262099:QTS262146 QJW262099:QJW262146 QAA262099:QAA262146 PQE262099:PQE262146 PGI262099:PGI262146 OWM262099:OWM262146 OMQ262099:OMQ262146 OCU262099:OCU262146 NSY262099:NSY262146 NJC262099:NJC262146 MZG262099:MZG262146 MPK262099:MPK262146 MFO262099:MFO262146 LVS262099:LVS262146 LLW262099:LLW262146 LCA262099:LCA262146 KSE262099:KSE262146 KII262099:KII262146 JYM262099:JYM262146 JOQ262099:JOQ262146 JEU262099:JEU262146 IUY262099:IUY262146 ILC262099:ILC262146 IBG262099:IBG262146 HRK262099:HRK262146 HHO262099:HHO262146 GXS262099:GXS262146 GNW262099:GNW262146 GEA262099:GEA262146 FUE262099:FUE262146 FKI262099:FKI262146 FAM262099:FAM262146 EQQ262099:EQQ262146 EGU262099:EGU262146 DWY262099:DWY262146 DNC262099:DNC262146 DDG262099:DDG262146 CTK262099:CTK262146 CJO262099:CJO262146 BZS262099:BZS262146 BPW262099:BPW262146 BGA262099:BGA262146 AWE262099:AWE262146 AMI262099:AMI262146 ACM262099:ACM262146 SQ262099:SQ262146 IU262099:IU262146 J262099:J262146 WVG196563:WVG196610 WLK196563:WLK196610 WBO196563:WBO196610 VRS196563:VRS196610 VHW196563:VHW196610 UYA196563:UYA196610 UOE196563:UOE196610 UEI196563:UEI196610 TUM196563:TUM196610 TKQ196563:TKQ196610 TAU196563:TAU196610 SQY196563:SQY196610 SHC196563:SHC196610 RXG196563:RXG196610 RNK196563:RNK196610 RDO196563:RDO196610 QTS196563:QTS196610 QJW196563:QJW196610 QAA196563:QAA196610 PQE196563:PQE196610 PGI196563:PGI196610 OWM196563:OWM196610 OMQ196563:OMQ196610 OCU196563:OCU196610 NSY196563:NSY196610 NJC196563:NJC196610 MZG196563:MZG196610 MPK196563:MPK196610 MFO196563:MFO196610 LVS196563:LVS196610 LLW196563:LLW196610 LCA196563:LCA196610 KSE196563:KSE196610 KII196563:KII196610 JYM196563:JYM196610 JOQ196563:JOQ196610 JEU196563:JEU196610 IUY196563:IUY196610 ILC196563:ILC196610 IBG196563:IBG196610 HRK196563:HRK196610 HHO196563:HHO196610 GXS196563:GXS196610 GNW196563:GNW196610 GEA196563:GEA196610 FUE196563:FUE196610 FKI196563:FKI196610 FAM196563:FAM196610 EQQ196563:EQQ196610 EGU196563:EGU196610 DWY196563:DWY196610 DNC196563:DNC196610 DDG196563:DDG196610 CTK196563:CTK196610 CJO196563:CJO196610 BZS196563:BZS196610 BPW196563:BPW196610 BGA196563:BGA196610 AWE196563:AWE196610 AMI196563:AMI196610 ACM196563:ACM196610 SQ196563:SQ196610 IU196563:IU196610 J196563:J196610 WVG131027:WVG131074 WLK131027:WLK131074 WBO131027:WBO131074 VRS131027:VRS131074 VHW131027:VHW131074 UYA131027:UYA131074 UOE131027:UOE131074 UEI131027:UEI131074 TUM131027:TUM131074 TKQ131027:TKQ131074 TAU131027:TAU131074 SQY131027:SQY131074 SHC131027:SHC131074 RXG131027:RXG131074 RNK131027:RNK131074 RDO131027:RDO131074 QTS131027:QTS131074 QJW131027:QJW131074 QAA131027:QAA131074 PQE131027:PQE131074 PGI131027:PGI131074 OWM131027:OWM131074 OMQ131027:OMQ131074 OCU131027:OCU131074 NSY131027:NSY131074 NJC131027:NJC131074 MZG131027:MZG131074 MPK131027:MPK131074 MFO131027:MFO131074 LVS131027:LVS131074 LLW131027:LLW131074 LCA131027:LCA131074 KSE131027:KSE131074 KII131027:KII131074 JYM131027:JYM131074 JOQ131027:JOQ131074 JEU131027:JEU131074 IUY131027:IUY131074 ILC131027:ILC131074 IBG131027:IBG131074 HRK131027:HRK131074 HHO131027:HHO131074 GXS131027:GXS131074 GNW131027:GNW131074 GEA131027:GEA131074 FUE131027:FUE131074 FKI131027:FKI131074 FAM131027:FAM131074 EQQ131027:EQQ131074 EGU131027:EGU131074 DWY131027:DWY131074 DNC131027:DNC131074 DDG131027:DDG131074 CTK131027:CTK131074 CJO131027:CJO131074 BZS131027:BZS131074 BPW131027:BPW131074 BGA131027:BGA131074 AWE131027:AWE131074 AMI131027:AMI131074 ACM131027:ACM131074 SQ131027:SQ131074 IU131027:IU131074 J131027:J131074 WVG65491:WVG65538 WLK65491:WLK65538 WBO65491:WBO65538 VRS65491:VRS65538 VHW65491:VHW65538 UYA65491:UYA65538 UOE65491:UOE65538 UEI65491:UEI65538 TUM65491:TUM65538 TKQ65491:TKQ65538 TAU65491:TAU65538 SQY65491:SQY65538 SHC65491:SHC65538 RXG65491:RXG65538 RNK65491:RNK65538 RDO65491:RDO65538 QTS65491:QTS65538 QJW65491:QJW65538 QAA65491:QAA65538 PQE65491:PQE65538 PGI65491:PGI65538 OWM65491:OWM65538 OMQ65491:OMQ65538 OCU65491:OCU65538 NSY65491:NSY65538 NJC65491:NJC65538 MZG65491:MZG65538 MPK65491:MPK65538 MFO65491:MFO65538 LVS65491:LVS65538 LLW65491:LLW65538 LCA65491:LCA65538 KSE65491:KSE65538 KII65491:KII65538 JYM65491:JYM65538 JOQ65491:JOQ65538 JEU65491:JEU65538 IUY65491:IUY65538 ILC65491:ILC65538 IBG65491:IBG65538 HRK65491:HRK65538 HHO65491:HHO65538 GXS65491:GXS65538 GNW65491:GNW65538 GEA65491:GEA65538 FUE65491:FUE65538 FKI65491:FKI65538 FAM65491:FAM65538 EQQ65491:EQQ65538 EGU65491:EGU65538 DWY65491:DWY65538 DNC65491:DNC65538 DDG65491:DDG65538 CTK65491:CTK65538 CJO65491:CJO65538 BZS65491:BZS65538 BPW65491:BPW65538 BGA65491:BGA65538 AWE65491:AWE65538 AMI65491:AMI65538 ACM65491:ACM65538 SQ65491:SQ65538 IU65491:IU65538 J65491:J65538 WVK94:WVK141 WLO94:WLO141 WBS94:WBS141 VRW94:VRW141 VIA94:VIA141 UYE94:UYE141 UOI94:UOI141 UEM94:UEM141 TUQ94:TUQ141 TKU94:TKU141 TAY94:TAY141 SRC94:SRC141 SHG94:SHG141 RXK94:RXK141 RNO94:RNO141 RDS94:RDS141 QTW94:QTW141 QKA94:QKA141 QAE94:QAE141 PQI94:PQI141 PGM94:PGM141 OWQ94:OWQ141 OMU94:OMU141 OCY94:OCY141 NTC94:NTC141 NJG94:NJG141 MZK94:MZK141 MPO94:MPO141 MFS94:MFS141 LVW94:LVW141 LMA94:LMA141 LCE94:LCE141 KSI94:KSI141 KIM94:KIM141 JYQ94:JYQ141 JOU94:JOU141 JEY94:JEY141 IVC94:IVC141 ILG94:ILG141 IBK94:IBK141 HRO94:HRO141 HHS94:HHS141 GXW94:GXW141 GOA94:GOA141 GEE94:GEE141 FUI94:FUI141 FKM94:FKM141 FAQ94:FAQ141 EQU94:EQU141 EGY94:EGY141 DXC94:DXC141 DNG94:DNG141 DDK94:DDK141 CTO94:CTO141 CJS94:CJS141 BZW94:BZW141 BQA94:BQA141 BGE94:BGE141 AWI94:AWI141 AMM94:AMM141 ACQ94:ACQ141 SU94:SU141 IY94:IY141">
      <formula1>#REF!</formula1>
    </dataValidation>
    <dataValidation type="list" allowBlank="1" showInputMessage="1" showErrorMessage="1" sqref="WVH982811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K65307 IV65307 SR65307 ACN65307 AMJ65307 AWF65307 BGB65307 BPX65307 BZT65307 CJP65307 CTL65307 DDH65307 DND65307 DWZ65307 EGV65307 EQR65307 FAN65307 FKJ65307 FUF65307 GEB65307 GNX65307 GXT65307 HHP65307 HRL65307 IBH65307 ILD65307 IUZ65307 JEV65307 JOR65307 JYN65307 KIJ65307 KSF65307 LCB65307 LLX65307 LVT65307 MFP65307 MPL65307 MZH65307 NJD65307 NSZ65307 OCV65307 OMR65307 OWN65307 PGJ65307 PQF65307 QAB65307 QJX65307 QTT65307 RDP65307 RNL65307 RXH65307 SHD65307 SQZ65307 TAV65307 TKR65307 TUN65307 UEJ65307 UOF65307 UYB65307 VHX65307 VRT65307 WBP65307 WLL65307 WVH65307 K130843 IV130843 SR130843 ACN130843 AMJ130843 AWF130843 BGB130843 BPX130843 BZT130843 CJP130843 CTL130843 DDH130843 DND130843 DWZ130843 EGV130843 EQR130843 FAN130843 FKJ130843 FUF130843 GEB130843 GNX130843 GXT130843 HHP130843 HRL130843 IBH130843 ILD130843 IUZ130843 JEV130843 JOR130843 JYN130843 KIJ130843 KSF130843 LCB130843 LLX130843 LVT130843 MFP130843 MPL130843 MZH130843 NJD130843 NSZ130843 OCV130843 OMR130843 OWN130843 PGJ130843 PQF130843 QAB130843 QJX130843 QTT130843 RDP130843 RNL130843 RXH130843 SHD130843 SQZ130843 TAV130843 TKR130843 TUN130843 UEJ130843 UOF130843 UYB130843 VHX130843 VRT130843 WBP130843 WLL130843 WVH130843 K196379 IV196379 SR196379 ACN196379 AMJ196379 AWF196379 BGB196379 BPX196379 BZT196379 CJP196379 CTL196379 DDH196379 DND196379 DWZ196379 EGV196379 EQR196379 FAN196379 FKJ196379 FUF196379 GEB196379 GNX196379 GXT196379 HHP196379 HRL196379 IBH196379 ILD196379 IUZ196379 JEV196379 JOR196379 JYN196379 KIJ196379 KSF196379 LCB196379 LLX196379 LVT196379 MFP196379 MPL196379 MZH196379 NJD196379 NSZ196379 OCV196379 OMR196379 OWN196379 PGJ196379 PQF196379 QAB196379 QJX196379 QTT196379 RDP196379 RNL196379 RXH196379 SHD196379 SQZ196379 TAV196379 TKR196379 TUN196379 UEJ196379 UOF196379 UYB196379 VHX196379 VRT196379 WBP196379 WLL196379 WVH196379 K261915 IV261915 SR261915 ACN261915 AMJ261915 AWF261915 BGB261915 BPX261915 BZT261915 CJP261915 CTL261915 DDH261915 DND261915 DWZ261915 EGV261915 EQR261915 FAN261915 FKJ261915 FUF261915 GEB261915 GNX261915 GXT261915 HHP261915 HRL261915 IBH261915 ILD261915 IUZ261915 JEV261915 JOR261915 JYN261915 KIJ261915 KSF261915 LCB261915 LLX261915 LVT261915 MFP261915 MPL261915 MZH261915 NJD261915 NSZ261915 OCV261915 OMR261915 OWN261915 PGJ261915 PQF261915 QAB261915 QJX261915 QTT261915 RDP261915 RNL261915 RXH261915 SHD261915 SQZ261915 TAV261915 TKR261915 TUN261915 UEJ261915 UOF261915 UYB261915 VHX261915 VRT261915 WBP261915 WLL261915 WVH261915 K327451 IV327451 SR327451 ACN327451 AMJ327451 AWF327451 BGB327451 BPX327451 BZT327451 CJP327451 CTL327451 DDH327451 DND327451 DWZ327451 EGV327451 EQR327451 FAN327451 FKJ327451 FUF327451 GEB327451 GNX327451 GXT327451 HHP327451 HRL327451 IBH327451 ILD327451 IUZ327451 JEV327451 JOR327451 JYN327451 KIJ327451 KSF327451 LCB327451 LLX327451 LVT327451 MFP327451 MPL327451 MZH327451 NJD327451 NSZ327451 OCV327451 OMR327451 OWN327451 PGJ327451 PQF327451 QAB327451 QJX327451 QTT327451 RDP327451 RNL327451 RXH327451 SHD327451 SQZ327451 TAV327451 TKR327451 TUN327451 UEJ327451 UOF327451 UYB327451 VHX327451 VRT327451 WBP327451 WLL327451 WVH327451 K392987 IV392987 SR392987 ACN392987 AMJ392987 AWF392987 BGB392987 BPX392987 BZT392987 CJP392987 CTL392987 DDH392987 DND392987 DWZ392987 EGV392987 EQR392987 FAN392987 FKJ392987 FUF392987 GEB392987 GNX392987 GXT392987 HHP392987 HRL392987 IBH392987 ILD392987 IUZ392987 JEV392987 JOR392987 JYN392987 KIJ392987 KSF392987 LCB392987 LLX392987 LVT392987 MFP392987 MPL392987 MZH392987 NJD392987 NSZ392987 OCV392987 OMR392987 OWN392987 PGJ392987 PQF392987 QAB392987 QJX392987 QTT392987 RDP392987 RNL392987 RXH392987 SHD392987 SQZ392987 TAV392987 TKR392987 TUN392987 UEJ392987 UOF392987 UYB392987 VHX392987 VRT392987 WBP392987 WLL392987 WVH392987 K458523 IV458523 SR458523 ACN458523 AMJ458523 AWF458523 BGB458523 BPX458523 BZT458523 CJP458523 CTL458523 DDH458523 DND458523 DWZ458523 EGV458523 EQR458523 FAN458523 FKJ458523 FUF458523 GEB458523 GNX458523 GXT458523 HHP458523 HRL458523 IBH458523 ILD458523 IUZ458523 JEV458523 JOR458523 JYN458523 KIJ458523 KSF458523 LCB458523 LLX458523 LVT458523 MFP458523 MPL458523 MZH458523 NJD458523 NSZ458523 OCV458523 OMR458523 OWN458523 PGJ458523 PQF458523 QAB458523 QJX458523 QTT458523 RDP458523 RNL458523 RXH458523 SHD458523 SQZ458523 TAV458523 TKR458523 TUN458523 UEJ458523 UOF458523 UYB458523 VHX458523 VRT458523 WBP458523 WLL458523 WVH458523 K524059 IV524059 SR524059 ACN524059 AMJ524059 AWF524059 BGB524059 BPX524059 BZT524059 CJP524059 CTL524059 DDH524059 DND524059 DWZ524059 EGV524059 EQR524059 FAN524059 FKJ524059 FUF524059 GEB524059 GNX524059 GXT524059 HHP524059 HRL524059 IBH524059 ILD524059 IUZ524059 JEV524059 JOR524059 JYN524059 KIJ524059 KSF524059 LCB524059 LLX524059 LVT524059 MFP524059 MPL524059 MZH524059 NJD524059 NSZ524059 OCV524059 OMR524059 OWN524059 PGJ524059 PQF524059 QAB524059 QJX524059 QTT524059 RDP524059 RNL524059 RXH524059 SHD524059 SQZ524059 TAV524059 TKR524059 TUN524059 UEJ524059 UOF524059 UYB524059 VHX524059 VRT524059 WBP524059 WLL524059 WVH524059 K589595 IV589595 SR589595 ACN589595 AMJ589595 AWF589595 BGB589595 BPX589595 BZT589595 CJP589595 CTL589595 DDH589595 DND589595 DWZ589595 EGV589595 EQR589595 FAN589595 FKJ589595 FUF589595 GEB589595 GNX589595 GXT589595 HHP589595 HRL589595 IBH589595 ILD589595 IUZ589595 JEV589595 JOR589595 JYN589595 KIJ589595 KSF589595 LCB589595 LLX589595 LVT589595 MFP589595 MPL589595 MZH589595 NJD589595 NSZ589595 OCV589595 OMR589595 OWN589595 PGJ589595 PQF589595 QAB589595 QJX589595 QTT589595 RDP589595 RNL589595 RXH589595 SHD589595 SQZ589595 TAV589595 TKR589595 TUN589595 UEJ589595 UOF589595 UYB589595 VHX589595 VRT589595 WBP589595 WLL589595 WVH589595 K655131 IV655131 SR655131 ACN655131 AMJ655131 AWF655131 BGB655131 BPX655131 BZT655131 CJP655131 CTL655131 DDH655131 DND655131 DWZ655131 EGV655131 EQR655131 FAN655131 FKJ655131 FUF655131 GEB655131 GNX655131 GXT655131 HHP655131 HRL655131 IBH655131 ILD655131 IUZ655131 JEV655131 JOR655131 JYN655131 KIJ655131 KSF655131 LCB655131 LLX655131 LVT655131 MFP655131 MPL655131 MZH655131 NJD655131 NSZ655131 OCV655131 OMR655131 OWN655131 PGJ655131 PQF655131 QAB655131 QJX655131 QTT655131 RDP655131 RNL655131 RXH655131 SHD655131 SQZ655131 TAV655131 TKR655131 TUN655131 UEJ655131 UOF655131 UYB655131 VHX655131 VRT655131 WBP655131 WLL655131 WVH655131 K720667 IV720667 SR720667 ACN720667 AMJ720667 AWF720667 BGB720667 BPX720667 BZT720667 CJP720667 CTL720667 DDH720667 DND720667 DWZ720667 EGV720667 EQR720667 FAN720667 FKJ720667 FUF720667 GEB720667 GNX720667 GXT720667 HHP720667 HRL720667 IBH720667 ILD720667 IUZ720667 JEV720667 JOR720667 JYN720667 KIJ720667 KSF720667 LCB720667 LLX720667 LVT720667 MFP720667 MPL720667 MZH720667 NJD720667 NSZ720667 OCV720667 OMR720667 OWN720667 PGJ720667 PQF720667 QAB720667 QJX720667 QTT720667 RDP720667 RNL720667 RXH720667 SHD720667 SQZ720667 TAV720667 TKR720667 TUN720667 UEJ720667 UOF720667 UYB720667 VHX720667 VRT720667 WBP720667 WLL720667 WVH720667 K786203 IV786203 SR786203 ACN786203 AMJ786203 AWF786203 BGB786203 BPX786203 BZT786203 CJP786203 CTL786203 DDH786203 DND786203 DWZ786203 EGV786203 EQR786203 FAN786203 FKJ786203 FUF786203 GEB786203 GNX786203 GXT786203 HHP786203 HRL786203 IBH786203 ILD786203 IUZ786203 JEV786203 JOR786203 JYN786203 KIJ786203 KSF786203 LCB786203 LLX786203 LVT786203 MFP786203 MPL786203 MZH786203 NJD786203 NSZ786203 OCV786203 OMR786203 OWN786203 PGJ786203 PQF786203 QAB786203 QJX786203 QTT786203 RDP786203 RNL786203 RXH786203 SHD786203 SQZ786203 TAV786203 TKR786203 TUN786203 UEJ786203 UOF786203 UYB786203 VHX786203 VRT786203 WBP786203 WLL786203 WVH786203 K851739 IV851739 SR851739 ACN851739 AMJ851739 AWF851739 BGB851739 BPX851739 BZT851739 CJP851739 CTL851739 DDH851739 DND851739 DWZ851739 EGV851739 EQR851739 FAN851739 FKJ851739 FUF851739 GEB851739 GNX851739 GXT851739 HHP851739 HRL851739 IBH851739 ILD851739 IUZ851739 JEV851739 JOR851739 JYN851739 KIJ851739 KSF851739 LCB851739 LLX851739 LVT851739 MFP851739 MPL851739 MZH851739 NJD851739 NSZ851739 OCV851739 OMR851739 OWN851739 PGJ851739 PQF851739 QAB851739 QJX851739 QTT851739 RDP851739 RNL851739 RXH851739 SHD851739 SQZ851739 TAV851739 TKR851739 TUN851739 UEJ851739 UOF851739 UYB851739 VHX851739 VRT851739 WBP851739 WLL851739 WVH851739 K917275 IV917275 SR917275 ACN917275 AMJ917275 AWF917275 BGB917275 BPX917275 BZT917275 CJP917275 CTL917275 DDH917275 DND917275 DWZ917275 EGV917275 EQR917275 FAN917275 FKJ917275 FUF917275 GEB917275 GNX917275 GXT917275 HHP917275 HRL917275 IBH917275 ILD917275 IUZ917275 JEV917275 JOR917275 JYN917275 KIJ917275 KSF917275 LCB917275 LLX917275 LVT917275 MFP917275 MPL917275 MZH917275 NJD917275 NSZ917275 OCV917275 OMR917275 OWN917275 PGJ917275 PQF917275 QAB917275 QJX917275 QTT917275 RDP917275 RNL917275 RXH917275 SHD917275 SQZ917275 TAV917275 TKR917275 TUN917275 UEJ917275 UOF917275 UYB917275 VHX917275 VRT917275 WBP917275 WLL917275 WVH917275 K982811 IV982811 SR982811 ACN982811 AMJ982811 AWF982811 BGB982811 BPX982811 BZT982811 CJP982811 CTL982811 DDH982811 DND982811 DWZ982811 EGV982811 EQR982811 FAN982811 FKJ982811 FUF982811 GEB982811 GNX982811 GXT982811 HHP982811 HRL982811 IBH982811 ILD982811 IUZ982811 JEV982811 JOR982811 JYN982811 KIJ982811 KSF982811 LCB982811 LLX982811 LVT982811 MFP982811 MPL982811 MZH982811 NJD982811 NSZ982811 OCV982811 OMR982811 OWN982811 PGJ982811 PQF982811 QAB982811 QJX982811 QTT982811 RDP982811 RNL982811 RXH982811 SHD982811 SQZ982811 TAV982811 TKR982811 TUN982811 UEJ982811 UOF982811 UYB982811 VHX982811 VRT982811 WBP982811 WLL982811">
      <formula1>$W$2:$Y$2</formula1>
    </dataValidation>
    <dataValidation type="list" allowBlank="1" showInputMessage="1" showErrorMessage="1" sqref="L94:L141 B94:B141">
      <formula1>OFFSET(ListeRegions,1,MATCH($K$2,ListePays,0)-1,COUNTA(OFFSET(ListeRegions,,MATCH($K$2,ListePays,0)-1))-1)</formula1>
    </dataValidation>
    <dataValidation type="list" allowBlank="1" showInputMessage="1" showErrorMessage="1" sqref="C94:C141 M94:M141">
      <formula1>ListeCulturesBDD</formula1>
    </dataValidation>
  </dataValidations>
  <hyperlinks>
    <hyperlink ref="E1:F1" location="notice!A1" display="Cliques → ICI ←"/>
    <hyperlink ref="D48:E48" location="parcelles!A94" display="Cliques → ICI ←"/>
    <hyperlink ref="F80:G80" location="'semences, engrais et traitement'!A1" display="Cliques → ICI ←"/>
    <hyperlink ref="B143" location="parcelles!A1" display="Cliques → ICI ←"/>
  </hyperlinks>
  <pageMargins left="0.78740157499999996" right="0.78740157499999996" top="0.984251969" bottom="0.984251969" header="0.5" footer="0.5"/>
  <pageSetup paperSize="9" orientation="portrait" horizontalDpi="300" verticalDpi="300" r:id="rId1"/>
  <headerFooter alignWithMargins="0"/>
  <ignoredErrors>
    <ignoredError sqref="A3:V17 B78:V78 A56 A47:V49 A51:V55 A30:V46 A28 C28:V28 A19:V27 A18 C18:V18 A29 C29:V29 C1:V1 A2:J2 L2:V2 A57 A58 A59 A60 A61 A62 A63 A64 A65 A66 A67 A68 A69 A70 A71 A72 A73 A74 A75 A76 A77 W3:X17 W78 W47:X49 W50:X55 W30:X46 W28:X28 W19:X27 W18:X18 W29:X29 W1:X1 W2:X2 A50 C50:V50"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BDD!$M$6:$M$10</xm:f>
          </x14:formula1>
          <xm:sqref>K2</xm:sqref>
        </x14:dataValidation>
        <x14:dataValidation type="list" allowBlank="1" showInputMessage="1" showErrorMessage="1">
          <x14:formula1>
            <xm:f>BDD!$M$27:$M$28</xm:f>
          </x14:formula1>
          <xm:sqref>N94:N141 D94:D141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1404</vt:i4>
      </vt:variant>
    </vt:vector>
  </HeadingPairs>
  <TitlesOfParts>
    <vt:vector size="1419" baseType="lpstr">
      <vt:lpstr>notice</vt:lpstr>
      <vt:lpstr>éleveurs</vt:lpstr>
      <vt:lpstr>cultivateurs</vt:lpstr>
      <vt:lpstr>animaux</vt:lpstr>
      <vt:lpstr>bâtiments d'élevage</vt:lpstr>
      <vt:lpstr>pâtures et foin</vt:lpstr>
      <vt:lpstr>coût alimentation</vt:lpstr>
      <vt:lpstr>gains</vt:lpstr>
      <vt:lpstr>parcelles</vt:lpstr>
      <vt:lpstr>vergers</vt:lpstr>
      <vt:lpstr>semences, engrais et traitement</vt:lpstr>
      <vt:lpstr>entrepôts et local phyto</vt:lpstr>
      <vt:lpstr>silos</vt:lpstr>
      <vt:lpstr>memo</vt:lpstr>
      <vt:lpstr>BDD</vt:lpstr>
      <vt:lpstr>AlimentsBisons</vt:lpstr>
      <vt:lpstr>AlimentsBovins</vt:lpstr>
      <vt:lpstr>AlimentsCanards</vt:lpstr>
      <vt:lpstr>AlimentsCaprins</vt:lpstr>
      <vt:lpstr>AlimentsChevauxSelle</vt:lpstr>
      <vt:lpstr>AlimentsChevauxTrait</vt:lpstr>
      <vt:lpstr>AlimentsDaims</vt:lpstr>
      <vt:lpstr>AlimentsGavageOiesEtCanards</vt:lpstr>
      <vt:lpstr>AlimentsLapins</vt:lpstr>
      <vt:lpstr>AlimentsOies</vt:lpstr>
      <vt:lpstr>AlimentsOvins</vt:lpstr>
      <vt:lpstr>AlimentsPintades</vt:lpstr>
      <vt:lpstr>AlimentsPoneys</vt:lpstr>
      <vt:lpstr>AlimentsPorcins</vt:lpstr>
      <vt:lpstr>AlimentsRationBovinsFemelles</vt:lpstr>
      <vt:lpstr>AlimentsRationBovinsMâles</vt:lpstr>
      <vt:lpstr>AlimentsRationCanardsFemelles</vt:lpstr>
      <vt:lpstr>AlimentsRationCanardsMâles</vt:lpstr>
      <vt:lpstr>AlimentsRationCaprinsFemelles</vt:lpstr>
      <vt:lpstr>AlimentsRationCaprinsMâles</vt:lpstr>
      <vt:lpstr>AlimentsRationEcurieChevauxFemellesSelle</vt:lpstr>
      <vt:lpstr>AlimentsRationEcurieChevauxFemellesTrait</vt:lpstr>
      <vt:lpstr>AlimentsRationEcurieChevauxMâlesSelle</vt:lpstr>
      <vt:lpstr>AlimentsRationEcurieChevauxMâlesTrait</vt:lpstr>
      <vt:lpstr>AlimentsRationEcuriePoneysFemelles</vt:lpstr>
      <vt:lpstr>AlimentsRationEcuriePoneysMâles</vt:lpstr>
      <vt:lpstr>AlimentsRationHivernaleBisonsFemelles</vt:lpstr>
      <vt:lpstr>AlimentsRationHivernaleBisonsMâles</vt:lpstr>
      <vt:lpstr>AlimentsRationHivernaleBovins</vt:lpstr>
      <vt:lpstr>AlimentsRationHivernaleDaims</vt:lpstr>
      <vt:lpstr>AlimentsRationHivernaleOvins</vt:lpstr>
      <vt:lpstr>AlimentsRationOvinsFemelles</vt:lpstr>
      <vt:lpstr>AlimentsRationOvinsMâles</vt:lpstr>
      <vt:lpstr>AlimentsVolailles</vt:lpstr>
      <vt:lpstr>Avoine</vt:lpstr>
      <vt:lpstr>AvoineNécessaireBQ</vt:lpstr>
      <vt:lpstr>AvoineNécessaireMaQ</vt:lpstr>
      <vt:lpstr>AvoineNécessaireMoQ</vt:lpstr>
      <vt:lpstr>Belgique</vt:lpstr>
      <vt:lpstr>Bergerie</vt:lpstr>
      <vt:lpstr>Betterave</vt:lpstr>
      <vt:lpstr>BetteraveNécessaireBQ</vt:lpstr>
      <vt:lpstr>BetteraveNécessaireMaQ</vt:lpstr>
      <vt:lpstr>BetteraveNécessaireMoQ</vt:lpstr>
      <vt:lpstr>BilanBergerie</vt:lpstr>
      <vt:lpstr>BilanChèvreries</vt:lpstr>
      <vt:lpstr>BilanClapiers</vt:lpstr>
      <vt:lpstr>BilanEcuriesPoneys</vt:lpstr>
      <vt:lpstr>BilanEcuriesSelle</vt:lpstr>
      <vt:lpstr>BilanEcuriesTrait</vt:lpstr>
      <vt:lpstr>BilanParcsCanards</vt:lpstr>
      <vt:lpstr>BilanParcsLapins</vt:lpstr>
      <vt:lpstr>BilanParcsOies</vt:lpstr>
      <vt:lpstr>BilanParcsPintades</vt:lpstr>
      <vt:lpstr>BilanParcsPorcins</vt:lpstr>
      <vt:lpstr>BilanParcsVolailles</vt:lpstr>
      <vt:lpstr>BilanPorcheries</vt:lpstr>
      <vt:lpstr>BilanPoulaillersCanards</vt:lpstr>
      <vt:lpstr>BilanPoulaillersOies</vt:lpstr>
      <vt:lpstr>BilanPoulaillersPintades</vt:lpstr>
      <vt:lpstr>BilanPoulaillersVolailles</vt:lpstr>
      <vt:lpstr>BilanStabu</vt:lpstr>
      <vt:lpstr>bio</vt:lpstr>
      <vt:lpstr>Bisons</vt:lpstr>
      <vt:lpstr>Blé</vt:lpstr>
      <vt:lpstr>BléNécessaireBQ</vt:lpstr>
      <vt:lpstr>BléNécessaireMaQ</vt:lpstr>
      <vt:lpstr>BléNécessaireMoQ</vt:lpstr>
      <vt:lpstr>BONNE</vt:lpstr>
      <vt:lpstr>BouchonsLuzerne</vt:lpstr>
      <vt:lpstr>BouchonsLuzerneNécessaireBQ</vt:lpstr>
      <vt:lpstr>BouchonsLuzerneNécessaireMaQ</vt:lpstr>
      <vt:lpstr>BouchonsLuzerneNécessaireMoQ</vt:lpstr>
      <vt:lpstr>Bovins</vt:lpstr>
      <vt:lpstr>BovinsAuPré</vt:lpstr>
      <vt:lpstr>CalculGainLaitBovins</vt:lpstr>
      <vt:lpstr>CalculGainLaitCaprins</vt:lpstr>
      <vt:lpstr>CalculGainLaitOvins</vt:lpstr>
      <vt:lpstr>CalculGainOeufsPoules</vt:lpstr>
      <vt:lpstr>CANADA</vt:lpstr>
      <vt:lpstr>caneton_femelle_0_3_mois</vt:lpstr>
      <vt:lpstr>caneton_mâle_0_3_mois</vt:lpstr>
      <vt:lpstr>Canola</vt:lpstr>
      <vt:lpstr>CanolaNécessaireBQ</vt:lpstr>
      <vt:lpstr>CanolaNécessaireMaQ</vt:lpstr>
      <vt:lpstr>CanolaNécessaireMoQ</vt:lpstr>
      <vt:lpstr>Caprins</vt:lpstr>
      <vt:lpstr>ChanvreIndustriel</vt:lpstr>
      <vt:lpstr>ChevauxSelle</vt:lpstr>
      <vt:lpstr>ChevauxTrait</vt:lpstr>
      <vt:lpstr>chevreau_0_3_mois</vt:lpstr>
      <vt:lpstr>chevreau_3_6_mois</vt:lpstr>
      <vt:lpstr>Chèvrerie</vt:lpstr>
      <vt:lpstr>chevrette_0_3_mois</vt:lpstr>
      <vt:lpstr>chevrette_3_6_mois</vt:lpstr>
      <vt:lpstr>ChoixBovinsPréEté</vt:lpstr>
      <vt:lpstr>ChoixBovinsPréHiver</vt:lpstr>
      <vt:lpstr>ChoixCaprinsPréEté</vt:lpstr>
      <vt:lpstr>ChoixChevauxSellePréEté</vt:lpstr>
      <vt:lpstr>ChoixChevauxSellePréHiver</vt:lpstr>
      <vt:lpstr>ChoixChevauxTraitPréEté</vt:lpstr>
      <vt:lpstr>ChoixChevauxTraitPréHiver</vt:lpstr>
      <vt:lpstr>ChoixElevageBovins</vt:lpstr>
      <vt:lpstr>ChoixElevageLapins</vt:lpstr>
      <vt:lpstr>ChoixElevagePintades</vt:lpstr>
      <vt:lpstr>ChoixElevagePorcins</vt:lpstr>
      <vt:lpstr>ChoixElevageVolailles</vt:lpstr>
      <vt:lpstr>ChoixEspèceAuPré</vt:lpstr>
      <vt:lpstr>ChoixExpèceAuPré</vt:lpstr>
      <vt:lpstr>ChoixOvinsPréEté</vt:lpstr>
      <vt:lpstr>ChoixOvinsPréHiver</vt:lpstr>
      <vt:lpstr>ChoixPaillageBovins</vt:lpstr>
      <vt:lpstr>ChoixPaillageCanards</vt:lpstr>
      <vt:lpstr>ChoixPaillageCaprins</vt:lpstr>
      <vt:lpstr>ChoixPaillageChevauxSelle</vt:lpstr>
      <vt:lpstr>ChoixPaillageChevauxTrait</vt:lpstr>
      <vt:lpstr>ChoixPaillageLapins</vt:lpstr>
      <vt:lpstr>ChoixPaillageOies</vt:lpstr>
      <vt:lpstr>ChoixPaillageOiesFoieGras</vt:lpstr>
      <vt:lpstr>ChoixPaillageOvins</vt:lpstr>
      <vt:lpstr>ChoixPaillagePintades</vt:lpstr>
      <vt:lpstr>ChoixPaillagePoneys</vt:lpstr>
      <vt:lpstr>ChoixPaillagePorcins</vt:lpstr>
      <vt:lpstr>ChoixPaillageVolailles</vt:lpstr>
      <vt:lpstr>ChoixPaysPartie</vt:lpstr>
      <vt:lpstr>ChoixPoneysPréEté</vt:lpstr>
      <vt:lpstr>ChoixPoneysPréHiver</vt:lpstr>
      <vt:lpstr>ChoixRationBisons</vt:lpstr>
      <vt:lpstr>ChoixRationBovins</vt:lpstr>
      <vt:lpstr>ChoixRationCanards</vt:lpstr>
      <vt:lpstr>ChoixRationCaprins</vt:lpstr>
      <vt:lpstr>ChoixRationComplèteBisons</vt:lpstr>
      <vt:lpstr>ChoixRationComplèteBovins</vt:lpstr>
      <vt:lpstr>ChoixRationComplèteCanards</vt:lpstr>
      <vt:lpstr>ChoixRationComplèteCaprins</vt:lpstr>
      <vt:lpstr>ChoixRationComplèteDaims</vt:lpstr>
      <vt:lpstr>ChoixRationComplèteEtéChevauxSelle</vt:lpstr>
      <vt:lpstr>ChoixRationComplèteEtéChevauxTrait</vt:lpstr>
      <vt:lpstr>ChoixRationComplèteEtéPoneys</vt:lpstr>
      <vt:lpstr>ChoixRationComplèteFoieGrasCanards</vt:lpstr>
      <vt:lpstr>ChoixRationComplèteFoieGrasOies</vt:lpstr>
      <vt:lpstr>ChoixRationComplèteLapins</vt:lpstr>
      <vt:lpstr>ChoixRationComplèteOies</vt:lpstr>
      <vt:lpstr>ChoixRationComplèteOvins</vt:lpstr>
      <vt:lpstr>ChoixRationComplètePintades</vt:lpstr>
      <vt:lpstr>ChoixRationComplètePorcins</vt:lpstr>
      <vt:lpstr>ChoixRationComplètePoules</vt:lpstr>
      <vt:lpstr>ChoixRationDaims</vt:lpstr>
      <vt:lpstr>ChoixRationFoieGrasCanards</vt:lpstr>
      <vt:lpstr>ChoixRationFoieGrasOies</vt:lpstr>
      <vt:lpstr>ChoixRationHivernaleComplèteBovins</vt:lpstr>
      <vt:lpstr>ChoixRationHivernaleComplèteChevauxSelle</vt:lpstr>
      <vt:lpstr>ChoixRationHivernaleComplèteChevauxTrait</vt:lpstr>
      <vt:lpstr>ChoixRationHivernaleComplètePoneys</vt:lpstr>
      <vt:lpstr>ChoixRationHivernaleOvinsComplète</vt:lpstr>
      <vt:lpstr>ChoixRationLapins</vt:lpstr>
      <vt:lpstr>ChoixRationOies</vt:lpstr>
      <vt:lpstr>ChoixRationOvins</vt:lpstr>
      <vt:lpstr>ChoixRationPintades</vt:lpstr>
      <vt:lpstr>ChoixRationPorcins</vt:lpstr>
      <vt:lpstr>ChoixRationVolailles</vt:lpstr>
      <vt:lpstr>ChoixSéparationEcuries</vt:lpstr>
      <vt:lpstr>ChoixSéparationParcsVolailles</vt:lpstr>
      <vt:lpstr>ChoixSéparationPoulaillers</vt:lpstr>
      <vt:lpstr>ChoixSpécificité1Bisons</vt:lpstr>
      <vt:lpstr>ChoixSpécificité1FoieGrasCanards</vt:lpstr>
      <vt:lpstr>ChoixSpécificité1FoieGrasOies</vt:lpstr>
      <vt:lpstr>ChoixSpécificité2Bisons</vt:lpstr>
      <vt:lpstr>ChoixSpécificité2FoieGrasCanards</vt:lpstr>
      <vt:lpstr>ChoixSpécificité2FoieGrasOies</vt:lpstr>
      <vt:lpstr>ChoixVaccinBisons</vt:lpstr>
      <vt:lpstr>ChoixVaccinBovins</vt:lpstr>
      <vt:lpstr>ChoixVaccinCanards</vt:lpstr>
      <vt:lpstr>ChoixVaccinCaprins</vt:lpstr>
      <vt:lpstr>ChoixVaccinChevauxSelle</vt:lpstr>
      <vt:lpstr>ChoixVaccinChevauxTrait</vt:lpstr>
      <vt:lpstr>ChoixVaccinDaims</vt:lpstr>
      <vt:lpstr>ChoixVaccinLapins</vt:lpstr>
      <vt:lpstr>ChoixVaccinOies</vt:lpstr>
      <vt:lpstr>ChoixVaccinOiesFoieGras</vt:lpstr>
      <vt:lpstr>ChoixVaccinOvins</vt:lpstr>
      <vt:lpstr>ChoixVaccinPintades</vt:lpstr>
      <vt:lpstr>ChoixVaccinPoneys</vt:lpstr>
      <vt:lpstr>ChoixVaccinPorcins</vt:lpstr>
      <vt:lpstr>ChoixVaccinVolailles</vt:lpstr>
      <vt:lpstr>Clapiers</vt:lpstr>
      <vt:lpstr>CliquesIci</vt:lpstr>
      <vt:lpstr>Colza</vt:lpstr>
      <vt:lpstr>ColzaNécessaireBQ</vt:lpstr>
      <vt:lpstr>ColzaNécessaireMaQ</vt:lpstr>
      <vt:lpstr>ColzaNécessaireMoQ</vt:lpstr>
      <vt:lpstr>CommandeAvoineBQ</vt:lpstr>
      <vt:lpstr>CommandeAvoineMaQ</vt:lpstr>
      <vt:lpstr>CommandeAvoineMoQ</vt:lpstr>
      <vt:lpstr>CommandeBetteraveBQ</vt:lpstr>
      <vt:lpstr>CommandeBetteraveMaQ</vt:lpstr>
      <vt:lpstr>CommandeBetteraveMoQ</vt:lpstr>
      <vt:lpstr>CommandeBléBQ</vt:lpstr>
      <vt:lpstr>CommandeBléMaQ</vt:lpstr>
      <vt:lpstr>CommandeBléMoQ</vt:lpstr>
      <vt:lpstr>CommandeBouchonLuzerneBQ</vt:lpstr>
      <vt:lpstr>CommandeBouchonLuzerneMaQ</vt:lpstr>
      <vt:lpstr>CommandeBouchonLuzerneMoQ</vt:lpstr>
      <vt:lpstr>CommandeCanolaBQ</vt:lpstr>
      <vt:lpstr>CommandeCanolaMaQ</vt:lpstr>
      <vt:lpstr>CommandeCanolaMoQ</vt:lpstr>
      <vt:lpstr>CommandeColzaBQ</vt:lpstr>
      <vt:lpstr>CommandeColzaMaQ</vt:lpstr>
      <vt:lpstr>CommandeColzaMoQ</vt:lpstr>
      <vt:lpstr>CommandeConcentréBovinsBQ</vt:lpstr>
      <vt:lpstr>CommandeConcentréBovinsMaQ</vt:lpstr>
      <vt:lpstr>CommandeConcentréBovinsMoQ</vt:lpstr>
      <vt:lpstr>CommandeConcentréLapinsBQ</vt:lpstr>
      <vt:lpstr>CommandeConcentréLapinsMaQ</vt:lpstr>
      <vt:lpstr>CommandeConcentréLapinsMoQ</vt:lpstr>
      <vt:lpstr>CommandeConcentréPorcinsBQ</vt:lpstr>
      <vt:lpstr>CommandeConcentréPorcinsMaQ</vt:lpstr>
      <vt:lpstr>CommandeConcentréPorcinsMoQ</vt:lpstr>
      <vt:lpstr>CommandeEau</vt:lpstr>
      <vt:lpstr>CommandeEnsilageHerbeBQ</vt:lpstr>
      <vt:lpstr>CommandeEnsilageHerbeMaQ</vt:lpstr>
      <vt:lpstr>CommandeEnsilageHerbeMoQ</vt:lpstr>
      <vt:lpstr>CommandeFeveroleBQ</vt:lpstr>
      <vt:lpstr>CommandeFeveroleMaQ</vt:lpstr>
      <vt:lpstr>CommandeFeveroleMoQ</vt:lpstr>
      <vt:lpstr>CommandeFoinBQ</vt:lpstr>
      <vt:lpstr>CommandeFoinMaQ</vt:lpstr>
      <vt:lpstr>CommandeFoinMoQ</vt:lpstr>
      <vt:lpstr>CommandeMaïsEnsiléBQ</vt:lpstr>
      <vt:lpstr>CommandeMaïsEnsiléMaQ</vt:lpstr>
      <vt:lpstr>CommandeMaïsEnsiléMoQ</vt:lpstr>
      <vt:lpstr>CommandeMaïsGrainBQ</vt:lpstr>
      <vt:lpstr>CommandeMaïsGrainMaQ</vt:lpstr>
      <vt:lpstr>CommandeMaïsGrainMoQ</vt:lpstr>
      <vt:lpstr>CommandeMinérauxBQ</vt:lpstr>
      <vt:lpstr>CommandeMinérauxMaQ</vt:lpstr>
      <vt:lpstr>CommandeMinérauxMoQ</vt:lpstr>
      <vt:lpstr>CommandeOrgeBQ</vt:lpstr>
      <vt:lpstr>CommandeOrgeMaQ</vt:lpstr>
      <vt:lpstr>CommandeOrgeMoQ</vt:lpstr>
      <vt:lpstr>CommandePailleBQ</vt:lpstr>
      <vt:lpstr>CommandePailleMaQ</vt:lpstr>
      <vt:lpstr>CommandePailleMoQ</vt:lpstr>
      <vt:lpstr>CommandePoisBQ</vt:lpstr>
      <vt:lpstr>CommandePoisMaQ</vt:lpstr>
      <vt:lpstr>CommandePoisMoQ</vt:lpstr>
      <vt:lpstr>CommandeRationBisonsBQ</vt:lpstr>
      <vt:lpstr>CommandeRationBisonsMaQ</vt:lpstr>
      <vt:lpstr>CommandeRationBisonsMoQ</vt:lpstr>
      <vt:lpstr>CommandeRationBovinBQ</vt:lpstr>
      <vt:lpstr>CommandeRationBovinMaQ</vt:lpstr>
      <vt:lpstr>CommandeRationBovinMoQ</vt:lpstr>
      <vt:lpstr>CommandeRationCanardBQ</vt:lpstr>
      <vt:lpstr>CommandeRationCanardMaQ</vt:lpstr>
      <vt:lpstr>CommandeRationCanardMoQ</vt:lpstr>
      <vt:lpstr>CommandeRationCaprinsBQ</vt:lpstr>
      <vt:lpstr>CommandeRationCaprinsMaQ</vt:lpstr>
      <vt:lpstr>CommandeRationCaprinsMoQ</vt:lpstr>
      <vt:lpstr>CommandeRationChevauxSelleBQ</vt:lpstr>
      <vt:lpstr>CommandeRationChevauxSelleMaQ</vt:lpstr>
      <vt:lpstr>CommandeRationChevauxSelleMoQ</vt:lpstr>
      <vt:lpstr>CommandeRationChevauxTraitBQ</vt:lpstr>
      <vt:lpstr>CommandeRationChevauxTraitMaQ</vt:lpstr>
      <vt:lpstr>CommandeRationChevauxTraitMoQ</vt:lpstr>
      <vt:lpstr>CommandeRationDaimsBQ</vt:lpstr>
      <vt:lpstr>CommandeRationDaimsMaQ</vt:lpstr>
      <vt:lpstr>CommandeRationDaimsMoQ</vt:lpstr>
      <vt:lpstr>CommandeRationHiverBovinBQ</vt:lpstr>
      <vt:lpstr>CommandeRationHiverBovinMaQ</vt:lpstr>
      <vt:lpstr>CommandeRationHiverBovinMoQ</vt:lpstr>
      <vt:lpstr>CommandeRationHiverOvinBQ</vt:lpstr>
      <vt:lpstr>CommandeRationHiverOvinMaQ</vt:lpstr>
      <vt:lpstr>CommandeRationHiverOvinMoQ</vt:lpstr>
      <vt:lpstr>CommandeRationLapinBQ</vt:lpstr>
      <vt:lpstr>CommandeRationLapinMaQ</vt:lpstr>
      <vt:lpstr>CommandeRationLapinMoQ</vt:lpstr>
      <vt:lpstr>CommandeRationOieBQ</vt:lpstr>
      <vt:lpstr>CommandeRationOieMaQ</vt:lpstr>
      <vt:lpstr>CommandeRationOieMoQ</vt:lpstr>
      <vt:lpstr>CommandeRationOvinBQ</vt:lpstr>
      <vt:lpstr>CommandeRationOvinMaQ</vt:lpstr>
      <vt:lpstr>CommandeRationOvinMoQ</vt:lpstr>
      <vt:lpstr>CommandeRationPintadesBQ</vt:lpstr>
      <vt:lpstr>CommandeRationPintadesMaQ</vt:lpstr>
      <vt:lpstr>CommandeRationPintadesMoQ</vt:lpstr>
      <vt:lpstr>CommandeRationPoneysBQ</vt:lpstr>
      <vt:lpstr>CommandeRationPoneysMaQ</vt:lpstr>
      <vt:lpstr>CommandeRationPoneysMoQ</vt:lpstr>
      <vt:lpstr>CommandeRationPorcinsBQ</vt:lpstr>
      <vt:lpstr>CommandeRationPorcinsMaQ</vt:lpstr>
      <vt:lpstr>CommandeRationPorcinsMoQ</vt:lpstr>
      <vt:lpstr>CommandeRationVolaillesBQ</vt:lpstr>
      <vt:lpstr>CommandeRationVolaillesMaQ</vt:lpstr>
      <vt:lpstr>CommandeRationVolaillesMoQ</vt:lpstr>
      <vt:lpstr>CommandeSeigleBQ</vt:lpstr>
      <vt:lpstr>CommandeSeigleMaQ</vt:lpstr>
      <vt:lpstr>CommandeSeigleMoQ</vt:lpstr>
      <vt:lpstr>CommandeSojaBQ</vt:lpstr>
      <vt:lpstr>CommandeSojaMaQ</vt:lpstr>
      <vt:lpstr>CommandeSojaMoQ</vt:lpstr>
      <vt:lpstr>CommandeSorghoEnsiléBQ</vt:lpstr>
      <vt:lpstr>CommandeSorghoEnsiléMaQ</vt:lpstr>
      <vt:lpstr>CommandeSorghoEnsiléMoQ</vt:lpstr>
      <vt:lpstr>CommandeTournesolBQ</vt:lpstr>
      <vt:lpstr>CommandeTournesolMaQ</vt:lpstr>
      <vt:lpstr>CommandeTournesolMoQ</vt:lpstr>
      <vt:lpstr>CommandeTourteauColzaBQ</vt:lpstr>
      <vt:lpstr>CommandeTourteauColzaMaQ</vt:lpstr>
      <vt:lpstr>CommandeTourteauColzaMoQ</vt:lpstr>
      <vt:lpstr>CommandeTourteauTournesolBQ</vt:lpstr>
      <vt:lpstr>CommandeTourteauTournesolMaQ</vt:lpstr>
      <vt:lpstr>CommandeTourteauTournesolMoQ</vt:lpstr>
      <vt:lpstr>CommandeTriticaleBQ</vt:lpstr>
      <vt:lpstr>CommandeTriticaleMaQ</vt:lpstr>
      <vt:lpstr>CommandeTriticaleMoQ</vt:lpstr>
      <vt:lpstr>ConcentréBovins</vt:lpstr>
      <vt:lpstr>ConcentréBovinsNécessaireBQ</vt:lpstr>
      <vt:lpstr>ConcentréBovinsNécessaireMaQ</vt:lpstr>
      <vt:lpstr>ConcentréBovinsNécessaireMoQ</vt:lpstr>
      <vt:lpstr>ConcentréLapins</vt:lpstr>
      <vt:lpstr>ConcentréLapinsNécessaireBQ</vt:lpstr>
      <vt:lpstr>ConcentréLapinsNécessaireMaQ</vt:lpstr>
      <vt:lpstr>ConcentréLapinsNécessaireMoQ</vt:lpstr>
      <vt:lpstr>ConcentréPorcins</vt:lpstr>
      <vt:lpstr>ConcentréPorcinsNécessaireBQ</vt:lpstr>
      <vt:lpstr>ConcentréPorcinsNécessaireMaQ</vt:lpstr>
      <vt:lpstr>ConcentréPorcinsNécessaireMoQ</vt:lpstr>
      <vt:lpstr>conventionnel</vt:lpstr>
      <vt:lpstr>CoutBatiments</vt:lpstr>
      <vt:lpstr>CoutEcurie</vt:lpstr>
      <vt:lpstr>CoutPaillageAnnuelBovins</vt:lpstr>
      <vt:lpstr>CoutPaillageAnnuelCanards</vt:lpstr>
      <vt:lpstr>CoutPaillageAnnuelCaprins</vt:lpstr>
      <vt:lpstr>CoutPaillageAnnuelChevauxSelle</vt:lpstr>
      <vt:lpstr>CoutPaillageAnnuelChevauxTrait</vt:lpstr>
      <vt:lpstr>CoutPaillageAnnuelLapins</vt:lpstr>
      <vt:lpstr>CoutPaillageAnnuelOies</vt:lpstr>
      <vt:lpstr>CoutPaillageAnnuelOvins</vt:lpstr>
      <vt:lpstr>CoutPaillageAnnuelPintades</vt:lpstr>
      <vt:lpstr>CoutPaillageAnnuelPoneys</vt:lpstr>
      <vt:lpstr>CoutPaillageAnnuelPorcins</vt:lpstr>
      <vt:lpstr>CoutPaillageAnnuelVolailles</vt:lpstr>
      <vt:lpstr>CoutParcVolailles</vt:lpstr>
      <vt:lpstr>CoutPoulailler</vt:lpstr>
      <vt:lpstr>Cultures</vt:lpstr>
      <vt:lpstr>Daims</vt:lpstr>
      <vt:lpstr>DuréeDeStockage</vt:lpstr>
      <vt:lpstr>DuréePhaseElevage0_1</vt:lpstr>
      <vt:lpstr>DuréePhaseElevage1_2</vt:lpstr>
      <vt:lpstr>DuréePhaseElevage2_3</vt:lpstr>
      <vt:lpstr>DuréePhaseGavageCanards</vt:lpstr>
      <vt:lpstr>DuréePhaseGavageOie</vt:lpstr>
      <vt:lpstr>Eau</vt:lpstr>
      <vt:lpstr>EauNécessaire</vt:lpstr>
      <vt:lpstr>EcuriesPoneys</vt:lpstr>
      <vt:lpstr>EcuriesSelle</vt:lpstr>
      <vt:lpstr>EcuriesTrait</vt:lpstr>
      <vt:lpstr>Elevage</vt:lpstr>
      <vt:lpstr>ElevageLapinsConventionnel</vt:lpstr>
      <vt:lpstr>ElevagePintadesIntensif</vt:lpstr>
      <vt:lpstr>ElevagePorcinsCaillebottis</vt:lpstr>
      <vt:lpstr>ElevagePorcinsLitière</vt:lpstr>
      <vt:lpstr>ElevagePorcinsPleinAir</vt:lpstr>
      <vt:lpstr>ElevageVolaillesIntensif</vt:lpstr>
      <vt:lpstr>EnsilageHerbe</vt:lpstr>
      <vt:lpstr>EnsilageHerbeNécessaireBQ</vt:lpstr>
      <vt:lpstr>EnsilageHerbeNécessaireMaQ</vt:lpstr>
      <vt:lpstr>EnsilageHerbeNécessaireMoQ</vt:lpstr>
      <vt:lpstr>faon_mâle_0_3_mois</vt:lpstr>
      <vt:lpstr>faon_mâle_3_6_mois</vt:lpstr>
      <vt:lpstr>faon_mâle_6_12_mois</vt:lpstr>
      <vt:lpstr>FaonFemelle_0_3_mois</vt:lpstr>
      <vt:lpstr>FaonFemelle_3_6_mois</vt:lpstr>
      <vt:lpstr>FaonFemelle_6_12_mois</vt:lpstr>
      <vt:lpstr>Féverole</vt:lpstr>
      <vt:lpstr>FéveroleNécessaireBQ</vt:lpstr>
      <vt:lpstr>FéveroleNécessaireMaQ</vt:lpstr>
      <vt:lpstr>FéveroleNécessaireMoQ</vt:lpstr>
      <vt:lpstr>FoieGrasCanetons_0_1mois</vt:lpstr>
      <vt:lpstr>FoieGrasCanetons_1_2mois</vt:lpstr>
      <vt:lpstr>FoieGrasCanetons_2_3mois</vt:lpstr>
      <vt:lpstr>FoieGrasJeunesOies_3moisEtPlus</vt:lpstr>
      <vt:lpstr>FoieGrasOison_0_1mois</vt:lpstr>
      <vt:lpstr>FoieGrasOison_1_2mois</vt:lpstr>
      <vt:lpstr>FoieGrasOison_2_3mois</vt:lpstr>
      <vt:lpstr>FoieGrasTotalOisons</vt:lpstr>
      <vt:lpstr>Foin</vt:lpstr>
      <vt:lpstr>FoinNécessaireBQ</vt:lpstr>
      <vt:lpstr>FoinNécessaireMaQ</vt:lpstr>
      <vt:lpstr>FoinNécessaireMoQ</vt:lpstr>
      <vt:lpstr>France</vt:lpstr>
      <vt:lpstr>HerbeMangéeParAgneauParJour</vt:lpstr>
      <vt:lpstr>HerbeMangéeParBélierParJour</vt:lpstr>
      <vt:lpstr>HerbeMangéeParBoucParJour</vt:lpstr>
      <vt:lpstr>HerbeMangéeParBrebisParJour</vt:lpstr>
      <vt:lpstr>HerbeMangéeParChevauxSelleAdultesParJour</vt:lpstr>
      <vt:lpstr>HerbeMangéeParChevauxTraitAdultesParJour</vt:lpstr>
      <vt:lpstr>HerbeMangéeParChevreauParJour</vt:lpstr>
      <vt:lpstr>HerbeMangéeParChèvreParJour</vt:lpstr>
      <vt:lpstr>HerbeMangéeParDaimParJour</vt:lpstr>
      <vt:lpstr>HerbeMangéeParFaonParJour</vt:lpstr>
      <vt:lpstr>HerbeMangéeParGenisseParJour</vt:lpstr>
      <vt:lpstr>HerbeMangéeParJeuneBélierEtJeuneBrebisParJour</vt:lpstr>
      <vt:lpstr>HerbeMangéeParJeuneBoucEtJeuneChèvreParJour</vt:lpstr>
      <vt:lpstr>HerbeMangéeParJeuneChevauxTraitParJour</vt:lpstr>
      <vt:lpstr>HerbeMangéeParJeuneDaimParJour</vt:lpstr>
      <vt:lpstr>HerbeMangéeParJeunePoneyParJour</vt:lpstr>
      <vt:lpstr>HerbeMangéeParJeunesChevauxSelleParJour</vt:lpstr>
      <vt:lpstr>HerbeMangéeParPoneyAdulteParJour</vt:lpstr>
      <vt:lpstr>HerbeMangéeParPoulainPoneyParJour</vt:lpstr>
      <vt:lpstr>HerbeMangéeParPoulainSelleParJour</vt:lpstr>
      <vt:lpstr>HerbeMangéeParPoulainTraitParJour</vt:lpstr>
      <vt:lpstr>HerbeMangéeParTaureauParJour</vt:lpstr>
      <vt:lpstr>HerbeMangéeParTaurillonParJour</vt:lpstr>
      <vt:lpstr>HerbeMangéeParVacheParJour</vt:lpstr>
      <vt:lpstr>HerbeMangéeParVeauParJour</vt:lpstr>
      <vt:lpstr>jars</vt:lpstr>
      <vt:lpstr>jeune_bouc_6_12_mois</vt:lpstr>
      <vt:lpstr>jeune_canard_3_6_mois</vt:lpstr>
      <vt:lpstr>jeune_cane_3_6_mois</vt:lpstr>
      <vt:lpstr>jeune_chèvre_6_12_mois</vt:lpstr>
      <vt:lpstr>jeune_jars_3_6_mois</vt:lpstr>
      <vt:lpstr>jeune_oie_3_6_mois</vt:lpstr>
      <vt:lpstr>jeune_truie_3_6_mois</vt:lpstr>
      <vt:lpstr>jeune_truie_6_12_mois</vt:lpstr>
      <vt:lpstr>jeune_verrat_3_6_mois</vt:lpstr>
      <vt:lpstr>jeune_verrat_6_12_mois</vt:lpstr>
      <vt:lpstr>JeuneCoq_1_6_mois</vt:lpstr>
      <vt:lpstr>JeuneDaim_12_18_mois</vt:lpstr>
      <vt:lpstr>JeuneDaim_18_24_mois</vt:lpstr>
      <vt:lpstr>JeuneDaim_24_36_mois</vt:lpstr>
      <vt:lpstr>JeuneDaine_12_18_mois</vt:lpstr>
      <vt:lpstr>JeuneDaine_18_24_mois</vt:lpstr>
      <vt:lpstr>JeuneDaine_24_36_mois</vt:lpstr>
      <vt:lpstr>JeunePintadeFemelle_1_9_mois</vt:lpstr>
      <vt:lpstr>JeunePintadeMâle_1_9_mois</vt:lpstr>
      <vt:lpstr>JeunePoule_1_6_mois</vt:lpstr>
      <vt:lpstr>animaux!ListeBovins</vt:lpstr>
      <vt:lpstr>ListeCatégorie</vt:lpstr>
      <vt:lpstr>ListeCultures</vt:lpstr>
      <vt:lpstr>ListeCulturesBDD</vt:lpstr>
      <vt:lpstr>ListeDivers</vt:lpstr>
      <vt:lpstr>ListeMatériels</vt:lpstr>
      <vt:lpstr>ListeModèles</vt:lpstr>
      <vt:lpstr>ListePays</vt:lpstr>
      <vt:lpstr>'semences, engrais et traitement'!ListeRegions</vt:lpstr>
      <vt:lpstr>ListeRegions</vt:lpstr>
      <vt:lpstr>ListeVergersBDD</vt:lpstr>
      <vt:lpstr>Luzerne</vt:lpstr>
      <vt:lpstr>MaïsEnsilé</vt:lpstr>
      <vt:lpstr>MaïsEnsiléNécessaireBQ</vt:lpstr>
      <vt:lpstr>MaïsEnsiléNécessaireMaQ</vt:lpstr>
      <vt:lpstr>MaïsEnsiléNécessaireMoQ</vt:lpstr>
      <vt:lpstr>MaïsGrain</vt:lpstr>
      <vt:lpstr>MaïsGrainNécessaireBQ</vt:lpstr>
      <vt:lpstr>MaïsGrainNécessaireMaQ</vt:lpstr>
      <vt:lpstr>MaïsGrainNécessaireMoQ</vt:lpstr>
      <vt:lpstr>MAUVAISE</vt:lpstr>
      <vt:lpstr>Minéraux</vt:lpstr>
      <vt:lpstr>MinérauxNécessaireBQ</vt:lpstr>
      <vt:lpstr>MinérauxNécessaireMaQ</vt:lpstr>
      <vt:lpstr>MinérauxNécessaireMoQ</vt:lpstr>
      <vt:lpstr>Miscanthus</vt:lpstr>
      <vt:lpstr>Moutarde</vt:lpstr>
      <vt:lpstr>MOYENNE</vt:lpstr>
      <vt:lpstr>NbreBisonsFemellesAuPré_0_3Mois</vt:lpstr>
      <vt:lpstr>NbreBisonsFemellesAuPré_12_18Mois</vt:lpstr>
      <vt:lpstr>NbreBisonsFemellesAuPré_18_24Mois</vt:lpstr>
      <vt:lpstr>NbreBisonsFemellesAuPré_24_36Mois</vt:lpstr>
      <vt:lpstr>NbreBisonsFemellesAuPré_3_6Mois</vt:lpstr>
      <vt:lpstr>NbreBisonsFemellesAuPré_3AnsEtPlus</vt:lpstr>
      <vt:lpstr>NbreBisonsFemellesAuPré_6_12Mois</vt:lpstr>
      <vt:lpstr>NbreBisonsMâlesAuPré_0_3Mois</vt:lpstr>
      <vt:lpstr>NbreBisonsMâlesAuPré_12_18Mois</vt:lpstr>
      <vt:lpstr>NbreBisonsMâlesAuPré_18_24Mois</vt:lpstr>
      <vt:lpstr>NbreBisonsMâlesAuPré_24_36Mois</vt:lpstr>
      <vt:lpstr>NbreBisonsMâlesAuPré_3_6Mois</vt:lpstr>
      <vt:lpstr>NbreBisonsMâlesAuPré_3AnsEtPlus</vt:lpstr>
      <vt:lpstr>NbreBisonsMâlesAuPré_6_12Mois</vt:lpstr>
      <vt:lpstr>NbreBovinsAuPré</vt:lpstr>
      <vt:lpstr>NbreBovinsFemellesAuPré_0_3Mois</vt:lpstr>
      <vt:lpstr>NbreBovinsFemellesAuPré_12_18Mois</vt:lpstr>
      <vt:lpstr>NbreBovinsFemellesAuPré_18_24Mois</vt:lpstr>
      <vt:lpstr>NbreBovinsFemellesAuPré_24_36Mois</vt:lpstr>
      <vt:lpstr>NbreBovinsFemellesAuPré_3_6Mois</vt:lpstr>
      <vt:lpstr>NbreBovinsFemellesAuPré_3AnsEtPlus</vt:lpstr>
      <vt:lpstr>NbreBovinsFemellesAuPré_6_12Mois</vt:lpstr>
      <vt:lpstr>NbreBovinsMâlesAuPré_0_3Mois</vt:lpstr>
      <vt:lpstr>NbreBovinsMâlesAuPré_12_18Mois</vt:lpstr>
      <vt:lpstr>NbreBovinsMâlesAuPré_18_24Mois</vt:lpstr>
      <vt:lpstr>NbreBovinsMâlesAuPré_24_36Mois</vt:lpstr>
      <vt:lpstr>NbreBovinsMâlesAuPré_3_6Mois</vt:lpstr>
      <vt:lpstr>NbreBovinsMâlesAuPré_3AnsEtPlus</vt:lpstr>
      <vt:lpstr>NbreBovinsMâlesAuPré_6_12Mois</vt:lpstr>
      <vt:lpstr>NbreCaprinsFemellesAuPré_0_3Mois</vt:lpstr>
      <vt:lpstr>NbreCaprinsFemellesAuPré_12_18Mois</vt:lpstr>
      <vt:lpstr>NbreCaprinsFemellesAuPré_18_24Mois</vt:lpstr>
      <vt:lpstr>NbreCaprinsFemellesAuPré_24_36Mois</vt:lpstr>
      <vt:lpstr>NbreCaprinsFemellesAuPré_3_6Mois</vt:lpstr>
      <vt:lpstr>NbreCaprinsFemellesAuPré_3AnsEtPlus</vt:lpstr>
      <vt:lpstr>NbreCaprinsFemellesAuPré_6_12Mois</vt:lpstr>
      <vt:lpstr>NbreCaprinsMâlesAuPré_0_3Mois</vt:lpstr>
      <vt:lpstr>NbreCaprinsMâlesAuPré_12_18Mois</vt:lpstr>
      <vt:lpstr>NbreCaprinsMâlesAuPré_18_24Mois</vt:lpstr>
      <vt:lpstr>NbreCaprinsMâlesAuPré_24_36Mois</vt:lpstr>
      <vt:lpstr>NbreCaprinsMâlesAuPré_3_6Mois</vt:lpstr>
      <vt:lpstr>NbreCaprinsMâlesAuPré_3AnsEtPlus</vt:lpstr>
      <vt:lpstr>NbreCaprinsMâlesAuPré_6_12Mois</vt:lpstr>
      <vt:lpstr>NbreChevauxSelleFemellesAuPré_0_3Mois</vt:lpstr>
      <vt:lpstr>NbreChevauxSelleFemellesAuPré_12_18Mois</vt:lpstr>
      <vt:lpstr>NbreChevauxSelleFemellesAuPré_18_24Mois</vt:lpstr>
      <vt:lpstr>NbreChevauxSelleFemellesAuPré_24_36Mois</vt:lpstr>
      <vt:lpstr>NbreChevauxSelleFemellesAuPré_3_6Mois</vt:lpstr>
      <vt:lpstr>NbreChevauxSelleFemellesAuPré_3AnsEtPlus</vt:lpstr>
      <vt:lpstr>NbreChevauxSelleFemellesAuPré_6_12Mois</vt:lpstr>
      <vt:lpstr>NbreChevauxSelleMâlesAuPré_0_3Mois</vt:lpstr>
      <vt:lpstr>NbreChevauxSelleMâlesAuPré_12_18Mois</vt:lpstr>
      <vt:lpstr>NbreChevauxSelleMâlesAuPré_18_24Mois</vt:lpstr>
      <vt:lpstr>NbreChevauxSelleMâlesAuPré_24_36Mois</vt:lpstr>
      <vt:lpstr>NbreChevauxSelleMâlesAuPré_3_6Mois</vt:lpstr>
      <vt:lpstr>NbreChevauxSelleMâlesAuPré_3AnsEtPlus</vt:lpstr>
      <vt:lpstr>NbreChevauxSelleMâlesAuPré_6_12Mois</vt:lpstr>
      <vt:lpstr>NbreChevauxTraitFemellesAuPré_0_3Mois</vt:lpstr>
      <vt:lpstr>NbreChevauxTraitFemellesAuPré_12_18Mois</vt:lpstr>
      <vt:lpstr>NbreChevauxTraitFemellesAuPré_18_24Mois</vt:lpstr>
      <vt:lpstr>NbreChevauxTraitFemellesAuPré_24_36Mois</vt:lpstr>
      <vt:lpstr>NbreChevauxTraitFemellesAuPré_3_6Mois</vt:lpstr>
      <vt:lpstr>NbreChevauxTraitFemellesAuPré_3AnsEtPlus</vt:lpstr>
      <vt:lpstr>NbreChevauxTraitFemellesAuPré_6_12Mois</vt:lpstr>
      <vt:lpstr>NbreChevauxTraitMâlesAuPré_0_3Mois</vt:lpstr>
      <vt:lpstr>NbreChevauxTraitMâlesAuPré_12_18Mois</vt:lpstr>
      <vt:lpstr>NbreChevauxTraitMâlesAuPré_18_24Mois</vt:lpstr>
      <vt:lpstr>NbreChevauxTraitMâlesAuPré_24_36Mois</vt:lpstr>
      <vt:lpstr>NbreChevauxTraitMâlesAuPré_3_6Mois</vt:lpstr>
      <vt:lpstr>NbreChevauxTraitMâlesAuPré_3AnsEtPlus</vt:lpstr>
      <vt:lpstr>NbreChevauxTraitMâlesAuPré_6_12Mois</vt:lpstr>
      <vt:lpstr>NbreDaimsFemellesAuPré_0_3Mois</vt:lpstr>
      <vt:lpstr>NbreDaimsFemellesAuPré_12_18Mois</vt:lpstr>
      <vt:lpstr>NbreDaimsFemellesAuPré_18_24Mois</vt:lpstr>
      <vt:lpstr>NbreDaimsFemellesAuPré_24_36Mois</vt:lpstr>
      <vt:lpstr>NbreDaimsFemellesAuPré_3_6Mois</vt:lpstr>
      <vt:lpstr>NbreDaimsFemellesAuPré_3AnsEtPlus</vt:lpstr>
      <vt:lpstr>NbreDaimsFemellesAuPré_6_12Mois</vt:lpstr>
      <vt:lpstr>NbreDaimsMâlesAuPré_0_3Mois</vt:lpstr>
      <vt:lpstr>NbreDaimsMâlesAuPré_12_18Mois</vt:lpstr>
      <vt:lpstr>NbreDaimsMâlesAuPré_18_24Mois</vt:lpstr>
      <vt:lpstr>NbreDaimsMâlesAuPré_24_36Mois</vt:lpstr>
      <vt:lpstr>NbreDaimsMâlesAuPré_3_6Mois</vt:lpstr>
      <vt:lpstr>NbreDaimsMâlesAuPré_3AnsEtPlus</vt:lpstr>
      <vt:lpstr>NbreDaimsMâlesAuPré_6_12Mois</vt:lpstr>
      <vt:lpstr>NbreFemelles_0_3MoisAuPréEté</vt:lpstr>
      <vt:lpstr>NbreFemelles_12_18MoisAuPréEté</vt:lpstr>
      <vt:lpstr>NbreFemelles_18_24MoisAuPréEté</vt:lpstr>
      <vt:lpstr>NbreFemelles_24_36MoisAuPréEté</vt:lpstr>
      <vt:lpstr>NbreFemelles_3_6MoisAuPréEté</vt:lpstr>
      <vt:lpstr>NbreFemelles_3_AnsEtPlusAuPréEté</vt:lpstr>
      <vt:lpstr>NbreFemelles_6_12MoisAuPréEté</vt:lpstr>
      <vt:lpstr>NbreJoursMaxBovinsAuPré</vt:lpstr>
      <vt:lpstr>NbreJoursMaxCaprinsAuPré</vt:lpstr>
      <vt:lpstr>NbreJoursMaxChevauxSelleAuPré</vt:lpstr>
      <vt:lpstr>NbreJoursMaxChevauxTraitAuPré</vt:lpstr>
      <vt:lpstr>NbreJoursMaxOvinsAuPré</vt:lpstr>
      <vt:lpstr>NbreJoursMaxPoneysAuPré</vt:lpstr>
      <vt:lpstr>NbreJoursNourrirAutres</vt:lpstr>
      <vt:lpstr>NbreJoursNourrirBisonsDaims</vt:lpstr>
      <vt:lpstr>NbreJoursNourrirBovins</vt:lpstr>
      <vt:lpstr>NbreJoursNourrirCaprins</vt:lpstr>
      <vt:lpstr>NbreJoursNourrirChevauxSelle</vt:lpstr>
      <vt:lpstr>NbreJoursNourrirChevauxTrait</vt:lpstr>
      <vt:lpstr>NbreJoursNourrirOvins</vt:lpstr>
      <vt:lpstr>NbreJoursNourrirPoneys</vt:lpstr>
      <vt:lpstr>NbreMâles_0_3MoisAuPréEté</vt:lpstr>
      <vt:lpstr>NbreMâles_12_18MoisAuPréEté</vt:lpstr>
      <vt:lpstr>NbreMâles_18_24MoisAuPréEté</vt:lpstr>
      <vt:lpstr>NbreMâles_24_36MoisAuPréEté</vt:lpstr>
      <vt:lpstr>NbreMâles_3_6MoisAuPréEté</vt:lpstr>
      <vt:lpstr>NbreMâles_3_AnsEtPlusAuPréEté</vt:lpstr>
      <vt:lpstr>NbreMâles_6_12MoisAuPréEté</vt:lpstr>
      <vt:lpstr>NbreOvinsFemellesAuPré_0_3Mois</vt:lpstr>
      <vt:lpstr>NbreOvinsFemellesAuPré_12_18Mois</vt:lpstr>
      <vt:lpstr>NbreOvinsFemellesAuPré_18_24Mois</vt:lpstr>
      <vt:lpstr>NbreOvinsFemellesAuPré_24_36Mois</vt:lpstr>
      <vt:lpstr>NbreOvinsFemellesAuPré_3_6Mois</vt:lpstr>
      <vt:lpstr>NbreOvinsFemellesAuPré_3AnsEtPlus</vt:lpstr>
      <vt:lpstr>NbreOvinsFemellesAuPré_6_12Mois</vt:lpstr>
      <vt:lpstr>NbreOvinsMâlesAuPré_0_3Mois</vt:lpstr>
      <vt:lpstr>NbreOvinsMâlesAuPré_12_18Mois</vt:lpstr>
      <vt:lpstr>NbreOvinsMâlesAuPré_18_24Mois</vt:lpstr>
      <vt:lpstr>NbreOvinsMâlesAuPré_24_36Mois</vt:lpstr>
      <vt:lpstr>NbreOvinsMâlesAuPré_3_6Mois</vt:lpstr>
      <vt:lpstr>NbreOvinsMâlesAuPré_3AnsEtPlus</vt:lpstr>
      <vt:lpstr>NbreOvinsMâlesAuPré_6_12Mois</vt:lpstr>
      <vt:lpstr>NbrePoneysFemellesAuPré_0_3Mois</vt:lpstr>
      <vt:lpstr>NbrePoneysFemellesAuPré_12_18Mois</vt:lpstr>
      <vt:lpstr>NbrePoneysFemellesAuPré_18_24Mois</vt:lpstr>
      <vt:lpstr>NbrePoneysFemellesAuPré_24_36Mois</vt:lpstr>
      <vt:lpstr>NbrePoneysFemellesAuPré_3_6Mois</vt:lpstr>
      <vt:lpstr>NbrePoneysFemellesAuPré_3AnsEtPlus</vt:lpstr>
      <vt:lpstr>NbrePoneysFemellesAuPré_6_12Mois</vt:lpstr>
      <vt:lpstr>NbrePoneysMâlesAuPré_0_3Mois</vt:lpstr>
      <vt:lpstr>NbrePoneysMâlesAuPré_12_18Mois</vt:lpstr>
      <vt:lpstr>NbrePoneysMâlesAuPré_18_24Mois</vt:lpstr>
      <vt:lpstr>NbrePoneysMâlesAuPré_24_36Mois</vt:lpstr>
      <vt:lpstr>NbrePoneysMâlesAuPré_3_6Mois</vt:lpstr>
      <vt:lpstr>NbrePoneysMâlesAuPré_3AnsEtPlus</vt:lpstr>
      <vt:lpstr>NbrePoneysMâlesAuPré_6_12Mois</vt:lpstr>
      <vt:lpstr>NON</vt:lpstr>
      <vt:lpstr>oie</vt:lpstr>
      <vt:lpstr>oison_femelle_0_3_mois</vt:lpstr>
      <vt:lpstr>oison_mâle_0_3_mois</vt:lpstr>
      <vt:lpstr>Orge</vt:lpstr>
      <vt:lpstr>OrgeNécessaireBQ</vt:lpstr>
      <vt:lpstr>OrgeNécessaireMaQ</vt:lpstr>
      <vt:lpstr>OrgeNécessaireMoQ</vt:lpstr>
      <vt:lpstr>OUI</vt:lpstr>
      <vt:lpstr>Ovins</vt:lpstr>
      <vt:lpstr>Paille</vt:lpstr>
      <vt:lpstr>PailleNécessaireBQ</vt:lpstr>
      <vt:lpstr>PailleNécessaireMaQ</vt:lpstr>
      <vt:lpstr>PailleNécessaireMoQ</vt:lpstr>
      <vt:lpstr>ParcsCanards</vt:lpstr>
      <vt:lpstr>ParcsLapins</vt:lpstr>
      <vt:lpstr>ParcsOies</vt:lpstr>
      <vt:lpstr>ParcsPintades</vt:lpstr>
      <vt:lpstr>ParcsPorcins</vt:lpstr>
      <vt:lpstr>ParcsVolailles</vt:lpstr>
      <vt:lpstr>Phacélie</vt:lpstr>
      <vt:lpstr>pintadeau_mâle_0_1_mois</vt:lpstr>
      <vt:lpstr>PintadeauFemelle_0_1_mois</vt:lpstr>
      <vt:lpstr>PlaceRestanteDansEntrepôtsAprèsCommande</vt:lpstr>
      <vt:lpstr>Pois</vt:lpstr>
      <vt:lpstr>PoisNécessaireBQ</vt:lpstr>
      <vt:lpstr>PoisNécessaireMaQ</vt:lpstr>
      <vt:lpstr>PoisNécessaireMoQ</vt:lpstr>
      <vt:lpstr>Poneys</vt:lpstr>
      <vt:lpstr>porcelet_femelle_0_1_mois</vt:lpstr>
      <vt:lpstr>porcelet_femelle_1_3_mois</vt:lpstr>
      <vt:lpstr>porcelet_mâle_0_1_mois</vt:lpstr>
      <vt:lpstr>porcelet_mâle_1_3_mois</vt:lpstr>
      <vt:lpstr>Porcherie</vt:lpstr>
      <vt:lpstr>PoulaillerCanards</vt:lpstr>
      <vt:lpstr>PoulaillerOies</vt:lpstr>
      <vt:lpstr>PoulaillerPintades</vt:lpstr>
      <vt:lpstr>PoulaillersVolailles</vt:lpstr>
      <vt:lpstr>poussin_femelle_0_1_mois</vt:lpstr>
      <vt:lpstr>PrixAvoine</vt:lpstr>
      <vt:lpstr>PrixAzote</vt:lpstr>
      <vt:lpstr>PrixBetterave</vt:lpstr>
      <vt:lpstr>PrixBlé</vt:lpstr>
      <vt:lpstr>PrixBouchonsLuzerne</vt:lpstr>
      <vt:lpstr>PrixCalcium</vt:lpstr>
      <vt:lpstr>PrixCanola</vt:lpstr>
      <vt:lpstr>PrixColza</vt:lpstr>
      <vt:lpstr>PrixConcentréBovin</vt:lpstr>
      <vt:lpstr>PrixConcentréLapin</vt:lpstr>
      <vt:lpstr>PrixConcentréPorcin</vt:lpstr>
      <vt:lpstr>PrixDéfanageChimique</vt:lpstr>
      <vt:lpstr>PrixEau</vt:lpstr>
      <vt:lpstr>PrixEngraisCerisier</vt:lpstr>
      <vt:lpstr>PrixEngraisFramboisier</vt:lpstr>
      <vt:lpstr>PrixEngraisGroseiller</vt:lpstr>
      <vt:lpstr>PrixEngraisMirabellier</vt:lpstr>
      <vt:lpstr>PrixEngraisMyrtillers</vt:lpstr>
      <vt:lpstr>PrixEngraisNoyers</vt:lpstr>
      <vt:lpstr>PrixEngraisOliviers</vt:lpstr>
      <vt:lpstr>PrixEngraisPêchers</vt:lpstr>
      <vt:lpstr>PrixEngraisPoiriers</vt:lpstr>
      <vt:lpstr>PrixEngraisPommiers</vt:lpstr>
      <vt:lpstr>PrixEngraisPruniers</vt:lpstr>
      <vt:lpstr>PrixEnsilageHerbe</vt:lpstr>
      <vt:lpstr>PrixFeverole</vt:lpstr>
      <vt:lpstr>PrixFoin</vt:lpstr>
      <vt:lpstr>PrixFongicide</vt:lpstr>
      <vt:lpstr>PrixHerbicide</vt:lpstr>
      <vt:lpstr>PrixInsecticide</vt:lpstr>
      <vt:lpstr>PrixMagnésium</vt:lpstr>
      <vt:lpstr>PrixMaïsEnsilé</vt:lpstr>
      <vt:lpstr>PrixMaïsGrain</vt:lpstr>
      <vt:lpstr>PrixMinéraux</vt:lpstr>
      <vt:lpstr>PrixOrge</vt:lpstr>
      <vt:lpstr>PrixPaille</vt:lpstr>
      <vt:lpstr>PrixPhosphore</vt:lpstr>
      <vt:lpstr>PrixPois</vt:lpstr>
      <vt:lpstr>PrixPotassium</vt:lpstr>
      <vt:lpstr>PrixRationBisons</vt:lpstr>
      <vt:lpstr>PrixRationBovins</vt:lpstr>
      <vt:lpstr>PrixRationCanards</vt:lpstr>
      <vt:lpstr>PrixRationCaprins</vt:lpstr>
      <vt:lpstr>PrixRationChevauxSelle</vt:lpstr>
      <vt:lpstr>PrixRationChevauxTrait</vt:lpstr>
      <vt:lpstr>PrixRationDaims</vt:lpstr>
      <vt:lpstr>PrixRationHiverBovins</vt:lpstr>
      <vt:lpstr>PrixRationHiverOvins</vt:lpstr>
      <vt:lpstr>PrixRationLapins</vt:lpstr>
      <vt:lpstr>PrixRationOies</vt:lpstr>
      <vt:lpstr>PrixRationOvins</vt:lpstr>
      <vt:lpstr>PrixRationPintades</vt:lpstr>
      <vt:lpstr>PrixRationPoneys</vt:lpstr>
      <vt:lpstr>PrixRationPorcins</vt:lpstr>
      <vt:lpstr>PrixRationVolailles</vt:lpstr>
      <vt:lpstr>PrixSeigle</vt:lpstr>
      <vt:lpstr>PrixSoja</vt:lpstr>
      <vt:lpstr>PrixSorghoEnsilé</vt:lpstr>
      <vt:lpstr>PrixSoufre</vt:lpstr>
      <vt:lpstr>PrixTournesol</vt:lpstr>
      <vt:lpstr>PrixTourteauColza</vt:lpstr>
      <vt:lpstr>PrixTourteauTournesol</vt:lpstr>
      <vt:lpstr>PrixTraitementCerisiers</vt:lpstr>
      <vt:lpstr>PrixTraitementFramboisiers</vt:lpstr>
      <vt:lpstr>PrixTraitementGroseillers</vt:lpstr>
      <vt:lpstr>PrixTraitementMirabelliers</vt:lpstr>
      <vt:lpstr>PrixTraitementMyrtillers</vt:lpstr>
      <vt:lpstr>PrixTraitementNoyers</vt:lpstr>
      <vt:lpstr>PrixTraitementOliviers</vt:lpstr>
      <vt:lpstr>PrixTraitementPêchers</vt:lpstr>
      <vt:lpstr>PrixTraitementPoiriers</vt:lpstr>
      <vt:lpstr>PrixTraitementPommiers</vt:lpstr>
      <vt:lpstr>PrixTraitementPruniers</vt:lpstr>
      <vt:lpstr>PrixTriticale</vt:lpstr>
      <vt:lpstr>PrixVaccinBison</vt:lpstr>
      <vt:lpstr>PrixVaccinBovin</vt:lpstr>
      <vt:lpstr>PrixVaccinCanard</vt:lpstr>
      <vt:lpstr>PrixVaccinCaprin</vt:lpstr>
      <vt:lpstr>PrixVaccinChevauxSelle</vt:lpstr>
      <vt:lpstr>PrixVaccinChevauxTrait</vt:lpstr>
      <vt:lpstr>PrixVaccinDaim</vt:lpstr>
      <vt:lpstr>PrixVaccinLapin</vt:lpstr>
      <vt:lpstr>PrixVaccinOie</vt:lpstr>
      <vt:lpstr>PrixVaccinOvin</vt:lpstr>
      <vt:lpstr>PrixVaccinPintade</vt:lpstr>
      <vt:lpstr>prixVaccinPoney</vt:lpstr>
      <vt:lpstr>PrixVaccinPorcin</vt:lpstr>
      <vt:lpstr>PrixVaccinVolaille</vt:lpstr>
      <vt:lpstr>PrixVenteCulturesConventionnel</vt:lpstr>
      <vt:lpstr>PrixVenteLaitBioBovins</vt:lpstr>
      <vt:lpstr>PrixVenteLaitBioCaprins</vt:lpstr>
      <vt:lpstr>PrixVenteLaitBioOvins</vt:lpstr>
      <vt:lpstr>PrixVenteLaitConventionnelBovins</vt:lpstr>
      <vt:lpstr>PrixVenteLaitConventionnelCaprins</vt:lpstr>
      <vt:lpstr>PrixVenteLaitConventionnelOvins</vt:lpstr>
      <vt:lpstr>ProductionLaitBovins</vt:lpstr>
      <vt:lpstr>ProductionLaitCaprins</vt:lpstr>
      <vt:lpstr>ProductionLaitOvins</vt:lpstr>
      <vt:lpstr>QL_bovins</vt:lpstr>
      <vt:lpstr>QL_caprins</vt:lpstr>
      <vt:lpstr>QL_ovins</vt:lpstr>
      <vt:lpstr>QtéArticleDansEntrepôt</vt:lpstr>
      <vt:lpstr>QtéRationComplèteHivernaleBison_0_3Mois</vt:lpstr>
      <vt:lpstr>QtéRationComplèteHivernaleBison_12_18Mois</vt:lpstr>
      <vt:lpstr>QtéRationComplèteHivernaleBison_18_24Mois</vt:lpstr>
      <vt:lpstr>QtéRationComplèteHivernaleBison_24_36Mois</vt:lpstr>
      <vt:lpstr>QtéRationComplèteHivernaleBison_3_6Mois</vt:lpstr>
      <vt:lpstr>QtéRationComplèteHivernaleBison_3AnsEtPlus</vt:lpstr>
      <vt:lpstr>QtéRationComplèteHivernaleBison_6_12Mois</vt:lpstr>
      <vt:lpstr>QtéRationComplèteHivernaleBovin_0_3Mois</vt:lpstr>
      <vt:lpstr>QtéRationComplèteHivernaleBovin_12_18Mois</vt:lpstr>
      <vt:lpstr>QtéRationComplèteHivernaleBovin_18_24Mois</vt:lpstr>
      <vt:lpstr>QtéRationComplèteHivernaleBovin_24_36Mois</vt:lpstr>
      <vt:lpstr>QtéRationComplèteHivernaleBovin_3_6Mois</vt:lpstr>
      <vt:lpstr>QtéRationComplèteHivernaleBovin_3AnsEtPlus</vt:lpstr>
      <vt:lpstr>QtéRationComplèteHivernaleBovin_6_12Mois</vt:lpstr>
      <vt:lpstr>QtéRationComplèteHivernaleChevauxSelle0_12Mois</vt:lpstr>
      <vt:lpstr>QtéRationComplèteHivernaleChevauxSelle12_14Mois</vt:lpstr>
      <vt:lpstr>QtéRationComplèteHivernaleChevauxSelle24_36Mois</vt:lpstr>
      <vt:lpstr>QtéRationComplèteHivernaleChevauxSelle3AnsEtPlus</vt:lpstr>
      <vt:lpstr>QtéRationComplèteHivernaleChevauxTrait_0_12Mois</vt:lpstr>
      <vt:lpstr>QtéRationComplèteHivernaleChevauxTrait_12_24Mois</vt:lpstr>
      <vt:lpstr>QtéRationComplèteHivernaleChevauxTrait_24_36Mois</vt:lpstr>
      <vt:lpstr>QtéRationComplèteHivernaleChevauxTrait_3AnsEtPlus</vt:lpstr>
      <vt:lpstr>QtéRationComplèteHivernaleDaim_0_3Mois</vt:lpstr>
      <vt:lpstr>QtéRationComplèteHivernaleDaim_12_18Mois</vt:lpstr>
      <vt:lpstr>QtéRationComplèteHivernaleDaim_18_24Mois</vt:lpstr>
      <vt:lpstr>QtéRationComplèteHivernaleDaim_24_36Mois</vt:lpstr>
      <vt:lpstr>QtéRationComplèteHivernaleDaim_3_6Mois</vt:lpstr>
      <vt:lpstr>QtéRationComplèteHivernaleDaim_3AnsEtPlus</vt:lpstr>
      <vt:lpstr>QtéRationComplèteHivernaleDaim_6_12Mois</vt:lpstr>
      <vt:lpstr>QtéRationComplèteHivernaleOvin_0_3Mois</vt:lpstr>
      <vt:lpstr>QtéRationComplèteHivernaleOvin_1AnEtPlus</vt:lpstr>
      <vt:lpstr>QtéRationComplèteHivernaleOvin_3_6Mois</vt:lpstr>
      <vt:lpstr>QtéRationComplèteHivernaleOvin_6_12Mois</vt:lpstr>
      <vt:lpstr>QtéRationComplèteHivernalePoneys_0_12Mois</vt:lpstr>
      <vt:lpstr>QtéRationComplèteHivernalePoneys_12_24Mois</vt:lpstr>
      <vt:lpstr>QtéRationComplèteHivernalePoneys_24_36Mois</vt:lpstr>
      <vt:lpstr>QtéRationComplèteHivernalePoneys_3AnsEtPlus</vt:lpstr>
      <vt:lpstr>QualitéAlimentsAgneauFemelle_0_3_mois</vt:lpstr>
      <vt:lpstr>QualitéAlimentsAgneauFemelle_3_6_mois</vt:lpstr>
      <vt:lpstr>QualitéAlimentsAgneauMâle_0_3_mois</vt:lpstr>
      <vt:lpstr>QualitéAlimentsAgneauMâle_3_6_mois</vt:lpstr>
      <vt:lpstr>QualitéAlimentsBélier</vt:lpstr>
      <vt:lpstr>QualitéAlimentsBisonneauxFemelles_0_3_mois</vt:lpstr>
      <vt:lpstr>QualitéAlimentsBisonneauxFemelles_3_6_mois</vt:lpstr>
      <vt:lpstr>QualitéAlimentsBisonneauxFemelles_6_12_mois</vt:lpstr>
      <vt:lpstr>QualitéAlimentsBisonneauxMâles_0_3_mois</vt:lpstr>
      <vt:lpstr>QualitéAlimentsBisonneauxMâles_3_6_mois</vt:lpstr>
      <vt:lpstr>QualitéAlimentsBisonneauxMâles_6_12_mois</vt:lpstr>
      <vt:lpstr>QualitéAlimentsBisonnes</vt:lpstr>
      <vt:lpstr>QualitéAlimentsBisons</vt:lpstr>
      <vt:lpstr>QualitéAlimentsBouc</vt:lpstr>
      <vt:lpstr>QualitéAlimentsBovins</vt:lpstr>
      <vt:lpstr>QualitéAlimentsBrebis</vt:lpstr>
      <vt:lpstr>QualitéAlimentsCanard</vt:lpstr>
      <vt:lpstr>QualitéAlimentsCane</vt:lpstr>
      <vt:lpstr>QualitéAlimentsCanetonFemelle</vt:lpstr>
      <vt:lpstr>QualitéAlimentsCanetonMâle</vt:lpstr>
      <vt:lpstr>QualitéAlimentsCaprins</vt:lpstr>
      <vt:lpstr>QualitéAlimentsChèvre</vt:lpstr>
      <vt:lpstr>QualitéAlimentsChevreau_0_3_mois</vt:lpstr>
      <vt:lpstr>QualitéAlimentsChevreau_3_6_mois</vt:lpstr>
      <vt:lpstr>QualitéAlimentsChevrette_0_3_mois</vt:lpstr>
      <vt:lpstr>QualitéAlimentsChevrette_3_6_mois</vt:lpstr>
      <vt:lpstr>QualitéAlimentsCoq</vt:lpstr>
      <vt:lpstr>QualitéAlimentsDaim</vt:lpstr>
      <vt:lpstr>QualitéAlimentsDaine</vt:lpstr>
      <vt:lpstr>QualitéAlimentsEtalonPoney</vt:lpstr>
      <vt:lpstr>QualitéAlimentsEtalonSelle</vt:lpstr>
      <vt:lpstr>QualitéAlimentsEtalonTrait</vt:lpstr>
      <vt:lpstr>QualitéAlimentsFaonFemelle_0_3_mois</vt:lpstr>
      <vt:lpstr>QualitéAlimentsFaonFemelle_3_6_mois</vt:lpstr>
      <vt:lpstr>QualitéAlimentsFaonFemelle_6_12_mois</vt:lpstr>
      <vt:lpstr>QualitéAlimentsFaonMâle_0_3_mois</vt:lpstr>
      <vt:lpstr>QualitéAlimentsFaonMâle_3_6_mois</vt:lpstr>
      <vt:lpstr>QualitéAlimentsFaonMâle_6_12_mois</vt:lpstr>
      <vt:lpstr>QualitéAlimentsGavageCaneton_0_1_mois</vt:lpstr>
      <vt:lpstr>QualitéAlimentsGavageCaneton_1_2_mois</vt:lpstr>
      <vt:lpstr>QualitéAlimentsGavageCaneton_2_3_mois</vt:lpstr>
      <vt:lpstr>QualitéAlimentsGavageJeuneCanard</vt:lpstr>
      <vt:lpstr>QualitéAlimentsGavageJeunesOies</vt:lpstr>
      <vt:lpstr>QualitéAlimentsGavageOison_0_1_mois</vt:lpstr>
      <vt:lpstr>QualitéAlimentsGavageOison_1_2_mois</vt:lpstr>
      <vt:lpstr>QualitéAlimentsGavageOison_2_3_mois</vt:lpstr>
      <vt:lpstr>QualitéAlimentsGénisses_12_18_mois</vt:lpstr>
      <vt:lpstr>QualitéAlimentsGénisses_18_24_mois</vt:lpstr>
      <vt:lpstr>QualitéAlimentsGénisses_24_36_mois</vt:lpstr>
      <vt:lpstr>QualitéAlimentsJars</vt:lpstr>
      <vt:lpstr>QualitéAlimentsJeuneBélier</vt:lpstr>
      <vt:lpstr>QualitéAlimentsJeuneBouc</vt:lpstr>
      <vt:lpstr>QualitéAlimentsJeuneBrebis</vt:lpstr>
      <vt:lpstr>QualitéAlimentsJeuneCanard</vt:lpstr>
      <vt:lpstr>QualitéAlimentsJeuneCane</vt:lpstr>
      <vt:lpstr>QualitéAlimentsJeuneChèvre</vt:lpstr>
      <vt:lpstr>QualitéAlimentsJeuneCoq</vt:lpstr>
      <vt:lpstr>QualitéAlimentsJeuneDaim_12_18_mois</vt:lpstr>
      <vt:lpstr>QualitéAlimentsJeuneDaim_18_24_mois</vt:lpstr>
      <vt:lpstr>QualitéAlimentsJeuneDaim_24_36_mois</vt:lpstr>
      <vt:lpstr>QualitéAlimentsJeuneDaine_12_18_mois</vt:lpstr>
      <vt:lpstr>QualitéAlimentsJeuneDaine_18_24_mois</vt:lpstr>
      <vt:lpstr>QualitéAlimentsJeuneDaine_24_36_mois</vt:lpstr>
      <vt:lpstr>QualitéAlimentsJeuneEtalon_12_24_moisPoney</vt:lpstr>
      <vt:lpstr>QualitéAlimentsJeuneEtalon_12_24_moisSelle</vt:lpstr>
      <vt:lpstr>QualitéAlimentsJeuneEtalon_12_24_moisTrait</vt:lpstr>
      <vt:lpstr>QualitéAlimentsJeuneEtalon_24_36_moisPoney</vt:lpstr>
      <vt:lpstr>QualitéAlimentsJeuneEtalon_24_36_moisSelle</vt:lpstr>
      <vt:lpstr>QualitéAlimentsJeuneEtalon_24_36_moisTrait</vt:lpstr>
      <vt:lpstr>QualitéAlimentsJeuneJars</vt:lpstr>
      <vt:lpstr>QualitéAlimentsJeuneJument_12_24_moisPoney</vt:lpstr>
      <vt:lpstr>QualitéAlimentsJeuneJument_12_24_moisSelle</vt:lpstr>
      <vt:lpstr>QualitéAlimentsJeuneJument_12_24_moisTrait</vt:lpstr>
      <vt:lpstr>QualitéAlimentsJeuneJument_24_36_moisPoney</vt:lpstr>
      <vt:lpstr>QualitéAlimentsJeuneJument_24_36_moisSelle</vt:lpstr>
      <vt:lpstr>QualitéAlimentsJeuneJument_24_36_moisTrait</vt:lpstr>
      <vt:lpstr>QualitéAlimentsJeuneLapin</vt:lpstr>
      <vt:lpstr>QualitéAlimentsJeuneLapine</vt:lpstr>
      <vt:lpstr>QualitéAlimentsJeuneOie</vt:lpstr>
      <vt:lpstr>QualitéAlimentsJeunePintadeFemelle</vt:lpstr>
      <vt:lpstr>QualitéAlimentsJeunePintadeMâle</vt:lpstr>
      <vt:lpstr>QualitéAlimentsJeunePoule</vt:lpstr>
      <vt:lpstr>QualitéAlimentsJeunesBisonnes_12_18_mois</vt:lpstr>
      <vt:lpstr>QualitéAlimentsJeunesBisonnes_18_24_mois</vt:lpstr>
      <vt:lpstr>QualitéAlimentsJeunesBisonnes_24_36_mois</vt:lpstr>
      <vt:lpstr>QualitéAlimentsJeunesBisons_12_18_mois</vt:lpstr>
      <vt:lpstr>QualitéAlimentsJeunesBisons_18_24_mois</vt:lpstr>
      <vt:lpstr>QualitéAlimentsJeunesBisons_24_36_mois</vt:lpstr>
      <vt:lpstr>QualitéAlimentsJeuneTruie_3_6_mois</vt:lpstr>
      <vt:lpstr>QualitéAlimentsJeuneTruie_6_12_mois</vt:lpstr>
      <vt:lpstr>QualitéAlimentsJeuneVerrat_3_6_mois</vt:lpstr>
      <vt:lpstr>QualitéAlimentsJeuneVerrat_6_12_mois</vt:lpstr>
      <vt:lpstr>QualitéAlimentsJumentPoney</vt:lpstr>
      <vt:lpstr>QualitéAlimentsJumentSelle</vt:lpstr>
      <vt:lpstr>QualitéAlimentsJumentTrait</vt:lpstr>
      <vt:lpstr>QualitéAlimentsLapereauFemelle_0_1_mois</vt:lpstr>
      <vt:lpstr>QualitéAlimentsLapereauMâle_0_1_mois</vt:lpstr>
      <vt:lpstr>QualitéAlimentsLapin</vt:lpstr>
      <vt:lpstr>QualitéAlimentsLapine</vt:lpstr>
      <vt:lpstr>QualitéAlimentsOie</vt:lpstr>
      <vt:lpstr>QualitéAlimentsOisonFemelle_0_3_mois</vt:lpstr>
      <vt:lpstr>QualitéAlimentsOisonMâle_0_3_mois</vt:lpstr>
      <vt:lpstr>QualitéAlimentsPintadeauFemelle_0_1_mois</vt:lpstr>
      <vt:lpstr>QualitéAlimentsPintadeauMâle_0_1_mois</vt:lpstr>
      <vt:lpstr>QualitéAlimentsPintadeFemelle</vt:lpstr>
      <vt:lpstr>QualitéAlimentsPintadeMâle</vt:lpstr>
      <vt:lpstr>QualitéAlimentsPorceletFemelle_0_1_mois</vt:lpstr>
      <vt:lpstr>QualitéAlimentsPorceletFemelle_1_3_mois</vt:lpstr>
      <vt:lpstr>QualitéAlimentsPorceletMâle_0_1_mois</vt:lpstr>
      <vt:lpstr>QualitéAlimentsPorceletMâle_1_3_mois</vt:lpstr>
      <vt:lpstr>QualitéAlimentsPoulainFemellePoney</vt:lpstr>
      <vt:lpstr>QualitéAlimentsPoulainFemelleTrait</vt:lpstr>
      <vt:lpstr>QualitéAlimentsPoulainMâlePoney</vt:lpstr>
      <vt:lpstr>QualitéAlimentsPoulainMâleTrait</vt:lpstr>
      <vt:lpstr>QualitéAlimentsPoulainSelleFemelle</vt:lpstr>
      <vt:lpstr>QualitéAlimentsPoulainSelleMâle</vt:lpstr>
      <vt:lpstr>QualitéAlimentsPoule</vt:lpstr>
      <vt:lpstr>QualitéAlimentsPoussinFemelle_0_1_mois</vt:lpstr>
      <vt:lpstr>QualitéAlimentsPoussinMâle_0_1_mois</vt:lpstr>
      <vt:lpstr>QualitéAlimentsTaureaux</vt:lpstr>
      <vt:lpstr>QualitéAlimentsTaurillons_12_18_mois</vt:lpstr>
      <vt:lpstr>QualitéAlimentsTaurillons_18_24_mois</vt:lpstr>
      <vt:lpstr>QualitéAlimentsTaurillons_24_36_mois</vt:lpstr>
      <vt:lpstr>QualitéAlimentsTruie</vt:lpstr>
      <vt:lpstr>QualitéAlimentsVaches</vt:lpstr>
      <vt:lpstr>QualitéAlimentsVeauxFemelles_0_3_mois</vt:lpstr>
      <vt:lpstr>QualitéAlimentsVeauxFemelles_3_6_mois</vt:lpstr>
      <vt:lpstr>QualitéAlimentsVeauxFemelles_6_12_mois</vt:lpstr>
      <vt:lpstr>QualitéAlimentsVeauxMâles_0_3_mois</vt:lpstr>
      <vt:lpstr>QualitéAlimentsVeauxMâles_3_6_mois</vt:lpstr>
      <vt:lpstr>QualitéAlimentsVeauxMâles_6_12_mois</vt:lpstr>
      <vt:lpstr>QualitéAlimentsVerrat</vt:lpstr>
      <vt:lpstr>QualitéRationComplèteBisons</vt:lpstr>
      <vt:lpstr>QualitéRationComplèteBovins</vt:lpstr>
      <vt:lpstr>QualitéRationComplèteCanards</vt:lpstr>
      <vt:lpstr>QualitéRationComplèteCaprins</vt:lpstr>
      <vt:lpstr>QualitéRationComplèteChevauxSelle</vt:lpstr>
      <vt:lpstr>QualitéRationComplèteChevauxTrait</vt:lpstr>
      <vt:lpstr>QualitéRationComplèteDaims</vt:lpstr>
      <vt:lpstr>QualitéRationComplèteGavageCanards</vt:lpstr>
      <vt:lpstr>QualitéRationComplèteGavageOies</vt:lpstr>
      <vt:lpstr>QualitéRationComplètelapins</vt:lpstr>
      <vt:lpstr>QualitéRationComplèteOies</vt:lpstr>
      <vt:lpstr>QualitéRationComplèteOvins</vt:lpstr>
      <vt:lpstr>QualitéRationComplètePintades</vt:lpstr>
      <vt:lpstr>QualitéRationComplètePoneys</vt:lpstr>
      <vt:lpstr>QualitéRationComplètePorcins</vt:lpstr>
      <vt:lpstr>QualitéRationComplèteVolailles</vt:lpstr>
      <vt:lpstr>RationBisonNécessaireBQ</vt:lpstr>
      <vt:lpstr>RationBisonNécessaireMaQ</vt:lpstr>
      <vt:lpstr>RationBisonNécessaireMoQ</vt:lpstr>
      <vt:lpstr>RationBisons</vt:lpstr>
      <vt:lpstr>RationBovins</vt:lpstr>
      <vt:lpstr>RationBovinsNécessaireBQ</vt:lpstr>
      <vt:lpstr>RationBovinsNécessaireMaQ</vt:lpstr>
      <vt:lpstr>RationBovinsNécessaireMoQ</vt:lpstr>
      <vt:lpstr>RationCanards</vt:lpstr>
      <vt:lpstr>RationCanardsNécessaireBQ</vt:lpstr>
      <vt:lpstr>RationCanardsNécessaireMaQ</vt:lpstr>
      <vt:lpstr>RationCanardsNécessaireMoQ</vt:lpstr>
      <vt:lpstr>RationCaprins</vt:lpstr>
      <vt:lpstr>RationCaprinsNécessaireBQ</vt:lpstr>
      <vt:lpstr>RationCaprinsNécessaireMaQ</vt:lpstr>
      <vt:lpstr>RationCaprinsNécessaireMoQ</vt:lpstr>
      <vt:lpstr>RationChevauxSelle</vt:lpstr>
      <vt:lpstr>RationChevauxSelleNécessaireBQ</vt:lpstr>
      <vt:lpstr>RationChevauxSelleNécessaireMaQ</vt:lpstr>
      <vt:lpstr>RationChevauxSelleNécessaireMoQ</vt:lpstr>
      <vt:lpstr>RationChevauxTrait</vt:lpstr>
      <vt:lpstr>RationChevauxTraitNécessaireBQ</vt:lpstr>
      <vt:lpstr>RationChevauxTraitNécessaireMaQ</vt:lpstr>
      <vt:lpstr>RationChevauxTraitNécessaireMoQ</vt:lpstr>
      <vt:lpstr>RationDaims</vt:lpstr>
      <vt:lpstr>RationDaimsNécessaireBQ</vt:lpstr>
      <vt:lpstr>RationDaimsNécessaireMaQ</vt:lpstr>
      <vt:lpstr>RationDaimsNécessaireMoQ</vt:lpstr>
      <vt:lpstr>RationDansEcurieChevauxSelle</vt:lpstr>
      <vt:lpstr>RationDansEcurieChevauxTrait</vt:lpstr>
      <vt:lpstr>RationDansEcuriePoneys</vt:lpstr>
      <vt:lpstr>RationDansPréChevauxSelle</vt:lpstr>
      <vt:lpstr>RationDansPréChevauxTrait</vt:lpstr>
      <vt:lpstr>RationDansPréPoneys</vt:lpstr>
      <vt:lpstr>RationEtéChevauxSelle</vt:lpstr>
      <vt:lpstr>RationEtéChevauxTrait</vt:lpstr>
      <vt:lpstr>RationEtéPoneys</vt:lpstr>
      <vt:lpstr>RationHiverBovins</vt:lpstr>
      <vt:lpstr>RationHiverBovinsNécessaireBQ</vt:lpstr>
      <vt:lpstr>RationHiverBovinsNécessaireMaQ</vt:lpstr>
      <vt:lpstr>RationHiverBovinsNécessaireMoQ</vt:lpstr>
      <vt:lpstr>RationHivernaleAuPréChevauxSelle</vt:lpstr>
      <vt:lpstr>RationHivernaleAuPréChevauxTrait</vt:lpstr>
      <vt:lpstr>RationHivernaleAuPréPoneys</vt:lpstr>
      <vt:lpstr>RationHivernaleBovinsAuPré</vt:lpstr>
      <vt:lpstr>RationHivernaleOvinsAuPré</vt:lpstr>
      <vt:lpstr>RationHiverOvins</vt:lpstr>
      <vt:lpstr>RationHiverOvinsNécessaireBQ</vt:lpstr>
      <vt:lpstr>RationHiverOvinsNécessaireMaQ</vt:lpstr>
      <vt:lpstr>RationHiverOvinsNécessaireMoQ</vt:lpstr>
      <vt:lpstr>RationLapins</vt:lpstr>
      <vt:lpstr>RationLapinsNécessaireBQ</vt:lpstr>
      <vt:lpstr>RationLapinsNécessaireMaQ</vt:lpstr>
      <vt:lpstr>RationLapinsNécessaireMoQ</vt:lpstr>
      <vt:lpstr>RationOies</vt:lpstr>
      <vt:lpstr>RationOiesNécessaireBQ</vt:lpstr>
      <vt:lpstr>RationOiesNécessaireMaQ</vt:lpstr>
      <vt:lpstr>RationOiesNécessaireMoQ</vt:lpstr>
      <vt:lpstr>RationOvins</vt:lpstr>
      <vt:lpstr>RationOvinsNécessaireBQ</vt:lpstr>
      <vt:lpstr>RationOvinsNécessaireMaQ</vt:lpstr>
      <vt:lpstr>RationOvinsNécessaireMoQ</vt:lpstr>
      <vt:lpstr>RationPintades</vt:lpstr>
      <vt:lpstr>RationPintadesNécessaireBQ</vt:lpstr>
      <vt:lpstr>RationPintadesNécessaireMaQ</vt:lpstr>
      <vt:lpstr>RationPintadesNécessaireMoQ</vt:lpstr>
      <vt:lpstr>RationPoneys</vt:lpstr>
      <vt:lpstr>RationPoneysNécessaireBQ</vt:lpstr>
      <vt:lpstr>RationPoneysNécessaireMaQ</vt:lpstr>
      <vt:lpstr>RationPoneysNécessaireMoQ</vt:lpstr>
      <vt:lpstr>RationPorcins</vt:lpstr>
      <vt:lpstr>RationPorcinsNécessaireBQ</vt:lpstr>
      <vt:lpstr>RationPorcinsNécessaireMaQ</vt:lpstr>
      <vt:lpstr>RationPorcinsNécessaireMoQ</vt:lpstr>
      <vt:lpstr>RationVolailles</vt:lpstr>
      <vt:lpstr>RationVolaillesNécessaireBQ</vt:lpstr>
      <vt:lpstr>RationVolaillesNécessaireMaQ</vt:lpstr>
      <vt:lpstr>RationVolaillesNécessaireMoQ</vt:lpstr>
      <vt:lpstr>RésultatTotalEcuries</vt:lpstr>
      <vt:lpstr>RésultatTotalParcsVolailles</vt:lpstr>
      <vt:lpstr>RésultatTotalPoulaillers</vt:lpstr>
      <vt:lpstr>Seigle</vt:lpstr>
      <vt:lpstr>SeigleNécessaireBQ</vt:lpstr>
      <vt:lpstr>SeigleNécessaireMaQ</vt:lpstr>
      <vt:lpstr>SeigleNécessaireMoQ</vt:lpstr>
      <vt:lpstr>Soja</vt:lpstr>
      <vt:lpstr>SojaNécessaireBQ</vt:lpstr>
      <vt:lpstr>SojaNécessaireMaQ</vt:lpstr>
      <vt:lpstr>SojaNécessaireMoQ</vt:lpstr>
      <vt:lpstr>SorghoEnsilé</vt:lpstr>
      <vt:lpstr>SorghoEnsiléNécessaireBQ</vt:lpstr>
      <vt:lpstr>SorghoEnsiléNécessaireMaQ</vt:lpstr>
      <vt:lpstr>SorghoEnsiléNécessaireMoQ</vt:lpstr>
      <vt:lpstr>Spécificité1Bovins</vt:lpstr>
      <vt:lpstr>Spécificité1Canards</vt:lpstr>
      <vt:lpstr>Spécificité1Caprins</vt:lpstr>
      <vt:lpstr>Spécificité1ChevauxSelle</vt:lpstr>
      <vt:lpstr>Spécificité1ChevauxTrait</vt:lpstr>
      <vt:lpstr>Spécificité1Daims</vt:lpstr>
      <vt:lpstr>Spécificité1Lapins</vt:lpstr>
      <vt:lpstr>Spécificité1Oies</vt:lpstr>
      <vt:lpstr>Spécificité1Ovins</vt:lpstr>
      <vt:lpstr>Spécificité1Pintades</vt:lpstr>
      <vt:lpstr>Spécificité1Poneys</vt:lpstr>
      <vt:lpstr>Spécificité1Porcins</vt:lpstr>
      <vt:lpstr>Spécificité1Volailles</vt:lpstr>
      <vt:lpstr>Spécificité2Bovins</vt:lpstr>
      <vt:lpstr>Spécificité2Canards</vt:lpstr>
      <vt:lpstr>Spécificité2Caprins</vt:lpstr>
      <vt:lpstr>Spécificité2ChevauxSelle</vt:lpstr>
      <vt:lpstr>Spécificité2ChevauxTrait</vt:lpstr>
      <vt:lpstr>Spécificité2Daims</vt:lpstr>
      <vt:lpstr>Spécificité2Lapins</vt:lpstr>
      <vt:lpstr>Spécificité2Oies</vt:lpstr>
      <vt:lpstr>Spécificité2Ovins</vt:lpstr>
      <vt:lpstr>Spécificité2Pintades</vt:lpstr>
      <vt:lpstr>Spécificité2Poneys</vt:lpstr>
      <vt:lpstr>Spécificité2Porcins</vt:lpstr>
      <vt:lpstr>Spécificité2Volailles</vt:lpstr>
      <vt:lpstr>Stabu</vt:lpstr>
      <vt:lpstr>StockDansEntrepots</vt:lpstr>
      <vt:lpstr>StockDansSilos</vt:lpstr>
      <vt:lpstr>StockFoinBQDansEntrepôt</vt:lpstr>
      <vt:lpstr>StockFoinDansEntrepôt</vt:lpstr>
      <vt:lpstr>StockFoinMaQDansEntrepôt</vt:lpstr>
      <vt:lpstr>StockFoinMoQDansEntrepôt</vt:lpstr>
      <vt:lpstr>StockMinérauxBQDansEntrepôt</vt:lpstr>
      <vt:lpstr>StockMinérauxMaQDansEntrepôt</vt:lpstr>
      <vt:lpstr>StockMinérauxMoQDansEntrepôt</vt:lpstr>
      <vt:lpstr>StockPailleBQDansEntrepôt</vt:lpstr>
      <vt:lpstr>StockPailleDansEntrepôt</vt:lpstr>
      <vt:lpstr>StockPailleMaQDansEntrepôt</vt:lpstr>
      <vt:lpstr>StockPailleMoQDansEntrepôt</vt:lpstr>
      <vt:lpstr>Suisse</vt:lpstr>
      <vt:lpstr>SurfaceAgneauBergerie</vt:lpstr>
      <vt:lpstr>SurfaceBalleFoin_500kg</vt:lpstr>
      <vt:lpstr>SurfaceBallePaille_500kg</vt:lpstr>
      <vt:lpstr>SurfaceBélierBergerie</vt:lpstr>
      <vt:lpstr>SurfaceBoucChèvrerie</vt:lpstr>
      <vt:lpstr>SurfaceBrebisBergerie</vt:lpstr>
      <vt:lpstr>SurfaceCanardAdultePoulailler</vt:lpstr>
      <vt:lpstr>SurfaceCanardParc</vt:lpstr>
      <vt:lpstr>SurfaceCanetonPoulailler</vt:lpstr>
      <vt:lpstr>SurfaceChevauxSelleAdulteEcurie</vt:lpstr>
      <vt:lpstr>SurfaceChevauxTraitAdultesEcurie</vt:lpstr>
      <vt:lpstr>SurfaceChevreauChèvrerie</vt:lpstr>
      <vt:lpstr>SurfaceChèvreChèvrerie</vt:lpstr>
      <vt:lpstr>SurfaceExistanteBergeries</vt:lpstr>
      <vt:lpstr>SurfaceExistanteChèvreries</vt:lpstr>
      <vt:lpstr>SurfaceExistanteClapiers</vt:lpstr>
      <vt:lpstr>SurfaceExistanteEcuriesPoneys</vt:lpstr>
      <vt:lpstr>SurfaceExistanteEcuriesSelle</vt:lpstr>
      <vt:lpstr>SurfaceExistanteEcuriesTrait</vt:lpstr>
      <vt:lpstr>SurfaceExistanteParcsCanards</vt:lpstr>
      <vt:lpstr>SurfaceExistanteParcsLapins</vt:lpstr>
      <vt:lpstr>SurfaceExistanteParcsOies</vt:lpstr>
      <vt:lpstr>SurfaceExistanteParcsPintades</vt:lpstr>
      <vt:lpstr>SurfaceExistanteParcsPorcins</vt:lpstr>
      <vt:lpstr>SurfaceExistanteParcsVolailles</vt:lpstr>
      <vt:lpstr>SurfaceExistantePorcheries</vt:lpstr>
      <vt:lpstr>SurfaceExistantePoulaillersCanards</vt:lpstr>
      <vt:lpstr>SurfaceExistantePoulaillersOies</vt:lpstr>
      <vt:lpstr>SurfaceExistantePoulaillersPintades</vt:lpstr>
      <vt:lpstr>SurfaceExistantePoulaillersVolailles</vt:lpstr>
      <vt:lpstr>SurfaceExistanteStabu</vt:lpstr>
      <vt:lpstr>SurfaceJeuneBovinStabu</vt:lpstr>
      <vt:lpstr>SurfaceJeuneCanardPoulailler</vt:lpstr>
      <vt:lpstr>SurfaceJeuneCaprinChèvrerie</vt:lpstr>
      <vt:lpstr>SurfaceJeuneChevalSelleEcurie</vt:lpstr>
      <vt:lpstr>SurfaceJeuneChevauxTraitEcurie</vt:lpstr>
      <vt:lpstr>SurfaceJeuneLapinClapier</vt:lpstr>
      <vt:lpstr>SurfaceJeuneLapinParc</vt:lpstr>
      <vt:lpstr>SurfaceJeuneOiePoulailler</vt:lpstr>
      <vt:lpstr>SurfaceJeuneOvinBergerie</vt:lpstr>
      <vt:lpstr>SurfaceJeunePintadePoulailler</vt:lpstr>
      <vt:lpstr>SurfaceJeunePoneysEcurie</vt:lpstr>
      <vt:lpstr>SurfaceJeunePorcinPorcherie</vt:lpstr>
      <vt:lpstr>SurfaceJeuneVolaillePoulailler</vt:lpstr>
      <vt:lpstr>SurfaceJumentSelleEcurie</vt:lpstr>
      <vt:lpstr>SurfaceLapereauClapier</vt:lpstr>
      <vt:lpstr>SurfaceLapereauParc</vt:lpstr>
      <vt:lpstr>SurfaceLapinAdulteClapier</vt:lpstr>
      <vt:lpstr>SurfaceLapinAdulteParc</vt:lpstr>
      <vt:lpstr>SurfaceNécessaireBergerie</vt:lpstr>
      <vt:lpstr>SurfaceNécessaireChèvrerie</vt:lpstr>
      <vt:lpstr>SurfaceNécessaireClapiers</vt:lpstr>
      <vt:lpstr>SurfaceNécessaireConcentréBovins</vt:lpstr>
      <vt:lpstr>SurfaceNécessaireConcentréLapins</vt:lpstr>
      <vt:lpstr>SurfaceNécessaireConcentréPorcins</vt:lpstr>
      <vt:lpstr>SurfaceNécessaireEcuriesPoneys</vt:lpstr>
      <vt:lpstr>SurfaceNécessaireEcuriesSelle</vt:lpstr>
      <vt:lpstr>SurfaceNécessaireEcuriesTrait</vt:lpstr>
      <vt:lpstr>SurfaceNécessaireMinéraux</vt:lpstr>
      <vt:lpstr>SurfaceNécessaireParcsCanards</vt:lpstr>
      <vt:lpstr>SurfaceNécessaireParcsLapins</vt:lpstr>
      <vt:lpstr>SurfaceNécessaireParcsOies</vt:lpstr>
      <vt:lpstr>SurfaceNécessaireParcsPintades</vt:lpstr>
      <vt:lpstr>SurfaceNécessaireParcsPorcins</vt:lpstr>
      <vt:lpstr>SurfaceNécessaireParcsVolailles</vt:lpstr>
      <vt:lpstr>SurfaceNécessairePorcherie</vt:lpstr>
      <vt:lpstr>SurfaceNécessairePoulaillersCanards</vt:lpstr>
      <vt:lpstr>SurfaceNécessairePoulaillersOies</vt:lpstr>
      <vt:lpstr>SurfaceNécessairePoulaillersPintades</vt:lpstr>
      <vt:lpstr>SurfaceNécessairePoulaillersVolailles</vt:lpstr>
      <vt:lpstr>SurfaceNécessaireStabu</vt:lpstr>
      <vt:lpstr>SurfaceOieAdultePoulailler</vt:lpstr>
      <vt:lpstr>SurfaceOieParc</vt:lpstr>
      <vt:lpstr>SurfaceOisonPoulailler</vt:lpstr>
      <vt:lpstr>SurfacePintadeAdultePoulailler</vt:lpstr>
      <vt:lpstr>SurfacePintadeauPoulailler</vt:lpstr>
      <vt:lpstr>SurfacePintadeParc</vt:lpstr>
      <vt:lpstr>SurfacePoneysAdultesEcuries</vt:lpstr>
      <vt:lpstr>SurfacePorceletPorcherie</vt:lpstr>
      <vt:lpstr>SurfacePorcinsAbrisEtParcs</vt:lpstr>
      <vt:lpstr>SurfacePoulainPoneysEcuries</vt:lpstr>
      <vt:lpstr>SurfacePoulainSelleEcurie</vt:lpstr>
      <vt:lpstr>SurfacePoulainTraitEcurie</vt:lpstr>
      <vt:lpstr>SurfacePoussinPoulailler</vt:lpstr>
      <vt:lpstr>SurfaceTaureauStabu</vt:lpstr>
      <vt:lpstr>SurfaceTotaleEcuries</vt:lpstr>
      <vt:lpstr>SurfaceTotaleParcsVolailles</vt:lpstr>
      <vt:lpstr>SurfaceTotalePoulaillers</vt:lpstr>
      <vt:lpstr>SurfaceTruiePorcherie</vt:lpstr>
      <vt:lpstr>SurfaceUtiliséeParFoinDansEntrepôt</vt:lpstr>
      <vt:lpstr>SurfaceUtiliséeParPailleDansEntrepôt</vt:lpstr>
      <vt:lpstr>SurfaceVacheStabu</vt:lpstr>
      <vt:lpstr>SurfaceVeauxStabu</vt:lpstr>
      <vt:lpstr>SurfaceVerratPorcherie</vt:lpstr>
      <vt:lpstr>SurfaceVolailleAdultePoulaille</vt:lpstr>
      <vt:lpstr>SurfaceVolailleParc</vt:lpstr>
      <vt:lpstr>TarifsCoopCultures</vt:lpstr>
      <vt:lpstr>TêteListe</vt:lpstr>
      <vt:lpstr>Total_PintadeMâle</vt:lpstr>
      <vt:lpstr>Total_poussin_mâle_0_1_mois</vt:lpstr>
      <vt:lpstr>TotalAgneau_0_3_mois</vt:lpstr>
      <vt:lpstr>TotalAgneau_3_6_mois</vt:lpstr>
      <vt:lpstr>TotalAgneaux</vt:lpstr>
      <vt:lpstr>TotalAgneauxRacesLaitières</vt:lpstr>
      <vt:lpstr>TotalAgnelle_0_3_mois</vt:lpstr>
      <vt:lpstr>TotalAgnelle_3_6_mois</vt:lpstr>
      <vt:lpstr>TotalBéliers</vt:lpstr>
      <vt:lpstr>TotalBéliersRacesLaitières</vt:lpstr>
      <vt:lpstr>TotalBisonneaux</vt:lpstr>
      <vt:lpstr>TotalBisonnes</vt:lpstr>
      <vt:lpstr>TotalBisons</vt:lpstr>
      <vt:lpstr>TotalBisons0_3</vt:lpstr>
      <vt:lpstr>TotalBisons12_18</vt:lpstr>
      <vt:lpstr>TotalBisons18_24</vt:lpstr>
      <vt:lpstr>TotalBisons24_36</vt:lpstr>
      <vt:lpstr>TotalBisons3_6</vt:lpstr>
      <vt:lpstr>TotalBisons6_12</vt:lpstr>
      <vt:lpstr>TotalBisonsAdultes</vt:lpstr>
      <vt:lpstr>TotalBisonsFemelles_0_3_mois</vt:lpstr>
      <vt:lpstr>TotalBisonsFemelles_12_18_mois</vt:lpstr>
      <vt:lpstr>TotalBisonsFemelles_18_24_mois</vt:lpstr>
      <vt:lpstr>TotalBisonsFemelles_24_36_mois</vt:lpstr>
      <vt:lpstr>TotalBisonsFemelles_3_6_mois</vt:lpstr>
      <vt:lpstr>TotalBisonsFemelles_6_12_mois</vt:lpstr>
      <vt:lpstr>TotalBisonsMales_0_3_mois</vt:lpstr>
      <vt:lpstr>TotalBisonsMales_12_18_mois</vt:lpstr>
      <vt:lpstr>TotalBisonsMales_18_24_mois</vt:lpstr>
      <vt:lpstr>TotalBisonsMales_24_36_mois</vt:lpstr>
      <vt:lpstr>TotalBisonsMales_3_6_mois</vt:lpstr>
      <vt:lpstr>TotalBisonsMales_6_12_mois</vt:lpstr>
      <vt:lpstr>TotalBisonsMalesAdultes</vt:lpstr>
      <vt:lpstr>TotalBoucs</vt:lpstr>
      <vt:lpstr>TotalBovins</vt:lpstr>
      <vt:lpstr>TotalBovins_0_3mois</vt:lpstr>
      <vt:lpstr>TotalBovins_0_3moisAuPré</vt:lpstr>
      <vt:lpstr>TotalBovins_0_3moisRacesLaitières</vt:lpstr>
      <vt:lpstr>TotalBovins_12_18mois</vt:lpstr>
      <vt:lpstr>TotalBovins_12_18moisAuPré</vt:lpstr>
      <vt:lpstr>TotalBovins_12_18moisRacesLaitières</vt:lpstr>
      <vt:lpstr>TotalBovins_18_24mois</vt:lpstr>
      <vt:lpstr>TotalBovins_18_24moisAuPré</vt:lpstr>
      <vt:lpstr>TotalBovins_18_24moisRacesLaitières</vt:lpstr>
      <vt:lpstr>TotalBovins_24_36mois</vt:lpstr>
      <vt:lpstr>TotalBovins_24_36moisAuPré</vt:lpstr>
      <vt:lpstr>TotalBovins_24_36moisRacesLaitières</vt:lpstr>
      <vt:lpstr>TotalBovins_3_6mois</vt:lpstr>
      <vt:lpstr>TotalBovins_3_6moisAuPré</vt:lpstr>
      <vt:lpstr>TotalBovins_3_6moisRacesLaitières</vt:lpstr>
      <vt:lpstr>TotalBovins_6_12mois</vt:lpstr>
      <vt:lpstr>TotalBovins_6_12moisAuPré</vt:lpstr>
      <vt:lpstr>TotalBovins_6_12moisRacesLaitières</vt:lpstr>
      <vt:lpstr>TotalBovinsAdultes</vt:lpstr>
      <vt:lpstr>TotalBovinsAdultesAuPré</vt:lpstr>
      <vt:lpstr>TotalBovinsAdultesRacesLaitières</vt:lpstr>
      <vt:lpstr>TotalBovinsFemelles_0_3mois</vt:lpstr>
      <vt:lpstr>TotalBovinsFemelles_12_18mois</vt:lpstr>
      <vt:lpstr>TotalBovinsFemelles_18_24mois</vt:lpstr>
      <vt:lpstr>TotalBovinsFemelles_24_36mois</vt:lpstr>
      <vt:lpstr>TotalBovinsFemelles_3_6mois</vt:lpstr>
      <vt:lpstr>TotalBovinsFemelles_6_12mois</vt:lpstr>
      <vt:lpstr>TotalBovinsLaitièresEtAlalaitantes</vt:lpstr>
      <vt:lpstr>TotalBovinsMâles_0_3mois</vt:lpstr>
      <vt:lpstr>TotalBovinsMâles_12_18mois</vt:lpstr>
      <vt:lpstr>TotalBovinsMâles_18_24mois</vt:lpstr>
      <vt:lpstr>TotalBovinsMâles_24_36mois</vt:lpstr>
      <vt:lpstr>TotalBovinsMâles_3_6mois</vt:lpstr>
      <vt:lpstr>TotalBovinsMâles_6_12mois</vt:lpstr>
      <vt:lpstr>TotalBovinsRacesLaitières</vt:lpstr>
      <vt:lpstr>TotalBrebis</vt:lpstr>
      <vt:lpstr>TotalBrebisRacesLaitières</vt:lpstr>
      <vt:lpstr>TotalCanards</vt:lpstr>
      <vt:lpstr>TotalCanardsAdultes</vt:lpstr>
      <vt:lpstr>TotalCanardsMalesAdultes</vt:lpstr>
      <vt:lpstr>TotalCanes</vt:lpstr>
      <vt:lpstr>TotalCanetons</vt:lpstr>
      <vt:lpstr>TotalCaprins</vt:lpstr>
      <vt:lpstr>TotalCaprins_0_3mois</vt:lpstr>
      <vt:lpstr>TotalCaprins_3_6mois</vt:lpstr>
      <vt:lpstr>TotalCaprinsAdultes</vt:lpstr>
      <vt:lpstr>TotalChevauxSelle</vt:lpstr>
      <vt:lpstr>TotalChevauxSelle_12_24mois</vt:lpstr>
      <vt:lpstr>TotalChevauxSelle_24_36mois</vt:lpstr>
      <vt:lpstr>TotalChevauxSelleAdultes</vt:lpstr>
      <vt:lpstr>TotalChevauxTrait</vt:lpstr>
      <vt:lpstr>TotalChevauxTrait_12_24mois</vt:lpstr>
      <vt:lpstr>TotalChevauxTrait_24_36mois</vt:lpstr>
      <vt:lpstr>TotalChevauxTraitAdultes</vt:lpstr>
      <vt:lpstr>TotalChevreaux</vt:lpstr>
      <vt:lpstr>TotalChèvres</vt:lpstr>
      <vt:lpstr>TotalCoqs</vt:lpstr>
      <vt:lpstr>TotalDaim</vt:lpstr>
      <vt:lpstr>TotalDaims</vt:lpstr>
      <vt:lpstr>TotalDaims0_3</vt:lpstr>
      <vt:lpstr>TotalDaims12_18</vt:lpstr>
      <vt:lpstr>TotalDaims18_24</vt:lpstr>
      <vt:lpstr>TotalDaims24_36</vt:lpstr>
      <vt:lpstr>TotalDaims3_6</vt:lpstr>
      <vt:lpstr>TotalDaims6_12</vt:lpstr>
      <vt:lpstr>TotalDaimsAdultes</vt:lpstr>
      <vt:lpstr>TotalDaine</vt:lpstr>
      <vt:lpstr>TotalEtalonPoney</vt:lpstr>
      <vt:lpstr>TotalEtalonSelle</vt:lpstr>
      <vt:lpstr>TotalEtalonTrait</vt:lpstr>
      <vt:lpstr>TotalFaons</vt:lpstr>
      <vt:lpstr>TotalGénisse_12_18_RacesLaitières</vt:lpstr>
      <vt:lpstr>TotalGénisse_18_24_RacesLaitières</vt:lpstr>
      <vt:lpstr>TotalGénisse_24_36_RacesLaitières</vt:lpstr>
      <vt:lpstr>TotalJars</vt:lpstr>
      <vt:lpstr>TotalJeune_bélier_6_12_mois</vt:lpstr>
      <vt:lpstr>TotalJeune_brebis_6_12_mois</vt:lpstr>
      <vt:lpstr>TotalJeuneBovin</vt:lpstr>
      <vt:lpstr>TotalJeuneEtalonPoney_12_24_mois</vt:lpstr>
      <vt:lpstr>TotalJeuneEtalonPoney_24_36_mois</vt:lpstr>
      <vt:lpstr>TotalJeuneEtalonSelle_12_24_mois</vt:lpstr>
      <vt:lpstr>TotalJeuneEtalonSelle_24_36_mois</vt:lpstr>
      <vt:lpstr>TotalJeuneEtalonTrait_12_24_mois</vt:lpstr>
      <vt:lpstr>TotalJeuneEtalonTrait_24_36_mois</vt:lpstr>
      <vt:lpstr>TotalJeuneJumentPoney_12_24_mois</vt:lpstr>
      <vt:lpstr>TotalJeuneJumentPoney_24_36_mois</vt:lpstr>
      <vt:lpstr>TotalJeuneJumentSelle_12_24_mois</vt:lpstr>
      <vt:lpstr>TotalJeuneJumentSelle_24_36_mois</vt:lpstr>
      <vt:lpstr>TotalJeuneJumentTrait_12_24_mois</vt:lpstr>
      <vt:lpstr>TotalJeuneJumentTrait_24_36_mois</vt:lpstr>
      <vt:lpstr>TotalJeuneLapin_1_3_mois</vt:lpstr>
      <vt:lpstr>TotalJeuneLapine_1_3_mois</vt:lpstr>
      <vt:lpstr>TotalJeunesBisons</vt:lpstr>
      <vt:lpstr>TotalJeunesBovinsAllaitants</vt:lpstr>
      <vt:lpstr>TotalJeunesBovinsRacesLaitières</vt:lpstr>
      <vt:lpstr>TotalJeunesCanards</vt:lpstr>
      <vt:lpstr>TotalJeunesCanards_3moisEtPlus</vt:lpstr>
      <vt:lpstr>TotalJeunesCaprins</vt:lpstr>
      <vt:lpstr>TotalJeunesChevauxSelle</vt:lpstr>
      <vt:lpstr>TotalJeunesChevauxTrait</vt:lpstr>
      <vt:lpstr>TotalJeunesDaims</vt:lpstr>
      <vt:lpstr>TotalJeunesLapins</vt:lpstr>
      <vt:lpstr>TotalJeunesOies</vt:lpstr>
      <vt:lpstr>TotalJeunesOvins</vt:lpstr>
      <vt:lpstr>TotalJeunesOvinsRacesLaitières</vt:lpstr>
      <vt:lpstr>TotalJeunesPintades</vt:lpstr>
      <vt:lpstr>TotalJeunesPoneys</vt:lpstr>
      <vt:lpstr>TotalJeunesPorcins</vt:lpstr>
      <vt:lpstr>TotalJeuneVolaille</vt:lpstr>
      <vt:lpstr>TotalJumentPoney</vt:lpstr>
      <vt:lpstr>TotalJumentSelle</vt:lpstr>
      <vt:lpstr>TotalJumentTrait</vt:lpstr>
      <vt:lpstr>TotalLapereauFemelle_0_1_mois</vt:lpstr>
      <vt:lpstr>TotalLapereauMale_0_1_mois</vt:lpstr>
      <vt:lpstr>TotalLapereaux</vt:lpstr>
      <vt:lpstr>TotalLapines</vt:lpstr>
      <vt:lpstr>TotalLapins</vt:lpstr>
      <vt:lpstr>TotalLapinsAdultes</vt:lpstr>
      <vt:lpstr>TotalOies</vt:lpstr>
      <vt:lpstr>TotalOiesAdultes</vt:lpstr>
      <vt:lpstr>TotalOiesFemellesAdultes</vt:lpstr>
      <vt:lpstr>TotalOisons</vt:lpstr>
      <vt:lpstr>TotalOvins</vt:lpstr>
      <vt:lpstr>TotalOvins_0_3mois</vt:lpstr>
      <vt:lpstr>TotalOvins_0_3moisAuPré</vt:lpstr>
      <vt:lpstr>TotalOvins_0_3moisRacesLaitières</vt:lpstr>
      <vt:lpstr>TotalOvins_3_6mois</vt:lpstr>
      <vt:lpstr>TotalOvins_3_6moisAuPré</vt:lpstr>
      <vt:lpstr>TotalOvins_3_6moisRacesLaitières</vt:lpstr>
      <vt:lpstr>TotalOvins_6_12moisAuPré</vt:lpstr>
      <vt:lpstr>TotalOvinsAdultes</vt:lpstr>
      <vt:lpstr>TotalOvinsAdultesAuPré</vt:lpstr>
      <vt:lpstr>TotalOvinsAdultesRacesLaitières</vt:lpstr>
      <vt:lpstr>TotalOvinsRacesLaitières</vt:lpstr>
      <vt:lpstr>TotalPintadeaux</vt:lpstr>
      <vt:lpstr>TotalPintadeFemelle</vt:lpstr>
      <vt:lpstr>TotalPintades</vt:lpstr>
      <vt:lpstr>TotalPintadesAdultes</vt:lpstr>
      <vt:lpstr>TotalPoneys</vt:lpstr>
      <vt:lpstr>TotalPoneys_12_24mois</vt:lpstr>
      <vt:lpstr>TotalPoneys_24_36mois</vt:lpstr>
      <vt:lpstr>TotalPoneysAdultes</vt:lpstr>
      <vt:lpstr>TotalPorcelets</vt:lpstr>
      <vt:lpstr>TotalPorcins</vt:lpstr>
      <vt:lpstr>TotalPorcins_0_1Mois</vt:lpstr>
      <vt:lpstr>TotalPorcins_1_3Mois</vt:lpstr>
      <vt:lpstr>TotalPorcins_3_6Mois</vt:lpstr>
      <vt:lpstr>TotalPorcins_6_12Mois</vt:lpstr>
      <vt:lpstr>TotalPorcinsAdultes</vt:lpstr>
      <vt:lpstr>TotalPoulainPoney_0_12_mois</vt:lpstr>
      <vt:lpstr>TotalPoulainSelle_0_12_mois</vt:lpstr>
      <vt:lpstr>TotalPoulainsPoneys</vt:lpstr>
      <vt:lpstr>TotalPoulainsSelle</vt:lpstr>
      <vt:lpstr>TotalPoulainsTrait</vt:lpstr>
      <vt:lpstr>TotalPoulainTrait_0_12_mois</vt:lpstr>
      <vt:lpstr>TotalPoules</vt:lpstr>
      <vt:lpstr>TotalPoulichePoney_0_12_mois</vt:lpstr>
      <vt:lpstr>TotalPoulicheSelle_0_12_mois</vt:lpstr>
      <vt:lpstr>TotalPoulicheTrait_0_12_mois</vt:lpstr>
      <vt:lpstr>TotalPoussins</vt:lpstr>
      <vt:lpstr>TotalTaureaux</vt:lpstr>
      <vt:lpstr>TotalTaureauxAllaitants</vt:lpstr>
      <vt:lpstr>TotalTaureauxRacesLaitières</vt:lpstr>
      <vt:lpstr>TotalTaurillon_12_18_RacesLaitières</vt:lpstr>
      <vt:lpstr>TotalTaurillon_18_24_RacesLaitières</vt:lpstr>
      <vt:lpstr>TotalTaurillon_24_36_RacesLaitières</vt:lpstr>
      <vt:lpstr>TotalTruies</vt:lpstr>
      <vt:lpstr>TotalVaches</vt:lpstr>
      <vt:lpstr>TotalVachesAllaitant</vt:lpstr>
      <vt:lpstr>TotalVachesRacesLaitières</vt:lpstr>
      <vt:lpstr>TotalVeauFemelle_0_3_RacesLaitières</vt:lpstr>
      <vt:lpstr>TotalVeauFemelle_3_6_RacesLaitières</vt:lpstr>
      <vt:lpstr>TotalVeauFemelle_6_12_RacesLaitières</vt:lpstr>
      <vt:lpstr>TotalVeauMâle_0_3_RacesLaitières</vt:lpstr>
      <vt:lpstr>TotalVeauMâle_3_6_RacesLaitières</vt:lpstr>
      <vt:lpstr>TotalVeauMâle_6_12_RacesLaitières</vt:lpstr>
      <vt:lpstr>TotalVeaux</vt:lpstr>
      <vt:lpstr>TotalVeauxAllaitants</vt:lpstr>
      <vt:lpstr>TotalVeauxRacesLaitières</vt:lpstr>
      <vt:lpstr>TotalVerrats</vt:lpstr>
      <vt:lpstr>TotalVolailleAdulte</vt:lpstr>
      <vt:lpstr>TotalVolailles</vt:lpstr>
      <vt:lpstr>Tournesol</vt:lpstr>
      <vt:lpstr>Tournesol_BDD</vt:lpstr>
      <vt:lpstr>TournesolNécessaireBQ</vt:lpstr>
      <vt:lpstr>TournesolNécessaireMaQ</vt:lpstr>
      <vt:lpstr>TournesolNécessaireMoQ</vt:lpstr>
      <vt:lpstr>TourteauColza</vt:lpstr>
      <vt:lpstr>TourteauColzaNécessaireBQ</vt:lpstr>
      <vt:lpstr>TourteauColzaNécessaireMaQ</vt:lpstr>
      <vt:lpstr>TourteauColzaNécessaireMoQ</vt:lpstr>
      <vt:lpstr>TourteauTournesol</vt:lpstr>
      <vt:lpstr>TourteauTournesolNécessaireBQ</vt:lpstr>
      <vt:lpstr>TourteauTournesolNécessaireMaQ</vt:lpstr>
      <vt:lpstr>TourteauTournesolNécessaireMoQ</vt:lpstr>
      <vt:lpstr>Triticale</vt:lpstr>
      <vt:lpstr>Triticale_BDD</vt:lpstr>
      <vt:lpstr>TriticaleNécessaireBQ</vt:lpstr>
      <vt:lpstr>TriticaleNécessaireMaQ</vt:lpstr>
      <vt:lpstr>TriticaleNécessaireMoQ</vt:lpstr>
      <vt:lpstr>TypeArticleDansEntrepôt</vt:lpstr>
      <vt:lpstr>TypeLaitBovins</vt:lpstr>
      <vt:lpstr>TypeLaitCaprins</vt:lpstr>
      <vt:lpstr>TypeLaitOvins</vt:lpstr>
      <vt:lpstr>USA</vt:lpstr>
    </vt:vector>
  </TitlesOfParts>
  <Manager>Ghislain</Manager>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Aide simagri</dc:title>
  <dc:subject>fichier d'aide à la gestion de la ferme sous www.SIMAGRI.com</dc:subject>
  <dc:creator>Ghislain</dc:creator>
  <cp:lastModifiedBy>DOMERCQ Ghislain</cp:lastModifiedBy>
  <dcterms:created xsi:type="dcterms:W3CDTF">2007-02-20T13:32:42Z</dcterms:created>
  <dcterms:modified xsi:type="dcterms:W3CDTF">2019-11-19T08:52:54Z</dcterms:modified>
  <cp:category>personnel</cp:category>
</cp:coreProperties>
</file>